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omments4.xml" ContentType="application/vnd.openxmlformats-officedocument.spreadsheetml.comment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omments5.xml" ContentType="application/vnd.openxmlformats-officedocument.spreadsheetml.comments+xml"/>
  <Override PartName="/xl/drawings/drawing9.xml" ContentType="application/vnd.openxmlformats-officedocument.drawing+xml"/>
  <Override PartName="/xl/comments6.xml" ContentType="application/vnd.openxmlformats-officedocument.spreadsheetml.comments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omments7.xml" ContentType="application/vnd.openxmlformats-officedocument.spreadsheetml.comments+xml"/>
  <Override PartName="/xl/drawings/drawing13.xml" ContentType="application/vnd.openxmlformats-officedocument.drawing+xml"/>
  <Override PartName="/xl/comments8.xml" ContentType="application/vnd.openxmlformats-officedocument.spreadsheetml.comments+xml"/>
  <Override PartName="/xl/drawings/drawing14.xml" ContentType="application/vnd.openxmlformats-officedocument.drawing+xml"/>
  <Override PartName="/xl/comments9.xml" ContentType="application/vnd.openxmlformats-officedocument.spreadsheetml.comments+xml"/>
  <Override PartName="/xl/drawings/drawing15.xml" ContentType="application/vnd.openxmlformats-officedocument.drawing+xml"/>
  <Override PartName="/xl/comments10.xml" ContentType="application/vnd.openxmlformats-officedocument.spreadsheetml.comments+xml"/>
  <Override PartName="/xl/drawings/drawing16.xml" ContentType="application/vnd.openxmlformats-officedocument.drawing+xml"/>
  <Override PartName="/xl/comments11.xml" ContentType="application/vnd.openxmlformats-officedocument.spreadsheetml.comments+xml"/>
  <Override PartName="/xl/drawings/drawing17.xml" ContentType="application/vnd.openxmlformats-officedocument.drawing+xml"/>
  <Override PartName="/xl/comments12.xml" ContentType="application/vnd.openxmlformats-officedocument.spreadsheetml.comments+xml"/>
  <Override PartName="/xl/drawings/drawing18.xml" ContentType="application/vnd.openxmlformats-officedocument.drawing+xml"/>
  <Override PartName="/xl/comments13.xml" ContentType="application/vnd.openxmlformats-officedocument.spreadsheetml.comments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omments14.xml" ContentType="application/vnd.openxmlformats-officedocument.spreadsheetml.comments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comments15.xml" ContentType="application/vnd.openxmlformats-officedocument.spreadsheetml.comments+xml"/>
  <Override PartName="/xl/drawings/drawing61.xml" ContentType="application/vnd.openxmlformats-officedocument.drawing+xml"/>
  <Override PartName="/xl/comments16.xml" ContentType="application/vnd.openxmlformats-officedocument.spreadsheetml.comments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J:\AEP SPP Trans Formula Rates PSO SWE OKT SWT\2019 Projection\Corrected 2019 Projection\205 &amp; 206 Refile\"/>
    </mc:Choice>
  </mc:AlternateContent>
  <bookViews>
    <workbookView xWindow="0" yWindow="150" windowWidth="19200" windowHeight="6585" tabRatio="864"/>
  </bookViews>
  <sheets>
    <sheet name="SWE.Sch.11.Rates" sheetId="36" r:id="rId1"/>
    <sheet name="SWE.WS.F.BPU.ATRR.Projected" sheetId="1" r:id="rId2"/>
    <sheet name="SWE.WS.G.BPU.ATRR.True-up" sheetId="2" r:id="rId3"/>
    <sheet name="S.001" sheetId="3" r:id="rId4"/>
    <sheet name="S.002" sheetId="17" r:id="rId5"/>
    <sheet name="S.003" sheetId="18" r:id="rId6"/>
    <sheet name="S.004" sheetId="19" r:id="rId7"/>
    <sheet name="S.005" sheetId="20" r:id="rId8"/>
    <sheet name="S.006" sheetId="21" r:id="rId9"/>
    <sheet name="S.007" sheetId="22" r:id="rId10"/>
    <sheet name="S.008" sheetId="23" r:id="rId11"/>
    <sheet name="S.009" sheetId="24" r:id="rId12"/>
    <sheet name="S.010" sheetId="25" r:id="rId13"/>
    <sheet name="S.011" sheetId="26" r:id="rId14"/>
    <sheet name="S.012" sheetId="27" r:id="rId15"/>
    <sheet name="S.013" sheetId="28" r:id="rId16"/>
    <sheet name="S.014" sheetId="29" r:id="rId17"/>
    <sheet name="S.015" sheetId="30" r:id="rId18"/>
    <sheet name="S.016" sheetId="31" r:id="rId19"/>
    <sheet name="S.017" sheetId="32" r:id="rId20"/>
    <sheet name="S.018" sheetId="33" r:id="rId21"/>
    <sheet name="S.019" sheetId="34" r:id="rId22"/>
    <sheet name="S.020" sheetId="35" r:id="rId23"/>
    <sheet name="S.021" sheetId="39" r:id="rId24"/>
    <sheet name="S.022" sheetId="41" r:id="rId25"/>
    <sheet name="S.023" sheetId="42" r:id="rId26"/>
    <sheet name="S.024" sheetId="43" r:id="rId27"/>
    <sheet name="S.025" sheetId="44" r:id="rId28"/>
    <sheet name="S.026" sheetId="45" r:id="rId29"/>
    <sheet name="S.027" sheetId="46" r:id="rId30"/>
    <sheet name="S.028" sheetId="53" r:id="rId31"/>
    <sheet name="S.029" sheetId="54" r:id="rId32"/>
    <sheet name="S.030" sheetId="55" r:id="rId33"/>
    <sheet name="S.031" sheetId="56" r:id="rId34"/>
    <sheet name="S.032" sheetId="57" r:id="rId35"/>
    <sheet name="S.033" sheetId="58" r:id="rId36"/>
    <sheet name="S.034" sheetId="59" r:id="rId37"/>
    <sheet name="S.035" sheetId="61" r:id="rId38"/>
    <sheet name="S.036" sheetId="63" r:id="rId39"/>
    <sheet name="S.037" sheetId="62" r:id="rId40"/>
    <sheet name="S.038" sheetId="60" r:id="rId41"/>
    <sheet name="S.039" sheetId="64" r:id="rId42"/>
    <sheet name="S.040" sheetId="65" r:id="rId43"/>
    <sheet name="S.041" sheetId="66" r:id="rId44"/>
    <sheet name="S.042" sheetId="67" r:id="rId45"/>
    <sheet name="S.043" sheetId="68" r:id="rId46"/>
    <sheet name="S.044" sheetId="69" r:id="rId47"/>
    <sheet name="S.045" sheetId="70" r:id="rId48"/>
    <sheet name="S.046" sheetId="71" r:id="rId49"/>
    <sheet name="S.047" sheetId="72" r:id="rId50"/>
    <sheet name="S.048" sheetId="73" r:id="rId51"/>
    <sheet name="S.049" sheetId="74" r:id="rId52"/>
    <sheet name="S.050" sheetId="75" r:id="rId53"/>
    <sheet name="S.051" sheetId="76" r:id="rId54"/>
    <sheet name="S.052" sheetId="77" r:id="rId55"/>
    <sheet name="S.053" sheetId="78" r:id="rId56"/>
    <sheet name="S.054" sheetId="79" r:id="rId57"/>
    <sheet name="S.055" sheetId="80" r:id="rId58"/>
    <sheet name="S.056" sheetId="81" r:id="rId59"/>
    <sheet name="S.057" sheetId="82" r:id="rId60"/>
    <sheet name="S.058" sheetId="83" r:id="rId61"/>
    <sheet name="S.059" sheetId="84" r:id="rId62"/>
    <sheet name="S.060" sheetId="85" r:id="rId63"/>
    <sheet name="S.061" sheetId="86" r:id="rId64"/>
    <sheet name="S.062" sheetId="87" r:id="rId65"/>
    <sheet name="S.063" sheetId="88" r:id="rId66"/>
    <sheet name="S.064" sheetId="89" r:id="rId67"/>
    <sheet name="S.065" sheetId="90" r:id="rId68"/>
    <sheet name="S.066" sheetId="91" r:id="rId69"/>
    <sheet name="S.067" sheetId="92" r:id="rId70"/>
    <sheet name="S.068" sheetId="95" r:id="rId71"/>
    <sheet name="S.069" sheetId="96" r:id="rId72"/>
    <sheet name="S.070" sheetId="97" r:id="rId73"/>
    <sheet name="S.071" sheetId="98" r:id="rId74"/>
    <sheet name="S.072" sheetId="99" r:id="rId75"/>
    <sheet name="S.073" sheetId="100" r:id="rId76"/>
    <sheet name="S.xyz - blank" sheetId="13" r:id="rId77"/>
  </sheets>
  <externalReferences>
    <externalReference r:id="rId78"/>
  </externalReferences>
  <definedNames>
    <definedName name="_NPh1">#REF!</definedName>
    <definedName name="ActExcessAmt">#REF!</definedName>
    <definedName name="ActGrTaxAmt">#REF!</definedName>
    <definedName name="ActKWHExcess">#REF!</definedName>
    <definedName name="ActKWHNotUsed">#REF!</definedName>
    <definedName name="ActKWHRes">#REF!</definedName>
    <definedName name="ActKWHSubTot">#REF!</definedName>
    <definedName name="ActKWHTot">#REF!</definedName>
    <definedName name="ActNotUsedAmt">#REF!</definedName>
    <definedName name="ActResAmt">#REF!</definedName>
    <definedName name="ActSubTotAmt">#REF!</definedName>
    <definedName name="ActTotAmt">#REF!</definedName>
    <definedName name="AdminChg">#REF!</definedName>
    <definedName name="AEP">#REF!</definedName>
    <definedName name="allocator">#REF!</definedName>
    <definedName name="allocators">#REF!</definedName>
    <definedName name="allocatorsSWP">#REF!</definedName>
    <definedName name="allocatorSWP1">'[1]SWP TCOS 2008 13 Month'!$I$317:$J$328</definedName>
    <definedName name="APCO">#REF!</definedName>
    <definedName name="AVRGPWRFCTR">#REF!</definedName>
    <definedName name="B1HRSCRMO">#REF!</definedName>
    <definedName name="B2HRSCRMO">#REF!</definedName>
    <definedName name="BASERATECHG">#REF!</definedName>
    <definedName name="BILLKWH">#REF!</definedName>
    <definedName name="BIRPCCHG">#REF!</definedName>
    <definedName name="BIRPDCHG1">#REF!</definedName>
    <definedName name="BIRPDCHG2">#REF!</definedName>
    <definedName name="BIRPECHG1">#REF!</definedName>
    <definedName name="BIRPECHGB1">#REF!</definedName>
    <definedName name="BIRPECHGB2">#REF!</definedName>
    <definedName name="BIRPECHGB3">#REF!</definedName>
    <definedName name="BIRPECHGW">#REF!</definedName>
    <definedName name="BIRPKWH1">#REF!</definedName>
    <definedName name="BIRPKWHB1">#REF!</definedName>
    <definedName name="BIRPKWHB2">#REF!</definedName>
    <definedName name="BIRPKWHB3">#REF!</definedName>
    <definedName name="BIRPKWHWH">#REF!</definedName>
    <definedName name="BIRPMECHG1">#REF!</definedName>
    <definedName name="BIRPOFKWH">#REF!</definedName>
    <definedName name="BIRPOPKWH">#REF!</definedName>
    <definedName name="BIRPP1EC">#REF!</definedName>
    <definedName name="BIRPP2EC">#REF!</definedName>
    <definedName name="BIRPP3EC">#REF!</definedName>
    <definedName name="BIRPP4EC">#REF!</definedName>
    <definedName name="BIRPP5EC">#REF!</definedName>
    <definedName name="BIRPPDMDCHG">#REF!</definedName>
    <definedName name="BIRPRCHG">#REF!</definedName>
    <definedName name="BIRPXKVA">#REF!</definedName>
    <definedName name="BIRPXKVAPCT">#REF!</definedName>
    <definedName name="BIRPXOFKW">#REF!</definedName>
    <definedName name="BKUPKWH">#REF!</definedName>
    <definedName name="BLDAMNT">#REF!</definedName>
    <definedName name="BLDDMND">#REF!</definedName>
    <definedName name="BLDKWH">#REF!</definedName>
    <definedName name="BLDOPDMND">#REF!</definedName>
    <definedName name="BLNGKWB4EDR">#REF!</definedName>
    <definedName name="BLNGKWH">#REF!</definedName>
    <definedName name="BLNGKWHTTL">#REF!</definedName>
    <definedName name="BndBlkKwh1">#REF!</definedName>
    <definedName name="BndBlkKwh2">#REF!</definedName>
    <definedName name="BndBlkKwh3">#REF!</definedName>
    <definedName name="BndBlkKwhChg1">#REF!</definedName>
    <definedName name="BndBlkKwhChg2">#REF!</definedName>
    <definedName name="BndBlkKwhChg3">#REF!</definedName>
    <definedName name="BndBlkKwhChgT">#REF!</definedName>
    <definedName name="BndBlkKwhChgW">#REF!</definedName>
    <definedName name="BndBlkKwhT">#REF!</definedName>
    <definedName name="BndBlkKwhW">#REF!</definedName>
    <definedName name="BndCustChg">#REF!</definedName>
    <definedName name="BndDmdChg1">#REF!</definedName>
    <definedName name="BndDmdChg2">#REF!</definedName>
    <definedName name="BndExcsKvaPct">#REF!</definedName>
    <definedName name="BndMEChg">#REF!</definedName>
    <definedName name="BndOffPkKwh">#REF!</definedName>
    <definedName name="BndOnPkKwh">#REF!</definedName>
    <definedName name="BndPL1Chg">#REF!</definedName>
    <definedName name="BndPL2Chg">#REF!</definedName>
    <definedName name="BndPL3Chg">#REF!</definedName>
    <definedName name="BndPL4Chg">#REF!</definedName>
    <definedName name="BndPL5Chg">#REF!</definedName>
    <definedName name="BndReactiveChg">#REF!</definedName>
    <definedName name="BndXOfpKvaChg">#REF!</definedName>
    <definedName name="BndXOfpKwChg">#REF!</definedName>
    <definedName name="BTTrueUp">#REF!</definedName>
    <definedName name="BUNCCHG">#REF!</definedName>
    <definedName name="BUNDCHG1">#REF!</definedName>
    <definedName name="BUNDCHG2">#REF!</definedName>
    <definedName name="BUNECHG1">#REF!</definedName>
    <definedName name="BUNECHGB1">#REF!</definedName>
    <definedName name="BUNECHGB2">#REF!</definedName>
    <definedName name="BUNECHGB3">#REF!</definedName>
    <definedName name="BUNECHGW">#REF!</definedName>
    <definedName name="BUNKWH1">#REF!</definedName>
    <definedName name="BUNKWHB1">#REF!</definedName>
    <definedName name="BUNKWHB2">#REF!</definedName>
    <definedName name="BUNKWHB3">#REF!</definedName>
    <definedName name="BUNKWHWH">#REF!</definedName>
    <definedName name="BUNMECHG1">#REF!</definedName>
    <definedName name="BUNOFKWH">#REF!</definedName>
    <definedName name="BUNOPKWH">#REF!</definedName>
    <definedName name="BUNP1EC">#REF!</definedName>
    <definedName name="BUNP2EC">#REF!</definedName>
    <definedName name="BUNP3EC">#REF!</definedName>
    <definedName name="BUNP4EC">#REF!</definedName>
    <definedName name="BUNP5EC">#REF!</definedName>
    <definedName name="BUNPDMDCHG">#REF!</definedName>
    <definedName name="BUNRCHG">#REF!</definedName>
    <definedName name="BUNXKVA">#REF!</definedName>
    <definedName name="BUNXKVAPCT">#REF!</definedName>
    <definedName name="BUNXOFKW">#REF!</definedName>
    <definedName name="CALCPFCC">#REF!</definedName>
    <definedName name="CAPDEFA">#REF!</definedName>
    <definedName name="CBLKWH">#REF!</definedName>
    <definedName name="City">#REF!</definedName>
    <definedName name="CNTRCTDMND">#REF!</definedName>
    <definedName name="CoPhoneLine">#REF!</definedName>
    <definedName name="CRMOINTRPTHRS">#REF!</definedName>
    <definedName name="CRNTMOBTKWH">#REF!</definedName>
    <definedName name="CRNTMOFPKHRS">#REF!</definedName>
    <definedName name="CRNTMONPKHRS">#REF!</definedName>
    <definedName name="CRTLBLONPKHRS">#REF!</definedName>
    <definedName name="CRTLBLONPKKWH">#REF!</definedName>
    <definedName name="CSTMRCHG">#REF!</definedName>
    <definedName name="CurMoAddr1">#REF!</definedName>
    <definedName name="CurMoAddr2">#REF!</definedName>
    <definedName name="CurMoBTDetail">#REF!</definedName>
    <definedName name="CurMoBuyThrgh_Sheet">#REF!</definedName>
    <definedName name="CurMoCityStZip">#REF!</definedName>
    <definedName name="CurMoCustName">#REF!</definedName>
    <definedName name="CurMoExcessAmt">#REF!</definedName>
    <definedName name="CurMoGrTaxAmt">#REF!</definedName>
    <definedName name="CurMoKWHExcess">#REF!</definedName>
    <definedName name="CurMoKWHNotUsed">#REF!</definedName>
    <definedName name="CurMoKWHRes">#REF!</definedName>
    <definedName name="CurMoKWHSubTot">#REF!</definedName>
    <definedName name="CurMoKWHTot">#REF!</definedName>
    <definedName name="CurMoMtrMult">#REF!</definedName>
    <definedName name="CurMoNotUsedAmt">#REF!</definedName>
    <definedName name="CurMoResAmt">#REF!</definedName>
    <definedName name="CurMoSubTotAmt">#REF!</definedName>
    <definedName name="CurMoTotAmt">#REF!</definedName>
    <definedName name="CurrYear">#REF!</definedName>
    <definedName name="CustAddr1">#REF!</definedName>
    <definedName name="CustAddr2">#REF!</definedName>
    <definedName name="CustCityStZip">#REF!</definedName>
    <definedName name="CustName2">#REF!</definedName>
    <definedName name="CustTable">#REF!</definedName>
    <definedName name="DetailTotCbl">#REF!</definedName>
    <definedName name="DetailTotChg">#REF!</definedName>
    <definedName name="DetailTotKw">#REF!</definedName>
    <definedName name="DetailTotMargin">#REF!</definedName>
    <definedName name="DIRPCCHG">#REF!</definedName>
    <definedName name="DIRPDCHG1">#REF!</definedName>
    <definedName name="DIRPDCHG2">#REF!</definedName>
    <definedName name="DIRPECHG1">#REF!</definedName>
    <definedName name="DIRPECHGB1">#REF!</definedName>
    <definedName name="DIRPECHGB2">#REF!</definedName>
    <definedName name="DIRPECHGB3">#REF!</definedName>
    <definedName name="DIRPMECHG1">#REF!</definedName>
    <definedName name="DIRPMINDC">#REF!</definedName>
    <definedName name="DIRPMINEC">#REF!</definedName>
    <definedName name="DIRPOFKVA">#REF!</definedName>
    <definedName name="DIRPOFKW">#REF!</definedName>
    <definedName name="DIRPOFKWH">#REF!</definedName>
    <definedName name="DIRPOPKWH">#REF!</definedName>
    <definedName name="DIRPP1EC">#REF!</definedName>
    <definedName name="DIRPP2EC">#REF!</definedName>
    <definedName name="DIRPP3EC">#REF!</definedName>
    <definedName name="DIRPP4EC">#REF!</definedName>
    <definedName name="DIRPP5EC">#REF!</definedName>
    <definedName name="DIRPRCHG">#REF!</definedName>
    <definedName name="DisBlkKwhChg1">#REF!</definedName>
    <definedName name="DisBlkKwhChg2">#REF!</definedName>
    <definedName name="DisBlkKwhChg3">#REF!</definedName>
    <definedName name="DisBlkKwhChgT">#REF!</definedName>
    <definedName name="DisCustChg">#REF!</definedName>
    <definedName name="DisDmdChg1">#REF!</definedName>
    <definedName name="DisDmdChg2">#REF!</definedName>
    <definedName name="DisMEChg">#REF!</definedName>
    <definedName name="DisMinDChg">#REF!</definedName>
    <definedName name="DisMinEChg">#REF!</definedName>
    <definedName name="DisOffPkKwh">#REF!</definedName>
    <definedName name="DisOnPkKwh">#REF!</definedName>
    <definedName name="DisPL1Chg">#REF!</definedName>
    <definedName name="DisPL2Chg">#REF!</definedName>
    <definedName name="DisPL3Chg">#REF!</definedName>
    <definedName name="DisPL4Chg">#REF!</definedName>
    <definedName name="DisPL5Chg">#REF!</definedName>
    <definedName name="DisReactiveChg">#REF!</definedName>
    <definedName name="DisXOfpKvaChg">#REF!</definedName>
    <definedName name="DisXOfpKwChg">#REF!</definedName>
    <definedName name="DSTCCHG">#REF!</definedName>
    <definedName name="DSTDCHG1">#REF!</definedName>
    <definedName name="DSTDCHG2">#REF!</definedName>
    <definedName name="DSTECHG1">#REF!</definedName>
    <definedName name="DSTECHGB1">#REF!</definedName>
    <definedName name="DSTECHGB2">#REF!</definedName>
    <definedName name="DSTECHGB3">#REF!</definedName>
    <definedName name="DSTMECHG1">#REF!</definedName>
    <definedName name="DSTMINDC">#REF!</definedName>
    <definedName name="DSTMINEC">#REF!</definedName>
    <definedName name="DSTOFKWH">#REF!</definedName>
    <definedName name="DSTOPKWH">#REF!</definedName>
    <definedName name="DSTP1EC">#REF!</definedName>
    <definedName name="DSTP2EC">#REF!</definedName>
    <definedName name="DSTP3EC">#REF!</definedName>
    <definedName name="DSTP4EC">#REF!</definedName>
    <definedName name="DSTP5EC">#REF!</definedName>
    <definedName name="DSTRCHG">#REF!</definedName>
    <definedName name="DSTXOFKVA">#REF!</definedName>
    <definedName name="DSTXOFKW">#REF!</definedName>
    <definedName name="EDRBASE">#REF!</definedName>
    <definedName name="EDRDATE">#REF!</definedName>
    <definedName name="EDRDSCNT">#REF!</definedName>
    <definedName name="EDRLVLPCT">#REF!</definedName>
    <definedName name="EDRTYPE">#REF!</definedName>
    <definedName name="EffDate">#REF!</definedName>
    <definedName name="ELKMCGN1">#REF!</definedName>
    <definedName name="ELKMCGN2">#REF!</definedName>
    <definedName name="ENDDTM">#REF!</definedName>
    <definedName name="ENDTIME">#REF!</definedName>
    <definedName name="EstExcessAmt">#REF!</definedName>
    <definedName name="EstGrTaxAmt">#REF!</definedName>
    <definedName name="EstKWHExcess">#REF!</definedName>
    <definedName name="EstKWHNotUsed">#REF!</definedName>
    <definedName name="EstKWHRes">#REF!</definedName>
    <definedName name="EstKWHSubTot">#REF!</definedName>
    <definedName name="EstKWHTot">#REF!</definedName>
    <definedName name="EstNotUsedAmt">#REF!</definedName>
    <definedName name="EstResAmt">#REF!</definedName>
    <definedName name="EstSubTotAmt">#REF!</definedName>
    <definedName name="EstTotAmt">#REF!</definedName>
    <definedName name="EXCSKVACHG">#REF!</definedName>
    <definedName name="EXCSKVADMND">#REF!</definedName>
    <definedName name="EXCSKVAR">#REF!</definedName>
    <definedName name="FIRMKWH">#REF!</definedName>
    <definedName name="FIRSTDAY">#REF!</definedName>
    <definedName name="FRMCPCT">#REF!</definedName>
    <definedName name="FUELCHG">#REF!</definedName>
    <definedName name="FUELRATE">#REF!</definedName>
    <definedName name="GenBlkKwhChg1">#REF!</definedName>
    <definedName name="GenBlkKwhChg2">#REF!</definedName>
    <definedName name="GenBlkKwhChg3">#REF!</definedName>
    <definedName name="GenBlkKwhChgT">#REF!</definedName>
    <definedName name="GENCCHG">#REF!</definedName>
    <definedName name="GenCustChg">#REF!</definedName>
    <definedName name="GENDCHG1">#REF!</definedName>
    <definedName name="GENDCHG2">#REF!</definedName>
    <definedName name="GenDmdChg1">#REF!</definedName>
    <definedName name="GenDmdChg2">#REF!</definedName>
    <definedName name="GENECHG1">#REF!</definedName>
    <definedName name="GENECHGB1">#REF!</definedName>
    <definedName name="GENECHGB2">#REF!</definedName>
    <definedName name="GENECHGB3">#REF!</definedName>
    <definedName name="GenMEChg">#REF!</definedName>
    <definedName name="GENMECHG1">#REF!</definedName>
    <definedName name="GENMINDC">#REF!</definedName>
    <definedName name="GenMinDChg">#REF!</definedName>
    <definedName name="GENMINEC">#REF!</definedName>
    <definedName name="GenMinEChg">#REF!</definedName>
    <definedName name="GenOffPkKwh">#REF!</definedName>
    <definedName name="GENOFKWH">#REF!</definedName>
    <definedName name="GenOnPkKwh">#REF!</definedName>
    <definedName name="GENOPKWH">#REF!</definedName>
    <definedName name="GENP1EC">#REF!</definedName>
    <definedName name="GENP2EC">#REF!</definedName>
    <definedName name="GENP3EC">#REF!</definedName>
    <definedName name="GENP4EC">#REF!</definedName>
    <definedName name="GENP5EC">#REF!</definedName>
    <definedName name="GenPL1Chg">#REF!</definedName>
    <definedName name="GenPL2Chg">#REF!</definedName>
    <definedName name="GenPL3Chg">#REF!</definedName>
    <definedName name="GenPL4Chg">#REF!</definedName>
    <definedName name="GenPL5Chg">#REF!</definedName>
    <definedName name="GENRCHG">#REF!</definedName>
    <definedName name="GenReactiveChg">#REF!</definedName>
    <definedName name="GENXOFKVA">#REF!</definedName>
    <definedName name="GENXOFKW">#REF!</definedName>
    <definedName name="GenXOfpKvaChg">#REF!</definedName>
    <definedName name="GenXOfpKwChg">#REF!</definedName>
    <definedName name="GIRPCCHG">#REF!</definedName>
    <definedName name="GIRPDCHG1">#REF!</definedName>
    <definedName name="GIRPDCHG2">#REF!</definedName>
    <definedName name="GIRPECHG1">#REF!</definedName>
    <definedName name="GIRPECHGB1">#REF!</definedName>
    <definedName name="GIRPECHGB2">#REF!</definedName>
    <definedName name="GIRPECHGB3">#REF!</definedName>
    <definedName name="GIRPMECHG1">#REF!</definedName>
    <definedName name="GIRPMINDC">#REF!</definedName>
    <definedName name="GIRPMINEC">#REF!</definedName>
    <definedName name="GIRPOFKVA">#REF!</definedName>
    <definedName name="GIRPOFKW">#REF!</definedName>
    <definedName name="GIRPOFKWH">#REF!</definedName>
    <definedName name="GIRPOPKWH">#REF!</definedName>
    <definedName name="GIRPP1EC">#REF!</definedName>
    <definedName name="GIRPP2EC">#REF!</definedName>
    <definedName name="GIRPP3EC">#REF!</definedName>
    <definedName name="GIRPP4EC">#REF!</definedName>
    <definedName name="GIRPP5EC">#REF!</definedName>
    <definedName name="GIRPRCHG">#REF!</definedName>
    <definedName name="HIPREKW">#REF!</definedName>
    <definedName name="HRCRDKW">#REF!</definedName>
    <definedName name="HRCRDKWDT">#REF!</definedName>
    <definedName name="HRCRDKWTM">#REF!</definedName>
    <definedName name="HROFPKDT">#REF!</definedName>
    <definedName name="HROFPKKW">#REF!</definedName>
    <definedName name="HROFPKTM">#REF!</definedName>
    <definedName name="HRONPKDT">#REF!</definedName>
    <definedName name="HRONPKKW">#REF!</definedName>
    <definedName name="HRONPKTM">#REF!</definedName>
    <definedName name="IMCO">#REF!</definedName>
    <definedName name="InterruptCapacity">#REF!</definedName>
    <definedName name="InterruptOfpCapacity">#REF!</definedName>
    <definedName name="InterruptType">#REF!</definedName>
    <definedName name="INTRPBLCAP">#REF!</definedName>
    <definedName name="Invdetails">#REF!</definedName>
    <definedName name="KWCHG">#REF!</definedName>
    <definedName name="KWH1NOCMM">#REF!</definedName>
    <definedName name="KWH3NOCMM">#REF!</definedName>
    <definedName name="KWHCHG">#REF!</definedName>
    <definedName name="LASTDAY">#REF!</definedName>
    <definedName name="LASTFUEL">#REF!</definedName>
    <definedName name="LASTMSRR">#REF!</definedName>
    <definedName name="LASTPFCC">#REF!</definedName>
    <definedName name="LDFCTR">#REF!</definedName>
    <definedName name="LRCREDIT">#REF!</definedName>
    <definedName name="MACC1">#REF!</definedName>
    <definedName name="MACC2">#REF!</definedName>
    <definedName name="MAINTHRSCRMO">#REF!</definedName>
    <definedName name="MAINTKWH">#REF!</definedName>
    <definedName name="MinBillDem">#REF!</definedName>
    <definedName name="MinBillDem2">#REF!</definedName>
    <definedName name="MinBillDmd">#REF!</definedName>
    <definedName name="MSRRBLD">#REF!</definedName>
    <definedName name="MSRRCHG">#REF!</definedName>
    <definedName name="MTRMLTPLR1">#REF!</definedName>
    <definedName name="MTRMLTPLR2">#REF!</definedName>
    <definedName name="NETMRGCHG">#REF!</definedName>
    <definedName name="NODAYSINPRD">#REF!</definedName>
    <definedName name="NODELPOINTS">#REF!</definedName>
    <definedName name="NP_h1">#REF!</definedName>
    <definedName name="NvsASD">"V2006-12-31"</definedName>
    <definedName name="NvsAutoDrillOk">"VN"</definedName>
    <definedName name="NvsElapsedTime">0.000231481484661344</definedName>
    <definedName name="NvsEndTime">39091.5909490741</definedName>
    <definedName name="NvsInstLang">"VENG"</definedName>
    <definedName name="NvsInstSpec">"%"</definedName>
    <definedName name="NvsInstSpec1">","</definedName>
    <definedName name="NvsInstSpec2">","</definedName>
    <definedName name="NvsInstSpec3">","</definedName>
    <definedName name="NvsInstSpec4">","</definedName>
    <definedName name="NvsInstSpec5">","</definedName>
    <definedName name="NvsInstSpec6">","</definedName>
    <definedName name="NvsInstSpec7">","</definedName>
    <definedName name="NvsInstSpec8">","</definedName>
    <definedName name="NvsInstSpec9">","</definedName>
    <definedName name="NvsLayoutType">"M3"</definedName>
    <definedName name="NvsNplSpec">"%,X,RZF..,CNF.."</definedName>
    <definedName name="NvsPanelBusUnit">"V100"</definedName>
    <definedName name="NvsPanelEffdt">"V2004-06-30"</definedName>
    <definedName name="NvsPanelSetid">"VAEP"</definedName>
    <definedName name="NvsReqBU">"VX999"</definedName>
    <definedName name="NvsReqBUOnly">"VN"</definedName>
    <definedName name="NvsTransLed">"VN"</definedName>
    <definedName name="NvsTreeASD">"V2099-01-01"</definedName>
    <definedName name="NvsValTbl.ACCOUNT">"GL_ACCOUNT_TBL"</definedName>
    <definedName name="NvsValTbl.AEP_STATE_JURIS">"AEP_ST_JD_TBL"</definedName>
    <definedName name="NvsValTbl.CURRENCY_CD">"CURRENCY_CD_TBL"</definedName>
    <definedName name="OFPCBLKW">#REF!</definedName>
    <definedName name="OFPKBILLKWH">#REF!</definedName>
    <definedName name="OFPKCGNKWH">#REF!</definedName>
    <definedName name="OFPKCNTRCTCPCT">#REF!</definedName>
    <definedName name="OFPKDMPKWH">#REF!</definedName>
    <definedName name="OFPKDSCRKWH">#REF!</definedName>
    <definedName name="OFPKDT">#REF!</definedName>
    <definedName name="OFPKEXCSKW">#REF!</definedName>
    <definedName name="OFPKINCRKWH">#REF!</definedName>
    <definedName name="OFPKKVADT">#REF!</definedName>
    <definedName name="OFPKKVATM">#REF!</definedName>
    <definedName name="OFPKKVW">#REF!</definedName>
    <definedName name="OFPKKW">#REF!</definedName>
    <definedName name="OFPKKWH1NOCMM">#REF!</definedName>
    <definedName name="OFPKKWH3NOCMM">#REF!</definedName>
    <definedName name="OFPKRCRDKWH">#REF!</definedName>
    <definedName name="OFPKTM">#REF!</definedName>
    <definedName name="OFPXCSKW">#REF!</definedName>
    <definedName name="OFPXCSKWDT">#REF!</definedName>
    <definedName name="OFPXCSKWH">#REF!</definedName>
    <definedName name="OFPXCSKWTM">#REF!</definedName>
    <definedName name="ONPKBILLKWH">#REF!</definedName>
    <definedName name="ONPKCAPB">#REF!</definedName>
    <definedName name="ONPKCGNKWH">#REF!</definedName>
    <definedName name="ONPKCNTRCTCPCT">#REF!</definedName>
    <definedName name="ONPKDMPKWH">#REF!</definedName>
    <definedName name="ONPKDSCRKWH">#REF!</definedName>
    <definedName name="ONPKDT">#REF!</definedName>
    <definedName name="ONPKINCRKWH">#REF!</definedName>
    <definedName name="ONPKKVA">#REF!</definedName>
    <definedName name="ONPKKVADT">#REF!</definedName>
    <definedName name="ONPKKVATM">#REF!</definedName>
    <definedName name="ONPKKW">#REF!</definedName>
    <definedName name="ONPKKWH1NOCMM">#REF!</definedName>
    <definedName name="ONPKKWH3NOCMM">#REF!</definedName>
    <definedName name="ONPKRCRDKWH">#REF!</definedName>
    <definedName name="ONPKTM">#REF!</definedName>
    <definedName name="OPCBLKW">#REF!</definedName>
    <definedName name="OPCO">#REF!</definedName>
    <definedName name="OPXCSKW">#REF!</definedName>
    <definedName name="OPXCSKWDT">#REF!</definedName>
    <definedName name="OPXCSKWH">#REF!</definedName>
    <definedName name="OPXCSKWTM">#REF!</definedName>
    <definedName name="OTHRTRNSKWH">#REF!</definedName>
    <definedName name="P1PENPERC">#REF!</definedName>
    <definedName name="P2PENPERC">#REF!</definedName>
    <definedName name="PeakDemandChg">#REF!</definedName>
    <definedName name="PenaltyDays">#REF!</definedName>
    <definedName name="PenaltyPct">#REF!</definedName>
    <definedName name="PENDAYS">#REF!</definedName>
    <definedName name="PENDAYS2">#REF!</definedName>
    <definedName name="PFCC">#REF!</definedName>
    <definedName name="PKKVAR">#REF!</definedName>
    <definedName name="PKKVARDATE">#REF!</definedName>
    <definedName name="PKKVARTIME">#REF!</definedName>
    <definedName name="PLVLKWH1">#REF!</definedName>
    <definedName name="PLVLKWH1A">#REF!</definedName>
    <definedName name="PLVLKWH2">#REF!</definedName>
    <definedName name="PLVLKWH23A">#REF!</definedName>
    <definedName name="PLVLKWH25">#REF!</definedName>
    <definedName name="PLVLKWH2A">#REF!</definedName>
    <definedName name="PLVLKWH3">#REF!</definedName>
    <definedName name="PLVLKWH3A">#REF!</definedName>
    <definedName name="PLVLKWH4">#REF!</definedName>
    <definedName name="PLVLKWH4A">#REF!</definedName>
    <definedName name="PRICEDESIG">#REF!</definedName>
    <definedName name="PriMoAddr1">#REF!</definedName>
    <definedName name="PriMoAddr2">#REF!</definedName>
    <definedName name="PriMoBTDetail">#REF!</definedName>
    <definedName name="PriMoBuyThrgh_Sheet">#REF!</definedName>
    <definedName name="PriMoCityStZip">#REF!</definedName>
    <definedName name="PriMoCustName">#REF!</definedName>
    <definedName name="PriMoMtrMult">#REF!</definedName>
    <definedName name="_xlnm.Print_Area" localSheetId="3">S.001!$A$1:$P$165</definedName>
    <definedName name="_xlnm.Print_Area" localSheetId="4">S.002!$A$1:$P$165</definedName>
    <definedName name="_xlnm.Print_Area" localSheetId="5">S.003!$A$1:$P$165</definedName>
    <definedName name="_xlnm.Print_Area" localSheetId="6">S.004!$A$1:$P$165</definedName>
    <definedName name="_xlnm.Print_Area" localSheetId="7">S.005!$A$1:$P$165</definedName>
    <definedName name="_xlnm.Print_Area" localSheetId="8">S.006!$A$1:$P$165</definedName>
    <definedName name="_xlnm.Print_Area" localSheetId="9">S.007!$A$1:$P$165</definedName>
    <definedName name="_xlnm.Print_Area" localSheetId="10">S.008!$A$1:$P$165</definedName>
    <definedName name="_xlnm.Print_Area" localSheetId="11">S.009!$A$1:$P$165</definedName>
    <definedName name="_xlnm.Print_Area" localSheetId="12">S.010!$A$1:$P$165</definedName>
    <definedName name="_xlnm.Print_Area" localSheetId="13">S.011!$A$1:$P$165</definedName>
    <definedName name="_xlnm.Print_Area" localSheetId="14">S.012!$A$1:$P$165</definedName>
    <definedName name="_xlnm.Print_Area" localSheetId="15">S.013!$A$1:$P$165</definedName>
    <definedName name="_xlnm.Print_Area" localSheetId="16">S.014!$A$1:$P$165</definedName>
    <definedName name="_xlnm.Print_Area" localSheetId="17">S.015!$A$1:$P$165</definedName>
    <definedName name="_xlnm.Print_Area" localSheetId="18">S.016!$A$1:$P$165</definedName>
    <definedName name="_xlnm.Print_Area" localSheetId="19">S.017!$A$1:$P$165</definedName>
    <definedName name="_xlnm.Print_Area" localSheetId="20">S.018!$A$1:$P$165</definedName>
    <definedName name="_xlnm.Print_Area" localSheetId="21">S.019!$A$1:$P$165</definedName>
    <definedName name="_xlnm.Print_Area" localSheetId="22">S.020!$A$1:$P$165</definedName>
    <definedName name="_xlnm.Print_Area" localSheetId="23">S.021!$A$1:$P$165</definedName>
    <definedName name="_xlnm.Print_Area" localSheetId="24">S.022!$A$1:$P$165</definedName>
    <definedName name="_xlnm.Print_Area" localSheetId="25">S.023!$A$1:$P$165</definedName>
    <definedName name="_xlnm.Print_Area" localSheetId="26">S.024!$A$1:$P$165</definedName>
    <definedName name="_xlnm.Print_Area" localSheetId="27">S.025!$A$1:$P$165</definedName>
    <definedName name="_xlnm.Print_Area" localSheetId="28">S.026!$A$1:$P$165</definedName>
    <definedName name="_xlnm.Print_Area" localSheetId="29">S.027!$A$1:$P$165</definedName>
    <definedName name="_xlnm.Print_Area" localSheetId="30">S.028!$A$1:$P$165</definedName>
    <definedName name="_xlnm.Print_Area" localSheetId="31">S.029!$A$1:$P$165</definedName>
    <definedName name="_xlnm.Print_Area" localSheetId="32">S.030!$A$1:$P$165</definedName>
    <definedName name="_xlnm.Print_Area" localSheetId="33">S.031!$A$1:$P$165</definedName>
    <definedName name="_xlnm.Print_Area" localSheetId="34">S.032!$A$1:$P$165</definedName>
    <definedName name="_xlnm.Print_Area" localSheetId="35">S.033!$A$1:$P$165</definedName>
    <definedName name="_xlnm.Print_Area" localSheetId="36">S.034!$A$1:$P$165</definedName>
    <definedName name="_xlnm.Print_Area" localSheetId="37">S.035!$A$1:$P$165</definedName>
    <definedName name="_xlnm.Print_Area" localSheetId="38">S.036!$A$1:$P$165</definedName>
    <definedName name="_xlnm.Print_Area" localSheetId="39">S.037!$A$1:$P$165</definedName>
    <definedName name="_xlnm.Print_Area" localSheetId="40">S.038!$A$1:$P$165</definedName>
    <definedName name="_xlnm.Print_Area" localSheetId="41">S.039!$A$1:$P$165</definedName>
    <definedName name="_xlnm.Print_Area" localSheetId="42">S.040!$A$1:$P$165</definedName>
    <definedName name="_xlnm.Print_Area" localSheetId="43">S.041!$A$1:$P$165</definedName>
    <definedName name="_xlnm.Print_Area" localSheetId="44">S.042!$A$1:$P$165</definedName>
    <definedName name="_xlnm.Print_Area" localSheetId="45">S.043!$A$1:$P$165</definedName>
    <definedName name="_xlnm.Print_Area" localSheetId="46">S.044!$A$1:$P$165</definedName>
    <definedName name="_xlnm.Print_Area" localSheetId="47">S.045!$A$1:$P$165</definedName>
    <definedName name="_xlnm.Print_Area" localSheetId="48">S.046!$A$1:$P$165</definedName>
    <definedName name="_xlnm.Print_Area" localSheetId="49">S.047!$A$1:$P$165</definedName>
    <definedName name="_xlnm.Print_Area" localSheetId="50">S.048!$A$1:$P$165</definedName>
    <definedName name="_xlnm.Print_Area" localSheetId="51">S.049!$A$1:$P$165</definedName>
    <definedName name="_xlnm.Print_Area" localSheetId="52">S.050!$A$1:$P$165</definedName>
    <definedName name="_xlnm.Print_Area" localSheetId="53">S.051!$A$1:$P$165</definedName>
    <definedName name="_xlnm.Print_Area" localSheetId="54">S.052!$A$1:$P$165</definedName>
    <definedName name="_xlnm.Print_Area" localSheetId="55">S.053!$A$1:$P$165</definedName>
    <definedName name="_xlnm.Print_Area" localSheetId="56">S.054!$A$1:$P$165</definedName>
    <definedName name="_xlnm.Print_Area" localSheetId="57">S.055!$A$1:$P$165</definedName>
    <definedName name="_xlnm.Print_Area" localSheetId="58">S.056!$A$1:$P$165</definedName>
    <definedName name="_xlnm.Print_Area" localSheetId="59">S.057!$A$1:$P$165</definedName>
    <definedName name="_xlnm.Print_Area" localSheetId="60">S.058!$A$1:$P$165</definedName>
    <definedName name="_xlnm.Print_Area" localSheetId="61">S.059!$A$1:$P$165</definedName>
    <definedName name="_xlnm.Print_Area" localSheetId="62">S.060!$A$1:$P$165</definedName>
    <definedName name="_xlnm.Print_Area" localSheetId="63">S.061!$A$1:$P$165</definedName>
    <definedName name="_xlnm.Print_Area" localSheetId="64">S.062!$A$1:$P$165</definedName>
    <definedName name="_xlnm.Print_Area" localSheetId="65">S.063!$A$1:$P$165</definedName>
    <definedName name="_xlnm.Print_Area" localSheetId="66">S.064!$A$1:$P$165</definedName>
    <definedName name="_xlnm.Print_Area" localSheetId="67">S.065!$A$1:$P$165</definedName>
    <definedName name="_xlnm.Print_Area" localSheetId="68">S.066!$A$1:$P$165</definedName>
    <definedName name="_xlnm.Print_Area" localSheetId="69">S.067!$A$1:$P$165</definedName>
    <definedName name="_xlnm.Print_Area" localSheetId="70">S.068!$A$1:$P$165</definedName>
    <definedName name="_xlnm.Print_Area" localSheetId="71">S.069!$A$1:$P$165</definedName>
    <definedName name="_xlnm.Print_Area" localSheetId="72">S.070!$A$1:$P$165</definedName>
    <definedName name="_xlnm.Print_Area" localSheetId="73">S.071!$A$1:$P$165</definedName>
    <definedName name="_xlnm.Print_Area" localSheetId="76">'S.xyz - blank'!$A$1:$P$165</definedName>
    <definedName name="_xlnm.Print_Area" localSheetId="0">SWE.Sch.11.Rates!$A$1:$T$95</definedName>
    <definedName name="_xlnm.Print_Area" localSheetId="1">SWE.WS.F.BPU.ATRR.Projected!$A$1:$N$87</definedName>
    <definedName name="_xlnm.Print_Area" localSheetId="2">'SWE.WS.G.BPU.ATRR.True-up'!$A$1:$P$95</definedName>
    <definedName name="_xlnm.Print_Titles" localSheetId="36">S.034!#REF!</definedName>
    <definedName name="_xlnm.Print_Titles" localSheetId="37">S.035!#REF!</definedName>
    <definedName name="_xlnm.Print_Titles" localSheetId="38">S.036!#REF!</definedName>
    <definedName name="_xlnm.Print_Titles" localSheetId="39">S.037!#REF!</definedName>
    <definedName name="_xlnm.Print_Titles" localSheetId="40">S.038!#REF!</definedName>
    <definedName name="_xlnm.Print_Titles" localSheetId="41">S.039!#REF!</definedName>
    <definedName name="_xlnm.Print_Titles" localSheetId="42">S.040!#REF!</definedName>
    <definedName name="_xlnm.Print_Titles" localSheetId="43">S.041!#REF!</definedName>
    <definedName name="_xlnm.Print_Titles" localSheetId="44">S.042!#REF!</definedName>
    <definedName name="_xlnm.Print_Titles" localSheetId="45">S.043!#REF!</definedName>
    <definedName name="_xlnm.Print_Titles" localSheetId="46">S.044!#REF!</definedName>
    <definedName name="_xlnm.Print_Titles" localSheetId="47">S.045!#REF!</definedName>
    <definedName name="_xlnm.Print_Titles" localSheetId="48">S.046!#REF!</definedName>
    <definedName name="_xlnm.Print_Titles" localSheetId="49">S.047!#REF!</definedName>
    <definedName name="_xlnm.Print_Titles" localSheetId="50">S.048!#REF!</definedName>
    <definedName name="_xlnm.Print_Titles" localSheetId="51">S.049!#REF!</definedName>
    <definedName name="_xlnm.Print_Titles" localSheetId="52">S.050!#REF!</definedName>
    <definedName name="_xlnm.Print_Titles" localSheetId="53">S.051!#REF!</definedName>
    <definedName name="_xlnm.Print_Titles" localSheetId="54">S.052!#REF!</definedName>
    <definedName name="_xlnm.Print_Titles" localSheetId="55">S.053!#REF!</definedName>
    <definedName name="_xlnm.Print_Titles" localSheetId="56">S.054!#REF!</definedName>
    <definedName name="_xlnm.Print_Titles" localSheetId="57">S.055!#REF!</definedName>
    <definedName name="_xlnm.Print_Titles" localSheetId="58">S.056!#REF!</definedName>
    <definedName name="_xlnm.Print_Titles" localSheetId="59">S.057!#REF!</definedName>
    <definedName name="_xlnm.Print_Titles" localSheetId="60">S.058!#REF!</definedName>
    <definedName name="_xlnm.Print_Titles" localSheetId="61">S.059!#REF!</definedName>
    <definedName name="_xlnm.Print_Titles" localSheetId="62">S.060!#REF!</definedName>
    <definedName name="_xlnm.Print_Titles" localSheetId="63">S.061!#REF!</definedName>
    <definedName name="_xlnm.Print_Titles" localSheetId="64">S.062!#REF!</definedName>
    <definedName name="_xlnm.Print_Titles" localSheetId="65">S.063!#REF!</definedName>
    <definedName name="_xlnm.Print_Titles" localSheetId="66">S.064!#REF!</definedName>
    <definedName name="_xlnm.Print_Titles" localSheetId="67">S.065!#REF!</definedName>
    <definedName name="_xlnm.Print_Titles" localSheetId="68">S.066!#REF!</definedName>
    <definedName name="_xlnm.Print_Titles" localSheetId="69">S.067!#REF!</definedName>
    <definedName name="_xlnm.Print_Titles" localSheetId="70">S.068!#REF!</definedName>
    <definedName name="_xlnm.Print_Titles" localSheetId="71">S.069!#REF!</definedName>
    <definedName name="_xlnm.Print_Titles" localSheetId="72">S.070!#REF!</definedName>
    <definedName name="_xlnm.Print_Titles" localSheetId="76">'S.xyz - blank'!#REF!</definedName>
    <definedName name="_xlnm.Print_Titles" localSheetId="0">SWE.Sch.11.Rates!$1:$17</definedName>
    <definedName name="_xlnm.Print_Titles" localSheetId="1">SWE.WS.F.BPU.ATRR.Projected!$1:$4</definedName>
    <definedName name="_xlnm.Print_Titles" localSheetId="2">'SWE.WS.G.BPU.ATRR.True-up'!$1:$4</definedName>
    <definedName name="PRVCNT">#REF!</definedName>
    <definedName name="PRVDATE">#REF!</definedName>
    <definedName name="PRVFUEL">#REF!</definedName>
    <definedName name="PRVKW">#REF!</definedName>
    <definedName name="PRVKWH">#REF!</definedName>
    <definedName name="PRVMSRR">#REF!</definedName>
    <definedName name="PRVPFCC">#REF!</definedName>
    <definedName name="PSOallocatorsP">#REF!</definedName>
    <definedName name="PVHIOFPCBL">#REF!</definedName>
    <definedName name="PVHIOPCBL">#REF!</definedName>
    <definedName name="RatchetFactor">#REF!</definedName>
    <definedName name="RCRDRID">#REF!</definedName>
    <definedName name="RCTVHRS">#REF!</definedName>
    <definedName name="RDRBLK1C">#REF!</definedName>
    <definedName name="RDRBLK1Q">#REF!</definedName>
    <definedName name="RDRBLK2C">#REF!</definedName>
    <definedName name="RDRBLK2Q">#REF!</definedName>
    <definedName name="RDRBLK3C">#REF!</definedName>
    <definedName name="RDRBLK3Q">#REF!</definedName>
    <definedName name="RDRBLKTC">#REF!</definedName>
    <definedName name="RDRBLKTC1">#REF!</definedName>
    <definedName name="RDRBLKTC10">#REF!</definedName>
    <definedName name="RDRBLKTC11">#REF!</definedName>
    <definedName name="RDRBLKTC12">#REF!</definedName>
    <definedName name="RDRBLKTC13">#REF!</definedName>
    <definedName name="RDRBLKTC14">#REF!</definedName>
    <definedName name="RDRBLKTC15">#REF!</definedName>
    <definedName name="RDRBLKTC16">#REF!</definedName>
    <definedName name="RDRBLKTC17">#REF!</definedName>
    <definedName name="RDRBLKTC18">#REF!</definedName>
    <definedName name="RDRBLKTC19">#REF!</definedName>
    <definedName name="RDRBLKTC2">#REF!</definedName>
    <definedName name="RDRBLKTC20">#REF!</definedName>
    <definedName name="RDRBLKTC3">#REF!</definedName>
    <definedName name="RDRBLKTC4">#REF!</definedName>
    <definedName name="RDRBLKTC5">#REF!</definedName>
    <definedName name="RDRBLKTC6">#REF!</definedName>
    <definedName name="RDRBLKTC7">#REF!</definedName>
    <definedName name="RDRBLKTC8">#REF!</definedName>
    <definedName name="RDRBLKTC9">#REF!</definedName>
    <definedName name="RDRBLKTQ">#REF!</definedName>
    <definedName name="RDRCODE">#REF!</definedName>
    <definedName name="RDRCYCLE">#REF!</definedName>
    <definedName name="RDRDATE">#REF!</definedName>
    <definedName name="RDRNAME">#REF!</definedName>
    <definedName name="RDRRATEB">#REF!</definedName>
    <definedName name="RDRRATEB1">#REF!</definedName>
    <definedName name="RDRRATEB10">#REF!</definedName>
    <definedName name="RDRRATEB11">#REF!</definedName>
    <definedName name="RDRRATEB12">#REF!</definedName>
    <definedName name="RDRRATEB13">#REF!</definedName>
    <definedName name="RDRRATEB14">#REF!</definedName>
    <definedName name="RDRRATEB15">#REF!</definedName>
    <definedName name="RDRRATEB16">#REF!</definedName>
    <definedName name="RDRRATEB17">#REF!</definedName>
    <definedName name="RDRRATEB18">#REF!</definedName>
    <definedName name="RDRRATEB19">#REF!</definedName>
    <definedName name="RDRRATEB2">#REF!</definedName>
    <definedName name="RDRRATEB20">#REF!</definedName>
    <definedName name="RDRRATEB3">#REF!</definedName>
    <definedName name="RDRRATEB4">#REF!</definedName>
    <definedName name="RDRRATEB5">#REF!</definedName>
    <definedName name="RDRRATEB6">#REF!</definedName>
    <definedName name="RDRRATEB7">#REF!</definedName>
    <definedName name="RDRRATEB8">#REF!</definedName>
    <definedName name="RDRRATEB9">#REF!</definedName>
    <definedName name="RDRRATED">#REF!</definedName>
    <definedName name="RDRRATED1">#REF!</definedName>
    <definedName name="RDRRATED10">#REF!</definedName>
    <definedName name="RDRRATED11">#REF!</definedName>
    <definedName name="RDRRATED12">#REF!</definedName>
    <definedName name="RDRRATED13">#REF!</definedName>
    <definedName name="RDRRATED14">#REF!</definedName>
    <definedName name="RDRRATED15">#REF!</definedName>
    <definedName name="RDRRATED16">#REF!</definedName>
    <definedName name="RDRRATED17">#REF!</definedName>
    <definedName name="RDRRATED18">#REF!</definedName>
    <definedName name="RDRRATED19">#REF!</definedName>
    <definedName name="RDRRATED2">#REF!</definedName>
    <definedName name="RDRRATED20">#REF!</definedName>
    <definedName name="RDRRATED3">#REF!</definedName>
    <definedName name="RDRRATED4">#REF!</definedName>
    <definedName name="RDRRATED5">#REF!</definedName>
    <definedName name="RDRRATED6">#REF!</definedName>
    <definedName name="RDRRATED7">#REF!</definedName>
    <definedName name="RDRRATED8">#REF!</definedName>
    <definedName name="RDRRATED9">#REF!</definedName>
    <definedName name="RDRRATEG">#REF!</definedName>
    <definedName name="RDRRATEG1">#REF!</definedName>
    <definedName name="RDRRATEG10">#REF!</definedName>
    <definedName name="RDRRATEG11">#REF!</definedName>
    <definedName name="RDRRATEG12">#REF!</definedName>
    <definedName name="RDRRATEG13">#REF!</definedName>
    <definedName name="RDRRATEG14">#REF!</definedName>
    <definedName name="RDRRATEG15">#REF!</definedName>
    <definedName name="RDRRATEG16">#REF!</definedName>
    <definedName name="RDRRATEG17">#REF!</definedName>
    <definedName name="RDRRATEG18">#REF!</definedName>
    <definedName name="RDRRATEG19">#REF!</definedName>
    <definedName name="RDRRATEG2">#REF!</definedName>
    <definedName name="RDRRATEG20">#REF!</definedName>
    <definedName name="RDRRATEG3">#REF!</definedName>
    <definedName name="RDRRATEG4">#REF!</definedName>
    <definedName name="RDRRATEG5">#REF!</definedName>
    <definedName name="RDRRATEG6">#REF!</definedName>
    <definedName name="RDRRATEG7">#REF!</definedName>
    <definedName name="RDRRATEG8">#REF!</definedName>
    <definedName name="RDRRATEG9">#REF!</definedName>
    <definedName name="RDRRATET">#REF!</definedName>
    <definedName name="RDRRATET1">#REF!</definedName>
    <definedName name="RDRRATET10">#REF!</definedName>
    <definedName name="RDRRATET11">#REF!</definedName>
    <definedName name="RDRRATET12">#REF!</definedName>
    <definedName name="RDRRATET13">#REF!</definedName>
    <definedName name="RDRRATET14">#REF!</definedName>
    <definedName name="RDRRATET15">#REF!</definedName>
    <definedName name="RDRRATET16">#REF!</definedName>
    <definedName name="RDRRATET17">#REF!</definedName>
    <definedName name="RDRRATET18">#REF!</definedName>
    <definedName name="RDRRATET19">#REF!</definedName>
    <definedName name="RDRRATET2">#REF!</definedName>
    <definedName name="RDRRATET20">#REF!</definedName>
    <definedName name="RDRRATET3">#REF!</definedName>
    <definedName name="RDRRATET4">#REF!</definedName>
    <definedName name="RDRRATET5">#REF!</definedName>
    <definedName name="RDRRATET6">#REF!</definedName>
    <definedName name="RDRRATET7">#REF!</definedName>
    <definedName name="RDRRATET8">#REF!</definedName>
    <definedName name="RDRRATET9">#REF!</definedName>
    <definedName name="RDRTYPE">#REF!</definedName>
    <definedName name="RDRUNITS">#REF!</definedName>
    <definedName name="_xlnm.Recorder">#REF!</definedName>
    <definedName name="Reserved_Section">#REF!</definedName>
    <definedName name="RIDERS">#REF!</definedName>
    <definedName name="RKVAHRDNG">#REF!</definedName>
    <definedName name="RTCHTCNTRCTCPCT">#REF!</definedName>
    <definedName name="RTCHTFCTR">#REF!</definedName>
    <definedName name="RTCHTFCTR2">#REF!</definedName>
    <definedName name="RTCHTHIPREVKW">#REF!</definedName>
    <definedName name="RTP_Detail">#REF!</definedName>
    <definedName name="RTPLRKW">#REF!</definedName>
    <definedName name="SDI">#REF!</definedName>
    <definedName name="SHLDRPKKW">#REF!</definedName>
    <definedName name="SHLDRPKKWDT">#REF!</definedName>
    <definedName name="SHLDRPKKWTM">#REF!</definedName>
    <definedName name="SHRDTRNSKWH">#REF!</definedName>
    <definedName name="SRPLSKWH">#REF!</definedName>
    <definedName name="STARTDTM">#REF!</definedName>
    <definedName name="State">#REF!</definedName>
    <definedName name="STDKW">#REF!</definedName>
    <definedName name="STDKWDT">#REF!</definedName>
    <definedName name="STDKWTM">#REF!</definedName>
    <definedName name="STRTTIME">#REF!</definedName>
    <definedName name="SWPallocatorsH">#REF!</definedName>
    <definedName name="SWPallocatorsP">#REF!</definedName>
    <definedName name="SYSPKKW">#REF!</definedName>
    <definedName name="SYSPKKWDT">#REF!</definedName>
    <definedName name="SYSPKKWTM">#REF!</definedName>
    <definedName name="TARIFF1">#REF!</definedName>
    <definedName name="TARIFF2">#REF!</definedName>
    <definedName name="TariffCode">#REF!</definedName>
    <definedName name="TariffLongName">#REF!</definedName>
    <definedName name="TariffShortName">#REF!</definedName>
    <definedName name="TAXDATE">#REF!</definedName>
    <definedName name="TAXES">#REF!</definedName>
    <definedName name="TAXNAME">#REF!</definedName>
    <definedName name="TAXRATE">#REF!</definedName>
    <definedName name="TAXTYPE">#REF!</definedName>
    <definedName name="TCst">#REF!</definedName>
    <definedName name="TCst1">#REF!</definedName>
    <definedName name="TIRPCCHG">#REF!</definedName>
    <definedName name="TIRPDCHG1">#REF!</definedName>
    <definedName name="TIRPDCHG2">#REF!</definedName>
    <definedName name="TIRPECHG1">#REF!</definedName>
    <definedName name="TIRPECHGB1">#REF!</definedName>
    <definedName name="TIRPECHGB2">#REF!</definedName>
    <definedName name="TIRPECHGB3">#REF!</definedName>
    <definedName name="TIRPMECHG1">#REF!</definedName>
    <definedName name="TIRPMINDC">#REF!</definedName>
    <definedName name="TIRPMINEC">#REF!</definedName>
    <definedName name="TIRPOFKVA">#REF!</definedName>
    <definedName name="TIRPOFKW">#REF!</definedName>
    <definedName name="TIRPOFKWH">#REF!</definedName>
    <definedName name="TIRPOPKWH">#REF!</definedName>
    <definedName name="TIRPP1EC">#REF!</definedName>
    <definedName name="TIRPP2EC">#REF!</definedName>
    <definedName name="TIRPP3EC">#REF!</definedName>
    <definedName name="TIRPP4EC">#REF!</definedName>
    <definedName name="TIRPP5EC">#REF!</definedName>
    <definedName name="TIRPRCHG">#REF!</definedName>
    <definedName name="TLsFctr">#REF!</definedName>
    <definedName name="TRCRDKWH">#REF!</definedName>
    <definedName name="TRCRDKWH2P">#REF!</definedName>
    <definedName name="TRFDATE1">#REF!</definedName>
    <definedName name="TRFDATE2">#REF!</definedName>
    <definedName name="TRFNAME1">#REF!</definedName>
    <definedName name="TRFNAME2">#REF!</definedName>
    <definedName name="TRFSHORTNM1">#REF!</definedName>
    <definedName name="TRFSHORTNM2">#REF!</definedName>
    <definedName name="TrnBlkKwhChg1">#REF!</definedName>
    <definedName name="TrnBlkKwhChg2">#REF!</definedName>
    <definedName name="TrnBlkKwhChg3">#REF!</definedName>
    <definedName name="TrnBlkKwhChgT">#REF!</definedName>
    <definedName name="TRNCCHG">#REF!</definedName>
    <definedName name="TrnCustChg">#REF!</definedName>
    <definedName name="TRNDCHG1">#REF!</definedName>
    <definedName name="TRNDCHG2">#REF!</definedName>
    <definedName name="TrnDmdChg1">#REF!</definedName>
    <definedName name="TrnDmdChg2">#REF!</definedName>
    <definedName name="TRNECHG1">#REF!</definedName>
    <definedName name="TRNECHGB1">#REF!</definedName>
    <definedName name="TRNECHGB2">#REF!</definedName>
    <definedName name="TRNECHGB3">#REF!</definedName>
    <definedName name="TrnMEChg">#REF!</definedName>
    <definedName name="TRNMECHG1">#REF!</definedName>
    <definedName name="TRNMINDC">#REF!</definedName>
    <definedName name="TrnMinDChg">#REF!</definedName>
    <definedName name="TRNMINEC">#REF!</definedName>
    <definedName name="TrnMinEChg">#REF!</definedName>
    <definedName name="TrnOffPkKwh">#REF!</definedName>
    <definedName name="TRNOFKWH">#REF!</definedName>
    <definedName name="TrnOnPkKwh">#REF!</definedName>
    <definedName name="TRNOPKWH">#REF!</definedName>
    <definedName name="TRNP1EC">#REF!</definedName>
    <definedName name="TRNP2EC">#REF!</definedName>
    <definedName name="TRNP3EC">#REF!</definedName>
    <definedName name="TRNP4EC">#REF!</definedName>
    <definedName name="TRNP5EC">#REF!</definedName>
    <definedName name="TrnPL1Chg">#REF!</definedName>
    <definedName name="TrnPL2Chg">#REF!</definedName>
    <definedName name="TrnPL3Chg">#REF!</definedName>
    <definedName name="TrnPL4Chg">#REF!</definedName>
    <definedName name="TrnPL5Chg">#REF!</definedName>
    <definedName name="TRNRCHG">#REF!</definedName>
    <definedName name="TrnReactiveChg">#REF!</definedName>
    <definedName name="TRNSKWTOFPK">#REF!</definedName>
    <definedName name="TRNSKWTONPK">#REF!</definedName>
    <definedName name="TRNXOFKVA">#REF!</definedName>
    <definedName name="TRNXOFKW">#REF!</definedName>
    <definedName name="TrnXOfpKvaChg">#REF!</definedName>
    <definedName name="TrnXOfpKwChg">#REF!</definedName>
    <definedName name="TTLBSRATETTL">#REF!</definedName>
    <definedName name="TTLCOGENKWH">#REF!</definedName>
    <definedName name="UNBUNDIND">#REF!</definedName>
    <definedName name="Zip">#REF!</definedName>
  </definedNames>
  <calcPr calcId="162913"/>
</workbook>
</file>

<file path=xl/calcChain.xml><?xml version="1.0" encoding="utf-8"?>
<calcChain xmlns="http://schemas.openxmlformats.org/spreadsheetml/2006/main">
  <c r="W90" i="36" l="1"/>
  <c r="P90" i="36"/>
  <c r="W89" i="36"/>
  <c r="P89" i="36"/>
  <c r="P154" i="100"/>
  <c r="O154" i="100"/>
  <c r="M154" i="100"/>
  <c r="J154" i="100"/>
  <c r="P153" i="100"/>
  <c r="O153" i="100"/>
  <c r="M153" i="100"/>
  <c r="J153" i="100"/>
  <c r="P152" i="100"/>
  <c r="O152" i="100"/>
  <c r="M152" i="100"/>
  <c r="J152" i="100"/>
  <c r="P151" i="100"/>
  <c r="O151" i="100"/>
  <c r="M151" i="100"/>
  <c r="J151" i="100"/>
  <c r="P150" i="100"/>
  <c r="O150" i="100"/>
  <c r="M150" i="100"/>
  <c r="J150" i="100"/>
  <c r="P149" i="100"/>
  <c r="O149" i="100"/>
  <c r="M149" i="100"/>
  <c r="J149" i="100"/>
  <c r="P148" i="100"/>
  <c r="O148" i="100"/>
  <c r="M148" i="100"/>
  <c r="J148" i="100"/>
  <c r="P147" i="100"/>
  <c r="O147" i="100"/>
  <c r="M147" i="100"/>
  <c r="J147" i="100"/>
  <c r="P146" i="100"/>
  <c r="O146" i="100"/>
  <c r="M146" i="100"/>
  <c r="J146" i="100"/>
  <c r="P145" i="100"/>
  <c r="O145" i="100"/>
  <c r="M145" i="100"/>
  <c r="J145" i="100"/>
  <c r="P144" i="100"/>
  <c r="O144" i="100"/>
  <c r="M144" i="100"/>
  <c r="J144" i="100"/>
  <c r="P143" i="100"/>
  <c r="O143" i="100"/>
  <c r="M143" i="100"/>
  <c r="J143" i="100"/>
  <c r="P142" i="100"/>
  <c r="O142" i="100"/>
  <c r="M142" i="100"/>
  <c r="J142" i="100"/>
  <c r="P141" i="100"/>
  <c r="O141" i="100"/>
  <c r="M141" i="100"/>
  <c r="J141" i="100"/>
  <c r="P140" i="100"/>
  <c r="O140" i="100"/>
  <c r="M140" i="100"/>
  <c r="J140" i="100"/>
  <c r="P139" i="100"/>
  <c r="O139" i="100"/>
  <c r="M139" i="100"/>
  <c r="J139" i="100"/>
  <c r="P138" i="100"/>
  <c r="O138" i="100"/>
  <c r="M138" i="100"/>
  <c r="J138" i="100"/>
  <c r="P137" i="100"/>
  <c r="O137" i="100"/>
  <c r="M137" i="100"/>
  <c r="J137" i="100"/>
  <c r="P136" i="100"/>
  <c r="O136" i="100"/>
  <c r="M136" i="100"/>
  <c r="J136" i="100"/>
  <c r="P135" i="100"/>
  <c r="O135" i="100"/>
  <c r="M135" i="100"/>
  <c r="J135" i="100"/>
  <c r="P134" i="100"/>
  <c r="O134" i="100"/>
  <c r="M134" i="100"/>
  <c r="J134" i="100"/>
  <c r="P133" i="100"/>
  <c r="O133" i="100"/>
  <c r="M133" i="100"/>
  <c r="J133" i="100"/>
  <c r="P132" i="100"/>
  <c r="O132" i="100"/>
  <c r="M132" i="100"/>
  <c r="J132" i="100"/>
  <c r="P131" i="100"/>
  <c r="O131" i="100"/>
  <c r="M131" i="100"/>
  <c r="J131" i="100"/>
  <c r="O130" i="100"/>
  <c r="P130" i="100" s="1"/>
  <c r="M130" i="100"/>
  <c r="O129" i="100"/>
  <c r="M129" i="100"/>
  <c r="O128" i="100"/>
  <c r="M128" i="100"/>
  <c r="O127" i="100"/>
  <c r="M127" i="100"/>
  <c r="P127" i="100" s="1"/>
  <c r="O126" i="100"/>
  <c r="P126" i="100" s="1"/>
  <c r="M126" i="100"/>
  <c r="O125" i="100"/>
  <c r="M125" i="100"/>
  <c r="O124" i="100"/>
  <c r="M124" i="100"/>
  <c r="O123" i="100"/>
  <c r="M123" i="100"/>
  <c r="O122" i="100"/>
  <c r="M122" i="100"/>
  <c r="O121" i="100"/>
  <c r="M121" i="100"/>
  <c r="O120" i="100"/>
  <c r="M120" i="100"/>
  <c r="O119" i="100"/>
  <c r="M119" i="100"/>
  <c r="O118" i="100"/>
  <c r="M118" i="100"/>
  <c r="O117" i="100"/>
  <c r="M117" i="100"/>
  <c r="O116" i="100"/>
  <c r="M116" i="100"/>
  <c r="O115" i="100"/>
  <c r="M115" i="100"/>
  <c r="O114" i="100"/>
  <c r="M114" i="100"/>
  <c r="O113" i="100"/>
  <c r="M113" i="100"/>
  <c r="O112" i="100"/>
  <c r="M112" i="100"/>
  <c r="O111" i="100"/>
  <c r="M111" i="100"/>
  <c r="O110" i="100"/>
  <c r="M110" i="100"/>
  <c r="O109" i="100"/>
  <c r="M109" i="100"/>
  <c r="O108" i="100"/>
  <c r="M108" i="100"/>
  <c r="O107" i="100"/>
  <c r="M107" i="100"/>
  <c r="O106" i="100"/>
  <c r="M106" i="100"/>
  <c r="O105" i="100"/>
  <c r="M105" i="100"/>
  <c r="O104" i="100"/>
  <c r="M104" i="100"/>
  <c r="O103" i="100"/>
  <c r="M103" i="100"/>
  <c r="O102" i="100"/>
  <c r="M102" i="100"/>
  <c r="O101" i="100"/>
  <c r="M101" i="100"/>
  <c r="O100" i="100"/>
  <c r="M100" i="100"/>
  <c r="O99" i="100"/>
  <c r="M99" i="100"/>
  <c r="D96" i="100"/>
  <c r="D94" i="100"/>
  <c r="L93" i="100"/>
  <c r="J93" i="100"/>
  <c r="D93" i="100"/>
  <c r="D92" i="100"/>
  <c r="D91" i="100"/>
  <c r="D89" i="100"/>
  <c r="N72" i="100"/>
  <c r="O72" i="100" s="1"/>
  <c r="L72" i="100"/>
  <c r="N71" i="100"/>
  <c r="L71" i="100"/>
  <c r="N70" i="100"/>
  <c r="L70" i="100"/>
  <c r="N69" i="100"/>
  <c r="L69" i="100"/>
  <c r="N68" i="100"/>
  <c r="L68" i="100"/>
  <c r="N67" i="100"/>
  <c r="L67" i="100"/>
  <c r="N66" i="100"/>
  <c r="L66" i="100"/>
  <c r="N65" i="100"/>
  <c r="L65" i="100"/>
  <c r="N64" i="100"/>
  <c r="L64" i="100"/>
  <c r="N63" i="100"/>
  <c r="L63" i="100"/>
  <c r="N62" i="100"/>
  <c r="L62" i="100"/>
  <c r="N61" i="100"/>
  <c r="L61" i="100"/>
  <c r="N60" i="100"/>
  <c r="L60" i="100"/>
  <c r="N59" i="100"/>
  <c r="L59" i="100"/>
  <c r="N58" i="100"/>
  <c r="O58" i="100" s="1"/>
  <c r="L58" i="100"/>
  <c r="N57" i="100"/>
  <c r="L57" i="100"/>
  <c r="N56" i="100"/>
  <c r="L56" i="100"/>
  <c r="N55" i="100"/>
  <c r="L55" i="100"/>
  <c r="N54" i="100"/>
  <c r="O54" i="100" s="1"/>
  <c r="L54" i="100"/>
  <c r="N53" i="100"/>
  <c r="L53" i="100"/>
  <c r="N52" i="100"/>
  <c r="L52" i="100"/>
  <c r="N51" i="100"/>
  <c r="L51" i="100"/>
  <c r="N50" i="100"/>
  <c r="L50" i="100"/>
  <c r="N49" i="100"/>
  <c r="L49" i="100"/>
  <c r="N48" i="100"/>
  <c r="O48" i="100" s="1"/>
  <c r="L48" i="100"/>
  <c r="N47" i="100"/>
  <c r="L47" i="100"/>
  <c r="N46" i="100"/>
  <c r="O46" i="100" s="1"/>
  <c r="L46" i="100"/>
  <c r="N45" i="100"/>
  <c r="L45" i="100"/>
  <c r="N44" i="100"/>
  <c r="O44" i="100" s="1"/>
  <c r="L44" i="100"/>
  <c r="N43" i="100"/>
  <c r="L43" i="100"/>
  <c r="N42" i="100"/>
  <c r="L42" i="100"/>
  <c r="N41" i="100"/>
  <c r="L41" i="100"/>
  <c r="N40" i="100"/>
  <c r="L40" i="100"/>
  <c r="N39" i="100"/>
  <c r="L39" i="100"/>
  <c r="N38" i="100"/>
  <c r="L38" i="100"/>
  <c r="O38" i="100"/>
  <c r="N37" i="100"/>
  <c r="L37" i="100"/>
  <c r="N36" i="100"/>
  <c r="L36" i="100"/>
  <c r="N35" i="100"/>
  <c r="L35" i="100"/>
  <c r="N34" i="100"/>
  <c r="L34" i="100"/>
  <c r="N33" i="100"/>
  <c r="L33" i="100"/>
  <c r="N32" i="100"/>
  <c r="L32" i="100"/>
  <c r="N31" i="100"/>
  <c r="L31" i="100"/>
  <c r="N30" i="100"/>
  <c r="L30" i="100"/>
  <c r="N29" i="100"/>
  <c r="L29" i="100"/>
  <c r="N28" i="100"/>
  <c r="L28" i="100"/>
  <c r="N27" i="100"/>
  <c r="L27" i="100"/>
  <c r="N26" i="100"/>
  <c r="L26" i="100"/>
  <c r="N25" i="100"/>
  <c r="O25" i="100" s="1"/>
  <c r="L25" i="100"/>
  <c r="N24" i="100"/>
  <c r="L24" i="100"/>
  <c r="N23" i="100"/>
  <c r="L23" i="100"/>
  <c r="N22" i="100"/>
  <c r="L22" i="100"/>
  <c r="N21" i="100"/>
  <c r="L21" i="100"/>
  <c r="N20" i="100"/>
  <c r="L20" i="100"/>
  <c r="N19" i="100"/>
  <c r="L19" i="100"/>
  <c r="N18" i="100"/>
  <c r="L18" i="100"/>
  <c r="N17" i="100"/>
  <c r="L17" i="100"/>
  <c r="C17" i="100"/>
  <c r="D17" i="100" s="1"/>
  <c r="K11" i="100"/>
  <c r="I11" i="100"/>
  <c r="D8" i="100"/>
  <c r="D90" i="100"/>
  <c r="P1" i="100"/>
  <c r="P83" i="100" s="1"/>
  <c r="P154" i="99"/>
  <c r="O154" i="99"/>
  <c r="M154" i="99"/>
  <c r="J154" i="99"/>
  <c r="P153" i="99"/>
  <c r="O153" i="99"/>
  <c r="M153" i="99"/>
  <c r="J153" i="99"/>
  <c r="P152" i="99"/>
  <c r="O152" i="99"/>
  <c r="M152" i="99"/>
  <c r="J152" i="99"/>
  <c r="P151" i="99"/>
  <c r="O151" i="99"/>
  <c r="M151" i="99"/>
  <c r="J151" i="99"/>
  <c r="P150" i="99"/>
  <c r="O150" i="99"/>
  <c r="M150" i="99"/>
  <c r="J150" i="99"/>
  <c r="P149" i="99"/>
  <c r="O149" i="99"/>
  <c r="M149" i="99"/>
  <c r="J149" i="99"/>
  <c r="P148" i="99"/>
  <c r="O148" i="99"/>
  <c r="M148" i="99"/>
  <c r="J148" i="99"/>
  <c r="P147" i="99"/>
  <c r="O147" i="99"/>
  <c r="M147" i="99"/>
  <c r="J147" i="99"/>
  <c r="P146" i="99"/>
  <c r="O146" i="99"/>
  <c r="M146" i="99"/>
  <c r="J146" i="99"/>
  <c r="P145" i="99"/>
  <c r="O145" i="99"/>
  <c r="M145" i="99"/>
  <c r="J145" i="99"/>
  <c r="P144" i="99"/>
  <c r="O144" i="99"/>
  <c r="M144" i="99"/>
  <c r="J144" i="99"/>
  <c r="P143" i="99"/>
  <c r="O143" i="99"/>
  <c r="M143" i="99"/>
  <c r="J143" i="99"/>
  <c r="P142" i="99"/>
  <c r="O142" i="99"/>
  <c r="M142" i="99"/>
  <c r="J142" i="99"/>
  <c r="P141" i="99"/>
  <c r="O141" i="99"/>
  <c r="M141" i="99"/>
  <c r="J141" i="99"/>
  <c r="P140" i="99"/>
  <c r="O140" i="99"/>
  <c r="M140" i="99"/>
  <c r="J140" i="99"/>
  <c r="P139" i="99"/>
  <c r="O139" i="99"/>
  <c r="M139" i="99"/>
  <c r="J139" i="99"/>
  <c r="P138" i="99"/>
  <c r="O138" i="99"/>
  <c r="M138" i="99"/>
  <c r="J138" i="99"/>
  <c r="P137" i="99"/>
  <c r="O137" i="99"/>
  <c r="M137" i="99"/>
  <c r="J137" i="99"/>
  <c r="P136" i="99"/>
  <c r="O136" i="99"/>
  <c r="M136" i="99"/>
  <c r="J136" i="99"/>
  <c r="P135" i="99"/>
  <c r="O135" i="99"/>
  <c r="M135" i="99"/>
  <c r="J135" i="99"/>
  <c r="P134" i="99"/>
  <c r="O134" i="99"/>
  <c r="M134" i="99"/>
  <c r="J134" i="99"/>
  <c r="P133" i="99"/>
  <c r="O133" i="99"/>
  <c r="M133" i="99"/>
  <c r="J133" i="99"/>
  <c r="P132" i="99"/>
  <c r="O132" i="99"/>
  <c r="M132" i="99"/>
  <c r="J132" i="99"/>
  <c r="P131" i="99"/>
  <c r="O131" i="99"/>
  <c r="M131" i="99"/>
  <c r="J131" i="99"/>
  <c r="O130" i="99"/>
  <c r="M130" i="99"/>
  <c r="O129" i="99"/>
  <c r="M129" i="99"/>
  <c r="O128" i="99"/>
  <c r="M128" i="99"/>
  <c r="O127" i="99"/>
  <c r="M127" i="99"/>
  <c r="O126" i="99"/>
  <c r="M126" i="99"/>
  <c r="O125" i="99"/>
  <c r="M125" i="99"/>
  <c r="O124" i="99"/>
  <c r="M124" i="99"/>
  <c r="O123" i="99"/>
  <c r="M123" i="99"/>
  <c r="O122" i="99"/>
  <c r="M122" i="99"/>
  <c r="O121" i="99"/>
  <c r="M121" i="99"/>
  <c r="O120" i="99"/>
  <c r="M120" i="99"/>
  <c r="O119" i="99"/>
  <c r="M119" i="99"/>
  <c r="O118" i="99"/>
  <c r="M118" i="99"/>
  <c r="O117" i="99"/>
  <c r="M117" i="99"/>
  <c r="O116" i="99"/>
  <c r="M116" i="99"/>
  <c r="O115" i="99"/>
  <c r="M115" i="99"/>
  <c r="O114" i="99"/>
  <c r="M114" i="99"/>
  <c r="O113" i="99"/>
  <c r="M113" i="99"/>
  <c r="O112" i="99"/>
  <c r="M112" i="99"/>
  <c r="O111" i="99"/>
  <c r="M111" i="99"/>
  <c r="O110" i="99"/>
  <c r="M110" i="99"/>
  <c r="O109" i="99"/>
  <c r="M109" i="99"/>
  <c r="O108" i="99"/>
  <c r="M108" i="99"/>
  <c r="O107" i="99"/>
  <c r="M107" i="99"/>
  <c r="O106" i="99"/>
  <c r="M106" i="99"/>
  <c r="O105" i="99"/>
  <c r="M105" i="99"/>
  <c r="O104" i="99"/>
  <c r="M104" i="99"/>
  <c r="O103" i="99"/>
  <c r="M103" i="99"/>
  <c r="O102" i="99"/>
  <c r="M102" i="99"/>
  <c r="O101" i="99"/>
  <c r="M101" i="99"/>
  <c r="O100" i="99"/>
  <c r="M100" i="99"/>
  <c r="O99" i="99"/>
  <c r="M99" i="99"/>
  <c r="D96" i="99"/>
  <c r="D94" i="99"/>
  <c r="L93" i="99"/>
  <c r="J93" i="99"/>
  <c r="D93" i="99"/>
  <c r="C99" i="99" s="1"/>
  <c r="D92" i="99"/>
  <c r="D91" i="99"/>
  <c r="D89" i="99"/>
  <c r="N72" i="99"/>
  <c r="L72" i="99"/>
  <c r="N71" i="99"/>
  <c r="L71" i="99"/>
  <c r="N70" i="99"/>
  <c r="O70" i="99" s="1"/>
  <c r="L70" i="99"/>
  <c r="N69" i="99"/>
  <c r="L69" i="99"/>
  <c r="N68" i="99"/>
  <c r="L68" i="99"/>
  <c r="N67" i="99"/>
  <c r="L67" i="99"/>
  <c r="N66" i="99"/>
  <c r="L66" i="99"/>
  <c r="N65" i="99"/>
  <c r="L65" i="99"/>
  <c r="N64" i="99"/>
  <c r="O64" i="99" s="1"/>
  <c r="L64" i="99"/>
  <c r="N63" i="99"/>
  <c r="L63" i="99"/>
  <c r="N62" i="99"/>
  <c r="O62" i="99" s="1"/>
  <c r="L62" i="99"/>
  <c r="N61" i="99"/>
  <c r="L61" i="99"/>
  <c r="N60" i="99"/>
  <c r="O60" i="99" s="1"/>
  <c r="L60" i="99"/>
  <c r="N59" i="99"/>
  <c r="L59" i="99"/>
  <c r="N58" i="99"/>
  <c r="L58" i="99"/>
  <c r="N57" i="99"/>
  <c r="L57" i="99"/>
  <c r="N56" i="99"/>
  <c r="L56" i="99"/>
  <c r="N55" i="99"/>
  <c r="O55" i="99" s="1"/>
  <c r="L55" i="99"/>
  <c r="N54" i="99"/>
  <c r="L54" i="99"/>
  <c r="N53" i="99"/>
  <c r="O53" i="99" s="1"/>
  <c r="L53" i="99"/>
  <c r="N52" i="99"/>
  <c r="L52" i="99"/>
  <c r="N51" i="99"/>
  <c r="O51" i="99" s="1"/>
  <c r="L51" i="99"/>
  <c r="N50" i="99"/>
  <c r="L50" i="99"/>
  <c r="N49" i="99"/>
  <c r="O49" i="99" s="1"/>
  <c r="L49" i="99"/>
  <c r="N48" i="99"/>
  <c r="L48" i="99"/>
  <c r="N47" i="99"/>
  <c r="O47" i="99" s="1"/>
  <c r="L47" i="99"/>
  <c r="N46" i="99"/>
  <c r="L46" i="99"/>
  <c r="N45" i="99"/>
  <c r="O45" i="99" s="1"/>
  <c r="L45" i="99"/>
  <c r="N44" i="99"/>
  <c r="L44" i="99"/>
  <c r="N43" i="99"/>
  <c r="O43" i="99" s="1"/>
  <c r="L43" i="99"/>
  <c r="N42" i="99"/>
  <c r="L42" i="99"/>
  <c r="N41" i="99"/>
  <c r="L41" i="99"/>
  <c r="N40" i="99"/>
  <c r="L40" i="99"/>
  <c r="N39" i="99"/>
  <c r="O39" i="99" s="1"/>
  <c r="L39" i="99"/>
  <c r="N38" i="99"/>
  <c r="L38" i="99"/>
  <c r="N37" i="99"/>
  <c r="O37" i="99" s="1"/>
  <c r="L37" i="99"/>
  <c r="N36" i="99"/>
  <c r="L36" i="99"/>
  <c r="O36" i="99" s="1"/>
  <c r="N35" i="99"/>
  <c r="O35" i="99" s="1"/>
  <c r="L35" i="99"/>
  <c r="N34" i="99"/>
  <c r="L34" i="99"/>
  <c r="N33" i="99"/>
  <c r="L33" i="99"/>
  <c r="N32" i="99"/>
  <c r="L32" i="99"/>
  <c r="N31" i="99"/>
  <c r="L31" i="99"/>
  <c r="N30" i="99"/>
  <c r="L30" i="99"/>
  <c r="N29" i="99"/>
  <c r="O29" i="99" s="1"/>
  <c r="L29" i="99"/>
  <c r="N28" i="99"/>
  <c r="L28" i="99"/>
  <c r="N27" i="99"/>
  <c r="O27" i="99" s="1"/>
  <c r="L27" i="99"/>
  <c r="N26" i="99"/>
  <c r="L26" i="99"/>
  <c r="N25" i="99"/>
  <c r="O25" i="99" s="1"/>
  <c r="L25" i="99"/>
  <c r="N24" i="99"/>
  <c r="L24" i="99"/>
  <c r="N23" i="99"/>
  <c r="O23" i="99" s="1"/>
  <c r="L23" i="99"/>
  <c r="N22" i="99"/>
  <c r="L22" i="99"/>
  <c r="N21" i="99"/>
  <c r="O21" i="99" s="1"/>
  <c r="L21" i="99"/>
  <c r="N20" i="99"/>
  <c r="L20" i="99"/>
  <c r="N19" i="99"/>
  <c r="O19" i="99" s="1"/>
  <c r="L19" i="99"/>
  <c r="N18" i="99"/>
  <c r="L18" i="99"/>
  <c r="N17" i="99"/>
  <c r="C17" i="99"/>
  <c r="C18" i="99"/>
  <c r="C19" i="99" s="1"/>
  <c r="C20" i="99" s="1"/>
  <c r="C21" i="99" s="1"/>
  <c r="C22" i="99" s="1"/>
  <c r="C23" i="99" s="1"/>
  <c r="C24" i="99" s="1"/>
  <c r="C25" i="99" s="1"/>
  <c r="C26" i="99" s="1"/>
  <c r="C27" i="99" s="1"/>
  <c r="C28" i="99" s="1"/>
  <c r="C29" i="99" s="1"/>
  <c r="C30" i="99" s="1"/>
  <c r="C31" i="99" s="1"/>
  <c r="C32" i="99" s="1"/>
  <c r="C33" i="99" s="1"/>
  <c r="C34" i="99" s="1"/>
  <c r="C35" i="99" s="1"/>
  <c r="C36" i="99" s="1"/>
  <c r="C37" i="99" s="1"/>
  <c r="C38" i="99" s="1"/>
  <c r="C39" i="99" s="1"/>
  <c r="C40" i="99" s="1"/>
  <c r="C41" i="99" s="1"/>
  <c r="C42" i="99" s="1"/>
  <c r="C43" i="99" s="1"/>
  <c r="C44" i="99" s="1"/>
  <c r="C45" i="99" s="1"/>
  <c r="C46" i="99" s="1"/>
  <c r="C47" i="99" s="1"/>
  <c r="C48" i="99" s="1"/>
  <c r="C49" i="99" s="1"/>
  <c r="C50" i="99" s="1"/>
  <c r="C51" i="99" s="1"/>
  <c r="C52" i="99" s="1"/>
  <c r="C53" i="99" s="1"/>
  <c r="C54" i="99" s="1"/>
  <c r="C55" i="99" s="1"/>
  <c r="C56" i="99" s="1"/>
  <c r="C57" i="99" s="1"/>
  <c r="C58" i="99" s="1"/>
  <c r="C59" i="99" s="1"/>
  <c r="C60" i="99" s="1"/>
  <c r="C61" i="99" s="1"/>
  <c r="C62" i="99" s="1"/>
  <c r="C63" i="99" s="1"/>
  <c r="C64" i="99" s="1"/>
  <c r="C65" i="99" s="1"/>
  <c r="C66" i="99" s="1"/>
  <c r="C67" i="99" s="1"/>
  <c r="C68" i="99" s="1"/>
  <c r="C69" i="99" s="1"/>
  <c r="C70" i="99" s="1"/>
  <c r="C71" i="99" s="1"/>
  <c r="C72" i="99" s="1"/>
  <c r="K11" i="99"/>
  <c r="I11" i="99"/>
  <c r="D8" i="99"/>
  <c r="D90" i="99"/>
  <c r="P1" i="99"/>
  <c r="P83" i="99" s="1"/>
  <c r="M19" i="86"/>
  <c r="N19" i="86"/>
  <c r="O19" i="86" s="1"/>
  <c r="K19" i="86"/>
  <c r="L19" i="86" s="1"/>
  <c r="N105" i="74"/>
  <c r="O105" i="74"/>
  <c r="L105" i="74"/>
  <c r="M105" i="74" s="1"/>
  <c r="M25" i="74"/>
  <c r="N25" i="74" s="1"/>
  <c r="K25" i="74"/>
  <c r="L25" i="74" s="1"/>
  <c r="D10" i="68"/>
  <c r="D92" i="68"/>
  <c r="C18" i="100"/>
  <c r="C19" i="100"/>
  <c r="C20" i="100" s="1"/>
  <c r="C21" i="100"/>
  <c r="C22" i="100" s="1"/>
  <c r="C23" i="100" s="1"/>
  <c r="C24" i="100" s="1"/>
  <c r="C25" i="100" s="1"/>
  <c r="C26" i="100" s="1"/>
  <c r="C27" i="100" s="1"/>
  <c r="C28" i="100" s="1"/>
  <c r="C29" i="100" s="1"/>
  <c r="C30" i="100" s="1"/>
  <c r="C31" i="100" s="1"/>
  <c r="C32" i="100" s="1"/>
  <c r="C33" i="100" s="1"/>
  <c r="C34" i="100" s="1"/>
  <c r="C35" i="100" s="1"/>
  <c r="C36" i="100" s="1"/>
  <c r="C37" i="100" s="1"/>
  <c r="C38" i="100" s="1"/>
  <c r="C39" i="100" s="1"/>
  <c r="C40" i="100" s="1"/>
  <c r="C41" i="100" s="1"/>
  <c r="C42" i="100" s="1"/>
  <c r="C43" i="100" s="1"/>
  <c r="C44" i="100" s="1"/>
  <c r="C45" i="100" s="1"/>
  <c r="C46" i="100" s="1"/>
  <c r="C47" i="100" s="1"/>
  <c r="C48" i="100" s="1"/>
  <c r="C49" i="100" s="1"/>
  <c r="C50" i="100" s="1"/>
  <c r="C51" i="100" s="1"/>
  <c r="C52" i="100" s="1"/>
  <c r="C53" i="100" s="1"/>
  <c r="C54" i="100" s="1"/>
  <c r="C55" i="100" s="1"/>
  <c r="C56" i="100" s="1"/>
  <c r="C57" i="100" s="1"/>
  <c r="C58" i="100" s="1"/>
  <c r="C59" i="100" s="1"/>
  <c r="C60" i="100" s="1"/>
  <c r="C61" i="100" s="1"/>
  <c r="C62" i="100" s="1"/>
  <c r="C63" i="100" s="1"/>
  <c r="C64" i="100" s="1"/>
  <c r="C65" i="100" s="1"/>
  <c r="C66" i="100" s="1"/>
  <c r="C67" i="100" s="1"/>
  <c r="C68" i="100" s="1"/>
  <c r="C69" i="100" s="1"/>
  <c r="C70" i="100" s="1"/>
  <c r="C71" i="100" s="1"/>
  <c r="C72" i="100" s="1"/>
  <c r="P118" i="100"/>
  <c r="P122" i="100"/>
  <c r="M17" i="98"/>
  <c r="K17" i="98"/>
  <c r="M17" i="97"/>
  <c r="K17" i="97"/>
  <c r="M17" i="96"/>
  <c r="K17" i="96"/>
  <c r="M17" i="95"/>
  <c r="K17" i="95"/>
  <c r="M18" i="92"/>
  <c r="N18" i="92" s="1"/>
  <c r="O18" i="92" s="1"/>
  <c r="K18" i="92"/>
  <c r="L18" i="92" s="1"/>
  <c r="M18" i="91"/>
  <c r="N18" i="91"/>
  <c r="K18" i="91"/>
  <c r="L18" i="91" s="1"/>
  <c r="O18" i="91" s="1"/>
  <c r="M18" i="90"/>
  <c r="N18" i="90" s="1"/>
  <c r="K18" i="90"/>
  <c r="L18" i="90" s="1"/>
  <c r="M18" i="89"/>
  <c r="N18" i="89" s="1"/>
  <c r="O18" i="89" s="1"/>
  <c r="K18" i="89"/>
  <c r="L18" i="89" s="1"/>
  <c r="M18" i="88"/>
  <c r="N18" i="88" s="1"/>
  <c r="O18" i="88" s="1"/>
  <c r="K18" i="88"/>
  <c r="L18" i="88" s="1"/>
  <c r="M18" i="87"/>
  <c r="N18" i="87" s="1"/>
  <c r="O18" i="87" s="1"/>
  <c r="K18" i="87"/>
  <c r="L18" i="87" s="1"/>
  <c r="M18" i="86"/>
  <c r="N18" i="86" s="1"/>
  <c r="O18" i="86" s="1"/>
  <c r="K18" i="86"/>
  <c r="L18" i="86" s="1"/>
  <c r="M19" i="85"/>
  <c r="N19" i="85" s="1"/>
  <c r="K19" i="85"/>
  <c r="L19" i="85" s="1"/>
  <c r="M19" i="84"/>
  <c r="N19" i="84"/>
  <c r="K19" i="84"/>
  <c r="L19" i="84"/>
  <c r="M19" i="83"/>
  <c r="N19" i="83" s="1"/>
  <c r="O19" i="83" s="1"/>
  <c r="K19" i="83"/>
  <c r="L19" i="83" s="1"/>
  <c r="M19" i="82"/>
  <c r="N19" i="82" s="1"/>
  <c r="K19" i="82"/>
  <c r="L19" i="82" s="1"/>
  <c r="M19" i="81"/>
  <c r="N19" i="81" s="1"/>
  <c r="K19" i="81"/>
  <c r="L19" i="81" s="1"/>
  <c r="M19" i="80"/>
  <c r="N19" i="80" s="1"/>
  <c r="O19" i="80" s="1"/>
  <c r="K19" i="80"/>
  <c r="L19" i="80" s="1"/>
  <c r="M20" i="79"/>
  <c r="N20" i="79" s="1"/>
  <c r="K20" i="79"/>
  <c r="L20" i="79"/>
  <c r="M20" i="78"/>
  <c r="N20" i="78"/>
  <c r="K20" i="78"/>
  <c r="L20" i="78" s="1"/>
  <c r="M20" i="77"/>
  <c r="N20" i="77" s="1"/>
  <c r="O20" i="77" s="1"/>
  <c r="K20" i="77"/>
  <c r="L20" i="77" s="1"/>
  <c r="M20" i="76"/>
  <c r="N20" i="76" s="1"/>
  <c r="O20" i="76" s="1"/>
  <c r="K20" i="76"/>
  <c r="L20" i="76" s="1"/>
  <c r="M20" i="75"/>
  <c r="N20" i="75"/>
  <c r="K20" i="75"/>
  <c r="L20" i="75"/>
  <c r="M24" i="74"/>
  <c r="N24" i="74" s="1"/>
  <c r="K24" i="74"/>
  <c r="L24" i="74" s="1"/>
  <c r="M25" i="73"/>
  <c r="N25" i="73"/>
  <c r="K25" i="73"/>
  <c r="L25" i="73"/>
  <c r="O25" i="73" s="1"/>
  <c r="M23" i="72"/>
  <c r="N23" i="72" s="1"/>
  <c r="O23" i="72" s="1"/>
  <c r="K23" i="72"/>
  <c r="L23" i="72"/>
  <c r="M27" i="71"/>
  <c r="N27" i="71"/>
  <c r="O27" i="71" s="1"/>
  <c r="K27" i="71"/>
  <c r="L27" i="71" s="1"/>
  <c r="M28" i="70"/>
  <c r="N28" i="70" s="1"/>
  <c r="K28" i="70"/>
  <c r="L28" i="70" s="1"/>
  <c r="M28" i="69"/>
  <c r="N28" i="69" s="1"/>
  <c r="O28" i="69" s="1"/>
  <c r="K28" i="69"/>
  <c r="L28" i="69" s="1"/>
  <c r="M21" i="68"/>
  <c r="N21" i="68" s="1"/>
  <c r="O21" i="68" s="1"/>
  <c r="K21" i="68"/>
  <c r="L21" i="68" s="1"/>
  <c r="M21" i="67"/>
  <c r="N21" i="67" s="1"/>
  <c r="K21" i="67"/>
  <c r="L21" i="67" s="1"/>
  <c r="M21" i="66"/>
  <c r="N21" i="66"/>
  <c r="K21" i="66"/>
  <c r="L21" i="66"/>
  <c r="M21" i="65"/>
  <c r="N21" i="65" s="1"/>
  <c r="O21" i="65" s="1"/>
  <c r="K21" i="65"/>
  <c r="L21" i="65" s="1"/>
  <c r="M22" i="64"/>
  <c r="N22" i="64" s="1"/>
  <c r="K22" i="64"/>
  <c r="L22" i="64" s="1"/>
  <c r="M22" i="60"/>
  <c r="N22" i="60" s="1"/>
  <c r="O22" i="60" s="1"/>
  <c r="K22" i="60"/>
  <c r="L22" i="60"/>
  <c r="M22" i="62"/>
  <c r="N22" i="62"/>
  <c r="O22" i="62" s="1"/>
  <c r="K22" i="62"/>
  <c r="L22" i="62"/>
  <c r="M22" i="63"/>
  <c r="N22" i="63" s="1"/>
  <c r="K22" i="63"/>
  <c r="L22" i="63" s="1"/>
  <c r="M22" i="61"/>
  <c r="N22" i="61" s="1"/>
  <c r="K22" i="61"/>
  <c r="L22" i="61" s="1"/>
  <c r="M22" i="59"/>
  <c r="N22" i="59" s="1"/>
  <c r="K22" i="59"/>
  <c r="L22" i="59" s="1"/>
  <c r="M23" i="58"/>
  <c r="N23" i="58" s="1"/>
  <c r="K23" i="58"/>
  <c r="L23" i="58" s="1"/>
  <c r="M23" i="57"/>
  <c r="N23" i="57" s="1"/>
  <c r="O23" i="57" s="1"/>
  <c r="K23" i="57"/>
  <c r="L23" i="57" s="1"/>
  <c r="M23" i="56"/>
  <c r="N23" i="56" s="1"/>
  <c r="O23" i="56" s="1"/>
  <c r="K23" i="56"/>
  <c r="L23" i="56"/>
  <c r="M23" i="55"/>
  <c r="N23" i="55"/>
  <c r="K23" i="55"/>
  <c r="L23" i="55"/>
  <c r="M23" i="54"/>
  <c r="N23" i="54" s="1"/>
  <c r="K23" i="54"/>
  <c r="L23" i="54" s="1"/>
  <c r="M23" i="53"/>
  <c r="N23" i="53"/>
  <c r="K23" i="53"/>
  <c r="L23" i="53" s="1"/>
  <c r="M23" i="46"/>
  <c r="N23" i="46" s="1"/>
  <c r="K23" i="46"/>
  <c r="L23" i="46" s="1"/>
  <c r="M24" i="45"/>
  <c r="N24" i="45"/>
  <c r="K24" i="45"/>
  <c r="L24" i="45" s="1"/>
  <c r="M25" i="44"/>
  <c r="N25" i="44" s="1"/>
  <c r="K25" i="44"/>
  <c r="L25" i="44"/>
  <c r="M25" i="43"/>
  <c r="N25" i="43"/>
  <c r="O25" i="43" s="1"/>
  <c r="K25" i="43"/>
  <c r="L25" i="43"/>
  <c r="M25" i="42"/>
  <c r="N25" i="42" s="1"/>
  <c r="O25" i="42" s="1"/>
  <c r="K25" i="42"/>
  <c r="L25" i="42"/>
  <c r="N25" i="41"/>
  <c r="O25" i="41" s="1"/>
  <c r="M25" i="41"/>
  <c r="K25" i="41"/>
  <c r="L25" i="41"/>
  <c r="M25" i="39"/>
  <c r="N25" i="39" s="1"/>
  <c r="K25" i="39"/>
  <c r="L25" i="39" s="1"/>
  <c r="M27" i="34"/>
  <c r="N27" i="34" s="1"/>
  <c r="K27" i="34"/>
  <c r="L27" i="34" s="1"/>
  <c r="M27" i="32"/>
  <c r="N27" i="32" s="1"/>
  <c r="K27" i="32"/>
  <c r="L27" i="32" s="1"/>
  <c r="L17" i="99"/>
  <c r="M27" i="31"/>
  <c r="N27" i="31"/>
  <c r="K27" i="31"/>
  <c r="L27" i="31"/>
  <c r="O27" i="31" s="1"/>
  <c r="M28" i="30"/>
  <c r="N28" i="30" s="1"/>
  <c r="K28" i="30"/>
  <c r="L28" i="30"/>
  <c r="M28" i="29"/>
  <c r="N28" i="29" s="1"/>
  <c r="O28" i="29" s="1"/>
  <c r="K28" i="29"/>
  <c r="L28" i="29" s="1"/>
  <c r="M29" i="28"/>
  <c r="N29" i="28" s="1"/>
  <c r="K29" i="28"/>
  <c r="L29" i="28"/>
  <c r="M28" i="27"/>
  <c r="N28" i="27"/>
  <c r="K28" i="27"/>
  <c r="L28" i="27" s="1"/>
  <c r="M27" i="24"/>
  <c r="N27" i="24" s="1"/>
  <c r="K27" i="24"/>
  <c r="L27" i="24" s="1"/>
  <c r="O27" i="24"/>
  <c r="M27" i="23"/>
  <c r="N27" i="23" s="1"/>
  <c r="O27" i="23" s="1"/>
  <c r="K27" i="23"/>
  <c r="L27" i="23" s="1"/>
  <c r="M26" i="22"/>
  <c r="N26" i="22" s="1"/>
  <c r="K26" i="22"/>
  <c r="L26" i="22" s="1"/>
  <c r="M26" i="21"/>
  <c r="N26" i="21" s="1"/>
  <c r="O26" i="21" s="1"/>
  <c r="K26" i="21"/>
  <c r="L26" i="21" s="1"/>
  <c r="M26" i="20"/>
  <c r="N26" i="20"/>
  <c r="K26" i="20"/>
  <c r="L26" i="20" s="1"/>
  <c r="M26" i="19"/>
  <c r="N26" i="19" s="1"/>
  <c r="K26" i="19"/>
  <c r="L26" i="19"/>
  <c r="M26" i="18"/>
  <c r="N26" i="18" s="1"/>
  <c r="K26" i="18"/>
  <c r="L26" i="18" s="1"/>
  <c r="M26" i="17"/>
  <c r="N26" i="17" s="1"/>
  <c r="K26" i="17"/>
  <c r="L26" i="17"/>
  <c r="M26" i="3"/>
  <c r="N26" i="3"/>
  <c r="K26" i="3"/>
  <c r="L26" i="3" s="1"/>
  <c r="C44" i="1"/>
  <c r="C42" i="1"/>
  <c r="C10" i="1"/>
  <c r="M15" i="2"/>
  <c r="W88" i="36"/>
  <c r="W87" i="36"/>
  <c r="W86" i="36"/>
  <c r="W85" i="36"/>
  <c r="W83" i="36"/>
  <c r="W82" i="36"/>
  <c r="W81" i="36"/>
  <c r="W80" i="36"/>
  <c r="W79" i="36"/>
  <c r="W78" i="36"/>
  <c r="W77" i="36"/>
  <c r="W76" i="36"/>
  <c r="W84" i="36"/>
  <c r="D94" i="13"/>
  <c r="D93" i="13"/>
  <c r="C99" i="13"/>
  <c r="D92" i="13"/>
  <c r="J96" i="13"/>
  <c r="D94" i="98"/>
  <c r="D93" i="98"/>
  <c r="D92" i="98"/>
  <c r="D94" i="97"/>
  <c r="D93" i="97"/>
  <c r="D92" i="97"/>
  <c r="D94" i="96"/>
  <c r="D93" i="96"/>
  <c r="D92" i="96"/>
  <c r="D94" i="95"/>
  <c r="D93" i="95"/>
  <c r="D92" i="95"/>
  <c r="C99" i="84"/>
  <c r="C86" i="2"/>
  <c r="C85" i="2"/>
  <c r="C81" i="1"/>
  <c r="C80" i="1"/>
  <c r="A11" i="1"/>
  <c r="A12" i="1"/>
  <c r="A13" i="1" s="1"/>
  <c r="A14" i="1" s="1"/>
  <c r="A15" i="1" s="1"/>
  <c r="A16" i="1" s="1"/>
  <c r="A17" i="1" s="1"/>
  <c r="A18" i="1" s="1"/>
  <c r="A22" i="1" s="1"/>
  <c r="A23" i="1" s="1"/>
  <c r="A24" i="1" s="1"/>
  <c r="A28" i="1" s="1"/>
  <c r="A29" i="1" s="1"/>
  <c r="A30" i="1" s="1"/>
  <c r="A31" i="1" s="1"/>
  <c r="A32" i="1" s="1"/>
  <c r="A33" i="1" s="1"/>
  <c r="A34" i="1" s="1"/>
  <c r="A35" i="1" s="1"/>
  <c r="A41" i="1" s="1"/>
  <c r="A42" i="1" s="1"/>
  <c r="A43" i="1" s="1"/>
  <c r="A44" i="1" s="1"/>
  <c r="A45" i="1" s="1"/>
  <c r="A48" i="1" s="1"/>
  <c r="A49" i="1" s="1"/>
  <c r="A50" i="1" s="1"/>
  <c r="A51" i="1" s="1"/>
  <c r="A52" i="1" s="1"/>
  <c r="A53" i="1" s="1"/>
  <c r="A54" i="1" s="1"/>
  <c r="A55" i="1" s="1"/>
  <c r="A58" i="1" s="1"/>
  <c r="A59" i="1" s="1"/>
  <c r="A60" i="1" s="1"/>
  <c r="A61" i="1" s="1"/>
  <c r="A62" i="1" s="1"/>
  <c r="A63" i="1" s="1"/>
  <c r="A64" i="1" s="1"/>
  <c r="A65" i="1" s="1"/>
  <c r="A66" i="1" s="1"/>
  <c r="A67" i="1" s="1"/>
  <c r="A70" i="1" s="1"/>
  <c r="A71" i="1" s="1"/>
  <c r="A72" i="1" s="1"/>
  <c r="A74" i="1" s="1"/>
  <c r="A75" i="1" s="1"/>
  <c r="A76" i="1" s="1"/>
  <c r="A77" i="1" s="1"/>
  <c r="A80" i="1" s="1"/>
  <c r="A81" i="1" s="1"/>
  <c r="A83" i="1" s="1"/>
  <c r="A84" i="1" s="1"/>
  <c r="A85" i="1" s="1"/>
  <c r="A86" i="1" s="1"/>
  <c r="A87" i="1" s="1"/>
  <c r="A4" i="1"/>
  <c r="F44" i="1"/>
  <c r="P1" i="13"/>
  <c r="P83" i="13" s="1"/>
  <c r="D8" i="13"/>
  <c r="D90" i="13"/>
  <c r="I11" i="13"/>
  <c r="K11" i="13"/>
  <c r="I14" i="13"/>
  <c r="C17" i="13"/>
  <c r="C18" i="13" s="1"/>
  <c r="C19" i="13" s="1"/>
  <c r="C20" i="13" s="1"/>
  <c r="C21" i="13" s="1"/>
  <c r="C22" i="13" s="1"/>
  <c r="C23" i="13" s="1"/>
  <c r="C24" i="13" s="1"/>
  <c r="C25" i="13" s="1"/>
  <c r="C26" i="13" s="1"/>
  <c r="C27" i="13" s="1"/>
  <c r="C28" i="13" s="1"/>
  <c r="C29" i="13" s="1"/>
  <c r="C30" i="13" s="1"/>
  <c r="C31" i="13" s="1"/>
  <c r="C32" i="13" s="1"/>
  <c r="C33" i="13" s="1"/>
  <c r="C34" i="13" s="1"/>
  <c r="C35" i="13" s="1"/>
  <c r="C36" i="13" s="1"/>
  <c r="C37" i="13" s="1"/>
  <c r="C38" i="13" s="1"/>
  <c r="C39" i="13" s="1"/>
  <c r="C40" i="13" s="1"/>
  <c r="C41" i="13" s="1"/>
  <c r="C42" i="13" s="1"/>
  <c r="C43" i="13" s="1"/>
  <c r="C44" i="13" s="1"/>
  <c r="C45" i="13" s="1"/>
  <c r="C46" i="13" s="1"/>
  <c r="C47" i="13" s="1"/>
  <c r="C48" i="13" s="1"/>
  <c r="C49" i="13" s="1"/>
  <c r="C50" i="13" s="1"/>
  <c r="C51" i="13" s="1"/>
  <c r="C52" i="13" s="1"/>
  <c r="C53" i="13" s="1"/>
  <c r="C54" i="13" s="1"/>
  <c r="C55" i="13" s="1"/>
  <c r="C56" i="13" s="1"/>
  <c r="C57" i="13" s="1"/>
  <c r="C58" i="13" s="1"/>
  <c r="C59" i="13" s="1"/>
  <c r="C60" i="13" s="1"/>
  <c r="C61" i="13" s="1"/>
  <c r="C62" i="13" s="1"/>
  <c r="C63" i="13" s="1"/>
  <c r="C64" i="13" s="1"/>
  <c r="C65" i="13" s="1"/>
  <c r="C66" i="13" s="1"/>
  <c r="C67" i="13" s="1"/>
  <c r="C68" i="13" s="1"/>
  <c r="C69" i="13" s="1"/>
  <c r="C70" i="13" s="1"/>
  <c r="C71" i="13" s="1"/>
  <c r="C72" i="13" s="1"/>
  <c r="E17" i="13"/>
  <c r="L17" i="13"/>
  <c r="N17" i="13"/>
  <c r="L18" i="13"/>
  <c r="O18" i="13" s="1"/>
  <c r="N18" i="13"/>
  <c r="L19" i="13"/>
  <c r="N19" i="13"/>
  <c r="L20" i="13"/>
  <c r="N20" i="13"/>
  <c r="L21" i="13"/>
  <c r="N21" i="13"/>
  <c r="L22" i="13"/>
  <c r="O22" i="13" s="1"/>
  <c r="N22" i="13"/>
  <c r="L23" i="13"/>
  <c r="N23" i="13"/>
  <c r="L24" i="13"/>
  <c r="O24" i="13" s="1"/>
  <c r="N24" i="13"/>
  <c r="L25" i="13"/>
  <c r="N25" i="13"/>
  <c r="L26" i="13"/>
  <c r="O26" i="13" s="1"/>
  <c r="N26" i="13"/>
  <c r="L27" i="13"/>
  <c r="N27" i="13"/>
  <c r="L28" i="13"/>
  <c r="N28" i="13"/>
  <c r="L29" i="13"/>
  <c r="N29" i="13"/>
  <c r="L30" i="13"/>
  <c r="N30" i="13"/>
  <c r="L31" i="13"/>
  <c r="N31" i="13"/>
  <c r="L32" i="13"/>
  <c r="N32" i="13"/>
  <c r="L33" i="13"/>
  <c r="N33" i="13"/>
  <c r="L34" i="13"/>
  <c r="N34" i="13"/>
  <c r="L35" i="13"/>
  <c r="N35" i="13"/>
  <c r="L36" i="13"/>
  <c r="N36" i="13"/>
  <c r="L37" i="13"/>
  <c r="N37" i="13"/>
  <c r="L38" i="13"/>
  <c r="N38" i="13"/>
  <c r="L39" i="13"/>
  <c r="N39" i="13"/>
  <c r="L40" i="13"/>
  <c r="N40" i="13"/>
  <c r="L41" i="13"/>
  <c r="N41" i="13"/>
  <c r="L42" i="13"/>
  <c r="N42" i="13"/>
  <c r="L43" i="13"/>
  <c r="N43" i="13"/>
  <c r="L44" i="13"/>
  <c r="N44" i="13"/>
  <c r="L45" i="13"/>
  <c r="N45" i="13"/>
  <c r="L46" i="13"/>
  <c r="N46" i="13"/>
  <c r="L47" i="13"/>
  <c r="N47" i="13"/>
  <c r="L48" i="13"/>
  <c r="N48" i="13"/>
  <c r="L49" i="13"/>
  <c r="N49" i="13"/>
  <c r="L50" i="13"/>
  <c r="N50" i="13"/>
  <c r="L51" i="13"/>
  <c r="N51" i="13"/>
  <c r="L52" i="13"/>
  <c r="N52" i="13"/>
  <c r="L53" i="13"/>
  <c r="N53" i="13"/>
  <c r="L54" i="13"/>
  <c r="N54" i="13"/>
  <c r="L55" i="13"/>
  <c r="N55" i="13"/>
  <c r="L56" i="13"/>
  <c r="N56" i="13"/>
  <c r="L57" i="13"/>
  <c r="N57" i="13"/>
  <c r="L58" i="13"/>
  <c r="N58" i="13"/>
  <c r="L59" i="13"/>
  <c r="N59" i="13"/>
  <c r="L60" i="13"/>
  <c r="N60" i="13"/>
  <c r="L61" i="13"/>
  <c r="N61" i="13"/>
  <c r="L62" i="13"/>
  <c r="N62" i="13"/>
  <c r="L63" i="13"/>
  <c r="N63" i="13"/>
  <c r="L64" i="13"/>
  <c r="N64" i="13"/>
  <c r="L65" i="13"/>
  <c r="N65" i="13"/>
  <c r="L66" i="13"/>
  <c r="N66" i="13"/>
  <c r="L67" i="13"/>
  <c r="N67" i="13"/>
  <c r="L68" i="13"/>
  <c r="N68" i="13"/>
  <c r="L69" i="13"/>
  <c r="N69" i="13"/>
  <c r="L70" i="13"/>
  <c r="N70" i="13"/>
  <c r="L71" i="13"/>
  <c r="N71" i="13"/>
  <c r="L72" i="13"/>
  <c r="N72" i="13"/>
  <c r="D89" i="13"/>
  <c r="D91" i="13"/>
  <c r="J93" i="13"/>
  <c r="L93" i="13"/>
  <c r="D96" i="13"/>
  <c r="M99" i="13"/>
  <c r="O99" i="13"/>
  <c r="M100" i="13"/>
  <c r="O100" i="13"/>
  <c r="M101" i="13"/>
  <c r="O101" i="13"/>
  <c r="M102" i="13"/>
  <c r="O102" i="13"/>
  <c r="M103" i="13"/>
  <c r="O103" i="13"/>
  <c r="M104" i="13"/>
  <c r="O104" i="13"/>
  <c r="M105" i="13"/>
  <c r="O105" i="13"/>
  <c r="M106" i="13"/>
  <c r="O106" i="13"/>
  <c r="M107" i="13"/>
  <c r="O107" i="13"/>
  <c r="M108" i="13"/>
  <c r="O108" i="13"/>
  <c r="M109" i="13"/>
  <c r="O109" i="13"/>
  <c r="M110" i="13"/>
  <c r="O110" i="13"/>
  <c r="M111" i="13"/>
  <c r="O111" i="13"/>
  <c r="M112" i="13"/>
  <c r="O112" i="13"/>
  <c r="M113" i="13"/>
  <c r="O113" i="13"/>
  <c r="M114" i="13"/>
  <c r="O114" i="13"/>
  <c r="M115" i="13"/>
  <c r="O115" i="13"/>
  <c r="M116" i="13"/>
  <c r="O116" i="13"/>
  <c r="M117" i="13"/>
  <c r="O117" i="13"/>
  <c r="M118" i="13"/>
  <c r="O118" i="13"/>
  <c r="M119" i="13"/>
  <c r="O119" i="13"/>
  <c r="M120" i="13"/>
  <c r="O120" i="13"/>
  <c r="M121" i="13"/>
  <c r="O121" i="13"/>
  <c r="M122" i="13"/>
  <c r="O122" i="13"/>
  <c r="M123" i="13"/>
  <c r="O123" i="13"/>
  <c r="M124" i="13"/>
  <c r="O124" i="13"/>
  <c r="M125" i="13"/>
  <c r="O125" i="13"/>
  <c r="M126" i="13"/>
  <c r="O126" i="13"/>
  <c r="M127" i="13"/>
  <c r="O127" i="13"/>
  <c r="M128" i="13"/>
  <c r="O128" i="13"/>
  <c r="M129" i="13"/>
  <c r="O129" i="13"/>
  <c r="M130" i="13"/>
  <c r="O130" i="13"/>
  <c r="J131" i="13"/>
  <c r="M131" i="13"/>
  <c r="O131" i="13"/>
  <c r="P131" i="13"/>
  <c r="J132" i="13"/>
  <c r="M132" i="13"/>
  <c r="O132" i="13"/>
  <c r="P132" i="13"/>
  <c r="J133" i="13"/>
  <c r="M133" i="13"/>
  <c r="O133" i="13"/>
  <c r="P133" i="13"/>
  <c r="J134" i="13"/>
  <c r="M134" i="13"/>
  <c r="O134" i="13"/>
  <c r="P134" i="13"/>
  <c r="J135" i="13"/>
  <c r="M135" i="13"/>
  <c r="O135" i="13"/>
  <c r="P135" i="13"/>
  <c r="J136" i="13"/>
  <c r="M136" i="13"/>
  <c r="O136" i="13"/>
  <c r="P136" i="13"/>
  <c r="J137" i="13"/>
  <c r="M137" i="13"/>
  <c r="O137" i="13"/>
  <c r="P137" i="13"/>
  <c r="J138" i="13"/>
  <c r="M138" i="13"/>
  <c r="O138" i="13"/>
  <c r="P138" i="13"/>
  <c r="J139" i="13"/>
  <c r="M139" i="13"/>
  <c r="O139" i="13"/>
  <c r="P139" i="13"/>
  <c r="J140" i="13"/>
  <c r="M140" i="13"/>
  <c r="O140" i="13"/>
  <c r="P140" i="13"/>
  <c r="J141" i="13"/>
  <c r="M141" i="13"/>
  <c r="O141" i="13"/>
  <c r="P141" i="13"/>
  <c r="J142" i="13"/>
  <c r="M142" i="13"/>
  <c r="O142" i="13"/>
  <c r="P142" i="13"/>
  <c r="J143" i="13"/>
  <c r="M143" i="13"/>
  <c r="O143" i="13"/>
  <c r="P143" i="13"/>
  <c r="J144" i="13"/>
  <c r="M144" i="13"/>
  <c r="O144" i="13"/>
  <c r="P144" i="13"/>
  <c r="J145" i="13"/>
  <c r="M145" i="13"/>
  <c r="O145" i="13"/>
  <c r="P145" i="13"/>
  <c r="J146" i="13"/>
  <c r="M146" i="13"/>
  <c r="O146" i="13"/>
  <c r="P146" i="13"/>
  <c r="J147" i="13"/>
  <c r="M147" i="13"/>
  <c r="O147" i="13"/>
  <c r="P147" i="13"/>
  <c r="J148" i="13"/>
  <c r="M148" i="13"/>
  <c r="O148" i="13"/>
  <c r="P148" i="13"/>
  <c r="J149" i="13"/>
  <c r="M149" i="13"/>
  <c r="O149" i="13"/>
  <c r="P149" i="13"/>
  <c r="J150" i="13"/>
  <c r="M150" i="13"/>
  <c r="O150" i="13"/>
  <c r="P150" i="13"/>
  <c r="J151" i="13"/>
  <c r="M151" i="13"/>
  <c r="O151" i="13"/>
  <c r="P151" i="13"/>
  <c r="J152" i="13"/>
  <c r="M152" i="13"/>
  <c r="O152" i="13"/>
  <c r="P152" i="13"/>
  <c r="J153" i="13"/>
  <c r="M153" i="13"/>
  <c r="O153" i="13"/>
  <c r="P153" i="13"/>
  <c r="J154" i="13"/>
  <c r="M154" i="13"/>
  <c r="O154" i="13"/>
  <c r="P154" i="13"/>
  <c r="P1" i="98"/>
  <c r="P83" i="98" s="1"/>
  <c r="D8" i="98"/>
  <c r="D90" i="98" s="1"/>
  <c r="I11" i="98"/>
  <c r="K11" i="98"/>
  <c r="C17" i="98"/>
  <c r="C18" i="98" s="1"/>
  <c r="C19" i="98" s="1"/>
  <c r="C20" i="98" s="1"/>
  <c r="C21" i="98" s="1"/>
  <c r="C22" i="98" s="1"/>
  <c r="C23" i="98" s="1"/>
  <c r="C24" i="98" s="1"/>
  <c r="C25" i="98" s="1"/>
  <c r="C26" i="98" s="1"/>
  <c r="C27" i="98" s="1"/>
  <c r="C28" i="98" s="1"/>
  <c r="C29" i="98" s="1"/>
  <c r="C30" i="98" s="1"/>
  <c r="C31" i="98" s="1"/>
  <c r="C32" i="98" s="1"/>
  <c r="C33" i="98" s="1"/>
  <c r="C34" i="98" s="1"/>
  <c r="C35" i="98" s="1"/>
  <c r="C36" i="98" s="1"/>
  <c r="C37" i="98" s="1"/>
  <c r="C38" i="98" s="1"/>
  <c r="C39" i="98" s="1"/>
  <c r="C40" i="98" s="1"/>
  <c r="C41" i="98" s="1"/>
  <c r="C42" i="98" s="1"/>
  <c r="C43" i="98" s="1"/>
  <c r="C44" i="98" s="1"/>
  <c r="C45" i="98" s="1"/>
  <c r="C46" i="98" s="1"/>
  <c r="C47" i="98" s="1"/>
  <c r="C48" i="98" s="1"/>
  <c r="C49" i="98" s="1"/>
  <c r="C50" i="98" s="1"/>
  <c r="C51" i="98" s="1"/>
  <c r="C52" i="98" s="1"/>
  <c r="C53" i="98" s="1"/>
  <c r="C54" i="98" s="1"/>
  <c r="C55" i="98" s="1"/>
  <c r="C56" i="98" s="1"/>
  <c r="C57" i="98" s="1"/>
  <c r="C58" i="98" s="1"/>
  <c r="C59" i="98" s="1"/>
  <c r="C60" i="98" s="1"/>
  <c r="C61" i="98" s="1"/>
  <c r="C62" i="98" s="1"/>
  <c r="C63" i="98" s="1"/>
  <c r="C64" i="98" s="1"/>
  <c r="C65" i="98" s="1"/>
  <c r="C66" i="98" s="1"/>
  <c r="C67" i="98" s="1"/>
  <c r="C68" i="98" s="1"/>
  <c r="C69" i="98" s="1"/>
  <c r="C70" i="98" s="1"/>
  <c r="C71" i="98" s="1"/>
  <c r="C72" i="98" s="1"/>
  <c r="L18" i="98"/>
  <c r="N18" i="98"/>
  <c r="L19" i="98"/>
  <c r="N19" i="98"/>
  <c r="L20" i="98"/>
  <c r="N20" i="98"/>
  <c r="L21" i="98"/>
  <c r="N21" i="98"/>
  <c r="L22" i="98"/>
  <c r="N22" i="98"/>
  <c r="L23" i="98"/>
  <c r="N23" i="98"/>
  <c r="L24" i="98"/>
  <c r="N24" i="98"/>
  <c r="L25" i="98"/>
  <c r="N25" i="98"/>
  <c r="L26" i="98"/>
  <c r="N26" i="98"/>
  <c r="L27" i="98"/>
  <c r="N27" i="98"/>
  <c r="O27" i="98" s="1"/>
  <c r="L28" i="98"/>
  <c r="N28" i="98"/>
  <c r="L29" i="98"/>
  <c r="N29" i="98"/>
  <c r="L30" i="98"/>
  <c r="N30" i="98"/>
  <c r="L31" i="98"/>
  <c r="N31" i="98"/>
  <c r="L32" i="98"/>
  <c r="N32" i="98"/>
  <c r="L33" i="98"/>
  <c r="N33" i="98"/>
  <c r="L34" i="98"/>
  <c r="N34" i="98"/>
  <c r="L35" i="98"/>
  <c r="N35" i="98"/>
  <c r="L36" i="98"/>
  <c r="N36" i="98"/>
  <c r="L37" i="98"/>
  <c r="N37" i="98"/>
  <c r="L38" i="98"/>
  <c r="N38" i="98"/>
  <c r="L39" i="98"/>
  <c r="N39" i="98"/>
  <c r="L40" i="98"/>
  <c r="N40" i="98"/>
  <c r="L41" i="98"/>
  <c r="N41" i="98"/>
  <c r="L42" i="98"/>
  <c r="N42" i="98"/>
  <c r="L43" i="98"/>
  <c r="N43" i="98"/>
  <c r="L44" i="98"/>
  <c r="N44" i="98"/>
  <c r="L45" i="98"/>
  <c r="N45" i="98"/>
  <c r="L46" i="98"/>
  <c r="N46" i="98"/>
  <c r="L47" i="98"/>
  <c r="N47" i="98"/>
  <c r="O47" i="98" s="1"/>
  <c r="L48" i="98"/>
  <c r="N48" i="98"/>
  <c r="L49" i="98"/>
  <c r="N49" i="98"/>
  <c r="L50" i="98"/>
  <c r="N50" i="98"/>
  <c r="L51" i="98"/>
  <c r="N51" i="98"/>
  <c r="L52" i="98"/>
  <c r="O52" i="98" s="1"/>
  <c r="N52" i="98"/>
  <c r="L53" i="98"/>
  <c r="N53" i="98"/>
  <c r="L54" i="98"/>
  <c r="O54" i="98" s="1"/>
  <c r="N54" i="98"/>
  <c r="L55" i="98"/>
  <c r="N55" i="98"/>
  <c r="L56" i="98"/>
  <c r="O56" i="98" s="1"/>
  <c r="N56" i="98"/>
  <c r="L57" i="98"/>
  <c r="N57" i="98"/>
  <c r="L58" i="98"/>
  <c r="O58" i="98" s="1"/>
  <c r="N58" i="98"/>
  <c r="L59" i="98"/>
  <c r="N59" i="98"/>
  <c r="L60" i="98"/>
  <c r="O60" i="98" s="1"/>
  <c r="N60" i="98"/>
  <c r="L61" i="98"/>
  <c r="N61" i="98"/>
  <c r="L62" i="98"/>
  <c r="O62" i="98" s="1"/>
  <c r="N62" i="98"/>
  <c r="L63" i="98"/>
  <c r="N63" i="98"/>
  <c r="L64" i="98"/>
  <c r="O64" i="98" s="1"/>
  <c r="N64" i="98"/>
  <c r="L65" i="98"/>
  <c r="N65" i="98"/>
  <c r="L66" i="98"/>
  <c r="O66" i="98" s="1"/>
  <c r="N66" i="98"/>
  <c r="L67" i="98"/>
  <c r="N67" i="98"/>
  <c r="L68" i="98"/>
  <c r="O68" i="98" s="1"/>
  <c r="N68" i="98"/>
  <c r="L69" i="98"/>
  <c r="N69" i="98"/>
  <c r="L70" i="98"/>
  <c r="O70" i="98" s="1"/>
  <c r="N70" i="98"/>
  <c r="L71" i="98"/>
  <c r="N71" i="98"/>
  <c r="L72" i="98"/>
  <c r="O72" i="98" s="1"/>
  <c r="N72" i="98"/>
  <c r="D89" i="98"/>
  <c r="D91" i="98"/>
  <c r="J93" i="98"/>
  <c r="L93" i="98"/>
  <c r="D96" i="98"/>
  <c r="M99" i="98"/>
  <c r="O99" i="98"/>
  <c r="P99" i="98" s="1"/>
  <c r="M100" i="98"/>
  <c r="O100" i="98"/>
  <c r="M101" i="98"/>
  <c r="O101" i="98"/>
  <c r="P101" i="98" s="1"/>
  <c r="M102" i="98"/>
  <c r="O102" i="98"/>
  <c r="M103" i="98"/>
  <c r="O103" i="98"/>
  <c r="P103" i="98" s="1"/>
  <c r="M104" i="98"/>
  <c r="O104" i="98"/>
  <c r="M105" i="98"/>
  <c r="O105" i="98"/>
  <c r="P105" i="98" s="1"/>
  <c r="M106" i="98"/>
  <c r="O106" i="98"/>
  <c r="M107" i="98"/>
  <c r="O107" i="98"/>
  <c r="P107" i="98" s="1"/>
  <c r="M108" i="98"/>
  <c r="O108" i="98"/>
  <c r="M109" i="98"/>
  <c r="O109" i="98"/>
  <c r="P109" i="98" s="1"/>
  <c r="M110" i="98"/>
  <c r="O110" i="98"/>
  <c r="M111" i="98"/>
  <c r="O111" i="98"/>
  <c r="P111" i="98" s="1"/>
  <c r="M112" i="98"/>
  <c r="O112" i="98"/>
  <c r="M113" i="98"/>
  <c r="O113" i="98"/>
  <c r="P113" i="98" s="1"/>
  <c r="M114" i="98"/>
  <c r="O114" i="98"/>
  <c r="M115" i="98"/>
  <c r="O115" i="98"/>
  <c r="P115" i="98" s="1"/>
  <c r="M116" i="98"/>
  <c r="O116" i="98"/>
  <c r="M117" i="98"/>
  <c r="O117" i="98"/>
  <c r="P117" i="98" s="1"/>
  <c r="M118" i="98"/>
  <c r="O118" i="98"/>
  <c r="M119" i="98"/>
  <c r="O119" i="98"/>
  <c r="P119" i="98" s="1"/>
  <c r="M120" i="98"/>
  <c r="O120" i="98"/>
  <c r="M121" i="98"/>
  <c r="O121" i="98"/>
  <c r="P121" i="98" s="1"/>
  <c r="M122" i="98"/>
  <c r="O122" i="98"/>
  <c r="M123" i="98"/>
  <c r="O123" i="98"/>
  <c r="P123" i="98" s="1"/>
  <c r="M124" i="98"/>
  <c r="O124" i="98"/>
  <c r="M125" i="98"/>
  <c r="O125" i="98"/>
  <c r="M126" i="98"/>
  <c r="O126" i="98"/>
  <c r="M127" i="98"/>
  <c r="O127" i="98"/>
  <c r="P127" i="98" s="1"/>
  <c r="M128" i="98"/>
  <c r="O128" i="98"/>
  <c r="M129" i="98"/>
  <c r="O129" i="98"/>
  <c r="P129" i="98" s="1"/>
  <c r="M130" i="98"/>
  <c r="O130" i="98"/>
  <c r="J131" i="98"/>
  <c r="M131" i="98"/>
  <c r="O131" i="98"/>
  <c r="P131" i="98"/>
  <c r="J132" i="98"/>
  <c r="M132" i="98"/>
  <c r="O132" i="98"/>
  <c r="P132" i="98"/>
  <c r="J133" i="98"/>
  <c r="M133" i="98"/>
  <c r="O133" i="98"/>
  <c r="P133" i="98"/>
  <c r="J134" i="98"/>
  <c r="M134" i="98"/>
  <c r="O134" i="98"/>
  <c r="P134" i="98"/>
  <c r="J135" i="98"/>
  <c r="M135" i="98"/>
  <c r="O135" i="98"/>
  <c r="P135" i="98"/>
  <c r="J136" i="98"/>
  <c r="M136" i="98"/>
  <c r="O136" i="98"/>
  <c r="P136" i="98"/>
  <c r="J137" i="98"/>
  <c r="M137" i="98"/>
  <c r="O137" i="98"/>
  <c r="P137" i="98"/>
  <c r="J138" i="98"/>
  <c r="M138" i="98"/>
  <c r="O138" i="98"/>
  <c r="P138" i="98"/>
  <c r="J139" i="98"/>
  <c r="M139" i="98"/>
  <c r="O139" i="98"/>
  <c r="P139" i="98"/>
  <c r="J140" i="98"/>
  <c r="M140" i="98"/>
  <c r="O140" i="98"/>
  <c r="P140" i="98"/>
  <c r="J141" i="98"/>
  <c r="M141" i="98"/>
  <c r="O141" i="98"/>
  <c r="P141" i="98"/>
  <c r="J142" i="98"/>
  <c r="M142" i="98"/>
  <c r="O142" i="98"/>
  <c r="P142" i="98"/>
  <c r="J143" i="98"/>
  <c r="M143" i="98"/>
  <c r="O143" i="98"/>
  <c r="P143" i="98"/>
  <c r="J144" i="98"/>
  <c r="M144" i="98"/>
  <c r="O144" i="98"/>
  <c r="P144" i="98"/>
  <c r="J145" i="98"/>
  <c r="M145" i="98"/>
  <c r="O145" i="98"/>
  <c r="P145" i="98"/>
  <c r="J146" i="98"/>
  <c r="M146" i="98"/>
  <c r="O146" i="98"/>
  <c r="P146" i="98"/>
  <c r="J147" i="98"/>
  <c r="M147" i="98"/>
  <c r="O147" i="98"/>
  <c r="P147" i="98"/>
  <c r="J148" i="98"/>
  <c r="M148" i="98"/>
  <c r="O148" i="98"/>
  <c r="P148" i="98"/>
  <c r="J149" i="98"/>
  <c r="M149" i="98"/>
  <c r="O149" i="98"/>
  <c r="P149" i="98"/>
  <c r="J150" i="98"/>
  <c r="M150" i="98"/>
  <c r="O150" i="98"/>
  <c r="P150" i="98"/>
  <c r="J151" i="98"/>
  <c r="M151" i="98"/>
  <c r="O151" i="98"/>
  <c r="P151" i="98"/>
  <c r="J152" i="98"/>
  <c r="M152" i="98"/>
  <c r="O152" i="98"/>
  <c r="P152" i="98"/>
  <c r="J153" i="98"/>
  <c r="M153" i="98"/>
  <c r="O153" i="98"/>
  <c r="P153" i="98"/>
  <c r="J154" i="98"/>
  <c r="M154" i="98"/>
  <c r="O154" i="98"/>
  <c r="P154" i="98"/>
  <c r="P1" i="97"/>
  <c r="P83" i="97" s="1"/>
  <c r="D8" i="97"/>
  <c r="D90" i="97" s="1"/>
  <c r="I11" i="97"/>
  <c r="K11" i="97"/>
  <c r="C17" i="97"/>
  <c r="C18" i="97"/>
  <c r="C19" i="97" s="1"/>
  <c r="C20" i="97" s="1"/>
  <c r="C21" i="97" s="1"/>
  <c r="C22" i="97" s="1"/>
  <c r="C23" i="97" s="1"/>
  <c r="C24" i="97" s="1"/>
  <c r="C25" i="97" s="1"/>
  <c r="C26" i="97" s="1"/>
  <c r="C27" i="97" s="1"/>
  <c r="C28" i="97" s="1"/>
  <c r="C29" i="97" s="1"/>
  <c r="C30" i="97" s="1"/>
  <c r="C31" i="97" s="1"/>
  <c r="C32" i="97" s="1"/>
  <c r="C33" i="97" s="1"/>
  <c r="C34" i="97" s="1"/>
  <c r="C35" i="97" s="1"/>
  <c r="C36" i="97" s="1"/>
  <c r="C37" i="97" s="1"/>
  <c r="C38" i="97" s="1"/>
  <c r="C39" i="97"/>
  <c r="C40" i="97" s="1"/>
  <c r="C41" i="97" s="1"/>
  <c r="C42" i="97" s="1"/>
  <c r="C43" i="97" s="1"/>
  <c r="C44" i="97" s="1"/>
  <c r="C45" i="97" s="1"/>
  <c r="C46" i="97" s="1"/>
  <c r="C47" i="97" s="1"/>
  <c r="C48" i="97" s="1"/>
  <c r="C49" i="97" s="1"/>
  <c r="C50" i="97" s="1"/>
  <c r="C51" i="97" s="1"/>
  <c r="C52" i="97" s="1"/>
  <c r="C53" i="97" s="1"/>
  <c r="C54" i="97" s="1"/>
  <c r="C55" i="97" s="1"/>
  <c r="C56" i="97" s="1"/>
  <c r="C57" i="97" s="1"/>
  <c r="C58" i="97" s="1"/>
  <c r="C59" i="97" s="1"/>
  <c r="C60" i="97" s="1"/>
  <c r="C61" i="97" s="1"/>
  <c r="C62" i="97" s="1"/>
  <c r="C63" i="97" s="1"/>
  <c r="C64" i="97" s="1"/>
  <c r="C65" i="97" s="1"/>
  <c r="C66" i="97" s="1"/>
  <c r="C67" i="97" s="1"/>
  <c r="C68" i="97" s="1"/>
  <c r="C69" i="97" s="1"/>
  <c r="C70" i="97" s="1"/>
  <c r="C71" i="97" s="1"/>
  <c r="C72" i="97" s="1"/>
  <c r="L18" i="97"/>
  <c r="N18" i="97"/>
  <c r="L19" i="97"/>
  <c r="O19" i="97" s="1"/>
  <c r="N19" i="97"/>
  <c r="L20" i="97"/>
  <c r="N20" i="97"/>
  <c r="O20" i="97" s="1"/>
  <c r="L21" i="97"/>
  <c r="N21" i="97"/>
  <c r="L22" i="97"/>
  <c r="N22" i="97"/>
  <c r="L23" i="97"/>
  <c r="N23" i="97"/>
  <c r="L24" i="97"/>
  <c r="N24" i="97"/>
  <c r="L25" i="97"/>
  <c r="O25" i="97" s="1"/>
  <c r="N25" i="97"/>
  <c r="L26" i="97"/>
  <c r="N26" i="97"/>
  <c r="L27" i="97"/>
  <c r="O27" i="97" s="1"/>
  <c r="N27" i="97"/>
  <c r="L28" i="97"/>
  <c r="N28" i="97"/>
  <c r="L29" i="97"/>
  <c r="N29" i="97"/>
  <c r="L30" i="97"/>
  <c r="N30" i="97"/>
  <c r="O30" i="97"/>
  <c r="L31" i="97"/>
  <c r="N31" i="97"/>
  <c r="L32" i="97"/>
  <c r="N32" i="97"/>
  <c r="O32" i="97" s="1"/>
  <c r="L33" i="97"/>
  <c r="N33" i="97"/>
  <c r="L34" i="97"/>
  <c r="N34" i="97"/>
  <c r="O34" i="97" s="1"/>
  <c r="L35" i="97"/>
  <c r="N35" i="97"/>
  <c r="L36" i="97"/>
  <c r="N36" i="97"/>
  <c r="O36" i="97" s="1"/>
  <c r="L37" i="97"/>
  <c r="N37" i="97"/>
  <c r="L38" i="97"/>
  <c r="N38" i="97"/>
  <c r="L39" i="97"/>
  <c r="N39" i="97"/>
  <c r="L40" i="97"/>
  <c r="N40" i="97"/>
  <c r="L41" i="97"/>
  <c r="N41" i="97"/>
  <c r="L42" i="97"/>
  <c r="N42" i="97"/>
  <c r="O42" i="97" s="1"/>
  <c r="L43" i="97"/>
  <c r="N43" i="97"/>
  <c r="L44" i="97"/>
  <c r="N44" i="97"/>
  <c r="L45" i="97"/>
  <c r="N45" i="97"/>
  <c r="L46" i="97"/>
  <c r="N46" i="97"/>
  <c r="O46" i="97" s="1"/>
  <c r="L47" i="97"/>
  <c r="N47" i="97"/>
  <c r="O47" i="97"/>
  <c r="L48" i="97"/>
  <c r="O48" i="97" s="1"/>
  <c r="N48" i="97"/>
  <c r="L49" i="97"/>
  <c r="N49" i="97"/>
  <c r="L50" i="97"/>
  <c r="O50" i="97" s="1"/>
  <c r="N50" i="97"/>
  <c r="L51" i="97"/>
  <c r="N51" i="97"/>
  <c r="L52" i="97"/>
  <c r="O52" i="97" s="1"/>
  <c r="N52" i="97"/>
  <c r="L53" i="97"/>
  <c r="N53" i="97"/>
  <c r="L54" i="97"/>
  <c r="O54" i="97" s="1"/>
  <c r="N54" i="97"/>
  <c r="L55" i="97"/>
  <c r="N55" i="97"/>
  <c r="O55" i="97" s="1"/>
  <c r="L56" i="97"/>
  <c r="O56" i="97" s="1"/>
  <c r="N56" i="97"/>
  <c r="L57" i="97"/>
  <c r="N57" i="97"/>
  <c r="O57" i="97" s="1"/>
  <c r="L58" i="97"/>
  <c r="N58" i="97"/>
  <c r="L59" i="97"/>
  <c r="N59" i="97"/>
  <c r="L60" i="97"/>
  <c r="N60" i="97"/>
  <c r="L61" i="97"/>
  <c r="N61" i="97"/>
  <c r="L62" i="97"/>
  <c r="N62" i="97"/>
  <c r="L63" i="97"/>
  <c r="N63" i="97"/>
  <c r="L64" i="97"/>
  <c r="N64" i="97"/>
  <c r="L65" i="97"/>
  <c r="N65" i="97"/>
  <c r="L66" i="97"/>
  <c r="N66" i="97"/>
  <c r="L67" i="97"/>
  <c r="N67" i="97"/>
  <c r="L68" i="97"/>
  <c r="N68" i="97"/>
  <c r="L69" i="97"/>
  <c r="N69" i="97"/>
  <c r="L70" i="97"/>
  <c r="N70" i="97"/>
  <c r="L71" i="97"/>
  <c r="N71" i="97"/>
  <c r="L72" i="97"/>
  <c r="N72" i="97"/>
  <c r="D89" i="97"/>
  <c r="D91" i="97"/>
  <c r="J93" i="97"/>
  <c r="L93" i="97"/>
  <c r="D96" i="97"/>
  <c r="M99" i="97"/>
  <c r="O99" i="97"/>
  <c r="M100" i="97"/>
  <c r="O100" i="97"/>
  <c r="M101" i="97"/>
  <c r="O101" i="97"/>
  <c r="M102" i="97"/>
  <c r="O102" i="97"/>
  <c r="M103" i="97"/>
  <c r="O103" i="97"/>
  <c r="M104" i="97"/>
  <c r="O104" i="97"/>
  <c r="M105" i="97"/>
  <c r="O105" i="97"/>
  <c r="M106" i="97"/>
  <c r="O106" i="97"/>
  <c r="M107" i="97"/>
  <c r="O107" i="97"/>
  <c r="M108" i="97"/>
  <c r="O108" i="97"/>
  <c r="M109" i="97"/>
  <c r="O109" i="97"/>
  <c r="M110" i="97"/>
  <c r="O110" i="97"/>
  <c r="M111" i="97"/>
  <c r="O111" i="97"/>
  <c r="M112" i="97"/>
  <c r="O112" i="97"/>
  <c r="M113" i="97"/>
  <c r="O113" i="97"/>
  <c r="M114" i="97"/>
  <c r="O114" i="97"/>
  <c r="M115" i="97"/>
  <c r="O115" i="97"/>
  <c r="M116" i="97"/>
  <c r="O116" i="97"/>
  <c r="M117" i="97"/>
  <c r="O117" i="97"/>
  <c r="M118" i="97"/>
  <c r="O118" i="97"/>
  <c r="M119" i="97"/>
  <c r="O119" i="97"/>
  <c r="M120" i="97"/>
  <c r="O120" i="97"/>
  <c r="M121" i="97"/>
  <c r="O121" i="97"/>
  <c r="M122" i="97"/>
  <c r="O122" i="97"/>
  <c r="M123" i="97"/>
  <c r="O123" i="97"/>
  <c r="M124" i="97"/>
  <c r="O124" i="97"/>
  <c r="M125" i="97"/>
  <c r="O125" i="97"/>
  <c r="M126" i="97"/>
  <c r="O126" i="97"/>
  <c r="M127" i="97"/>
  <c r="O127" i="97"/>
  <c r="M128" i="97"/>
  <c r="O128" i="97"/>
  <c r="M129" i="97"/>
  <c r="O129" i="97"/>
  <c r="M130" i="97"/>
  <c r="O130" i="97"/>
  <c r="J131" i="97"/>
  <c r="M131" i="97"/>
  <c r="O131" i="97"/>
  <c r="P131" i="97"/>
  <c r="J132" i="97"/>
  <c r="M132" i="97"/>
  <c r="O132" i="97"/>
  <c r="P132" i="97"/>
  <c r="J133" i="97"/>
  <c r="M133" i="97"/>
  <c r="O133" i="97"/>
  <c r="P133" i="97"/>
  <c r="J134" i="97"/>
  <c r="M134" i="97"/>
  <c r="O134" i="97"/>
  <c r="P134" i="97"/>
  <c r="J135" i="97"/>
  <c r="M135" i="97"/>
  <c r="O135" i="97"/>
  <c r="P135" i="97"/>
  <c r="J136" i="97"/>
  <c r="M136" i="97"/>
  <c r="O136" i="97"/>
  <c r="P136" i="97"/>
  <c r="J137" i="97"/>
  <c r="M137" i="97"/>
  <c r="O137" i="97"/>
  <c r="P137" i="97"/>
  <c r="J138" i="97"/>
  <c r="M138" i="97"/>
  <c r="O138" i="97"/>
  <c r="P138" i="97"/>
  <c r="J139" i="97"/>
  <c r="M139" i="97"/>
  <c r="O139" i="97"/>
  <c r="P139" i="97"/>
  <c r="J140" i="97"/>
  <c r="M140" i="97"/>
  <c r="O140" i="97"/>
  <c r="P140" i="97"/>
  <c r="J141" i="97"/>
  <c r="M141" i="97"/>
  <c r="O141" i="97"/>
  <c r="P141" i="97"/>
  <c r="J142" i="97"/>
  <c r="M142" i="97"/>
  <c r="O142" i="97"/>
  <c r="P142" i="97"/>
  <c r="J143" i="97"/>
  <c r="M143" i="97"/>
  <c r="O143" i="97"/>
  <c r="P143" i="97"/>
  <c r="J144" i="97"/>
  <c r="M144" i="97"/>
  <c r="O144" i="97"/>
  <c r="P144" i="97"/>
  <c r="J145" i="97"/>
  <c r="M145" i="97"/>
  <c r="O145" i="97"/>
  <c r="P145" i="97"/>
  <c r="J146" i="97"/>
  <c r="M146" i="97"/>
  <c r="O146" i="97"/>
  <c r="P146" i="97"/>
  <c r="J147" i="97"/>
  <c r="M147" i="97"/>
  <c r="O147" i="97"/>
  <c r="P147" i="97"/>
  <c r="J148" i="97"/>
  <c r="M148" i="97"/>
  <c r="O148" i="97"/>
  <c r="P148" i="97"/>
  <c r="J149" i="97"/>
  <c r="M149" i="97"/>
  <c r="O149" i="97"/>
  <c r="P149" i="97"/>
  <c r="J150" i="97"/>
  <c r="M150" i="97"/>
  <c r="O150" i="97"/>
  <c r="P150" i="97"/>
  <c r="J151" i="97"/>
  <c r="M151" i="97"/>
  <c r="O151" i="97"/>
  <c r="P151" i="97"/>
  <c r="J152" i="97"/>
  <c r="M152" i="97"/>
  <c r="O152" i="97"/>
  <c r="P152" i="97"/>
  <c r="J153" i="97"/>
  <c r="M153" i="97"/>
  <c r="O153" i="97"/>
  <c r="P153" i="97"/>
  <c r="J154" i="97"/>
  <c r="M154" i="97"/>
  <c r="O154" i="97"/>
  <c r="P154" i="97"/>
  <c r="P1" i="96"/>
  <c r="P83" i="96" s="1"/>
  <c r="D8" i="96"/>
  <c r="I11" i="96"/>
  <c r="K11" i="96"/>
  <c r="C17" i="96"/>
  <c r="C18" i="96" s="1"/>
  <c r="C19" i="96" s="1"/>
  <c r="C20" i="96" s="1"/>
  <c r="C21" i="96" s="1"/>
  <c r="C22" i="96" s="1"/>
  <c r="C23" i="96" s="1"/>
  <c r="C24" i="96" s="1"/>
  <c r="C25" i="96" s="1"/>
  <c r="C26" i="96" s="1"/>
  <c r="C27" i="96" s="1"/>
  <c r="C28" i="96" s="1"/>
  <c r="C29" i="96" s="1"/>
  <c r="C30" i="96" s="1"/>
  <c r="C31" i="96" s="1"/>
  <c r="C32" i="96" s="1"/>
  <c r="C33" i="96" s="1"/>
  <c r="C34" i="96" s="1"/>
  <c r="C35" i="96" s="1"/>
  <c r="C36" i="96" s="1"/>
  <c r="C37" i="96" s="1"/>
  <c r="C38" i="96" s="1"/>
  <c r="C39" i="96" s="1"/>
  <c r="C40" i="96" s="1"/>
  <c r="C41" i="96" s="1"/>
  <c r="C42" i="96" s="1"/>
  <c r="C43" i="96" s="1"/>
  <c r="C44" i="96" s="1"/>
  <c r="C45" i="96" s="1"/>
  <c r="C46" i="96" s="1"/>
  <c r="C47" i="96" s="1"/>
  <c r="C48" i="96" s="1"/>
  <c r="C49" i="96" s="1"/>
  <c r="C50" i="96" s="1"/>
  <c r="C51" i="96" s="1"/>
  <c r="C52" i="96" s="1"/>
  <c r="C53" i="96" s="1"/>
  <c r="C54" i="96" s="1"/>
  <c r="C55" i="96" s="1"/>
  <c r="C56" i="96" s="1"/>
  <c r="C57" i="96" s="1"/>
  <c r="C58" i="96" s="1"/>
  <c r="C59" i="96" s="1"/>
  <c r="C60" i="96" s="1"/>
  <c r="C61" i="96" s="1"/>
  <c r="C62" i="96" s="1"/>
  <c r="C63" i="96" s="1"/>
  <c r="C64" i="96" s="1"/>
  <c r="C65" i="96" s="1"/>
  <c r="C66" i="96" s="1"/>
  <c r="C67" i="96" s="1"/>
  <c r="C68" i="96" s="1"/>
  <c r="C69" i="96" s="1"/>
  <c r="C70" i="96" s="1"/>
  <c r="C71" i="96" s="1"/>
  <c r="C72" i="96" s="1"/>
  <c r="L18" i="96"/>
  <c r="N18" i="96"/>
  <c r="L19" i="96"/>
  <c r="N19" i="96"/>
  <c r="L20" i="96"/>
  <c r="N20" i="96"/>
  <c r="L21" i="96"/>
  <c r="N21" i="96"/>
  <c r="L22" i="96"/>
  <c r="N22" i="96"/>
  <c r="L23" i="96"/>
  <c r="N23" i="96"/>
  <c r="O23" i="96" s="1"/>
  <c r="L24" i="96"/>
  <c r="N24" i="96"/>
  <c r="L25" i="96"/>
  <c r="N25" i="96"/>
  <c r="L26" i="96"/>
  <c r="N26" i="96"/>
  <c r="L27" i="96"/>
  <c r="N27" i="96"/>
  <c r="L28" i="96"/>
  <c r="N28" i="96"/>
  <c r="L29" i="96"/>
  <c r="N29" i="96"/>
  <c r="L30" i="96"/>
  <c r="N30" i="96"/>
  <c r="L31" i="96"/>
  <c r="N31" i="96"/>
  <c r="L32" i="96"/>
  <c r="N32" i="96"/>
  <c r="L33" i="96"/>
  <c r="N33" i="96"/>
  <c r="L34" i="96"/>
  <c r="N34" i="96"/>
  <c r="L35" i="96"/>
  <c r="N35" i="96"/>
  <c r="L36" i="96"/>
  <c r="N36" i="96"/>
  <c r="L37" i="96"/>
  <c r="N37" i="96"/>
  <c r="L38" i="96"/>
  <c r="N38" i="96"/>
  <c r="L39" i="96"/>
  <c r="N39" i="96"/>
  <c r="L40" i="96"/>
  <c r="N40" i="96"/>
  <c r="L41" i="96"/>
  <c r="N41" i="96"/>
  <c r="L42" i="96"/>
  <c r="N42" i="96"/>
  <c r="L43" i="96"/>
  <c r="N43" i="96"/>
  <c r="L44" i="96"/>
  <c r="N44" i="96"/>
  <c r="L45" i="96"/>
  <c r="N45" i="96"/>
  <c r="L46" i="96"/>
  <c r="N46" i="96"/>
  <c r="L47" i="96"/>
  <c r="N47" i="96"/>
  <c r="L48" i="96"/>
  <c r="O48" i="96" s="1"/>
  <c r="N48" i="96"/>
  <c r="L49" i="96"/>
  <c r="N49" i="96"/>
  <c r="L50" i="96"/>
  <c r="N50" i="96"/>
  <c r="O50" i="96" s="1"/>
  <c r="L51" i="96"/>
  <c r="N51" i="96"/>
  <c r="L52" i="96"/>
  <c r="N52" i="96"/>
  <c r="L53" i="96"/>
  <c r="N53" i="96"/>
  <c r="L54" i="96"/>
  <c r="N54" i="96"/>
  <c r="L55" i="96"/>
  <c r="N55" i="96"/>
  <c r="L56" i="96"/>
  <c r="N56" i="96"/>
  <c r="L57" i="96"/>
  <c r="N57" i="96"/>
  <c r="L58" i="96"/>
  <c r="N58" i="96"/>
  <c r="L59" i="96"/>
  <c r="N59" i="96"/>
  <c r="L60" i="96"/>
  <c r="N60" i="96"/>
  <c r="L61" i="96"/>
  <c r="N61" i="96"/>
  <c r="L62" i="96"/>
  <c r="N62" i="96"/>
  <c r="L63" i="96"/>
  <c r="N63" i="96"/>
  <c r="O63" i="96" s="1"/>
  <c r="L64" i="96"/>
  <c r="N64" i="96"/>
  <c r="L65" i="96"/>
  <c r="N65" i="96"/>
  <c r="L66" i="96"/>
  <c r="N66" i="96"/>
  <c r="L67" i="96"/>
  <c r="N67" i="96"/>
  <c r="L68" i="96"/>
  <c r="N68" i="96"/>
  <c r="L69" i="96"/>
  <c r="N69" i="96"/>
  <c r="O69" i="96" s="1"/>
  <c r="L70" i="96"/>
  <c r="N70" i="96"/>
  <c r="L71" i="96"/>
  <c r="N71" i="96"/>
  <c r="L72" i="96"/>
  <c r="N72" i="96"/>
  <c r="D89" i="96"/>
  <c r="D90" i="96"/>
  <c r="D91" i="96"/>
  <c r="J93" i="96"/>
  <c r="L93" i="96"/>
  <c r="D96" i="96"/>
  <c r="M100" i="96"/>
  <c r="O100" i="96"/>
  <c r="M101" i="96"/>
  <c r="O101" i="96"/>
  <c r="M102" i="96"/>
  <c r="O102" i="96"/>
  <c r="M103" i="96"/>
  <c r="O103" i="96"/>
  <c r="M104" i="96"/>
  <c r="O104" i="96"/>
  <c r="M105" i="96"/>
  <c r="O105" i="96"/>
  <c r="M106" i="96"/>
  <c r="O106" i="96"/>
  <c r="M107" i="96"/>
  <c r="O107" i="96"/>
  <c r="M108" i="96"/>
  <c r="O108" i="96"/>
  <c r="M109" i="96"/>
  <c r="O109" i="96"/>
  <c r="M110" i="96"/>
  <c r="O110" i="96"/>
  <c r="M111" i="96"/>
  <c r="O111" i="96"/>
  <c r="M112" i="96"/>
  <c r="O112" i="96"/>
  <c r="M113" i="96"/>
  <c r="O113" i="96"/>
  <c r="M114" i="96"/>
  <c r="O114" i="96"/>
  <c r="M115" i="96"/>
  <c r="O115" i="96"/>
  <c r="M116" i="96"/>
  <c r="O116" i="96"/>
  <c r="M117" i="96"/>
  <c r="O117" i="96"/>
  <c r="M118" i="96"/>
  <c r="O118" i="96"/>
  <c r="M119" i="96"/>
  <c r="O119" i="96"/>
  <c r="M120" i="96"/>
  <c r="O120" i="96"/>
  <c r="M121" i="96"/>
  <c r="O121" i="96"/>
  <c r="M122" i="96"/>
  <c r="O122" i="96"/>
  <c r="M123" i="96"/>
  <c r="O123" i="96"/>
  <c r="M124" i="96"/>
  <c r="O124" i="96"/>
  <c r="M125" i="96"/>
  <c r="O125" i="96"/>
  <c r="M126" i="96"/>
  <c r="O126" i="96"/>
  <c r="M127" i="96"/>
  <c r="O127" i="96"/>
  <c r="M128" i="96"/>
  <c r="O128" i="96"/>
  <c r="M129" i="96"/>
  <c r="O129" i="96"/>
  <c r="M130" i="96"/>
  <c r="O130" i="96"/>
  <c r="J131" i="96"/>
  <c r="M131" i="96"/>
  <c r="O131" i="96"/>
  <c r="P131" i="96"/>
  <c r="J132" i="96"/>
  <c r="M132" i="96"/>
  <c r="O132" i="96"/>
  <c r="P132" i="96"/>
  <c r="J133" i="96"/>
  <c r="M133" i="96"/>
  <c r="O133" i="96"/>
  <c r="P133" i="96"/>
  <c r="J134" i="96"/>
  <c r="M134" i="96"/>
  <c r="O134" i="96"/>
  <c r="P134" i="96"/>
  <c r="J135" i="96"/>
  <c r="M135" i="96"/>
  <c r="O135" i="96"/>
  <c r="P135" i="96"/>
  <c r="J136" i="96"/>
  <c r="M136" i="96"/>
  <c r="O136" i="96"/>
  <c r="P136" i="96"/>
  <c r="J137" i="96"/>
  <c r="M137" i="96"/>
  <c r="O137" i="96"/>
  <c r="P137" i="96"/>
  <c r="J138" i="96"/>
  <c r="M138" i="96"/>
  <c r="O138" i="96"/>
  <c r="P138" i="96"/>
  <c r="J139" i="96"/>
  <c r="M139" i="96"/>
  <c r="O139" i="96"/>
  <c r="P139" i="96"/>
  <c r="J140" i="96"/>
  <c r="M140" i="96"/>
  <c r="O140" i="96"/>
  <c r="P140" i="96"/>
  <c r="J141" i="96"/>
  <c r="M141" i="96"/>
  <c r="O141" i="96"/>
  <c r="P141" i="96"/>
  <c r="J142" i="96"/>
  <c r="M142" i="96"/>
  <c r="O142" i="96"/>
  <c r="P142" i="96"/>
  <c r="J143" i="96"/>
  <c r="M143" i="96"/>
  <c r="O143" i="96"/>
  <c r="P143" i="96"/>
  <c r="J144" i="96"/>
  <c r="M144" i="96"/>
  <c r="O144" i="96"/>
  <c r="P144" i="96"/>
  <c r="J145" i="96"/>
  <c r="M145" i="96"/>
  <c r="O145" i="96"/>
  <c r="P145" i="96"/>
  <c r="J146" i="96"/>
  <c r="M146" i="96"/>
  <c r="O146" i="96"/>
  <c r="P146" i="96"/>
  <c r="J147" i="96"/>
  <c r="M147" i="96"/>
  <c r="O147" i="96"/>
  <c r="P147" i="96"/>
  <c r="J148" i="96"/>
  <c r="M148" i="96"/>
  <c r="O148" i="96"/>
  <c r="P148" i="96"/>
  <c r="J149" i="96"/>
  <c r="M149" i="96"/>
  <c r="O149" i="96"/>
  <c r="P149" i="96"/>
  <c r="J150" i="96"/>
  <c r="M150" i="96"/>
  <c r="O150" i="96"/>
  <c r="P150" i="96"/>
  <c r="J151" i="96"/>
  <c r="M151" i="96"/>
  <c r="O151" i="96"/>
  <c r="P151" i="96"/>
  <c r="J152" i="96"/>
  <c r="M152" i="96"/>
  <c r="O152" i="96"/>
  <c r="P152" i="96"/>
  <c r="J153" i="96"/>
  <c r="M153" i="96"/>
  <c r="O153" i="96"/>
  <c r="P153" i="96"/>
  <c r="J154" i="96"/>
  <c r="M154" i="96"/>
  <c r="O154" i="96"/>
  <c r="P154" i="96"/>
  <c r="P1" i="95"/>
  <c r="P83" i="95" s="1"/>
  <c r="D8" i="95"/>
  <c r="D90" i="95" s="1"/>
  <c r="I11" i="95"/>
  <c r="K11" i="95"/>
  <c r="C17" i="95"/>
  <c r="C18" i="95" s="1"/>
  <c r="C19" i="95" s="1"/>
  <c r="C20" i="95" s="1"/>
  <c r="C21" i="95" s="1"/>
  <c r="C22" i="95" s="1"/>
  <c r="C23" i="95" s="1"/>
  <c r="C24" i="95" s="1"/>
  <c r="C25" i="95" s="1"/>
  <c r="C26" i="95" s="1"/>
  <c r="C27" i="95" s="1"/>
  <c r="C28" i="95" s="1"/>
  <c r="C29" i="95" s="1"/>
  <c r="C30" i="95" s="1"/>
  <c r="C31" i="95" s="1"/>
  <c r="C32" i="95" s="1"/>
  <c r="C33" i="95" s="1"/>
  <c r="C34" i="95" s="1"/>
  <c r="C35" i="95" s="1"/>
  <c r="C36" i="95" s="1"/>
  <c r="C37" i="95" s="1"/>
  <c r="C38" i="95" s="1"/>
  <c r="C39" i="95" s="1"/>
  <c r="C40" i="95" s="1"/>
  <c r="C41" i="95" s="1"/>
  <c r="C42" i="95" s="1"/>
  <c r="C43" i="95" s="1"/>
  <c r="C44" i="95" s="1"/>
  <c r="C45" i="95" s="1"/>
  <c r="C46" i="95" s="1"/>
  <c r="C47" i="95" s="1"/>
  <c r="C48" i="95" s="1"/>
  <c r="C49" i="95" s="1"/>
  <c r="C50" i="95" s="1"/>
  <c r="C51" i="95" s="1"/>
  <c r="C52" i="95" s="1"/>
  <c r="C53" i="95" s="1"/>
  <c r="C54" i="95" s="1"/>
  <c r="C55" i="95" s="1"/>
  <c r="C56" i="95" s="1"/>
  <c r="C57" i="95" s="1"/>
  <c r="C58" i="95" s="1"/>
  <c r="C59" i="95" s="1"/>
  <c r="C60" i="95" s="1"/>
  <c r="C61" i="95" s="1"/>
  <c r="C62" i="95" s="1"/>
  <c r="C63" i="95" s="1"/>
  <c r="C64" i="95" s="1"/>
  <c r="C65" i="95" s="1"/>
  <c r="C66" i="95" s="1"/>
  <c r="C67" i="95" s="1"/>
  <c r="C68" i="95" s="1"/>
  <c r="C69" i="95" s="1"/>
  <c r="C70" i="95" s="1"/>
  <c r="C71" i="95" s="1"/>
  <c r="C72" i="95" s="1"/>
  <c r="L18" i="95"/>
  <c r="N18" i="95"/>
  <c r="L19" i="95"/>
  <c r="N19" i="95"/>
  <c r="L20" i="95"/>
  <c r="N20" i="95"/>
  <c r="L21" i="95"/>
  <c r="N21" i="95"/>
  <c r="L22" i="95"/>
  <c r="N22" i="95"/>
  <c r="L23" i="95"/>
  <c r="N23" i="95"/>
  <c r="L24" i="95"/>
  <c r="N24" i="95"/>
  <c r="L25" i="95"/>
  <c r="N25" i="95"/>
  <c r="L26" i="95"/>
  <c r="N26" i="95"/>
  <c r="L27" i="95"/>
  <c r="N27" i="95"/>
  <c r="L28" i="95"/>
  <c r="N28" i="95"/>
  <c r="L29" i="95"/>
  <c r="N29" i="95"/>
  <c r="L30" i="95"/>
  <c r="N30" i="95"/>
  <c r="L31" i="95"/>
  <c r="N31" i="95"/>
  <c r="L32" i="95"/>
  <c r="N32" i="95"/>
  <c r="L33" i="95"/>
  <c r="N33" i="95"/>
  <c r="L34" i="95"/>
  <c r="N34" i="95"/>
  <c r="L35" i="95"/>
  <c r="N35" i="95"/>
  <c r="L36" i="95"/>
  <c r="N36" i="95"/>
  <c r="L37" i="95"/>
  <c r="N37" i="95"/>
  <c r="L38" i="95"/>
  <c r="N38" i="95"/>
  <c r="L39" i="95"/>
  <c r="N39" i="95"/>
  <c r="L40" i="95"/>
  <c r="N40" i="95"/>
  <c r="L41" i="95"/>
  <c r="N41" i="95"/>
  <c r="L42" i="95"/>
  <c r="N42" i="95"/>
  <c r="L43" i="95"/>
  <c r="N43" i="95"/>
  <c r="L44" i="95"/>
  <c r="N44" i="95"/>
  <c r="L45" i="95"/>
  <c r="N45" i="95"/>
  <c r="L46" i="95"/>
  <c r="N46" i="95"/>
  <c r="L47" i="95"/>
  <c r="N47" i="95"/>
  <c r="L48" i="95"/>
  <c r="N48" i="95"/>
  <c r="L49" i="95"/>
  <c r="N49" i="95"/>
  <c r="L50" i="95"/>
  <c r="N50" i="95"/>
  <c r="L51" i="95"/>
  <c r="N51" i="95"/>
  <c r="L52" i="95"/>
  <c r="N52" i="95"/>
  <c r="L53" i="95"/>
  <c r="N53" i="95"/>
  <c r="L54" i="95"/>
  <c r="N54" i="95"/>
  <c r="L55" i="95"/>
  <c r="N55" i="95"/>
  <c r="L56" i="95"/>
  <c r="N56" i="95"/>
  <c r="L57" i="95"/>
  <c r="N57" i="95"/>
  <c r="L58" i="95"/>
  <c r="N58" i="95"/>
  <c r="L59" i="95"/>
  <c r="N59" i="95"/>
  <c r="L60" i="95"/>
  <c r="N60" i="95"/>
  <c r="L61" i="95"/>
  <c r="N61" i="95"/>
  <c r="O61" i="95"/>
  <c r="L62" i="95"/>
  <c r="N62" i="95"/>
  <c r="L63" i="95"/>
  <c r="N63" i="95"/>
  <c r="O63" i="95" s="1"/>
  <c r="L64" i="95"/>
  <c r="N64" i="95"/>
  <c r="L65" i="95"/>
  <c r="N65" i="95"/>
  <c r="L66" i="95"/>
  <c r="N66" i="95"/>
  <c r="L67" i="95"/>
  <c r="N67" i="95"/>
  <c r="L68" i="95"/>
  <c r="N68" i="95"/>
  <c r="L69" i="95"/>
  <c r="N69" i="95"/>
  <c r="L70" i="95"/>
  <c r="N70" i="95"/>
  <c r="L71" i="95"/>
  <c r="N71" i="95"/>
  <c r="L72" i="95"/>
  <c r="N72" i="95"/>
  <c r="D89" i="95"/>
  <c r="D91" i="95"/>
  <c r="J93" i="95"/>
  <c r="L93" i="95"/>
  <c r="D96" i="95"/>
  <c r="M100" i="95"/>
  <c r="O100" i="95"/>
  <c r="M101" i="95"/>
  <c r="O101" i="95"/>
  <c r="M102" i="95"/>
  <c r="O102" i="95"/>
  <c r="M103" i="95"/>
  <c r="O103" i="95"/>
  <c r="M104" i="95"/>
  <c r="O104" i="95"/>
  <c r="M105" i="95"/>
  <c r="O105" i="95"/>
  <c r="M106" i="95"/>
  <c r="O106" i="95"/>
  <c r="M107" i="95"/>
  <c r="O107" i="95"/>
  <c r="M108" i="95"/>
  <c r="O108" i="95"/>
  <c r="M109" i="95"/>
  <c r="O109" i="95"/>
  <c r="M110" i="95"/>
  <c r="O110" i="95"/>
  <c r="M111" i="95"/>
  <c r="O111" i="95"/>
  <c r="M112" i="95"/>
  <c r="O112" i="95"/>
  <c r="M113" i="95"/>
  <c r="O113" i="95"/>
  <c r="M114" i="95"/>
  <c r="O114" i="95"/>
  <c r="M115" i="95"/>
  <c r="O115" i="95"/>
  <c r="M116" i="95"/>
  <c r="O116" i="95"/>
  <c r="M117" i="95"/>
  <c r="O117" i="95"/>
  <c r="M118" i="95"/>
  <c r="O118" i="95"/>
  <c r="M119" i="95"/>
  <c r="O119" i="95"/>
  <c r="M120" i="95"/>
  <c r="O120" i="95"/>
  <c r="M121" i="95"/>
  <c r="O121" i="95"/>
  <c r="M122" i="95"/>
  <c r="O122" i="95"/>
  <c r="M123" i="95"/>
  <c r="O123" i="95"/>
  <c r="M124" i="95"/>
  <c r="O124" i="95"/>
  <c r="M125" i="95"/>
  <c r="O125" i="95"/>
  <c r="M126" i="95"/>
  <c r="O126" i="95"/>
  <c r="M127" i="95"/>
  <c r="O127" i="95"/>
  <c r="M128" i="95"/>
  <c r="O128" i="95"/>
  <c r="M129" i="95"/>
  <c r="O129" i="95"/>
  <c r="M130" i="95"/>
  <c r="O130" i="95"/>
  <c r="J131" i="95"/>
  <c r="M131" i="95"/>
  <c r="O131" i="95"/>
  <c r="P131" i="95"/>
  <c r="J132" i="95"/>
  <c r="M132" i="95"/>
  <c r="O132" i="95"/>
  <c r="P132" i="95"/>
  <c r="J133" i="95"/>
  <c r="M133" i="95"/>
  <c r="O133" i="95"/>
  <c r="P133" i="95"/>
  <c r="J134" i="95"/>
  <c r="M134" i="95"/>
  <c r="O134" i="95"/>
  <c r="P134" i="95"/>
  <c r="J135" i="95"/>
  <c r="M135" i="95"/>
  <c r="O135" i="95"/>
  <c r="P135" i="95"/>
  <c r="J136" i="95"/>
  <c r="M136" i="95"/>
  <c r="O136" i="95"/>
  <c r="P136" i="95"/>
  <c r="J137" i="95"/>
  <c r="M137" i="95"/>
  <c r="O137" i="95"/>
  <c r="P137" i="95"/>
  <c r="J138" i="95"/>
  <c r="M138" i="95"/>
  <c r="O138" i="95"/>
  <c r="P138" i="95"/>
  <c r="J139" i="95"/>
  <c r="M139" i="95"/>
  <c r="O139" i="95"/>
  <c r="P139" i="95"/>
  <c r="J140" i="95"/>
  <c r="M140" i="95"/>
  <c r="O140" i="95"/>
  <c r="P140" i="95"/>
  <c r="J141" i="95"/>
  <c r="M141" i="95"/>
  <c r="O141" i="95"/>
  <c r="P141" i="95"/>
  <c r="J142" i="95"/>
  <c r="M142" i="95"/>
  <c r="O142" i="95"/>
  <c r="P142" i="95"/>
  <c r="J143" i="95"/>
  <c r="M143" i="95"/>
  <c r="O143" i="95"/>
  <c r="P143" i="95"/>
  <c r="J144" i="95"/>
  <c r="M144" i="95"/>
  <c r="O144" i="95"/>
  <c r="P144" i="95"/>
  <c r="J145" i="95"/>
  <c r="M145" i="95"/>
  <c r="O145" i="95"/>
  <c r="P145" i="95"/>
  <c r="J146" i="95"/>
  <c r="M146" i="95"/>
  <c r="O146" i="95"/>
  <c r="P146" i="95"/>
  <c r="J147" i="95"/>
  <c r="M147" i="95"/>
  <c r="O147" i="95"/>
  <c r="P147" i="95"/>
  <c r="J148" i="95"/>
  <c r="M148" i="95"/>
  <c r="O148" i="95"/>
  <c r="P148" i="95"/>
  <c r="J149" i="95"/>
  <c r="M149" i="95"/>
  <c r="O149" i="95"/>
  <c r="P149" i="95"/>
  <c r="J150" i="95"/>
  <c r="M150" i="95"/>
  <c r="O150" i="95"/>
  <c r="P150" i="95"/>
  <c r="J151" i="95"/>
  <c r="M151" i="95"/>
  <c r="O151" i="95"/>
  <c r="P151" i="95"/>
  <c r="J152" i="95"/>
  <c r="M152" i="95"/>
  <c r="O152" i="95"/>
  <c r="P152" i="95"/>
  <c r="J153" i="95"/>
  <c r="M153" i="95"/>
  <c r="O153" i="95"/>
  <c r="P153" i="95"/>
  <c r="J154" i="95"/>
  <c r="M154" i="95"/>
  <c r="O154" i="95"/>
  <c r="P154" i="95"/>
  <c r="P1" i="92"/>
  <c r="P83" i="92" s="1"/>
  <c r="D8" i="92"/>
  <c r="I11" i="92"/>
  <c r="K11" i="92"/>
  <c r="C17" i="92"/>
  <c r="C18" i="92"/>
  <c r="C19" i="92" s="1"/>
  <c r="C20" i="92" s="1"/>
  <c r="C21" i="92" s="1"/>
  <c r="C22" i="92" s="1"/>
  <c r="C23" i="92" s="1"/>
  <c r="C24" i="92" s="1"/>
  <c r="C25" i="92" s="1"/>
  <c r="C26" i="92" s="1"/>
  <c r="C27" i="92" s="1"/>
  <c r="C28" i="92" s="1"/>
  <c r="C29" i="92" s="1"/>
  <c r="C30" i="92" s="1"/>
  <c r="C31" i="92" s="1"/>
  <c r="C32" i="92" s="1"/>
  <c r="C33" i="92" s="1"/>
  <c r="C34" i="92" s="1"/>
  <c r="C35" i="92" s="1"/>
  <c r="C36" i="92" s="1"/>
  <c r="C37" i="92" s="1"/>
  <c r="C38" i="92" s="1"/>
  <c r="C39" i="92" s="1"/>
  <c r="C40" i="92" s="1"/>
  <c r="C41" i="92" s="1"/>
  <c r="C42" i="92" s="1"/>
  <c r="C43" i="92" s="1"/>
  <c r="C44" i="92" s="1"/>
  <c r="K17" i="92"/>
  <c r="L17" i="92" s="1"/>
  <c r="M17" i="92"/>
  <c r="N17" i="92" s="1"/>
  <c r="B18" i="92"/>
  <c r="L19" i="92"/>
  <c r="N19" i="92"/>
  <c r="L20" i="92"/>
  <c r="N20" i="92"/>
  <c r="L21" i="92"/>
  <c r="N21" i="92"/>
  <c r="L22" i="92"/>
  <c r="N22" i="92"/>
  <c r="L23" i="92"/>
  <c r="N23" i="92"/>
  <c r="L24" i="92"/>
  <c r="N24" i="92"/>
  <c r="L25" i="92"/>
  <c r="N25" i="92"/>
  <c r="L26" i="92"/>
  <c r="N26" i="92"/>
  <c r="L27" i="92"/>
  <c r="N27" i="92"/>
  <c r="L28" i="92"/>
  <c r="N28" i="92"/>
  <c r="L29" i="92"/>
  <c r="N29" i="92"/>
  <c r="L30" i="92"/>
  <c r="N30" i="92"/>
  <c r="L31" i="92"/>
  <c r="N31" i="92"/>
  <c r="O31" i="92" s="1"/>
  <c r="L32" i="92"/>
  <c r="N32" i="92"/>
  <c r="L33" i="92"/>
  <c r="N33" i="92"/>
  <c r="O33" i="92" s="1"/>
  <c r="L34" i="92"/>
  <c r="N34" i="92"/>
  <c r="L35" i="92"/>
  <c r="N35" i="92"/>
  <c r="O35" i="92" s="1"/>
  <c r="L36" i="92"/>
  <c r="N36" i="92"/>
  <c r="L37" i="92"/>
  <c r="N37" i="92"/>
  <c r="O37" i="92" s="1"/>
  <c r="L38" i="92"/>
  <c r="N38" i="92"/>
  <c r="O38" i="92" s="1"/>
  <c r="L39" i="92"/>
  <c r="N39" i="92"/>
  <c r="L40" i="92"/>
  <c r="N40" i="92"/>
  <c r="O40" i="92"/>
  <c r="L41" i="92"/>
  <c r="N41" i="92"/>
  <c r="L42" i="92"/>
  <c r="N42" i="92"/>
  <c r="L43" i="92"/>
  <c r="N43" i="92"/>
  <c r="L44" i="92"/>
  <c r="N44" i="92"/>
  <c r="L45" i="92"/>
  <c r="N45" i="92"/>
  <c r="L46" i="92"/>
  <c r="N46" i="92"/>
  <c r="L47" i="92"/>
  <c r="N47" i="92"/>
  <c r="L48" i="92"/>
  <c r="N48" i="92"/>
  <c r="L49" i="92"/>
  <c r="O49" i="92" s="1"/>
  <c r="N49" i="92"/>
  <c r="L50" i="92"/>
  <c r="N50" i="92"/>
  <c r="L51" i="92"/>
  <c r="N51" i="92"/>
  <c r="O51" i="92"/>
  <c r="L52" i="92"/>
  <c r="N52" i="92"/>
  <c r="L53" i="92"/>
  <c r="N53" i="92"/>
  <c r="L54" i="92"/>
  <c r="N54" i="92"/>
  <c r="L55" i="92"/>
  <c r="N55" i="92"/>
  <c r="O55" i="92" s="1"/>
  <c r="L56" i="92"/>
  <c r="N56" i="92"/>
  <c r="L57" i="92"/>
  <c r="N57" i="92"/>
  <c r="L58" i="92"/>
  <c r="N58" i="92"/>
  <c r="L59" i="92"/>
  <c r="N59" i="92"/>
  <c r="L60" i="92"/>
  <c r="N60" i="92"/>
  <c r="L61" i="92"/>
  <c r="N61" i="92"/>
  <c r="L62" i="92"/>
  <c r="N62" i="92"/>
  <c r="L63" i="92"/>
  <c r="N63" i="92"/>
  <c r="O63" i="92" s="1"/>
  <c r="L64" i="92"/>
  <c r="N64" i="92"/>
  <c r="L65" i="92"/>
  <c r="N65" i="92"/>
  <c r="L66" i="92"/>
  <c r="N66" i="92"/>
  <c r="L67" i="92"/>
  <c r="N67" i="92"/>
  <c r="L68" i="92"/>
  <c r="N68" i="92"/>
  <c r="L69" i="92"/>
  <c r="N69" i="92"/>
  <c r="L70" i="92"/>
  <c r="O70" i="92" s="1"/>
  <c r="N70" i="92"/>
  <c r="L71" i="92"/>
  <c r="N71" i="92"/>
  <c r="L72" i="92"/>
  <c r="N72" i="92"/>
  <c r="D89" i="92"/>
  <c r="D90" i="92"/>
  <c r="D91" i="92"/>
  <c r="J93" i="92"/>
  <c r="L93" i="92"/>
  <c r="D96" i="92"/>
  <c r="M100" i="92"/>
  <c r="O100" i="92"/>
  <c r="M101" i="92"/>
  <c r="O101" i="92"/>
  <c r="M102" i="92"/>
  <c r="O102" i="92"/>
  <c r="M103" i="92"/>
  <c r="O103" i="92"/>
  <c r="M104" i="92"/>
  <c r="O104" i="92"/>
  <c r="M105" i="92"/>
  <c r="O105" i="92"/>
  <c r="M106" i="92"/>
  <c r="O106" i="92"/>
  <c r="M107" i="92"/>
  <c r="O107" i="92"/>
  <c r="M108" i="92"/>
  <c r="O108" i="92"/>
  <c r="P108" i="92" s="1"/>
  <c r="M109" i="92"/>
  <c r="O109" i="92"/>
  <c r="M110" i="92"/>
  <c r="O110" i="92"/>
  <c r="M111" i="92"/>
  <c r="O111" i="92"/>
  <c r="M112" i="92"/>
  <c r="O112" i="92"/>
  <c r="M113" i="92"/>
  <c r="O113" i="92"/>
  <c r="P113" i="92" s="1"/>
  <c r="M114" i="92"/>
  <c r="O114" i="92"/>
  <c r="M115" i="92"/>
  <c r="O115" i="92"/>
  <c r="M116" i="92"/>
  <c r="O116" i="92"/>
  <c r="M117" i="92"/>
  <c r="O117" i="92"/>
  <c r="M118" i="92"/>
  <c r="O118" i="92"/>
  <c r="M119" i="92"/>
  <c r="O119" i="92"/>
  <c r="M120" i="92"/>
  <c r="O120" i="92"/>
  <c r="M121" i="92"/>
  <c r="O121" i="92"/>
  <c r="M122" i="92"/>
  <c r="O122" i="92"/>
  <c r="M123" i="92"/>
  <c r="O123" i="92"/>
  <c r="M124" i="92"/>
  <c r="O124" i="92"/>
  <c r="M125" i="92"/>
  <c r="O125" i="92"/>
  <c r="M126" i="92"/>
  <c r="O126" i="92"/>
  <c r="M127" i="92"/>
  <c r="O127" i="92"/>
  <c r="M128" i="92"/>
  <c r="O128" i="92"/>
  <c r="M129" i="92"/>
  <c r="O129" i="92"/>
  <c r="M130" i="92"/>
  <c r="O130" i="92"/>
  <c r="J131" i="92"/>
  <c r="M131" i="92"/>
  <c r="O131" i="92"/>
  <c r="P131" i="92"/>
  <c r="J132" i="92"/>
  <c r="M132" i="92"/>
  <c r="O132" i="92"/>
  <c r="P132" i="92"/>
  <c r="J133" i="92"/>
  <c r="M133" i="92"/>
  <c r="O133" i="92"/>
  <c r="P133" i="92"/>
  <c r="J134" i="92"/>
  <c r="M134" i="92"/>
  <c r="O134" i="92"/>
  <c r="P134" i="92"/>
  <c r="J135" i="92"/>
  <c r="M135" i="92"/>
  <c r="O135" i="92"/>
  <c r="P135" i="92"/>
  <c r="J136" i="92"/>
  <c r="M136" i="92"/>
  <c r="O136" i="92"/>
  <c r="P136" i="92"/>
  <c r="J137" i="92"/>
  <c r="M137" i="92"/>
  <c r="O137" i="92"/>
  <c r="P137" i="92"/>
  <c r="J138" i="92"/>
  <c r="M138" i="92"/>
  <c r="O138" i="92"/>
  <c r="P138" i="92"/>
  <c r="J139" i="92"/>
  <c r="M139" i="92"/>
  <c r="O139" i="92"/>
  <c r="P139" i="92"/>
  <c r="J140" i="92"/>
  <c r="M140" i="92"/>
  <c r="O140" i="92"/>
  <c r="P140" i="92"/>
  <c r="J141" i="92"/>
  <c r="M141" i="92"/>
  <c r="O141" i="92"/>
  <c r="P141" i="92"/>
  <c r="J142" i="92"/>
  <c r="M142" i="92"/>
  <c r="O142" i="92"/>
  <c r="P142" i="92"/>
  <c r="J143" i="92"/>
  <c r="M143" i="92"/>
  <c r="O143" i="92"/>
  <c r="P143" i="92"/>
  <c r="J144" i="92"/>
  <c r="M144" i="92"/>
  <c r="O144" i="92"/>
  <c r="P144" i="92"/>
  <c r="J145" i="92"/>
  <c r="M145" i="92"/>
  <c r="O145" i="92"/>
  <c r="P145" i="92"/>
  <c r="J146" i="92"/>
  <c r="M146" i="92"/>
  <c r="O146" i="92"/>
  <c r="P146" i="92"/>
  <c r="J147" i="92"/>
  <c r="M147" i="92"/>
  <c r="O147" i="92"/>
  <c r="P147" i="92"/>
  <c r="J148" i="92"/>
  <c r="M148" i="92"/>
  <c r="O148" i="92"/>
  <c r="P148" i="92"/>
  <c r="J149" i="92"/>
  <c r="M149" i="92"/>
  <c r="O149" i="92"/>
  <c r="P149" i="92"/>
  <c r="J150" i="92"/>
  <c r="M150" i="92"/>
  <c r="O150" i="92"/>
  <c r="P150" i="92"/>
  <c r="J151" i="92"/>
  <c r="M151" i="92"/>
  <c r="O151" i="92"/>
  <c r="P151" i="92"/>
  <c r="J152" i="92"/>
  <c r="M152" i="92"/>
  <c r="O152" i="92"/>
  <c r="P152" i="92"/>
  <c r="J153" i="92"/>
  <c r="M153" i="92"/>
  <c r="O153" i="92"/>
  <c r="P153" i="92"/>
  <c r="J154" i="92"/>
  <c r="M154" i="92"/>
  <c r="O154" i="92"/>
  <c r="P154" i="92"/>
  <c r="P1" i="91"/>
  <c r="P83" i="91" s="1"/>
  <c r="D8" i="91"/>
  <c r="D90" i="91"/>
  <c r="I11" i="91"/>
  <c r="K11" i="91"/>
  <c r="C17" i="91"/>
  <c r="C18" i="91" s="1"/>
  <c r="C19" i="91" s="1"/>
  <c r="C20" i="91" s="1"/>
  <c r="C21" i="91" s="1"/>
  <c r="C22" i="91" s="1"/>
  <c r="C23" i="91" s="1"/>
  <c r="C24" i="91" s="1"/>
  <c r="C25" i="91" s="1"/>
  <c r="C26" i="91" s="1"/>
  <c r="C27" i="91" s="1"/>
  <c r="C28" i="91" s="1"/>
  <c r="C29" i="91" s="1"/>
  <c r="C30" i="91" s="1"/>
  <c r="C31" i="91" s="1"/>
  <c r="C32" i="91" s="1"/>
  <c r="C33" i="91" s="1"/>
  <c r="C34" i="91" s="1"/>
  <c r="C35" i="91" s="1"/>
  <c r="C36" i="91" s="1"/>
  <c r="C37" i="91" s="1"/>
  <c r="C38" i="91" s="1"/>
  <c r="C39" i="91" s="1"/>
  <c r="C40" i="91" s="1"/>
  <c r="C41" i="91" s="1"/>
  <c r="C42" i="91" s="1"/>
  <c r="C43" i="91" s="1"/>
  <c r="C44" i="91" s="1"/>
  <c r="C45" i="91" s="1"/>
  <c r="C46" i="91" s="1"/>
  <c r="C47" i="91" s="1"/>
  <c r="C48" i="91" s="1"/>
  <c r="C49" i="91" s="1"/>
  <c r="C50" i="91" s="1"/>
  <c r="C51" i="91" s="1"/>
  <c r="C52" i="91" s="1"/>
  <c r="C53" i="91" s="1"/>
  <c r="C54" i="91" s="1"/>
  <c r="C55" i="91" s="1"/>
  <c r="C56" i="91" s="1"/>
  <c r="C57" i="91" s="1"/>
  <c r="C58" i="91" s="1"/>
  <c r="C59" i="91" s="1"/>
  <c r="C60" i="91" s="1"/>
  <c r="C61" i="91" s="1"/>
  <c r="C62" i="91" s="1"/>
  <c r="C63" i="91" s="1"/>
  <c r="C64" i="91" s="1"/>
  <c r="C65" i="91" s="1"/>
  <c r="C66" i="91" s="1"/>
  <c r="C67" i="91" s="1"/>
  <c r="C68" i="91" s="1"/>
  <c r="C69" i="91" s="1"/>
  <c r="C70" i="91" s="1"/>
  <c r="C71" i="91" s="1"/>
  <c r="C72" i="91" s="1"/>
  <c r="K17" i="91"/>
  <c r="L17" i="91"/>
  <c r="M17" i="91"/>
  <c r="N17" i="91"/>
  <c r="B18" i="91"/>
  <c r="L19" i="91"/>
  <c r="N19" i="91"/>
  <c r="L20" i="91"/>
  <c r="N20" i="91"/>
  <c r="L21" i="91"/>
  <c r="N21" i="91"/>
  <c r="L22" i="91"/>
  <c r="N22" i="91"/>
  <c r="L23" i="91"/>
  <c r="N23" i="91"/>
  <c r="L24" i="91"/>
  <c r="N24" i="91"/>
  <c r="L25" i="91"/>
  <c r="N25" i="91"/>
  <c r="L26" i="91"/>
  <c r="N26" i="91"/>
  <c r="L27" i="91"/>
  <c r="N27" i="91"/>
  <c r="L28" i="91"/>
  <c r="N28" i="91"/>
  <c r="L29" i="91"/>
  <c r="N29" i="91"/>
  <c r="L30" i="91"/>
  <c r="N30" i="91"/>
  <c r="L31" i="91"/>
  <c r="N31" i="91"/>
  <c r="L32" i="91"/>
  <c r="N32" i="91"/>
  <c r="L33" i="91"/>
  <c r="N33" i="91"/>
  <c r="L34" i="91"/>
  <c r="N34" i="91"/>
  <c r="L35" i="91"/>
  <c r="N35" i="91"/>
  <c r="L36" i="91"/>
  <c r="N36" i="91"/>
  <c r="L37" i="91"/>
  <c r="N37" i="91"/>
  <c r="L38" i="91"/>
  <c r="N38" i="91"/>
  <c r="L39" i="91"/>
  <c r="N39" i="91"/>
  <c r="L40" i="91"/>
  <c r="N40" i="91"/>
  <c r="L41" i="91"/>
  <c r="N41" i="91"/>
  <c r="L42" i="91"/>
  <c r="N42" i="91"/>
  <c r="L43" i="91"/>
  <c r="N43" i="91"/>
  <c r="L44" i="91"/>
  <c r="N44" i="91"/>
  <c r="L45" i="91"/>
  <c r="N45" i="91"/>
  <c r="L46" i="91"/>
  <c r="N46" i="91"/>
  <c r="L47" i="91"/>
  <c r="N47" i="91"/>
  <c r="L48" i="91"/>
  <c r="N48" i="91"/>
  <c r="L49" i="91"/>
  <c r="N49" i="91"/>
  <c r="L50" i="91"/>
  <c r="N50" i="91"/>
  <c r="L51" i="91"/>
  <c r="N51" i="91"/>
  <c r="L52" i="91"/>
  <c r="N52" i="91"/>
  <c r="L53" i="91"/>
  <c r="N53" i="91"/>
  <c r="L54" i="91"/>
  <c r="N54" i="91"/>
  <c r="L55" i="91"/>
  <c r="N55" i="91"/>
  <c r="L56" i="91"/>
  <c r="N56" i="91"/>
  <c r="L57" i="91"/>
  <c r="N57" i="91"/>
  <c r="L58" i="91"/>
  <c r="N58" i="91"/>
  <c r="L59" i="91"/>
  <c r="N59" i="91"/>
  <c r="L60" i="91"/>
  <c r="N60" i="91"/>
  <c r="L61" i="91"/>
  <c r="N61" i="91"/>
  <c r="L62" i="91"/>
  <c r="N62" i="91"/>
  <c r="L63" i="91"/>
  <c r="N63" i="91"/>
  <c r="L64" i="91"/>
  <c r="N64" i="91"/>
  <c r="L65" i="91"/>
  <c r="N65" i="91"/>
  <c r="L66" i="91"/>
  <c r="N66" i="91"/>
  <c r="L67" i="91"/>
  <c r="N67" i="91"/>
  <c r="L68" i="91"/>
  <c r="N68" i="91"/>
  <c r="L69" i="91"/>
  <c r="N69" i="91"/>
  <c r="L70" i="91"/>
  <c r="N70" i="91"/>
  <c r="L71" i="91"/>
  <c r="N71" i="91"/>
  <c r="L72" i="91"/>
  <c r="N72" i="91"/>
  <c r="D89" i="91"/>
  <c r="D91" i="91"/>
  <c r="J93" i="91"/>
  <c r="L93" i="91"/>
  <c r="D96" i="91"/>
  <c r="M100" i="91"/>
  <c r="O100" i="91"/>
  <c r="M101" i="91"/>
  <c r="O101" i="91"/>
  <c r="M102" i="91"/>
  <c r="O102" i="91"/>
  <c r="M103" i="91"/>
  <c r="O103" i="91"/>
  <c r="M104" i="91"/>
  <c r="O104" i="91"/>
  <c r="M105" i="91"/>
  <c r="O105" i="91"/>
  <c r="M106" i="91"/>
  <c r="O106" i="91"/>
  <c r="M107" i="91"/>
  <c r="O107" i="91"/>
  <c r="M108" i="91"/>
  <c r="O108" i="91"/>
  <c r="M109" i="91"/>
  <c r="O109" i="91"/>
  <c r="M110" i="91"/>
  <c r="O110" i="91"/>
  <c r="M111" i="91"/>
  <c r="O111" i="91"/>
  <c r="M112" i="91"/>
  <c r="O112" i="91"/>
  <c r="M113" i="91"/>
  <c r="O113" i="91"/>
  <c r="M114" i="91"/>
  <c r="O114" i="91"/>
  <c r="M115" i="91"/>
  <c r="O115" i="91"/>
  <c r="M116" i="91"/>
  <c r="O116" i="91"/>
  <c r="M117" i="91"/>
  <c r="O117" i="91"/>
  <c r="M118" i="91"/>
  <c r="O118" i="91"/>
  <c r="M119" i="91"/>
  <c r="O119" i="91"/>
  <c r="M120" i="91"/>
  <c r="O120" i="91"/>
  <c r="M121" i="91"/>
  <c r="O121" i="91"/>
  <c r="M122" i="91"/>
  <c r="O122" i="91"/>
  <c r="M123" i="91"/>
  <c r="O123" i="91"/>
  <c r="M124" i="91"/>
  <c r="O124" i="91"/>
  <c r="M125" i="91"/>
  <c r="O125" i="91"/>
  <c r="M126" i="91"/>
  <c r="O126" i="91"/>
  <c r="M127" i="91"/>
  <c r="O127" i="91"/>
  <c r="M128" i="91"/>
  <c r="O128" i="91"/>
  <c r="M129" i="91"/>
  <c r="O129" i="91"/>
  <c r="M130" i="91"/>
  <c r="O130" i="91"/>
  <c r="J131" i="91"/>
  <c r="M131" i="91"/>
  <c r="O131" i="91"/>
  <c r="P131" i="91"/>
  <c r="J132" i="91"/>
  <c r="M132" i="91"/>
  <c r="O132" i="91"/>
  <c r="P132" i="91"/>
  <c r="J133" i="91"/>
  <c r="M133" i="91"/>
  <c r="O133" i="91"/>
  <c r="P133" i="91"/>
  <c r="J134" i="91"/>
  <c r="M134" i="91"/>
  <c r="O134" i="91"/>
  <c r="P134" i="91"/>
  <c r="J135" i="91"/>
  <c r="M135" i="91"/>
  <c r="O135" i="91"/>
  <c r="P135" i="91"/>
  <c r="J136" i="91"/>
  <c r="M136" i="91"/>
  <c r="O136" i="91"/>
  <c r="P136" i="91"/>
  <c r="J137" i="91"/>
  <c r="M137" i="91"/>
  <c r="O137" i="91"/>
  <c r="P137" i="91"/>
  <c r="J138" i="91"/>
  <c r="M138" i="91"/>
  <c r="O138" i="91"/>
  <c r="P138" i="91"/>
  <c r="J139" i="91"/>
  <c r="M139" i="91"/>
  <c r="O139" i="91"/>
  <c r="P139" i="91"/>
  <c r="J140" i="91"/>
  <c r="M140" i="91"/>
  <c r="O140" i="91"/>
  <c r="P140" i="91"/>
  <c r="J141" i="91"/>
  <c r="M141" i="91"/>
  <c r="O141" i="91"/>
  <c r="P141" i="91"/>
  <c r="J142" i="91"/>
  <c r="M142" i="91"/>
  <c r="O142" i="91"/>
  <c r="P142" i="91"/>
  <c r="J143" i="91"/>
  <c r="M143" i="91"/>
  <c r="O143" i="91"/>
  <c r="P143" i="91"/>
  <c r="J144" i="91"/>
  <c r="M144" i="91"/>
  <c r="O144" i="91"/>
  <c r="P144" i="91"/>
  <c r="J145" i="91"/>
  <c r="M145" i="91"/>
  <c r="O145" i="91"/>
  <c r="P145" i="91"/>
  <c r="J146" i="91"/>
  <c r="M146" i="91"/>
  <c r="O146" i="91"/>
  <c r="P146" i="91"/>
  <c r="J147" i="91"/>
  <c r="M147" i="91"/>
  <c r="O147" i="91"/>
  <c r="P147" i="91"/>
  <c r="J148" i="91"/>
  <c r="M148" i="91"/>
  <c r="O148" i="91"/>
  <c r="P148" i="91"/>
  <c r="J149" i="91"/>
  <c r="M149" i="91"/>
  <c r="O149" i="91"/>
  <c r="P149" i="91"/>
  <c r="J150" i="91"/>
  <c r="M150" i="91"/>
  <c r="O150" i="91"/>
  <c r="P150" i="91"/>
  <c r="J151" i="91"/>
  <c r="M151" i="91"/>
  <c r="O151" i="91"/>
  <c r="P151" i="91"/>
  <c r="J152" i="91"/>
  <c r="M152" i="91"/>
  <c r="O152" i="91"/>
  <c r="P152" i="91"/>
  <c r="J153" i="91"/>
  <c r="M153" i="91"/>
  <c r="O153" i="91"/>
  <c r="P153" i="91"/>
  <c r="J154" i="91"/>
  <c r="M154" i="91"/>
  <c r="O154" i="91"/>
  <c r="P154" i="91"/>
  <c r="P1" i="90"/>
  <c r="P83" i="90" s="1"/>
  <c r="D8" i="90"/>
  <c r="D90" i="90" s="1"/>
  <c r="I11" i="90"/>
  <c r="K11" i="90"/>
  <c r="C17" i="90"/>
  <c r="C18" i="90"/>
  <c r="C19" i="90" s="1"/>
  <c r="C20" i="90" s="1"/>
  <c r="C21" i="90" s="1"/>
  <c r="C22" i="90" s="1"/>
  <c r="C23" i="90"/>
  <c r="C24" i="90" s="1"/>
  <c r="C25" i="90" s="1"/>
  <c r="C26" i="90" s="1"/>
  <c r="C27" i="90" s="1"/>
  <c r="C28" i="90" s="1"/>
  <c r="C29" i="90" s="1"/>
  <c r="C30" i="90" s="1"/>
  <c r="C31" i="90" s="1"/>
  <c r="C32" i="90" s="1"/>
  <c r="C33" i="90" s="1"/>
  <c r="C34" i="90" s="1"/>
  <c r="C35" i="90" s="1"/>
  <c r="C36" i="90" s="1"/>
  <c r="C37" i="90" s="1"/>
  <c r="C38" i="90" s="1"/>
  <c r="C39" i="90" s="1"/>
  <c r="C40" i="90" s="1"/>
  <c r="C41" i="90" s="1"/>
  <c r="C42" i="90" s="1"/>
  <c r="C43" i="90" s="1"/>
  <c r="C44" i="90" s="1"/>
  <c r="C45" i="90" s="1"/>
  <c r="C46" i="90" s="1"/>
  <c r="C47" i="90" s="1"/>
  <c r="C48" i="90" s="1"/>
  <c r="C49" i="90" s="1"/>
  <c r="C50" i="90" s="1"/>
  <c r="C51" i="90" s="1"/>
  <c r="C52" i="90" s="1"/>
  <c r="C53" i="90" s="1"/>
  <c r="C54" i="90" s="1"/>
  <c r="C55" i="90" s="1"/>
  <c r="C56" i="90" s="1"/>
  <c r="C57" i="90" s="1"/>
  <c r="C58" i="90" s="1"/>
  <c r="C59" i="90" s="1"/>
  <c r="C60" i="90" s="1"/>
  <c r="C61" i="90" s="1"/>
  <c r="C62" i="90" s="1"/>
  <c r="C63" i="90" s="1"/>
  <c r="C64" i="90" s="1"/>
  <c r="C65" i="90" s="1"/>
  <c r="C66" i="90" s="1"/>
  <c r="C67" i="90" s="1"/>
  <c r="C68" i="90" s="1"/>
  <c r="C69" i="90" s="1"/>
  <c r="C70" i="90" s="1"/>
  <c r="C71" i="90" s="1"/>
  <c r="C72" i="90" s="1"/>
  <c r="K17" i="90"/>
  <c r="L17" i="90"/>
  <c r="M17" i="90"/>
  <c r="N17" i="90"/>
  <c r="B18" i="90"/>
  <c r="L19" i="90"/>
  <c r="N19" i="90"/>
  <c r="L20" i="90"/>
  <c r="N20" i="90"/>
  <c r="L21" i="90"/>
  <c r="N21" i="90"/>
  <c r="L22" i="90"/>
  <c r="N22" i="90"/>
  <c r="O22" i="90" s="1"/>
  <c r="L23" i="90"/>
  <c r="N23" i="90"/>
  <c r="L24" i="90"/>
  <c r="N24" i="90"/>
  <c r="L25" i="90"/>
  <c r="N25" i="90"/>
  <c r="L26" i="90"/>
  <c r="N26" i="90"/>
  <c r="L27" i="90"/>
  <c r="N27" i="90"/>
  <c r="L28" i="90"/>
  <c r="N28" i="90"/>
  <c r="L29" i="90"/>
  <c r="N29" i="90"/>
  <c r="L30" i="90"/>
  <c r="N30" i="90"/>
  <c r="L31" i="90"/>
  <c r="N31" i="90"/>
  <c r="L32" i="90"/>
  <c r="N32" i="90"/>
  <c r="L33" i="90"/>
  <c r="N33" i="90"/>
  <c r="L34" i="90"/>
  <c r="N34" i="90"/>
  <c r="L35" i="90"/>
  <c r="N35" i="90"/>
  <c r="L36" i="90"/>
  <c r="N36" i="90"/>
  <c r="L37" i="90"/>
  <c r="N37" i="90"/>
  <c r="L38" i="90"/>
  <c r="N38" i="90"/>
  <c r="L39" i="90"/>
  <c r="N39" i="90"/>
  <c r="L40" i="90"/>
  <c r="N40" i="90"/>
  <c r="L41" i="90"/>
  <c r="N41" i="90"/>
  <c r="L42" i="90"/>
  <c r="N42" i="90"/>
  <c r="L43" i="90"/>
  <c r="N43" i="90"/>
  <c r="L44" i="90"/>
  <c r="N44" i="90"/>
  <c r="L45" i="90"/>
  <c r="N45" i="90"/>
  <c r="L46" i="90"/>
  <c r="O46" i="90" s="1"/>
  <c r="N46" i="90"/>
  <c r="L47" i="90"/>
  <c r="N47" i="90"/>
  <c r="L48" i="90"/>
  <c r="O48" i="90" s="1"/>
  <c r="N48" i="90"/>
  <c r="L49" i="90"/>
  <c r="N49" i="90"/>
  <c r="L50" i="90"/>
  <c r="O50" i="90" s="1"/>
  <c r="N50" i="90"/>
  <c r="L51" i="90"/>
  <c r="N51" i="90"/>
  <c r="L52" i="90"/>
  <c r="O52" i="90" s="1"/>
  <c r="N52" i="90"/>
  <c r="L53" i="90"/>
  <c r="N53" i="90"/>
  <c r="O53" i="90" s="1"/>
  <c r="L54" i="90"/>
  <c r="O54" i="90" s="1"/>
  <c r="N54" i="90"/>
  <c r="L55" i="90"/>
  <c r="N55" i="90"/>
  <c r="L56" i="90"/>
  <c r="O56" i="90" s="1"/>
  <c r="N56" i="90"/>
  <c r="L57" i="90"/>
  <c r="N57" i="90"/>
  <c r="O57" i="90" s="1"/>
  <c r="L58" i="90"/>
  <c r="O58" i="90" s="1"/>
  <c r="N58" i="90"/>
  <c r="L59" i="90"/>
  <c r="N59" i="90"/>
  <c r="L60" i="90"/>
  <c r="O60" i="90" s="1"/>
  <c r="N60" i="90"/>
  <c r="L61" i="90"/>
  <c r="N61" i="90"/>
  <c r="L62" i="90"/>
  <c r="N62" i="90"/>
  <c r="L63" i="90"/>
  <c r="N63" i="90"/>
  <c r="L64" i="90"/>
  <c r="O64" i="90" s="1"/>
  <c r="N64" i="90"/>
  <c r="L65" i="90"/>
  <c r="N65" i="90"/>
  <c r="L66" i="90"/>
  <c r="O66" i="90" s="1"/>
  <c r="N66" i="90"/>
  <c r="L67" i="90"/>
  <c r="N67" i="90"/>
  <c r="L68" i="90"/>
  <c r="O68" i="90" s="1"/>
  <c r="N68" i="90"/>
  <c r="L69" i="90"/>
  <c r="N69" i="90"/>
  <c r="L70" i="90"/>
  <c r="O70" i="90" s="1"/>
  <c r="N70" i="90"/>
  <c r="L71" i="90"/>
  <c r="N71" i="90"/>
  <c r="L72" i="90"/>
  <c r="O72" i="90" s="1"/>
  <c r="N72" i="90"/>
  <c r="D89" i="90"/>
  <c r="D91" i="90"/>
  <c r="J93" i="90"/>
  <c r="L93" i="90"/>
  <c r="D96" i="90"/>
  <c r="M100" i="90"/>
  <c r="O100" i="90"/>
  <c r="P100" i="90" s="1"/>
  <c r="M101" i="90"/>
  <c r="O101" i="90"/>
  <c r="M102" i="90"/>
  <c r="O102" i="90"/>
  <c r="P102" i="90" s="1"/>
  <c r="M103" i="90"/>
  <c r="O103" i="90"/>
  <c r="M104" i="90"/>
  <c r="O104" i="90"/>
  <c r="M105" i="90"/>
  <c r="O105" i="90"/>
  <c r="M106" i="90"/>
  <c r="O106" i="90"/>
  <c r="P106" i="90" s="1"/>
  <c r="M107" i="90"/>
  <c r="O107" i="90"/>
  <c r="M108" i="90"/>
  <c r="O108" i="90"/>
  <c r="P108" i="90" s="1"/>
  <c r="M109" i="90"/>
  <c r="O109" i="90"/>
  <c r="M110" i="90"/>
  <c r="O110" i="90"/>
  <c r="P110" i="90" s="1"/>
  <c r="M111" i="90"/>
  <c r="O111" i="90"/>
  <c r="M112" i="90"/>
  <c r="O112" i="90"/>
  <c r="P112" i="90" s="1"/>
  <c r="M113" i="90"/>
  <c r="O113" i="90"/>
  <c r="M114" i="90"/>
  <c r="O114" i="90"/>
  <c r="M115" i="90"/>
  <c r="O115" i="90"/>
  <c r="M116" i="90"/>
  <c r="O116" i="90"/>
  <c r="P116" i="90" s="1"/>
  <c r="M117" i="90"/>
  <c r="O117" i="90"/>
  <c r="M118" i="90"/>
  <c r="O118" i="90"/>
  <c r="P118" i="90" s="1"/>
  <c r="M119" i="90"/>
  <c r="O119" i="90"/>
  <c r="M120" i="90"/>
  <c r="O120" i="90"/>
  <c r="M121" i="90"/>
  <c r="O121" i="90"/>
  <c r="M122" i="90"/>
  <c r="O122" i="90"/>
  <c r="P122" i="90" s="1"/>
  <c r="M123" i="90"/>
  <c r="O123" i="90"/>
  <c r="M124" i="90"/>
  <c r="O124" i="90"/>
  <c r="P124" i="90" s="1"/>
  <c r="M125" i="90"/>
  <c r="O125" i="90"/>
  <c r="M126" i="90"/>
  <c r="O126" i="90"/>
  <c r="P126" i="90" s="1"/>
  <c r="M127" i="90"/>
  <c r="O127" i="90"/>
  <c r="M128" i="90"/>
  <c r="O128" i="90"/>
  <c r="P128" i="90" s="1"/>
  <c r="M129" i="90"/>
  <c r="O129" i="90"/>
  <c r="M130" i="90"/>
  <c r="O130" i="90"/>
  <c r="P130" i="90" s="1"/>
  <c r="J131" i="90"/>
  <c r="M131" i="90"/>
  <c r="O131" i="90"/>
  <c r="P131" i="90"/>
  <c r="J132" i="90"/>
  <c r="M132" i="90"/>
  <c r="O132" i="90"/>
  <c r="P132" i="90"/>
  <c r="J133" i="90"/>
  <c r="M133" i="90"/>
  <c r="O133" i="90"/>
  <c r="P133" i="90"/>
  <c r="J134" i="90"/>
  <c r="M134" i="90"/>
  <c r="O134" i="90"/>
  <c r="P134" i="90"/>
  <c r="J135" i="90"/>
  <c r="M135" i="90"/>
  <c r="O135" i="90"/>
  <c r="P135" i="90"/>
  <c r="J136" i="90"/>
  <c r="M136" i="90"/>
  <c r="O136" i="90"/>
  <c r="P136" i="90"/>
  <c r="J137" i="90"/>
  <c r="M137" i="90"/>
  <c r="O137" i="90"/>
  <c r="P137" i="90"/>
  <c r="J138" i="90"/>
  <c r="M138" i="90"/>
  <c r="O138" i="90"/>
  <c r="P138" i="90"/>
  <c r="J139" i="90"/>
  <c r="M139" i="90"/>
  <c r="O139" i="90"/>
  <c r="P139" i="90"/>
  <c r="J140" i="90"/>
  <c r="M140" i="90"/>
  <c r="O140" i="90"/>
  <c r="P140" i="90"/>
  <c r="J141" i="90"/>
  <c r="M141" i="90"/>
  <c r="O141" i="90"/>
  <c r="P141" i="90"/>
  <c r="J142" i="90"/>
  <c r="M142" i="90"/>
  <c r="O142" i="90"/>
  <c r="P142" i="90"/>
  <c r="J143" i="90"/>
  <c r="M143" i="90"/>
  <c r="O143" i="90"/>
  <c r="P143" i="90"/>
  <c r="J144" i="90"/>
  <c r="M144" i="90"/>
  <c r="O144" i="90"/>
  <c r="P144" i="90"/>
  <c r="J145" i="90"/>
  <c r="M145" i="90"/>
  <c r="O145" i="90"/>
  <c r="P145" i="90"/>
  <c r="J146" i="90"/>
  <c r="M146" i="90"/>
  <c r="O146" i="90"/>
  <c r="P146" i="90"/>
  <c r="J147" i="90"/>
  <c r="M147" i="90"/>
  <c r="O147" i="90"/>
  <c r="P147" i="90"/>
  <c r="J148" i="90"/>
  <c r="M148" i="90"/>
  <c r="O148" i="90"/>
  <c r="P148" i="90"/>
  <c r="J149" i="90"/>
  <c r="M149" i="90"/>
  <c r="O149" i="90"/>
  <c r="P149" i="90"/>
  <c r="J150" i="90"/>
  <c r="M150" i="90"/>
  <c r="O150" i="90"/>
  <c r="P150" i="90"/>
  <c r="J151" i="90"/>
  <c r="M151" i="90"/>
  <c r="O151" i="90"/>
  <c r="P151" i="90"/>
  <c r="J152" i="90"/>
  <c r="M152" i="90"/>
  <c r="O152" i="90"/>
  <c r="P152" i="90"/>
  <c r="J153" i="90"/>
  <c r="M153" i="90"/>
  <c r="O153" i="90"/>
  <c r="P153" i="90"/>
  <c r="J154" i="90"/>
  <c r="M154" i="90"/>
  <c r="O154" i="90"/>
  <c r="P154" i="90"/>
  <c r="P1" i="89"/>
  <c r="P83" i="89" s="1"/>
  <c r="D8" i="89"/>
  <c r="D90" i="89"/>
  <c r="I11" i="89"/>
  <c r="K11" i="89"/>
  <c r="C17" i="89"/>
  <c r="C18" i="89" s="1"/>
  <c r="C19" i="89" s="1"/>
  <c r="C20" i="89" s="1"/>
  <c r="C21" i="89" s="1"/>
  <c r="C22" i="89" s="1"/>
  <c r="C23" i="89" s="1"/>
  <c r="C24" i="89" s="1"/>
  <c r="C25" i="89"/>
  <c r="C26" i="89" s="1"/>
  <c r="C27" i="89" s="1"/>
  <c r="C28" i="89" s="1"/>
  <c r="C29" i="89" s="1"/>
  <c r="C30" i="89" s="1"/>
  <c r="C31" i="89" s="1"/>
  <c r="C32" i="89" s="1"/>
  <c r="C33" i="89"/>
  <c r="C34" i="89" s="1"/>
  <c r="C35" i="89" s="1"/>
  <c r="C36" i="89" s="1"/>
  <c r="C37" i="89" s="1"/>
  <c r="C38" i="89" s="1"/>
  <c r="C39" i="89" s="1"/>
  <c r="C40" i="89" s="1"/>
  <c r="C41" i="89" s="1"/>
  <c r="C42" i="89" s="1"/>
  <c r="C43" i="89" s="1"/>
  <c r="C44" i="89" s="1"/>
  <c r="K17" i="89"/>
  <c r="L17" i="89"/>
  <c r="M17" i="89"/>
  <c r="N17" i="89" s="1"/>
  <c r="B18" i="89"/>
  <c r="L19" i="89"/>
  <c r="N19" i="89"/>
  <c r="L20" i="89"/>
  <c r="N20" i="89"/>
  <c r="L21" i="89"/>
  <c r="N21" i="89"/>
  <c r="L22" i="89"/>
  <c r="N22" i="89"/>
  <c r="O22" i="89" s="1"/>
  <c r="L23" i="89"/>
  <c r="N23" i="89"/>
  <c r="L24" i="89"/>
  <c r="N24" i="89"/>
  <c r="O24" i="89" s="1"/>
  <c r="L25" i="89"/>
  <c r="N25" i="89"/>
  <c r="L26" i="89"/>
  <c r="N26" i="89"/>
  <c r="O26" i="89" s="1"/>
  <c r="L27" i="89"/>
  <c r="N27" i="89"/>
  <c r="L28" i="89"/>
  <c r="N28" i="89"/>
  <c r="O28" i="89" s="1"/>
  <c r="L29" i="89"/>
  <c r="N29" i="89"/>
  <c r="L30" i="89"/>
  <c r="N30" i="89"/>
  <c r="O30" i="89" s="1"/>
  <c r="L31" i="89"/>
  <c r="O31" i="89" s="1"/>
  <c r="N31" i="89"/>
  <c r="L32" i="89"/>
  <c r="N32" i="89"/>
  <c r="O32" i="89" s="1"/>
  <c r="L33" i="89"/>
  <c r="N33" i="89"/>
  <c r="L34" i="89"/>
  <c r="N34" i="89"/>
  <c r="O34" i="89" s="1"/>
  <c r="L35" i="89"/>
  <c r="N35" i="89"/>
  <c r="L36" i="89"/>
  <c r="N36" i="89"/>
  <c r="O36" i="89" s="1"/>
  <c r="L37" i="89"/>
  <c r="N37" i="89"/>
  <c r="L38" i="89"/>
  <c r="N38" i="89"/>
  <c r="O38" i="89" s="1"/>
  <c r="L39" i="89"/>
  <c r="N39" i="89"/>
  <c r="L40" i="89"/>
  <c r="N40" i="89"/>
  <c r="L41" i="89"/>
  <c r="N41" i="89"/>
  <c r="L42" i="89"/>
  <c r="N42" i="89"/>
  <c r="O42" i="89" s="1"/>
  <c r="L43" i="89"/>
  <c r="N43" i="89"/>
  <c r="L44" i="89"/>
  <c r="N44" i="89"/>
  <c r="O44" i="89" s="1"/>
  <c r="L45" i="89"/>
  <c r="N45" i="89"/>
  <c r="L46" i="89"/>
  <c r="N46" i="89"/>
  <c r="O46" i="89" s="1"/>
  <c r="L47" i="89"/>
  <c r="N47" i="89"/>
  <c r="L48" i="89"/>
  <c r="N48" i="89"/>
  <c r="O48" i="89" s="1"/>
  <c r="L49" i="89"/>
  <c r="N49" i="89"/>
  <c r="L50" i="89"/>
  <c r="N50" i="89"/>
  <c r="L51" i="89"/>
  <c r="N51" i="89"/>
  <c r="L52" i="89"/>
  <c r="N52" i="89"/>
  <c r="L53" i="89"/>
  <c r="N53" i="89"/>
  <c r="L54" i="89"/>
  <c r="N54" i="89"/>
  <c r="O54" i="89" s="1"/>
  <c r="L55" i="89"/>
  <c r="N55" i="89"/>
  <c r="L56" i="89"/>
  <c r="N56" i="89"/>
  <c r="O56" i="89" s="1"/>
  <c r="L57" i="89"/>
  <c r="N57" i="89"/>
  <c r="L58" i="89"/>
  <c r="N58" i="89"/>
  <c r="L59" i="89"/>
  <c r="N59" i="89"/>
  <c r="L60" i="89"/>
  <c r="N60" i="89"/>
  <c r="O60" i="89" s="1"/>
  <c r="L61" i="89"/>
  <c r="N61" i="89"/>
  <c r="L62" i="89"/>
  <c r="N62" i="89"/>
  <c r="O62" i="89" s="1"/>
  <c r="L63" i="89"/>
  <c r="N63" i="89"/>
  <c r="L64" i="89"/>
  <c r="N64" i="89"/>
  <c r="O64" i="89" s="1"/>
  <c r="L65" i="89"/>
  <c r="N65" i="89"/>
  <c r="L66" i="89"/>
  <c r="N66" i="89"/>
  <c r="O66" i="89" s="1"/>
  <c r="L67" i="89"/>
  <c r="N67" i="89"/>
  <c r="L68" i="89"/>
  <c r="N68" i="89"/>
  <c r="O68" i="89" s="1"/>
  <c r="L69" i="89"/>
  <c r="N69" i="89"/>
  <c r="L70" i="89"/>
  <c r="N70" i="89"/>
  <c r="L71" i="89"/>
  <c r="N71" i="89"/>
  <c r="L72" i="89"/>
  <c r="N72" i="89"/>
  <c r="D89" i="89"/>
  <c r="D91" i="89"/>
  <c r="J93" i="89"/>
  <c r="L93" i="89"/>
  <c r="D96" i="89"/>
  <c r="M100" i="89"/>
  <c r="O100" i="89"/>
  <c r="M101" i="89"/>
  <c r="P101" i="89" s="1"/>
  <c r="O101" i="89"/>
  <c r="M102" i="89"/>
  <c r="O102" i="89"/>
  <c r="M103" i="89"/>
  <c r="P103" i="89" s="1"/>
  <c r="O103" i="89"/>
  <c r="M104" i="89"/>
  <c r="O104" i="89"/>
  <c r="M105" i="89"/>
  <c r="P105" i="89" s="1"/>
  <c r="O105" i="89"/>
  <c r="M106" i="89"/>
  <c r="O106" i="89"/>
  <c r="M107" i="89"/>
  <c r="O107" i="89"/>
  <c r="M108" i="89"/>
  <c r="O108" i="89"/>
  <c r="M109" i="89"/>
  <c r="O109" i="89"/>
  <c r="M110" i="89"/>
  <c r="O110" i="89"/>
  <c r="M111" i="89"/>
  <c r="O111" i="89"/>
  <c r="M112" i="89"/>
  <c r="O112" i="89"/>
  <c r="M113" i="89"/>
  <c r="O113" i="89"/>
  <c r="M114" i="89"/>
  <c r="O114" i="89"/>
  <c r="M115" i="89"/>
  <c r="P115" i="89" s="1"/>
  <c r="O115" i="89"/>
  <c r="M116" i="89"/>
  <c r="O116" i="89"/>
  <c r="M117" i="89"/>
  <c r="P117" i="89" s="1"/>
  <c r="O117" i="89"/>
  <c r="M118" i="89"/>
  <c r="O118" i="89"/>
  <c r="M119" i="89"/>
  <c r="P119" i="89" s="1"/>
  <c r="O119" i="89"/>
  <c r="M120" i="89"/>
  <c r="O120" i="89"/>
  <c r="P120" i="89" s="1"/>
  <c r="M121" i="89"/>
  <c r="P121" i="89" s="1"/>
  <c r="O121" i="89"/>
  <c r="M122" i="89"/>
  <c r="O122" i="89"/>
  <c r="M123" i="89"/>
  <c r="P123" i="89" s="1"/>
  <c r="O123" i="89"/>
  <c r="M124" i="89"/>
  <c r="O124" i="89"/>
  <c r="M125" i="89"/>
  <c r="O125" i="89"/>
  <c r="M126" i="89"/>
  <c r="O126" i="89"/>
  <c r="M127" i="89"/>
  <c r="P127" i="89" s="1"/>
  <c r="O127" i="89"/>
  <c r="M128" i="89"/>
  <c r="O128" i="89"/>
  <c r="M129" i="89"/>
  <c r="P129" i="89" s="1"/>
  <c r="O129" i="89"/>
  <c r="M130" i="89"/>
  <c r="O130" i="89"/>
  <c r="J131" i="89"/>
  <c r="M131" i="89"/>
  <c r="O131" i="89"/>
  <c r="P131" i="89"/>
  <c r="J132" i="89"/>
  <c r="M132" i="89"/>
  <c r="O132" i="89"/>
  <c r="P132" i="89"/>
  <c r="J133" i="89"/>
  <c r="M133" i="89"/>
  <c r="O133" i="89"/>
  <c r="P133" i="89"/>
  <c r="J134" i="89"/>
  <c r="M134" i="89"/>
  <c r="O134" i="89"/>
  <c r="P134" i="89"/>
  <c r="J135" i="89"/>
  <c r="M135" i="89"/>
  <c r="O135" i="89"/>
  <c r="P135" i="89"/>
  <c r="J136" i="89"/>
  <c r="M136" i="89"/>
  <c r="O136" i="89"/>
  <c r="P136" i="89"/>
  <c r="J137" i="89"/>
  <c r="M137" i="89"/>
  <c r="O137" i="89"/>
  <c r="P137" i="89"/>
  <c r="J138" i="89"/>
  <c r="M138" i="89"/>
  <c r="O138" i="89"/>
  <c r="P138" i="89"/>
  <c r="J139" i="89"/>
  <c r="M139" i="89"/>
  <c r="O139" i="89"/>
  <c r="P139" i="89"/>
  <c r="J140" i="89"/>
  <c r="M140" i="89"/>
  <c r="O140" i="89"/>
  <c r="P140" i="89"/>
  <c r="J141" i="89"/>
  <c r="M141" i="89"/>
  <c r="O141" i="89"/>
  <c r="P141" i="89"/>
  <c r="J142" i="89"/>
  <c r="M142" i="89"/>
  <c r="O142" i="89"/>
  <c r="P142" i="89"/>
  <c r="J143" i="89"/>
  <c r="M143" i="89"/>
  <c r="O143" i="89"/>
  <c r="P143" i="89"/>
  <c r="J144" i="89"/>
  <c r="M144" i="89"/>
  <c r="O144" i="89"/>
  <c r="P144" i="89"/>
  <c r="J145" i="89"/>
  <c r="M145" i="89"/>
  <c r="O145" i="89"/>
  <c r="P145" i="89"/>
  <c r="J146" i="89"/>
  <c r="M146" i="89"/>
  <c r="O146" i="89"/>
  <c r="P146" i="89"/>
  <c r="J147" i="89"/>
  <c r="M147" i="89"/>
  <c r="O147" i="89"/>
  <c r="P147" i="89"/>
  <c r="J148" i="89"/>
  <c r="M148" i="89"/>
  <c r="O148" i="89"/>
  <c r="P148" i="89"/>
  <c r="J149" i="89"/>
  <c r="M149" i="89"/>
  <c r="O149" i="89"/>
  <c r="P149" i="89"/>
  <c r="J150" i="89"/>
  <c r="M150" i="89"/>
  <c r="O150" i="89"/>
  <c r="P150" i="89"/>
  <c r="J151" i="89"/>
  <c r="M151" i="89"/>
  <c r="O151" i="89"/>
  <c r="P151" i="89"/>
  <c r="J152" i="89"/>
  <c r="M152" i="89"/>
  <c r="O152" i="89"/>
  <c r="P152" i="89"/>
  <c r="J153" i="89"/>
  <c r="M153" i="89"/>
  <c r="O153" i="89"/>
  <c r="P153" i="89"/>
  <c r="J154" i="89"/>
  <c r="M154" i="89"/>
  <c r="O154" i="89"/>
  <c r="P154" i="89"/>
  <c r="P1" i="88"/>
  <c r="P83" i="88" s="1"/>
  <c r="D8" i="88"/>
  <c r="D90" i="88" s="1"/>
  <c r="I11" i="88"/>
  <c r="K11" i="88"/>
  <c r="C17" i="88"/>
  <c r="C18" i="88" s="1"/>
  <c r="C19" i="88" s="1"/>
  <c r="C20" i="88" s="1"/>
  <c r="C21" i="88" s="1"/>
  <c r="C22" i="88" s="1"/>
  <c r="C23" i="88" s="1"/>
  <c r="C24" i="88" s="1"/>
  <c r="C25" i="88" s="1"/>
  <c r="C26" i="88" s="1"/>
  <c r="C27" i="88" s="1"/>
  <c r="C28" i="88" s="1"/>
  <c r="C29" i="88" s="1"/>
  <c r="C30" i="88" s="1"/>
  <c r="C31" i="88" s="1"/>
  <c r="C32" i="88" s="1"/>
  <c r="C33" i="88" s="1"/>
  <c r="C34" i="88" s="1"/>
  <c r="C35" i="88" s="1"/>
  <c r="C36" i="88" s="1"/>
  <c r="C37" i="88" s="1"/>
  <c r="K17" i="88"/>
  <c r="L17" i="88"/>
  <c r="M17" i="88"/>
  <c r="N17" i="88" s="1"/>
  <c r="B18" i="88"/>
  <c r="C38" i="88"/>
  <c r="C39" i="88" s="1"/>
  <c r="C40" i="88" s="1"/>
  <c r="C41" i="88" s="1"/>
  <c r="C42" i="88" s="1"/>
  <c r="C43" i="88" s="1"/>
  <c r="C44" i="88" s="1"/>
  <c r="C45" i="88" s="1"/>
  <c r="C46" i="88" s="1"/>
  <c r="C47" i="88" s="1"/>
  <c r="C48" i="88" s="1"/>
  <c r="C49" i="88" s="1"/>
  <c r="C50" i="88" s="1"/>
  <c r="C51" i="88" s="1"/>
  <c r="C52" i="88" s="1"/>
  <c r="C53" i="88" s="1"/>
  <c r="C54" i="88" s="1"/>
  <c r="C55" i="88" s="1"/>
  <c r="C56" i="88" s="1"/>
  <c r="C57" i="88" s="1"/>
  <c r="C58" i="88" s="1"/>
  <c r="C59" i="88" s="1"/>
  <c r="C60" i="88" s="1"/>
  <c r="C61" i="88" s="1"/>
  <c r="C62" i="88" s="1"/>
  <c r="C63" i="88" s="1"/>
  <c r="C64" i="88" s="1"/>
  <c r="C65" i="88" s="1"/>
  <c r="C66" i="88" s="1"/>
  <c r="C67" i="88" s="1"/>
  <c r="C68" i="88" s="1"/>
  <c r="C69" i="88" s="1"/>
  <c r="C70" i="88" s="1"/>
  <c r="C71" i="88" s="1"/>
  <c r="C72" i="88" s="1"/>
  <c r="L19" i="88"/>
  <c r="N19" i="88"/>
  <c r="L20" i="88"/>
  <c r="O20" i="88" s="1"/>
  <c r="N20" i="88"/>
  <c r="L21" i="88"/>
  <c r="N21" i="88"/>
  <c r="O21" i="88" s="1"/>
  <c r="L22" i="88"/>
  <c r="N22" i="88"/>
  <c r="L23" i="88"/>
  <c r="N23" i="88"/>
  <c r="L24" i="88"/>
  <c r="N24" i="88"/>
  <c r="L25" i="88"/>
  <c r="N25" i="88"/>
  <c r="L26" i="88"/>
  <c r="N26" i="88"/>
  <c r="L27" i="88"/>
  <c r="N27" i="88"/>
  <c r="L28" i="88"/>
  <c r="O28" i="88" s="1"/>
  <c r="N28" i="88"/>
  <c r="L29" i="88"/>
  <c r="N29" i="88"/>
  <c r="L30" i="88"/>
  <c r="O30" i="88" s="1"/>
  <c r="N30" i="88"/>
  <c r="L31" i="88"/>
  <c r="N31" i="88"/>
  <c r="L32" i="88"/>
  <c r="O32" i="88" s="1"/>
  <c r="N32" i="88"/>
  <c r="L33" i="88"/>
  <c r="N33" i="88"/>
  <c r="L34" i="88"/>
  <c r="O34" i="88" s="1"/>
  <c r="N34" i="88"/>
  <c r="L35" i="88"/>
  <c r="N35" i="88"/>
  <c r="L36" i="88"/>
  <c r="O36" i="88" s="1"/>
  <c r="N36" i="88"/>
  <c r="L37" i="88"/>
  <c r="N37" i="88"/>
  <c r="O37" i="88" s="1"/>
  <c r="L38" i="88"/>
  <c r="N38" i="88"/>
  <c r="L39" i="88"/>
  <c r="N39" i="88"/>
  <c r="L40" i="88"/>
  <c r="N40" i="88"/>
  <c r="L41" i="88"/>
  <c r="N41" i="88"/>
  <c r="L42" i="88"/>
  <c r="N42" i="88"/>
  <c r="L43" i="88"/>
  <c r="N43" i="88"/>
  <c r="L44" i="88"/>
  <c r="N44" i="88"/>
  <c r="L45" i="88"/>
  <c r="N45" i="88"/>
  <c r="L46" i="88"/>
  <c r="N46" i="88"/>
  <c r="L47" i="88"/>
  <c r="N47" i="88"/>
  <c r="L48" i="88"/>
  <c r="N48" i="88"/>
  <c r="L49" i="88"/>
  <c r="N49" i="88"/>
  <c r="L50" i="88"/>
  <c r="N50" i="88"/>
  <c r="L51" i="88"/>
  <c r="N51" i="88"/>
  <c r="L52" i="88"/>
  <c r="N52" i="88"/>
  <c r="L53" i="88"/>
  <c r="N53" i="88"/>
  <c r="L54" i="88"/>
  <c r="N54" i="88"/>
  <c r="L55" i="88"/>
  <c r="N55" i="88"/>
  <c r="L56" i="88"/>
  <c r="N56" i="88"/>
  <c r="L57" i="88"/>
  <c r="N57" i="88"/>
  <c r="L58" i="88"/>
  <c r="N58" i="88"/>
  <c r="L59" i="88"/>
  <c r="N59" i="88"/>
  <c r="L60" i="88"/>
  <c r="N60" i="88"/>
  <c r="L61" i="88"/>
  <c r="N61" i="88"/>
  <c r="O61" i="88" s="1"/>
  <c r="L62" i="88"/>
  <c r="N62" i="88"/>
  <c r="L63" i="88"/>
  <c r="N63" i="88"/>
  <c r="L64" i="88"/>
  <c r="N64" i="88"/>
  <c r="L65" i="88"/>
  <c r="N65" i="88"/>
  <c r="L66" i="88"/>
  <c r="N66" i="88"/>
  <c r="L67" i="88"/>
  <c r="N67" i="88"/>
  <c r="L68" i="88"/>
  <c r="N68" i="88"/>
  <c r="L69" i="88"/>
  <c r="N69" i="88"/>
  <c r="L70" i="88"/>
  <c r="N70" i="88"/>
  <c r="L71" i="88"/>
  <c r="N71" i="88"/>
  <c r="L72" i="88"/>
  <c r="N72" i="88"/>
  <c r="D89" i="88"/>
  <c r="D91" i="88"/>
  <c r="J93" i="88"/>
  <c r="L93" i="88"/>
  <c r="D96" i="88"/>
  <c r="M100" i="88"/>
  <c r="O100" i="88"/>
  <c r="M101" i="88"/>
  <c r="O101" i="88"/>
  <c r="M102" i="88"/>
  <c r="O102" i="88"/>
  <c r="M103" i="88"/>
  <c r="O103" i="88"/>
  <c r="M104" i="88"/>
  <c r="O104" i="88"/>
  <c r="M105" i="88"/>
  <c r="O105" i="88"/>
  <c r="M106" i="88"/>
  <c r="O106" i="88"/>
  <c r="M107" i="88"/>
  <c r="O107" i="88"/>
  <c r="M108" i="88"/>
  <c r="O108" i="88"/>
  <c r="M109" i="88"/>
  <c r="O109" i="88"/>
  <c r="M110" i="88"/>
  <c r="O110" i="88"/>
  <c r="M111" i="88"/>
  <c r="O111" i="88"/>
  <c r="M112" i="88"/>
  <c r="O112" i="88"/>
  <c r="P112" i="88" s="1"/>
  <c r="M113" i="88"/>
  <c r="O113" i="88"/>
  <c r="M114" i="88"/>
  <c r="O114" i="88"/>
  <c r="M115" i="88"/>
  <c r="O115" i="88"/>
  <c r="M116" i="88"/>
  <c r="O116" i="88"/>
  <c r="M117" i="88"/>
  <c r="P117" i="88" s="1"/>
  <c r="O117" i="88"/>
  <c r="M118" i="88"/>
  <c r="O118" i="88"/>
  <c r="P118" i="88" s="1"/>
  <c r="M119" i="88"/>
  <c r="O119" i="88"/>
  <c r="M120" i="88"/>
  <c r="O120" i="88"/>
  <c r="P120" i="88" s="1"/>
  <c r="M121" i="88"/>
  <c r="O121" i="88"/>
  <c r="M122" i="88"/>
  <c r="O122" i="88"/>
  <c r="P122" i="88" s="1"/>
  <c r="M123" i="88"/>
  <c r="O123" i="88"/>
  <c r="M124" i="88"/>
  <c r="O124" i="88"/>
  <c r="P124" i="88" s="1"/>
  <c r="M125" i="88"/>
  <c r="O125" i="88"/>
  <c r="M126" i="88"/>
  <c r="O126" i="88"/>
  <c r="P126" i="88" s="1"/>
  <c r="M127" i="88"/>
  <c r="O127" i="88"/>
  <c r="M128" i="88"/>
  <c r="O128" i="88"/>
  <c r="P128" i="88" s="1"/>
  <c r="M129" i="88"/>
  <c r="O129" i="88"/>
  <c r="M130" i="88"/>
  <c r="O130" i="88"/>
  <c r="J131" i="88"/>
  <c r="M131" i="88"/>
  <c r="O131" i="88"/>
  <c r="P131" i="88"/>
  <c r="J132" i="88"/>
  <c r="M132" i="88"/>
  <c r="O132" i="88"/>
  <c r="P132" i="88"/>
  <c r="J133" i="88"/>
  <c r="M133" i="88"/>
  <c r="O133" i="88"/>
  <c r="P133" i="88"/>
  <c r="J134" i="88"/>
  <c r="M134" i="88"/>
  <c r="O134" i="88"/>
  <c r="P134" i="88"/>
  <c r="J135" i="88"/>
  <c r="M135" i="88"/>
  <c r="O135" i="88"/>
  <c r="P135" i="88"/>
  <c r="J136" i="88"/>
  <c r="M136" i="88"/>
  <c r="O136" i="88"/>
  <c r="P136" i="88"/>
  <c r="J137" i="88"/>
  <c r="M137" i="88"/>
  <c r="O137" i="88"/>
  <c r="P137" i="88"/>
  <c r="J138" i="88"/>
  <c r="M138" i="88"/>
  <c r="O138" i="88"/>
  <c r="P138" i="88"/>
  <c r="J139" i="88"/>
  <c r="M139" i="88"/>
  <c r="O139" i="88"/>
  <c r="P139" i="88"/>
  <c r="J140" i="88"/>
  <c r="M140" i="88"/>
  <c r="O140" i="88"/>
  <c r="P140" i="88"/>
  <c r="J141" i="88"/>
  <c r="M141" i="88"/>
  <c r="O141" i="88"/>
  <c r="P141" i="88"/>
  <c r="J142" i="88"/>
  <c r="M142" i="88"/>
  <c r="O142" i="88"/>
  <c r="P142" i="88"/>
  <c r="J143" i="88"/>
  <c r="M143" i="88"/>
  <c r="O143" i="88"/>
  <c r="P143" i="88"/>
  <c r="J144" i="88"/>
  <c r="M144" i="88"/>
  <c r="O144" i="88"/>
  <c r="P144" i="88"/>
  <c r="J145" i="88"/>
  <c r="M145" i="88"/>
  <c r="O145" i="88"/>
  <c r="P145" i="88"/>
  <c r="J146" i="88"/>
  <c r="M146" i="88"/>
  <c r="O146" i="88"/>
  <c r="P146" i="88"/>
  <c r="J147" i="88"/>
  <c r="M147" i="88"/>
  <c r="O147" i="88"/>
  <c r="P147" i="88"/>
  <c r="J148" i="88"/>
  <c r="M148" i="88"/>
  <c r="O148" i="88"/>
  <c r="P148" i="88"/>
  <c r="J149" i="88"/>
  <c r="M149" i="88"/>
  <c r="O149" i="88"/>
  <c r="P149" i="88"/>
  <c r="J150" i="88"/>
  <c r="M150" i="88"/>
  <c r="O150" i="88"/>
  <c r="P150" i="88"/>
  <c r="J151" i="88"/>
  <c r="M151" i="88"/>
  <c r="O151" i="88"/>
  <c r="P151" i="88"/>
  <c r="J152" i="88"/>
  <c r="M152" i="88"/>
  <c r="O152" i="88"/>
  <c r="P152" i="88"/>
  <c r="J153" i="88"/>
  <c r="M153" i="88"/>
  <c r="O153" i="88"/>
  <c r="P153" i="88"/>
  <c r="J154" i="88"/>
  <c r="M154" i="88"/>
  <c r="O154" i="88"/>
  <c r="P154" i="88"/>
  <c r="P1" i="87"/>
  <c r="P83" i="87" s="1"/>
  <c r="D8" i="87"/>
  <c r="I11" i="87"/>
  <c r="K11" i="87"/>
  <c r="C17" i="87"/>
  <c r="C18" i="87"/>
  <c r="C19" i="87" s="1"/>
  <c r="C20" i="87" s="1"/>
  <c r="C21" i="87"/>
  <c r="C22" i="87" s="1"/>
  <c r="C23" i="87" s="1"/>
  <c r="C24" i="87" s="1"/>
  <c r="C25" i="87" s="1"/>
  <c r="C26" i="87" s="1"/>
  <c r="C27" i="87" s="1"/>
  <c r="C28" i="87" s="1"/>
  <c r="C29" i="87"/>
  <c r="C30" i="87" s="1"/>
  <c r="C31" i="87" s="1"/>
  <c r="C32" i="87" s="1"/>
  <c r="C33" i="87" s="1"/>
  <c r="C34" i="87" s="1"/>
  <c r="C35" i="87" s="1"/>
  <c r="C36" i="87" s="1"/>
  <c r="C37" i="87" s="1"/>
  <c r="C38" i="87" s="1"/>
  <c r="C39" i="87" s="1"/>
  <c r="C40" i="87" s="1"/>
  <c r="C41" i="87" s="1"/>
  <c r="C42" i="87" s="1"/>
  <c r="C43" i="87" s="1"/>
  <c r="C44" i="87" s="1"/>
  <c r="C45" i="87" s="1"/>
  <c r="C46" i="87" s="1"/>
  <c r="C47" i="87" s="1"/>
  <c r="C48" i="87" s="1"/>
  <c r="C49" i="87" s="1"/>
  <c r="C50" i="87" s="1"/>
  <c r="C51" i="87" s="1"/>
  <c r="C52" i="87" s="1"/>
  <c r="C53" i="87" s="1"/>
  <c r="C54" i="87" s="1"/>
  <c r="C55" i="87" s="1"/>
  <c r="C56" i="87" s="1"/>
  <c r="C57" i="87" s="1"/>
  <c r="C58" i="87" s="1"/>
  <c r="C59" i="87" s="1"/>
  <c r="C60" i="87" s="1"/>
  <c r="C61" i="87" s="1"/>
  <c r="C62" i="87" s="1"/>
  <c r="C63" i="87" s="1"/>
  <c r="C64" i="87" s="1"/>
  <c r="C65" i="87" s="1"/>
  <c r="C66" i="87" s="1"/>
  <c r="C67" i="87" s="1"/>
  <c r="C68" i="87" s="1"/>
  <c r="C69" i="87" s="1"/>
  <c r="C70" i="87" s="1"/>
  <c r="C71" i="87" s="1"/>
  <c r="C72" i="87" s="1"/>
  <c r="K17" i="87"/>
  <c r="L17" i="87"/>
  <c r="M17" i="87"/>
  <c r="N17" i="87"/>
  <c r="B18" i="87"/>
  <c r="L19" i="87"/>
  <c r="N19" i="87"/>
  <c r="L20" i="87"/>
  <c r="N20" i="87"/>
  <c r="L21" i="87"/>
  <c r="N21" i="87"/>
  <c r="O21" i="87" s="1"/>
  <c r="L22" i="87"/>
  <c r="N22" i="87"/>
  <c r="L23" i="87"/>
  <c r="N23" i="87"/>
  <c r="L24" i="87"/>
  <c r="O24" i="87" s="1"/>
  <c r="N24" i="87"/>
  <c r="L25" i="87"/>
  <c r="N25" i="87"/>
  <c r="L26" i="87"/>
  <c r="O26" i="87" s="1"/>
  <c r="N26" i="87"/>
  <c r="L27" i="87"/>
  <c r="N27" i="87"/>
  <c r="L28" i="87"/>
  <c r="O28" i="87" s="1"/>
  <c r="N28" i="87"/>
  <c r="L29" i="87"/>
  <c r="N29" i="87"/>
  <c r="L30" i="87"/>
  <c r="O30" i="87" s="1"/>
  <c r="N30" i="87"/>
  <c r="L31" i="87"/>
  <c r="N31" i="87"/>
  <c r="O31" i="87" s="1"/>
  <c r="L32" i="87"/>
  <c r="O32" i="87" s="1"/>
  <c r="N32" i="87"/>
  <c r="L33" i="87"/>
  <c r="N33" i="87"/>
  <c r="O33" i="87" s="1"/>
  <c r="L34" i="87"/>
  <c r="O34" i="87" s="1"/>
  <c r="N34" i="87"/>
  <c r="L35" i="87"/>
  <c r="N35" i="87"/>
  <c r="O35" i="87" s="1"/>
  <c r="L36" i="87"/>
  <c r="O36" i="87" s="1"/>
  <c r="N36" i="87"/>
  <c r="L37" i="87"/>
  <c r="N37" i="87"/>
  <c r="O37" i="87"/>
  <c r="L38" i="87"/>
  <c r="N38" i="87"/>
  <c r="L39" i="87"/>
  <c r="N39" i="87"/>
  <c r="O39" i="87" s="1"/>
  <c r="L40" i="87"/>
  <c r="N40" i="87"/>
  <c r="L41" i="87"/>
  <c r="N41" i="87"/>
  <c r="L42" i="87"/>
  <c r="N42" i="87"/>
  <c r="L43" i="87"/>
  <c r="N43" i="87"/>
  <c r="L44" i="87"/>
  <c r="N44" i="87"/>
  <c r="L45" i="87"/>
  <c r="N45" i="87"/>
  <c r="L46" i="87"/>
  <c r="N46" i="87"/>
  <c r="L47" i="87"/>
  <c r="N47" i="87"/>
  <c r="L48" i="87"/>
  <c r="N48" i="87"/>
  <c r="L49" i="87"/>
  <c r="N49" i="87"/>
  <c r="O49" i="87" s="1"/>
  <c r="L50" i="87"/>
  <c r="N50" i="87"/>
  <c r="L51" i="87"/>
  <c r="N51" i="87"/>
  <c r="O51" i="87" s="1"/>
  <c r="L52" i="87"/>
  <c r="N52" i="87"/>
  <c r="L53" i="87"/>
  <c r="N53" i="87"/>
  <c r="O53" i="87" s="1"/>
  <c r="L54" i="87"/>
  <c r="N54" i="87"/>
  <c r="L55" i="87"/>
  <c r="N55" i="87"/>
  <c r="O55" i="87" s="1"/>
  <c r="L56" i="87"/>
  <c r="N56" i="87"/>
  <c r="L57" i="87"/>
  <c r="N57" i="87"/>
  <c r="L58" i="87"/>
  <c r="N58" i="87"/>
  <c r="L59" i="87"/>
  <c r="N59" i="87"/>
  <c r="L60" i="87"/>
  <c r="N60" i="87"/>
  <c r="L61" i="87"/>
  <c r="N61" i="87"/>
  <c r="L62" i="87"/>
  <c r="N62" i="87"/>
  <c r="L63" i="87"/>
  <c r="N63" i="87"/>
  <c r="L64" i="87"/>
  <c r="N64" i="87"/>
  <c r="L65" i="87"/>
  <c r="N65" i="87"/>
  <c r="O65" i="87" s="1"/>
  <c r="L66" i="87"/>
  <c r="N66" i="87"/>
  <c r="L67" i="87"/>
  <c r="N67" i="87"/>
  <c r="O67" i="87" s="1"/>
  <c r="L68" i="87"/>
  <c r="O68" i="87" s="1"/>
  <c r="N68" i="87"/>
  <c r="L69" i="87"/>
  <c r="N69" i="87"/>
  <c r="O69" i="87" s="1"/>
  <c r="L70" i="87"/>
  <c r="N70" i="87"/>
  <c r="L71" i="87"/>
  <c r="N71" i="87"/>
  <c r="O71" i="87" s="1"/>
  <c r="L72" i="87"/>
  <c r="N72" i="87"/>
  <c r="D89" i="87"/>
  <c r="D90" i="87"/>
  <c r="D91" i="87"/>
  <c r="J93" i="87"/>
  <c r="L93" i="87"/>
  <c r="D96" i="87"/>
  <c r="M100" i="87"/>
  <c r="O100" i="87"/>
  <c r="M101" i="87"/>
  <c r="O101" i="87"/>
  <c r="P101" i="87" s="1"/>
  <c r="M102" i="87"/>
  <c r="O102" i="87"/>
  <c r="M103" i="87"/>
  <c r="O103" i="87"/>
  <c r="P103" i="87" s="1"/>
  <c r="M104" i="87"/>
  <c r="O104" i="87"/>
  <c r="M105" i="87"/>
  <c r="O105" i="87"/>
  <c r="P105" i="87" s="1"/>
  <c r="M106" i="87"/>
  <c r="O106" i="87"/>
  <c r="M107" i="87"/>
  <c r="O107" i="87"/>
  <c r="P107" i="87" s="1"/>
  <c r="M108" i="87"/>
  <c r="O108" i="87"/>
  <c r="M109" i="87"/>
  <c r="O109" i="87"/>
  <c r="P109" i="87" s="1"/>
  <c r="M110" i="87"/>
  <c r="O110" i="87"/>
  <c r="M111" i="87"/>
  <c r="O111" i="87"/>
  <c r="P111" i="87" s="1"/>
  <c r="M112" i="87"/>
  <c r="O112" i="87"/>
  <c r="M113" i="87"/>
  <c r="O113" i="87"/>
  <c r="M114" i="87"/>
  <c r="O114" i="87"/>
  <c r="M115" i="87"/>
  <c r="O115" i="87"/>
  <c r="P115" i="87" s="1"/>
  <c r="M116" i="87"/>
  <c r="O116" i="87"/>
  <c r="M117" i="87"/>
  <c r="O117" i="87"/>
  <c r="P117" i="87" s="1"/>
  <c r="M118" i="87"/>
  <c r="O118" i="87"/>
  <c r="M119" i="87"/>
  <c r="O119" i="87"/>
  <c r="P119" i="87" s="1"/>
  <c r="M120" i="87"/>
  <c r="O120" i="87"/>
  <c r="M121" i="87"/>
  <c r="O121" i="87"/>
  <c r="P121" i="87" s="1"/>
  <c r="M122" i="87"/>
  <c r="O122" i="87"/>
  <c r="M123" i="87"/>
  <c r="O123" i="87"/>
  <c r="P123" i="87" s="1"/>
  <c r="M124" i="87"/>
  <c r="O124" i="87"/>
  <c r="M125" i="87"/>
  <c r="O125" i="87"/>
  <c r="P125" i="87" s="1"/>
  <c r="M126" i="87"/>
  <c r="O126" i="87"/>
  <c r="M127" i="87"/>
  <c r="O127" i="87"/>
  <c r="P127" i="87" s="1"/>
  <c r="M128" i="87"/>
  <c r="O128" i="87"/>
  <c r="M129" i="87"/>
  <c r="O129" i="87"/>
  <c r="P129" i="87" s="1"/>
  <c r="M130" i="87"/>
  <c r="O130" i="87"/>
  <c r="J131" i="87"/>
  <c r="M131" i="87"/>
  <c r="O131" i="87"/>
  <c r="P131" i="87"/>
  <c r="J132" i="87"/>
  <c r="M132" i="87"/>
  <c r="O132" i="87"/>
  <c r="P132" i="87"/>
  <c r="J133" i="87"/>
  <c r="M133" i="87"/>
  <c r="O133" i="87"/>
  <c r="P133" i="87"/>
  <c r="J134" i="87"/>
  <c r="M134" i="87"/>
  <c r="O134" i="87"/>
  <c r="P134" i="87"/>
  <c r="J135" i="87"/>
  <c r="M135" i="87"/>
  <c r="O135" i="87"/>
  <c r="P135" i="87"/>
  <c r="J136" i="87"/>
  <c r="M136" i="87"/>
  <c r="O136" i="87"/>
  <c r="P136" i="87"/>
  <c r="J137" i="87"/>
  <c r="M137" i="87"/>
  <c r="O137" i="87"/>
  <c r="P137" i="87"/>
  <c r="J138" i="87"/>
  <c r="M138" i="87"/>
  <c r="O138" i="87"/>
  <c r="P138" i="87"/>
  <c r="J139" i="87"/>
  <c r="M139" i="87"/>
  <c r="O139" i="87"/>
  <c r="P139" i="87"/>
  <c r="J140" i="87"/>
  <c r="M140" i="87"/>
  <c r="O140" i="87"/>
  <c r="P140" i="87"/>
  <c r="J141" i="87"/>
  <c r="M141" i="87"/>
  <c r="O141" i="87"/>
  <c r="P141" i="87"/>
  <c r="J142" i="87"/>
  <c r="M142" i="87"/>
  <c r="O142" i="87"/>
  <c r="P142" i="87"/>
  <c r="J143" i="87"/>
  <c r="M143" i="87"/>
  <c r="O143" i="87"/>
  <c r="P143" i="87"/>
  <c r="J144" i="87"/>
  <c r="M144" i="87"/>
  <c r="O144" i="87"/>
  <c r="P144" i="87"/>
  <c r="J145" i="87"/>
  <c r="M145" i="87"/>
  <c r="O145" i="87"/>
  <c r="P145" i="87"/>
  <c r="J146" i="87"/>
  <c r="M146" i="87"/>
  <c r="O146" i="87"/>
  <c r="P146" i="87"/>
  <c r="J147" i="87"/>
  <c r="M147" i="87"/>
  <c r="O147" i="87"/>
  <c r="P147" i="87"/>
  <c r="J148" i="87"/>
  <c r="M148" i="87"/>
  <c r="O148" i="87"/>
  <c r="P148" i="87"/>
  <c r="J149" i="87"/>
  <c r="M149" i="87"/>
  <c r="O149" i="87"/>
  <c r="P149" i="87"/>
  <c r="J150" i="87"/>
  <c r="M150" i="87"/>
  <c r="O150" i="87"/>
  <c r="P150" i="87"/>
  <c r="J151" i="87"/>
  <c r="M151" i="87"/>
  <c r="O151" i="87"/>
  <c r="P151" i="87"/>
  <c r="J152" i="87"/>
  <c r="M152" i="87"/>
  <c r="O152" i="87"/>
  <c r="P152" i="87"/>
  <c r="J153" i="87"/>
  <c r="M153" i="87"/>
  <c r="O153" i="87"/>
  <c r="P153" i="87"/>
  <c r="J154" i="87"/>
  <c r="M154" i="87"/>
  <c r="O154" i="87"/>
  <c r="P154" i="87"/>
  <c r="P1" i="86"/>
  <c r="P83" i="86" s="1"/>
  <c r="D8" i="86"/>
  <c r="D90" i="86" s="1"/>
  <c r="I11" i="86"/>
  <c r="K11" i="86"/>
  <c r="C17" i="86"/>
  <c r="C18" i="86" s="1"/>
  <c r="C19" i="86" s="1"/>
  <c r="C20" i="86"/>
  <c r="C21" i="86" s="1"/>
  <c r="C22" i="86" s="1"/>
  <c r="C23" i="86" s="1"/>
  <c r="C24" i="86" s="1"/>
  <c r="C25" i="86" s="1"/>
  <c r="C26" i="86" s="1"/>
  <c r="C27" i="86" s="1"/>
  <c r="C28" i="86" s="1"/>
  <c r="C29" i="86" s="1"/>
  <c r="C30" i="86" s="1"/>
  <c r="C31" i="86" s="1"/>
  <c r="C32" i="86" s="1"/>
  <c r="C33" i="86" s="1"/>
  <c r="C34" i="86" s="1"/>
  <c r="C35" i="86" s="1"/>
  <c r="C36" i="86" s="1"/>
  <c r="C37" i="86" s="1"/>
  <c r="C38" i="86" s="1"/>
  <c r="C39" i="86" s="1"/>
  <c r="C40" i="86" s="1"/>
  <c r="C41" i="86" s="1"/>
  <c r="C42" i="86" s="1"/>
  <c r="C43" i="86" s="1"/>
  <c r="C44" i="86" s="1"/>
  <c r="K17" i="86"/>
  <c r="L17" i="86" s="1"/>
  <c r="M17" i="86"/>
  <c r="N17" i="86"/>
  <c r="B18" i="86"/>
  <c r="L20" i="86"/>
  <c r="N20" i="86"/>
  <c r="L21" i="86"/>
  <c r="N21" i="86"/>
  <c r="L22" i="86"/>
  <c r="N22" i="86"/>
  <c r="L23" i="86"/>
  <c r="N23" i="86"/>
  <c r="O23" i="86" s="1"/>
  <c r="L24" i="86"/>
  <c r="N24" i="86"/>
  <c r="L25" i="86"/>
  <c r="N25" i="86"/>
  <c r="O25" i="86" s="1"/>
  <c r="L26" i="86"/>
  <c r="N26" i="86"/>
  <c r="L27" i="86"/>
  <c r="N27" i="86"/>
  <c r="O27" i="86" s="1"/>
  <c r="L28" i="86"/>
  <c r="N28" i="86"/>
  <c r="L29" i="86"/>
  <c r="N29" i="86"/>
  <c r="O29" i="86" s="1"/>
  <c r="L30" i="86"/>
  <c r="N30" i="86"/>
  <c r="L31" i="86"/>
  <c r="N31" i="86"/>
  <c r="L32" i="86"/>
  <c r="N32" i="86"/>
  <c r="L33" i="86"/>
  <c r="N33" i="86"/>
  <c r="L34" i="86"/>
  <c r="N34" i="86"/>
  <c r="L35" i="86"/>
  <c r="N35" i="86"/>
  <c r="O35" i="86" s="1"/>
  <c r="L36" i="86"/>
  <c r="N36" i="86"/>
  <c r="L37" i="86"/>
  <c r="N37" i="86"/>
  <c r="O37" i="86" s="1"/>
  <c r="L38" i="86"/>
  <c r="N38" i="86"/>
  <c r="L39" i="86"/>
  <c r="O39" i="86"/>
  <c r="N39" i="86"/>
  <c r="L40" i="86"/>
  <c r="N40" i="86"/>
  <c r="L41" i="86"/>
  <c r="O41" i="86" s="1"/>
  <c r="N41" i="86"/>
  <c r="L42" i="86"/>
  <c r="N42" i="86"/>
  <c r="L43" i="86"/>
  <c r="O43" i="86" s="1"/>
  <c r="N43" i="86"/>
  <c r="L44" i="86"/>
  <c r="N44" i="86"/>
  <c r="L45" i="86"/>
  <c r="O45" i="86" s="1"/>
  <c r="N45" i="86"/>
  <c r="L46" i="86"/>
  <c r="N46" i="86"/>
  <c r="L47" i="86"/>
  <c r="N47" i="86"/>
  <c r="L48" i="86"/>
  <c r="N48" i="86"/>
  <c r="L49" i="86"/>
  <c r="N49" i="86"/>
  <c r="L50" i="86"/>
  <c r="N50" i="86"/>
  <c r="L51" i="86"/>
  <c r="O51" i="86" s="1"/>
  <c r="N51" i="86"/>
  <c r="L52" i="86"/>
  <c r="N52" i="86"/>
  <c r="L53" i="86"/>
  <c r="O53" i="86" s="1"/>
  <c r="N53" i="86"/>
  <c r="L54" i="86"/>
  <c r="N54" i="86"/>
  <c r="L55" i="86"/>
  <c r="O55" i="86" s="1"/>
  <c r="N55" i="86"/>
  <c r="L56" i="86"/>
  <c r="N56" i="86"/>
  <c r="L57" i="86"/>
  <c r="O57" i="86" s="1"/>
  <c r="N57" i="86"/>
  <c r="L58" i="86"/>
  <c r="N58" i="86"/>
  <c r="O58" i="86" s="1"/>
  <c r="L59" i="86"/>
  <c r="O59" i="86" s="1"/>
  <c r="N59" i="86"/>
  <c r="L60" i="86"/>
  <c r="N60" i="86"/>
  <c r="O60" i="86" s="1"/>
  <c r="L61" i="86"/>
  <c r="O61" i="86" s="1"/>
  <c r="N61" i="86"/>
  <c r="L62" i="86"/>
  <c r="N62" i="86"/>
  <c r="O62" i="86" s="1"/>
  <c r="L63" i="86"/>
  <c r="O63" i="86" s="1"/>
  <c r="N63" i="86"/>
  <c r="L64" i="86"/>
  <c r="N64" i="86"/>
  <c r="L65" i="86"/>
  <c r="N65" i="86"/>
  <c r="L66" i="86"/>
  <c r="N66" i="86"/>
  <c r="L67" i="86"/>
  <c r="O67" i="86" s="1"/>
  <c r="N67" i="86"/>
  <c r="L68" i="86"/>
  <c r="N68" i="86"/>
  <c r="L69" i="86"/>
  <c r="O69" i="86" s="1"/>
  <c r="N69" i="86"/>
  <c r="L70" i="86"/>
  <c r="N70" i="86"/>
  <c r="L71" i="86"/>
  <c r="O71" i="86" s="1"/>
  <c r="N71" i="86"/>
  <c r="L72" i="86"/>
  <c r="N72" i="86"/>
  <c r="D89" i="86"/>
  <c r="D91" i="86"/>
  <c r="J93" i="86"/>
  <c r="L93" i="86"/>
  <c r="D96" i="86"/>
  <c r="C99" i="86"/>
  <c r="D99" i="86" s="1"/>
  <c r="M100" i="86"/>
  <c r="O100" i="86"/>
  <c r="M101" i="86"/>
  <c r="O101" i="86"/>
  <c r="M102" i="86"/>
  <c r="O102" i="86"/>
  <c r="M103" i="86"/>
  <c r="O103" i="86"/>
  <c r="M104" i="86"/>
  <c r="O104" i="86"/>
  <c r="M105" i="86"/>
  <c r="P105" i="86" s="1"/>
  <c r="O105" i="86"/>
  <c r="M106" i="86"/>
  <c r="O106" i="86"/>
  <c r="M107" i="86"/>
  <c r="P107" i="86" s="1"/>
  <c r="O107" i="86"/>
  <c r="M108" i="86"/>
  <c r="O108" i="86"/>
  <c r="M109" i="86"/>
  <c r="O109" i="86"/>
  <c r="M110" i="86"/>
  <c r="O110" i="86"/>
  <c r="M111" i="86"/>
  <c r="P111" i="86" s="1"/>
  <c r="O111" i="86"/>
  <c r="M112" i="86"/>
  <c r="O112" i="86"/>
  <c r="M113" i="86"/>
  <c r="O113" i="86"/>
  <c r="M114" i="86"/>
  <c r="O114" i="86"/>
  <c r="M115" i="86"/>
  <c r="O115" i="86"/>
  <c r="M116" i="86"/>
  <c r="O116" i="86"/>
  <c r="M117" i="86"/>
  <c r="O117" i="86"/>
  <c r="M118" i="86"/>
  <c r="O118" i="86"/>
  <c r="M119" i="86"/>
  <c r="P119" i="86" s="1"/>
  <c r="O119" i="86"/>
  <c r="M120" i="86"/>
  <c r="O120" i="86"/>
  <c r="M121" i="86"/>
  <c r="O121" i="86"/>
  <c r="M122" i="86"/>
  <c r="O122" i="86"/>
  <c r="M123" i="86"/>
  <c r="P123" i="86" s="1"/>
  <c r="O123" i="86"/>
  <c r="M124" i="86"/>
  <c r="O124" i="86"/>
  <c r="M125" i="86"/>
  <c r="P125" i="86" s="1"/>
  <c r="O125" i="86"/>
  <c r="M126" i="86"/>
  <c r="O126" i="86"/>
  <c r="M127" i="86"/>
  <c r="P127" i="86" s="1"/>
  <c r="O127" i="86"/>
  <c r="M128" i="86"/>
  <c r="O128" i="86"/>
  <c r="M129" i="86"/>
  <c r="O129" i="86"/>
  <c r="M130" i="86"/>
  <c r="O130" i="86"/>
  <c r="J131" i="86"/>
  <c r="M131" i="86"/>
  <c r="O131" i="86"/>
  <c r="P131" i="86"/>
  <c r="J132" i="86"/>
  <c r="M132" i="86"/>
  <c r="O132" i="86"/>
  <c r="P132" i="86"/>
  <c r="J133" i="86"/>
  <c r="M133" i="86"/>
  <c r="O133" i="86"/>
  <c r="P133" i="86"/>
  <c r="J134" i="86"/>
  <c r="M134" i="86"/>
  <c r="O134" i="86"/>
  <c r="P134" i="86"/>
  <c r="J135" i="86"/>
  <c r="M135" i="86"/>
  <c r="O135" i="86"/>
  <c r="P135" i="86"/>
  <c r="J136" i="86"/>
  <c r="M136" i="86"/>
  <c r="O136" i="86"/>
  <c r="P136" i="86"/>
  <c r="J137" i="86"/>
  <c r="M137" i="86"/>
  <c r="O137" i="86"/>
  <c r="P137" i="86"/>
  <c r="J138" i="86"/>
  <c r="M138" i="86"/>
  <c r="O138" i="86"/>
  <c r="P138" i="86"/>
  <c r="J139" i="86"/>
  <c r="M139" i="86"/>
  <c r="O139" i="86"/>
  <c r="P139" i="86"/>
  <c r="J140" i="86"/>
  <c r="M140" i="86"/>
  <c r="O140" i="86"/>
  <c r="P140" i="86"/>
  <c r="J141" i="86"/>
  <c r="M141" i="86"/>
  <c r="O141" i="86"/>
  <c r="P141" i="86"/>
  <c r="J142" i="86"/>
  <c r="M142" i="86"/>
  <c r="O142" i="86"/>
  <c r="P142" i="86"/>
  <c r="J143" i="86"/>
  <c r="M143" i="86"/>
  <c r="O143" i="86"/>
  <c r="P143" i="86"/>
  <c r="J144" i="86"/>
  <c r="M144" i="86"/>
  <c r="O144" i="86"/>
  <c r="P144" i="86"/>
  <c r="J145" i="86"/>
  <c r="M145" i="86"/>
  <c r="O145" i="86"/>
  <c r="P145" i="86"/>
  <c r="J146" i="86"/>
  <c r="M146" i="86"/>
  <c r="O146" i="86"/>
  <c r="P146" i="86"/>
  <c r="J147" i="86"/>
  <c r="M147" i="86"/>
  <c r="O147" i="86"/>
  <c r="P147" i="86"/>
  <c r="J148" i="86"/>
  <c r="M148" i="86"/>
  <c r="O148" i="86"/>
  <c r="P148" i="86"/>
  <c r="J149" i="86"/>
  <c r="M149" i="86"/>
  <c r="O149" i="86"/>
  <c r="P149" i="86"/>
  <c r="J150" i="86"/>
  <c r="M150" i="86"/>
  <c r="O150" i="86"/>
  <c r="P150" i="86"/>
  <c r="J151" i="86"/>
  <c r="M151" i="86"/>
  <c r="O151" i="86"/>
  <c r="P151" i="86"/>
  <c r="J152" i="86"/>
  <c r="M152" i="86"/>
  <c r="O152" i="86"/>
  <c r="P152" i="86"/>
  <c r="J153" i="86"/>
  <c r="M153" i="86"/>
  <c r="O153" i="86"/>
  <c r="P153" i="86"/>
  <c r="J154" i="86"/>
  <c r="M154" i="86"/>
  <c r="O154" i="86"/>
  <c r="P154" i="86"/>
  <c r="P1" i="85"/>
  <c r="P83" i="85" s="1"/>
  <c r="D8" i="85"/>
  <c r="D90" i="85" s="1"/>
  <c r="I11" i="85"/>
  <c r="K11" i="85"/>
  <c r="C17" i="85"/>
  <c r="C18" i="85"/>
  <c r="C19" i="85" s="1"/>
  <c r="C20" i="85" s="1"/>
  <c r="C21" i="85" s="1"/>
  <c r="C22" i="85" s="1"/>
  <c r="C23" i="85" s="1"/>
  <c r="C24" i="85" s="1"/>
  <c r="C25" i="85" s="1"/>
  <c r="C26" i="85" s="1"/>
  <c r="C27" i="85" s="1"/>
  <c r="C28" i="85" s="1"/>
  <c r="C29" i="85" s="1"/>
  <c r="C30" i="85" s="1"/>
  <c r="C31" i="85" s="1"/>
  <c r="C32" i="85" s="1"/>
  <c r="C33" i="85" s="1"/>
  <c r="C34" i="85" s="1"/>
  <c r="C35" i="85" s="1"/>
  <c r="C36" i="85" s="1"/>
  <c r="C37" i="85" s="1"/>
  <c r="C38" i="85" s="1"/>
  <c r="C39" i="85" s="1"/>
  <c r="C40" i="85" s="1"/>
  <c r="C41" i="85" s="1"/>
  <c r="C42" i="85" s="1"/>
  <c r="C43" i="85" s="1"/>
  <c r="C44" i="85" s="1"/>
  <c r="C45" i="85" s="1"/>
  <c r="C46" i="85" s="1"/>
  <c r="C47" i="85" s="1"/>
  <c r="C48" i="85" s="1"/>
  <c r="C49" i="85" s="1"/>
  <c r="C50" i="85"/>
  <c r="C51" i="85" s="1"/>
  <c r="C52" i="85" s="1"/>
  <c r="C53" i="85" s="1"/>
  <c r="C54" i="85" s="1"/>
  <c r="C55" i="85" s="1"/>
  <c r="C56" i="85" s="1"/>
  <c r="C57" i="85" s="1"/>
  <c r="C58" i="85" s="1"/>
  <c r="C59" i="85" s="1"/>
  <c r="C60" i="85" s="1"/>
  <c r="C61" i="85" s="1"/>
  <c r="C62" i="85" s="1"/>
  <c r="C63" i="85" s="1"/>
  <c r="C64" i="85" s="1"/>
  <c r="C65" i="85" s="1"/>
  <c r="C66" i="85" s="1"/>
  <c r="C67" i="85" s="1"/>
  <c r="C68" i="85" s="1"/>
  <c r="C69" i="85" s="1"/>
  <c r="C70" i="85" s="1"/>
  <c r="C71" i="85" s="1"/>
  <c r="C72" i="85" s="1"/>
  <c r="F17" i="85"/>
  <c r="B18" i="85"/>
  <c r="K17" i="85"/>
  <c r="L17" i="85" s="1"/>
  <c r="M17" i="85"/>
  <c r="N17" i="85" s="1"/>
  <c r="K18" i="85"/>
  <c r="L18" i="85"/>
  <c r="M18" i="85"/>
  <c r="N18" i="85"/>
  <c r="B19" i="85"/>
  <c r="L20" i="85"/>
  <c r="O20" i="85" s="1"/>
  <c r="N20" i="85"/>
  <c r="L21" i="85"/>
  <c r="N21" i="85"/>
  <c r="L22" i="85"/>
  <c r="O22" i="85" s="1"/>
  <c r="N22" i="85"/>
  <c r="L23" i="85"/>
  <c r="N23" i="85"/>
  <c r="L24" i="85"/>
  <c r="N24" i="85"/>
  <c r="L25" i="85"/>
  <c r="N25" i="85"/>
  <c r="L26" i="85"/>
  <c r="O26" i="85" s="1"/>
  <c r="N26" i="85"/>
  <c r="L27" i="85"/>
  <c r="N27" i="85"/>
  <c r="O27" i="85" s="1"/>
  <c r="L28" i="85"/>
  <c r="N28" i="85"/>
  <c r="L29" i="85"/>
  <c r="N29" i="85"/>
  <c r="L30" i="85"/>
  <c r="N30" i="85"/>
  <c r="L31" i="85"/>
  <c r="N31" i="85"/>
  <c r="L32" i="85"/>
  <c r="N32" i="85"/>
  <c r="L33" i="85"/>
  <c r="N33" i="85"/>
  <c r="L34" i="85"/>
  <c r="N34" i="85"/>
  <c r="L35" i="85"/>
  <c r="N35" i="85"/>
  <c r="L36" i="85"/>
  <c r="O36" i="85" s="1"/>
  <c r="N36" i="85"/>
  <c r="L37" i="85"/>
  <c r="N37" i="85"/>
  <c r="L38" i="85"/>
  <c r="O38" i="85" s="1"/>
  <c r="N38" i="85"/>
  <c r="L39" i="85"/>
  <c r="N39" i="85"/>
  <c r="L40" i="85"/>
  <c r="N40" i="85"/>
  <c r="L41" i="85"/>
  <c r="N41" i="85"/>
  <c r="L42" i="85"/>
  <c r="N42" i="85"/>
  <c r="L43" i="85"/>
  <c r="N43" i="85"/>
  <c r="L44" i="85"/>
  <c r="O44" i="85" s="1"/>
  <c r="N44" i="85"/>
  <c r="L45" i="85"/>
  <c r="N45" i="85"/>
  <c r="L46" i="85"/>
  <c r="O46" i="85" s="1"/>
  <c r="N46" i="85"/>
  <c r="L47" i="85"/>
  <c r="N47" i="85"/>
  <c r="L48" i="85"/>
  <c r="N48" i="85"/>
  <c r="L49" i="85"/>
  <c r="N49" i="85"/>
  <c r="L50" i="85"/>
  <c r="O50" i="85" s="1"/>
  <c r="N50" i="85"/>
  <c r="L51" i="85"/>
  <c r="N51" i="85"/>
  <c r="L52" i="85"/>
  <c r="N52" i="85"/>
  <c r="L53" i="85"/>
  <c r="N53" i="85"/>
  <c r="L54" i="85"/>
  <c r="O54" i="85" s="1"/>
  <c r="N54" i="85"/>
  <c r="L55" i="85"/>
  <c r="N55" i="85"/>
  <c r="L56" i="85"/>
  <c r="O56" i="85" s="1"/>
  <c r="N56" i="85"/>
  <c r="L57" i="85"/>
  <c r="N57" i="85"/>
  <c r="L58" i="85"/>
  <c r="O58" i="85" s="1"/>
  <c r="N58" i="85"/>
  <c r="L59" i="85"/>
  <c r="N59" i="85"/>
  <c r="L60" i="85"/>
  <c r="O60" i="85" s="1"/>
  <c r="N60" i="85"/>
  <c r="L61" i="85"/>
  <c r="N61" i="85"/>
  <c r="L62" i="85"/>
  <c r="N62" i="85"/>
  <c r="L63" i="85"/>
  <c r="N63" i="85"/>
  <c r="L64" i="85"/>
  <c r="N64" i="85"/>
  <c r="L65" i="85"/>
  <c r="N65" i="85"/>
  <c r="L66" i="85"/>
  <c r="N66" i="85"/>
  <c r="L67" i="85"/>
  <c r="N67" i="85"/>
  <c r="L68" i="85"/>
  <c r="O68" i="85" s="1"/>
  <c r="N68" i="85"/>
  <c r="L69" i="85"/>
  <c r="N69" i="85"/>
  <c r="O69" i="85"/>
  <c r="L70" i="85"/>
  <c r="N70" i="85"/>
  <c r="O70" i="85" s="1"/>
  <c r="L71" i="85"/>
  <c r="O71" i="85"/>
  <c r="N71" i="85"/>
  <c r="L72" i="85"/>
  <c r="N72" i="85"/>
  <c r="D89" i="85"/>
  <c r="D91" i="85"/>
  <c r="J93" i="85"/>
  <c r="L93" i="85"/>
  <c r="D96" i="85"/>
  <c r="L99" i="85"/>
  <c r="M99" i="85" s="1"/>
  <c r="N99" i="85"/>
  <c r="O99" i="85" s="1"/>
  <c r="D100" i="85"/>
  <c r="B100" i="85" s="1"/>
  <c r="M100" i="85"/>
  <c r="O100" i="85"/>
  <c r="M101" i="85"/>
  <c r="O101" i="85"/>
  <c r="M102" i="85"/>
  <c r="O102" i="85"/>
  <c r="P102" i="85" s="1"/>
  <c r="M103" i="85"/>
  <c r="O103" i="85"/>
  <c r="M104" i="85"/>
  <c r="O104" i="85"/>
  <c r="M105" i="85"/>
  <c r="O105" i="85"/>
  <c r="P105" i="85" s="1"/>
  <c r="M106" i="85"/>
  <c r="O106" i="85"/>
  <c r="M107" i="85"/>
  <c r="O107" i="85"/>
  <c r="M108" i="85"/>
  <c r="O108" i="85"/>
  <c r="M109" i="85"/>
  <c r="O109" i="85"/>
  <c r="M110" i="85"/>
  <c r="O110" i="85"/>
  <c r="M111" i="85"/>
  <c r="O111" i="85"/>
  <c r="M112" i="85"/>
  <c r="O112" i="85"/>
  <c r="M113" i="85"/>
  <c r="O113" i="85"/>
  <c r="M114" i="85"/>
  <c r="O114" i="85"/>
  <c r="M115" i="85"/>
  <c r="O115" i="85"/>
  <c r="P115" i="85"/>
  <c r="M116" i="85"/>
  <c r="O116" i="85"/>
  <c r="M117" i="85"/>
  <c r="O117" i="85"/>
  <c r="M118" i="85"/>
  <c r="O118" i="85"/>
  <c r="P118" i="85" s="1"/>
  <c r="M119" i="85"/>
  <c r="P119" i="85" s="1"/>
  <c r="O119" i="85"/>
  <c r="M120" i="85"/>
  <c r="O120" i="85"/>
  <c r="M121" i="85"/>
  <c r="O121" i="85"/>
  <c r="M122" i="85"/>
  <c r="O122" i="85"/>
  <c r="P122" i="85" s="1"/>
  <c r="M123" i="85"/>
  <c r="O123" i="85"/>
  <c r="M124" i="85"/>
  <c r="O124" i="85"/>
  <c r="P124" i="85" s="1"/>
  <c r="M125" i="85"/>
  <c r="O125" i="85"/>
  <c r="M126" i="85"/>
  <c r="O126" i="85"/>
  <c r="M127" i="85"/>
  <c r="O127" i="85"/>
  <c r="M128" i="85"/>
  <c r="O128" i="85"/>
  <c r="P128" i="85" s="1"/>
  <c r="M129" i="85"/>
  <c r="O129" i="85"/>
  <c r="M130" i="85"/>
  <c r="O130" i="85"/>
  <c r="J131" i="85"/>
  <c r="M131" i="85"/>
  <c r="O131" i="85"/>
  <c r="P131" i="85"/>
  <c r="J132" i="85"/>
  <c r="M132" i="85"/>
  <c r="O132" i="85"/>
  <c r="P132" i="85"/>
  <c r="J133" i="85"/>
  <c r="M133" i="85"/>
  <c r="O133" i="85"/>
  <c r="P133" i="85"/>
  <c r="J134" i="85"/>
  <c r="M134" i="85"/>
  <c r="O134" i="85"/>
  <c r="P134" i="85"/>
  <c r="J135" i="85"/>
  <c r="M135" i="85"/>
  <c r="O135" i="85"/>
  <c r="P135" i="85"/>
  <c r="J136" i="85"/>
  <c r="M136" i="85"/>
  <c r="O136" i="85"/>
  <c r="P136" i="85"/>
  <c r="J137" i="85"/>
  <c r="M137" i="85"/>
  <c r="O137" i="85"/>
  <c r="P137" i="85"/>
  <c r="J138" i="85"/>
  <c r="M138" i="85"/>
  <c r="O138" i="85"/>
  <c r="P138" i="85"/>
  <c r="J139" i="85"/>
  <c r="M139" i="85"/>
  <c r="O139" i="85"/>
  <c r="P139" i="85"/>
  <c r="J140" i="85"/>
  <c r="M140" i="85"/>
  <c r="O140" i="85"/>
  <c r="P140" i="85"/>
  <c r="J141" i="85"/>
  <c r="M141" i="85"/>
  <c r="O141" i="85"/>
  <c r="P141" i="85"/>
  <c r="J142" i="85"/>
  <c r="M142" i="85"/>
  <c r="O142" i="85"/>
  <c r="P142" i="85"/>
  <c r="J143" i="85"/>
  <c r="M143" i="85"/>
  <c r="O143" i="85"/>
  <c r="P143" i="85"/>
  <c r="J144" i="85"/>
  <c r="M144" i="85"/>
  <c r="O144" i="85"/>
  <c r="P144" i="85"/>
  <c r="J145" i="85"/>
  <c r="M145" i="85"/>
  <c r="O145" i="85"/>
  <c r="P145" i="85"/>
  <c r="J146" i="85"/>
  <c r="M146" i="85"/>
  <c r="O146" i="85"/>
  <c r="P146" i="85"/>
  <c r="J147" i="85"/>
  <c r="M147" i="85"/>
  <c r="O147" i="85"/>
  <c r="P147" i="85"/>
  <c r="J148" i="85"/>
  <c r="M148" i="85"/>
  <c r="O148" i="85"/>
  <c r="P148" i="85"/>
  <c r="J149" i="85"/>
  <c r="M149" i="85"/>
  <c r="O149" i="85"/>
  <c r="P149" i="85"/>
  <c r="J150" i="85"/>
  <c r="M150" i="85"/>
  <c r="O150" i="85"/>
  <c r="P150" i="85"/>
  <c r="J151" i="85"/>
  <c r="M151" i="85"/>
  <c r="O151" i="85"/>
  <c r="P151" i="85"/>
  <c r="J152" i="85"/>
  <c r="M152" i="85"/>
  <c r="O152" i="85"/>
  <c r="P152" i="85"/>
  <c r="J153" i="85"/>
  <c r="M153" i="85"/>
  <c r="O153" i="85"/>
  <c r="P153" i="85"/>
  <c r="J154" i="85"/>
  <c r="M154" i="85"/>
  <c r="O154" i="85"/>
  <c r="P154" i="85"/>
  <c r="P1" i="84"/>
  <c r="P83" i="84" s="1"/>
  <c r="D8" i="84"/>
  <c r="I11" i="84"/>
  <c r="K11" i="84"/>
  <c r="I17" i="84"/>
  <c r="K17" i="84"/>
  <c r="L17" i="84" s="1"/>
  <c r="M17" i="84"/>
  <c r="N17" i="84" s="1"/>
  <c r="O17" i="84" s="1"/>
  <c r="B18" i="84"/>
  <c r="C18" i="84"/>
  <c r="C19" i="84" s="1"/>
  <c r="C20" i="84" s="1"/>
  <c r="C21" i="84" s="1"/>
  <c r="C22" i="84" s="1"/>
  <c r="C23" i="84" s="1"/>
  <c r="C24" i="84" s="1"/>
  <c r="C25" i="84"/>
  <c r="C26" i="84" s="1"/>
  <c r="C27" i="84" s="1"/>
  <c r="C28" i="84" s="1"/>
  <c r="C29" i="84" s="1"/>
  <c r="C30" i="84" s="1"/>
  <c r="C31" i="84" s="1"/>
  <c r="C32" i="84" s="1"/>
  <c r="C33" i="84" s="1"/>
  <c r="C34" i="84" s="1"/>
  <c r="C35" i="84" s="1"/>
  <c r="C36" i="84" s="1"/>
  <c r="C37" i="84" s="1"/>
  <c r="C38" i="84" s="1"/>
  <c r="C39" i="84" s="1"/>
  <c r="C40" i="84" s="1"/>
  <c r="C41" i="84" s="1"/>
  <c r="C42" i="84" s="1"/>
  <c r="C43" i="84" s="1"/>
  <c r="C44" i="84" s="1"/>
  <c r="C45" i="84" s="1"/>
  <c r="C46" i="84" s="1"/>
  <c r="C47" i="84" s="1"/>
  <c r="C48" i="84" s="1"/>
  <c r="C49" i="84" s="1"/>
  <c r="C50" i="84" s="1"/>
  <c r="C51" i="84" s="1"/>
  <c r="C52" i="84" s="1"/>
  <c r="C53" i="84" s="1"/>
  <c r="C54" i="84" s="1"/>
  <c r="C55" i="84" s="1"/>
  <c r="C56" i="84" s="1"/>
  <c r="C57" i="84" s="1"/>
  <c r="C58" i="84" s="1"/>
  <c r="C59" i="84" s="1"/>
  <c r="C60" i="84" s="1"/>
  <c r="C61" i="84" s="1"/>
  <c r="C62" i="84" s="1"/>
  <c r="C63" i="84" s="1"/>
  <c r="C64" i="84" s="1"/>
  <c r="C65" i="84" s="1"/>
  <c r="C66" i="84" s="1"/>
  <c r="C67" i="84" s="1"/>
  <c r="C68" i="84" s="1"/>
  <c r="C69" i="84" s="1"/>
  <c r="C70" i="84" s="1"/>
  <c r="C71" i="84" s="1"/>
  <c r="C72" i="84" s="1"/>
  <c r="K18" i="84"/>
  <c r="L18" i="84" s="1"/>
  <c r="M18" i="84"/>
  <c r="N18" i="84"/>
  <c r="B19" i="84"/>
  <c r="L20" i="84"/>
  <c r="N20" i="84"/>
  <c r="L21" i="84"/>
  <c r="N21" i="84"/>
  <c r="L22" i="84"/>
  <c r="N22" i="84"/>
  <c r="O22" i="84" s="1"/>
  <c r="L23" i="84"/>
  <c r="N23" i="84"/>
  <c r="O23" i="84" s="1"/>
  <c r="L24" i="84"/>
  <c r="N24" i="84"/>
  <c r="L25" i="84"/>
  <c r="N25" i="84"/>
  <c r="O25" i="84" s="1"/>
  <c r="L26" i="84"/>
  <c r="N26" i="84"/>
  <c r="L27" i="84"/>
  <c r="N27" i="84"/>
  <c r="O27" i="84" s="1"/>
  <c r="L28" i="84"/>
  <c r="N28" i="84"/>
  <c r="L29" i="84"/>
  <c r="N29" i="84"/>
  <c r="O29" i="84" s="1"/>
  <c r="L30" i="84"/>
  <c r="N30" i="84"/>
  <c r="L31" i="84"/>
  <c r="N31" i="84"/>
  <c r="L32" i="84"/>
  <c r="N32" i="84"/>
  <c r="L33" i="84"/>
  <c r="N33" i="84"/>
  <c r="L34" i="84"/>
  <c r="N34" i="84"/>
  <c r="L35" i="84"/>
  <c r="N35" i="84"/>
  <c r="L36" i="84"/>
  <c r="N36" i="84"/>
  <c r="L37" i="84"/>
  <c r="N37" i="84"/>
  <c r="O37" i="84" s="1"/>
  <c r="L38" i="84"/>
  <c r="N38" i="84"/>
  <c r="O38" i="84" s="1"/>
  <c r="L39" i="84"/>
  <c r="N39" i="84"/>
  <c r="L40" i="84"/>
  <c r="N40" i="84"/>
  <c r="O40" i="84" s="1"/>
  <c r="L41" i="84"/>
  <c r="N41" i="84"/>
  <c r="O41" i="84" s="1"/>
  <c r="L42" i="84"/>
  <c r="N42" i="84"/>
  <c r="L43" i="84"/>
  <c r="N43" i="84"/>
  <c r="O43" i="84" s="1"/>
  <c r="L44" i="84"/>
  <c r="N44" i="84"/>
  <c r="L45" i="84"/>
  <c r="N45" i="84"/>
  <c r="L46" i="84"/>
  <c r="N46" i="84"/>
  <c r="L47" i="84"/>
  <c r="N47" i="84"/>
  <c r="O47" i="84" s="1"/>
  <c r="L48" i="84"/>
  <c r="N48" i="84"/>
  <c r="L49" i="84"/>
  <c r="N49" i="84"/>
  <c r="O49" i="84" s="1"/>
  <c r="L50" i="84"/>
  <c r="N50" i="84"/>
  <c r="L51" i="84"/>
  <c r="N51" i="84"/>
  <c r="L52" i="84"/>
  <c r="N52" i="84"/>
  <c r="L53" i="84"/>
  <c r="N53" i="84"/>
  <c r="L54" i="84"/>
  <c r="N54" i="84"/>
  <c r="L55" i="84"/>
  <c r="N55" i="84"/>
  <c r="O55" i="84" s="1"/>
  <c r="L56" i="84"/>
  <c r="N56" i="84"/>
  <c r="L57" i="84"/>
  <c r="N57" i="84"/>
  <c r="L58" i="84"/>
  <c r="N58" i="84"/>
  <c r="O58" i="84" s="1"/>
  <c r="L59" i="84"/>
  <c r="N59" i="84"/>
  <c r="L60" i="84"/>
  <c r="N60" i="84"/>
  <c r="O60" i="84" s="1"/>
  <c r="L61" i="84"/>
  <c r="N61" i="84"/>
  <c r="L62" i="84"/>
  <c r="N62" i="84"/>
  <c r="L63" i="84"/>
  <c r="N63" i="84"/>
  <c r="L64" i="84"/>
  <c r="N64" i="84"/>
  <c r="L65" i="84"/>
  <c r="N65" i="84"/>
  <c r="L66" i="84"/>
  <c r="N66" i="84"/>
  <c r="L67" i="84"/>
  <c r="N67" i="84"/>
  <c r="L68" i="84"/>
  <c r="N68" i="84"/>
  <c r="L69" i="84"/>
  <c r="N69" i="84"/>
  <c r="L70" i="84"/>
  <c r="N70" i="84"/>
  <c r="L71" i="84"/>
  <c r="N71" i="84"/>
  <c r="L72" i="84"/>
  <c r="N72" i="84"/>
  <c r="D89" i="84"/>
  <c r="D90" i="84"/>
  <c r="D91" i="84"/>
  <c r="J93" i="84"/>
  <c r="L93" i="84"/>
  <c r="D96" i="84"/>
  <c r="D99" i="84"/>
  <c r="C100" i="84"/>
  <c r="C101" i="84" s="1"/>
  <c r="C102" i="84" s="1"/>
  <c r="C103" i="84" s="1"/>
  <c r="C104" i="84" s="1"/>
  <c r="C105" i="84" s="1"/>
  <c r="C106" i="84" s="1"/>
  <c r="C107" i="84" s="1"/>
  <c r="C108" i="84" s="1"/>
  <c r="C109" i="84" s="1"/>
  <c r="C110" i="84" s="1"/>
  <c r="C111" i="84" s="1"/>
  <c r="C112" i="84" s="1"/>
  <c r="C113" i="84" s="1"/>
  <c r="C114" i="84" s="1"/>
  <c r="C115" i="84" s="1"/>
  <c r="C116" i="84" s="1"/>
  <c r="C117" i="84" s="1"/>
  <c r="C118" i="84" s="1"/>
  <c r="C119" i="84" s="1"/>
  <c r="C120" i="84" s="1"/>
  <c r="C121" i="84" s="1"/>
  <c r="C122" i="84" s="1"/>
  <c r="C123" i="84" s="1"/>
  <c r="C124" i="84" s="1"/>
  <c r="C125" i="84" s="1"/>
  <c r="C126" i="84" s="1"/>
  <c r="C127" i="84" s="1"/>
  <c r="C128" i="84" s="1"/>
  <c r="C129" i="84" s="1"/>
  <c r="C130" i="84" s="1"/>
  <c r="C131" i="84" s="1"/>
  <c r="C132" i="84" s="1"/>
  <c r="C133" i="84" s="1"/>
  <c r="C134" i="84" s="1"/>
  <c r="C135" i="84" s="1"/>
  <c r="C136" i="84" s="1"/>
  <c r="C137" i="84" s="1"/>
  <c r="C138" i="84" s="1"/>
  <c r="C139" i="84" s="1"/>
  <c r="C140" i="84" s="1"/>
  <c r="C141" i="84" s="1"/>
  <c r="C142" i="84" s="1"/>
  <c r="C143" i="84" s="1"/>
  <c r="C144" i="84" s="1"/>
  <c r="C145" i="84" s="1"/>
  <c r="C146" i="84" s="1"/>
  <c r="C147" i="84" s="1"/>
  <c r="C148" i="84" s="1"/>
  <c r="C149" i="84" s="1"/>
  <c r="C150" i="84" s="1"/>
  <c r="C151" i="84" s="1"/>
  <c r="C152" i="84" s="1"/>
  <c r="C153" i="84" s="1"/>
  <c r="C154" i="84" s="1"/>
  <c r="M100" i="84"/>
  <c r="O100" i="84"/>
  <c r="M101" i="84"/>
  <c r="O101" i="84"/>
  <c r="M102" i="84"/>
  <c r="O102" i="84"/>
  <c r="M103" i="84"/>
  <c r="O103" i="84"/>
  <c r="M104" i="84"/>
  <c r="O104" i="84"/>
  <c r="M105" i="84"/>
  <c r="O105" i="84"/>
  <c r="M106" i="84"/>
  <c r="O106" i="84"/>
  <c r="M107" i="84"/>
  <c r="O107" i="84"/>
  <c r="M108" i="84"/>
  <c r="O108" i="84"/>
  <c r="M109" i="84"/>
  <c r="O109" i="84"/>
  <c r="M110" i="84"/>
  <c r="O110" i="84"/>
  <c r="M111" i="84"/>
  <c r="O111" i="84"/>
  <c r="M112" i="84"/>
  <c r="O112" i="84"/>
  <c r="M113" i="84"/>
  <c r="O113" i="84"/>
  <c r="M114" i="84"/>
  <c r="O114" i="84"/>
  <c r="M115" i="84"/>
  <c r="O115" i="84"/>
  <c r="M116" i="84"/>
  <c r="O116" i="84"/>
  <c r="M117" i="84"/>
  <c r="O117" i="84"/>
  <c r="M118" i="84"/>
  <c r="O118" i="84"/>
  <c r="M119" i="84"/>
  <c r="O119" i="84"/>
  <c r="M120" i="84"/>
  <c r="O120" i="84"/>
  <c r="M121" i="84"/>
  <c r="O121" i="84"/>
  <c r="M122" i="84"/>
  <c r="O122" i="84"/>
  <c r="M123" i="84"/>
  <c r="O123" i="84"/>
  <c r="M124" i="84"/>
  <c r="O124" i="84"/>
  <c r="M125" i="84"/>
  <c r="O125" i="84"/>
  <c r="M126" i="84"/>
  <c r="O126" i="84"/>
  <c r="M127" i="84"/>
  <c r="O127" i="84"/>
  <c r="M128" i="84"/>
  <c r="O128" i="84"/>
  <c r="M129" i="84"/>
  <c r="O129" i="84"/>
  <c r="M130" i="84"/>
  <c r="O130" i="84"/>
  <c r="J131" i="84"/>
  <c r="M131" i="84"/>
  <c r="O131" i="84"/>
  <c r="P131" i="84"/>
  <c r="J132" i="84"/>
  <c r="M132" i="84"/>
  <c r="O132" i="84"/>
  <c r="P132" i="84"/>
  <c r="J133" i="84"/>
  <c r="M133" i="84"/>
  <c r="O133" i="84"/>
  <c r="P133" i="84"/>
  <c r="J134" i="84"/>
  <c r="M134" i="84"/>
  <c r="O134" i="84"/>
  <c r="P134" i="84"/>
  <c r="J135" i="84"/>
  <c r="M135" i="84"/>
  <c r="O135" i="84"/>
  <c r="P135" i="84"/>
  <c r="J136" i="84"/>
  <c r="M136" i="84"/>
  <c r="O136" i="84"/>
  <c r="P136" i="84"/>
  <c r="J137" i="84"/>
  <c r="M137" i="84"/>
  <c r="O137" i="84"/>
  <c r="P137" i="84"/>
  <c r="J138" i="84"/>
  <c r="M138" i="84"/>
  <c r="O138" i="84"/>
  <c r="P138" i="84"/>
  <c r="J139" i="84"/>
  <c r="M139" i="84"/>
  <c r="O139" i="84"/>
  <c r="P139" i="84"/>
  <c r="J140" i="84"/>
  <c r="M140" i="84"/>
  <c r="O140" i="84"/>
  <c r="P140" i="84"/>
  <c r="J141" i="84"/>
  <c r="M141" i="84"/>
  <c r="O141" i="84"/>
  <c r="P141" i="84"/>
  <c r="J142" i="84"/>
  <c r="M142" i="84"/>
  <c r="O142" i="84"/>
  <c r="P142" i="84"/>
  <c r="J143" i="84"/>
  <c r="M143" i="84"/>
  <c r="O143" i="84"/>
  <c r="P143" i="84"/>
  <c r="J144" i="84"/>
  <c r="M144" i="84"/>
  <c r="O144" i="84"/>
  <c r="P144" i="84"/>
  <c r="J145" i="84"/>
  <c r="M145" i="84"/>
  <c r="O145" i="84"/>
  <c r="P145" i="84"/>
  <c r="J146" i="84"/>
  <c r="M146" i="84"/>
  <c r="O146" i="84"/>
  <c r="P146" i="84"/>
  <c r="J147" i="84"/>
  <c r="M147" i="84"/>
  <c r="O147" i="84"/>
  <c r="P147" i="84"/>
  <c r="J148" i="84"/>
  <c r="M148" i="84"/>
  <c r="O148" i="84"/>
  <c r="P148" i="84"/>
  <c r="J149" i="84"/>
  <c r="M149" i="84"/>
  <c r="O149" i="84"/>
  <c r="P149" i="84"/>
  <c r="J150" i="84"/>
  <c r="M150" i="84"/>
  <c r="O150" i="84"/>
  <c r="P150" i="84"/>
  <c r="J151" i="84"/>
  <c r="M151" i="84"/>
  <c r="O151" i="84"/>
  <c r="P151" i="84"/>
  <c r="J152" i="84"/>
  <c r="M152" i="84"/>
  <c r="O152" i="84"/>
  <c r="P152" i="84"/>
  <c r="J153" i="84"/>
  <c r="M153" i="84"/>
  <c r="O153" i="84"/>
  <c r="P153" i="84"/>
  <c r="J154" i="84"/>
  <c r="M154" i="84"/>
  <c r="O154" i="84"/>
  <c r="P154" i="84"/>
  <c r="P1" i="83"/>
  <c r="P83" i="83" s="1"/>
  <c r="D8" i="83"/>
  <c r="I11" i="83"/>
  <c r="K11" i="83"/>
  <c r="C17" i="83"/>
  <c r="C18" i="83" s="1"/>
  <c r="C19" i="83" s="1"/>
  <c r="C20" i="83" s="1"/>
  <c r="C21" i="83" s="1"/>
  <c r="C22" i="83" s="1"/>
  <c r="C23" i="83" s="1"/>
  <c r="C24" i="83" s="1"/>
  <c r="C25" i="83" s="1"/>
  <c r="C26" i="83" s="1"/>
  <c r="C27" i="83" s="1"/>
  <c r="C28" i="83" s="1"/>
  <c r="C29" i="83" s="1"/>
  <c r="C30" i="83" s="1"/>
  <c r="C31" i="83" s="1"/>
  <c r="C32" i="83" s="1"/>
  <c r="C33" i="83" s="1"/>
  <c r="C34" i="83" s="1"/>
  <c r="C35" i="83" s="1"/>
  <c r="C36" i="83" s="1"/>
  <c r="C37" i="83" s="1"/>
  <c r="C38" i="83" s="1"/>
  <c r="C39" i="83" s="1"/>
  <c r="C40" i="83" s="1"/>
  <c r="C41" i="83" s="1"/>
  <c r="C42" i="83" s="1"/>
  <c r="C43" i="83" s="1"/>
  <c r="C44" i="83" s="1"/>
  <c r="C45" i="83" s="1"/>
  <c r="C46" i="83" s="1"/>
  <c r="C47" i="83" s="1"/>
  <c r="C48" i="83" s="1"/>
  <c r="C49" i="83" s="1"/>
  <c r="C50" i="83" s="1"/>
  <c r="C51" i="83" s="1"/>
  <c r="C52" i="83" s="1"/>
  <c r="C53" i="83" s="1"/>
  <c r="C54" i="83" s="1"/>
  <c r="C55" i="83" s="1"/>
  <c r="C56" i="83" s="1"/>
  <c r="C57" i="83" s="1"/>
  <c r="C58" i="83" s="1"/>
  <c r="C59" i="83" s="1"/>
  <c r="C60" i="83" s="1"/>
  <c r="C61" i="83" s="1"/>
  <c r="C62" i="83" s="1"/>
  <c r="C63" i="83" s="1"/>
  <c r="C64" i="83" s="1"/>
  <c r="C65" i="83" s="1"/>
  <c r="C66" i="83" s="1"/>
  <c r="C67" i="83" s="1"/>
  <c r="C68" i="83" s="1"/>
  <c r="C69" i="83" s="1"/>
  <c r="C70" i="83" s="1"/>
  <c r="C71" i="83" s="1"/>
  <c r="C72" i="83" s="1"/>
  <c r="I17" i="83"/>
  <c r="K17" i="83"/>
  <c r="L17" i="83" s="1"/>
  <c r="M17" i="83"/>
  <c r="N17" i="83" s="1"/>
  <c r="O17" i="83" s="1"/>
  <c r="B18" i="83"/>
  <c r="K18" i="83"/>
  <c r="L18" i="83"/>
  <c r="M18" i="83"/>
  <c r="N18" i="83" s="1"/>
  <c r="B19" i="83"/>
  <c r="L20" i="83"/>
  <c r="N20" i="83"/>
  <c r="L21" i="83"/>
  <c r="N21" i="83"/>
  <c r="L22" i="83"/>
  <c r="N22" i="83"/>
  <c r="L23" i="83"/>
  <c r="N23" i="83"/>
  <c r="L24" i="83"/>
  <c r="N24" i="83"/>
  <c r="O24" i="83" s="1"/>
  <c r="L25" i="83"/>
  <c r="N25" i="83"/>
  <c r="L26" i="83"/>
  <c r="N26" i="83"/>
  <c r="L27" i="83"/>
  <c r="N27" i="83"/>
  <c r="L28" i="83"/>
  <c r="N28" i="83"/>
  <c r="L29" i="83"/>
  <c r="N29" i="83"/>
  <c r="L30" i="83"/>
  <c r="N30" i="83"/>
  <c r="L31" i="83"/>
  <c r="N31" i="83"/>
  <c r="L32" i="83"/>
  <c r="N32" i="83"/>
  <c r="L33" i="83"/>
  <c r="N33" i="83"/>
  <c r="L34" i="83"/>
  <c r="N34" i="83"/>
  <c r="L35" i="83"/>
  <c r="N35" i="83"/>
  <c r="L36" i="83"/>
  <c r="N36" i="83"/>
  <c r="L37" i="83"/>
  <c r="N37" i="83"/>
  <c r="L38" i="83"/>
  <c r="N38" i="83"/>
  <c r="L39" i="83"/>
  <c r="N39" i="83"/>
  <c r="L40" i="83"/>
  <c r="N40" i="83"/>
  <c r="O40" i="83" s="1"/>
  <c r="L41" i="83"/>
  <c r="N41" i="83"/>
  <c r="L42" i="83"/>
  <c r="N42" i="83"/>
  <c r="O42" i="83" s="1"/>
  <c r="L43" i="83"/>
  <c r="N43" i="83"/>
  <c r="L44" i="83"/>
  <c r="N44" i="83"/>
  <c r="L45" i="83"/>
  <c r="N45" i="83"/>
  <c r="L46" i="83"/>
  <c r="N46" i="83"/>
  <c r="O46" i="83" s="1"/>
  <c r="L47" i="83"/>
  <c r="N47" i="83"/>
  <c r="L48" i="83"/>
  <c r="N48" i="83"/>
  <c r="L49" i="83"/>
  <c r="N49" i="83"/>
  <c r="L50" i="83"/>
  <c r="N50" i="83"/>
  <c r="L51" i="83"/>
  <c r="N51" i="83"/>
  <c r="L52" i="83"/>
  <c r="N52" i="83"/>
  <c r="L53" i="83"/>
  <c r="N53" i="83"/>
  <c r="L54" i="83"/>
  <c r="N54" i="83"/>
  <c r="L55" i="83"/>
  <c r="N55" i="83"/>
  <c r="L56" i="83"/>
  <c r="N56" i="83"/>
  <c r="L57" i="83"/>
  <c r="N57" i="83"/>
  <c r="L58" i="83"/>
  <c r="N58" i="83"/>
  <c r="L59" i="83"/>
  <c r="N59" i="83"/>
  <c r="L60" i="83"/>
  <c r="N60" i="83"/>
  <c r="L61" i="83"/>
  <c r="N61" i="83"/>
  <c r="L62" i="83"/>
  <c r="N62" i="83"/>
  <c r="L63" i="83"/>
  <c r="N63" i="83"/>
  <c r="L64" i="83"/>
  <c r="N64" i="83"/>
  <c r="L65" i="83"/>
  <c r="N65" i="83"/>
  <c r="L66" i="83"/>
  <c r="N66" i="83"/>
  <c r="L67" i="83"/>
  <c r="N67" i="83"/>
  <c r="L68" i="83"/>
  <c r="N68" i="83"/>
  <c r="L69" i="83"/>
  <c r="N69" i="83"/>
  <c r="L70" i="83"/>
  <c r="N70" i="83"/>
  <c r="L71" i="83"/>
  <c r="N71" i="83"/>
  <c r="L72" i="83"/>
  <c r="N72" i="83"/>
  <c r="D89" i="83"/>
  <c r="D90" i="83"/>
  <c r="D91" i="83"/>
  <c r="J93" i="83"/>
  <c r="L93" i="83"/>
  <c r="D96" i="83"/>
  <c r="D100" i="83"/>
  <c r="B100" i="83" s="1"/>
  <c r="M100" i="83"/>
  <c r="O100" i="83"/>
  <c r="M101" i="83"/>
  <c r="O101" i="83"/>
  <c r="M102" i="83"/>
  <c r="O102" i="83"/>
  <c r="M103" i="83"/>
  <c r="O103" i="83"/>
  <c r="M104" i="83"/>
  <c r="O104" i="83"/>
  <c r="M105" i="83"/>
  <c r="O105" i="83"/>
  <c r="P105" i="83" s="1"/>
  <c r="M106" i="83"/>
  <c r="O106" i="83"/>
  <c r="M107" i="83"/>
  <c r="O107" i="83"/>
  <c r="M108" i="83"/>
  <c r="O108" i="83"/>
  <c r="M109" i="83"/>
  <c r="O109" i="83"/>
  <c r="M110" i="83"/>
  <c r="O110" i="83"/>
  <c r="M111" i="83"/>
  <c r="O111" i="83"/>
  <c r="M112" i="83"/>
  <c r="O112" i="83"/>
  <c r="M113" i="83"/>
  <c r="O113" i="83"/>
  <c r="P113" i="83" s="1"/>
  <c r="M114" i="83"/>
  <c r="O114" i="83"/>
  <c r="M115" i="83"/>
  <c r="P115" i="83" s="1"/>
  <c r="O115" i="83"/>
  <c r="M116" i="83"/>
  <c r="O116" i="83"/>
  <c r="M117" i="83"/>
  <c r="P117" i="83" s="1"/>
  <c r="O117" i="83"/>
  <c r="M118" i="83"/>
  <c r="O118" i="83"/>
  <c r="M119" i="83"/>
  <c r="O119" i="83"/>
  <c r="M120" i="83"/>
  <c r="O120" i="83"/>
  <c r="M121" i="83"/>
  <c r="O121" i="83"/>
  <c r="P121" i="83" s="1"/>
  <c r="M122" i="83"/>
  <c r="O122" i="83"/>
  <c r="M123" i="83"/>
  <c r="O123" i="83"/>
  <c r="P123" i="83" s="1"/>
  <c r="M124" i="83"/>
  <c r="O124" i="83"/>
  <c r="M125" i="83"/>
  <c r="O125" i="83"/>
  <c r="M126" i="83"/>
  <c r="O126" i="83"/>
  <c r="M127" i="83"/>
  <c r="O127" i="83"/>
  <c r="M128" i="83"/>
  <c r="O128" i="83"/>
  <c r="M129" i="83"/>
  <c r="O129" i="83"/>
  <c r="P129" i="83" s="1"/>
  <c r="M130" i="83"/>
  <c r="O130" i="83"/>
  <c r="J131" i="83"/>
  <c r="M131" i="83"/>
  <c r="O131" i="83"/>
  <c r="P131" i="83"/>
  <c r="J132" i="83"/>
  <c r="M132" i="83"/>
  <c r="O132" i="83"/>
  <c r="P132" i="83"/>
  <c r="J133" i="83"/>
  <c r="M133" i="83"/>
  <c r="O133" i="83"/>
  <c r="P133" i="83"/>
  <c r="J134" i="83"/>
  <c r="M134" i="83"/>
  <c r="O134" i="83"/>
  <c r="P134" i="83"/>
  <c r="J135" i="83"/>
  <c r="M135" i="83"/>
  <c r="O135" i="83"/>
  <c r="P135" i="83"/>
  <c r="J136" i="83"/>
  <c r="M136" i="83"/>
  <c r="O136" i="83"/>
  <c r="P136" i="83"/>
  <c r="J137" i="83"/>
  <c r="M137" i="83"/>
  <c r="O137" i="83"/>
  <c r="P137" i="83"/>
  <c r="J138" i="83"/>
  <c r="M138" i="83"/>
  <c r="O138" i="83"/>
  <c r="P138" i="83"/>
  <c r="J139" i="83"/>
  <c r="M139" i="83"/>
  <c r="O139" i="83"/>
  <c r="P139" i="83"/>
  <c r="J140" i="83"/>
  <c r="M140" i="83"/>
  <c r="O140" i="83"/>
  <c r="P140" i="83"/>
  <c r="J141" i="83"/>
  <c r="M141" i="83"/>
  <c r="O141" i="83"/>
  <c r="P141" i="83"/>
  <c r="J142" i="83"/>
  <c r="M142" i="83"/>
  <c r="O142" i="83"/>
  <c r="P142" i="83"/>
  <c r="J143" i="83"/>
  <c r="M143" i="83"/>
  <c r="O143" i="83"/>
  <c r="P143" i="83"/>
  <c r="J144" i="83"/>
  <c r="M144" i="83"/>
  <c r="O144" i="83"/>
  <c r="P144" i="83"/>
  <c r="J145" i="83"/>
  <c r="M145" i="83"/>
  <c r="O145" i="83"/>
  <c r="P145" i="83"/>
  <c r="J146" i="83"/>
  <c r="M146" i="83"/>
  <c r="O146" i="83"/>
  <c r="P146" i="83"/>
  <c r="J147" i="83"/>
  <c r="M147" i="83"/>
  <c r="O147" i="83"/>
  <c r="P147" i="83"/>
  <c r="J148" i="83"/>
  <c r="M148" i="83"/>
  <c r="O148" i="83"/>
  <c r="P148" i="83"/>
  <c r="J149" i="83"/>
  <c r="M149" i="83"/>
  <c r="O149" i="83"/>
  <c r="P149" i="83"/>
  <c r="J150" i="83"/>
  <c r="M150" i="83"/>
  <c r="O150" i="83"/>
  <c r="P150" i="83"/>
  <c r="J151" i="83"/>
  <c r="M151" i="83"/>
  <c r="O151" i="83"/>
  <c r="P151" i="83"/>
  <c r="J152" i="83"/>
  <c r="M152" i="83"/>
  <c r="O152" i="83"/>
  <c r="P152" i="83"/>
  <c r="J153" i="83"/>
  <c r="M153" i="83"/>
  <c r="O153" i="83"/>
  <c r="P153" i="83"/>
  <c r="J154" i="83"/>
  <c r="M154" i="83"/>
  <c r="O154" i="83"/>
  <c r="P154" i="83"/>
  <c r="P1" i="82"/>
  <c r="P83" i="82" s="1"/>
  <c r="D8" i="82"/>
  <c r="D90" i="82" s="1"/>
  <c r="I11" i="82"/>
  <c r="K11" i="82"/>
  <c r="C17" i="82"/>
  <c r="C18" i="82" s="1"/>
  <c r="C19" i="82" s="1"/>
  <c r="C20" i="82" s="1"/>
  <c r="C21" i="82" s="1"/>
  <c r="C22" i="82" s="1"/>
  <c r="C23" i="82" s="1"/>
  <c r="C24" i="82" s="1"/>
  <c r="C25" i="82" s="1"/>
  <c r="C26" i="82" s="1"/>
  <c r="C27" i="82" s="1"/>
  <c r="C28" i="82" s="1"/>
  <c r="C29" i="82" s="1"/>
  <c r="C30" i="82" s="1"/>
  <c r="C31" i="82" s="1"/>
  <c r="C32" i="82" s="1"/>
  <c r="C33" i="82" s="1"/>
  <c r="C34" i="82" s="1"/>
  <c r="C35" i="82" s="1"/>
  <c r="C36" i="82" s="1"/>
  <c r="C37" i="82" s="1"/>
  <c r="C38" i="82" s="1"/>
  <c r="C39" i="82" s="1"/>
  <c r="I17" i="82"/>
  <c r="K17" i="82"/>
  <c r="L17" i="82" s="1"/>
  <c r="M17" i="82"/>
  <c r="N17" i="82"/>
  <c r="B18" i="82"/>
  <c r="K18" i="82"/>
  <c r="L18" i="82" s="1"/>
  <c r="M18" i="82"/>
  <c r="N18" i="82"/>
  <c r="B19" i="82"/>
  <c r="L20" i="82"/>
  <c r="N20" i="82"/>
  <c r="C40" i="82"/>
  <c r="C41" i="82" s="1"/>
  <c r="C42" i="82" s="1"/>
  <c r="C43" i="82" s="1"/>
  <c r="C44" i="82" s="1"/>
  <c r="C45" i="82" s="1"/>
  <c r="C46" i="82" s="1"/>
  <c r="C47" i="82" s="1"/>
  <c r="C48" i="82" s="1"/>
  <c r="C49" i="82" s="1"/>
  <c r="C50" i="82" s="1"/>
  <c r="C51" i="82" s="1"/>
  <c r="C52" i="82" s="1"/>
  <c r="C53" i="82" s="1"/>
  <c r="C54" i="82" s="1"/>
  <c r="C55" i="82" s="1"/>
  <c r="C56" i="82" s="1"/>
  <c r="C57" i="82" s="1"/>
  <c r="C58" i="82" s="1"/>
  <c r="C59" i="82" s="1"/>
  <c r="C60" i="82" s="1"/>
  <c r="C61" i="82" s="1"/>
  <c r="C62" i="82" s="1"/>
  <c r="C63" i="82"/>
  <c r="C64" i="82" s="1"/>
  <c r="C65" i="82" s="1"/>
  <c r="C66" i="82" s="1"/>
  <c r="C67" i="82" s="1"/>
  <c r="C68" i="82" s="1"/>
  <c r="C69" i="82" s="1"/>
  <c r="C70" i="82" s="1"/>
  <c r="C71" i="82" s="1"/>
  <c r="C72" i="82" s="1"/>
  <c r="L21" i="82"/>
  <c r="N21" i="82"/>
  <c r="L22" i="82"/>
  <c r="N22" i="82"/>
  <c r="L23" i="82"/>
  <c r="N23" i="82"/>
  <c r="O23" i="82" s="1"/>
  <c r="L24" i="82"/>
  <c r="N24" i="82"/>
  <c r="L25" i="82"/>
  <c r="N25" i="82"/>
  <c r="L26" i="82"/>
  <c r="N26" i="82"/>
  <c r="L27" i="82"/>
  <c r="N27" i="82"/>
  <c r="L28" i="82"/>
  <c r="N28" i="82"/>
  <c r="L29" i="82"/>
  <c r="N29" i="82"/>
  <c r="L30" i="82"/>
  <c r="N30" i="82"/>
  <c r="L31" i="82"/>
  <c r="N31" i="82"/>
  <c r="L32" i="82"/>
  <c r="N32" i="82"/>
  <c r="L33" i="82"/>
  <c r="N33" i="82"/>
  <c r="L34" i="82"/>
  <c r="N34" i="82"/>
  <c r="O34" i="82" s="1"/>
  <c r="L35" i="82"/>
  <c r="N35" i="82"/>
  <c r="L36" i="82"/>
  <c r="N36" i="82"/>
  <c r="L37" i="82"/>
  <c r="N37" i="82"/>
  <c r="L38" i="82"/>
  <c r="N38" i="82"/>
  <c r="O38" i="82" s="1"/>
  <c r="L39" i="82"/>
  <c r="N39" i="82"/>
  <c r="L40" i="82"/>
  <c r="N40" i="82"/>
  <c r="O40" i="82" s="1"/>
  <c r="L41" i="82"/>
  <c r="N41" i="82"/>
  <c r="L42" i="82"/>
  <c r="N42" i="82"/>
  <c r="O42" i="82" s="1"/>
  <c r="L43" i="82"/>
  <c r="N43" i="82"/>
  <c r="L44" i="82"/>
  <c r="N44" i="82"/>
  <c r="O44" i="82" s="1"/>
  <c r="L45" i="82"/>
  <c r="N45" i="82"/>
  <c r="L46" i="82"/>
  <c r="N46" i="82"/>
  <c r="O46" i="82" s="1"/>
  <c r="L47" i="82"/>
  <c r="N47" i="82"/>
  <c r="L48" i="82"/>
  <c r="N48" i="82"/>
  <c r="O48" i="82" s="1"/>
  <c r="L49" i="82"/>
  <c r="N49" i="82"/>
  <c r="L50" i="82"/>
  <c r="N50" i="82"/>
  <c r="O50" i="82" s="1"/>
  <c r="L51" i="82"/>
  <c r="N51" i="82"/>
  <c r="L52" i="82"/>
  <c r="N52" i="82"/>
  <c r="O52" i="82" s="1"/>
  <c r="L53" i="82"/>
  <c r="N53" i="82"/>
  <c r="L54" i="82"/>
  <c r="N54" i="82"/>
  <c r="O54" i="82" s="1"/>
  <c r="L55" i="82"/>
  <c r="N55" i="82"/>
  <c r="L56" i="82"/>
  <c r="N56" i="82"/>
  <c r="O56" i="82" s="1"/>
  <c r="L57" i="82"/>
  <c r="N57" i="82"/>
  <c r="L58" i="82"/>
  <c r="N58" i="82"/>
  <c r="O58" i="82" s="1"/>
  <c r="L59" i="82"/>
  <c r="N59" i="82"/>
  <c r="L60" i="82"/>
  <c r="N60" i="82"/>
  <c r="L61" i="82"/>
  <c r="N61" i="82"/>
  <c r="L62" i="82"/>
  <c r="N62" i="82"/>
  <c r="L63" i="82"/>
  <c r="N63" i="82"/>
  <c r="L64" i="82"/>
  <c r="N64" i="82"/>
  <c r="L65" i="82"/>
  <c r="N65" i="82"/>
  <c r="L66" i="82"/>
  <c r="N66" i="82"/>
  <c r="L67" i="82"/>
  <c r="N67" i="82"/>
  <c r="L68" i="82"/>
  <c r="N68" i="82"/>
  <c r="L69" i="82"/>
  <c r="N69" i="82"/>
  <c r="L70" i="82"/>
  <c r="N70" i="82"/>
  <c r="L71" i="82"/>
  <c r="N71" i="82"/>
  <c r="L72" i="82"/>
  <c r="N72" i="82"/>
  <c r="D89" i="82"/>
  <c r="D91" i="82"/>
  <c r="J93" i="82"/>
  <c r="L93" i="82"/>
  <c r="D96" i="82"/>
  <c r="D100" i="82"/>
  <c r="B100" i="82" s="1"/>
  <c r="M100" i="82"/>
  <c r="O100" i="82"/>
  <c r="M101" i="82"/>
  <c r="O101" i="82"/>
  <c r="M102" i="82"/>
  <c r="O102" i="82"/>
  <c r="M103" i="82"/>
  <c r="O103" i="82"/>
  <c r="M104" i="82"/>
  <c r="O104" i="82"/>
  <c r="M105" i="82"/>
  <c r="O105" i="82"/>
  <c r="M106" i="82"/>
  <c r="O106" i="82"/>
  <c r="M107" i="82"/>
  <c r="O107" i="82"/>
  <c r="M108" i="82"/>
  <c r="O108" i="82"/>
  <c r="M109" i="82"/>
  <c r="O109" i="82"/>
  <c r="M110" i="82"/>
  <c r="O110" i="82"/>
  <c r="M111" i="82"/>
  <c r="O111" i="82"/>
  <c r="M112" i="82"/>
  <c r="O112" i="82"/>
  <c r="M113" i="82"/>
  <c r="O113" i="82"/>
  <c r="M114" i="82"/>
  <c r="O114" i="82"/>
  <c r="P114" i="82" s="1"/>
  <c r="M115" i="82"/>
  <c r="O115" i="82"/>
  <c r="P115" i="82" s="1"/>
  <c r="M116" i="82"/>
  <c r="O116" i="82"/>
  <c r="M117" i="82"/>
  <c r="P117" i="82" s="1"/>
  <c r="O117" i="82"/>
  <c r="M118" i="82"/>
  <c r="O118" i="82"/>
  <c r="P118" i="82" s="1"/>
  <c r="M119" i="82"/>
  <c r="P119" i="82" s="1"/>
  <c r="O119" i="82"/>
  <c r="M120" i="82"/>
  <c r="O120" i="82"/>
  <c r="P120" i="82" s="1"/>
  <c r="M121" i="82"/>
  <c r="O121" i="82"/>
  <c r="P121" i="82" s="1"/>
  <c r="M122" i="82"/>
  <c r="O122" i="82"/>
  <c r="P122" i="82" s="1"/>
  <c r="M123" i="82"/>
  <c r="O123" i="82"/>
  <c r="M124" i="82"/>
  <c r="O124" i="82"/>
  <c r="M125" i="82"/>
  <c r="O125" i="82"/>
  <c r="M126" i="82"/>
  <c r="O126" i="82"/>
  <c r="P126" i="82" s="1"/>
  <c r="M127" i="82"/>
  <c r="P127" i="82" s="1"/>
  <c r="O127" i="82"/>
  <c r="M128" i="82"/>
  <c r="O128" i="82"/>
  <c r="M129" i="82"/>
  <c r="O129" i="82"/>
  <c r="M130" i="82"/>
  <c r="O130" i="82"/>
  <c r="J131" i="82"/>
  <c r="M131" i="82"/>
  <c r="O131" i="82"/>
  <c r="P131" i="82"/>
  <c r="J132" i="82"/>
  <c r="M132" i="82"/>
  <c r="O132" i="82"/>
  <c r="P132" i="82"/>
  <c r="J133" i="82"/>
  <c r="M133" i="82"/>
  <c r="O133" i="82"/>
  <c r="P133" i="82"/>
  <c r="J134" i="82"/>
  <c r="M134" i="82"/>
  <c r="O134" i="82"/>
  <c r="P134" i="82"/>
  <c r="J135" i="82"/>
  <c r="M135" i="82"/>
  <c r="O135" i="82"/>
  <c r="P135" i="82"/>
  <c r="J136" i="82"/>
  <c r="M136" i="82"/>
  <c r="O136" i="82"/>
  <c r="P136" i="82"/>
  <c r="J137" i="82"/>
  <c r="M137" i="82"/>
  <c r="O137" i="82"/>
  <c r="P137" i="82"/>
  <c r="J138" i="82"/>
  <c r="M138" i="82"/>
  <c r="O138" i="82"/>
  <c r="P138" i="82"/>
  <c r="J139" i="82"/>
  <c r="M139" i="82"/>
  <c r="O139" i="82"/>
  <c r="P139" i="82"/>
  <c r="J140" i="82"/>
  <c r="M140" i="82"/>
  <c r="O140" i="82"/>
  <c r="P140" i="82"/>
  <c r="J141" i="82"/>
  <c r="M141" i="82"/>
  <c r="O141" i="82"/>
  <c r="P141" i="82"/>
  <c r="J142" i="82"/>
  <c r="M142" i="82"/>
  <c r="O142" i="82"/>
  <c r="P142" i="82"/>
  <c r="J143" i="82"/>
  <c r="M143" i="82"/>
  <c r="O143" i="82"/>
  <c r="P143" i="82"/>
  <c r="J144" i="82"/>
  <c r="M144" i="82"/>
  <c r="O144" i="82"/>
  <c r="P144" i="82"/>
  <c r="J145" i="82"/>
  <c r="M145" i="82"/>
  <c r="O145" i="82"/>
  <c r="P145" i="82"/>
  <c r="J146" i="82"/>
  <c r="M146" i="82"/>
  <c r="O146" i="82"/>
  <c r="P146" i="82"/>
  <c r="J147" i="82"/>
  <c r="M147" i="82"/>
  <c r="O147" i="82"/>
  <c r="P147" i="82"/>
  <c r="J148" i="82"/>
  <c r="M148" i="82"/>
  <c r="O148" i="82"/>
  <c r="P148" i="82"/>
  <c r="J149" i="82"/>
  <c r="M149" i="82"/>
  <c r="O149" i="82"/>
  <c r="P149" i="82"/>
  <c r="J150" i="82"/>
  <c r="M150" i="82"/>
  <c r="O150" i="82"/>
  <c r="P150" i="82"/>
  <c r="J151" i="82"/>
  <c r="M151" i="82"/>
  <c r="O151" i="82"/>
  <c r="P151" i="82"/>
  <c r="J152" i="82"/>
  <c r="M152" i="82"/>
  <c r="O152" i="82"/>
  <c r="P152" i="82"/>
  <c r="J153" i="82"/>
  <c r="M153" i="82"/>
  <c r="O153" i="82"/>
  <c r="P153" i="82"/>
  <c r="J154" i="82"/>
  <c r="M154" i="82"/>
  <c r="O154" i="82"/>
  <c r="P154" i="82"/>
  <c r="P1" i="81"/>
  <c r="P83" i="81" s="1"/>
  <c r="D8" i="81"/>
  <c r="D90" i="81"/>
  <c r="I11" i="81"/>
  <c r="K11" i="81"/>
  <c r="C17" i="81"/>
  <c r="C18" i="81" s="1"/>
  <c r="C19" i="81" s="1"/>
  <c r="C20" i="81" s="1"/>
  <c r="C21" i="81" s="1"/>
  <c r="C22" i="81" s="1"/>
  <c r="C23" i="81" s="1"/>
  <c r="C24" i="81" s="1"/>
  <c r="C25" i="81" s="1"/>
  <c r="C26" i="81" s="1"/>
  <c r="C27" i="81" s="1"/>
  <c r="C28" i="81" s="1"/>
  <c r="C29" i="81" s="1"/>
  <c r="C30" i="81" s="1"/>
  <c r="C31" i="81" s="1"/>
  <c r="C32" i="81" s="1"/>
  <c r="C33" i="81" s="1"/>
  <c r="C34" i="81" s="1"/>
  <c r="C35" i="81" s="1"/>
  <c r="C36" i="81" s="1"/>
  <c r="C37" i="81" s="1"/>
  <c r="C38" i="81" s="1"/>
  <c r="C39" i="81" s="1"/>
  <c r="C40" i="81" s="1"/>
  <c r="C41" i="81" s="1"/>
  <c r="C42" i="81" s="1"/>
  <c r="C43" i="81" s="1"/>
  <c r="C44" i="81" s="1"/>
  <c r="C45" i="81" s="1"/>
  <c r="C46" i="81" s="1"/>
  <c r="C47" i="81" s="1"/>
  <c r="C48" i="81" s="1"/>
  <c r="C49" i="81" s="1"/>
  <c r="C50" i="81" s="1"/>
  <c r="C51" i="81" s="1"/>
  <c r="C52" i="81" s="1"/>
  <c r="C53" i="81" s="1"/>
  <c r="C54" i="81" s="1"/>
  <c r="C55" i="81" s="1"/>
  <c r="C56" i="81" s="1"/>
  <c r="C57" i="81" s="1"/>
  <c r="C58" i="81" s="1"/>
  <c r="C59" i="81" s="1"/>
  <c r="C60" i="81" s="1"/>
  <c r="C61" i="81" s="1"/>
  <c r="C62" i="81" s="1"/>
  <c r="C63" i="81" s="1"/>
  <c r="C64" i="81" s="1"/>
  <c r="C65" i="81" s="1"/>
  <c r="C66" i="81" s="1"/>
  <c r="C67" i="81" s="1"/>
  <c r="C68" i="81" s="1"/>
  <c r="C69" i="81" s="1"/>
  <c r="C70" i="81" s="1"/>
  <c r="C71" i="81" s="1"/>
  <c r="C72" i="81" s="1"/>
  <c r="I17" i="81"/>
  <c r="K17" i="81"/>
  <c r="L17" i="81"/>
  <c r="M17" i="81"/>
  <c r="N17" i="81" s="1"/>
  <c r="B18" i="81"/>
  <c r="K18" i="81"/>
  <c r="L18" i="81"/>
  <c r="M18" i="81"/>
  <c r="N18" i="81" s="1"/>
  <c r="B19" i="81"/>
  <c r="L20" i="81"/>
  <c r="N20" i="81"/>
  <c r="L21" i="81"/>
  <c r="N21" i="81"/>
  <c r="L22" i="81"/>
  <c r="N22" i="81"/>
  <c r="L23" i="81"/>
  <c r="N23" i="81"/>
  <c r="L24" i="81"/>
  <c r="N24" i="81"/>
  <c r="L25" i="81"/>
  <c r="N25" i="81"/>
  <c r="L26" i="81"/>
  <c r="N26" i="81"/>
  <c r="L27" i="81"/>
  <c r="N27" i="81"/>
  <c r="L28" i="81"/>
  <c r="N28" i="81"/>
  <c r="L29" i="81"/>
  <c r="N29" i="81"/>
  <c r="L30" i="81"/>
  <c r="N30" i="81"/>
  <c r="L31" i="81"/>
  <c r="N31" i="81"/>
  <c r="L32" i="81"/>
  <c r="N32" i="81"/>
  <c r="L33" i="81"/>
  <c r="N33" i="81"/>
  <c r="L34" i="81"/>
  <c r="N34" i="81"/>
  <c r="L35" i="81"/>
  <c r="N35" i="81"/>
  <c r="O35" i="81" s="1"/>
  <c r="L36" i="81"/>
  <c r="N36" i="81"/>
  <c r="L37" i="81"/>
  <c r="N37" i="81"/>
  <c r="L38" i="81"/>
  <c r="N38" i="81"/>
  <c r="L39" i="81"/>
  <c r="N39" i="81"/>
  <c r="O39" i="81" s="1"/>
  <c r="L40" i="81"/>
  <c r="N40" i="81"/>
  <c r="L41" i="81"/>
  <c r="N41" i="81"/>
  <c r="L42" i="81"/>
  <c r="N42" i="81"/>
  <c r="L43" i="81"/>
  <c r="N43" i="81"/>
  <c r="L44" i="81"/>
  <c r="N44" i="81"/>
  <c r="L45" i="81"/>
  <c r="N45" i="81"/>
  <c r="L46" i="81"/>
  <c r="N46" i="81"/>
  <c r="L47" i="81"/>
  <c r="N47" i="81"/>
  <c r="L48" i="81"/>
  <c r="N48" i="81"/>
  <c r="L49" i="81"/>
  <c r="N49" i="81"/>
  <c r="O49" i="81" s="1"/>
  <c r="L50" i="81"/>
  <c r="N50" i="81"/>
  <c r="L51" i="81"/>
  <c r="N51" i="81"/>
  <c r="L52" i="81"/>
  <c r="N52" i="81"/>
  <c r="L53" i="81"/>
  <c r="N53" i="81"/>
  <c r="L54" i="81"/>
  <c r="N54" i="81"/>
  <c r="L55" i="81"/>
  <c r="N55" i="81"/>
  <c r="L56" i="81"/>
  <c r="N56" i="81"/>
  <c r="L57" i="81"/>
  <c r="N57" i="81"/>
  <c r="O57" i="81" s="1"/>
  <c r="L58" i="81"/>
  <c r="N58" i="81"/>
  <c r="L59" i="81"/>
  <c r="N59" i="81"/>
  <c r="L60" i="81"/>
  <c r="N60" i="81"/>
  <c r="L61" i="81"/>
  <c r="N61" i="81"/>
  <c r="O61" i="81" s="1"/>
  <c r="L62" i="81"/>
  <c r="N62" i="81"/>
  <c r="L63" i="81"/>
  <c r="N63" i="81"/>
  <c r="L64" i="81"/>
  <c r="N64" i="81"/>
  <c r="L65" i="81"/>
  <c r="N65" i="81"/>
  <c r="O65" i="81" s="1"/>
  <c r="L66" i="81"/>
  <c r="N66" i="81"/>
  <c r="L67" i="81"/>
  <c r="N67" i="81"/>
  <c r="L68" i="81"/>
  <c r="N68" i="81"/>
  <c r="L69" i="81"/>
  <c r="N69" i="81"/>
  <c r="O69" i="81" s="1"/>
  <c r="L70" i="81"/>
  <c r="N70" i="81"/>
  <c r="L71" i="81"/>
  <c r="N71" i="81"/>
  <c r="L72" i="81"/>
  <c r="N72" i="81"/>
  <c r="D89" i="81"/>
  <c r="D91" i="81"/>
  <c r="J93" i="81"/>
  <c r="L93" i="81"/>
  <c r="D96" i="81"/>
  <c r="D100" i="81"/>
  <c r="B100" i="81" s="1"/>
  <c r="M100" i="81"/>
  <c r="O100" i="81"/>
  <c r="P100" i="81" s="1"/>
  <c r="M101" i="81"/>
  <c r="O101" i="81"/>
  <c r="M102" i="81"/>
  <c r="O102" i="81"/>
  <c r="P102" i="81" s="1"/>
  <c r="M103" i="81"/>
  <c r="O103" i="81"/>
  <c r="P103" i="81" s="1"/>
  <c r="M104" i="81"/>
  <c r="O104" i="81"/>
  <c r="M105" i="81"/>
  <c r="O105" i="81"/>
  <c r="P105" i="81" s="1"/>
  <c r="M106" i="81"/>
  <c r="O106" i="81"/>
  <c r="P106" i="81" s="1"/>
  <c r="M107" i="81"/>
  <c r="O107" i="81"/>
  <c r="M108" i="81"/>
  <c r="O108" i="81"/>
  <c r="M109" i="81"/>
  <c r="O109" i="81"/>
  <c r="P109" i="81" s="1"/>
  <c r="M110" i="81"/>
  <c r="O110" i="81"/>
  <c r="M111" i="81"/>
  <c r="O111" i="81"/>
  <c r="M112" i="81"/>
  <c r="O112" i="81"/>
  <c r="P112" i="81" s="1"/>
  <c r="M113" i="81"/>
  <c r="O113" i="81"/>
  <c r="P113" i="81" s="1"/>
  <c r="M114" i="81"/>
  <c r="O114" i="81"/>
  <c r="M115" i="81"/>
  <c r="O115" i="81"/>
  <c r="P115" i="81" s="1"/>
  <c r="M116" i="81"/>
  <c r="O116" i="81"/>
  <c r="P116" i="81" s="1"/>
  <c r="M117" i="81"/>
  <c r="O117" i="81"/>
  <c r="M118" i="81"/>
  <c r="O118" i="81"/>
  <c r="P118" i="81" s="1"/>
  <c r="M119" i="81"/>
  <c r="O119" i="81"/>
  <c r="M120" i="81"/>
  <c r="O120" i="81"/>
  <c r="M121" i="81"/>
  <c r="O121" i="81"/>
  <c r="P121" i="81" s="1"/>
  <c r="M122" i="81"/>
  <c r="O122" i="81"/>
  <c r="M123" i="81"/>
  <c r="O123" i="81"/>
  <c r="M124" i="81"/>
  <c r="O124" i="81"/>
  <c r="M125" i="81"/>
  <c r="O125" i="81"/>
  <c r="M126" i="81"/>
  <c r="O126" i="81"/>
  <c r="M127" i="81"/>
  <c r="O127" i="81"/>
  <c r="M128" i="81"/>
  <c r="O128" i="81"/>
  <c r="M129" i="81"/>
  <c r="O129" i="81"/>
  <c r="M130" i="81"/>
  <c r="O130" i="81"/>
  <c r="J131" i="81"/>
  <c r="M131" i="81"/>
  <c r="O131" i="81"/>
  <c r="P131" i="81"/>
  <c r="J132" i="81"/>
  <c r="M132" i="81"/>
  <c r="O132" i="81"/>
  <c r="P132" i="81"/>
  <c r="J133" i="81"/>
  <c r="M133" i="81"/>
  <c r="O133" i="81"/>
  <c r="P133" i="81"/>
  <c r="J134" i="81"/>
  <c r="M134" i="81"/>
  <c r="O134" i="81"/>
  <c r="P134" i="81"/>
  <c r="J135" i="81"/>
  <c r="M135" i="81"/>
  <c r="O135" i="81"/>
  <c r="P135" i="81"/>
  <c r="J136" i="81"/>
  <c r="M136" i="81"/>
  <c r="O136" i="81"/>
  <c r="P136" i="81"/>
  <c r="J137" i="81"/>
  <c r="M137" i="81"/>
  <c r="O137" i="81"/>
  <c r="P137" i="81"/>
  <c r="J138" i="81"/>
  <c r="M138" i="81"/>
  <c r="O138" i="81"/>
  <c r="P138" i="81"/>
  <c r="J139" i="81"/>
  <c r="M139" i="81"/>
  <c r="O139" i="81"/>
  <c r="P139" i="81"/>
  <c r="J140" i="81"/>
  <c r="M140" i="81"/>
  <c r="O140" i="81"/>
  <c r="P140" i="81"/>
  <c r="J141" i="81"/>
  <c r="M141" i="81"/>
  <c r="O141" i="81"/>
  <c r="P141" i="81"/>
  <c r="J142" i="81"/>
  <c r="M142" i="81"/>
  <c r="O142" i="81"/>
  <c r="P142" i="81"/>
  <c r="J143" i="81"/>
  <c r="M143" i="81"/>
  <c r="O143" i="81"/>
  <c r="P143" i="81"/>
  <c r="J144" i="81"/>
  <c r="M144" i="81"/>
  <c r="O144" i="81"/>
  <c r="P144" i="81"/>
  <c r="J145" i="81"/>
  <c r="M145" i="81"/>
  <c r="O145" i="81"/>
  <c r="P145" i="81"/>
  <c r="J146" i="81"/>
  <c r="M146" i="81"/>
  <c r="O146" i="81"/>
  <c r="P146" i="81"/>
  <c r="J147" i="81"/>
  <c r="M147" i="81"/>
  <c r="O147" i="81"/>
  <c r="P147" i="81"/>
  <c r="J148" i="81"/>
  <c r="M148" i="81"/>
  <c r="O148" i="81"/>
  <c r="P148" i="81"/>
  <c r="J149" i="81"/>
  <c r="M149" i="81"/>
  <c r="O149" i="81"/>
  <c r="P149" i="81"/>
  <c r="J150" i="81"/>
  <c r="M150" i="81"/>
  <c r="O150" i="81"/>
  <c r="P150" i="81"/>
  <c r="J151" i="81"/>
  <c r="M151" i="81"/>
  <c r="O151" i="81"/>
  <c r="P151" i="81"/>
  <c r="J152" i="81"/>
  <c r="M152" i="81"/>
  <c r="O152" i="81"/>
  <c r="P152" i="81"/>
  <c r="J153" i="81"/>
  <c r="M153" i="81"/>
  <c r="O153" i="81"/>
  <c r="P153" i="81"/>
  <c r="J154" i="81"/>
  <c r="M154" i="81"/>
  <c r="O154" i="81"/>
  <c r="P154" i="81"/>
  <c r="P1" i="80"/>
  <c r="P83" i="80" s="1"/>
  <c r="D8" i="80"/>
  <c r="D90" i="80"/>
  <c r="I11" i="80"/>
  <c r="K11" i="80"/>
  <c r="C17" i="80"/>
  <c r="C18" i="80" s="1"/>
  <c r="C19" i="80" s="1"/>
  <c r="C20" i="80" s="1"/>
  <c r="C21" i="80" s="1"/>
  <c r="C22" i="80"/>
  <c r="C23" i="80" s="1"/>
  <c r="C24" i="80" s="1"/>
  <c r="C25" i="80" s="1"/>
  <c r="C26" i="80" s="1"/>
  <c r="C27" i="80" s="1"/>
  <c r="C28" i="80" s="1"/>
  <c r="C29" i="80" s="1"/>
  <c r="C30" i="80" s="1"/>
  <c r="C31" i="80" s="1"/>
  <c r="C32" i="80" s="1"/>
  <c r="C33" i="80" s="1"/>
  <c r="C34" i="80" s="1"/>
  <c r="C35" i="80" s="1"/>
  <c r="C36" i="80" s="1"/>
  <c r="C37" i="80" s="1"/>
  <c r="C38" i="80" s="1"/>
  <c r="C39" i="80" s="1"/>
  <c r="C40" i="80" s="1"/>
  <c r="C41" i="80" s="1"/>
  <c r="C42" i="80" s="1"/>
  <c r="C43" i="80" s="1"/>
  <c r="C44" i="80" s="1"/>
  <c r="I17" i="80"/>
  <c r="K17" i="80"/>
  <c r="L17" i="80" s="1"/>
  <c r="M17" i="80"/>
  <c r="N17" i="80"/>
  <c r="B18" i="80"/>
  <c r="K18" i="80"/>
  <c r="L18" i="80"/>
  <c r="M18" i="80"/>
  <c r="N18" i="80"/>
  <c r="B19" i="80"/>
  <c r="L20" i="80"/>
  <c r="N20" i="80"/>
  <c r="L21" i="80"/>
  <c r="N21" i="80"/>
  <c r="O21" i="80" s="1"/>
  <c r="L22" i="80"/>
  <c r="N22" i="80"/>
  <c r="L23" i="80"/>
  <c r="N23" i="80"/>
  <c r="O23" i="80" s="1"/>
  <c r="L24" i="80"/>
  <c r="N24" i="80"/>
  <c r="L25" i="80"/>
  <c r="N25" i="80"/>
  <c r="L26" i="80"/>
  <c r="O26" i="80" s="1"/>
  <c r="N26" i="80"/>
  <c r="L27" i="80"/>
  <c r="N27" i="80"/>
  <c r="L28" i="80"/>
  <c r="O28" i="80" s="1"/>
  <c r="N28" i="80"/>
  <c r="L29" i="80"/>
  <c r="N29" i="80"/>
  <c r="L30" i="80"/>
  <c r="O30" i="80" s="1"/>
  <c r="N30" i="80"/>
  <c r="L31" i="80"/>
  <c r="N31" i="80"/>
  <c r="L32" i="80"/>
  <c r="O32" i="80" s="1"/>
  <c r="N32" i="80"/>
  <c r="L33" i="80"/>
  <c r="N33" i="80"/>
  <c r="L34" i="80"/>
  <c r="O34" i="80" s="1"/>
  <c r="N34" i="80"/>
  <c r="L35" i="80"/>
  <c r="N35" i="80"/>
  <c r="L36" i="80"/>
  <c r="O36" i="80" s="1"/>
  <c r="N36" i="80"/>
  <c r="L37" i="80"/>
  <c r="N37" i="80"/>
  <c r="L38" i="80"/>
  <c r="O38" i="80" s="1"/>
  <c r="N38" i="80"/>
  <c r="L39" i="80"/>
  <c r="N39" i="80"/>
  <c r="L40" i="80"/>
  <c r="O40" i="80" s="1"/>
  <c r="N40" i="80"/>
  <c r="L41" i="80"/>
  <c r="N41" i="80"/>
  <c r="L42" i="80"/>
  <c r="N42" i="80"/>
  <c r="L43" i="80"/>
  <c r="N43" i="80"/>
  <c r="L44" i="80"/>
  <c r="N44" i="80"/>
  <c r="L45" i="80"/>
  <c r="N45" i="80"/>
  <c r="L46" i="80"/>
  <c r="N46" i="80"/>
  <c r="L47" i="80"/>
  <c r="N47" i="80"/>
  <c r="L48" i="80"/>
  <c r="N48" i="80"/>
  <c r="L49" i="80"/>
  <c r="N49" i="80"/>
  <c r="O49" i="80" s="1"/>
  <c r="L50" i="80"/>
  <c r="N50" i="80"/>
  <c r="L51" i="80"/>
  <c r="N51" i="80"/>
  <c r="L52" i="80"/>
  <c r="N52" i="80"/>
  <c r="L53" i="80"/>
  <c r="N53" i="80"/>
  <c r="O53" i="80" s="1"/>
  <c r="L54" i="80"/>
  <c r="N54" i="80"/>
  <c r="L55" i="80"/>
  <c r="N55" i="80"/>
  <c r="L56" i="80"/>
  <c r="N56" i="80"/>
  <c r="L57" i="80"/>
  <c r="N57" i="80"/>
  <c r="L58" i="80"/>
  <c r="N58" i="80"/>
  <c r="L59" i="80"/>
  <c r="N59" i="80"/>
  <c r="L60" i="80"/>
  <c r="N60" i="80"/>
  <c r="L61" i="80"/>
  <c r="N61" i="80"/>
  <c r="L62" i="80"/>
  <c r="N62" i="80"/>
  <c r="O62" i="80" s="1"/>
  <c r="L63" i="80"/>
  <c r="N63" i="80"/>
  <c r="L64" i="80"/>
  <c r="N64" i="80"/>
  <c r="L65" i="80"/>
  <c r="N65" i="80"/>
  <c r="L66" i="80"/>
  <c r="N66" i="80"/>
  <c r="O66" i="80" s="1"/>
  <c r="L67" i="80"/>
  <c r="N67" i="80"/>
  <c r="L68" i="80"/>
  <c r="N68" i="80"/>
  <c r="L69" i="80"/>
  <c r="N69" i="80"/>
  <c r="O69" i="80" s="1"/>
  <c r="L70" i="80"/>
  <c r="N70" i="80"/>
  <c r="L71" i="80"/>
  <c r="N71" i="80"/>
  <c r="L72" i="80"/>
  <c r="N72" i="80"/>
  <c r="D89" i="80"/>
  <c r="D91" i="80"/>
  <c r="J93" i="80"/>
  <c r="L93" i="80"/>
  <c r="D96" i="80"/>
  <c r="J99" i="80"/>
  <c r="D100" i="80"/>
  <c r="B100" i="80" s="1"/>
  <c r="M100" i="80"/>
  <c r="O100" i="80"/>
  <c r="P100" i="80" s="1"/>
  <c r="M101" i="80"/>
  <c r="O101" i="80"/>
  <c r="P101" i="80" s="1"/>
  <c r="M102" i="80"/>
  <c r="O102" i="80"/>
  <c r="M103" i="80"/>
  <c r="O103" i="80"/>
  <c r="M104" i="80"/>
  <c r="O104" i="80"/>
  <c r="M105" i="80"/>
  <c r="O105" i="80"/>
  <c r="P105" i="80" s="1"/>
  <c r="M106" i="80"/>
  <c r="O106" i="80"/>
  <c r="P106" i="80" s="1"/>
  <c r="M107" i="80"/>
  <c r="O107" i="80"/>
  <c r="M108" i="80"/>
  <c r="O108" i="80"/>
  <c r="M109" i="80"/>
  <c r="O109" i="80"/>
  <c r="M110" i="80"/>
  <c r="O110" i="80"/>
  <c r="M111" i="80"/>
  <c r="O111" i="80"/>
  <c r="M112" i="80"/>
  <c r="O112" i="80"/>
  <c r="M113" i="80"/>
  <c r="O113" i="80"/>
  <c r="P113" i="80" s="1"/>
  <c r="M114" i="80"/>
  <c r="O114" i="80"/>
  <c r="M115" i="80"/>
  <c r="O115" i="80"/>
  <c r="M116" i="80"/>
  <c r="O116" i="80"/>
  <c r="M117" i="80"/>
  <c r="O117" i="80"/>
  <c r="P117" i="80" s="1"/>
  <c r="M118" i="80"/>
  <c r="O118" i="80"/>
  <c r="P118" i="80" s="1"/>
  <c r="M119" i="80"/>
  <c r="O119" i="80"/>
  <c r="M120" i="80"/>
  <c r="O120" i="80"/>
  <c r="M121" i="80"/>
  <c r="O121" i="80"/>
  <c r="M122" i="80"/>
  <c r="O122" i="80"/>
  <c r="P122" i="80" s="1"/>
  <c r="M123" i="80"/>
  <c r="O123" i="80"/>
  <c r="M124" i="80"/>
  <c r="O124" i="80"/>
  <c r="M125" i="80"/>
  <c r="O125" i="80"/>
  <c r="M126" i="80"/>
  <c r="O126" i="80"/>
  <c r="M127" i="80"/>
  <c r="O127" i="80"/>
  <c r="M128" i="80"/>
  <c r="O128" i="80"/>
  <c r="M129" i="80"/>
  <c r="O129" i="80"/>
  <c r="M130" i="80"/>
  <c r="O130" i="80"/>
  <c r="J131" i="80"/>
  <c r="M131" i="80"/>
  <c r="O131" i="80"/>
  <c r="P131" i="80"/>
  <c r="J132" i="80"/>
  <c r="M132" i="80"/>
  <c r="O132" i="80"/>
  <c r="P132" i="80"/>
  <c r="J133" i="80"/>
  <c r="M133" i="80"/>
  <c r="O133" i="80"/>
  <c r="P133" i="80"/>
  <c r="J134" i="80"/>
  <c r="M134" i="80"/>
  <c r="O134" i="80"/>
  <c r="P134" i="80"/>
  <c r="J135" i="80"/>
  <c r="M135" i="80"/>
  <c r="O135" i="80"/>
  <c r="P135" i="80"/>
  <c r="J136" i="80"/>
  <c r="M136" i="80"/>
  <c r="O136" i="80"/>
  <c r="P136" i="80"/>
  <c r="J137" i="80"/>
  <c r="M137" i="80"/>
  <c r="O137" i="80"/>
  <c r="P137" i="80"/>
  <c r="J138" i="80"/>
  <c r="M138" i="80"/>
  <c r="O138" i="80"/>
  <c r="P138" i="80"/>
  <c r="J139" i="80"/>
  <c r="M139" i="80"/>
  <c r="O139" i="80"/>
  <c r="P139" i="80"/>
  <c r="J140" i="80"/>
  <c r="M140" i="80"/>
  <c r="O140" i="80"/>
  <c r="P140" i="80"/>
  <c r="J141" i="80"/>
  <c r="M141" i="80"/>
  <c r="O141" i="80"/>
  <c r="P141" i="80"/>
  <c r="J142" i="80"/>
  <c r="M142" i="80"/>
  <c r="O142" i="80"/>
  <c r="P142" i="80"/>
  <c r="J143" i="80"/>
  <c r="M143" i="80"/>
  <c r="O143" i="80"/>
  <c r="P143" i="80"/>
  <c r="J144" i="80"/>
  <c r="M144" i="80"/>
  <c r="O144" i="80"/>
  <c r="P144" i="80"/>
  <c r="J145" i="80"/>
  <c r="M145" i="80"/>
  <c r="O145" i="80"/>
  <c r="P145" i="80"/>
  <c r="J146" i="80"/>
  <c r="M146" i="80"/>
  <c r="O146" i="80"/>
  <c r="P146" i="80"/>
  <c r="J147" i="80"/>
  <c r="M147" i="80"/>
  <c r="O147" i="80"/>
  <c r="P147" i="80"/>
  <c r="J148" i="80"/>
  <c r="M148" i="80"/>
  <c r="O148" i="80"/>
  <c r="P148" i="80"/>
  <c r="J149" i="80"/>
  <c r="M149" i="80"/>
  <c r="O149" i="80"/>
  <c r="P149" i="80"/>
  <c r="J150" i="80"/>
  <c r="M150" i="80"/>
  <c r="O150" i="80"/>
  <c r="P150" i="80"/>
  <c r="J151" i="80"/>
  <c r="M151" i="80"/>
  <c r="O151" i="80"/>
  <c r="P151" i="80"/>
  <c r="J152" i="80"/>
  <c r="M152" i="80"/>
  <c r="O152" i="80"/>
  <c r="P152" i="80"/>
  <c r="J153" i="80"/>
  <c r="M153" i="80"/>
  <c r="O153" i="80"/>
  <c r="P153" i="80"/>
  <c r="J154" i="80"/>
  <c r="M154" i="80"/>
  <c r="O154" i="80"/>
  <c r="P154" i="80"/>
  <c r="P1" i="79"/>
  <c r="P83" i="79" s="1"/>
  <c r="D8" i="79"/>
  <c r="D90" i="79"/>
  <c r="I11" i="79"/>
  <c r="K11" i="79"/>
  <c r="C17" i="79"/>
  <c r="C18" i="79"/>
  <c r="C19" i="79" s="1"/>
  <c r="C20" i="79" s="1"/>
  <c r="C21" i="79" s="1"/>
  <c r="C22" i="79" s="1"/>
  <c r="C23" i="79"/>
  <c r="C24" i="79" s="1"/>
  <c r="C25" i="79" s="1"/>
  <c r="C26" i="79" s="1"/>
  <c r="C27" i="79" s="1"/>
  <c r="C28" i="79" s="1"/>
  <c r="C29" i="79" s="1"/>
  <c r="C30" i="79" s="1"/>
  <c r="C31" i="79" s="1"/>
  <c r="C32" i="79" s="1"/>
  <c r="C33" i="79" s="1"/>
  <c r="C34" i="79" s="1"/>
  <c r="C35" i="79" s="1"/>
  <c r="C36" i="79" s="1"/>
  <c r="C37" i="79" s="1"/>
  <c r="C38" i="79" s="1"/>
  <c r="C39" i="79" s="1"/>
  <c r="C40" i="79" s="1"/>
  <c r="C41" i="79" s="1"/>
  <c r="C42" i="79" s="1"/>
  <c r="C43" i="79" s="1"/>
  <c r="C44" i="79" s="1"/>
  <c r="C45" i="79" s="1"/>
  <c r="C46" i="79" s="1"/>
  <c r="C47" i="79" s="1"/>
  <c r="C48" i="79" s="1"/>
  <c r="C49" i="79" s="1"/>
  <c r="C50" i="79" s="1"/>
  <c r="C51" i="79" s="1"/>
  <c r="C52" i="79" s="1"/>
  <c r="C53" i="79" s="1"/>
  <c r="C54" i="79" s="1"/>
  <c r="C55" i="79" s="1"/>
  <c r="C56" i="79" s="1"/>
  <c r="C57" i="79" s="1"/>
  <c r="C58" i="79" s="1"/>
  <c r="C59" i="79" s="1"/>
  <c r="C60" i="79" s="1"/>
  <c r="C61" i="79" s="1"/>
  <c r="C62" i="79" s="1"/>
  <c r="C63" i="79" s="1"/>
  <c r="C64" i="79" s="1"/>
  <c r="C65" i="79" s="1"/>
  <c r="C66" i="79" s="1"/>
  <c r="C67" i="79" s="1"/>
  <c r="C68" i="79" s="1"/>
  <c r="C69" i="79" s="1"/>
  <c r="C70" i="79" s="1"/>
  <c r="C71" i="79" s="1"/>
  <c r="C72" i="79" s="1"/>
  <c r="K17" i="79"/>
  <c r="L17" i="79"/>
  <c r="M17" i="79"/>
  <c r="N17" i="79"/>
  <c r="B18" i="79"/>
  <c r="I18" i="79"/>
  <c r="K18" i="79"/>
  <c r="L18" i="79" s="1"/>
  <c r="M18" i="79"/>
  <c r="N18" i="79"/>
  <c r="B19" i="79"/>
  <c r="K19" i="79"/>
  <c r="L19" i="79"/>
  <c r="M19" i="79"/>
  <c r="N19" i="79"/>
  <c r="B20" i="79"/>
  <c r="L21" i="79"/>
  <c r="N21" i="79"/>
  <c r="L22" i="79"/>
  <c r="N22" i="79"/>
  <c r="L23" i="79"/>
  <c r="N23" i="79"/>
  <c r="L24" i="79"/>
  <c r="N24" i="79"/>
  <c r="L25" i="79"/>
  <c r="N25" i="79"/>
  <c r="L26" i="79"/>
  <c r="N26" i="79"/>
  <c r="L27" i="79"/>
  <c r="N27" i="79"/>
  <c r="L28" i="79"/>
  <c r="N28" i="79"/>
  <c r="L29" i="79"/>
  <c r="N29" i="79"/>
  <c r="L30" i="79"/>
  <c r="N30" i="79"/>
  <c r="L31" i="79"/>
  <c r="N31" i="79"/>
  <c r="L32" i="79"/>
  <c r="N32" i="79"/>
  <c r="L33" i="79"/>
  <c r="N33" i="79"/>
  <c r="L34" i="79"/>
  <c r="N34" i="79"/>
  <c r="O34" i="79" s="1"/>
  <c r="L35" i="79"/>
  <c r="N35" i="79"/>
  <c r="L36" i="79"/>
  <c r="N36" i="79"/>
  <c r="L37" i="79"/>
  <c r="N37" i="79"/>
  <c r="L38" i="79"/>
  <c r="N38" i="79"/>
  <c r="L39" i="79"/>
  <c r="N39" i="79"/>
  <c r="L40" i="79"/>
  <c r="N40" i="79"/>
  <c r="L41" i="79"/>
  <c r="N41" i="79"/>
  <c r="L42" i="79"/>
  <c r="N42" i="79"/>
  <c r="L43" i="79"/>
  <c r="N43" i="79"/>
  <c r="L44" i="79"/>
  <c r="N44" i="79"/>
  <c r="L45" i="79"/>
  <c r="N45" i="79"/>
  <c r="L46" i="79"/>
  <c r="N46" i="79"/>
  <c r="L47" i="79"/>
  <c r="N47" i="79"/>
  <c r="L48" i="79"/>
  <c r="N48" i="79"/>
  <c r="L49" i="79"/>
  <c r="N49" i="79"/>
  <c r="L50" i="79"/>
  <c r="N50" i="79"/>
  <c r="L51" i="79"/>
  <c r="N51" i="79"/>
  <c r="L52" i="79"/>
  <c r="N52" i="79"/>
  <c r="L53" i="79"/>
  <c r="N53" i="79"/>
  <c r="L54" i="79"/>
  <c r="N54" i="79"/>
  <c r="L55" i="79"/>
  <c r="N55" i="79"/>
  <c r="L56" i="79"/>
  <c r="N56" i="79"/>
  <c r="L57" i="79"/>
  <c r="N57" i="79"/>
  <c r="L58" i="79"/>
  <c r="N58" i="79"/>
  <c r="O58" i="79" s="1"/>
  <c r="L59" i="79"/>
  <c r="O59" i="79" s="1"/>
  <c r="N59" i="79"/>
  <c r="L60" i="79"/>
  <c r="N60" i="79"/>
  <c r="L61" i="79"/>
  <c r="N61" i="79"/>
  <c r="L62" i="79"/>
  <c r="N62" i="79"/>
  <c r="L63" i="79"/>
  <c r="O63" i="79" s="1"/>
  <c r="N63" i="79"/>
  <c r="L64" i="79"/>
  <c r="N64" i="79"/>
  <c r="L65" i="79"/>
  <c r="N65" i="79"/>
  <c r="L66" i="79"/>
  <c r="N66" i="79"/>
  <c r="L67" i="79"/>
  <c r="N67" i="79"/>
  <c r="L68" i="79"/>
  <c r="N68" i="79"/>
  <c r="L69" i="79"/>
  <c r="N69" i="79"/>
  <c r="L70" i="79"/>
  <c r="N70" i="79"/>
  <c r="L71" i="79"/>
  <c r="N71" i="79"/>
  <c r="L72" i="79"/>
  <c r="N72" i="79"/>
  <c r="D89" i="79"/>
  <c r="D91" i="79"/>
  <c r="J93" i="79"/>
  <c r="L93" i="79"/>
  <c r="D96" i="79"/>
  <c r="J99" i="79"/>
  <c r="L99" i="79"/>
  <c r="M99" i="79"/>
  <c r="N99" i="79"/>
  <c r="O99" i="79" s="1"/>
  <c r="B100" i="79"/>
  <c r="J100" i="79"/>
  <c r="L100" i="79"/>
  <c r="M100" i="79"/>
  <c r="N100" i="79"/>
  <c r="O100" i="79"/>
  <c r="D101" i="79"/>
  <c r="B101" i="79" s="1"/>
  <c r="M101" i="79"/>
  <c r="O101" i="79"/>
  <c r="P101" i="79" s="1"/>
  <c r="M102" i="79"/>
  <c r="O102" i="79"/>
  <c r="M103" i="79"/>
  <c r="O103" i="79"/>
  <c r="M104" i="79"/>
  <c r="O104" i="79"/>
  <c r="M105" i="79"/>
  <c r="O105" i="79"/>
  <c r="M106" i="79"/>
  <c r="O106" i="79"/>
  <c r="M107" i="79"/>
  <c r="O107" i="79"/>
  <c r="M108" i="79"/>
  <c r="O108" i="79"/>
  <c r="P108" i="79" s="1"/>
  <c r="M109" i="79"/>
  <c r="O109" i="79"/>
  <c r="M110" i="79"/>
  <c r="O110" i="79"/>
  <c r="P110" i="79" s="1"/>
  <c r="M111" i="79"/>
  <c r="O111" i="79"/>
  <c r="M112" i="79"/>
  <c r="O112" i="79"/>
  <c r="M113" i="79"/>
  <c r="O113" i="79"/>
  <c r="M114" i="79"/>
  <c r="O114" i="79"/>
  <c r="M115" i="79"/>
  <c r="O115" i="79"/>
  <c r="M116" i="79"/>
  <c r="O116" i="79"/>
  <c r="M117" i="79"/>
  <c r="O117" i="79"/>
  <c r="M118" i="79"/>
  <c r="O118" i="79"/>
  <c r="M119" i="79"/>
  <c r="O119" i="79"/>
  <c r="M120" i="79"/>
  <c r="O120" i="79"/>
  <c r="P120" i="79" s="1"/>
  <c r="M121" i="79"/>
  <c r="O121" i="79"/>
  <c r="M122" i="79"/>
  <c r="O122" i="79"/>
  <c r="M123" i="79"/>
  <c r="O123" i="79"/>
  <c r="M124" i="79"/>
  <c r="O124" i="79"/>
  <c r="M125" i="79"/>
  <c r="O125" i="79"/>
  <c r="M126" i="79"/>
  <c r="O126" i="79"/>
  <c r="M127" i="79"/>
  <c r="O127" i="79"/>
  <c r="M128" i="79"/>
  <c r="O128" i="79"/>
  <c r="M129" i="79"/>
  <c r="O129" i="79"/>
  <c r="M130" i="79"/>
  <c r="O130" i="79"/>
  <c r="M131" i="79"/>
  <c r="O131" i="79"/>
  <c r="P131" i="79"/>
  <c r="M132" i="79"/>
  <c r="O132" i="79"/>
  <c r="P132" i="79"/>
  <c r="M133" i="79"/>
  <c r="O133" i="79"/>
  <c r="P133" i="79"/>
  <c r="M134" i="79"/>
  <c r="O134" i="79"/>
  <c r="P134" i="79"/>
  <c r="M135" i="79"/>
  <c r="O135" i="79"/>
  <c r="P135" i="79"/>
  <c r="M136" i="79"/>
  <c r="O136" i="79"/>
  <c r="P136" i="79"/>
  <c r="M137" i="79"/>
  <c r="O137" i="79"/>
  <c r="P137" i="79"/>
  <c r="M138" i="79"/>
  <c r="O138" i="79"/>
  <c r="P138" i="79"/>
  <c r="M139" i="79"/>
  <c r="O139" i="79"/>
  <c r="P139" i="79"/>
  <c r="M140" i="79"/>
  <c r="O140" i="79"/>
  <c r="P140" i="79"/>
  <c r="M141" i="79"/>
  <c r="O141" i="79"/>
  <c r="P141" i="79"/>
  <c r="M142" i="79"/>
  <c r="O142" i="79"/>
  <c r="P142" i="79"/>
  <c r="M143" i="79"/>
  <c r="O143" i="79"/>
  <c r="P143" i="79"/>
  <c r="M144" i="79"/>
  <c r="O144" i="79"/>
  <c r="P144" i="79"/>
  <c r="M145" i="79"/>
  <c r="O145" i="79"/>
  <c r="P145" i="79"/>
  <c r="M146" i="79"/>
  <c r="O146" i="79"/>
  <c r="P146" i="79"/>
  <c r="M147" i="79"/>
  <c r="O147" i="79"/>
  <c r="P147" i="79"/>
  <c r="M148" i="79"/>
  <c r="O148" i="79"/>
  <c r="P148" i="79"/>
  <c r="M149" i="79"/>
  <c r="O149" i="79"/>
  <c r="P149" i="79"/>
  <c r="M150" i="79"/>
  <c r="O150" i="79"/>
  <c r="P150" i="79"/>
  <c r="M151" i="79"/>
  <c r="O151" i="79"/>
  <c r="P151" i="79"/>
  <c r="M152" i="79"/>
  <c r="O152" i="79"/>
  <c r="P152" i="79"/>
  <c r="M153" i="79"/>
  <c r="O153" i="79"/>
  <c r="P153" i="79"/>
  <c r="M154" i="79"/>
  <c r="O154" i="79"/>
  <c r="P154" i="79"/>
  <c r="P1" i="78"/>
  <c r="P83" i="78" s="1"/>
  <c r="D8" i="78"/>
  <c r="D90" i="78"/>
  <c r="I11" i="78"/>
  <c r="K11" i="78"/>
  <c r="C17" i="78"/>
  <c r="C18" i="78" s="1"/>
  <c r="C19" i="78" s="1"/>
  <c r="C20" i="78" s="1"/>
  <c r="C21" i="78" s="1"/>
  <c r="C22" i="78" s="1"/>
  <c r="C23" i="78" s="1"/>
  <c r="C24" i="78" s="1"/>
  <c r="C25" i="78" s="1"/>
  <c r="C26" i="78" s="1"/>
  <c r="C27" i="78" s="1"/>
  <c r="C28" i="78" s="1"/>
  <c r="C29" i="78" s="1"/>
  <c r="C30" i="78" s="1"/>
  <c r="C31" i="78" s="1"/>
  <c r="C32" i="78" s="1"/>
  <c r="C33" i="78" s="1"/>
  <c r="C34" i="78" s="1"/>
  <c r="C35" i="78" s="1"/>
  <c r="C36" i="78" s="1"/>
  <c r="C37" i="78" s="1"/>
  <c r="C38" i="78" s="1"/>
  <c r="C39" i="78" s="1"/>
  <c r="C40" i="78" s="1"/>
  <c r="C41" i="78" s="1"/>
  <c r="C42" i="78" s="1"/>
  <c r="C43" i="78" s="1"/>
  <c r="C44" i="78" s="1"/>
  <c r="C45" i="78" s="1"/>
  <c r="C46" i="78" s="1"/>
  <c r="C47" i="78" s="1"/>
  <c r="C48" i="78" s="1"/>
  <c r="C49" i="78" s="1"/>
  <c r="C50" i="78" s="1"/>
  <c r="C51" i="78" s="1"/>
  <c r="C52" i="78" s="1"/>
  <c r="C53" i="78" s="1"/>
  <c r="C54" i="78" s="1"/>
  <c r="C55" i="78" s="1"/>
  <c r="C56" i="78" s="1"/>
  <c r="C57" i="78" s="1"/>
  <c r="C58" i="78" s="1"/>
  <c r="C59" i="78" s="1"/>
  <c r="C60" i="78" s="1"/>
  <c r="C61" i="78" s="1"/>
  <c r="C62" i="78" s="1"/>
  <c r="C63" i="78" s="1"/>
  <c r="C64" i="78" s="1"/>
  <c r="C65" i="78" s="1"/>
  <c r="C66" i="78" s="1"/>
  <c r="C67" i="78" s="1"/>
  <c r="C68" i="78" s="1"/>
  <c r="C69" i="78" s="1"/>
  <c r="C70" i="78" s="1"/>
  <c r="C71" i="78" s="1"/>
  <c r="C72" i="78" s="1"/>
  <c r="K17" i="78"/>
  <c r="L17" i="78" s="1"/>
  <c r="M17" i="78"/>
  <c r="N17" i="78"/>
  <c r="B18" i="78"/>
  <c r="I18" i="78"/>
  <c r="K18" i="78"/>
  <c r="L18" i="78"/>
  <c r="M18" i="78"/>
  <c r="N18" i="78" s="1"/>
  <c r="O18" i="78" s="1"/>
  <c r="B19" i="78"/>
  <c r="K19" i="78"/>
  <c r="L19" i="78" s="1"/>
  <c r="M19" i="78"/>
  <c r="N19" i="78"/>
  <c r="B20" i="78"/>
  <c r="L21" i="78"/>
  <c r="N21" i="78"/>
  <c r="L22" i="78"/>
  <c r="N22" i="78"/>
  <c r="O22" i="78"/>
  <c r="L23" i="78"/>
  <c r="N23" i="78"/>
  <c r="L24" i="78"/>
  <c r="N24" i="78"/>
  <c r="O24" i="78" s="1"/>
  <c r="L25" i="78"/>
  <c r="N25" i="78"/>
  <c r="L26" i="78"/>
  <c r="N26" i="78"/>
  <c r="L27" i="78"/>
  <c r="N27" i="78"/>
  <c r="L28" i="78"/>
  <c r="N28" i="78"/>
  <c r="O28" i="78" s="1"/>
  <c r="L29" i="78"/>
  <c r="N29" i="78"/>
  <c r="L30" i="78"/>
  <c r="N30" i="78"/>
  <c r="L31" i="78"/>
  <c r="N31" i="78"/>
  <c r="L32" i="78"/>
  <c r="N32" i="78"/>
  <c r="L33" i="78"/>
  <c r="N33" i="78"/>
  <c r="L34" i="78"/>
  <c r="N34" i="78"/>
  <c r="L35" i="78"/>
  <c r="N35" i="78"/>
  <c r="L36" i="78"/>
  <c r="N36" i="78"/>
  <c r="L37" i="78"/>
  <c r="N37" i="78"/>
  <c r="L38" i="78"/>
  <c r="N38" i="78"/>
  <c r="L39" i="78"/>
  <c r="N39" i="78"/>
  <c r="L40" i="78"/>
  <c r="N40" i="78"/>
  <c r="L41" i="78"/>
  <c r="N41" i="78"/>
  <c r="L42" i="78"/>
  <c r="N42" i="78"/>
  <c r="L43" i="78"/>
  <c r="N43" i="78"/>
  <c r="L44" i="78"/>
  <c r="N44" i="78"/>
  <c r="L45" i="78"/>
  <c r="N45" i="78"/>
  <c r="L46" i="78"/>
  <c r="N46" i="78"/>
  <c r="L47" i="78"/>
  <c r="N47" i="78"/>
  <c r="L48" i="78"/>
  <c r="N48" i="78"/>
  <c r="L49" i="78"/>
  <c r="N49" i="78"/>
  <c r="L50" i="78"/>
  <c r="N50" i="78"/>
  <c r="L51" i="78"/>
  <c r="N51" i="78"/>
  <c r="L52" i="78"/>
  <c r="N52" i="78"/>
  <c r="L53" i="78"/>
  <c r="N53" i="78"/>
  <c r="L54" i="78"/>
  <c r="N54" i="78"/>
  <c r="L55" i="78"/>
  <c r="N55" i="78"/>
  <c r="L56" i="78"/>
  <c r="N56" i="78"/>
  <c r="L57" i="78"/>
  <c r="N57" i="78"/>
  <c r="O57" i="78"/>
  <c r="L58" i="78"/>
  <c r="O58" i="78" s="1"/>
  <c r="N58" i="78"/>
  <c r="L59" i="78"/>
  <c r="N59" i="78"/>
  <c r="O59" i="78" s="1"/>
  <c r="L60" i="78"/>
  <c r="N60" i="78"/>
  <c r="L61" i="78"/>
  <c r="N61" i="78"/>
  <c r="L62" i="78"/>
  <c r="N62" i="78"/>
  <c r="L63" i="78"/>
  <c r="N63" i="78"/>
  <c r="L64" i="78"/>
  <c r="N64" i="78"/>
  <c r="L65" i="78"/>
  <c r="N65" i="78"/>
  <c r="L66" i="78"/>
  <c r="N66" i="78"/>
  <c r="L67" i="78"/>
  <c r="N67" i="78"/>
  <c r="L68" i="78"/>
  <c r="O68" i="78" s="1"/>
  <c r="N68" i="78"/>
  <c r="L69" i="78"/>
  <c r="N69" i="78"/>
  <c r="L70" i="78"/>
  <c r="N70" i="78"/>
  <c r="O70" i="78" s="1"/>
  <c r="L71" i="78"/>
  <c r="N71" i="78"/>
  <c r="L72" i="78"/>
  <c r="N72" i="78"/>
  <c r="O72" i="78" s="1"/>
  <c r="D89" i="78"/>
  <c r="D91" i="78"/>
  <c r="J93" i="78"/>
  <c r="L93" i="78"/>
  <c r="D96" i="78"/>
  <c r="J99" i="78"/>
  <c r="L99" i="78"/>
  <c r="M99" i="78"/>
  <c r="N99" i="78"/>
  <c r="O99" i="78" s="1"/>
  <c r="P99" i="78" s="1"/>
  <c r="B100" i="78"/>
  <c r="L100" i="78"/>
  <c r="M100" i="78" s="1"/>
  <c r="N100" i="78"/>
  <c r="O100" i="78"/>
  <c r="P100" i="78" s="1"/>
  <c r="D101" i="78"/>
  <c r="B101" i="78" s="1"/>
  <c r="M101" i="78"/>
  <c r="O101" i="78"/>
  <c r="M102" i="78"/>
  <c r="O102" i="78"/>
  <c r="M103" i="78"/>
  <c r="O103" i="78"/>
  <c r="M104" i="78"/>
  <c r="O104" i="78"/>
  <c r="M105" i="78"/>
  <c r="O105" i="78"/>
  <c r="P105" i="78" s="1"/>
  <c r="M106" i="78"/>
  <c r="O106" i="78"/>
  <c r="P106" i="78" s="1"/>
  <c r="M107" i="78"/>
  <c r="O107" i="78"/>
  <c r="M108" i="78"/>
  <c r="O108" i="78"/>
  <c r="M109" i="78"/>
  <c r="O109" i="78"/>
  <c r="M110" i="78"/>
  <c r="O110" i="78"/>
  <c r="P110" i="78" s="1"/>
  <c r="M111" i="78"/>
  <c r="O111" i="78"/>
  <c r="M112" i="78"/>
  <c r="O112" i="78"/>
  <c r="P112" i="78" s="1"/>
  <c r="M113" i="78"/>
  <c r="O113" i="78"/>
  <c r="M114" i="78"/>
  <c r="O114" i="78"/>
  <c r="P114" i="78" s="1"/>
  <c r="M115" i="78"/>
  <c r="O115" i="78"/>
  <c r="M116" i="78"/>
  <c r="O116" i="78"/>
  <c r="P116" i="78" s="1"/>
  <c r="M117" i="78"/>
  <c r="O117" i="78"/>
  <c r="M118" i="78"/>
  <c r="O118" i="78"/>
  <c r="M119" i="78"/>
  <c r="O119" i="78"/>
  <c r="M120" i="78"/>
  <c r="O120" i="78"/>
  <c r="M121" i="78"/>
  <c r="O121" i="78"/>
  <c r="M122" i="78"/>
  <c r="O122" i="78"/>
  <c r="P122" i="78" s="1"/>
  <c r="M123" i="78"/>
  <c r="O123" i="78"/>
  <c r="M124" i="78"/>
  <c r="O124" i="78"/>
  <c r="P124" i="78" s="1"/>
  <c r="M125" i="78"/>
  <c r="O125" i="78"/>
  <c r="M126" i="78"/>
  <c r="O126" i="78"/>
  <c r="P126" i="78" s="1"/>
  <c r="M127" i="78"/>
  <c r="O127" i="78"/>
  <c r="M128" i="78"/>
  <c r="O128" i="78"/>
  <c r="P128" i="78" s="1"/>
  <c r="M129" i="78"/>
  <c r="O129" i="78"/>
  <c r="M130" i="78"/>
  <c r="O130" i="78"/>
  <c r="P130" i="78" s="1"/>
  <c r="M131" i="78"/>
  <c r="O131" i="78"/>
  <c r="P131" i="78"/>
  <c r="M132" i="78"/>
  <c r="O132" i="78"/>
  <c r="P132" i="78"/>
  <c r="M133" i="78"/>
  <c r="O133" i="78"/>
  <c r="P133" i="78"/>
  <c r="M134" i="78"/>
  <c r="O134" i="78"/>
  <c r="P134" i="78"/>
  <c r="M135" i="78"/>
  <c r="O135" i="78"/>
  <c r="P135" i="78"/>
  <c r="M136" i="78"/>
  <c r="O136" i="78"/>
  <c r="P136" i="78"/>
  <c r="M137" i="78"/>
  <c r="O137" i="78"/>
  <c r="P137" i="78"/>
  <c r="M138" i="78"/>
  <c r="O138" i="78"/>
  <c r="P138" i="78"/>
  <c r="M139" i="78"/>
  <c r="O139" i="78"/>
  <c r="P139" i="78"/>
  <c r="M140" i="78"/>
  <c r="O140" i="78"/>
  <c r="P140" i="78"/>
  <c r="M141" i="78"/>
  <c r="O141" i="78"/>
  <c r="P141" i="78"/>
  <c r="M142" i="78"/>
  <c r="O142" i="78"/>
  <c r="P142" i="78"/>
  <c r="M143" i="78"/>
  <c r="O143" i="78"/>
  <c r="P143" i="78"/>
  <c r="M144" i="78"/>
  <c r="O144" i="78"/>
  <c r="P144" i="78"/>
  <c r="M145" i="78"/>
  <c r="O145" i="78"/>
  <c r="P145" i="78"/>
  <c r="M146" i="78"/>
  <c r="O146" i="78"/>
  <c r="P146" i="78"/>
  <c r="M147" i="78"/>
  <c r="O147" i="78"/>
  <c r="P147" i="78"/>
  <c r="M148" i="78"/>
  <c r="O148" i="78"/>
  <c r="P148" i="78"/>
  <c r="M149" i="78"/>
  <c r="O149" i="78"/>
  <c r="P149" i="78"/>
  <c r="M150" i="78"/>
  <c r="O150" i="78"/>
  <c r="P150" i="78"/>
  <c r="M151" i="78"/>
  <c r="O151" i="78"/>
  <c r="P151" i="78"/>
  <c r="M152" i="78"/>
  <c r="O152" i="78"/>
  <c r="P152" i="78"/>
  <c r="M153" i="78"/>
  <c r="O153" i="78"/>
  <c r="P153" i="78"/>
  <c r="M154" i="78"/>
  <c r="O154" i="78"/>
  <c r="P154" i="78"/>
  <c r="P1" i="77"/>
  <c r="P83" i="77" s="1"/>
  <c r="D8" i="77"/>
  <c r="D90" i="77" s="1"/>
  <c r="I11" i="77"/>
  <c r="K11" i="77"/>
  <c r="C17" i="77"/>
  <c r="C18" i="77"/>
  <c r="C19" i="77"/>
  <c r="C20" i="77"/>
  <c r="C21" i="77"/>
  <c r="C22" i="77" s="1"/>
  <c r="C23" i="77"/>
  <c r="C24" i="77" s="1"/>
  <c r="C25" i="77" s="1"/>
  <c r="C26" i="77" s="1"/>
  <c r="C27" i="77" s="1"/>
  <c r="C28" i="77" s="1"/>
  <c r="C29" i="77" s="1"/>
  <c r="C30" i="77" s="1"/>
  <c r="C31" i="77"/>
  <c r="C32" i="77" s="1"/>
  <c r="C33" i="77" s="1"/>
  <c r="C34" i="77" s="1"/>
  <c r="C35" i="77" s="1"/>
  <c r="C36" i="77" s="1"/>
  <c r="C37" i="77" s="1"/>
  <c r="C38" i="77" s="1"/>
  <c r="C39" i="77" s="1"/>
  <c r="C40" i="77" s="1"/>
  <c r="C41" i="77" s="1"/>
  <c r="C42" i="77" s="1"/>
  <c r="C43" i="77" s="1"/>
  <c r="C44" i="77" s="1"/>
  <c r="C45" i="77" s="1"/>
  <c r="C46" i="77" s="1"/>
  <c r="C47" i="77" s="1"/>
  <c r="C48" i="77" s="1"/>
  <c r="C49" i="77" s="1"/>
  <c r="C50" i="77" s="1"/>
  <c r="C51" i="77" s="1"/>
  <c r="C52" i="77" s="1"/>
  <c r="C53" i="77" s="1"/>
  <c r="C54" i="77" s="1"/>
  <c r="C55" i="77" s="1"/>
  <c r="C56" i="77" s="1"/>
  <c r="C57" i="77" s="1"/>
  <c r="C58" i="77" s="1"/>
  <c r="C59" i="77" s="1"/>
  <c r="C60" i="77" s="1"/>
  <c r="C61" i="77" s="1"/>
  <c r="C62" i="77" s="1"/>
  <c r="C63" i="77" s="1"/>
  <c r="C64" i="77" s="1"/>
  <c r="C65" i="77" s="1"/>
  <c r="C66" i="77" s="1"/>
  <c r="C67" i="77" s="1"/>
  <c r="C68" i="77" s="1"/>
  <c r="C69" i="77" s="1"/>
  <c r="C70" i="77" s="1"/>
  <c r="C71" i="77" s="1"/>
  <c r="C72" i="77" s="1"/>
  <c r="K17" i="77"/>
  <c r="L17" i="77" s="1"/>
  <c r="M17" i="77"/>
  <c r="N17" i="77"/>
  <c r="B18" i="77"/>
  <c r="I18" i="77"/>
  <c r="K18" i="77"/>
  <c r="L18" i="77" s="1"/>
  <c r="M18" i="77"/>
  <c r="N18" i="77" s="1"/>
  <c r="B19" i="77"/>
  <c r="K19" i="77"/>
  <c r="L19" i="77" s="1"/>
  <c r="M19" i="77"/>
  <c r="N19" i="77" s="1"/>
  <c r="B20" i="77"/>
  <c r="L21" i="77"/>
  <c r="O21" i="77" s="1"/>
  <c r="N21" i="77"/>
  <c r="L22" i="77"/>
  <c r="N22" i="77"/>
  <c r="L23" i="77"/>
  <c r="N23" i="77"/>
  <c r="L24" i="77"/>
  <c r="N24" i="77"/>
  <c r="L25" i="77"/>
  <c r="N25" i="77"/>
  <c r="L26" i="77"/>
  <c r="N26" i="77"/>
  <c r="L27" i="77"/>
  <c r="N27" i="77"/>
  <c r="O27" i="77" s="1"/>
  <c r="L28" i="77"/>
  <c r="N28" i="77"/>
  <c r="L29" i="77"/>
  <c r="N29" i="77"/>
  <c r="L30" i="77"/>
  <c r="N30" i="77"/>
  <c r="L31" i="77"/>
  <c r="N31" i="77"/>
  <c r="L32" i="77"/>
  <c r="N32" i="77"/>
  <c r="L33" i="77"/>
  <c r="N33" i="77"/>
  <c r="L34" i="77"/>
  <c r="N34" i="77"/>
  <c r="L35" i="77"/>
  <c r="N35" i="77"/>
  <c r="L36" i="77"/>
  <c r="N36" i="77"/>
  <c r="L37" i="77"/>
  <c r="N37" i="77"/>
  <c r="L38" i="77"/>
  <c r="N38" i="77"/>
  <c r="L39" i="77"/>
  <c r="N39" i="77"/>
  <c r="L40" i="77"/>
  <c r="N40" i="77"/>
  <c r="L41" i="77"/>
  <c r="N41" i="77"/>
  <c r="L42" i="77"/>
  <c r="N42" i="77"/>
  <c r="L43" i="77"/>
  <c r="N43" i="77"/>
  <c r="L44" i="77"/>
  <c r="N44" i="77"/>
  <c r="L45" i="77"/>
  <c r="N45" i="77"/>
  <c r="L46" i="77"/>
  <c r="N46" i="77"/>
  <c r="L47" i="77"/>
  <c r="N47" i="77"/>
  <c r="L48" i="77"/>
  <c r="N48" i="77"/>
  <c r="L49" i="77"/>
  <c r="N49" i="77"/>
  <c r="O49" i="77" s="1"/>
  <c r="L50" i="77"/>
  <c r="N50" i="77"/>
  <c r="L51" i="77"/>
  <c r="N51" i="77"/>
  <c r="L52" i="77"/>
  <c r="N52" i="77"/>
  <c r="L53" i="77"/>
  <c r="N53" i="77"/>
  <c r="L54" i="77"/>
  <c r="N54" i="77"/>
  <c r="L55" i="77"/>
  <c r="N55" i="77"/>
  <c r="O55" i="77" s="1"/>
  <c r="L56" i="77"/>
  <c r="N56" i="77"/>
  <c r="L57" i="77"/>
  <c r="N57" i="77"/>
  <c r="L58" i="77"/>
  <c r="N58" i="77"/>
  <c r="L59" i="77"/>
  <c r="N59" i="77"/>
  <c r="L60" i="77"/>
  <c r="N60" i="77"/>
  <c r="L61" i="77"/>
  <c r="N61" i="77"/>
  <c r="L62" i="77"/>
  <c r="N62" i="77"/>
  <c r="L63" i="77"/>
  <c r="N63" i="77"/>
  <c r="L64" i="77"/>
  <c r="N64" i="77"/>
  <c r="L65" i="77"/>
  <c r="N65" i="77"/>
  <c r="L66" i="77"/>
  <c r="N66" i="77"/>
  <c r="L67" i="77"/>
  <c r="N67" i="77"/>
  <c r="L68" i="77"/>
  <c r="N68" i="77"/>
  <c r="L69" i="77"/>
  <c r="N69" i="77"/>
  <c r="L70" i="77"/>
  <c r="N70" i="77"/>
  <c r="L71" i="77"/>
  <c r="N71" i="77"/>
  <c r="L72" i="77"/>
  <c r="N72" i="77"/>
  <c r="D89" i="77"/>
  <c r="D91" i="77"/>
  <c r="J93" i="77"/>
  <c r="L93" i="77"/>
  <c r="D96" i="77"/>
  <c r="J99" i="77"/>
  <c r="L99" i="77"/>
  <c r="M99" i="77"/>
  <c r="N99" i="77"/>
  <c r="O99" i="77"/>
  <c r="P99" i="77"/>
  <c r="B100" i="77"/>
  <c r="J100" i="77"/>
  <c r="L100" i="77"/>
  <c r="M100" i="77" s="1"/>
  <c r="N100" i="77"/>
  <c r="O100" i="77" s="1"/>
  <c r="D101" i="77"/>
  <c r="B101" i="77"/>
  <c r="M101" i="77"/>
  <c r="O101" i="77"/>
  <c r="P101" i="77" s="1"/>
  <c r="M102" i="77"/>
  <c r="O102" i="77"/>
  <c r="P102" i="77" s="1"/>
  <c r="M103" i="77"/>
  <c r="O103" i="77"/>
  <c r="M104" i="77"/>
  <c r="O104" i="77"/>
  <c r="P104" i="77" s="1"/>
  <c r="M105" i="77"/>
  <c r="O105" i="77"/>
  <c r="M106" i="77"/>
  <c r="O106" i="77"/>
  <c r="P106" i="77" s="1"/>
  <c r="M107" i="77"/>
  <c r="O107" i="77"/>
  <c r="P107" i="77" s="1"/>
  <c r="M108" i="77"/>
  <c r="O108" i="77"/>
  <c r="P108" i="77" s="1"/>
  <c r="M109" i="77"/>
  <c r="O109" i="77"/>
  <c r="M110" i="77"/>
  <c r="O110" i="77"/>
  <c r="M111" i="77"/>
  <c r="O111" i="77"/>
  <c r="M112" i="77"/>
  <c r="O112" i="77"/>
  <c r="P112" i="77" s="1"/>
  <c r="M113" i="77"/>
  <c r="O113" i="77"/>
  <c r="P113" i="77" s="1"/>
  <c r="M114" i="77"/>
  <c r="O114" i="77"/>
  <c r="P114" i="77" s="1"/>
  <c r="M115" i="77"/>
  <c r="O115" i="77"/>
  <c r="M116" i="77"/>
  <c r="O116" i="77"/>
  <c r="M117" i="77"/>
  <c r="O117" i="77"/>
  <c r="P117" i="77" s="1"/>
  <c r="M118" i="77"/>
  <c r="O118" i="77"/>
  <c r="M119" i="77"/>
  <c r="O119" i="77"/>
  <c r="M120" i="77"/>
  <c r="O120" i="77"/>
  <c r="M121" i="77"/>
  <c r="O121" i="77"/>
  <c r="P121" i="77" s="1"/>
  <c r="M122" i="77"/>
  <c r="O122" i="77"/>
  <c r="M123" i="77"/>
  <c r="O123" i="77"/>
  <c r="M124" i="77"/>
  <c r="O124" i="77"/>
  <c r="M125" i="77"/>
  <c r="O125" i="77"/>
  <c r="P125" i="77" s="1"/>
  <c r="M126" i="77"/>
  <c r="O126" i="77"/>
  <c r="M127" i="77"/>
  <c r="O127" i="77"/>
  <c r="P127" i="77" s="1"/>
  <c r="M128" i="77"/>
  <c r="O128" i="77"/>
  <c r="M129" i="77"/>
  <c r="O129" i="77"/>
  <c r="M130" i="77"/>
  <c r="O130" i="77"/>
  <c r="M131" i="77"/>
  <c r="O131" i="77"/>
  <c r="P131" i="77"/>
  <c r="M132" i="77"/>
  <c r="O132" i="77"/>
  <c r="P132" i="77"/>
  <c r="M133" i="77"/>
  <c r="O133" i="77"/>
  <c r="P133" i="77"/>
  <c r="M134" i="77"/>
  <c r="O134" i="77"/>
  <c r="P134" i="77"/>
  <c r="M135" i="77"/>
  <c r="O135" i="77"/>
  <c r="P135" i="77"/>
  <c r="M136" i="77"/>
  <c r="O136" i="77"/>
  <c r="P136" i="77"/>
  <c r="M137" i="77"/>
  <c r="O137" i="77"/>
  <c r="P137" i="77"/>
  <c r="M138" i="77"/>
  <c r="O138" i="77"/>
  <c r="P138" i="77"/>
  <c r="M139" i="77"/>
  <c r="O139" i="77"/>
  <c r="P139" i="77"/>
  <c r="M140" i="77"/>
  <c r="O140" i="77"/>
  <c r="P140" i="77"/>
  <c r="M141" i="77"/>
  <c r="O141" i="77"/>
  <c r="P141" i="77"/>
  <c r="M142" i="77"/>
  <c r="O142" i="77"/>
  <c r="P142" i="77"/>
  <c r="M143" i="77"/>
  <c r="O143" i="77"/>
  <c r="P143" i="77"/>
  <c r="M144" i="77"/>
  <c r="O144" i="77"/>
  <c r="P144" i="77"/>
  <c r="M145" i="77"/>
  <c r="O145" i="77"/>
  <c r="P145" i="77"/>
  <c r="M146" i="77"/>
  <c r="O146" i="77"/>
  <c r="P146" i="77"/>
  <c r="M147" i="77"/>
  <c r="O147" i="77"/>
  <c r="P147" i="77"/>
  <c r="M148" i="77"/>
  <c r="O148" i="77"/>
  <c r="P148" i="77"/>
  <c r="M149" i="77"/>
  <c r="O149" i="77"/>
  <c r="P149" i="77"/>
  <c r="M150" i="77"/>
  <c r="O150" i="77"/>
  <c r="P150" i="77"/>
  <c r="M151" i="77"/>
  <c r="O151" i="77"/>
  <c r="P151" i="77"/>
  <c r="M152" i="77"/>
  <c r="O152" i="77"/>
  <c r="P152" i="77"/>
  <c r="M153" i="77"/>
  <c r="O153" i="77"/>
  <c r="P153" i="77"/>
  <c r="M154" i="77"/>
  <c r="O154" i="77"/>
  <c r="P154" i="77"/>
  <c r="P1" i="76"/>
  <c r="P83" i="76" s="1"/>
  <c r="D8" i="76"/>
  <c r="D90" i="76" s="1"/>
  <c r="I11" i="76"/>
  <c r="K11" i="76"/>
  <c r="C17" i="76"/>
  <c r="C18" i="76"/>
  <c r="C19" i="76" s="1"/>
  <c r="C20" i="76" s="1"/>
  <c r="C21" i="76"/>
  <c r="C22" i="76" s="1"/>
  <c r="C23" i="76" s="1"/>
  <c r="C24" i="76" s="1"/>
  <c r="C25" i="76" s="1"/>
  <c r="C26" i="76" s="1"/>
  <c r="C27" i="76" s="1"/>
  <c r="C28" i="76" s="1"/>
  <c r="C29" i="76" s="1"/>
  <c r="C30" i="76" s="1"/>
  <c r="C31" i="76" s="1"/>
  <c r="C32" i="76" s="1"/>
  <c r="C33" i="76" s="1"/>
  <c r="C34" i="76" s="1"/>
  <c r="C35" i="76" s="1"/>
  <c r="C36" i="76" s="1"/>
  <c r="C37" i="76" s="1"/>
  <c r="C38" i="76" s="1"/>
  <c r="C39" i="76" s="1"/>
  <c r="C40" i="76" s="1"/>
  <c r="C41" i="76" s="1"/>
  <c r="C42" i="76" s="1"/>
  <c r="C43" i="76" s="1"/>
  <c r="C44" i="76" s="1"/>
  <c r="C45" i="76" s="1"/>
  <c r="C46" i="76" s="1"/>
  <c r="C47" i="76" s="1"/>
  <c r="C48" i="76" s="1"/>
  <c r="C49" i="76" s="1"/>
  <c r="C50" i="76" s="1"/>
  <c r="C51" i="76" s="1"/>
  <c r="C52" i="76" s="1"/>
  <c r="C53" i="76" s="1"/>
  <c r="C54" i="76" s="1"/>
  <c r="C55" i="76" s="1"/>
  <c r="C56" i="76" s="1"/>
  <c r="C57" i="76" s="1"/>
  <c r="C58" i="76" s="1"/>
  <c r="C59" i="76" s="1"/>
  <c r="C60" i="76" s="1"/>
  <c r="C61" i="76" s="1"/>
  <c r="C62" i="76" s="1"/>
  <c r="C63" i="76" s="1"/>
  <c r="C64" i="76" s="1"/>
  <c r="C65" i="76" s="1"/>
  <c r="C66" i="76" s="1"/>
  <c r="C67" i="76" s="1"/>
  <c r="C68" i="76" s="1"/>
  <c r="C69" i="76" s="1"/>
  <c r="C70" i="76" s="1"/>
  <c r="C71" i="76" s="1"/>
  <c r="C72" i="76" s="1"/>
  <c r="K17" i="76"/>
  <c r="L17" i="76" s="1"/>
  <c r="M17" i="76"/>
  <c r="N17" i="76" s="1"/>
  <c r="B18" i="76"/>
  <c r="I18" i="76"/>
  <c r="K18" i="76"/>
  <c r="L18" i="76"/>
  <c r="M18" i="76"/>
  <c r="N18" i="76" s="1"/>
  <c r="B19" i="76"/>
  <c r="K19" i="76"/>
  <c r="L19" i="76"/>
  <c r="M19" i="76"/>
  <c r="N19" i="76"/>
  <c r="B20" i="76"/>
  <c r="L21" i="76"/>
  <c r="N21" i="76"/>
  <c r="L22" i="76"/>
  <c r="N22" i="76"/>
  <c r="L23" i="76"/>
  <c r="N23" i="76"/>
  <c r="L24" i="76"/>
  <c r="N24" i="76"/>
  <c r="L25" i="76"/>
  <c r="N25" i="76"/>
  <c r="L26" i="76"/>
  <c r="N26" i="76"/>
  <c r="L27" i="76"/>
  <c r="N27" i="76"/>
  <c r="L28" i="76"/>
  <c r="O28" i="76" s="1"/>
  <c r="N28" i="76"/>
  <c r="L29" i="76"/>
  <c r="N29" i="76"/>
  <c r="L30" i="76"/>
  <c r="N30" i="76"/>
  <c r="L31" i="76"/>
  <c r="N31" i="76"/>
  <c r="L32" i="76"/>
  <c r="N32" i="76"/>
  <c r="L33" i="76"/>
  <c r="N33" i="76"/>
  <c r="L34" i="76"/>
  <c r="N34" i="76"/>
  <c r="L35" i="76"/>
  <c r="N35" i="76"/>
  <c r="L36" i="76"/>
  <c r="N36" i="76"/>
  <c r="L37" i="76"/>
  <c r="N37" i="76"/>
  <c r="L38" i="76"/>
  <c r="N38" i="76"/>
  <c r="L39" i="76"/>
  <c r="N39" i="76"/>
  <c r="L40" i="76"/>
  <c r="N40" i="76"/>
  <c r="L41" i="76"/>
  <c r="N41" i="76"/>
  <c r="L42" i="76"/>
  <c r="N42" i="76"/>
  <c r="L43" i="76"/>
  <c r="N43" i="76"/>
  <c r="L44" i="76"/>
  <c r="N44" i="76"/>
  <c r="L45" i="76"/>
  <c r="N45" i="76"/>
  <c r="L46" i="76"/>
  <c r="N46" i="76"/>
  <c r="L47" i="76"/>
  <c r="N47" i="76"/>
  <c r="L48" i="76"/>
  <c r="N48" i="76"/>
  <c r="L49" i="76"/>
  <c r="N49" i="76"/>
  <c r="L50" i="76"/>
  <c r="N50" i="76"/>
  <c r="L51" i="76"/>
  <c r="N51" i="76"/>
  <c r="L52" i="76"/>
  <c r="N52" i="76"/>
  <c r="L53" i="76"/>
  <c r="N53" i="76"/>
  <c r="L54" i="76"/>
  <c r="O54" i="76" s="1"/>
  <c r="N54" i="76"/>
  <c r="L55" i="76"/>
  <c r="N55" i="76"/>
  <c r="L56" i="76"/>
  <c r="N56" i="76"/>
  <c r="L57" i="76"/>
  <c r="N57" i="76"/>
  <c r="O57" i="76" s="1"/>
  <c r="L58" i="76"/>
  <c r="N58" i="76"/>
  <c r="L59" i="76"/>
  <c r="N59" i="76"/>
  <c r="L60" i="76"/>
  <c r="N60" i="76"/>
  <c r="L61" i="76"/>
  <c r="N61" i="76"/>
  <c r="L62" i="76"/>
  <c r="N62" i="76"/>
  <c r="L63" i="76"/>
  <c r="N63" i="76"/>
  <c r="L64" i="76"/>
  <c r="N64" i="76"/>
  <c r="O64" i="76" s="1"/>
  <c r="L65" i="76"/>
  <c r="N65" i="76"/>
  <c r="L66" i="76"/>
  <c r="N66" i="76"/>
  <c r="L67" i="76"/>
  <c r="N67" i="76"/>
  <c r="O67" i="76" s="1"/>
  <c r="L68" i="76"/>
  <c r="N68" i="76"/>
  <c r="L69" i="76"/>
  <c r="N69" i="76"/>
  <c r="L70" i="76"/>
  <c r="N70" i="76"/>
  <c r="L71" i="76"/>
  <c r="N71" i="76"/>
  <c r="O71" i="76" s="1"/>
  <c r="L72" i="76"/>
  <c r="N72" i="76"/>
  <c r="D89" i="76"/>
  <c r="D91" i="76"/>
  <c r="J93" i="76"/>
  <c r="L93" i="76"/>
  <c r="D96" i="76"/>
  <c r="J99" i="76"/>
  <c r="L99" i="76"/>
  <c r="M99" i="76" s="1"/>
  <c r="N99" i="76"/>
  <c r="O99" i="76" s="1"/>
  <c r="B100" i="76"/>
  <c r="L100" i="76"/>
  <c r="M100" i="76" s="1"/>
  <c r="N100" i="76"/>
  <c r="O100" i="76" s="1"/>
  <c r="D101" i="76"/>
  <c r="B101" i="76"/>
  <c r="M101" i="76"/>
  <c r="O101" i="76"/>
  <c r="M102" i="76"/>
  <c r="O102" i="76"/>
  <c r="P102" i="76" s="1"/>
  <c r="M103" i="76"/>
  <c r="O103" i="76"/>
  <c r="M104" i="76"/>
  <c r="O104" i="76"/>
  <c r="M105" i="76"/>
  <c r="O105" i="76"/>
  <c r="P105" i="76" s="1"/>
  <c r="M106" i="76"/>
  <c r="O106" i="76"/>
  <c r="M107" i="76"/>
  <c r="O107" i="76"/>
  <c r="M108" i="76"/>
  <c r="O108" i="76"/>
  <c r="M109" i="76"/>
  <c r="O109" i="76"/>
  <c r="M110" i="76"/>
  <c r="O110" i="76"/>
  <c r="P110" i="76" s="1"/>
  <c r="M111" i="76"/>
  <c r="O111" i="76"/>
  <c r="P111" i="76"/>
  <c r="M112" i="76"/>
  <c r="O112" i="76"/>
  <c r="M113" i="76"/>
  <c r="O113" i="76"/>
  <c r="M114" i="76"/>
  <c r="O114" i="76"/>
  <c r="P114" i="76" s="1"/>
  <c r="M115" i="76"/>
  <c r="O115" i="76"/>
  <c r="P115" i="76" s="1"/>
  <c r="M116" i="76"/>
  <c r="O116" i="76"/>
  <c r="P116" i="76"/>
  <c r="M117" i="76"/>
  <c r="O117" i="76"/>
  <c r="M118" i="76"/>
  <c r="O118" i="76"/>
  <c r="M119" i="76"/>
  <c r="O119" i="76"/>
  <c r="M120" i="76"/>
  <c r="O120" i="76"/>
  <c r="P120" i="76" s="1"/>
  <c r="M121" i="76"/>
  <c r="O121" i="76"/>
  <c r="M122" i="76"/>
  <c r="O122" i="76"/>
  <c r="M123" i="76"/>
  <c r="O123" i="76"/>
  <c r="M124" i="76"/>
  <c r="O124" i="76"/>
  <c r="M125" i="76"/>
  <c r="O125" i="76"/>
  <c r="P125" i="76" s="1"/>
  <c r="M126" i="76"/>
  <c r="O126" i="76"/>
  <c r="M127" i="76"/>
  <c r="O127" i="76"/>
  <c r="P127" i="76" s="1"/>
  <c r="M128" i="76"/>
  <c r="O128" i="76"/>
  <c r="M129" i="76"/>
  <c r="O129" i="76"/>
  <c r="M130" i="76"/>
  <c r="O130" i="76"/>
  <c r="P130" i="76" s="1"/>
  <c r="M131" i="76"/>
  <c r="O131" i="76"/>
  <c r="P131" i="76"/>
  <c r="M132" i="76"/>
  <c r="O132" i="76"/>
  <c r="P132" i="76"/>
  <c r="M133" i="76"/>
  <c r="O133" i="76"/>
  <c r="P133" i="76"/>
  <c r="M134" i="76"/>
  <c r="O134" i="76"/>
  <c r="P134" i="76"/>
  <c r="M135" i="76"/>
  <c r="O135" i="76"/>
  <c r="P135" i="76"/>
  <c r="M136" i="76"/>
  <c r="O136" i="76"/>
  <c r="P136" i="76"/>
  <c r="M137" i="76"/>
  <c r="O137" i="76"/>
  <c r="P137" i="76"/>
  <c r="M138" i="76"/>
  <c r="O138" i="76"/>
  <c r="P138" i="76"/>
  <c r="M139" i="76"/>
  <c r="O139" i="76"/>
  <c r="P139" i="76"/>
  <c r="M140" i="76"/>
  <c r="O140" i="76"/>
  <c r="P140" i="76"/>
  <c r="M141" i="76"/>
  <c r="O141" i="76"/>
  <c r="P141" i="76"/>
  <c r="M142" i="76"/>
  <c r="O142" i="76"/>
  <c r="P142" i="76"/>
  <c r="M143" i="76"/>
  <c r="O143" i="76"/>
  <c r="P143" i="76"/>
  <c r="M144" i="76"/>
  <c r="O144" i="76"/>
  <c r="P144" i="76"/>
  <c r="M145" i="76"/>
  <c r="O145" i="76"/>
  <c r="P145" i="76"/>
  <c r="M146" i="76"/>
  <c r="O146" i="76"/>
  <c r="P146" i="76"/>
  <c r="M147" i="76"/>
  <c r="O147" i="76"/>
  <c r="P147" i="76"/>
  <c r="M148" i="76"/>
  <c r="O148" i="76"/>
  <c r="P148" i="76"/>
  <c r="M149" i="76"/>
  <c r="O149" i="76"/>
  <c r="P149" i="76"/>
  <c r="M150" i="76"/>
  <c r="O150" i="76"/>
  <c r="P150" i="76"/>
  <c r="M151" i="76"/>
  <c r="O151" i="76"/>
  <c r="P151" i="76"/>
  <c r="M152" i="76"/>
  <c r="O152" i="76"/>
  <c r="P152" i="76"/>
  <c r="M153" i="76"/>
  <c r="O153" i="76"/>
  <c r="P153" i="76"/>
  <c r="M154" i="76"/>
  <c r="O154" i="76"/>
  <c r="P154" i="76"/>
  <c r="P1" i="75"/>
  <c r="P83" i="75" s="1"/>
  <c r="D8" i="75"/>
  <c r="D90" i="75" s="1"/>
  <c r="I11" i="75"/>
  <c r="K11" i="75"/>
  <c r="C17" i="75"/>
  <c r="C18" i="75" s="1"/>
  <c r="C19" i="75" s="1"/>
  <c r="C20" i="75"/>
  <c r="C21" i="75"/>
  <c r="C22" i="75"/>
  <c r="C23" i="75" s="1"/>
  <c r="C24" i="75" s="1"/>
  <c r="C25" i="75" s="1"/>
  <c r="C26" i="75" s="1"/>
  <c r="C27" i="75" s="1"/>
  <c r="C28" i="75" s="1"/>
  <c r="C29" i="75" s="1"/>
  <c r="C30" i="75" s="1"/>
  <c r="C31" i="75" s="1"/>
  <c r="C32" i="75" s="1"/>
  <c r="C33" i="75" s="1"/>
  <c r="C34" i="75" s="1"/>
  <c r="C35" i="75" s="1"/>
  <c r="C36" i="75" s="1"/>
  <c r="C37" i="75" s="1"/>
  <c r="C38" i="75" s="1"/>
  <c r="C39" i="75" s="1"/>
  <c r="C40" i="75" s="1"/>
  <c r="C41" i="75" s="1"/>
  <c r="C42" i="75" s="1"/>
  <c r="C43" i="75" s="1"/>
  <c r="C44" i="75" s="1"/>
  <c r="K17" i="75"/>
  <c r="L17" i="75" s="1"/>
  <c r="M17" i="75"/>
  <c r="N17" i="75" s="1"/>
  <c r="B18" i="75"/>
  <c r="I18" i="75"/>
  <c r="K18" i="75"/>
  <c r="L18" i="75"/>
  <c r="M18" i="75"/>
  <c r="N18" i="75"/>
  <c r="B19" i="75"/>
  <c r="K19" i="75"/>
  <c r="L19" i="75"/>
  <c r="M19" i="75"/>
  <c r="N19" i="75"/>
  <c r="B20" i="75"/>
  <c r="L21" i="75"/>
  <c r="N21" i="75"/>
  <c r="L22" i="75"/>
  <c r="N22" i="75"/>
  <c r="L23" i="75"/>
  <c r="N23" i="75"/>
  <c r="L24" i="75"/>
  <c r="N24" i="75"/>
  <c r="L25" i="75"/>
  <c r="N25" i="75"/>
  <c r="L26" i="75"/>
  <c r="N26" i="75"/>
  <c r="L27" i="75"/>
  <c r="N27" i="75"/>
  <c r="L28" i="75"/>
  <c r="N28" i="75"/>
  <c r="L29" i="75"/>
  <c r="N29" i="75"/>
  <c r="L30" i="75"/>
  <c r="N30" i="75"/>
  <c r="L31" i="75"/>
  <c r="N31" i="75"/>
  <c r="L32" i="75"/>
  <c r="N32" i="75"/>
  <c r="L33" i="75"/>
  <c r="N33" i="75"/>
  <c r="L34" i="75"/>
  <c r="N34" i="75"/>
  <c r="L35" i="75"/>
  <c r="N35" i="75"/>
  <c r="L36" i="75"/>
  <c r="N36" i="75"/>
  <c r="L37" i="75"/>
  <c r="N37" i="75"/>
  <c r="L38" i="75"/>
  <c r="N38" i="75"/>
  <c r="L39" i="75"/>
  <c r="O39" i="75" s="1"/>
  <c r="N39" i="75"/>
  <c r="L40" i="75"/>
  <c r="N40" i="75"/>
  <c r="L41" i="75"/>
  <c r="N41" i="75"/>
  <c r="L42" i="75"/>
  <c r="N42" i="75"/>
  <c r="L43" i="75"/>
  <c r="N43" i="75"/>
  <c r="L44" i="75"/>
  <c r="N44" i="75"/>
  <c r="L45" i="75"/>
  <c r="N45" i="75"/>
  <c r="L46" i="75"/>
  <c r="N46" i="75"/>
  <c r="L47" i="75"/>
  <c r="N47" i="75"/>
  <c r="L48" i="75"/>
  <c r="N48" i="75"/>
  <c r="L49" i="75"/>
  <c r="N49" i="75"/>
  <c r="L50" i="75"/>
  <c r="N50" i="75"/>
  <c r="L51" i="75"/>
  <c r="N51" i="75"/>
  <c r="L52" i="75"/>
  <c r="N52" i="75"/>
  <c r="L53" i="75"/>
  <c r="N53" i="75"/>
  <c r="O53" i="75" s="1"/>
  <c r="L54" i="75"/>
  <c r="N54" i="75"/>
  <c r="L55" i="75"/>
  <c r="N55" i="75"/>
  <c r="L56" i="75"/>
  <c r="N56" i="75"/>
  <c r="O56" i="75" s="1"/>
  <c r="L57" i="75"/>
  <c r="N57" i="75"/>
  <c r="L58" i="75"/>
  <c r="N58" i="75"/>
  <c r="L59" i="75"/>
  <c r="N59" i="75"/>
  <c r="L60" i="75"/>
  <c r="N60" i="75"/>
  <c r="L61" i="75"/>
  <c r="N61" i="75"/>
  <c r="L62" i="75"/>
  <c r="N62" i="75"/>
  <c r="L63" i="75"/>
  <c r="N63" i="75"/>
  <c r="L64" i="75"/>
  <c r="N64" i="75"/>
  <c r="L65" i="75"/>
  <c r="N65" i="75"/>
  <c r="L66" i="75"/>
  <c r="N66" i="75"/>
  <c r="L67" i="75"/>
  <c r="N67" i="75"/>
  <c r="L68" i="75"/>
  <c r="N68" i="75"/>
  <c r="L69" i="75"/>
  <c r="N69" i="75"/>
  <c r="L70" i="75"/>
  <c r="N70" i="75"/>
  <c r="L71" i="75"/>
  <c r="N71" i="75"/>
  <c r="L72" i="75"/>
  <c r="N72" i="75"/>
  <c r="D89" i="75"/>
  <c r="D91" i="75"/>
  <c r="J93" i="75"/>
  <c r="L93" i="75"/>
  <c r="D96" i="75"/>
  <c r="J99" i="75"/>
  <c r="L99" i="75"/>
  <c r="M99" i="75" s="1"/>
  <c r="N99" i="75"/>
  <c r="O99" i="75" s="1"/>
  <c r="B100" i="75"/>
  <c r="L100" i="75"/>
  <c r="M100" i="75"/>
  <c r="N100" i="75"/>
  <c r="O100" i="75" s="1"/>
  <c r="D101" i="75"/>
  <c r="M101" i="75"/>
  <c r="O101" i="75"/>
  <c r="M102" i="75"/>
  <c r="O102" i="75"/>
  <c r="M103" i="75"/>
  <c r="O103" i="75"/>
  <c r="M104" i="75"/>
  <c r="O104" i="75"/>
  <c r="P104" i="75" s="1"/>
  <c r="M105" i="75"/>
  <c r="O105" i="75"/>
  <c r="M106" i="75"/>
  <c r="O106" i="75"/>
  <c r="P106" i="75" s="1"/>
  <c r="M107" i="75"/>
  <c r="O107" i="75"/>
  <c r="P107" i="75" s="1"/>
  <c r="M108" i="75"/>
  <c r="O108" i="75"/>
  <c r="P108" i="75" s="1"/>
  <c r="M109" i="75"/>
  <c r="O109" i="75"/>
  <c r="M110" i="75"/>
  <c r="O110" i="75"/>
  <c r="P110" i="75" s="1"/>
  <c r="M111" i="75"/>
  <c r="O111" i="75"/>
  <c r="M112" i="75"/>
  <c r="O112" i="75"/>
  <c r="M113" i="75"/>
  <c r="O113" i="75"/>
  <c r="P113" i="75" s="1"/>
  <c r="M114" i="75"/>
  <c r="O114" i="75"/>
  <c r="P114" i="75" s="1"/>
  <c r="M115" i="75"/>
  <c r="O115" i="75"/>
  <c r="M116" i="75"/>
  <c r="O116" i="75"/>
  <c r="M117" i="75"/>
  <c r="O117" i="75"/>
  <c r="M118" i="75"/>
  <c r="O118" i="75"/>
  <c r="M119" i="75"/>
  <c r="O119" i="75"/>
  <c r="P119" i="75" s="1"/>
  <c r="M120" i="75"/>
  <c r="O120" i="75"/>
  <c r="P120" i="75" s="1"/>
  <c r="M121" i="75"/>
  <c r="O121" i="75"/>
  <c r="M122" i="75"/>
  <c r="O122" i="75"/>
  <c r="M123" i="75"/>
  <c r="P123" i="75" s="1"/>
  <c r="O123" i="75"/>
  <c r="M124" i="75"/>
  <c r="O124" i="75"/>
  <c r="M125" i="75"/>
  <c r="O125" i="75"/>
  <c r="P125" i="75"/>
  <c r="M126" i="75"/>
  <c r="O126" i="75"/>
  <c r="M127" i="75"/>
  <c r="O127" i="75"/>
  <c r="P127" i="75" s="1"/>
  <c r="M128" i="75"/>
  <c r="O128" i="75"/>
  <c r="M129" i="75"/>
  <c r="O129" i="75"/>
  <c r="P129" i="75" s="1"/>
  <c r="M130" i="75"/>
  <c r="O130" i="75"/>
  <c r="P130" i="75" s="1"/>
  <c r="M131" i="75"/>
  <c r="O131" i="75"/>
  <c r="P131" i="75"/>
  <c r="M132" i="75"/>
  <c r="O132" i="75"/>
  <c r="P132" i="75"/>
  <c r="M133" i="75"/>
  <c r="O133" i="75"/>
  <c r="P133" i="75"/>
  <c r="M134" i="75"/>
  <c r="O134" i="75"/>
  <c r="P134" i="75"/>
  <c r="M135" i="75"/>
  <c r="O135" i="75"/>
  <c r="P135" i="75"/>
  <c r="M136" i="75"/>
  <c r="O136" i="75"/>
  <c r="P136" i="75"/>
  <c r="M137" i="75"/>
  <c r="O137" i="75"/>
  <c r="P137" i="75"/>
  <c r="M138" i="75"/>
  <c r="O138" i="75"/>
  <c r="P138" i="75"/>
  <c r="M139" i="75"/>
  <c r="O139" i="75"/>
  <c r="P139" i="75"/>
  <c r="M140" i="75"/>
  <c r="O140" i="75"/>
  <c r="P140" i="75"/>
  <c r="M141" i="75"/>
  <c r="O141" i="75"/>
  <c r="P141" i="75"/>
  <c r="M142" i="75"/>
  <c r="O142" i="75"/>
  <c r="P142" i="75"/>
  <c r="M143" i="75"/>
  <c r="O143" i="75"/>
  <c r="P143" i="75"/>
  <c r="M144" i="75"/>
  <c r="O144" i="75"/>
  <c r="P144" i="75"/>
  <c r="M145" i="75"/>
  <c r="O145" i="75"/>
  <c r="P145" i="75"/>
  <c r="M146" i="75"/>
  <c r="O146" i="75"/>
  <c r="P146" i="75"/>
  <c r="M147" i="75"/>
  <c r="O147" i="75"/>
  <c r="P147" i="75"/>
  <c r="M148" i="75"/>
  <c r="O148" i="75"/>
  <c r="P148" i="75"/>
  <c r="M149" i="75"/>
  <c r="O149" i="75"/>
  <c r="P149" i="75"/>
  <c r="M150" i="75"/>
  <c r="O150" i="75"/>
  <c r="P150" i="75"/>
  <c r="M151" i="75"/>
  <c r="O151" i="75"/>
  <c r="P151" i="75"/>
  <c r="M152" i="75"/>
  <c r="O152" i="75"/>
  <c r="P152" i="75"/>
  <c r="M153" i="75"/>
  <c r="O153" i="75"/>
  <c r="P153" i="75"/>
  <c r="M154" i="75"/>
  <c r="O154" i="75"/>
  <c r="P154" i="75"/>
  <c r="P1" i="74"/>
  <c r="P83" i="74" s="1"/>
  <c r="D8" i="74"/>
  <c r="D90" i="74" s="1"/>
  <c r="I11" i="74"/>
  <c r="K11" i="74"/>
  <c r="C17" i="74"/>
  <c r="C18" i="74"/>
  <c r="C19" i="74"/>
  <c r="C20" i="74"/>
  <c r="C21" i="74" s="1"/>
  <c r="C22" i="74" s="1"/>
  <c r="C23" i="74" s="1"/>
  <c r="C24" i="74" s="1"/>
  <c r="C25" i="74" s="1"/>
  <c r="C26" i="74" s="1"/>
  <c r="C27" i="74" s="1"/>
  <c r="C28" i="74" s="1"/>
  <c r="C29" i="74" s="1"/>
  <c r="C30" i="74" s="1"/>
  <c r="C31" i="74" s="1"/>
  <c r="C32" i="74" s="1"/>
  <c r="C33" i="74" s="1"/>
  <c r="C34" i="74" s="1"/>
  <c r="C35" i="74" s="1"/>
  <c r="C36" i="74" s="1"/>
  <c r="C37" i="74" s="1"/>
  <c r="C38" i="74" s="1"/>
  <c r="C39" i="74" s="1"/>
  <c r="C40" i="74" s="1"/>
  <c r="C41" i="74" s="1"/>
  <c r="C42" i="74" s="1"/>
  <c r="C43" i="74" s="1"/>
  <c r="C44" i="74" s="1"/>
  <c r="C45" i="74" s="1"/>
  <c r="C46" i="74" s="1"/>
  <c r="C47" i="74" s="1"/>
  <c r="C48" i="74" s="1"/>
  <c r="C49" i="74" s="1"/>
  <c r="C50" i="74" s="1"/>
  <c r="C51" i="74" s="1"/>
  <c r="C52" i="74" s="1"/>
  <c r="C53" i="74" s="1"/>
  <c r="C54" i="74" s="1"/>
  <c r="C55" i="74" s="1"/>
  <c r="C56" i="74" s="1"/>
  <c r="C57" i="74" s="1"/>
  <c r="C58" i="74" s="1"/>
  <c r="C59" i="74" s="1"/>
  <c r="C60" i="74" s="1"/>
  <c r="C61" i="74" s="1"/>
  <c r="C62" i="74" s="1"/>
  <c r="C63" i="74" s="1"/>
  <c r="C64" i="74" s="1"/>
  <c r="C65" i="74" s="1"/>
  <c r="C66" i="74" s="1"/>
  <c r="C67" i="74" s="1"/>
  <c r="C68" i="74" s="1"/>
  <c r="C69" i="74" s="1"/>
  <c r="C70" i="74" s="1"/>
  <c r="C71" i="74" s="1"/>
  <c r="C72" i="74" s="1"/>
  <c r="K17" i="74"/>
  <c r="L17" i="74" s="1"/>
  <c r="M17" i="74"/>
  <c r="N17" i="74"/>
  <c r="B18" i="74"/>
  <c r="K18" i="74"/>
  <c r="L18" i="74"/>
  <c r="M18" i="74"/>
  <c r="N18" i="74" s="1"/>
  <c r="O18" i="74" s="1"/>
  <c r="B19" i="74"/>
  <c r="K19" i="74"/>
  <c r="L19" i="74" s="1"/>
  <c r="M19" i="74"/>
  <c r="N19" i="74"/>
  <c r="B20" i="74"/>
  <c r="K20" i="74"/>
  <c r="L20" i="74" s="1"/>
  <c r="M20" i="74"/>
  <c r="N20" i="74"/>
  <c r="B21" i="74"/>
  <c r="K21" i="74"/>
  <c r="L21" i="74"/>
  <c r="M21" i="74"/>
  <c r="N21" i="74" s="1"/>
  <c r="B22" i="74"/>
  <c r="I22" i="74"/>
  <c r="K22" i="74"/>
  <c r="L22" i="74" s="1"/>
  <c r="M22" i="74"/>
  <c r="N22" i="74"/>
  <c r="B23" i="74"/>
  <c r="K23" i="74"/>
  <c r="L23" i="74"/>
  <c r="M23" i="74"/>
  <c r="N23" i="74"/>
  <c r="O23" i="74" s="1"/>
  <c r="B24" i="74"/>
  <c r="L26" i="74"/>
  <c r="N26" i="74"/>
  <c r="L27" i="74"/>
  <c r="N27" i="74"/>
  <c r="L28" i="74"/>
  <c r="N28" i="74"/>
  <c r="L29" i="74"/>
  <c r="N29" i="74"/>
  <c r="L30" i="74"/>
  <c r="N30" i="74"/>
  <c r="L31" i="74"/>
  <c r="N31" i="74"/>
  <c r="L32" i="74"/>
  <c r="N32" i="74"/>
  <c r="L33" i="74"/>
  <c r="N33" i="74"/>
  <c r="L34" i="74"/>
  <c r="N34" i="74"/>
  <c r="L35" i="74"/>
  <c r="N35" i="74"/>
  <c r="L36" i="74"/>
  <c r="N36" i="74"/>
  <c r="L37" i="74"/>
  <c r="N37" i="74"/>
  <c r="L38" i="74"/>
  <c r="N38" i="74"/>
  <c r="L39" i="74"/>
  <c r="N39" i="74"/>
  <c r="L40" i="74"/>
  <c r="N40" i="74"/>
  <c r="L41" i="74"/>
  <c r="N41" i="74"/>
  <c r="L42" i="74"/>
  <c r="N42" i="74"/>
  <c r="L43" i="74"/>
  <c r="N43" i="74"/>
  <c r="L44" i="74"/>
  <c r="N44" i="74"/>
  <c r="L45" i="74"/>
  <c r="N45" i="74"/>
  <c r="L46" i="74"/>
  <c r="N46" i="74"/>
  <c r="L47" i="74"/>
  <c r="N47" i="74"/>
  <c r="L48" i="74"/>
  <c r="N48" i="74"/>
  <c r="L49" i="74"/>
  <c r="N49" i="74"/>
  <c r="L50" i="74"/>
  <c r="N50" i="74"/>
  <c r="L51" i="74"/>
  <c r="N51" i="74"/>
  <c r="L52" i="74"/>
  <c r="N52" i="74"/>
  <c r="L53" i="74"/>
  <c r="N53" i="74"/>
  <c r="L54" i="74"/>
  <c r="N54" i="74"/>
  <c r="L55" i="74"/>
  <c r="N55" i="74"/>
  <c r="L56" i="74"/>
  <c r="N56" i="74"/>
  <c r="L57" i="74"/>
  <c r="N57" i="74"/>
  <c r="L58" i="74"/>
  <c r="N58" i="74"/>
  <c r="L59" i="74"/>
  <c r="N59" i="74"/>
  <c r="L60" i="74"/>
  <c r="N60" i="74"/>
  <c r="L61" i="74"/>
  <c r="N61" i="74"/>
  <c r="L62" i="74"/>
  <c r="N62" i="74"/>
  <c r="L63" i="74"/>
  <c r="N63" i="74"/>
  <c r="L64" i="74"/>
  <c r="N64" i="74"/>
  <c r="L65" i="74"/>
  <c r="N65" i="74"/>
  <c r="L66" i="74"/>
  <c r="N66" i="74"/>
  <c r="L67" i="74"/>
  <c r="N67" i="74"/>
  <c r="L68" i="74"/>
  <c r="N68" i="74"/>
  <c r="L69" i="74"/>
  <c r="N69" i="74"/>
  <c r="L70" i="74"/>
  <c r="N70" i="74"/>
  <c r="L71" i="74"/>
  <c r="N71" i="74"/>
  <c r="L72" i="74"/>
  <c r="N72" i="74"/>
  <c r="D89" i="74"/>
  <c r="D91" i="74"/>
  <c r="D93" i="74"/>
  <c r="C99" i="74" s="1"/>
  <c r="J93" i="74"/>
  <c r="L93" i="74"/>
  <c r="D94" i="74"/>
  <c r="D96" i="74"/>
  <c r="M99" i="74"/>
  <c r="O99" i="74"/>
  <c r="P99" i="74"/>
  <c r="B100" i="74"/>
  <c r="M100" i="74"/>
  <c r="O100" i="74"/>
  <c r="B101" i="74"/>
  <c r="M101" i="74"/>
  <c r="O101" i="74"/>
  <c r="B102" i="74"/>
  <c r="M102" i="74"/>
  <c r="O102" i="74"/>
  <c r="B103" i="74"/>
  <c r="J103" i="74"/>
  <c r="L103" i="74"/>
  <c r="M103" i="74" s="1"/>
  <c r="P103" i="74" s="1"/>
  <c r="N103" i="74"/>
  <c r="O103" i="74"/>
  <c r="B104" i="74"/>
  <c r="L104" i="74"/>
  <c r="M104" i="74"/>
  <c r="N104" i="74"/>
  <c r="O104" i="74" s="1"/>
  <c r="B105" i="74"/>
  <c r="P105" i="74"/>
  <c r="M106" i="74"/>
  <c r="O106" i="74"/>
  <c r="M107" i="74"/>
  <c r="O107" i="74"/>
  <c r="P107" i="74" s="1"/>
  <c r="M108" i="74"/>
  <c r="O108" i="74"/>
  <c r="P108" i="74" s="1"/>
  <c r="M109" i="74"/>
  <c r="O109" i="74"/>
  <c r="M110" i="74"/>
  <c r="O110" i="74"/>
  <c r="P110" i="74" s="1"/>
  <c r="M111" i="74"/>
  <c r="O111" i="74"/>
  <c r="P111" i="74" s="1"/>
  <c r="M112" i="74"/>
  <c r="O112" i="74"/>
  <c r="M113" i="74"/>
  <c r="O113" i="74"/>
  <c r="P113" i="74" s="1"/>
  <c r="M114" i="74"/>
  <c r="O114" i="74"/>
  <c r="M115" i="74"/>
  <c r="O115" i="74"/>
  <c r="M116" i="74"/>
  <c r="O116" i="74"/>
  <c r="P116" i="74" s="1"/>
  <c r="M117" i="74"/>
  <c r="O117" i="74"/>
  <c r="M118" i="74"/>
  <c r="O118" i="74"/>
  <c r="P118" i="74"/>
  <c r="M119" i="74"/>
  <c r="O119" i="74"/>
  <c r="M120" i="74"/>
  <c r="O120" i="74"/>
  <c r="M121" i="74"/>
  <c r="O121" i="74"/>
  <c r="M122" i="74"/>
  <c r="O122" i="74"/>
  <c r="M123" i="74"/>
  <c r="O123" i="74"/>
  <c r="M124" i="74"/>
  <c r="O124" i="74"/>
  <c r="M125" i="74"/>
  <c r="O125" i="74"/>
  <c r="M126" i="74"/>
  <c r="O126" i="74"/>
  <c r="P126" i="74" s="1"/>
  <c r="M127" i="74"/>
  <c r="O127" i="74"/>
  <c r="M128" i="74"/>
  <c r="O128" i="74"/>
  <c r="M129" i="74"/>
  <c r="O129" i="74"/>
  <c r="M130" i="74"/>
  <c r="O130" i="74"/>
  <c r="M131" i="74"/>
  <c r="O131" i="74"/>
  <c r="P131" i="74"/>
  <c r="M132" i="74"/>
  <c r="O132" i="74"/>
  <c r="P132" i="74"/>
  <c r="M133" i="74"/>
  <c r="O133" i="74"/>
  <c r="P133" i="74"/>
  <c r="M134" i="74"/>
  <c r="O134" i="74"/>
  <c r="P134" i="74"/>
  <c r="M135" i="74"/>
  <c r="O135" i="74"/>
  <c r="P135" i="74"/>
  <c r="M136" i="74"/>
  <c r="O136" i="74"/>
  <c r="P136" i="74"/>
  <c r="M137" i="74"/>
  <c r="O137" i="74"/>
  <c r="P137" i="74"/>
  <c r="M138" i="74"/>
  <c r="O138" i="74"/>
  <c r="P138" i="74"/>
  <c r="M139" i="74"/>
  <c r="O139" i="74"/>
  <c r="P139" i="74"/>
  <c r="M140" i="74"/>
  <c r="O140" i="74"/>
  <c r="P140" i="74"/>
  <c r="M141" i="74"/>
  <c r="O141" i="74"/>
  <c r="P141" i="74"/>
  <c r="M142" i="74"/>
  <c r="O142" i="74"/>
  <c r="P142" i="74"/>
  <c r="M143" i="74"/>
  <c r="O143" i="74"/>
  <c r="P143" i="74"/>
  <c r="M144" i="74"/>
  <c r="O144" i="74"/>
  <c r="P144" i="74"/>
  <c r="M145" i="74"/>
  <c r="O145" i="74"/>
  <c r="P145" i="74"/>
  <c r="M146" i="74"/>
  <c r="O146" i="74"/>
  <c r="P146" i="74"/>
  <c r="M147" i="74"/>
  <c r="O147" i="74"/>
  <c r="P147" i="74"/>
  <c r="M148" i="74"/>
  <c r="O148" i="74"/>
  <c r="P148" i="74"/>
  <c r="M149" i="74"/>
  <c r="O149" i="74"/>
  <c r="P149" i="74"/>
  <c r="M150" i="74"/>
  <c r="O150" i="74"/>
  <c r="P150" i="74"/>
  <c r="M151" i="74"/>
  <c r="O151" i="74"/>
  <c r="P151" i="74"/>
  <c r="M152" i="74"/>
  <c r="O152" i="74"/>
  <c r="P152" i="74"/>
  <c r="M153" i="74"/>
  <c r="O153" i="74"/>
  <c r="P153" i="74"/>
  <c r="M154" i="74"/>
  <c r="O154" i="74"/>
  <c r="P154" i="74"/>
  <c r="P1" i="73"/>
  <c r="P83" i="73" s="1"/>
  <c r="I11" i="73"/>
  <c r="K11" i="73"/>
  <c r="C17" i="73"/>
  <c r="C18" i="73"/>
  <c r="C19" i="73"/>
  <c r="C20" i="73" s="1"/>
  <c r="C21" i="73" s="1"/>
  <c r="C22" i="73" s="1"/>
  <c r="C23" i="73" s="1"/>
  <c r="C24" i="73" s="1"/>
  <c r="C25" i="73" s="1"/>
  <c r="C26" i="73" s="1"/>
  <c r="C27" i="73"/>
  <c r="C28" i="73" s="1"/>
  <c r="C29" i="73" s="1"/>
  <c r="C30" i="73" s="1"/>
  <c r="C31" i="73" s="1"/>
  <c r="C32" i="73" s="1"/>
  <c r="C33" i="73" s="1"/>
  <c r="C34" i="73" s="1"/>
  <c r="C35" i="73"/>
  <c r="C36" i="73" s="1"/>
  <c r="C37" i="73" s="1"/>
  <c r="C38" i="73" s="1"/>
  <c r="C39" i="73" s="1"/>
  <c r="C40" i="73" s="1"/>
  <c r="C41" i="73" s="1"/>
  <c r="C42" i="73" s="1"/>
  <c r="C43" i="73" s="1"/>
  <c r="C44" i="73" s="1"/>
  <c r="C45" i="73" s="1"/>
  <c r="C46" i="73" s="1"/>
  <c r="C47" i="73" s="1"/>
  <c r="C48" i="73" s="1"/>
  <c r="C49" i="73" s="1"/>
  <c r="C50" i="73" s="1"/>
  <c r="C51" i="73" s="1"/>
  <c r="C52" i="73" s="1"/>
  <c r="C53" i="73" s="1"/>
  <c r="C54" i="73" s="1"/>
  <c r="C55" i="73" s="1"/>
  <c r="C56" i="73" s="1"/>
  <c r="C57" i="73" s="1"/>
  <c r="C58" i="73" s="1"/>
  <c r="C59" i="73" s="1"/>
  <c r="C60" i="73" s="1"/>
  <c r="C61" i="73" s="1"/>
  <c r="C62" i="73" s="1"/>
  <c r="C63" i="73" s="1"/>
  <c r="C64" i="73" s="1"/>
  <c r="C65" i="73" s="1"/>
  <c r="C66" i="73" s="1"/>
  <c r="C67" i="73" s="1"/>
  <c r="C68" i="73" s="1"/>
  <c r="C69" i="73" s="1"/>
  <c r="C70" i="73" s="1"/>
  <c r="C71" i="73" s="1"/>
  <c r="C72" i="73" s="1"/>
  <c r="K17" i="73"/>
  <c r="L17" i="73"/>
  <c r="M17" i="73"/>
  <c r="N17" i="73" s="1"/>
  <c r="B18" i="73"/>
  <c r="K18" i="73"/>
  <c r="L18" i="73" s="1"/>
  <c r="M18" i="73"/>
  <c r="N18" i="73" s="1"/>
  <c r="B19" i="73"/>
  <c r="K19" i="73"/>
  <c r="L19" i="73" s="1"/>
  <c r="M19" i="73"/>
  <c r="N19" i="73"/>
  <c r="B20" i="73"/>
  <c r="K20" i="73"/>
  <c r="L20" i="73" s="1"/>
  <c r="M20" i="73"/>
  <c r="N20" i="73"/>
  <c r="B21" i="73"/>
  <c r="K21" i="73"/>
  <c r="L21" i="73"/>
  <c r="M21" i="73"/>
  <c r="N21" i="73" s="1"/>
  <c r="B22" i="73"/>
  <c r="K22" i="73"/>
  <c r="L22" i="73"/>
  <c r="M22" i="73"/>
  <c r="N22" i="73" s="1"/>
  <c r="B23" i="73"/>
  <c r="I23" i="73"/>
  <c r="K23" i="73"/>
  <c r="L23" i="73"/>
  <c r="M23" i="73"/>
  <c r="N23" i="73"/>
  <c r="B24" i="73"/>
  <c r="K24" i="73"/>
  <c r="L24" i="73"/>
  <c r="M24" i="73"/>
  <c r="N24" i="73" s="1"/>
  <c r="B25" i="73"/>
  <c r="L26" i="73"/>
  <c r="N26" i="73"/>
  <c r="L27" i="73"/>
  <c r="N27" i="73"/>
  <c r="L28" i="73"/>
  <c r="N28" i="73"/>
  <c r="L29" i="73"/>
  <c r="N29" i="73"/>
  <c r="L30" i="73"/>
  <c r="N30" i="73"/>
  <c r="L31" i="73"/>
  <c r="N31" i="73"/>
  <c r="L32" i="73"/>
  <c r="N32" i="73"/>
  <c r="L33" i="73"/>
  <c r="N33" i="73"/>
  <c r="L34" i="73"/>
  <c r="N34" i="73"/>
  <c r="L35" i="73"/>
  <c r="N35" i="73"/>
  <c r="L36" i="73"/>
  <c r="N36" i="73"/>
  <c r="L37" i="73"/>
  <c r="N37" i="73"/>
  <c r="L38" i="73"/>
  <c r="N38" i="73"/>
  <c r="L39" i="73"/>
  <c r="N39" i="73"/>
  <c r="L40" i="73"/>
  <c r="N40" i="73"/>
  <c r="L41" i="73"/>
  <c r="N41" i="73"/>
  <c r="L42" i="73"/>
  <c r="O42" i="73" s="1"/>
  <c r="N42" i="73"/>
  <c r="L43" i="73"/>
  <c r="N43" i="73"/>
  <c r="L44" i="73"/>
  <c r="N44" i="73"/>
  <c r="L45" i="73"/>
  <c r="N45" i="73"/>
  <c r="L46" i="73"/>
  <c r="N46" i="73"/>
  <c r="O46" i="73" s="1"/>
  <c r="L47" i="73"/>
  <c r="N47" i="73"/>
  <c r="L48" i="73"/>
  <c r="N48" i="73"/>
  <c r="O48" i="73" s="1"/>
  <c r="L49" i="73"/>
  <c r="N49" i="73"/>
  <c r="L50" i="73"/>
  <c r="N50" i="73"/>
  <c r="L51" i="73"/>
  <c r="N51" i="73"/>
  <c r="L52" i="73"/>
  <c r="N52" i="73"/>
  <c r="L53" i="73"/>
  <c r="N53" i="73"/>
  <c r="L54" i="73"/>
  <c r="N54" i="73"/>
  <c r="L55" i="73"/>
  <c r="N55" i="73"/>
  <c r="L56" i="73"/>
  <c r="N56" i="73"/>
  <c r="O56" i="73" s="1"/>
  <c r="L57" i="73"/>
  <c r="N57" i="73"/>
  <c r="L58" i="73"/>
  <c r="N58" i="73"/>
  <c r="L59" i="73"/>
  <c r="N59" i="73"/>
  <c r="L60" i="73"/>
  <c r="N60" i="73"/>
  <c r="L61" i="73"/>
  <c r="N61" i="73"/>
  <c r="L62" i="73"/>
  <c r="N62" i="73"/>
  <c r="L63" i="73"/>
  <c r="N63" i="73"/>
  <c r="L64" i="73"/>
  <c r="N64" i="73"/>
  <c r="L65" i="73"/>
  <c r="N65" i="73"/>
  <c r="L66" i="73"/>
  <c r="N66" i="73"/>
  <c r="L67" i="73"/>
  <c r="N67" i="73"/>
  <c r="L68" i="73"/>
  <c r="N68" i="73"/>
  <c r="O68" i="73" s="1"/>
  <c r="L69" i="73"/>
  <c r="N69" i="73"/>
  <c r="L70" i="73"/>
  <c r="N70" i="73"/>
  <c r="L71" i="73"/>
  <c r="N71" i="73"/>
  <c r="L72" i="73"/>
  <c r="N72" i="73"/>
  <c r="D89" i="73"/>
  <c r="D91" i="73"/>
  <c r="D93" i="73"/>
  <c r="J93" i="73"/>
  <c r="L93" i="73"/>
  <c r="D94" i="73"/>
  <c r="D96" i="73"/>
  <c r="M99" i="73"/>
  <c r="O99" i="73"/>
  <c r="P99" i="73" s="1"/>
  <c r="B100" i="73"/>
  <c r="M100" i="73"/>
  <c r="O100" i="73"/>
  <c r="B101" i="73"/>
  <c r="M101" i="73"/>
  <c r="O101" i="73"/>
  <c r="B102" i="73"/>
  <c r="M102" i="73"/>
  <c r="O102" i="73"/>
  <c r="P102" i="73"/>
  <c r="B103" i="73"/>
  <c r="M103" i="73"/>
  <c r="O103" i="73"/>
  <c r="B104" i="73"/>
  <c r="J104" i="73"/>
  <c r="L104" i="73"/>
  <c r="M104" i="73" s="1"/>
  <c r="N104" i="73"/>
  <c r="O104" i="73"/>
  <c r="B105" i="73"/>
  <c r="L105" i="73"/>
  <c r="M105" i="73"/>
  <c r="N105" i="73"/>
  <c r="O105" i="73" s="1"/>
  <c r="P105" i="73" s="1"/>
  <c r="D106" i="73"/>
  <c r="B106" i="73"/>
  <c r="M106" i="73"/>
  <c r="O106" i="73"/>
  <c r="M107" i="73"/>
  <c r="O107" i="73"/>
  <c r="M108" i="73"/>
  <c r="O108" i="73"/>
  <c r="M109" i="73"/>
  <c r="O109" i="73"/>
  <c r="M110" i="73"/>
  <c r="O110" i="73"/>
  <c r="P110" i="73" s="1"/>
  <c r="M111" i="73"/>
  <c r="O111" i="73"/>
  <c r="M112" i="73"/>
  <c r="O112" i="73"/>
  <c r="M113" i="73"/>
  <c r="P113" i="73" s="1"/>
  <c r="O113" i="73"/>
  <c r="M114" i="73"/>
  <c r="O114" i="73"/>
  <c r="M115" i="73"/>
  <c r="O115" i="73"/>
  <c r="M116" i="73"/>
  <c r="O116" i="73"/>
  <c r="M117" i="73"/>
  <c r="O117" i="73"/>
  <c r="M118" i="73"/>
  <c r="O118" i="73"/>
  <c r="M119" i="73"/>
  <c r="O119" i="73"/>
  <c r="M120" i="73"/>
  <c r="O120" i="73"/>
  <c r="M121" i="73"/>
  <c r="O121" i="73"/>
  <c r="M122" i="73"/>
  <c r="O122" i="73"/>
  <c r="M123" i="73"/>
  <c r="O123" i="73"/>
  <c r="M124" i="73"/>
  <c r="O124" i="73"/>
  <c r="M125" i="73"/>
  <c r="O125" i="73"/>
  <c r="M126" i="73"/>
  <c r="O126" i="73"/>
  <c r="M127" i="73"/>
  <c r="O127" i="73"/>
  <c r="P127" i="73" s="1"/>
  <c r="M128" i="73"/>
  <c r="O128" i="73"/>
  <c r="M129" i="73"/>
  <c r="O129" i="73"/>
  <c r="M130" i="73"/>
  <c r="O130" i="73"/>
  <c r="M131" i="73"/>
  <c r="O131" i="73"/>
  <c r="P131" i="73"/>
  <c r="M132" i="73"/>
  <c r="O132" i="73"/>
  <c r="P132" i="73"/>
  <c r="M133" i="73"/>
  <c r="O133" i="73"/>
  <c r="P133" i="73"/>
  <c r="M134" i="73"/>
  <c r="O134" i="73"/>
  <c r="P134" i="73"/>
  <c r="M135" i="73"/>
  <c r="O135" i="73"/>
  <c r="P135" i="73"/>
  <c r="M136" i="73"/>
  <c r="O136" i="73"/>
  <c r="P136" i="73"/>
  <c r="M137" i="73"/>
  <c r="O137" i="73"/>
  <c r="P137" i="73"/>
  <c r="M138" i="73"/>
  <c r="O138" i="73"/>
  <c r="P138" i="73"/>
  <c r="M139" i="73"/>
  <c r="O139" i="73"/>
  <c r="P139" i="73"/>
  <c r="M140" i="73"/>
  <c r="O140" i="73"/>
  <c r="P140" i="73"/>
  <c r="M141" i="73"/>
  <c r="O141" i="73"/>
  <c r="P141" i="73"/>
  <c r="M142" i="73"/>
  <c r="O142" i="73"/>
  <c r="P142" i="73"/>
  <c r="M143" i="73"/>
  <c r="O143" i="73"/>
  <c r="P143" i="73"/>
  <c r="M144" i="73"/>
  <c r="O144" i="73"/>
  <c r="P144" i="73"/>
  <c r="M145" i="73"/>
  <c r="O145" i="73"/>
  <c r="P145" i="73"/>
  <c r="M146" i="73"/>
  <c r="O146" i="73"/>
  <c r="P146" i="73"/>
  <c r="M147" i="73"/>
  <c r="O147" i="73"/>
  <c r="P147" i="73"/>
  <c r="M148" i="73"/>
  <c r="O148" i="73"/>
  <c r="P148" i="73"/>
  <c r="M149" i="73"/>
  <c r="O149" i="73"/>
  <c r="P149" i="73"/>
  <c r="M150" i="73"/>
  <c r="O150" i="73"/>
  <c r="P150" i="73"/>
  <c r="M151" i="73"/>
  <c r="O151" i="73"/>
  <c r="P151" i="73"/>
  <c r="M152" i="73"/>
  <c r="O152" i="73"/>
  <c r="P152" i="73"/>
  <c r="M153" i="73"/>
  <c r="O153" i="73"/>
  <c r="P153" i="73"/>
  <c r="M154" i="73"/>
  <c r="O154" i="73"/>
  <c r="P154" i="73"/>
  <c r="P1" i="72"/>
  <c r="P83" i="72" s="1"/>
  <c r="I11" i="72"/>
  <c r="K11" i="72"/>
  <c r="C17" i="72"/>
  <c r="C18" i="72"/>
  <c r="C19" i="72" s="1"/>
  <c r="C20" i="72" s="1"/>
  <c r="C21" i="72" s="1"/>
  <c r="C22" i="72" s="1"/>
  <c r="C23" i="72"/>
  <c r="C24" i="72" s="1"/>
  <c r="C25" i="72" s="1"/>
  <c r="C26" i="72" s="1"/>
  <c r="C27" i="72" s="1"/>
  <c r="C28" i="72" s="1"/>
  <c r="C29" i="72" s="1"/>
  <c r="C30" i="72" s="1"/>
  <c r="C31" i="72" s="1"/>
  <c r="C32" i="72" s="1"/>
  <c r="C33" i="72" s="1"/>
  <c r="C34" i="72" s="1"/>
  <c r="C35" i="72" s="1"/>
  <c r="C36" i="72" s="1"/>
  <c r="C37" i="72" s="1"/>
  <c r="C38" i="72" s="1"/>
  <c r="C39" i="72" s="1"/>
  <c r="C40" i="72" s="1"/>
  <c r="C41" i="72" s="1"/>
  <c r="C42" i="72" s="1"/>
  <c r="C43" i="72" s="1"/>
  <c r="C44" i="72" s="1"/>
  <c r="K17" i="72"/>
  <c r="L17" i="72"/>
  <c r="M17" i="72"/>
  <c r="N17" i="72" s="1"/>
  <c r="B18" i="72"/>
  <c r="K18" i="72"/>
  <c r="L18" i="72" s="1"/>
  <c r="M18" i="72"/>
  <c r="N18" i="72"/>
  <c r="B19" i="72"/>
  <c r="K19" i="72"/>
  <c r="L19" i="72" s="1"/>
  <c r="M19" i="72"/>
  <c r="N19" i="72" s="1"/>
  <c r="B20" i="72"/>
  <c r="K20" i="72"/>
  <c r="L20" i="72"/>
  <c r="M20" i="72"/>
  <c r="N20" i="72" s="1"/>
  <c r="B21" i="72"/>
  <c r="I21" i="72"/>
  <c r="K21" i="72"/>
  <c r="L21" i="72" s="1"/>
  <c r="M21" i="72"/>
  <c r="N21" i="72"/>
  <c r="B22" i="72"/>
  <c r="K22" i="72"/>
  <c r="L22" i="72"/>
  <c r="M22" i="72"/>
  <c r="N22" i="72" s="1"/>
  <c r="O22" i="72" s="1"/>
  <c r="B23" i="72"/>
  <c r="L24" i="72"/>
  <c r="N24" i="72"/>
  <c r="L25" i="72"/>
  <c r="N25" i="72"/>
  <c r="L26" i="72"/>
  <c r="N26" i="72"/>
  <c r="L27" i="72"/>
  <c r="N27" i="72"/>
  <c r="L28" i="72"/>
  <c r="N28" i="72"/>
  <c r="L29" i="72"/>
  <c r="N29" i="72"/>
  <c r="L30" i="72"/>
  <c r="N30" i="72"/>
  <c r="L31" i="72"/>
  <c r="N31" i="72"/>
  <c r="L32" i="72"/>
  <c r="N32" i="72"/>
  <c r="L33" i="72"/>
  <c r="N33" i="72"/>
  <c r="L34" i="72"/>
  <c r="N34" i="72"/>
  <c r="L35" i="72"/>
  <c r="N35" i="72"/>
  <c r="L36" i="72"/>
  <c r="N36" i="72"/>
  <c r="L37" i="72"/>
  <c r="N37" i="72"/>
  <c r="L38" i="72"/>
  <c r="N38" i="72"/>
  <c r="L39" i="72"/>
  <c r="N39" i="72"/>
  <c r="L40" i="72"/>
  <c r="N40" i="72"/>
  <c r="L41" i="72"/>
  <c r="N41" i="72"/>
  <c r="L42" i="72"/>
  <c r="N42" i="72"/>
  <c r="L43" i="72"/>
  <c r="N43" i="72"/>
  <c r="L44" i="72"/>
  <c r="N44" i="72"/>
  <c r="L45" i="72"/>
  <c r="N45" i="72"/>
  <c r="L46" i="72"/>
  <c r="N46" i="72"/>
  <c r="L47" i="72"/>
  <c r="N47" i="72"/>
  <c r="L48" i="72"/>
  <c r="N48" i="72"/>
  <c r="L49" i="72"/>
  <c r="N49" i="72"/>
  <c r="L50" i="72"/>
  <c r="N50" i="72"/>
  <c r="O50" i="72" s="1"/>
  <c r="L51" i="72"/>
  <c r="N51" i="72"/>
  <c r="L52" i="72"/>
  <c r="N52" i="72"/>
  <c r="O52" i="72" s="1"/>
  <c r="L53" i="72"/>
  <c r="N53" i="72"/>
  <c r="L54" i="72"/>
  <c r="N54" i="72"/>
  <c r="L55" i="72"/>
  <c r="N55" i="72"/>
  <c r="L56" i="72"/>
  <c r="N56" i="72"/>
  <c r="O56" i="72" s="1"/>
  <c r="L57" i="72"/>
  <c r="N57" i="72"/>
  <c r="L58" i="72"/>
  <c r="N58" i="72"/>
  <c r="O58" i="72" s="1"/>
  <c r="L59" i="72"/>
  <c r="N59" i="72"/>
  <c r="L60" i="72"/>
  <c r="N60" i="72"/>
  <c r="O60" i="72" s="1"/>
  <c r="L61" i="72"/>
  <c r="N61" i="72"/>
  <c r="L62" i="72"/>
  <c r="N62" i="72"/>
  <c r="L63" i="72"/>
  <c r="N63" i="72"/>
  <c r="L64" i="72"/>
  <c r="N64" i="72"/>
  <c r="O64" i="72" s="1"/>
  <c r="L65" i="72"/>
  <c r="N65" i="72"/>
  <c r="L66" i="72"/>
  <c r="N66" i="72"/>
  <c r="L67" i="72"/>
  <c r="O67" i="72" s="1"/>
  <c r="N67" i="72"/>
  <c r="L68" i="72"/>
  <c r="N68" i="72"/>
  <c r="O68" i="72" s="1"/>
  <c r="L69" i="72"/>
  <c r="N69" i="72"/>
  <c r="L70" i="72"/>
  <c r="N70" i="72"/>
  <c r="O70" i="72" s="1"/>
  <c r="L71" i="72"/>
  <c r="N71" i="72"/>
  <c r="L72" i="72"/>
  <c r="N72" i="72"/>
  <c r="O72" i="72" s="1"/>
  <c r="D89" i="72"/>
  <c r="D91" i="72"/>
  <c r="D93" i="72"/>
  <c r="J93" i="72"/>
  <c r="L93" i="72"/>
  <c r="D94" i="72"/>
  <c r="D96" i="72"/>
  <c r="M99" i="72"/>
  <c r="O99" i="72"/>
  <c r="B100" i="72"/>
  <c r="M100" i="72"/>
  <c r="O100" i="72"/>
  <c r="B101" i="72"/>
  <c r="M101" i="72"/>
  <c r="O101" i="72"/>
  <c r="P101" i="72" s="1"/>
  <c r="B102" i="72"/>
  <c r="J102" i="72"/>
  <c r="L102" i="72"/>
  <c r="M102" i="72"/>
  <c r="N102" i="72"/>
  <c r="O102" i="72" s="1"/>
  <c r="B103" i="72"/>
  <c r="L103" i="72"/>
  <c r="M103" i="72" s="1"/>
  <c r="P103" i="72" s="1"/>
  <c r="N103" i="72"/>
  <c r="O103" i="72"/>
  <c r="D104" i="72"/>
  <c r="B104" i="72" s="1"/>
  <c r="M104" i="72"/>
  <c r="O104" i="72"/>
  <c r="M105" i="72"/>
  <c r="O105" i="72"/>
  <c r="P105" i="72" s="1"/>
  <c r="M106" i="72"/>
  <c r="O106" i="72"/>
  <c r="M107" i="72"/>
  <c r="O107" i="72"/>
  <c r="M108" i="72"/>
  <c r="O108" i="72"/>
  <c r="P108" i="72" s="1"/>
  <c r="M109" i="72"/>
  <c r="O109" i="72"/>
  <c r="M110" i="72"/>
  <c r="O110" i="72"/>
  <c r="M111" i="72"/>
  <c r="O111" i="72"/>
  <c r="M112" i="72"/>
  <c r="O112" i="72"/>
  <c r="P112" i="72" s="1"/>
  <c r="M113" i="72"/>
  <c r="O113" i="72"/>
  <c r="M114" i="72"/>
  <c r="O114" i="72"/>
  <c r="M115" i="72"/>
  <c r="O115" i="72"/>
  <c r="M116" i="72"/>
  <c r="O116" i="72"/>
  <c r="M117" i="72"/>
  <c r="O117" i="72"/>
  <c r="M118" i="72"/>
  <c r="O118" i="72"/>
  <c r="M119" i="72"/>
  <c r="O119" i="72"/>
  <c r="M120" i="72"/>
  <c r="O120" i="72"/>
  <c r="M121" i="72"/>
  <c r="O121" i="72"/>
  <c r="M122" i="72"/>
  <c r="O122" i="72"/>
  <c r="M123" i="72"/>
  <c r="O123" i="72"/>
  <c r="M124" i="72"/>
  <c r="O124" i="72"/>
  <c r="M125" i="72"/>
  <c r="O125" i="72"/>
  <c r="M126" i="72"/>
  <c r="O126" i="72"/>
  <c r="M127" i="72"/>
  <c r="O127" i="72"/>
  <c r="M128" i="72"/>
  <c r="O128" i="72"/>
  <c r="M129" i="72"/>
  <c r="O129" i="72"/>
  <c r="M130" i="72"/>
  <c r="O130" i="72"/>
  <c r="M131" i="72"/>
  <c r="O131" i="72"/>
  <c r="P131" i="72"/>
  <c r="M132" i="72"/>
  <c r="O132" i="72"/>
  <c r="P132" i="72"/>
  <c r="M133" i="72"/>
  <c r="O133" i="72"/>
  <c r="P133" i="72"/>
  <c r="M134" i="72"/>
  <c r="O134" i="72"/>
  <c r="P134" i="72"/>
  <c r="M135" i="72"/>
  <c r="O135" i="72"/>
  <c r="P135" i="72"/>
  <c r="M136" i="72"/>
  <c r="O136" i="72"/>
  <c r="P136" i="72"/>
  <c r="M137" i="72"/>
  <c r="O137" i="72"/>
  <c r="P137" i="72"/>
  <c r="M138" i="72"/>
  <c r="O138" i="72"/>
  <c r="P138" i="72"/>
  <c r="M139" i="72"/>
  <c r="O139" i="72"/>
  <c r="P139" i="72"/>
  <c r="M140" i="72"/>
  <c r="O140" i="72"/>
  <c r="P140" i="72"/>
  <c r="M141" i="72"/>
  <c r="O141" i="72"/>
  <c r="P141" i="72"/>
  <c r="M142" i="72"/>
  <c r="O142" i="72"/>
  <c r="P142" i="72"/>
  <c r="M143" i="72"/>
  <c r="O143" i="72"/>
  <c r="P143" i="72"/>
  <c r="M144" i="72"/>
  <c r="O144" i="72"/>
  <c r="P144" i="72"/>
  <c r="M145" i="72"/>
  <c r="O145" i="72"/>
  <c r="P145" i="72"/>
  <c r="M146" i="72"/>
  <c r="O146" i="72"/>
  <c r="P146" i="72"/>
  <c r="M147" i="72"/>
  <c r="O147" i="72"/>
  <c r="P147" i="72"/>
  <c r="M148" i="72"/>
  <c r="O148" i="72"/>
  <c r="P148" i="72"/>
  <c r="M149" i="72"/>
  <c r="O149" i="72"/>
  <c r="P149" i="72"/>
  <c r="M150" i="72"/>
  <c r="O150" i="72"/>
  <c r="P150" i="72"/>
  <c r="M151" i="72"/>
  <c r="O151" i="72"/>
  <c r="P151" i="72"/>
  <c r="M152" i="72"/>
  <c r="O152" i="72"/>
  <c r="P152" i="72"/>
  <c r="M153" i="72"/>
  <c r="O153" i="72"/>
  <c r="P153" i="72"/>
  <c r="M154" i="72"/>
  <c r="O154" i="72"/>
  <c r="P154" i="72"/>
  <c r="P1" i="71"/>
  <c r="P83" i="71" s="1"/>
  <c r="I11" i="71"/>
  <c r="K11" i="71"/>
  <c r="C17" i="71"/>
  <c r="C18" i="71"/>
  <c r="C19" i="71" s="1"/>
  <c r="C20" i="71" s="1"/>
  <c r="C21" i="71" s="1"/>
  <c r="C22" i="71" s="1"/>
  <c r="C23" i="71" s="1"/>
  <c r="C24" i="71" s="1"/>
  <c r="C25" i="71" s="1"/>
  <c r="C26" i="71"/>
  <c r="C27" i="71" s="1"/>
  <c r="C28" i="71" s="1"/>
  <c r="C29" i="71" s="1"/>
  <c r="C30" i="71" s="1"/>
  <c r="C31" i="71" s="1"/>
  <c r="C32" i="71" s="1"/>
  <c r="C33" i="71" s="1"/>
  <c r="C34" i="71" s="1"/>
  <c r="C35" i="71" s="1"/>
  <c r="C36" i="71" s="1"/>
  <c r="C37" i="71" s="1"/>
  <c r="C38" i="71" s="1"/>
  <c r="C39" i="71" s="1"/>
  <c r="C40" i="71" s="1"/>
  <c r="C41" i="71" s="1"/>
  <c r="C42" i="71" s="1"/>
  <c r="C43" i="71" s="1"/>
  <c r="C44" i="71" s="1"/>
  <c r="C45" i="71" s="1"/>
  <c r="C46" i="71" s="1"/>
  <c r="C47" i="71" s="1"/>
  <c r="C48" i="71" s="1"/>
  <c r="C49" i="71" s="1"/>
  <c r="C50" i="71" s="1"/>
  <c r="C51" i="71" s="1"/>
  <c r="C52" i="71" s="1"/>
  <c r="C53" i="71" s="1"/>
  <c r="C54" i="71" s="1"/>
  <c r="C55" i="71" s="1"/>
  <c r="C56" i="71" s="1"/>
  <c r="C57" i="71" s="1"/>
  <c r="C58" i="71" s="1"/>
  <c r="C59" i="71" s="1"/>
  <c r="C60" i="71" s="1"/>
  <c r="C61" i="71" s="1"/>
  <c r="C62" i="71" s="1"/>
  <c r="C63" i="71" s="1"/>
  <c r="C64" i="71" s="1"/>
  <c r="C65" i="71" s="1"/>
  <c r="C66" i="71" s="1"/>
  <c r="C67" i="71" s="1"/>
  <c r="C68" i="71" s="1"/>
  <c r="C69" i="71" s="1"/>
  <c r="C70" i="71" s="1"/>
  <c r="C71" i="71" s="1"/>
  <c r="C72" i="71" s="1"/>
  <c r="K17" i="71"/>
  <c r="L17" i="71"/>
  <c r="M17" i="71"/>
  <c r="N17" i="71" s="1"/>
  <c r="B18" i="71"/>
  <c r="K18" i="71"/>
  <c r="L18" i="71" s="1"/>
  <c r="O18" i="71" s="1"/>
  <c r="M18" i="71"/>
  <c r="N18" i="71"/>
  <c r="B19" i="71"/>
  <c r="K19" i="71"/>
  <c r="L19" i="71"/>
  <c r="M19" i="71"/>
  <c r="N19" i="71" s="1"/>
  <c r="B20" i="71"/>
  <c r="K20" i="71"/>
  <c r="L20" i="71"/>
  <c r="M20" i="71"/>
  <c r="N20" i="71" s="1"/>
  <c r="B21" i="71"/>
  <c r="K21" i="71"/>
  <c r="L21" i="71" s="1"/>
  <c r="M21" i="71"/>
  <c r="N21" i="71"/>
  <c r="B22" i="71"/>
  <c r="K22" i="71"/>
  <c r="L22" i="71" s="1"/>
  <c r="M22" i="71"/>
  <c r="N22" i="71" s="1"/>
  <c r="B23" i="71"/>
  <c r="K23" i="71"/>
  <c r="L23" i="71"/>
  <c r="M23" i="71"/>
  <c r="N23" i="71" s="1"/>
  <c r="B24" i="71"/>
  <c r="K24" i="71"/>
  <c r="L24" i="71" s="1"/>
  <c r="M24" i="71"/>
  <c r="N24" i="71"/>
  <c r="B25" i="71"/>
  <c r="I25" i="71"/>
  <c r="K25" i="71"/>
  <c r="L25" i="71"/>
  <c r="M25" i="71"/>
  <c r="N25" i="71" s="1"/>
  <c r="B26" i="71"/>
  <c r="K26" i="71"/>
  <c r="L26" i="71"/>
  <c r="M26" i="71"/>
  <c r="N26" i="71" s="1"/>
  <c r="B27" i="71"/>
  <c r="L28" i="71"/>
  <c r="N28" i="71"/>
  <c r="L29" i="71"/>
  <c r="N29" i="71"/>
  <c r="L30" i="71"/>
  <c r="N30" i="71"/>
  <c r="L31" i="71"/>
  <c r="N31" i="71"/>
  <c r="L32" i="71"/>
  <c r="N32" i="71"/>
  <c r="L33" i="71"/>
  <c r="O33" i="71" s="1"/>
  <c r="N33" i="71"/>
  <c r="L34" i="71"/>
  <c r="N34" i="71"/>
  <c r="O34" i="71"/>
  <c r="L35" i="71"/>
  <c r="N35" i="71"/>
  <c r="L36" i="71"/>
  <c r="N36" i="71"/>
  <c r="O36" i="71" s="1"/>
  <c r="L37" i="71"/>
  <c r="N37" i="71"/>
  <c r="L38" i="71"/>
  <c r="N38" i="71"/>
  <c r="O38" i="71" s="1"/>
  <c r="L39" i="71"/>
  <c r="N39" i="71"/>
  <c r="L40" i="71"/>
  <c r="N40" i="71"/>
  <c r="O40" i="71" s="1"/>
  <c r="L41" i="71"/>
  <c r="N41" i="71"/>
  <c r="L42" i="71"/>
  <c r="N42" i="71"/>
  <c r="O42" i="71" s="1"/>
  <c r="L43" i="71"/>
  <c r="O43" i="71" s="1"/>
  <c r="N43" i="71"/>
  <c r="L44" i="71"/>
  <c r="N44" i="71"/>
  <c r="O44" i="71" s="1"/>
  <c r="L45" i="71"/>
  <c r="N45" i="71"/>
  <c r="L46" i="71"/>
  <c r="N46" i="71"/>
  <c r="O46" i="71" s="1"/>
  <c r="L47" i="71"/>
  <c r="N47" i="71"/>
  <c r="L48" i="71"/>
  <c r="N48" i="71"/>
  <c r="O48" i="71" s="1"/>
  <c r="L49" i="71"/>
  <c r="N49" i="71"/>
  <c r="L50" i="71"/>
  <c r="N50" i="71"/>
  <c r="O50" i="71" s="1"/>
  <c r="L51" i="71"/>
  <c r="N51" i="71"/>
  <c r="L52" i="71"/>
  <c r="N52" i="71"/>
  <c r="O52" i="71" s="1"/>
  <c r="L53" i="71"/>
  <c r="N53" i="71"/>
  <c r="L54" i="71"/>
  <c r="N54" i="71"/>
  <c r="L55" i="71"/>
  <c r="N55" i="71"/>
  <c r="L56" i="71"/>
  <c r="N56" i="71"/>
  <c r="O56" i="71" s="1"/>
  <c r="L57" i="71"/>
  <c r="N57" i="71"/>
  <c r="L58" i="71"/>
  <c r="N58" i="71"/>
  <c r="L59" i="71"/>
  <c r="N59" i="71"/>
  <c r="L60" i="71"/>
  <c r="N60" i="71"/>
  <c r="O60" i="71" s="1"/>
  <c r="L61" i="71"/>
  <c r="N61" i="71"/>
  <c r="L62" i="71"/>
  <c r="N62" i="71"/>
  <c r="O62" i="71" s="1"/>
  <c r="L63" i="71"/>
  <c r="N63" i="71"/>
  <c r="L64" i="71"/>
  <c r="N64" i="71"/>
  <c r="O64" i="71" s="1"/>
  <c r="L65" i="71"/>
  <c r="N65" i="71"/>
  <c r="L66" i="71"/>
  <c r="N66" i="71"/>
  <c r="O66" i="71" s="1"/>
  <c r="L67" i="71"/>
  <c r="O67" i="71" s="1"/>
  <c r="N67" i="71"/>
  <c r="L68" i="71"/>
  <c r="N68" i="71"/>
  <c r="O68" i="71" s="1"/>
  <c r="L69" i="71"/>
  <c r="N69" i="71"/>
  <c r="L70" i="71"/>
  <c r="N70" i="71"/>
  <c r="L71" i="71"/>
  <c r="N71" i="71"/>
  <c r="L72" i="71"/>
  <c r="N72" i="71"/>
  <c r="D89" i="71"/>
  <c r="D91" i="71"/>
  <c r="D93" i="71"/>
  <c r="C99" i="71"/>
  <c r="J93" i="71"/>
  <c r="L93" i="71"/>
  <c r="D94" i="71"/>
  <c r="D96" i="71"/>
  <c r="M99" i="71"/>
  <c r="O99" i="71"/>
  <c r="B100" i="71"/>
  <c r="M100" i="71"/>
  <c r="O100" i="71"/>
  <c r="B101" i="71"/>
  <c r="M101" i="71"/>
  <c r="O101" i="71"/>
  <c r="B102" i="71"/>
  <c r="M102" i="71"/>
  <c r="O102" i="71"/>
  <c r="B103" i="71"/>
  <c r="M103" i="71"/>
  <c r="O103" i="71"/>
  <c r="B104" i="71"/>
  <c r="M104" i="71"/>
  <c r="O104" i="71"/>
  <c r="B105" i="71"/>
  <c r="M105" i="71"/>
  <c r="O105" i="71"/>
  <c r="P105" i="71" s="1"/>
  <c r="B106" i="71"/>
  <c r="J106" i="71"/>
  <c r="L106" i="71"/>
  <c r="M106" i="71"/>
  <c r="N106" i="71"/>
  <c r="O106" i="71" s="1"/>
  <c r="B107" i="71"/>
  <c r="L107" i="71"/>
  <c r="M107" i="71"/>
  <c r="N107" i="71"/>
  <c r="O107" i="71" s="1"/>
  <c r="D108" i="71"/>
  <c r="B108" i="71" s="1"/>
  <c r="M108" i="71"/>
  <c r="O108" i="71"/>
  <c r="M109" i="71"/>
  <c r="O109" i="71"/>
  <c r="M110" i="71"/>
  <c r="O110" i="71"/>
  <c r="M111" i="71"/>
  <c r="O111" i="71"/>
  <c r="M112" i="71"/>
  <c r="O112" i="71"/>
  <c r="M113" i="71"/>
  <c r="O113" i="71"/>
  <c r="M114" i="71"/>
  <c r="O114" i="71"/>
  <c r="M115" i="71"/>
  <c r="O115" i="71"/>
  <c r="M116" i="71"/>
  <c r="O116" i="71"/>
  <c r="M117" i="71"/>
  <c r="O117" i="71"/>
  <c r="M118" i="71"/>
  <c r="O118" i="71"/>
  <c r="M119" i="71"/>
  <c r="O119" i="71"/>
  <c r="M120" i="71"/>
  <c r="O120" i="71"/>
  <c r="M121" i="71"/>
  <c r="O121" i="71"/>
  <c r="M122" i="71"/>
  <c r="O122" i="71"/>
  <c r="M123" i="71"/>
  <c r="O123" i="71"/>
  <c r="M124" i="71"/>
  <c r="O124" i="71"/>
  <c r="M125" i="71"/>
  <c r="O125" i="71"/>
  <c r="M126" i="71"/>
  <c r="O126" i="71"/>
  <c r="M127" i="71"/>
  <c r="O127" i="71"/>
  <c r="M128" i="71"/>
  <c r="O128" i="71"/>
  <c r="M129" i="71"/>
  <c r="O129" i="71"/>
  <c r="M130" i="71"/>
  <c r="O130" i="71"/>
  <c r="M131" i="71"/>
  <c r="O131" i="71"/>
  <c r="P131" i="71"/>
  <c r="M132" i="71"/>
  <c r="O132" i="71"/>
  <c r="P132" i="71"/>
  <c r="M133" i="71"/>
  <c r="O133" i="71"/>
  <c r="P133" i="71"/>
  <c r="M134" i="71"/>
  <c r="O134" i="71"/>
  <c r="P134" i="71"/>
  <c r="M135" i="71"/>
  <c r="O135" i="71"/>
  <c r="P135" i="71"/>
  <c r="M136" i="71"/>
  <c r="O136" i="71"/>
  <c r="P136" i="71"/>
  <c r="M137" i="71"/>
  <c r="O137" i="71"/>
  <c r="P137" i="71"/>
  <c r="M138" i="71"/>
  <c r="O138" i="71"/>
  <c r="P138" i="71"/>
  <c r="M139" i="71"/>
  <c r="O139" i="71"/>
  <c r="P139" i="71"/>
  <c r="M140" i="71"/>
  <c r="O140" i="71"/>
  <c r="P140" i="71"/>
  <c r="M141" i="71"/>
  <c r="O141" i="71"/>
  <c r="P141" i="71"/>
  <c r="M142" i="71"/>
  <c r="O142" i="71"/>
  <c r="P142" i="71"/>
  <c r="M143" i="71"/>
  <c r="O143" i="71"/>
  <c r="P143" i="71"/>
  <c r="M144" i="71"/>
  <c r="O144" i="71"/>
  <c r="P144" i="71"/>
  <c r="M145" i="71"/>
  <c r="O145" i="71"/>
  <c r="P145" i="71"/>
  <c r="M146" i="71"/>
  <c r="O146" i="71"/>
  <c r="P146" i="71"/>
  <c r="M147" i="71"/>
  <c r="O147" i="71"/>
  <c r="P147" i="71"/>
  <c r="M148" i="71"/>
  <c r="O148" i="71"/>
  <c r="P148" i="71"/>
  <c r="M149" i="71"/>
  <c r="O149" i="71"/>
  <c r="P149" i="71"/>
  <c r="M150" i="71"/>
  <c r="O150" i="71"/>
  <c r="P150" i="71"/>
  <c r="M151" i="71"/>
  <c r="O151" i="71"/>
  <c r="P151" i="71"/>
  <c r="M152" i="71"/>
  <c r="O152" i="71"/>
  <c r="P152" i="71"/>
  <c r="M153" i="71"/>
  <c r="O153" i="71"/>
  <c r="P153" i="71"/>
  <c r="M154" i="71"/>
  <c r="O154" i="71"/>
  <c r="P154" i="71"/>
  <c r="P1" i="70"/>
  <c r="P83" i="70" s="1"/>
  <c r="I11" i="70"/>
  <c r="K11" i="70"/>
  <c r="C17" i="70"/>
  <c r="C18" i="70"/>
  <c r="C19" i="70"/>
  <c r="C20" i="70" s="1"/>
  <c r="C21" i="70" s="1"/>
  <c r="C22" i="70" s="1"/>
  <c r="C23" i="70" s="1"/>
  <c r="C24" i="70" s="1"/>
  <c r="C25" i="70" s="1"/>
  <c r="C26" i="70" s="1"/>
  <c r="C27" i="70" s="1"/>
  <c r="C28" i="70" s="1"/>
  <c r="C29" i="70" s="1"/>
  <c r="C30" i="70" s="1"/>
  <c r="C31" i="70" s="1"/>
  <c r="C32" i="70" s="1"/>
  <c r="C33" i="70" s="1"/>
  <c r="C34" i="70" s="1"/>
  <c r="C35" i="70" s="1"/>
  <c r="C36" i="70" s="1"/>
  <c r="C37" i="70" s="1"/>
  <c r="C38" i="70" s="1"/>
  <c r="C39" i="70" s="1"/>
  <c r="C40" i="70" s="1"/>
  <c r="C41" i="70" s="1"/>
  <c r="C42" i="70" s="1"/>
  <c r="C43" i="70" s="1"/>
  <c r="C44" i="70" s="1"/>
  <c r="C45" i="70" s="1"/>
  <c r="C46" i="70" s="1"/>
  <c r="C47" i="70" s="1"/>
  <c r="C48" i="70" s="1"/>
  <c r="C49" i="70" s="1"/>
  <c r="C50" i="70" s="1"/>
  <c r="C51" i="70" s="1"/>
  <c r="C52" i="70" s="1"/>
  <c r="C53" i="70" s="1"/>
  <c r="C54" i="70" s="1"/>
  <c r="C55" i="70" s="1"/>
  <c r="C56" i="70" s="1"/>
  <c r="C57" i="70" s="1"/>
  <c r="C58" i="70" s="1"/>
  <c r="C59" i="70" s="1"/>
  <c r="C60" i="70" s="1"/>
  <c r="C61" i="70" s="1"/>
  <c r="C62" i="70" s="1"/>
  <c r="C63" i="70" s="1"/>
  <c r="C64" i="70" s="1"/>
  <c r="C65" i="70" s="1"/>
  <c r="C66" i="70" s="1"/>
  <c r="C67" i="70" s="1"/>
  <c r="C68" i="70" s="1"/>
  <c r="C69" i="70" s="1"/>
  <c r="C70" i="70" s="1"/>
  <c r="C71" i="70" s="1"/>
  <c r="C72" i="70" s="1"/>
  <c r="K17" i="70"/>
  <c r="L17" i="70"/>
  <c r="M17" i="70"/>
  <c r="N17" i="70" s="1"/>
  <c r="O17" i="70" s="1"/>
  <c r="B18" i="70"/>
  <c r="K18" i="70"/>
  <c r="L18" i="70" s="1"/>
  <c r="O18" i="70" s="1"/>
  <c r="M18" i="70"/>
  <c r="N18" i="70"/>
  <c r="B19" i="70"/>
  <c r="K19" i="70"/>
  <c r="L19" i="70"/>
  <c r="M19" i="70"/>
  <c r="N19" i="70" s="1"/>
  <c r="B20" i="70"/>
  <c r="K20" i="70"/>
  <c r="L20" i="70" s="1"/>
  <c r="M20" i="70"/>
  <c r="N20" i="70"/>
  <c r="B21" i="70"/>
  <c r="K21" i="70"/>
  <c r="L21" i="70" s="1"/>
  <c r="M21" i="70"/>
  <c r="N21" i="70"/>
  <c r="B22" i="70"/>
  <c r="K22" i="70"/>
  <c r="L22" i="70" s="1"/>
  <c r="M22" i="70"/>
  <c r="N22" i="70" s="1"/>
  <c r="B23" i="70"/>
  <c r="K23" i="70"/>
  <c r="L23" i="70"/>
  <c r="M23" i="70"/>
  <c r="N23" i="70" s="1"/>
  <c r="O23" i="70" s="1"/>
  <c r="B24" i="70"/>
  <c r="K24" i="70"/>
  <c r="L24" i="70"/>
  <c r="M24" i="70"/>
  <c r="N24" i="70"/>
  <c r="B25" i="70"/>
  <c r="K25" i="70"/>
  <c r="L25" i="70" s="1"/>
  <c r="M25" i="70"/>
  <c r="N25" i="70"/>
  <c r="O25" i="70"/>
  <c r="B26" i="70"/>
  <c r="I26" i="70"/>
  <c r="K26" i="70"/>
  <c r="L26" i="70" s="1"/>
  <c r="O26" i="70" s="1"/>
  <c r="M26" i="70"/>
  <c r="N26" i="70"/>
  <c r="B27" i="70"/>
  <c r="K27" i="70"/>
  <c r="L27" i="70"/>
  <c r="M27" i="70"/>
  <c r="N27" i="70" s="1"/>
  <c r="O27" i="70" s="1"/>
  <c r="B28" i="70"/>
  <c r="L29" i="70"/>
  <c r="N29" i="70"/>
  <c r="L30" i="70"/>
  <c r="N30" i="70"/>
  <c r="L31" i="70"/>
  <c r="N31" i="70"/>
  <c r="L32" i="70"/>
  <c r="N32" i="70"/>
  <c r="L33" i="70"/>
  <c r="N33" i="70"/>
  <c r="O33" i="70" s="1"/>
  <c r="L34" i="70"/>
  <c r="N34" i="70"/>
  <c r="L35" i="70"/>
  <c r="N35" i="70"/>
  <c r="L36" i="70"/>
  <c r="N36" i="70"/>
  <c r="L37" i="70"/>
  <c r="N37" i="70"/>
  <c r="L38" i="70"/>
  <c r="N38" i="70"/>
  <c r="L39" i="70"/>
  <c r="N39" i="70"/>
  <c r="L40" i="70"/>
  <c r="N40" i="70"/>
  <c r="L41" i="70"/>
  <c r="N41" i="70"/>
  <c r="L42" i="70"/>
  <c r="N42" i="70"/>
  <c r="L43" i="70"/>
  <c r="N43" i="70"/>
  <c r="L44" i="70"/>
  <c r="N44" i="70"/>
  <c r="L45" i="70"/>
  <c r="N45" i="70"/>
  <c r="L46" i="70"/>
  <c r="N46" i="70"/>
  <c r="L47" i="70"/>
  <c r="N47" i="70"/>
  <c r="L48" i="70"/>
  <c r="N48" i="70"/>
  <c r="L49" i="70"/>
  <c r="N49" i="70"/>
  <c r="L50" i="70"/>
  <c r="N50" i="70"/>
  <c r="L51" i="70"/>
  <c r="N51" i="70"/>
  <c r="L52" i="70"/>
  <c r="N52" i="70"/>
  <c r="L53" i="70"/>
  <c r="N53" i="70"/>
  <c r="L54" i="70"/>
  <c r="N54" i="70"/>
  <c r="L55" i="70"/>
  <c r="N55" i="70"/>
  <c r="L56" i="70"/>
  <c r="N56" i="70"/>
  <c r="L57" i="70"/>
  <c r="N57" i="70"/>
  <c r="L58" i="70"/>
  <c r="N58" i="70"/>
  <c r="L59" i="70"/>
  <c r="N59" i="70"/>
  <c r="L60" i="70"/>
  <c r="N60" i="70"/>
  <c r="L61" i="70"/>
  <c r="N61" i="70"/>
  <c r="L62" i="70"/>
  <c r="N62" i="70"/>
  <c r="L63" i="70"/>
  <c r="N63" i="70"/>
  <c r="L64" i="70"/>
  <c r="N64" i="70"/>
  <c r="L65" i="70"/>
  <c r="N65" i="70"/>
  <c r="L66" i="70"/>
  <c r="N66" i="70"/>
  <c r="L67" i="70"/>
  <c r="N67" i="70"/>
  <c r="L68" i="70"/>
  <c r="N68" i="70"/>
  <c r="L69" i="70"/>
  <c r="N69" i="70"/>
  <c r="L70" i="70"/>
  <c r="N70" i="70"/>
  <c r="L71" i="70"/>
  <c r="N71" i="70"/>
  <c r="L72" i="70"/>
  <c r="N72" i="70"/>
  <c r="D89" i="70"/>
  <c r="D90" i="70"/>
  <c r="D90" i="71"/>
  <c r="D90" i="72" s="1"/>
  <c r="D90" i="73" s="1"/>
  <c r="D88" i="74" s="1"/>
  <c r="D91" i="70"/>
  <c r="D93" i="70"/>
  <c r="C99" i="70" s="1"/>
  <c r="J93" i="70"/>
  <c r="L93" i="70"/>
  <c r="D94" i="70"/>
  <c r="D96" i="70"/>
  <c r="J99" i="70"/>
  <c r="M99" i="70"/>
  <c r="O99" i="70"/>
  <c r="B100" i="70"/>
  <c r="J100" i="70"/>
  <c r="M100" i="70"/>
  <c r="O100" i="70"/>
  <c r="B101" i="70"/>
  <c r="J101" i="70"/>
  <c r="M101" i="70"/>
  <c r="O101" i="70"/>
  <c r="B102" i="70"/>
  <c r="J102" i="70"/>
  <c r="M102" i="70"/>
  <c r="O102" i="70"/>
  <c r="B103" i="70"/>
  <c r="J103" i="70"/>
  <c r="M103" i="70"/>
  <c r="O103" i="70"/>
  <c r="B104" i="70"/>
  <c r="J104" i="70"/>
  <c r="M104" i="70"/>
  <c r="O104" i="70"/>
  <c r="B105" i="70"/>
  <c r="J105" i="70"/>
  <c r="M105" i="70"/>
  <c r="O105" i="70"/>
  <c r="B106" i="70"/>
  <c r="J106" i="70"/>
  <c r="M106" i="70"/>
  <c r="O106" i="70"/>
  <c r="B107" i="70"/>
  <c r="J107" i="70"/>
  <c r="L107" i="70"/>
  <c r="M107" i="70"/>
  <c r="N107" i="70"/>
  <c r="O107" i="70"/>
  <c r="B108" i="70"/>
  <c r="L108" i="70"/>
  <c r="M108" i="70" s="1"/>
  <c r="N108" i="70"/>
  <c r="O108" i="70"/>
  <c r="D109" i="70"/>
  <c r="B109" i="70" s="1"/>
  <c r="M109" i="70"/>
  <c r="O109" i="70"/>
  <c r="M110" i="70"/>
  <c r="O110" i="70"/>
  <c r="M111" i="70"/>
  <c r="O111" i="70"/>
  <c r="M112" i="70"/>
  <c r="O112" i="70"/>
  <c r="P112" i="70" s="1"/>
  <c r="M113" i="70"/>
  <c r="O113" i="70"/>
  <c r="M114" i="70"/>
  <c r="P114" i="70"/>
  <c r="O114" i="70"/>
  <c r="M115" i="70"/>
  <c r="O115" i="70"/>
  <c r="P115" i="70" s="1"/>
  <c r="M116" i="70"/>
  <c r="O116" i="70"/>
  <c r="M117" i="70"/>
  <c r="O117" i="70"/>
  <c r="P117" i="70" s="1"/>
  <c r="M118" i="70"/>
  <c r="O118" i="70"/>
  <c r="M119" i="70"/>
  <c r="O119" i="70"/>
  <c r="M120" i="70"/>
  <c r="O120" i="70"/>
  <c r="M121" i="70"/>
  <c r="O121" i="70"/>
  <c r="M122" i="70"/>
  <c r="O122" i="70"/>
  <c r="M123" i="70"/>
  <c r="O123" i="70"/>
  <c r="P123" i="70"/>
  <c r="M124" i="70"/>
  <c r="O124" i="70"/>
  <c r="M125" i="70"/>
  <c r="O125" i="70"/>
  <c r="M126" i="70"/>
  <c r="O126" i="70"/>
  <c r="M127" i="70"/>
  <c r="O127" i="70"/>
  <c r="P127" i="70" s="1"/>
  <c r="M128" i="70"/>
  <c r="O128" i="70"/>
  <c r="M129" i="70"/>
  <c r="O129" i="70"/>
  <c r="M130" i="70"/>
  <c r="O130" i="70"/>
  <c r="M131" i="70"/>
  <c r="O131" i="70"/>
  <c r="P131" i="70"/>
  <c r="M132" i="70"/>
  <c r="O132" i="70"/>
  <c r="P132" i="70"/>
  <c r="M133" i="70"/>
  <c r="O133" i="70"/>
  <c r="P133" i="70"/>
  <c r="M134" i="70"/>
  <c r="O134" i="70"/>
  <c r="P134" i="70"/>
  <c r="M135" i="70"/>
  <c r="O135" i="70"/>
  <c r="P135" i="70"/>
  <c r="M136" i="70"/>
  <c r="O136" i="70"/>
  <c r="P136" i="70"/>
  <c r="M137" i="70"/>
  <c r="O137" i="70"/>
  <c r="P137" i="70"/>
  <c r="M138" i="70"/>
  <c r="O138" i="70"/>
  <c r="P138" i="70"/>
  <c r="M139" i="70"/>
  <c r="O139" i="70"/>
  <c r="P139" i="70"/>
  <c r="M140" i="70"/>
  <c r="O140" i="70"/>
  <c r="P140" i="70"/>
  <c r="M141" i="70"/>
  <c r="O141" i="70"/>
  <c r="P141" i="70"/>
  <c r="M142" i="70"/>
  <c r="O142" i="70"/>
  <c r="P142" i="70"/>
  <c r="M143" i="70"/>
  <c r="O143" i="70"/>
  <c r="P143" i="70"/>
  <c r="M144" i="70"/>
  <c r="O144" i="70"/>
  <c r="P144" i="70"/>
  <c r="M145" i="70"/>
  <c r="O145" i="70"/>
  <c r="P145" i="70"/>
  <c r="M146" i="70"/>
  <c r="O146" i="70"/>
  <c r="P146" i="70"/>
  <c r="M147" i="70"/>
  <c r="O147" i="70"/>
  <c r="P147" i="70"/>
  <c r="M148" i="70"/>
  <c r="O148" i="70"/>
  <c r="P148" i="70"/>
  <c r="M149" i="70"/>
  <c r="O149" i="70"/>
  <c r="P149" i="70"/>
  <c r="M150" i="70"/>
  <c r="O150" i="70"/>
  <c r="P150" i="70"/>
  <c r="M151" i="70"/>
  <c r="O151" i="70"/>
  <c r="P151" i="70"/>
  <c r="M152" i="70"/>
  <c r="O152" i="70"/>
  <c r="P152" i="70"/>
  <c r="M153" i="70"/>
  <c r="O153" i="70"/>
  <c r="P153" i="70"/>
  <c r="M154" i="70"/>
  <c r="O154" i="70"/>
  <c r="P154" i="70"/>
  <c r="P1" i="69"/>
  <c r="P83" i="69" s="1"/>
  <c r="I11" i="69"/>
  <c r="K11" i="69"/>
  <c r="C17" i="69"/>
  <c r="C18" i="69"/>
  <c r="C19" i="69" s="1"/>
  <c r="C20" i="69" s="1"/>
  <c r="C21" i="69" s="1"/>
  <c r="C22" i="69" s="1"/>
  <c r="C23" i="69" s="1"/>
  <c r="C24" i="69" s="1"/>
  <c r="C25" i="69" s="1"/>
  <c r="C26" i="69" s="1"/>
  <c r="C27" i="69" s="1"/>
  <c r="C28" i="69" s="1"/>
  <c r="C29" i="69" s="1"/>
  <c r="C30" i="69" s="1"/>
  <c r="C31" i="69" s="1"/>
  <c r="C32" i="69" s="1"/>
  <c r="C33" i="69" s="1"/>
  <c r="C34" i="69" s="1"/>
  <c r="C35" i="69" s="1"/>
  <c r="C36" i="69" s="1"/>
  <c r="C37" i="69" s="1"/>
  <c r="C38" i="69" s="1"/>
  <c r="C39" i="69" s="1"/>
  <c r="C40" i="69" s="1"/>
  <c r="C41" i="69" s="1"/>
  <c r="C42" i="69" s="1"/>
  <c r="C43" i="69" s="1"/>
  <c r="C44" i="69" s="1"/>
  <c r="C45" i="69" s="1"/>
  <c r="C46" i="69" s="1"/>
  <c r="C47" i="69" s="1"/>
  <c r="C48" i="69" s="1"/>
  <c r="C49" i="69" s="1"/>
  <c r="C50" i="69" s="1"/>
  <c r="C51" i="69" s="1"/>
  <c r="C52" i="69" s="1"/>
  <c r="C53" i="69" s="1"/>
  <c r="C54" i="69" s="1"/>
  <c r="C55" i="69" s="1"/>
  <c r="C56" i="69" s="1"/>
  <c r="C57" i="69" s="1"/>
  <c r="C58" i="69" s="1"/>
  <c r="C59" i="69" s="1"/>
  <c r="C60" i="69" s="1"/>
  <c r="C61" i="69" s="1"/>
  <c r="C62" i="69" s="1"/>
  <c r="C63" i="69" s="1"/>
  <c r="C64" i="69" s="1"/>
  <c r="C65" i="69" s="1"/>
  <c r="C66" i="69" s="1"/>
  <c r="C67" i="69" s="1"/>
  <c r="C68" i="69" s="1"/>
  <c r="C69" i="69" s="1"/>
  <c r="C70" i="69" s="1"/>
  <c r="C71" i="69" s="1"/>
  <c r="C72" i="69" s="1"/>
  <c r="K17" i="69"/>
  <c r="L17" i="69"/>
  <c r="M17" i="69"/>
  <c r="N17" i="69" s="1"/>
  <c r="B18" i="69"/>
  <c r="K18" i="69"/>
  <c r="L18" i="69" s="1"/>
  <c r="M18" i="69"/>
  <c r="N18" i="69"/>
  <c r="B19" i="69"/>
  <c r="K19" i="69"/>
  <c r="L19" i="69"/>
  <c r="M19" i="69"/>
  <c r="N19" i="69"/>
  <c r="B20" i="69"/>
  <c r="K20" i="69"/>
  <c r="L20" i="69" s="1"/>
  <c r="M20" i="69"/>
  <c r="N20" i="69"/>
  <c r="O20" i="69" s="1"/>
  <c r="B21" i="69"/>
  <c r="K21" i="69"/>
  <c r="L21" i="69"/>
  <c r="M21" i="69"/>
  <c r="N21" i="69" s="1"/>
  <c r="B22" i="69"/>
  <c r="K22" i="69"/>
  <c r="L22" i="69"/>
  <c r="M22" i="69"/>
  <c r="N22" i="69"/>
  <c r="O22" i="69"/>
  <c r="B23" i="69"/>
  <c r="K23" i="69"/>
  <c r="L23" i="69" s="1"/>
  <c r="M23" i="69"/>
  <c r="N23" i="69" s="1"/>
  <c r="B24" i="69"/>
  <c r="K24" i="69"/>
  <c r="L24" i="69" s="1"/>
  <c r="M24" i="69"/>
  <c r="N24" i="69" s="1"/>
  <c r="B25" i="69"/>
  <c r="K25" i="69"/>
  <c r="L25" i="69" s="1"/>
  <c r="M25" i="69"/>
  <c r="N25" i="69"/>
  <c r="B26" i="69"/>
  <c r="I26" i="69"/>
  <c r="K26" i="69"/>
  <c r="L26" i="69" s="1"/>
  <c r="M26" i="69"/>
  <c r="N26" i="69" s="1"/>
  <c r="B27" i="69"/>
  <c r="K27" i="69"/>
  <c r="L27" i="69" s="1"/>
  <c r="M27" i="69"/>
  <c r="N27" i="69" s="1"/>
  <c r="B28" i="69"/>
  <c r="L29" i="69"/>
  <c r="N29" i="69"/>
  <c r="L30" i="69"/>
  <c r="N30" i="69"/>
  <c r="L31" i="69"/>
  <c r="O31" i="69" s="1"/>
  <c r="N31" i="69"/>
  <c r="L32" i="69"/>
  <c r="N32" i="69"/>
  <c r="L33" i="69"/>
  <c r="N33" i="69"/>
  <c r="O33" i="69" s="1"/>
  <c r="L34" i="69"/>
  <c r="N34" i="69"/>
  <c r="L35" i="69"/>
  <c r="N35" i="69"/>
  <c r="L36" i="69"/>
  <c r="N36" i="69"/>
  <c r="L37" i="69"/>
  <c r="N37" i="69"/>
  <c r="L38" i="69"/>
  <c r="N38" i="69"/>
  <c r="L39" i="69"/>
  <c r="N39" i="69"/>
  <c r="L40" i="69"/>
  <c r="N40" i="69"/>
  <c r="L41" i="69"/>
  <c r="N41" i="69"/>
  <c r="L42" i="69"/>
  <c r="N42" i="69"/>
  <c r="L43" i="69"/>
  <c r="N43" i="69"/>
  <c r="L44" i="69"/>
  <c r="N44" i="69"/>
  <c r="L45" i="69"/>
  <c r="N45" i="69"/>
  <c r="L46" i="69"/>
  <c r="N46" i="69"/>
  <c r="L47" i="69"/>
  <c r="N47" i="69"/>
  <c r="L48" i="69"/>
  <c r="N48" i="69"/>
  <c r="O48" i="69" s="1"/>
  <c r="L49" i="69"/>
  <c r="N49" i="69"/>
  <c r="L50" i="69"/>
  <c r="N50" i="69"/>
  <c r="L51" i="69"/>
  <c r="N51" i="69"/>
  <c r="O51" i="69" s="1"/>
  <c r="L52" i="69"/>
  <c r="N52" i="69"/>
  <c r="L53" i="69"/>
  <c r="N53" i="69"/>
  <c r="L54" i="69"/>
  <c r="O54" i="69" s="1"/>
  <c r="N54" i="69"/>
  <c r="L55" i="69"/>
  <c r="N55" i="69"/>
  <c r="L56" i="69"/>
  <c r="O56" i="69" s="1"/>
  <c r="N56" i="69"/>
  <c r="L57" i="69"/>
  <c r="N57" i="69"/>
  <c r="L58" i="69"/>
  <c r="N58" i="69"/>
  <c r="L59" i="69"/>
  <c r="N59" i="69"/>
  <c r="L60" i="69"/>
  <c r="N60" i="69"/>
  <c r="L61" i="69"/>
  <c r="N61" i="69"/>
  <c r="L62" i="69"/>
  <c r="N62" i="69"/>
  <c r="L63" i="69"/>
  <c r="N63" i="69"/>
  <c r="L64" i="69"/>
  <c r="N64" i="69"/>
  <c r="L65" i="69"/>
  <c r="N65" i="69"/>
  <c r="L66" i="69"/>
  <c r="N66" i="69"/>
  <c r="L67" i="69"/>
  <c r="N67" i="69"/>
  <c r="L68" i="69"/>
  <c r="O68" i="69" s="1"/>
  <c r="N68" i="69"/>
  <c r="L69" i="69"/>
  <c r="N69" i="69"/>
  <c r="L70" i="69"/>
  <c r="O70" i="69" s="1"/>
  <c r="N70" i="69"/>
  <c r="L71" i="69"/>
  <c r="N71" i="69"/>
  <c r="L72" i="69"/>
  <c r="O72" i="69" s="1"/>
  <c r="N72" i="69"/>
  <c r="D89" i="69"/>
  <c r="D91" i="69"/>
  <c r="J93" i="69"/>
  <c r="L93" i="69"/>
  <c r="D94" i="69"/>
  <c r="D96" i="69"/>
  <c r="C99" i="69"/>
  <c r="C100" i="69" s="1"/>
  <c r="C101" i="69" s="1"/>
  <c r="C102" i="69" s="1"/>
  <c r="C103" i="69" s="1"/>
  <c r="C104" i="69" s="1"/>
  <c r="C105" i="69" s="1"/>
  <c r="C106" i="69" s="1"/>
  <c r="C107" i="69" s="1"/>
  <c r="C108" i="69" s="1"/>
  <c r="C109" i="69" s="1"/>
  <c r="C110" i="69" s="1"/>
  <c r="C111" i="69" s="1"/>
  <c r="C112" i="69" s="1"/>
  <c r="C113" i="69" s="1"/>
  <c r="C114" i="69" s="1"/>
  <c r="C115" i="69" s="1"/>
  <c r="C116" i="69" s="1"/>
  <c r="C117" i="69" s="1"/>
  <c r="C118" i="69" s="1"/>
  <c r="C119" i="69" s="1"/>
  <c r="C120" i="69" s="1"/>
  <c r="C121" i="69" s="1"/>
  <c r="C122" i="69" s="1"/>
  <c r="C123" i="69" s="1"/>
  <c r="C124" i="69" s="1"/>
  <c r="C125" i="69" s="1"/>
  <c r="C126" i="69" s="1"/>
  <c r="C127" i="69" s="1"/>
  <c r="C128" i="69" s="1"/>
  <c r="C129" i="69" s="1"/>
  <c r="C130" i="69" s="1"/>
  <c r="C131" i="69" s="1"/>
  <c r="C132" i="69" s="1"/>
  <c r="C133" i="69" s="1"/>
  <c r="C134" i="69" s="1"/>
  <c r="C135" i="69" s="1"/>
  <c r="C136" i="69" s="1"/>
  <c r="C137" i="69" s="1"/>
  <c r="C138" i="69" s="1"/>
  <c r="C139" i="69" s="1"/>
  <c r="C140" i="69" s="1"/>
  <c r="C141" i="69" s="1"/>
  <c r="C142" i="69" s="1"/>
  <c r="C143" i="69" s="1"/>
  <c r="C144" i="69" s="1"/>
  <c r="C145" i="69" s="1"/>
  <c r="C146" i="69" s="1"/>
  <c r="C147" i="69" s="1"/>
  <c r="C148" i="69" s="1"/>
  <c r="C149" i="69" s="1"/>
  <c r="C150" i="69" s="1"/>
  <c r="C151" i="69" s="1"/>
  <c r="C152" i="69" s="1"/>
  <c r="C153" i="69" s="1"/>
  <c r="C154" i="69" s="1"/>
  <c r="M99" i="69"/>
  <c r="O99" i="69"/>
  <c r="P99" i="69"/>
  <c r="B100" i="69"/>
  <c r="M100" i="69"/>
  <c r="O100" i="69"/>
  <c r="B101" i="69"/>
  <c r="M101" i="69"/>
  <c r="O101" i="69"/>
  <c r="B102" i="69"/>
  <c r="M102" i="69"/>
  <c r="O102" i="69"/>
  <c r="P102" i="69"/>
  <c r="B103" i="69"/>
  <c r="M103" i="69"/>
  <c r="O103" i="69"/>
  <c r="P103" i="69" s="1"/>
  <c r="B104" i="69"/>
  <c r="M104" i="69"/>
  <c r="O104" i="69"/>
  <c r="B105" i="69"/>
  <c r="M105" i="69"/>
  <c r="O105" i="69"/>
  <c r="B106" i="69"/>
  <c r="M106" i="69"/>
  <c r="O106" i="69"/>
  <c r="P106" i="69"/>
  <c r="B107" i="69"/>
  <c r="J107" i="69"/>
  <c r="L107" i="69"/>
  <c r="M107" i="69" s="1"/>
  <c r="N107" i="69"/>
  <c r="O107" i="69" s="1"/>
  <c r="B108" i="69"/>
  <c r="L108" i="69"/>
  <c r="M108" i="69" s="1"/>
  <c r="N108" i="69"/>
  <c r="O108" i="69"/>
  <c r="D109" i="69"/>
  <c r="B109" i="69" s="1"/>
  <c r="M109" i="69"/>
  <c r="O109" i="69"/>
  <c r="M110" i="69"/>
  <c r="O110" i="69"/>
  <c r="P110" i="69"/>
  <c r="M111" i="69"/>
  <c r="O111" i="69"/>
  <c r="M112" i="69"/>
  <c r="O112" i="69"/>
  <c r="M113" i="69"/>
  <c r="O113" i="69"/>
  <c r="M114" i="69"/>
  <c r="O114" i="69"/>
  <c r="P114" i="69" s="1"/>
  <c r="M115" i="69"/>
  <c r="O115" i="69"/>
  <c r="M116" i="69"/>
  <c r="O116" i="69"/>
  <c r="M117" i="69"/>
  <c r="O117" i="69"/>
  <c r="M118" i="69"/>
  <c r="O118" i="69"/>
  <c r="P118" i="69" s="1"/>
  <c r="M119" i="69"/>
  <c r="O119" i="69"/>
  <c r="M120" i="69"/>
  <c r="O120" i="69"/>
  <c r="P120" i="69" s="1"/>
  <c r="M121" i="69"/>
  <c r="O121" i="69"/>
  <c r="M122" i="69"/>
  <c r="O122" i="69"/>
  <c r="M123" i="69"/>
  <c r="O123" i="69"/>
  <c r="P123" i="69" s="1"/>
  <c r="M124" i="69"/>
  <c r="O124" i="69"/>
  <c r="M125" i="69"/>
  <c r="O125" i="69"/>
  <c r="M126" i="69"/>
  <c r="O126" i="69"/>
  <c r="M127" i="69"/>
  <c r="O127" i="69"/>
  <c r="P127" i="69" s="1"/>
  <c r="M128" i="69"/>
  <c r="O128" i="69"/>
  <c r="M129" i="69"/>
  <c r="O129" i="69"/>
  <c r="M130" i="69"/>
  <c r="O130" i="69"/>
  <c r="M131" i="69"/>
  <c r="O131" i="69"/>
  <c r="P131" i="69"/>
  <c r="M132" i="69"/>
  <c r="O132" i="69"/>
  <c r="P132" i="69"/>
  <c r="M133" i="69"/>
  <c r="O133" i="69"/>
  <c r="P133" i="69"/>
  <c r="M134" i="69"/>
  <c r="O134" i="69"/>
  <c r="P134" i="69"/>
  <c r="M135" i="69"/>
  <c r="O135" i="69"/>
  <c r="P135" i="69"/>
  <c r="M136" i="69"/>
  <c r="O136" i="69"/>
  <c r="P136" i="69"/>
  <c r="M137" i="69"/>
  <c r="O137" i="69"/>
  <c r="P137" i="69"/>
  <c r="M138" i="69"/>
  <c r="O138" i="69"/>
  <c r="P138" i="69"/>
  <c r="M139" i="69"/>
  <c r="O139" i="69"/>
  <c r="P139" i="69"/>
  <c r="M140" i="69"/>
  <c r="O140" i="69"/>
  <c r="P140" i="69"/>
  <c r="M141" i="69"/>
  <c r="O141" i="69"/>
  <c r="P141" i="69"/>
  <c r="M142" i="69"/>
  <c r="O142" i="69"/>
  <c r="P142" i="69"/>
  <c r="M143" i="69"/>
  <c r="O143" i="69"/>
  <c r="P143" i="69"/>
  <c r="M144" i="69"/>
  <c r="O144" i="69"/>
  <c r="P144" i="69"/>
  <c r="M145" i="69"/>
  <c r="O145" i="69"/>
  <c r="P145" i="69"/>
  <c r="M146" i="69"/>
  <c r="O146" i="69"/>
  <c r="P146" i="69"/>
  <c r="M147" i="69"/>
  <c r="O147" i="69"/>
  <c r="P147" i="69"/>
  <c r="M148" i="69"/>
  <c r="O148" i="69"/>
  <c r="P148" i="69"/>
  <c r="M149" i="69"/>
  <c r="O149" i="69"/>
  <c r="P149" i="69"/>
  <c r="M150" i="69"/>
  <c r="O150" i="69"/>
  <c r="P150" i="69"/>
  <c r="M151" i="69"/>
  <c r="O151" i="69"/>
  <c r="P151" i="69"/>
  <c r="M152" i="69"/>
  <c r="O152" i="69"/>
  <c r="P152" i="69"/>
  <c r="M153" i="69"/>
  <c r="O153" i="69"/>
  <c r="P153" i="69"/>
  <c r="M154" i="69"/>
  <c r="O154" i="69"/>
  <c r="P154" i="69"/>
  <c r="P1" i="68"/>
  <c r="P83" i="68" s="1"/>
  <c r="D8" i="68"/>
  <c r="D90" i="68" s="1"/>
  <c r="I11" i="68"/>
  <c r="K11" i="68"/>
  <c r="C17" i="68"/>
  <c r="K17" i="68"/>
  <c r="L17" i="68" s="1"/>
  <c r="M17" i="68"/>
  <c r="N17" i="68"/>
  <c r="B18" i="68"/>
  <c r="C18" i="68"/>
  <c r="C19" i="68" s="1"/>
  <c r="C20" i="68" s="1"/>
  <c r="C21" i="68" s="1"/>
  <c r="C22" i="68" s="1"/>
  <c r="C23" i="68" s="1"/>
  <c r="C24" i="68" s="1"/>
  <c r="C25" i="68" s="1"/>
  <c r="C26" i="68" s="1"/>
  <c r="C27" i="68" s="1"/>
  <c r="C28" i="68" s="1"/>
  <c r="C29" i="68" s="1"/>
  <c r="C30" i="68" s="1"/>
  <c r="C31" i="68" s="1"/>
  <c r="C32" i="68" s="1"/>
  <c r="C33" i="68" s="1"/>
  <c r="C34" i="68" s="1"/>
  <c r="C35" i="68" s="1"/>
  <c r="C36" i="68" s="1"/>
  <c r="C37" i="68" s="1"/>
  <c r="C38" i="68" s="1"/>
  <c r="C39" i="68" s="1"/>
  <c r="C40" i="68" s="1"/>
  <c r="C41" i="68" s="1"/>
  <c r="C42" i="68" s="1"/>
  <c r="C43" i="68" s="1"/>
  <c r="C44" i="68" s="1"/>
  <c r="K18" i="68"/>
  <c r="L18" i="68" s="1"/>
  <c r="M18" i="68"/>
  <c r="N18" i="68"/>
  <c r="O18" i="68" s="1"/>
  <c r="B19" i="68"/>
  <c r="I19" i="68"/>
  <c r="K19" i="68"/>
  <c r="L19" i="68"/>
  <c r="M19" i="68"/>
  <c r="N19" i="68"/>
  <c r="B20" i="68"/>
  <c r="K20" i="68"/>
  <c r="L20" i="68" s="1"/>
  <c r="M20" i="68"/>
  <c r="N20" i="68"/>
  <c r="B21" i="68"/>
  <c r="L22" i="68"/>
  <c r="N22" i="68"/>
  <c r="L23" i="68"/>
  <c r="N23" i="68"/>
  <c r="O23" i="68" s="1"/>
  <c r="L24" i="68"/>
  <c r="N24" i="68"/>
  <c r="L25" i="68"/>
  <c r="N25" i="68"/>
  <c r="O25" i="68" s="1"/>
  <c r="L26" i="68"/>
  <c r="N26" i="68"/>
  <c r="L27" i="68"/>
  <c r="N27" i="68"/>
  <c r="O27" i="68" s="1"/>
  <c r="L28" i="68"/>
  <c r="N28" i="68"/>
  <c r="L29" i="68"/>
  <c r="N29" i="68"/>
  <c r="O29" i="68" s="1"/>
  <c r="L30" i="68"/>
  <c r="N30" i="68"/>
  <c r="L31" i="68"/>
  <c r="N31" i="68"/>
  <c r="O31" i="68" s="1"/>
  <c r="L32" i="68"/>
  <c r="N32" i="68"/>
  <c r="L33" i="68"/>
  <c r="N33" i="68"/>
  <c r="O33" i="68" s="1"/>
  <c r="L34" i="68"/>
  <c r="N34" i="68"/>
  <c r="L35" i="68"/>
  <c r="N35" i="68"/>
  <c r="O35" i="68" s="1"/>
  <c r="L36" i="68"/>
  <c r="N36" i="68"/>
  <c r="L37" i="68"/>
  <c r="N37" i="68"/>
  <c r="O37" i="68" s="1"/>
  <c r="L38" i="68"/>
  <c r="N38" i="68"/>
  <c r="L39" i="68"/>
  <c r="N39" i="68"/>
  <c r="O39" i="68" s="1"/>
  <c r="L40" i="68"/>
  <c r="N40" i="68"/>
  <c r="L41" i="68"/>
  <c r="N41" i="68"/>
  <c r="O41" i="68" s="1"/>
  <c r="L42" i="68"/>
  <c r="N42" i="68"/>
  <c r="L43" i="68"/>
  <c r="N43" i="68"/>
  <c r="L44" i="68"/>
  <c r="N44" i="68"/>
  <c r="L45" i="68"/>
  <c r="N45" i="68"/>
  <c r="L46" i="68"/>
  <c r="N46" i="68"/>
  <c r="L47" i="68"/>
  <c r="N47" i="68"/>
  <c r="L48" i="68"/>
  <c r="N48" i="68"/>
  <c r="L49" i="68"/>
  <c r="N49" i="68"/>
  <c r="L50" i="68"/>
  <c r="O50" i="68" s="1"/>
  <c r="N50" i="68"/>
  <c r="L51" i="68"/>
  <c r="N51" i="68"/>
  <c r="L52" i="68"/>
  <c r="N52" i="68"/>
  <c r="L53" i="68"/>
  <c r="N53" i="68"/>
  <c r="L54" i="68"/>
  <c r="N54" i="68"/>
  <c r="L55" i="68"/>
  <c r="N55" i="68"/>
  <c r="L56" i="68"/>
  <c r="N56" i="68"/>
  <c r="L57" i="68"/>
  <c r="N57" i="68"/>
  <c r="L58" i="68"/>
  <c r="N58" i="68"/>
  <c r="L59" i="68"/>
  <c r="N59" i="68"/>
  <c r="L60" i="68"/>
  <c r="N60" i="68"/>
  <c r="L61" i="68"/>
  <c r="N61" i="68"/>
  <c r="L62" i="68"/>
  <c r="N62" i="68"/>
  <c r="O62" i="68"/>
  <c r="L63" i="68"/>
  <c r="N63" i="68"/>
  <c r="L64" i="68"/>
  <c r="N64" i="68"/>
  <c r="O64" i="68" s="1"/>
  <c r="L65" i="68"/>
  <c r="N65" i="68"/>
  <c r="L66" i="68"/>
  <c r="N66" i="68"/>
  <c r="L67" i="68"/>
  <c r="N67" i="68"/>
  <c r="L68" i="68"/>
  <c r="N68" i="68"/>
  <c r="L69" i="68"/>
  <c r="N69" i="68"/>
  <c r="L70" i="68"/>
  <c r="N70" i="68"/>
  <c r="L71" i="68"/>
  <c r="N71" i="68"/>
  <c r="L72" i="68"/>
  <c r="N72" i="68"/>
  <c r="D89" i="68"/>
  <c r="D91" i="68"/>
  <c r="J93" i="68"/>
  <c r="L93" i="68"/>
  <c r="D96" i="68"/>
  <c r="L99" i="68"/>
  <c r="M99" i="68"/>
  <c r="N99" i="68"/>
  <c r="O99" i="68"/>
  <c r="B100" i="68"/>
  <c r="J100" i="68"/>
  <c r="L100" i="68"/>
  <c r="M100" i="68" s="1"/>
  <c r="N100" i="68"/>
  <c r="O100" i="68"/>
  <c r="B101" i="68"/>
  <c r="J101" i="68"/>
  <c r="L101" i="68"/>
  <c r="M101" i="68" s="1"/>
  <c r="N101" i="68"/>
  <c r="O101" i="68" s="1"/>
  <c r="D102" i="68"/>
  <c r="B102" i="68" s="1"/>
  <c r="M102" i="68"/>
  <c r="O102" i="68"/>
  <c r="P102" i="68" s="1"/>
  <c r="M103" i="68"/>
  <c r="O103" i="68"/>
  <c r="M104" i="68"/>
  <c r="O104" i="68"/>
  <c r="M105" i="68"/>
  <c r="P105" i="68"/>
  <c r="O105" i="68"/>
  <c r="M106" i="68"/>
  <c r="O106" i="68"/>
  <c r="P106" i="68" s="1"/>
  <c r="M107" i="68"/>
  <c r="O107" i="68"/>
  <c r="P107" i="68" s="1"/>
  <c r="M108" i="68"/>
  <c r="O108" i="68"/>
  <c r="M109" i="68"/>
  <c r="O109" i="68"/>
  <c r="P109" i="68" s="1"/>
  <c r="M110" i="68"/>
  <c r="O110" i="68"/>
  <c r="M111" i="68"/>
  <c r="O111" i="68"/>
  <c r="P111" i="68" s="1"/>
  <c r="M112" i="68"/>
  <c r="O112" i="68"/>
  <c r="P112" i="68" s="1"/>
  <c r="M113" i="68"/>
  <c r="O113" i="68"/>
  <c r="M114" i="68"/>
  <c r="O114" i="68"/>
  <c r="M115" i="68"/>
  <c r="O115" i="68"/>
  <c r="P115" i="68" s="1"/>
  <c r="M116" i="68"/>
  <c r="O116" i="68"/>
  <c r="M117" i="68"/>
  <c r="O117" i="68"/>
  <c r="P117" i="68" s="1"/>
  <c r="M118" i="68"/>
  <c r="P118" i="68" s="1"/>
  <c r="O118" i="68"/>
  <c r="M119" i="68"/>
  <c r="O119" i="68"/>
  <c r="P119" i="68"/>
  <c r="M120" i="68"/>
  <c r="O120" i="68"/>
  <c r="M121" i="68"/>
  <c r="O121" i="68"/>
  <c r="P121" i="68" s="1"/>
  <c r="M122" i="68"/>
  <c r="O122" i="68"/>
  <c r="P122" i="68"/>
  <c r="M123" i="68"/>
  <c r="O123" i="68"/>
  <c r="M124" i="68"/>
  <c r="O124" i="68"/>
  <c r="M125" i="68"/>
  <c r="O125" i="68"/>
  <c r="P125" i="68" s="1"/>
  <c r="M126" i="68"/>
  <c r="O126" i="68"/>
  <c r="M127" i="68"/>
  <c r="O127" i="68"/>
  <c r="P127" i="68" s="1"/>
  <c r="M128" i="68"/>
  <c r="O128" i="68"/>
  <c r="P128" i="68" s="1"/>
  <c r="M129" i="68"/>
  <c r="O129" i="68"/>
  <c r="P129" i="68" s="1"/>
  <c r="M130" i="68"/>
  <c r="O130" i="68"/>
  <c r="P130" i="68" s="1"/>
  <c r="M131" i="68"/>
  <c r="O131" i="68"/>
  <c r="P131" i="68"/>
  <c r="M132" i="68"/>
  <c r="O132" i="68"/>
  <c r="P132" i="68"/>
  <c r="M133" i="68"/>
  <c r="O133" i="68"/>
  <c r="P133" i="68"/>
  <c r="M134" i="68"/>
  <c r="O134" i="68"/>
  <c r="P134" i="68"/>
  <c r="M135" i="68"/>
  <c r="O135" i="68"/>
  <c r="P135" i="68"/>
  <c r="M136" i="68"/>
  <c r="O136" i="68"/>
  <c r="P136" i="68"/>
  <c r="M137" i="68"/>
  <c r="O137" i="68"/>
  <c r="P137" i="68"/>
  <c r="M138" i="68"/>
  <c r="O138" i="68"/>
  <c r="P138" i="68"/>
  <c r="M139" i="68"/>
  <c r="O139" i="68"/>
  <c r="P139" i="68"/>
  <c r="M140" i="68"/>
  <c r="O140" i="68"/>
  <c r="P140" i="68"/>
  <c r="M141" i="68"/>
  <c r="O141" i="68"/>
  <c r="P141" i="68"/>
  <c r="M142" i="68"/>
  <c r="O142" i="68"/>
  <c r="P142" i="68"/>
  <c r="M143" i="68"/>
  <c r="O143" i="68"/>
  <c r="P143" i="68"/>
  <c r="M144" i="68"/>
  <c r="O144" i="68"/>
  <c r="P144" i="68"/>
  <c r="M145" i="68"/>
  <c r="O145" i="68"/>
  <c r="P145" i="68"/>
  <c r="M146" i="68"/>
  <c r="O146" i="68"/>
  <c r="P146" i="68"/>
  <c r="M147" i="68"/>
  <c r="O147" i="68"/>
  <c r="P147" i="68"/>
  <c r="M148" i="68"/>
  <c r="O148" i="68"/>
  <c r="P148" i="68"/>
  <c r="M149" i="68"/>
  <c r="O149" i="68"/>
  <c r="P149" i="68"/>
  <c r="M150" i="68"/>
  <c r="O150" i="68"/>
  <c r="P150" i="68"/>
  <c r="M151" i="68"/>
  <c r="O151" i="68"/>
  <c r="P151" i="68"/>
  <c r="M152" i="68"/>
  <c r="O152" i="68"/>
  <c r="P152" i="68"/>
  <c r="M153" i="68"/>
  <c r="O153" i="68"/>
  <c r="P153" i="68"/>
  <c r="M154" i="68"/>
  <c r="O154" i="68"/>
  <c r="P154" i="68"/>
  <c r="P1" i="67"/>
  <c r="P83" i="67" s="1"/>
  <c r="D8" i="67"/>
  <c r="D90" i="67" s="1"/>
  <c r="I11" i="67"/>
  <c r="K11" i="67"/>
  <c r="C17" i="67"/>
  <c r="C18" i="67"/>
  <c r="C19" i="67"/>
  <c r="C20" i="67" s="1"/>
  <c r="C21" i="67" s="1"/>
  <c r="C22" i="67" s="1"/>
  <c r="C23" i="67" s="1"/>
  <c r="C24" i="67" s="1"/>
  <c r="C25" i="67" s="1"/>
  <c r="C26" i="67" s="1"/>
  <c r="C27" i="67" s="1"/>
  <c r="C28" i="67" s="1"/>
  <c r="C29" i="67" s="1"/>
  <c r="C30" i="67" s="1"/>
  <c r="C31" i="67" s="1"/>
  <c r="C32" i="67" s="1"/>
  <c r="C33" i="67" s="1"/>
  <c r="C34" i="67" s="1"/>
  <c r="C35" i="67" s="1"/>
  <c r="C36" i="67" s="1"/>
  <c r="C37" i="67" s="1"/>
  <c r="C38" i="67" s="1"/>
  <c r="C39" i="67" s="1"/>
  <c r="C40" i="67" s="1"/>
  <c r="C41" i="67" s="1"/>
  <c r="C42" i="67" s="1"/>
  <c r="C43" i="67" s="1"/>
  <c r="C44" i="67" s="1"/>
  <c r="C45" i="67" s="1"/>
  <c r="C46" i="67" s="1"/>
  <c r="C47" i="67" s="1"/>
  <c r="C48" i="67" s="1"/>
  <c r="C49" i="67" s="1"/>
  <c r="C50" i="67" s="1"/>
  <c r="C51" i="67" s="1"/>
  <c r="C52" i="67" s="1"/>
  <c r="C53" i="67" s="1"/>
  <c r="C54" i="67" s="1"/>
  <c r="C55" i="67" s="1"/>
  <c r="C56" i="67" s="1"/>
  <c r="C57" i="67" s="1"/>
  <c r="C58" i="67" s="1"/>
  <c r="C59" i="67" s="1"/>
  <c r="C60" i="67" s="1"/>
  <c r="C61" i="67" s="1"/>
  <c r="C62" i="67" s="1"/>
  <c r="C63" i="67" s="1"/>
  <c r="C64" i="67" s="1"/>
  <c r="C65" i="67" s="1"/>
  <c r="C66" i="67" s="1"/>
  <c r="C67" i="67" s="1"/>
  <c r="C68" i="67" s="1"/>
  <c r="C69" i="67" s="1"/>
  <c r="C70" i="67" s="1"/>
  <c r="C71" i="67" s="1"/>
  <c r="C72" i="67" s="1"/>
  <c r="K17" i="67"/>
  <c r="L17" i="67"/>
  <c r="M17" i="67"/>
  <c r="N17" i="67" s="1"/>
  <c r="B18" i="67"/>
  <c r="K18" i="67"/>
  <c r="L18" i="67" s="1"/>
  <c r="M18" i="67"/>
  <c r="N18" i="67" s="1"/>
  <c r="B19" i="67"/>
  <c r="I19" i="67"/>
  <c r="K19" i="67"/>
  <c r="L19" i="67" s="1"/>
  <c r="M19" i="67"/>
  <c r="N19" i="67"/>
  <c r="O19" i="67" s="1"/>
  <c r="B20" i="67"/>
  <c r="K20" i="67"/>
  <c r="L20" i="67" s="1"/>
  <c r="M20" i="67"/>
  <c r="N20" i="67" s="1"/>
  <c r="B21" i="67"/>
  <c r="L22" i="67"/>
  <c r="N22" i="67"/>
  <c r="L23" i="67"/>
  <c r="N23" i="67"/>
  <c r="L24" i="67"/>
  <c r="N24" i="67"/>
  <c r="L25" i="67"/>
  <c r="O25" i="67" s="1"/>
  <c r="N25" i="67"/>
  <c r="L26" i="67"/>
  <c r="N26" i="67"/>
  <c r="L27" i="67"/>
  <c r="N27" i="67"/>
  <c r="L28" i="67"/>
  <c r="N28" i="67"/>
  <c r="L29" i="67"/>
  <c r="N29" i="67"/>
  <c r="L30" i="67"/>
  <c r="N30" i="67"/>
  <c r="L31" i="67"/>
  <c r="N31" i="67"/>
  <c r="L32" i="67"/>
  <c r="N32" i="67"/>
  <c r="L33" i="67"/>
  <c r="N33" i="67"/>
  <c r="L34" i="67"/>
  <c r="N34" i="67"/>
  <c r="L35" i="67"/>
  <c r="N35" i="67"/>
  <c r="L36" i="67"/>
  <c r="N36" i="67"/>
  <c r="L37" i="67"/>
  <c r="N37" i="67"/>
  <c r="L38" i="67"/>
  <c r="N38" i="67"/>
  <c r="L39" i="67"/>
  <c r="N39" i="67"/>
  <c r="L40" i="67"/>
  <c r="N40" i="67"/>
  <c r="L41" i="67"/>
  <c r="N41" i="67"/>
  <c r="L42" i="67"/>
  <c r="N42" i="67"/>
  <c r="L43" i="67"/>
  <c r="N43" i="67"/>
  <c r="L44" i="67"/>
  <c r="N44" i="67"/>
  <c r="L45" i="67"/>
  <c r="N45" i="67"/>
  <c r="L46" i="67"/>
  <c r="N46" i="67"/>
  <c r="L47" i="67"/>
  <c r="N47" i="67"/>
  <c r="L48" i="67"/>
  <c r="N48" i="67"/>
  <c r="L49" i="67"/>
  <c r="N49" i="67"/>
  <c r="L50" i="67"/>
  <c r="N50" i="67"/>
  <c r="L51" i="67"/>
  <c r="N51" i="67"/>
  <c r="L52" i="67"/>
  <c r="N52" i="67"/>
  <c r="L53" i="67"/>
  <c r="N53" i="67"/>
  <c r="L54" i="67"/>
  <c r="N54" i="67"/>
  <c r="L55" i="67"/>
  <c r="N55" i="67"/>
  <c r="L56" i="67"/>
  <c r="N56" i="67"/>
  <c r="L57" i="67"/>
  <c r="N57" i="67"/>
  <c r="L58" i="67"/>
  <c r="N58" i="67"/>
  <c r="L59" i="67"/>
  <c r="N59" i="67"/>
  <c r="L60" i="67"/>
  <c r="N60" i="67"/>
  <c r="L61" i="67"/>
  <c r="N61" i="67"/>
  <c r="L62" i="67"/>
  <c r="N62" i="67"/>
  <c r="L63" i="67"/>
  <c r="N63" i="67"/>
  <c r="L64" i="67"/>
  <c r="N64" i="67"/>
  <c r="L65" i="67"/>
  <c r="N65" i="67"/>
  <c r="L66" i="67"/>
  <c r="N66" i="67"/>
  <c r="L67" i="67"/>
  <c r="N67" i="67"/>
  <c r="L68" i="67"/>
  <c r="N68" i="67"/>
  <c r="L69" i="67"/>
  <c r="N69" i="67"/>
  <c r="L70" i="67"/>
  <c r="N70" i="67"/>
  <c r="L71" i="67"/>
  <c r="N71" i="67"/>
  <c r="L72" i="67"/>
  <c r="N72" i="67"/>
  <c r="D89" i="67"/>
  <c r="D91" i="67"/>
  <c r="J93" i="67"/>
  <c r="L93" i="67"/>
  <c r="D96" i="67"/>
  <c r="J99" i="67"/>
  <c r="L99" i="67"/>
  <c r="M99" i="67"/>
  <c r="N99" i="67"/>
  <c r="O99" i="67" s="1"/>
  <c r="B100" i="67"/>
  <c r="J100" i="67"/>
  <c r="L100" i="67"/>
  <c r="M100" i="67" s="1"/>
  <c r="N100" i="67"/>
  <c r="O100" i="67"/>
  <c r="B101" i="67"/>
  <c r="L101" i="67"/>
  <c r="M101" i="67" s="1"/>
  <c r="N101" i="67"/>
  <c r="O101" i="67"/>
  <c r="D102" i="67"/>
  <c r="B102" i="67"/>
  <c r="M102" i="67"/>
  <c r="P102" i="67" s="1"/>
  <c r="O102" i="67"/>
  <c r="M103" i="67"/>
  <c r="O103" i="67"/>
  <c r="M104" i="67"/>
  <c r="O104" i="67"/>
  <c r="P104" i="67"/>
  <c r="M105" i="67"/>
  <c r="O105" i="67"/>
  <c r="M106" i="67"/>
  <c r="O106" i="67"/>
  <c r="M107" i="67"/>
  <c r="O107" i="67"/>
  <c r="M108" i="67"/>
  <c r="O108" i="67"/>
  <c r="M109" i="67"/>
  <c r="O109" i="67"/>
  <c r="M110" i="67"/>
  <c r="O110" i="67"/>
  <c r="P110" i="67" s="1"/>
  <c r="M111" i="67"/>
  <c r="O111" i="67"/>
  <c r="M112" i="67"/>
  <c r="O112" i="67"/>
  <c r="P112" i="67" s="1"/>
  <c r="M113" i="67"/>
  <c r="O113" i="67"/>
  <c r="M114" i="67"/>
  <c r="O114" i="67"/>
  <c r="P114" i="67" s="1"/>
  <c r="M115" i="67"/>
  <c r="O115" i="67"/>
  <c r="M116" i="67"/>
  <c r="O116" i="67"/>
  <c r="P116" i="67" s="1"/>
  <c r="M117" i="67"/>
  <c r="O117" i="67"/>
  <c r="M118" i="67"/>
  <c r="O118" i="67"/>
  <c r="P118" i="67" s="1"/>
  <c r="M119" i="67"/>
  <c r="O119" i="67"/>
  <c r="M120" i="67"/>
  <c r="O120" i="67"/>
  <c r="P120" i="67" s="1"/>
  <c r="M121" i="67"/>
  <c r="O121" i="67"/>
  <c r="M122" i="67"/>
  <c r="O122" i="67"/>
  <c r="P122" i="67" s="1"/>
  <c r="M123" i="67"/>
  <c r="O123" i="67"/>
  <c r="M124" i="67"/>
  <c r="O124" i="67"/>
  <c r="M125" i="67"/>
  <c r="O125" i="67"/>
  <c r="M126" i="67"/>
  <c r="O126" i="67"/>
  <c r="M127" i="67"/>
  <c r="O127" i="67"/>
  <c r="P127" i="67" s="1"/>
  <c r="M128" i="67"/>
  <c r="O128" i="67"/>
  <c r="M129" i="67"/>
  <c r="O129" i="67"/>
  <c r="P129" i="67" s="1"/>
  <c r="M130" i="67"/>
  <c r="O130" i="67"/>
  <c r="P130" i="67" s="1"/>
  <c r="M131" i="67"/>
  <c r="O131" i="67"/>
  <c r="P131" i="67"/>
  <c r="M132" i="67"/>
  <c r="O132" i="67"/>
  <c r="P132" i="67"/>
  <c r="M133" i="67"/>
  <c r="O133" i="67"/>
  <c r="P133" i="67"/>
  <c r="M134" i="67"/>
  <c r="O134" i="67"/>
  <c r="P134" i="67"/>
  <c r="M135" i="67"/>
  <c r="O135" i="67"/>
  <c r="P135" i="67"/>
  <c r="M136" i="67"/>
  <c r="O136" i="67"/>
  <c r="P136" i="67"/>
  <c r="M137" i="67"/>
  <c r="O137" i="67"/>
  <c r="P137" i="67"/>
  <c r="M138" i="67"/>
  <c r="O138" i="67"/>
  <c r="P138" i="67"/>
  <c r="M139" i="67"/>
  <c r="O139" i="67"/>
  <c r="P139" i="67"/>
  <c r="M140" i="67"/>
  <c r="O140" i="67"/>
  <c r="P140" i="67"/>
  <c r="M141" i="67"/>
  <c r="O141" i="67"/>
  <c r="P141" i="67"/>
  <c r="M142" i="67"/>
  <c r="O142" i="67"/>
  <c r="P142" i="67"/>
  <c r="M143" i="67"/>
  <c r="O143" i="67"/>
  <c r="P143" i="67"/>
  <c r="M144" i="67"/>
  <c r="O144" i="67"/>
  <c r="P144" i="67"/>
  <c r="M145" i="67"/>
  <c r="O145" i="67"/>
  <c r="P145" i="67"/>
  <c r="M146" i="67"/>
  <c r="O146" i="67"/>
  <c r="P146" i="67"/>
  <c r="M147" i="67"/>
  <c r="O147" i="67"/>
  <c r="P147" i="67"/>
  <c r="M148" i="67"/>
  <c r="O148" i="67"/>
  <c r="P148" i="67"/>
  <c r="M149" i="67"/>
  <c r="O149" i="67"/>
  <c r="P149" i="67"/>
  <c r="M150" i="67"/>
  <c r="O150" i="67"/>
  <c r="P150" i="67"/>
  <c r="M151" i="67"/>
  <c r="O151" i="67"/>
  <c r="P151" i="67"/>
  <c r="M152" i="67"/>
  <c r="O152" i="67"/>
  <c r="P152" i="67"/>
  <c r="M153" i="67"/>
  <c r="O153" i="67"/>
  <c r="P153" i="67"/>
  <c r="M154" i="67"/>
  <c r="O154" i="67"/>
  <c r="P154" i="67"/>
  <c r="P1" i="66"/>
  <c r="P83" i="66" s="1"/>
  <c r="D8" i="66"/>
  <c r="I11" i="66"/>
  <c r="K11" i="66"/>
  <c r="C17" i="66"/>
  <c r="C18" i="66"/>
  <c r="C19" i="66"/>
  <c r="C20" i="66" s="1"/>
  <c r="C21" i="66" s="1"/>
  <c r="C22" i="66" s="1"/>
  <c r="C23" i="66" s="1"/>
  <c r="C24" i="66" s="1"/>
  <c r="C25" i="66" s="1"/>
  <c r="C26" i="66" s="1"/>
  <c r="C27" i="66" s="1"/>
  <c r="C28" i="66" s="1"/>
  <c r="C29" i="66" s="1"/>
  <c r="C30" i="66" s="1"/>
  <c r="C31" i="66" s="1"/>
  <c r="C32" i="66" s="1"/>
  <c r="C33" i="66" s="1"/>
  <c r="C34" i="66" s="1"/>
  <c r="C35" i="66" s="1"/>
  <c r="C36" i="66" s="1"/>
  <c r="C37" i="66" s="1"/>
  <c r="C38" i="66" s="1"/>
  <c r="C39" i="66" s="1"/>
  <c r="C40" i="66" s="1"/>
  <c r="C41" i="66" s="1"/>
  <c r="C42" i="66" s="1"/>
  <c r="C43" i="66" s="1"/>
  <c r="C44" i="66" s="1"/>
  <c r="C45" i="66" s="1"/>
  <c r="C46" i="66" s="1"/>
  <c r="C47" i="66" s="1"/>
  <c r="C48" i="66" s="1"/>
  <c r="C49" i="66" s="1"/>
  <c r="C50" i="66" s="1"/>
  <c r="C51" i="66" s="1"/>
  <c r="C52" i="66" s="1"/>
  <c r="C53" i="66" s="1"/>
  <c r="C54" i="66" s="1"/>
  <c r="C55" i="66" s="1"/>
  <c r="C56" i="66" s="1"/>
  <c r="C57" i="66" s="1"/>
  <c r="C58" i="66" s="1"/>
  <c r="C59" i="66" s="1"/>
  <c r="C60" i="66" s="1"/>
  <c r="C61" i="66" s="1"/>
  <c r="C62" i="66" s="1"/>
  <c r="C63" i="66" s="1"/>
  <c r="C64" i="66" s="1"/>
  <c r="C65" i="66" s="1"/>
  <c r="C66" i="66" s="1"/>
  <c r="C67" i="66" s="1"/>
  <c r="C68" i="66" s="1"/>
  <c r="C69" i="66" s="1"/>
  <c r="C70" i="66" s="1"/>
  <c r="C71" i="66" s="1"/>
  <c r="C72" i="66" s="1"/>
  <c r="K17" i="66"/>
  <c r="L17" i="66"/>
  <c r="M17" i="66"/>
  <c r="N17" i="66" s="1"/>
  <c r="B18" i="66"/>
  <c r="K18" i="66"/>
  <c r="L18" i="66" s="1"/>
  <c r="M18" i="66"/>
  <c r="N18" i="66" s="1"/>
  <c r="B19" i="66"/>
  <c r="I19" i="66"/>
  <c r="K19" i="66"/>
  <c r="L19" i="66" s="1"/>
  <c r="M19" i="66"/>
  <c r="N19" i="66" s="1"/>
  <c r="B20" i="66"/>
  <c r="K20" i="66"/>
  <c r="L20" i="66"/>
  <c r="M20" i="66"/>
  <c r="N20" i="66" s="1"/>
  <c r="B21" i="66"/>
  <c r="L22" i="66"/>
  <c r="N22" i="66"/>
  <c r="L23" i="66"/>
  <c r="N23" i="66"/>
  <c r="L24" i="66"/>
  <c r="N24" i="66"/>
  <c r="L25" i="66"/>
  <c r="N25" i="66"/>
  <c r="L26" i="66"/>
  <c r="N26" i="66"/>
  <c r="L27" i="66"/>
  <c r="N27" i="66"/>
  <c r="L28" i="66"/>
  <c r="N28" i="66"/>
  <c r="L29" i="66"/>
  <c r="N29" i="66"/>
  <c r="L30" i="66"/>
  <c r="N30" i="66"/>
  <c r="L31" i="66"/>
  <c r="N31" i="66"/>
  <c r="L32" i="66"/>
  <c r="N32" i="66"/>
  <c r="L33" i="66"/>
  <c r="N33" i="66"/>
  <c r="L34" i="66"/>
  <c r="N34" i="66"/>
  <c r="L35" i="66"/>
  <c r="N35" i="66"/>
  <c r="L36" i="66"/>
  <c r="N36" i="66"/>
  <c r="L37" i="66"/>
  <c r="N37" i="66"/>
  <c r="L38" i="66"/>
  <c r="N38" i="66"/>
  <c r="L39" i="66"/>
  <c r="N39" i="66"/>
  <c r="L40" i="66"/>
  <c r="N40" i="66"/>
  <c r="L41" i="66"/>
  <c r="N41" i="66"/>
  <c r="L42" i="66"/>
  <c r="N42" i="66"/>
  <c r="L43" i="66"/>
  <c r="N43" i="66"/>
  <c r="L44" i="66"/>
  <c r="N44" i="66"/>
  <c r="L45" i="66"/>
  <c r="N45" i="66"/>
  <c r="L46" i="66"/>
  <c r="N46" i="66"/>
  <c r="L47" i="66"/>
  <c r="N47" i="66"/>
  <c r="L48" i="66"/>
  <c r="N48" i="66"/>
  <c r="L49" i="66"/>
  <c r="N49" i="66"/>
  <c r="L50" i="66"/>
  <c r="N50" i="66"/>
  <c r="L51" i="66"/>
  <c r="N51" i="66"/>
  <c r="L52" i="66"/>
  <c r="N52" i="66"/>
  <c r="L53" i="66"/>
  <c r="N53" i="66"/>
  <c r="L54" i="66"/>
  <c r="N54" i="66"/>
  <c r="L55" i="66"/>
  <c r="N55" i="66"/>
  <c r="L56" i="66"/>
  <c r="N56" i="66"/>
  <c r="L57" i="66"/>
  <c r="N57" i="66"/>
  <c r="L58" i="66"/>
  <c r="N58" i="66"/>
  <c r="L59" i="66"/>
  <c r="N59" i="66"/>
  <c r="L60" i="66"/>
  <c r="N60" i="66"/>
  <c r="O60" i="66" s="1"/>
  <c r="L61" i="66"/>
  <c r="N61" i="66"/>
  <c r="L62" i="66"/>
  <c r="N62" i="66"/>
  <c r="L63" i="66"/>
  <c r="N63" i="66"/>
  <c r="L64" i="66"/>
  <c r="N64" i="66"/>
  <c r="L65" i="66"/>
  <c r="N65" i="66"/>
  <c r="L66" i="66"/>
  <c r="N66" i="66"/>
  <c r="L67" i="66"/>
  <c r="N67" i="66"/>
  <c r="L68" i="66"/>
  <c r="N68" i="66"/>
  <c r="L69" i="66"/>
  <c r="N69" i="66"/>
  <c r="L70" i="66"/>
  <c r="N70" i="66"/>
  <c r="L71" i="66"/>
  <c r="N71" i="66"/>
  <c r="L72" i="66"/>
  <c r="N72" i="66"/>
  <c r="D89" i="66"/>
  <c r="D90" i="66"/>
  <c r="D91" i="66"/>
  <c r="J93" i="66"/>
  <c r="L93" i="66"/>
  <c r="D96" i="66"/>
  <c r="L99" i="66"/>
  <c r="M99" i="66"/>
  <c r="N99" i="66"/>
  <c r="O99" i="66" s="1"/>
  <c r="B100" i="66"/>
  <c r="J100" i="66"/>
  <c r="L100" i="66"/>
  <c r="M100" i="66"/>
  <c r="N100" i="66"/>
  <c r="O100" i="66"/>
  <c r="B101" i="66"/>
  <c r="L101" i="66"/>
  <c r="M101" i="66" s="1"/>
  <c r="N101" i="66"/>
  <c r="O101" i="66" s="1"/>
  <c r="D102" i="66"/>
  <c r="B102" i="66" s="1"/>
  <c r="M102" i="66"/>
  <c r="O102" i="66"/>
  <c r="P102" i="66" s="1"/>
  <c r="M103" i="66"/>
  <c r="O103" i="66"/>
  <c r="M104" i="66"/>
  <c r="O104" i="66"/>
  <c r="M105" i="66"/>
  <c r="O105" i="66"/>
  <c r="P105" i="66" s="1"/>
  <c r="M106" i="66"/>
  <c r="O106" i="66"/>
  <c r="M107" i="66"/>
  <c r="O107" i="66"/>
  <c r="M108" i="66"/>
  <c r="O108" i="66"/>
  <c r="M109" i="66"/>
  <c r="O109" i="66"/>
  <c r="P109" i="66" s="1"/>
  <c r="M110" i="66"/>
  <c r="O110" i="66"/>
  <c r="M111" i="66"/>
  <c r="O111" i="66"/>
  <c r="M112" i="66"/>
  <c r="O112" i="66"/>
  <c r="M113" i="66"/>
  <c r="O113" i="66"/>
  <c r="M114" i="66"/>
  <c r="O114" i="66"/>
  <c r="P114" i="66"/>
  <c r="M115" i="66"/>
  <c r="O115" i="66"/>
  <c r="P115" i="66" s="1"/>
  <c r="M116" i="66"/>
  <c r="O116" i="66"/>
  <c r="P116" i="66" s="1"/>
  <c r="M117" i="66"/>
  <c r="O117" i="66"/>
  <c r="M118" i="66"/>
  <c r="O118" i="66"/>
  <c r="P118" i="66" s="1"/>
  <c r="M119" i="66"/>
  <c r="O119" i="66"/>
  <c r="P119" i="66" s="1"/>
  <c r="M120" i="66"/>
  <c r="O120" i="66"/>
  <c r="M121" i="66"/>
  <c r="O121" i="66"/>
  <c r="P121" i="66" s="1"/>
  <c r="M122" i="66"/>
  <c r="O122" i="66"/>
  <c r="M123" i="66"/>
  <c r="O123" i="66"/>
  <c r="M124" i="66"/>
  <c r="O124" i="66"/>
  <c r="M125" i="66"/>
  <c r="O125" i="66"/>
  <c r="P125" i="66" s="1"/>
  <c r="M126" i="66"/>
  <c r="O126" i="66"/>
  <c r="M127" i="66"/>
  <c r="O127" i="66"/>
  <c r="P127" i="66" s="1"/>
  <c r="M128" i="66"/>
  <c r="O128" i="66"/>
  <c r="M129" i="66"/>
  <c r="O129" i="66"/>
  <c r="M130" i="66"/>
  <c r="O130" i="66"/>
  <c r="M131" i="66"/>
  <c r="O131" i="66"/>
  <c r="P131" i="66"/>
  <c r="M132" i="66"/>
  <c r="O132" i="66"/>
  <c r="P132" i="66"/>
  <c r="M133" i="66"/>
  <c r="O133" i="66"/>
  <c r="P133" i="66"/>
  <c r="M134" i="66"/>
  <c r="O134" i="66"/>
  <c r="P134" i="66"/>
  <c r="M135" i="66"/>
  <c r="O135" i="66"/>
  <c r="P135" i="66"/>
  <c r="M136" i="66"/>
  <c r="O136" i="66"/>
  <c r="P136" i="66"/>
  <c r="M137" i="66"/>
  <c r="O137" i="66"/>
  <c r="P137" i="66"/>
  <c r="M138" i="66"/>
  <c r="O138" i="66"/>
  <c r="P138" i="66"/>
  <c r="M139" i="66"/>
  <c r="O139" i="66"/>
  <c r="P139" i="66"/>
  <c r="M140" i="66"/>
  <c r="O140" i="66"/>
  <c r="P140" i="66"/>
  <c r="M141" i="66"/>
  <c r="O141" i="66"/>
  <c r="P141" i="66"/>
  <c r="M142" i="66"/>
  <c r="O142" i="66"/>
  <c r="P142" i="66"/>
  <c r="M143" i="66"/>
  <c r="O143" i="66"/>
  <c r="P143" i="66"/>
  <c r="M144" i="66"/>
  <c r="O144" i="66"/>
  <c r="P144" i="66"/>
  <c r="M145" i="66"/>
  <c r="O145" i="66"/>
  <c r="P145" i="66"/>
  <c r="M146" i="66"/>
  <c r="O146" i="66"/>
  <c r="P146" i="66"/>
  <c r="M147" i="66"/>
  <c r="O147" i="66"/>
  <c r="P147" i="66"/>
  <c r="M148" i="66"/>
  <c r="O148" i="66"/>
  <c r="P148" i="66"/>
  <c r="M149" i="66"/>
  <c r="O149" i="66"/>
  <c r="P149" i="66"/>
  <c r="M150" i="66"/>
  <c r="O150" i="66"/>
  <c r="P150" i="66"/>
  <c r="M151" i="66"/>
  <c r="O151" i="66"/>
  <c r="P151" i="66"/>
  <c r="M152" i="66"/>
  <c r="O152" i="66"/>
  <c r="P152" i="66"/>
  <c r="M153" i="66"/>
  <c r="O153" i="66"/>
  <c r="P153" i="66"/>
  <c r="M154" i="66"/>
  <c r="O154" i="66"/>
  <c r="P154" i="66"/>
  <c r="P1" i="65"/>
  <c r="P83" i="65" s="1"/>
  <c r="D8" i="65"/>
  <c r="D90" i="65" s="1"/>
  <c r="I11" i="65"/>
  <c r="K11" i="65"/>
  <c r="C17" i="65"/>
  <c r="C18" i="65" s="1"/>
  <c r="C19" i="65" s="1"/>
  <c r="C20" i="65" s="1"/>
  <c r="C21" i="65" s="1"/>
  <c r="C22" i="65" s="1"/>
  <c r="C23" i="65" s="1"/>
  <c r="C24" i="65" s="1"/>
  <c r="C25" i="65" s="1"/>
  <c r="C26" i="65" s="1"/>
  <c r="C27" i="65" s="1"/>
  <c r="C28" i="65" s="1"/>
  <c r="C29" i="65" s="1"/>
  <c r="C30" i="65" s="1"/>
  <c r="C31" i="65" s="1"/>
  <c r="C32" i="65" s="1"/>
  <c r="C33" i="65" s="1"/>
  <c r="C34" i="65" s="1"/>
  <c r="C35" i="65" s="1"/>
  <c r="C36" i="65" s="1"/>
  <c r="C37" i="65" s="1"/>
  <c r="C38" i="65" s="1"/>
  <c r="C39" i="65" s="1"/>
  <c r="C40" i="65" s="1"/>
  <c r="C41" i="65" s="1"/>
  <c r="C42" i="65" s="1"/>
  <c r="C43" i="65" s="1"/>
  <c r="C44" i="65" s="1"/>
  <c r="C45" i="65" s="1"/>
  <c r="C46" i="65" s="1"/>
  <c r="C47" i="65" s="1"/>
  <c r="C48" i="65" s="1"/>
  <c r="C49" i="65" s="1"/>
  <c r="C50" i="65" s="1"/>
  <c r="C51" i="65" s="1"/>
  <c r="C52" i="65" s="1"/>
  <c r="C53" i="65" s="1"/>
  <c r="C54" i="65" s="1"/>
  <c r="C55" i="65" s="1"/>
  <c r="C56" i="65" s="1"/>
  <c r="C57" i="65" s="1"/>
  <c r="C58" i="65" s="1"/>
  <c r="C59" i="65" s="1"/>
  <c r="C60" i="65" s="1"/>
  <c r="C61" i="65" s="1"/>
  <c r="C62" i="65" s="1"/>
  <c r="C63" i="65" s="1"/>
  <c r="C64" i="65" s="1"/>
  <c r="C65" i="65" s="1"/>
  <c r="C66" i="65" s="1"/>
  <c r="C67" i="65" s="1"/>
  <c r="C68" i="65" s="1"/>
  <c r="C69" i="65" s="1"/>
  <c r="C70" i="65" s="1"/>
  <c r="C71" i="65" s="1"/>
  <c r="C72" i="65" s="1"/>
  <c r="K17" i="65"/>
  <c r="L17" i="65"/>
  <c r="M17" i="65"/>
  <c r="N17" i="65" s="1"/>
  <c r="B18" i="65"/>
  <c r="K18" i="65"/>
  <c r="L18" i="65" s="1"/>
  <c r="M18" i="65"/>
  <c r="N18" i="65"/>
  <c r="B19" i="65"/>
  <c r="I19" i="65"/>
  <c r="K19" i="65"/>
  <c r="L19" i="65" s="1"/>
  <c r="M19" i="65"/>
  <c r="N19" i="65" s="1"/>
  <c r="B20" i="65"/>
  <c r="K20" i="65"/>
  <c r="L20" i="65" s="1"/>
  <c r="M20" i="65"/>
  <c r="N20" i="65"/>
  <c r="B21" i="65"/>
  <c r="L22" i="65"/>
  <c r="N22" i="65"/>
  <c r="L23" i="65"/>
  <c r="N23" i="65"/>
  <c r="L24" i="65"/>
  <c r="N24" i="65"/>
  <c r="L25" i="65"/>
  <c r="N25" i="65"/>
  <c r="L26" i="65"/>
  <c r="N26" i="65"/>
  <c r="L27" i="65"/>
  <c r="N27" i="65"/>
  <c r="L28" i="65"/>
  <c r="N28" i="65"/>
  <c r="L29" i="65"/>
  <c r="N29" i="65"/>
  <c r="L30" i="65"/>
  <c r="N30" i="65"/>
  <c r="L31" i="65"/>
  <c r="N31" i="65"/>
  <c r="L32" i="65"/>
  <c r="N32" i="65"/>
  <c r="L33" i="65"/>
  <c r="N33" i="65"/>
  <c r="L34" i="65"/>
  <c r="N34" i="65"/>
  <c r="L35" i="65"/>
  <c r="N35" i="65"/>
  <c r="L36" i="65"/>
  <c r="N36" i="65"/>
  <c r="L37" i="65"/>
  <c r="N37" i="65"/>
  <c r="L38" i="65"/>
  <c r="N38" i="65"/>
  <c r="L39" i="65"/>
  <c r="N39" i="65"/>
  <c r="L40" i="65"/>
  <c r="N40" i="65"/>
  <c r="L41" i="65"/>
  <c r="N41" i="65"/>
  <c r="O41" i="65" s="1"/>
  <c r="L42" i="65"/>
  <c r="N42" i="65"/>
  <c r="L43" i="65"/>
  <c r="N43" i="65"/>
  <c r="L44" i="65"/>
  <c r="N44" i="65"/>
  <c r="L45" i="65"/>
  <c r="N45" i="65"/>
  <c r="L46" i="65"/>
  <c r="N46" i="65"/>
  <c r="L47" i="65"/>
  <c r="N47" i="65"/>
  <c r="L48" i="65"/>
  <c r="N48" i="65"/>
  <c r="L49" i="65"/>
  <c r="N49" i="65"/>
  <c r="L50" i="65"/>
  <c r="N50" i="65"/>
  <c r="L51" i="65"/>
  <c r="N51" i="65"/>
  <c r="L52" i="65"/>
  <c r="N52" i="65"/>
  <c r="O52" i="65" s="1"/>
  <c r="L53" i="65"/>
  <c r="N53" i="65"/>
  <c r="L54" i="65"/>
  <c r="N54" i="65"/>
  <c r="L55" i="65"/>
  <c r="N55" i="65"/>
  <c r="L56" i="65"/>
  <c r="N56" i="65"/>
  <c r="L57" i="65"/>
  <c r="N57" i="65"/>
  <c r="L58" i="65"/>
  <c r="N58" i="65"/>
  <c r="L59" i="65"/>
  <c r="N59" i="65"/>
  <c r="L60" i="65"/>
  <c r="N60" i="65"/>
  <c r="L61" i="65"/>
  <c r="N61" i="65"/>
  <c r="L62" i="65"/>
  <c r="N62" i="65"/>
  <c r="L63" i="65"/>
  <c r="N63" i="65"/>
  <c r="L64" i="65"/>
  <c r="N64" i="65"/>
  <c r="L65" i="65"/>
  <c r="N65" i="65"/>
  <c r="L66" i="65"/>
  <c r="N66" i="65"/>
  <c r="L67" i="65"/>
  <c r="N67" i="65"/>
  <c r="L68" i="65"/>
  <c r="N68" i="65"/>
  <c r="L69" i="65"/>
  <c r="N69" i="65"/>
  <c r="L70" i="65"/>
  <c r="N70" i="65"/>
  <c r="L71" i="65"/>
  <c r="N71" i="65"/>
  <c r="L72" i="65"/>
  <c r="N72" i="65"/>
  <c r="D89" i="65"/>
  <c r="D91" i="65"/>
  <c r="J93" i="65"/>
  <c r="L93" i="65"/>
  <c r="D96" i="65"/>
  <c r="L99" i="65"/>
  <c r="M99" i="65"/>
  <c r="N99" i="65"/>
  <c r="O99" i="65" s="1"/>
  <c r="B100" i="65"/>
  <c r="J100" i="65"/>
  <c r="L100" i="65"/>
  <c r="M100" i="65"/>
  <c r="N100" i="65"/>
  <c r="O100" i="65" s="1"/>
  <c r="B101" i="65"/>
  <c r="L101" i="65"/>
  <c r="M101" i="65"/>
  <c r="N101" i="65"/>
  <c r="O101" i="65"/>
  <c r="P101" i="65"/>
  <c r="M102" i="65"/>
  <c r="O102" i="65"/>
  <c r="M103" i="65"/>
  <c r="O103" i="65"/>
  <c r="M104" i="65"/>
  <c r="O104" i="65"/>
  <c r="M105" i="65"/>
  <c r="O105" i="65"/>
  <c r="M106" i="65"/>
  <c r="O106" i="65"/>
  <c r="M107" i="65"/>
  <c r="O107" i="65"/>
  <c r="M108" i="65"/>
  <c r="O108" i="65"/>
  <c r="M109" i="65"/>
  <c r="O109" i="65"/>
  <c r="M110" i="65"/>
  <c r="O110" i="65"/>
  <c r="M111" i="65"/>
  <c r="O111" i="65"/>
  <c r="M112" i="65"/>
  <c r="O112" i="65"/>
  <c r="M113" i="65"/>
  <c r="O113" i="65"/>
  <c r="M114" i="65"/>
  <c r="O114" i="65"/>
  <c r="M115" i="65"/>
  <c r="O115" i="65"/>
  <c r="M116" i="65"/>
  <c r="O116" i="65"/>
  <c r="M117" i="65"/>
  <c r="O117" i="65"/>
  <c r="M118" i="65"/>
  <c r="O118" i="65"/>
  <c r="M119" i="65"/>
  <c r="O119" i="65"/>
  <c r="M120" i="65"/>
  <c r="O120" i="65"/>
  <c r="M121" i="65"/>
  <c r="O121" i="65"/>
  <c r="M122" i="65"/>
  <c r="O122" i="65"/>
  <c r="M123" i="65"/>
  <c r="O123" i="65"/>
  <c r="M124" i="65"/>
  <c r="O124" i="65"/>
  <c r="M125" i="65"/>
  <c r="O125" i="65"/>
  <c r="M126" i="65"/>
  <c r="O126" i="65"/>
  <c r="M127" i="65"/>
  <c r="O127" i="65"/>
  <c r="M128" i="65"/>
  <c r="O128" i="65"/>
  <c r="M129" i="65"/>
  <c r="O129" i="65"/>
  <c r="M130" i="65"/>
  <c r="O130" i="65"/>
  <c r="M131" i="65"/>
  <c r="O131" i="65"/>
  <c r="P131" i="65"/>
  <c r="M132" i="65"/>
  <c r="O132" i="65"/>
  <c r="P132" i="65"/>
  <c r="M133" i="65"/>
  <c r="O133" i="65"/>
  <c r="P133" i="65"/>
  <c r="M134" i="65"/>
  <c r="O134" i="65"/>
  <c r="P134" i="65"/>
  <c r="M135" i="65"/>
  <c r="O135" i="65"/>
  <c r="P135" i="65"/>
  <c r="M136" i="65"/>
  <c r="O136" i="65"/>
  <c r="P136" i="65"/>
  <c r="M137" i="65"/>
  <c r="O137" i="65"/>
  <c r="P137" i="65"/>
  <c r="M138" i="65"/>
  <c r="O138" i="65"/>
  <c r="P138" i="65"/>
  <c r="M139" i="65"/>
  <c r="O139" i="65"/>
  <c r="P139" i="65"/>
  <c r="M140" i="65"/>
  <c r="O140" i="65"/>
  <c r="P140" i="65"/>
  <c r="M141" i="65"/>
  <c r="O141" i="65"/>
  <c r="P141" i="65"/>
  <c r="M142" i="65"/>
  <c r="O142" i="65"/>
  <c r="P142" i="65"/>
  <c r="M143" i="65"/>
  <c r="O143" i="65"/>
  <c r="P143" i="65"/>
  <c r="M144" i="65"/>
  <c r="O144" i="65"/>
  <c r="P144" i="65"/>
  <c r="M145" i="65"/>
  <c r="O145" i="65"/>
  <c r="P145" i="65"/>
  <c r="M146" i="65"/>
  <c r="O146" i="65"/>
  <c r="P146" i="65"/>
  <c r="M147" i="65"/>
  <c r="O147" i="65"/>
  <c r="P147" i="65"/>
  <c r="M148" i="65"/>
  <c r="O148" i="65"/>
  <c r="P148" i="65"/>
  <c r="M149" i="65"/>
  <c r="O149" i="65"/>
  <c r="P149" i="65"/>
  <c r="M150" i="65"/>
  <c r="O150" i="65"/>
  <c r="P150" i="65"/>
  <c r="M151" i="65"/>
  <c r="O151" i="65"/>
  <c r="P151" i="65"/>
  <c r="M152" i="65"/>
  <c r="O152" i="65"/>
  <c r="P152" i="65"/>
  <c r="M153" i="65"/>
  <c r="O153" i="65"/>
  <c r="P153" i="65"/>
  <c r="M154" i="65"/>
  <c r="O154" i="65"/>
  <c r="P154" i="65"/>
  <c r="P1" i="64"/>
  <c r="P83" i="64" s="1"/>
  <c r="D8" i="64"/>
  <c r="D90" i="64"/>
  <c r="I11" i="64"/>
  <c r="K11" i="64"/>
  <c r="C17" i="64"/>
  <c r="C18" i="64"/>
  <c r="C19" i="64" s="1"/>
  <c r="C20" i="64" s="1"/>
  <c r="C21" i="64" s="1"/>
  <c r="C22" i="64" s="1"/>
  <c r="C23" i="64" s="1"/>
  <c r="C24" i="64" s="1"/>
  <c r="C25" i="64" s="1"/>
  <c r="C26" i="64" s="1"/>
  <c r="C27" i="64" s="1"/>
  <c r="C28" i="64" s="1"/>
  <c r="C29" i="64" s="1"/>
  <c r="C30" i="64" s="1"/>
  <c r="C31" i="64" s="1"/>
  <c r="C32" i="64" s="1"/>
  <c r="C33" i="64" s="1"/>
  <c r="C34" i="64" s="1"/>
  <c r="C35" i="64" s="1"/>
  <c r="C36" i="64" s="1"/>
  <c r="C37" i="64" s="1"/>
  <c r="C38" i="64" s="1"/>
  <c r="C39" i="64" s="1"/>
  <c r="C40" i="64" s="1"/>
  <c r="C41" i="64" s="1"/>
  <c r="C42" i="64" s="1"/>
  <c r="C43" i="64" s="1"/>
  <c r="C44" i="64" s="1"/>
  <c r="C45" i="64" s="1"/>
  <c r="C46" i="64" s="1"/>
  <c r="C47" i="64" s="1"/>
  <c r="C48" i="64" s="1"/>
  <c r="C49" i="64" s="1"/>
  <c r="C50" i="64" s="1"/>
  <c r="C51" i="64" s="1"/>
  <c r="C52" i="64" s="1"/>
  <c r="C53" i="64" s="1"/>
  <c r="C54" i="64" s="1"/>
  <c r="C55" i="64" s="1"/>
  <c r="C56" i="64" s="1"/>
  <c r="C57" i="64" s="1"/>
  <c r="C58" i="64" s="1"/>
  <c r="C59" i="64" s="1"/>
  <c r="C60" i="64" s="1"/>
  <c r="C61" i="64" s="1"/>
  <c r="C62" i="64" s="1"/>
  <c r="C63" i="64" s="1"/>
  <c r="C64" i="64" s="1"/>
  <c r="C65" i="64" s="1"/>
  <c r="C66" i="64" s="1"/>
  <c r="C67" i="64" s="1"/>
  <c r="C68" i="64" s="1"/>
  <c r="C69" i="64" s="1"/>
  <c r="C70" i="64" s="1"/>
  <c r="C71" i="64" s="1"/>
  <c r="C72" i="64" s="1"/>
  <c r="K17" i="64"/>
  <c r="L17" i="64" s="1"/>
  <c r="M17" i="64"/>
  <c r="N17" i="64" s="1"/>
  <c r="B18" i="64"/>
  <c r="K18" i="64"/>
  <c r="L18" i="64"/>
  <c r="M18" i="64"/>
  <c r="N18" i="64"/>
  <c r="B19" i="64"/>
  <c r="K19" i="64"/>
  <c r="L19" i="64" s="1"/>
  <c r="M19" i="64"/>
  <c r="N19" i="64" s="1"/>
  <c r="B20" i="64"/>
  <c r="I20" i="64"/>
  <c r="K20" i="64"/>
  <c r="L20" i="64" s="1"/>
  <c r="M20" i="64"/>
  <c r="N20" i="64" s="1"/>
  <c r="B21" i="64"/>
  <c r="K21" i="64"/>
  <c r="L21" i="64"/>
  <c r="M21" i="64"/>
  <c r="N21" i="64"/>
  <c r="B22" i="64"/>
  <c r="L23" i="64"/>
  <c r="N23" i="64"/>
  <c r="L24" i="64"/>
  <c r="N24" i="64"/>
  <c r="L25" i="64"/>
  <c r="N25" i="64"/>
  <c r="L26" i="64"/>
  <c r="N26" i="64"/>
  <c r="L27" i="64"/>
  <c r="N27" i="64"/>
  <c r="L28" i="64"/>
  <c r="N28" i="64"/>
  <c r="L29" i="64"/>
  <c r="N29" i="64"/>
  <c r="L30" i="64"/>
  <c r="N30" i="64"/>
  <c r="L31" i="64"/>
  <c r="N31" i="64"/>
  <c r="L32" i="64"/>
  <c r="N32" i="64"/>
  <c r="L33" i="64"/>
  <c r="N33" i="64"/>
  <c r="L34" i="64"/>
  <c r="N34" i="64"/>
  <c r="L35" i="64"/>
  <c r="N35" i="64"/>
  <c r="L36" i="64"/>
  <c r="N36" i="64"/>
  <c r="L37" i="64"/>
  <c r="N37" i="64"/>
  <c r="L38" i="64"/>
  <c r="N38" i="64"/>
  <c r="L39" i="64"/>
  <c r="N39" i="64"/>
  <c r="L40" i="64"/>
  <c r="N40" i="64"/>
  <c r="L41" i="64"/>
  <c r="N41" i="64"/>
  <c r="L42" i="64"/>
  <c r="N42" i="64"/>
  <c r="L43" i="64"/>
  <c r="N43" i="64"/>
  <c r="L44" i="64"/>
  <c r="N44" i="64"/>
  <c r="L45" i="64"/>
  <c r="N45" i="64"/>
  <c r="L46" i="64"/>
  <c r="N46" i="64"/>
  <c r="L47" i="64"/>
  <c r="N47" i="64"/>
  <c r="O47" i="64" s="1"/>
  <c r="L48" i="64"/>
  <c r="N48" i="64"/>
  <c r="L49" i="64"/>
  <c r="N49" i="64"/>
  <c r="L50" i="64"/>
  <c r="O50" i="64" s="1"/>
  <c r="N50" i="64"/>
  <c r="L51" i="64"/>
  <c r="N51" i="64"/>
  <c r="O51" i="64"/>
  <c r="L52" i="64"/>
  <c r="N52" i="64"/>
  <c r="L53" i="64"/>
  <c r="N53" i="64"/>
  <c r="O53" i="64" s="1"/>
  <c r="L54" i="64"/>
  <c r="N54" i="64"/>
  <c r="L55" i="64"/>
  <c r="N55" i="64"/>
  <c r="L56" i="64"/>
  <c r="N56" i="64"/>
  <c r="L57" i="64"/>
  <c r="N57" i="64"/>
  <c r="O57" i="64" s="1"/>
  <c r="L58" i="64"/>
  <c r="O58" i="64" s="1"/>
  <c r="N58" i="64"/>
  <c r="L59" i="64"/>
  <c r="N59" i="64"/>
  <c r="O59" i="64" s="1"/>
  <c r="L60" i="64"/>
  <c r="N60" i="64"/>
  <c r="L61" i="64"/>
  <c r="N61" i="64"/>
  <c r="O61" i="64" s="1"/>
  <c r="L62" i="64"/>
  <c r="O62" i="64" s="1"/>
  <c r="N62" i="64"/>
  <c r="L63" i="64"/>
  <c r="N63" i="64"/>
  <c r="L64" i="64"/>
  <c r="N64" i="64"/>
  <c r="L65" i="64"/>
  <c r="N65" i="64"/>
  <c r="L66" i="64"/>
  <c r="N66" i="64"/>
  <c r="L67" i="64"/>
  <c r="N67" i="64"/>
  <c r="L68" i="64"/>
  <c r="N68" i="64"/>
  <c r="L69" i="64"/>
  <c r="N69" i="64"/>
  <c r="L70" i="64"/>
  <c r="N70" i="64"/>
  <c r="L71" i="64"/>
  <c r="N71" i="64"/>
  <c r="L72" i="64"/>
  <c r="N72" i="64"/>
  <c r="D89" i="64"/>
  <c r="D91" i="64"/>
  <c r="D92" i="64"/>
  <c r="D103" i="64" s="1"/>
  <c r="B103" i="64" s="1"/>
  <c r="J93" i="64"/>
  <c r="L93" i="64"/>
  <c r="D96" i="64"/>
  <c r="L99" i="64"/>
  <c r="M99" i="64" s="1"/>
  <c r="N99" i="64"/>
  <c r="O99" i="64" s="1"/>
  <c r="B100" i="64"/>
  <c r="J100" i="64"/>
  <c r="L100" i="64"/>
  <c r="M100" i="64" s="1"/>
  <c r="N100" i="64"/>
  <c r="O100" i="64" s="1"/>
  <c r="B101" i="64"/>
  <c r="J101" i="64"/>
  <c r="L101" i="64"/>
  <c r="M101" i="64" s="1"/>
  <c r="N101" i="64"/>
  <c r="O101" i="64" s="1"/>
  <c r="B102" i="64"/>
  <c r="L102" i="64"/>
  <c r="M102" i="64"/>
  <c r="N102" i="64"/>
  <c r="O102" i="64"/>
  <c r="P102" i="64" s="1"/>
  <c r="M103" i="64"/>
  <c r="O103" i="64"/>
  <c r="M104" i="64"/>
  <c r="O104" i="64"/>
  <c r="M105" i="64"/>
  <c r="O105" i="64"/>
  <c r="M106" i="64"/>
  <c r="O106" i="64"/>
  <c r="M107" i="64"/>
  <c r="O107" i="64"/>
  <c r="M108" i="64"/>
  <c r="O108" i="64"/>
  <c r="M109" i="64"/>
  <c r="O109" i="64"/>
  <c r="M110" i="64"/>
  <c r="O110" i="64"/>
  <c r="M111" i="64"/>
  <c r="O111" i="64"/>
  <c r="M112" i="64"/>
  <c r="O112" i="64"/>
  <c r="M113" i="64"/>
  <c r="O113" i="64"/>
  <c r="M114" i="64"/>
  <c r="O114" i="64"/>
  <c r="M115" i="64"/>
  <c r="O115" i="64"/>
  <c r="P115" i="64" s="1"/>
  <c r="M116" i="64"/>
  <c r="O116" i="64"/>
  <c r="P116" i="64" s="1"/>
  <c r="M117" i="64"/>
  <c r="O117" i="64"/>
  <c r="M118" i="64"/>
  <c r="O118" i="64"/>
  <c r="M119" i="64"/>
  <c r="O119" i="64"/>
  <c r="M120" i="64"/>
  <c r="O120" i="64"/>
  <c r="M121" i="64"/>
  <c r="O121" i="64"/>
  <c r="P121" i="64" s="1"/>
  <c r="M122" i="64"/>
  <c r="O122" i="64"/>
  <c r="M123" i="64"/>
  <c r="O123" i="64"/>
  <c r="M124" i="64"/>
  <c r="O124" i="64"/>
  <c r="P124" i="64" s="1"/>
  <c r="M125" i="64"/>
  <c r="O125" i="64"/>
  <c r="M126" i="64"/>
  <c r="O126" i="64"/>
  <c r="M127" i="64"/>
  <c r="O127" i="64"/>
  <c r="P127" i="64" s="1"/>
  <c r="M128" i="64"/>
  <c r="O128" i="64"/>
  <c r="M129" i="64"/>
  <c r="O129" i="64"/>
  <c r="P129" i="64" s="1"/>
  <c r="M130" i="64"/>
  <c r="O130" i="64"/>
  <c r="M131" i="64"/>
  <c r="O131" i="64"/>
  <c r="P131" i="64"/>
  <c r="M132" i="64"/>
  <c r="O132" i="64"/>
  <c r="P132" i="64"/>
  <c r="M133" i="64"/>
  <c r="O133" i="64"/>
  <c r="P133" i="64"/>
  <c r="M134" i="64"/>
  <c r="O134" i="64"/>
  <c r="P134" i="64"/>
  <c r="M135" i="64"/>
  <c r="O135" i="64"/>
  <c r="P135" i="64"/>
  <c r="M136" i="64"/>
  <c r="O136" i="64"/>
  <c r="P136" i="64"/>
  <c r="M137" i="64"/>
  <c r="O137" i="64"/>
  <c r="P137" i="64"/>
  <c r="M138" i="64"/>
  <c r="O138" i="64"/>
  <c r="P138" i="64"/>
  <c r="M139" i="64"/>
  <c r="O139" i="64"/>
  <c r="P139" i="64"/>
  <c r="M140" i="64"/>
  <c r="O140" i="64"/>
  <c r="P140" i="64"/>
  <c r="M141" i="64"/>
  <c r="O141" i="64"/>
  <c r="P141" i="64"/>
  <c r="M142" i="64"/>
  <c r="O142" i="64"/>
  <c r="P142" i="64"/>
  <c r="M143" i="64"/>
  <c r="O143" i="64"/>
  <c r="P143" i="64"/>
  <c r="M144" i="64"/>
  <c r="O144" i="64"/>
  <c r="P144" i="64"/>
  <c r="M145" i="64"/>
  <c r="O145" i="64"/>
  <c r="P145" i="64"/>
  <c r="M146" i="64"/>
  <c r="O146" i="64"/>
  <c r="P146" i="64"/>
  <c r="M147" i="64"/>
  <c r="O147" i="64"/>
  <c r="P147" i="64"/>
  <c r="M148" i="64"/>
  <c r="O148" i="64"/>
  <c r="P148" i="64"/>
  <c r="M149" i="64"/>
  <c r="O149" i="64"/>
  <c r="P149" i="64"/>
  <c r="M150" i="64"/>
  <c r="O150" i="64"/>
  <c r="P150" i="64"/>
  <c r="M151" i="64"/>
  <c r="O151" i="64"/>
  <c r="P151" i="64"/>
  <c r="M152" i="64"/>
  <c r="O152" i="64"/>
  <c r="P152" i="64"/>
  <c r="M153" i="64"/>
  <c r="O153" i="64"/>
  <c r="P153" i="64"/>
  <c r="M154" i="64"/>
  <c r="O154" i="64"/>
  <c r="P154" i="64"/>
  <c r="P1" i="60"/>
  <c r="P83" i="60" s="1"/>
  <c r="D8" i="60"/>
  <c r="D90" i="60" s="1"/>
  <c r="I11" i="60"/>
  <c r="K11" i="60"/>
  <c r="C17" i="60"/>
  <c r="C18" i="60" s="1"/>
  <c r="C19" i="60" s="1"/>
  <c r="C20" i="60" s="1"/>
  <c r="C21" i="60"/>
  <c r="C22" i="60" s="1"/>
  <c r="C23" i="60" s="1"/>
  <c r="C24" i="60" s="1"/>
  <c r="C25" i="60" s="1"/>
  <c r="C26" i="60" s="1"/>
  <c r="C27" i="60" s="1"/>
  <c r="C28" i="60" s="1"/>
  <c r="C29" i="60" s="1"/>
  <c r="C30" i="60" s="1"/>
  <c r="C31" i="60" s="1"/>
  <c r="C32" i="60" s="1"/>
  <c r="C33" i="60" s="1"/>
  <c r="C34" i="60" s="1"/>
  <c r="C35" i="60" s="1"/>
  <c r="C36" i="60" s="1"/>
  <c r="C37" i="60" s="1"/>
  <c r="C38" i="60" s="1"/>
  <c r="C39" i="60" s="1"/>
  <c r="C40" i="60" s="1"/>
  <c r="C41" i="60" s="1"/>
  <c r="C42" i="60" s="1"/>
  <c r="C43" i="60" s="1"/>
  <c r="C44" i="60" s="1"/>
  <c r="K17" i="60"/>
  <c r="L17" i="60" s="1"/>
  <c r="M17" i="60"/>
  <c r="N17" i="60" s="1"/>
  <c r="B18" i="60"/>
  <c r="K18" i="60"/>
  <c r="L18" i="60"/>
  <c r="M18" i="60"/>
  <c r="N18" i="60"/>
  <c r="B19" i="60"/>
  <c r="K19" i="60"/>
  <c r="L19" i="60" s="1"/>
  <c r="M19" i="60"/>
  <c r="N19" i="60" s="1"/>
  <c r="B20" i="60"/>
  <c r="I20" i="60"/>
  <c r="K20" i="60"/>
  <c r="L20" i="60" s="1"/>
  <c r="M20" i="60"/>
  <c r="N20" i="60" s="1"/>
  <c r="B21" i="60"/>
  <c r="K21" i="60"/>
  <c r="L21" i="60"/>
  <c r="M21" i="60"/>
  <c r="N21" i="60"/>
  <c r="B22" i="60"/>
  <c r="L23" i="60"/>
  <c r="N23" i="60"/>
  <c r="L24" i="60"/>
  <c r="N24" i="60"/>
  <c r="L25" i="60"/>
  <c r="N25" i="60"/>
  <c r="L26" i="60"/>
  <c r="N26" i="60"/>
  <c r="L27" i="60"/>
  <c r="N27" i="60"/>
  <c r="L28" i="60"/>
  <c r="N28" i="60"/>
  <c r="L29" i="60"/>
  <c r="N29" i="60"/>
  <c r="L30" i="60"/>
  <c r="O30" i="60" s="1"/>
  <c r="N30" i="60"/>
  <c r="L31" i="60"/>
  <c r="N31" i="60"/>
  <c r="L32" i="60"/>
  <c r="N32" i="60"/>
  <c r="L33" i="60"/>
  <c r="N33" i="60"/>
  <c r="L34" i="60"/>
  <c r="N34" i="60"/>
  <c r="L35" i="60"/>
  <c r="N35" i="60"/>
  <c r="L36" i="60"/>
  <c r="N36" i="60"/>
  <c r="L37" i="60"/>
  <c r="N37" i="60"/>
  <c r="L38" i="60"/>
  <c r="N38" i="60"/>
  <c r="L39" i="60"/>
  <c r="N39" i="60"/>
  <c r="L40" i="60"/>
  <c r="N40" i="60"/>
  <c r="L41" i="60"/>
  <c r="N41" i="60"/>
  <c r="L42" i="60"/>
  <c r="N42" i="60"/>
  <c r="L43" i="60"/>
  <c r="N43" i="60"/>
  <c r="L44" i="60"/>
  <c r="N44" i="60"/>
  <c r="L45" i="60"/>
  <c r="N45" i="60"/>
  <c r="L46" i="60"/>
  <c r="N46" i="60"/>
  <c r="L47" i="60"/>
  <c r="N47" i="60"/>
  <c r="L48" i="60"/>
  <c r="N48" i="60"/>
  <c r="L49" i="60"/>
  <c r="N49" i="60"/>
  <c r="L50" i="60"/>
  <c r="N50" i="60"/>
  <c r="L51" i="60"/>
  <c r="N51" i="60"/>
  <c r="O51" i="60" s="1"/>
  <c r="L52" i="60"/>
  <c r="N52" i="60"/>
  <c r="O52" i="60"/>
  <c r="L53" i="60"/>
  <c r="N53" i="60"/>
  <c r="L54" i="60"/>
  <c r="N54" i="60"/>
  <c r="O54" i="60" s="1"/>
  <c r="L55" i="60"/>
  <c r="N55" i="60"/>
  <c r="L56" i="60"/>
  <c r="N56" i="60"/>
  <c r="O56" i="60" s="1"/>
  <c r="L57" i="60"/>
  <c r="N57" i="60"/>
  <c r="L58" i="60"/>
  <c r="N58" i="60"/>
  <c r="Q58" i="60"/>
  <c r="L59" i="60"/>
  <c r="N59" i="60"/>
  <c r="L60" i="60"/>
  <c r="N60" i="60"/>
  <c r="L61" i="60"/>
  <c r="N61" i="60"/>
  <c r="L62" i="60"/>
  <c r="N62" i="60"/>
  <c r="L63" i="60"/>
  <c r="N63" i="60"/>
  <c r="L64" i="60"/>
  <c r="N64" i="60"/>
  <c r="L65" i="60"/>
  <c r="N65" i="60"/>
  <c r="L66" i="60"/>
  <c r="N66" i="60"/>
  <c r="L67" i="60"/>
  <c r="N67" i="60"/>
  <c r="L68" i="60"/>
  <c r="N68" i="60"/>
  <c r="L69" i="60"/>
  <c r="N69" i="60"/>
  <c r="L70" i="60"/>
  <c r="N70" i="60"/>
  <c r="L71" i="60"/>
  <c r="N71" i="60"/>
  <c r="L72" i="60"/>
  <c r="N72" i="60"/>
  <c r="D89" i="60"/>
  <c r="D91" i="60"/>
  <c r="D92" i="60"/>
  <c r="J93" i="60"/>
  <c r="L93" i="60"/>
  <c r="D94" i="60"/>
  <c r="D96" i="60"/>
  <c r="C99" i="60"/>
  <c r="C100" i="60"/>
  <c r="C101" i="60"/>
  <c r="C102" i="60" s="1"/>
  <c r="C103" i="60" s="1"/>
  <c r="C104" i="60" s="1"/>
  <c r="C105" i="60"/>
  <c r="C106" i="60" s="1"/>
  <c r="C107" i="60" s="1"/>
  <c r="C108" i="60" s="1"/>
  <c r="C109" i="60" s="1"/>
  <c r="C110" i="60" s="1"/>
  <c r="C111" i="60" s="1"/>
  <c r="C112" i="60" s="1"/>
  <c r="C113" i="60" s="1"/>
  <c r="C114" i="60" s="1"/>
  <c r="C115" i="60" s="1"/>
  <c r="C116" i="60" s="1"/>
  <c r="C117" i="60" s="1"/>
  <c r="C118" i="60" s="1"/>
  <c r="C119" i="60" s="1"/>
  <c r="C120" i="60" s="1"/>
  <c r="C121" i="60" s="1"/>
  <c r="C122" i="60" s="1"/>
  <c r="C123" i="60" s="1"/>
  <c r="C124" i="60" s="1"/>
  <c r="C125" i="60" s="1"/>
  <c r="C126" i="60" s="1"/>
  <c r="L99" i="60"/>
  <c r="M99" i="60" s="1"/>
  <c r="N99" i="60"/>
  <c r="O99" i="60" s="1"/>
  <c r="P99" i="60" s="1"/>
  <c r="B100" i="60"/>
  <c r="L100" i="60"/>
  <c r="M100" i="60" s="1"/>
  <c r="N100" i="60"/>
  <c r="O100" i="60" s="1"/>
  <c r="B101" i="60"/>
  <c r="J101" i="60"/>
  <c r="L101" i="60"/>
  <c r="M101" i="60"/>
  <c r="N101" i="60"/>
  <c r="O101" i="60" s="1"/>
  <c r="B102" i="60"/>
  <c r="L102" i="60"/>
  <c r="M102" i="60"/>
  <c r="N102" i="60"/>
  <c r="O102" i="60" s="1"/>
  <c r="D103" i="60"/>
  <c r="B103" i="60"/>
  <c r="M103" i="60"/>
  <c r="O103" i="60"/>
  <c r="M104" i="60"/>
  <c r="O104" i="60"/>
  <c r="M105" i="60"/>
  <c r="O105" i="60"/>
  <c r="M106" i="60"/>
  <c r="O106" i="60"/>
  <c r="M107" i="60"/>
  <c r="O107" i="60"/>
  <c r="M108" i="60"/>
  <c r="O108" i="60"/>
  <c r="M109" i="60"/>
  <c r="O109" i="60"/>
  <c r="M110" i="60"/>
  <c r="O110" i="60"/>
  <c r="P110" i="60" s="1"/>
  <c r="M111" i="60"/>
  <c r="O111" i="60"/>
  <c r="M112" i="60"/>
  <c r="O112" i="60"/>
  <c r="M113" i="60"/>
  <c r="O113" i="60"/>
  <c r="M114" i="60"/>
  <c r="O114" i="60"/>
  <c r="M115" i="60"/>
  <c r="O115" i="60"/>
  <c r="M116" i="60"/>
  <c r="O116" i="60"/>
  <c r="M117" i="60"/>
  <c r="O117" i="60"/>
  <c r="M118" i="60"/>
  <c r="O118" i="60"/>
  <c r="M119" i="60"/>
  <c r="O119" i="60"/>
  <c r="M120" i="60"/>
  <c r="O120" i="60"/>
  <c r="M121" i="60"/>
  <c r="O121" i="60"/>
  <c r="M122" i="60"/>
  <c r="O122" i="60"/>
  <c r="P122" i="60" s="1"/>
  <c r="M123" i="60"/>
  <c r="O123" i="60"/>
  <c r="M124" i="60"/>
  <c r="O124" i="60"/>
  <c r="M125" i="60"/>
  <c r="O125" i="60"/>
  <c r="M126" i="60"/>
  <c r="O126" i="60"/>
  <c r="M127" i="60"/>
  <c r="O127" i="60"/>
  <c r="M128" i="60"/>
  <c r="O128" i="60"/>
  <c r="M129" i="60"/>
  <c r="O129" i="60"/>
  <c r="M130" i="60"/>
  <c r="O130" i="60"/>
  <c r="M131" i="60"/>
  <c r="O131" i="60"/>
  <c r="P131" i="60"/>
  <c r="M132" i="60"/>
  <c r="O132" i="60"/>
  <c r="P132" i="60"/>
  <c r="M133" i="60"/>
  <c r="O133" i="60"/>
  <c r="P133" i="60"/>
  <c r="M134" i="60"/>
  <c r="O134" i="60"/>
  <c r="P134" i="60"/>
  <c r="M135" i="60"/>
  <c r="O135" i="60"/>
  <c r="P135" i="60"/>
  <c r="M136" i="60"/>
  <c r="O136" i="60"/>
  <c r="P136" i="60"/>
  <c r="M137" i="60"/>
  <c r="O137" i="60"/>
  <c r="P137" i="60"/>
  <c r="M138" i="60"/>
  <c r="O138" i="60"/>
  <c r="P138" i="60"/>
  <c r="M139" i="60"/>
  <c r="O139" i="60"/>
  <c r="P139" i="60"/>
  <c r="M140" i="60"/>
  <c r="O140" i="60"/>
  <c r="P140" i="60"/>
  <c r="M141" i="60"/>
  <c r="O141" i="60"/>
  <c r="P141" i="60"/>
  <c r="M142" i="60"/>
  <c r="O142" i="60"/>
  <c r="P142" i="60"/>
  <c r="M143" i="60"/>
  <c r="O143" i="60"/>
  <c r="P143" i="60"/>
  <c r="M144" i="60"/>
  <c r="O144" i="60"/>
  <c r="P144" i="60"/>
  <c r="M145" i="60"/>
  <c r="O145" i="60"/>
  <c r="P145" i="60"/>
  <c r="M146" i="60"/>
  <c r="O146" i="60"/>
  <c r="P146" i="60"/>
  <c r="M147" i="60"/>
  <c r="O147" i="60"/>
  <c r="P147" i="60"/>
  <c r="M148" i="60"/>
  <c r="O148" i="60"/>
  <c r="P148" i="60"/>
  <c r="M149" i="60"/>
  <c r="O149" i="60"/>
  <c r="P149" i="60"/>
  <c r="M150" i="60"/>
  <c r="O150" i="60"/>
  <c r="P150" i="60"/>
  <c r="M151" i="60"/>
  <c r="O151" i="60"/>
  <c r="P151" i="60"/>
  <c r="M152" i="60"/>
  <c r="O152" i="60"/>
  <c r="P152" i="60"/>
  <c r="M153" i="60"/>
  <c r="O153" i="60"/>
  <c r="P153" i="60"/>
  <c r="M154" i="60"/>
  <c r="O154" i="60"/>
  <c r="P154" i="60"/>
  <c r="P1" i="62"/>
  <c r="P83" i="62" s="1"/>
  <c r="D8" i="62"/>
  <c r="D90" i="62"/>
  <c r="I11" i="62"/>
  <c r="K11" i="62"/>
  <c r="C17" i="62"/>
  <c r="C18" i="62"/>
  <c r="C19" i="62" s="1"/>
  <c r="C20" i="62" s="1"/>
  <c r="C21" i="62" s="1"/>
  <c r="C22" i="62" s="1"/>
  <c r="C23" i="62" s="1"/>
  <c r="C24" i="62" s="1"/>
  <c r="C25" i="62" s="1"/>
  <c r="C26" i="62" s="1"/>
  <c r="C27" i="62" s="1"/>
  <c r="C28" i="62" s="1"/>
  <c r="C29" i="62" s="1"/>
  <c r="C30" i="62" s="1"/>
  <c r="C31" i="62" s="1"/>
  <c r="C32" i="62" s="1"/>
  <c r="C33" i="62" s="1"/>
  <c r="C34" i="62" s="1"/>
  <c r="C35" i="62" s="1"/>
  <c r="C36" i="62" s="1"/>
  <c r="C37" i="62" s="1"/>
  <c r="C38" i="62" s="1"/>
  <c r="C39" i="62" s="1"/>
  <c r="C40" i="62" s="1"/>
  <c r="C41" i="62" s="1"/>
  <c r="C42" i="62" s="1"/>
  <c r="C43" i="62" s="1"/>
  <c r="C44" i="62" s="1"/>
  <c r="C45" i="62" s="1"/>
  <c r="C46" i="62" s="1"/>
  <c r="C47" i="62" s="1"/>
  <c r="C48" i="62" s="1"/>
  <c r="C49" i="62" s="1"/>
  <c r="C50" i="62" s="1"/>
  <c r="C51" i="62" s="1"/>
  <c r="C52" i="62" s="1"/>
  <c r="C53" i="62" s="1"/>
  <c r="C54" i="62" s="1"/>
  <c r="C55" i="62" s="1"/>
  <c r="C56" i="62" s="1"/>
  <c r="C57" i="62" s="1"/>
  <c r="C58" i="62" s="1"/>
  <c r="C59" i="62" s="1"/>
  <c r="C60" i="62" s="1"/>
  <c r="C61" i="62" s="1"/>
  <c r="C62" i="62" s="1"/>
  <c r="C63" i="62" s="1"/>
  <c r="C64" i="62" s="1"/>
  <c r="C65" i="62" s="1"/>
  <c r="C66" i="62" s="1"/>
  <c r="C67" i="62" s="1"/>
  <c r="C68" i="62" s="1"/>
  <c r="C69" i="62" s="1"/>
  <c r="C70" i="62" s="1"/>
  <c r="C71" i="62" s="1"/>
  <c r="C72" i="62" s="1"/>
  <c r="K17" i="62"/>
  <c r="L17" i="62" s="1"/>
  <c r="M17" i="62"/>
  <c r="N17" i="62" s="1"/>
  <c r="O17" i="62" s="1"/>
  <c r="B18" i="62"/>
  <c r="K18" i="62"/>
  <c r="L18" i="62"/>
  <c r="M18" i="62"/>
  <c r="N18" i="62"/>
  <c r="B19" i="62"/>
  <c r="K19" i="62"/>
  <c r="L19" i="62" s="1"/>
  <c r="M19" i="62"/>
  <c r="N19" i="62" s="1"/>
  <c r="B20" i="62"/>
  <c r="I20" i="62"/>
  <c r="K20" i="62"/>
  <c r="L20" i="62" s="1"/>
  <c r="M20" i="62"/>
  <c r="N20" i="62"/>
  <c r="O20" i="62" s="1"/>
  <c r="B21" i="62"/>
  <c r="K21" i="62"/>
  <c r="L21" i="62" s="1"/>
  <c r="M21" i="62"/>
  <c r="N21" i="62" s="1"/>
  <c r="B22" i="62"/>
  <c r="L23" i="62"/>
  <c r="N23" i="62"/>
  <c r="L24" i="62"/>
  <c r="O24" i="62" s="1"/>
  <c r="N24" i="62"/>
  <c r="L25" i="62"/>
  <c r="N25" i="62"/>
  <c r="L26" i="62"/>
  <c r="N26" i="62"/>
  <c r="L27" i="62"/>
  <c r="N27" i="62"/>
  <c r="L28" i="62"/>
  <c r="N28" i="62"/>
  <c r="L29" i="62"/>
  <c r="N29" i="62"/>
  <c r="L30" i="62"/>
  <c r="N30" i="62"/>
  <c r="L31" i="62"/>
  <c r="N31" i="62"/>
  <c r="L32" i="62"/>
  <c r="N32" i="62"/>
  <c r="L33" i="62"/>
  <c r="N33" i="62"/>
  <c r="L34" i="62"/>
  <c r="N34" i="62"/>
  <c r="L35" i="62"/>
  <c r="N35" i="62"/>
  <c r="L36" i="62"/>
  <c r="N36" i="62"/>
  <c r="L37" i="62"/>
  <c r="N37" i="62"/>
  <c r="L38" i="62"/>
  <c r="N38" i="62"/>
  <c r="L39" i="62"/>
  <c r="N39" i="62"/>
  <c r="L40" i="62"/>
  <c r="N40" i="62"/>
  <c r="L41" i="62"/>
  <c r="N41" i="62"/>
  <c r="L42" i="62"/>
  <c r="N42" i="62"/>
  <c r="L43" i="62"/>
  <c r="N43" i="62"/>
  <c r="O43" i="62" s="1"/>
  <c r="L44" i="62"/>
  <c r="N44" i="62"/>
  <c r="L45" i="62"/>
  <c r="N45" i="62"/>
  <c r="L46" i="62"/>
  <c r="N46" i="62"/>
  <c r="L47" i="62"/>
  <c r="N47" i="62"/>
  <c r="L48" i="62"/>
  <c r="N48" i="62"/>
  <c r="L49" i="62"/>
  <c r="N49" i="62"/>
  <c r="L50" i="62"/>
  <c r="N50" i="62"/>
  <c r="L51" i="62"/>
  <c r="N51" i="62"/>
  <c r="L52" i="62"/>
  <c r="N52" i="62"/>
  <c r="L53" i="62"/>
  <c r="N53" i="62"/>
  <c r="L54" i="62"/>
  <c r="N54" i="62"/>
  <c r="L55" i="62"/>
  <c r="N55" i="62"/>
  <c r="L56" i="62"/>
  <c r="N56" i="62"/>
  <c r="L57" i="62"/>
  <c r="N57" i="62"/>
  <c r="L58" i="62"/>
  <c r="N58" i="62"/>
  <c r="Q58" i="62"/>
  <c r="L59" i="62"/>
  <c r="N59" i="62"/>
  <c r="O59" i="62" s="1"/>
  <c r="L60" i="62"/>
  <c r="N60" i="62"/>
  <c r="L61" i="62"/>
  <c r="N61" i="62"/>
  <c r="L62" i="62"/>
  <c r="N62" i="62"/>
  <c r="L63" i="62"/>
  <c r="N63" i="62"/>
  <c r="L64" i="62"/>
  <c r="O64" i="62" s="1"/>
  <c r="N64" i="62"/>
  <c r="L65" i="62"/>
  <c r="N65" i="62"/>
  <c r="O65" i="62" s="1"/>
  <c r="L66" i="62"/>
  <c r="N66" i="62"/>
  <c r="L67" i="62"/>
  <c r="N67" i="62"/>
  <c r="L68" i="62"/>
  <c r="N68" i="62"/>
  <c r="L69" i="62"/>
  <c r="N69" i="62"/>
  <c r="O69" i="62" s="1"/>
  <c r="L70" i="62"/>
  <c r="N70" i="62"/>
  <c r="L71" i="62"/>
  <c r="N71" i="62"/>
  <c r="O71" i="62" s="1"/>
  <c r="L72" i="62"/>
  <c r="N72" i="62"/>
  <c r="D89" i="62"/>
  <c r="D91" i="62"/>
  <c r="D92" i="62"/>
  <c r="J93" i="62"/>
  <c r="L93" i="62"/>
  <c r="D94" i="62"/>
  <c r="D96" i="62"/>
  <c r="C99" i="62"/>
  <c r="C100" i="62" s="1"/>
  <c r="C101" i="62" s="1"/>
  <c r="C102" i="62" s="1"/>
  <c r="C103" i="62" s="1"/>
  <c r="C104" i="62" s="1"/>
  <c r="C105" i="62" s="1"/>
  <c r="C106" i="62" s="1"/>
  <c r="C107" i="62" s="1"/>
  <c r="C108" i="62" s="1"/>
  <c r="C109" i="62" s="1"/>
  <c r="C110" i="62" s="1"/>
  <c r="C111" i="62"/>
  <c r="C112" i="62" s="1"/>
  <c r="C113" i="62" s="1"/>
  <c r="C114" i="62" s="1"/>
  <c r="C115" i="62" s="1"/>
  <c r="C116" i="62" s="1"/>
  <c r="C117" i="62" s="1"/>
  <c r="C118" i="62" s="1"/>
  <c r="C119" i="62" s="1"/>
  <c r="C120" i="62" s="1"/>
  <c r="C121" i="62" s="1"/>
  <c r="C122" i="62" s="1"/>
  <c r="C123" i="62" s="1"/>
  <c r="C124" i="62" s="1"/>
  <c r="C125" i="62" s="1"/>
  <c r="C126" i="62" s="1"/>
  <c r="C127" i="62" s="1"/>
  <c r="C128" i="62" s="1"/>
  <c r="C129" i="62" s="1"/>
  <c r="C130" i="62" s="1"/>
  <c r="C131" i="62" s="1"/>
  <c r="C132" i="62" s="1"/>
  <c r="C133" i="62" s="1"/>
  <c r="C134" i="62" s="1"/>
  <c r="C135" i="62" s="1"/>
  <c r="C136" i="62" s="1"/>
  <c r="C137" i="62" s="1"/>
  <c r="C138" i="62" s="1"/>
  <c r="C139" i="62" s="1"/>
  <c r="C140" i="62" s="1"/>
  <c r="C141" i="62" s="1"/>
  <c r="C142" i="62" s="1"/>
  <c r="C143" i="62" s="1"/>
  <c r="C144" i="62" s="1"/>
  <c r="C145" i="62" s="1"/>
  <c r="C146" i="62" s="1"/>
  <c r="C147" i="62" s="1"/>
  <c r="C148" i="62" s="1"/>
  <c r="C149" i="62" s="1"/>
  <c r="C150" i="62" s="1"/>
  <c r="C151" i="62" s="1"/>
  <c r="C152" i="62" s="1"/>
  <c r="C153" i="62" s="1"/>
  <c r="C154" i="62" s="1"/>
  <c r="L99" i="62"/>
  <c r="M99" i="62" s="1"/>
  <c r="N99" i="62"/>
  <c r="O99" i="62" s="1"/>
  <c r="B100" i="62"/>
  <c r="L100" i="62"/>
  <c r="M100" i="62" s="1"/>
  <c r="N100" i="62"/>
  <c r="O100" i="62"/>
  <c r="B101" i="62"/>
  <c r="J101" i="62"/>
  <c r="L101" i="62"/>
  <c r="M101" i="62"/>
  <c r="N101" i="62"/>
  <c r="O101" i="62" s="1"/>
  <c r="B102" i="62"/>
  <c r="L102" i="62"/>
  <c r="M102" i="62" s="1"/>
  <c r="N102" i="62"/>
  <c r="O102" i="62" s="1"/>
  <c r="D103" i="62"/>
  <c r="B103" i="62" s="1"/>
  <c r="M103" i="62"/>
  <c r="O103" i="62"/>
  <c r="M104" i="62"/>
  <c r="O104" i="62"/>
  <c r="M105" i="62"/>
  <c r="O105" i="62"/>
  <c r="P105" i="62" s="1"/>
  <c r="M106" i="62"/>
  <c r="O106" i="62"/>
  <c r="M107" i="62"/>
  <c r="O107" i="62"/>
  <c r="M108" i="62"/>
  <c r="O108" i="62"/>
  <c r="M109" i="62"/>
  <c r="O109" i="62"/>
  <c r="M110" i="62"/>
  <c r="O110" i="62"/>
  <c r="M111" i="62"/>
  <c r="O111" i="62"/>
  <c r="M112" i="62"/>
  <c r="O112" i="62"/>
  <c r="M113" i="62"/>
  <c r="O113" i="62"/>
  <c r="M114" i="62"/>
  <c r="O114" i="62"/>
  <c r="P114" i="62" s="1"/>
  <c r="M115" i="62"/>
  <c r="O115" i="62"/>
  <c r="M116" i="62"/>
  <c r="O116" i="62"/>
  <c r="M117" i="62"/>
  <c r="O117" i="62"/>
  <c r="M118" i="62"/>
  <c r="O118" i="62"/>
  <c r="M119" i="62"/>
  <c r="O119" i="62"/>
  <c r="M120" i="62"/>
  <c r="O120" i="62"/>
  <c r="M121" i="62"/>
  <c r="O121" i="62"/>
  <c r="P121" i="62" s="1"/>
  <c r="M122" i="62"/>
  <c r="O122" i="62"/>
  <c r="M123" i="62"/>
  <c r="O123" i="62"/>
  <c r="M124" i="62"/>
  <c r="O124" i="62"/>
  <c r="M125" i="62"/>
  <c r="O125" i="62"/>
  <c r="M126" i="62"/>
  <c r="O126" i="62"/>
  <c r="M127" i="62"/>
  <c r="O127" i="62"/>
  <c r="M128" i="62"/>
  <c r="O128" i="62"/>
  <c r="M129" i="62"/>
  <c r="O129" i="62"/>
  <c r="M130" i="62"/>
  <c r="O130" i="62"/>
  <c r="M131" i="62"/>
  <c r="O131" i="62"/>
  <c r="P131" i="62"/>
  <c r="M132" i="62"/>
  <c r="O132" i="62"/>
  <c r="P132" i="62"/>
  <c r="M133" i="62"/>
  <c r="O133" i="62"/>
  <c r="P133" i="62"/>
  <c r="M134" i="62"/>
  <c r="O134" i="62"/>
  <c r="P134" i="62"/>
  <c r="M135" i="62"/>
  <c r="O135" i="62"/>
  <c r="P135" i="62"/>
  <c r="M136" i="62"/>
  <c r="O136" i="62"/>
  <c r="P136" i="62"/>
  <c r="M137" i="62"/>
  <c r="O137" i="62"/>
  <c r="P137" i="62"/>
  <c r="M138" i="62"/>
  <c r="O138" i="62"/>
  <c r="P138" i="62"/>
  <c r="M139" i="62"/>
  <c r="O139" i="62"/>
  <c r="P139" i="62"/>
  <c r="M140" i="62"/>
  <c r="O140" i="62"/>
  <c r="P140" i="62"/>
  <c r="M141" i="62"/>
  <c r="O141" i="62"/>
  <c r="P141" i="62"/>
  <c r="M142" i="62"/>
  <c r="O142" i="62"/>
  <c r="P142" i="62"/>
  <c r="M143" i="62"/>
  <c r="O143" i="62"/>
  <c r="P143" i="62"/>
  <c r="M144" i="62"/>
  <c r="O144" i="62"/>
  <c r="P144" i="62"/>
  <c r="M145" i="62"/>
  <c r="O145" i="62"/>
  <c r="P145" i="62"/>
  <c r="M146" i="62"/>
  <c r="O146" i="62"/>
  <c r="P146" i="62"/>
  <c r="M147" i="62"/>
  <c r="O147" i="62"/>
  <c r="P147" i="62"/>
  <c r="M148" i="62"/>
  <c r="O148" i="62"/>
  <c r="P148" i="62"/>
  <c r="M149" i="62"/>
  <c r="O149" i="62"/>
  <c r="P149" i="62"/>
  <c r="M150" i="62"/>
  <c r="O150" i="62"/>
  <c r="P150" i="62"/>
  <c r="M151" i="62"/>
  <c r="O151" i="62"/>
  <c r="P151" i="62"/>
  <c r="M152" i="62"/>
  <c r="O152" i="62"/>
  <c r="P152" i="62"/>
  <c r="M153" i="62"/>
  <c r="O153" i="62"/>
  <c r="P153" i="62"/>
  <c r="M154" i="62"/>
  <c r="O154" i="62"/>
  <c r="P154" i="62"/>
  <c r="P1" i="63"/>
  <c r="P83" i="63" s="1"/>
  <c r="D8" i="63"/>
  <c r="D90" i="63" s="1"/>
  <c r="I11" i="63"/>
  <c r="K11" i="63"/>
  <c r="C17" i="63"/>
  <c r="C18" i="63" s="1"/>
  <c r="C19" i="63" s="1"/>
  <c r="C20" i="63" s="1"/>
  <c r="C21" i="63" s="1"/>
  <c r="C22" i="63" s="1"/>
  <c r="C23" i="63" s="1"/>
  <c r="C24" i="63" s="1"/>
  <c r="C25" i="63" s="1"/>
  <c r="C26" i="63" s="1"/>
  <c r="C27" i="63" s="1"/>
  <c r="C28" i="63" s="1"/>
  <c r="C29" i="63" s="1"/>
  <c r="C30" i="63" s="1"/>
  <c r="C31" i="63" s="1"/>
  <c r="C32" i="63" s="1"/>
  <c r="C33" i="63" s="1"/>
  <c r="C34" i="63" s="1"/>
  <c r="C35" i="63" s="1"/>
  <c r="C36" i="63" s="1"/>
  <c r="C37" i="63" s="1"/>
  <c r="C38" i="63" s="1"/>
  <c r="C39" i="63" s="1"/>
  <c r="C40" i="63" s="1"/>
  <c r="C41" i="63" s="1"/>
  <c r="C42" i="63" s="1"/>
  <c r="C43" i="63" s="1"/>
  <c r="C44" i="63" s="1"/>
  <c r="C45" i="63" s="1"/>
  <c r="C46" i="63" s="1"/>
  <c r="C47" i="63" s="1"/>
  <c r="C48" i="63" s="1"/>
  <c r="C49" i="63" s="1"/>
  <c r="C50" i="63" s="1"/>
  <c r="C51" i="63" s="1"/>
  <c r="C52" i="63" s="1"/>
  <c r="C53" i="63" s="1"/>
  <c r="C54" i="63" s="1"/>
  <c r="C55" i="63" s="1"/>
  <c r="C56" i="63" s="1"/>
  <c r="C57" i="63" s="1"/>
  <c r="C58" i="63" s="1"/>
  <c r="C59" i="63" s="1"/>
  <c r="C60" i="63" s="1"/>
  <c r="C61" i="63" s="1"/>
  <c r="C62" i="63" s="1"/>
  <c r="C63" i="63" s="1"/>
  <c r="C64" i="63" s="1"/>
  <c r="C65" i="63" s="1"/>
  <c r="C66" i="63" s="1"/>
  <c r="C67" i="63" s="1"/>
  <c r="C68" i="63" s="1"/>
  <c r="C69" i="63" s="1"/>
  <c r="C70" i="63" s="1"/>
  <c r="C71" i="63" s="1"/>
  <c r="C72" i="63" s="1"/>
  <c r="K17" i="63"/>
  <c r="L17" i="63" s="1"/>
  <c r="M17" i="63"/>
  <c r="N17" i="63"/>
  <c r="B18" i="63"/>
  <c r="K18" i="63"/>
  <c r="L18" i="63"/>
  <c r="M18" i="63"/>
  <c r="N18" i="63"/>
  <c r="B19" i="63"/>
  <c r="K19" i="63"/>
  <c r="L19" i="63"/>
  <c r="M19" i="63"/>
  <c r="N19" i="63" s="1"/>
  <c r="B20" i="63"/>
  <c r="I20" i="63"/>
  <c r="K20" i="63"/>
  <c r="L20" i="63" s="1"/>
  <c r="M20" i="63"/>
  <c r="N20" i="63"/>
  <c r="B21" i="63"/>
  <c r="K21" i="63"/>
  <c r="L21" i="63"/>
  <c r="M21" i="63"/>
  <c r="N21" i="63"/>
  <c r="B22" i="63"/>
  <c r="L23" i="63"/>
  <c r="N23" i="63"/>
  <c r="O23" i="63" s="1"/>
  <c r="L24" i="63"/>
  <c r="N24" i="63"/>
  <c r="L25" i="63"/>
  <c r="N25" i="63"/>
  <c r="L26" i="63"/>
  <c r="N26" i="63"/>
  <c r="L27" i="63"/>
  <c r="N27" i="63"/>
  <c r="O27" i="63" s="1"/>
  <c r="L28" i="63"/>
  <c r="N28" i="63"/>
  <c r="L29" i="63"/>
  <c r="N29" i="63"/>
  <c r="O29" i="63" s="1"/>
  <c r="L30" i="63"/>
  <c r="N30" i="63"/>
  <c r="L31" i="63"/>
  <c r="N31" i="63"/>
  <c r="O31" i="63" s="1"/>
  <c r="L32" i="63"/>
  <c r="N32" i="63"/>
  <c r="L33" i="63"/>
  <c r="N33" i="63"/>
  <c r="O33" i="63" s="1"/>
  <c r="L34" i="63"/>
  <c r="O34" i="63" s="1"/>
  <c r="N34" i="63"/>
  <c r="L35" i="63"/>
  <c r="N35" i="63"/>
  <c r="O35" i="63" s="1"/>
  <c r="L36" i="63"/>
  <c r="N36" i="63"/>
  <c r="O36" i="63"/>
  <c r="L37" i="63"/>
  <c r="O37" i="63" s="1"/>
  <c r="N37" i="63"/>
  <c r="L38" i="63"/>
  <c r="N38" i="63"/>
  <c r="L39" i="63"/>
  <c r="O39" i="63" s="1"/>
  <c r="N39" i="63"/>
  <c r="L40" i="63"/>
  <c r="N40" i="63"/>
  <c r="L41" i="63"/>
  <c r="N41" i="63"/>
  <c r="L42" i="63"/>
  <c r="N42" i="63"/>
  <c r="O42" i="63" s="1"/>
  <c r="L43" i="63"/>
  <c r="N43" i="63"/>
  <c r="L44" i="63"/>
  <c r="N44" i="63"/>
  <c r="L45" i="63"/>
  <c r="N45" i="63"/>
  <c r="L46" i="63"/>
  <c r="N46" i="63"/>
  <c r="L47" i="63"/>
  <c r="N47" i="63"/>
  <c r="L48" i="63"/>
  <c r="N48" i="63"/>
  <c r="L49" i="63"/>
  <c r="N49" i="63"/>
  <c r="L50" i="63"/>
  <c r="N50" i="63"/>
  <c r="L51" i="63"/>
  <c r="N51" i="63"/>
  <c r="L52" i="63"/>
  <c r="N52" i="63"/>
  <c r="L53" i="63"/>
  <c r="N53" i="63"/>
  <c r="L54" i="63"/>
  <c r="N54" i="63"/>
  <c r="L55" i="63"/>
  <c r="N55" i="63"/>
  <c r="L56" i="63"/>
  <c r="N56" i="63"/>
  <c r="L57" i="63"/>
  <c r="N57" i="63"/>
  <c r="L58" i="63"/>
  <c r="N58" i="63"/>
  <c r="Q58" i="63"/>
  <c r="L59" i="63"/>
  <c r="N59" i="63"/>
  <c r="O59" i="63" s="1"/>
  <c r="L60" i="63"/>
  <c r="N60" i="63"/>
  <c r="L61" i="63"/>
  <c r="N61" i="63"/>
  <c r="O61" i="63"/>
  <c r="L62" i="63"/>
  <c r="N62" i="63"/>
  <c r="L63" i="63"/>
  <c r="N63" i="63"/>
  <c r="L64" i="63"/>
  <c r="N64" i="63"/>
  <c r="L65" i="63"/>
  <c r="N65" i="63"/>
  <c r="L66" i="63"/>
  <c r="N66" i="63"/>
  <c r="L67" i="63"/>
  <c r="N67" i="63"/>
  <c r="L68" i="63"/>
  <c r="N68" i="63"/>
  <c r="L69" i="63"/>
  <c r="N69" i="63"/>
  <c r="L70" i="63"/>
  <c r="N70" i="63"/>
  <c r="L71" i="63"/>
  <c r="N71" i="63"/>
  <c r="L72" i="63"/>
  <c r="N72" i="63"/>
  <c r="D89" i="63"/>
  <c r="D91" i="63"/>
  <c r="D92" i="63"/>
  <c r="D103" i="63" s="1"/>
  <c r="J93" i="63"/>
  <c r="L93" i="63"/>
  <c r="D94" i="63"/>
  <c r="D96" i="63"/>
  <c r="C99" i="63"/>
  <c r="C100" i="63"/>
  <c r="C101" i="63" s="1"/>
  <c r="C102" i="63" s="1"/>
  <c r="C103" i="63" s="1"/>
  <c r="C104" i="63" s="1"/>
  <c r="C105" i="63" s="1"/>
  <c r="C106" i="63" s="1"/>
  <c r="C107" i="63" s="1"/>
  <c r="C108" i="63" s="1"/>
  <c r="C109" i="63" s="1"/>
  <c r="C110" i="63" s="1"/>
  <c r="C111" i="63" s="1"/>
  <c r="C112" i="63" s="1"/>
  <c r="C113" i="63" s="1"/>
  <c r="C114" i="63" s="1"/>
  <c r="C115" i="63" s="1"/>
  <c r="C116" i="63" s="1"/>
  <c r="C117" i="63" s="1"/>
  <c r="C118" i="63" s="1"/>
  <c r="C119" i="63" s="1"/>
  <c r="C120" i="63" s="1"/>
  <c r="C121" i="63" s="1"/>
  <c r="C122" i="63" s="1"/>
  <c r="C123" i="63" s="1"/>
  <c r="C124" i="63" s="1"/>
  <c r="C125" i="63" s="1"/>
  <c r="C126" i="63" s="1"/>
  <c r="C127" i="63" s="1"/>
  <c r="C128" i="63" s="1"/>
  <c r="C129" i="63" s="1"/>
  <c r="C130" i="63" s="1"/>
  <c r="C131" i="63" s="1"/>
  <c r="C132" i="63" s="1"/>
  <c r="C133" i="63" s="1"/>
  <c r="C134" i="63" s="1"/>
  <c r="C135" i="63" s="1"/>
  <c r="C136" i="63" s="1"/>
  <c r="C137" i="63" s="1"/>
  <c r="C138" i="63" s="1"/>
  <c r="C139" i="63" s="1"/>
  <c r="C140" i="63" s="1"/>
  <c r="C141" i="63" s="1"/>
  <c r="C142" i="63" s="1"/>
  <c r="C143" i="63" s="1"/>
  <c r="C144" i="63" s="1"/>
  <c r="C145" i="63" s="1"/>
  <c r="C146" i="63" s="1"/>
  <c r="C147" i="63" s="1"/>
  <c r="C148" i="63" s="1"/>
  <c r="C149" i="63" s="1"/>
  <c r="C150" i="63" s="1"/>
  <c r="C151" i="63" s="1"/>
  <c r="C152" i="63" s="1"/>
  <c r="C153" i="63" s="1"/>
  <c r="C154" i="63" s="1"/>
  <c r="L99" i="63"/>
  <c r="M99" i="63"/>
  <c r="N99" i="63"/>
  <c r="O99" i="63"/>
  <c r="B100" i="63"/>
  <c r="L100" i="63"/>
  <c r="M100" i="63" s="1"/>
  <c r="N100" i="63"/>
  <c r="O100" i="63" s="1"/>
  <c r="B101" i="63"/>
  <c r="J101" i="63"/>
  <c r="L101" i="63"/>
  <c r="M101" i="63"/>
  <c r="N101" i="63"/>
  <c r="O101" i="63" s="1"/>
  <c r="B102" i="63"/>
  <c r="L102" i="63"/>
  <c r="M102" i="63"/>
  <c r="N102" i="63"/>
  <c r="O102" i="63" s="1"/>
  <c r="P102" i="63" s="1"/>
  <c r="M103" i="63"/>
  <c r="O103" i="63"/>
  <c r="M104" i="63"/>
  <c r="O104" i="63"/>
  <c r="M105" i="63"/>
  <c r="O105" i="63"/>
  <c r="P105" i="63" s="1"/>
  <c r="M106" i="63"/>
  <c r="O106" i="63"/>
  <c r="M107" i="63"/>
  <c r="O107" i="63"/>
  <c r="M108" i="63"/>
  <c r="O108" i="63"/>
  <c r="M109" i="63"/>
  <c r="O109" i="63"/>
  <c r="P109" i="63" s="1"/>
  <c r="M110" i="63"/>
  <c r="O110" i="63"/>
  <c r="M111" i="63"/>
  <c r="O111" i="63"/>
  <c r="M112" i="63"/>
  <c r="O112" i="63"/>
  <c r="M113" i="63"/>
  <c r="O113" i="63"/>
  <c r="M114" i="63"/>
  <c r="O114" i="63"/>
  <c r="M115" i="63"/>
  <c r="O115" i="63"/>
  <c r="M116" i="63"/>
  <c r="O116" i="63"/>
  <c r="M117" i="63"/>
  <c r="O117" i="63"/>
  <c r="M118" i="63"/>
  <c r="O118" i="63"/>
  <c r="M119" i="63"/>
  <c r="O119" i="63"/>
  <c r="M120" i="63"/>
  <c r="O120" i="63"/>
  <c r="M121" i="63"/>
  <c r="O121" i="63"/>
  <c r="M122" i="63"/>
  <c r="O122" i="63"/>
  <c r="M123" i="63"/>
  <c r="O123" i="63"/>
  <c r="M124" i="63"/>
  <c r="O124" i="63"/>
  <c r="M125" i="63"/>
  <c r="O125" i="63"/>
  <c r="P125" i="63" s="1"/>
  <c r="M126" i="63"/>
  <c r="O126" i="63"/>
  <c r="M127" i="63"/>
  <c r="O127" i="63"/>
  <c r="M128" i="63"/>
  <c r="O128" i="63"/>
  <c r="M129" i="63"/>
  <c r="O129" i="63"/>
  <c r="P129" i="63" s="1"/>
  <c r="M130" i="63"/>
  <c r="O130" i="63"/>
  <c r="M131" i="63"/>
  <c r="O131" i="63"/>
  <c r="P131" i="63"/>
  <c r="M132" i="63"/>
  <c r="O132" i="63"/>
  <c r="P132" i="63"/>
  <c r="M133" i="63"/>
  <c r="O133" i="63"/>
  <c r="P133" i="63"/>
  <c r="M134" i="63"/>
  <c r="O134" i="63"/>
  <c r="P134" i="63"/>
  <c r="M135" i="63"/>
  <c r="O135" i="63"/>
  <c r="P135" i="63"/>
  <c r="M136" i="63"/>
  <c r="O136" i="63"/>
  <c r="P136" i="63"/>
  <c r="M137" i="63"/>
  <c r="O137" i="63"/>
  <c r="P137" i="63"/>
  <c r="M138" i="63"/>
  <c r="O138" i="63"/>
  <c r="P138" i="63"/>
  <c r="M139" i="63"/>
  <c r="O139" i="63"/>
  <c r="P139" i="63"/>
  <c r="M140" i="63"/>
  <c r="O140" i="63"/>
  <c r="P140" i="63"/>
  <c r="M141" i="63"/>
  <c r="O141" i="63"/>
  <c r="P141" i="63"/>
  <c r="M142" i="63"/>
  <c r="O142" i="63"/>
  <c r="P142" i="63"/>
  <c r="M143" i="63"/>
  <c r="O143" i="63"/>
  <c r="P143" i="63"/>
  <c r="M144" i="63"/>
  <c r="O144" i="63"/>
  <c r="P144" i="63"/>
  <c r="M145" i="63"/>
  <c r="O145" i="63"/>
  <c r="P145" i="63"/>
  <c r="M146" i="63"/>
  <c r="O146" i="63"/>
  <c r="P146" i="63"/>
  <c r="M147" i="63"/>
  <c r="O147" i="63"/>
  <c r="P147" i="63"/>
  <c r="M148" i="63"/>
  <c r="O148" i="63"/>
  <c r="P148" i="63"/>
  <c r="M149" i="63"/>
  <c r="O149" i="63"/>
  <c r="P149" i="63"/>
  <c r="M150" i="63"/>
  <c r="O150" i="63"/>
  <c r="P150" i="63"/>
  <c r="M151" i="63"/>
  <c r="O151" i="63"/>
  <c r="P151" i="63"/>
  <c r="M152" i="63"/>
  <c r="O152" i="63"/>
  <c r="P152" i="63"/>
  <c r="M153" i="63"/>
  <c r="O153" i="63"/>
  <c r="P153" i="63"/>
  <c r="M154" i="63"/>
  <c r="O154" i="63"/>
  <c r="P154" i="63"/>
  <c r="P1" i="61"/>
  <c r="P83" i="61" s="1"/>
  <c r="D8" i="61"/>
  <c r="I11" i="61"/>
  <c r="K11" i="61"/>
  <c r="C17" i="61"/>
  <c r="C18" i="61" s="1"/>
  <c r="C19" i="61" s="1"/>
  <c r="C20" i="61" s="1"/>
  <c r="C21" i="61" s="1"/>
  <c r="C22" i="61" s="1"/>
  <c r="C23" i="61" s="1"/>
  <c r="C24" i="61" s="1"/>
  <c r="C25" i="61"/>
  <c r="C26" i="61" s="1"/>
  <c r="C27" i="61" s="1"/>
  <c r="C28" i="61" s="1"/>
  <c r="C29" i="61" s="1"/>
  <c r="C30" i="61" s="1"/>
  <c r="C31" i="61" s="1"/>
  <c r="C32" i="61" s="1"/>
  <c r="C33" i="61" s="1"/>
  <c r="C34" i="61" s="1"/>
  <c r="C35" i="61" s="1"/>
  <c r="C36" i="61" s="1"/>
  <c r="C37" i="61" s="1"/>
  <c r="C38" i="61" s="1"/>
  <c r="C39" i="61" s="1"/>
  <c r="C40" i="61" s="1"/>
  <c r="C41" i="61" s="1"/>
  <c r="C42" i="61" s="1"/>
  <c r="C43" i="61" s="1"/>
  <c r="C44" i="61" s="1"/>
  <c r="C45" i="61" s="1"/>
  <c r="C46" i="61" s="1"/>
  <c r="C47" i="61" s="1"/>
  <c r="C48" i="61" s="1"/>
  <c r="C49" i="61" s="1"/>
  <c r="C50" i="61" s="1"/>
  <c r="C51" i="61" s="1"/>
  <c r="C52" i="61" s="1"/>
  <c r="C53" i="61" s="1"/>
  <c r="C54" i="61" s="1"/>
  <c r="C55" i="61" s="1"/>
  <c r="C56" i="61" s="1"/>
  <c r="C57" i="61"/>
  <c r="C58" i="61" s="1"/>
  <c r="C59" i="61" s="1"/>
  <c r="C60" i="61" s="1"/>
  <c r="C61" i="61" s="1"/>
  <c r="C62" i="61" s="1"/>
  <c r="C63" i="61" s="1"/>
  <c r="C64" i="61" s="1"/>
  <c r="C65" i="61" s="1"/>
  <c r="C66" i="61" s="1"/>
  <c r="C67" i="61" s="1"/>
  <c r="C68" i="61" s="1"/>
  <c r="C69" i="61" s="1"/>
  <c r="C70" i="61" s="1"/>
  <c r="C71" i="61" s="1"/>
  <c r="C72" i="61" s="1"/>
  <c r="K17" i="61"/>
  <c r="L17" i="61" s="1"/>
  <c r="M17" i="61"/>
  <c r="N17" i="61" s="1"/>
  <c r="B18" i="61"/>
  <c r="K18" i="61"/>
  <c r="L18" i="61"/>
  <c r="M18" i="61"/>
  <c r="N18" i="61"/>
  <c r="B19" i="61"/>
  <c r="K19" i="61"/>
  <c r="L19" i="61" s="1"/>
  <c r="M19" i="61"/>
  <c r="N19" i="61" s="1"/>
  <c r="B20" i="61"/>
  <c r="K20" i="61"/>
  <c r="L20" i="61"/>
  <c r="M20" i="61"/>
  <c r="N20" i="61" s="1"/>
  <c r="B21" i="61"/>
  <c r="K21" i="61"/>
  <c r="L21" i="61" s="1"/>
  <c r="M21" i="61"/>
  <c r="N21" i="61" s="1"/>
  <c r="B22" i="61"/>
  <c r="L23" i="61"/>
  <c r="N23" i="61"/>
  <c r="L24" i="61"/>
  <c r="N24" i="61"/>
  <c r="L25" i="61"/>
  <c r="N25" i="61"/>
  <c r="L26" i="61"/>
  <c r="N26" i="61"/>
  <c r="L27" i="61"/>
  <c r="N27" i="61"/>
  <c r="L28" i="61"/>
  <c r="N28" i="61"/>
  <c r="L29" i="61"/>
  <c r="N29" i="61"/>
  <c r="L30" i="61"/>
  <c r="N30" i="61"/>
  <c r="L31" i="61"/>
  <c r="N31" i="61"/>
  <c r="L32" i="61"/>
  <c r="N32" i="61"/>
  <c r="O32" i="61" s="1"/>
  <c r="L33" i="61"/>
  <c r="N33" i="61"/>
  <c r="L34" i="61"/>
  <c r="N34" i="61"/>
  <c r="L35" i="61"/>
  <c r="N35" i="61"/>
  <c r="O35" i="61" s="1"/>
  <c r="L36" i="61"/>
  <c r="N36" i="61"/>
  <c r="L37" i="61"/>
  <c r="N37" i="61"/>
  <c r="O37" i="61" s="1"/>
  <c r="L38" i="61"/>
  <c r="N38" i="61"/>
  <c r="L39" i="61"/>
  <c r="N39" i="61"/>
  <c r="L40" i="61"/>
  <c r="N40" i="61"/>
  <c r="L41" i="61"/>
  <c r="N41" i="61"/>
  <c r="L42" i="61"/>
  <c r="N42" i="61"/>
  <c r="L43" i="61"/>
  <c r="N43" i="61"/>
  <c r="L44" i="61"/>
  <c r="N44" i="61"/>
  <c r="L45" i="61"/>
  <c r="N45" i="61"/>
  <c r="L46" i="61"/>
  <c r="N46" i="61"/>
  <c r="L47" i="61"/>
  <c r="N47" i="61"/>
  <c r="O47" i="61" s="1"/>
  <c r="L48" i="61"/>
  <c r="N48" i="61"/>
  <c r="L49" i="61"/>
  <c r="N49" i="61"/>
  <c r="L50" i="61"/>
  <c r="N50" i="61"/>
  <c r="L51" i="61"/>
  <c r="N51" i="61"/>
  <c r="L52" i="61"/>
  <c r="N52" i="61"/>
  <c r="L53" i="61"/>
  <c r="N53" i="61"/>
  <c r="L54" i="61"/>
  <c r="N54" i="61"/>
  <c r="L55" i="61"/>
  <c r="N55" i="61"/>
  <c r="L56" i="61"/>
  <c r="N56" i="61"/>
  <c r="L57" i="61"/>
  <c r="N57" i="61"/>
  <c r="L58" i="61"/>
  <c r="N58" i="61"/>
  <c r="Q58" i="61"/>
  <c r="L59" i="61"/>
  <c r="N59" i="61"/>
  <c r="L60" i="61"/>
  <c r="N60" i="61"/>
  <c r="L61" i="61"/>
  <c r="N61" i="61"/>
  <c r="O61" i="61" s="1"/>
  <c r="L62" i="61"/>
  <c r="N62" i="61"/>
  <c r="O62" i="61" s="1"/>
  <c r="L63" i="61"/>
  <c r="N63" i="61"/>
  <c r="O63" i="61" s="1"/>
  <c r="L64" i="61"/>
  <c r="N64" i="61"/>
  <c r="O64" i="61" s="1"/>
  <c r="L65" i="61"/>
  <c r="N65" i="61"/>
  <c r="L66" i="61"/>
  <c r="N66" i="61"/>
  <c r="L67" i="61"/>
  <c r="N67" i="61"/>
  <c r="L68" i="61"/>
  <c r="N68" i="61"/>
  <c r="O68" i="61" s="1"/>
  <c r="L69" i="61"/>
  <c r="N69" i="61"/>
  <c r="L70" i="61"/>
  <c r="N70" i="61"/>
  <c r="L71" i="61"/>
  <c r="N71" i="61"/>
  <c r="L72" i="61"/>
  <c r="N72" i="61"/>
  <c r="D89" i="61"/>
  <c r="D90" i="61"/>
  <c r="D91" i="61"/>
  <c r="D92" i="61"/>
  <c r="D103" i="61" s="1"/>
  <c r="B103" i="61" s="1"/>
  <c r="D93" i="61"/>
  <c r="J93" i="61"/>
  <c r="L93" i="61"/>
  <c r="D94" i="61"/>
  <c r="D96" i="61"/>
  <c r="L99" i="61"/>
  <c r="M99" i="61" s="1"/>
  <c r="N99" i="61"/>
  <c r="O99" i="61" s="1"/>
  <c r="B100" i="61"/>
  <c r="L100" i="61"/>
  <c r="M100" i="61"/>
  <c r="N100" i="61"/>
  <c r="O100" i="61"/>
  <c r="P100" i="61" s="1"/>
  <c r="B101" i="61"/>
  <c r="L101" i="61"/>
  <c r="M101" i="61"/>
  <c r="N101" i="61"/>
  <c r="O101" i="61"/>
  <c r="B102" i="61"/>
  <c r="L102" i="61"/>
  <c r="M102" i="61" s="1"/>
  <c r="N102" i="61"/>
  <c r="O102" i="61" s="1"/>
  <c r="M103" i="61"/>
  <c r="O103" i="61"/>
  <c r="M104" i="61"/>
  <c r="O104" i="61"/>
  <c r="M105" i="61"/>
  <c r="O105" i="61"/>
  <c r="M106" i="61"/>
  <c r="O106" i="61"/>
  <c r="M107" i="61"/>
  <c r="O107" i="61"/>
  <c r="M108" i="61"/>
  <c r="O108" i="61"/>
  <c r="M109" i="61"/>
  <c r="O109" i="61"/>
  <c r="P109" i="61" s="1"/>
  <c r="M110" i="61"/>
  <c r="O110" i="61"/>
  <c r="M111" i="61"/>
  <c r="O111" i="61"/>
  <c r="M112" i="61"/>
  <c r="O112" i="61"/>
  <c r="M113" i="61"/>
  <c r="O113" i="61"/>
  <c r="P113" i="61" s="1"/>
  <c r="M114" i="61"/>
  <c r="O114" i="61"/>
  <c r="M115" i="61"/>
  <c r="O115" i="61"/>
  <c r="M116" i="61"/>
  <c r="O116" i="61"/>
  <c r="M117" i="61"/>
  <c r="O117" i="61"/>
  <c r="M118" i="61"/>
  <c r="O118" i="61"/>
  <c r="M119" i="61"/>
  <c r="O119" i="61"/>
  <c r="M120" i="61"/>
  <c r="O120" i="61"/>
  <c r="M121" i="61"/>
  <c r="O121" i="61"/>
  <c r="M122" i="61"/>
  <c r="O122" i="61"/>
  <c r="M123" i="61"/>
  <c r="O123" i="61"/>
  <c r="M124" i="61"/>
  <c r="O124" i="61"/>
  <c r="M125" i="61"/>
  <c r="O125" i="61"/>
  <c r="M126" i="61"/>
  <c r="O126" i="61"/>
  <c r="P126" i="61" s="1"/>
  <c r="M127" i="61"/>
  <c r="O127" i="61"/>
  <c r="M128" i="61"/>
  <c r="O128" i="61"/>
  <c r="M129" i="61"/>
  <c r="O129" i="61"/>
  <c r="M130" i="61"/>
  <c r="O130" i="61"/>
  <c r="M131" i="61"/>
  <c r="O131" i="61"/>
  <c r="P131" i="61"/>
  <c r="M132" i="61"/>
  <c r="O132" i="61"/>
  <c r="P132" i="61"/>
  <c r="M133" i="61"/>
  <c r="O133" i="61"/>
  <c r="P133" i="61"/>
  <c r="M134" i="61"/>
  <c r="O134" i="61"/>
  <c r="P134" i="61"/>
  <c r="M135" i="61"/>
  <c r="O135" i="61"/>
  <c r="P135" i="61"/>
  <c r="M136" i="61"/>
  <c r="O136" i="61"/>
  <c r="P136" i="61"/>
  <c r="M137" i="61"/>
  <c r="O137" i="61"/>
  <c r="P137" i="61"/>
  <c r="M138" i="61"/>
  <c r="O138" i="61"/>
  <c r="P138" i="61"/>
  <c r="M139" i="61"/>
  <c r="O139" i="61"/>
  <c r="P139" i="61"/>
  <c r="M140" i="61"/>
  <c r="O140" i="61"/>
  <c r="P140" i="61"/>
  <c r="M141" i="61"/>
  <c r="O141" i="61"/>
  <c r="P141" i="61"/>
  <c r="M142" i="61"/>
  <c r="O142" i="61"/>
  <c r="P142" i="61"/>
  <c r="M143" i="61"/>
  <c r="O143" i="61"/>
  <c r="P143" i="61"/>
  <c r="M144" i="61"/>
  <c r="O144" i="61"/>
  <c r="P144" i="61"/>
  <c r="M145" i="61"/>
  <c r="O145" i="61"/>
  <c r="P145" i="61"/>
  <c r="M146" i="61"/>
  <c r="O146" i="61"/>
  <c r="P146" i="61"/>
  <c r="M147" i="61"/>
  <c r="O147" i="61"/>
  <c r="P147" i="61"/>
  <c r="M148" i="61"/>
  <c r="O148" i="61"/>
  <c r="P148" i="61"/>
  <c r="M149" i="61"/>
  <c r="O149" i="61"/>
  <c r="P149" i="61"/>
  <c r="M150" i="61"/>
  <c r="O150" i="61"/>
  <c r="P150" i="61"/>
  <c r="M151" i="61"/>
  <c r="O151" i="61"/>
  <c r="P151" i="61"/>
  <c r="M152" i="61"/>
  <c r="O152" i="61"/>
  <c r="P152" i="61"/>
  <c r="M153" i="61"/>
  <c r="O153" i="61"/>
  <c r="P153" i="61"/>
  <c r="M154" i="61"/>
  <c r="O154" i="61"/>
  <c r="P154" i="61"/>
  <c r="P1" i="59"/>
  <c r="P83" i="59" s="1"/>
  <c r="D8" i="59"/>
  <c r="I11" i="59"/>
  <c r="K11" i="59"/>
  <c r="C17" i="59"/>
  <c r="C18" i="59" s="1"/>
  <c r="C19" i="59"/>
  <c r="C20" i="59" s="1"/>
  <c r="C21" i="59" s="1"/>
  <c r="C22" i="59" s="1"/>
  <c r="C23" i="59" s="1"/>
  <c r="C24" i="59" s="1"/>
  <c r="C25" i="59" s="1"/>
  <c r="C26" i="59" s="1"/>
  <c r="C27" i="59" s="1"/>
  <c r="C28" i="59" s="1"/>
  <c r="C29" i="59" s="1"/>
  <c r="C30" i="59" s="1"/>
  <c r="C31" i="59" s="1"/>
  <c r="C32" i="59" s="1"/>
  <c r="C33" i="59" s="1"/>
  <c r="C34" i="59" s="1"/>
  <c r="C35" i="59" s="1"/>
  <c r="C36" i="59" s="1"/>
  <c r="C37" i="59" s="1"/>
  <c r="C38" i="59" s="1"/>
  <c r="C39" i="59" s="1"/>
  <c r="C40" i="59" s="1"/>
  <c r="C41" i="59" s="1"/>
  <c r="C42" i="59" s="1"/>
  <c r="C43" i="59" s="1"/>
  <c r="C44" i="59" s="1"/>
  <c r="C45" i="59" s="1"/>
  <c r="C46" i="59" s="1"/>
  <c r="C47" i="59" s="1"/>
  <c r="C48" i="59" s="1"/>
  <c r="C49" i="59" s="1"/>
  <c r="C50" i="59" s="1"/>
  <c r="C51" i="59" s="1"/>
  <c r="C52" i="59" s="1"/>
  <c r="C53" i="59" s="1"/>
  <c r="C54" i="59" s="1"/>
  <c r="C55" i="59" s="1"/>
  <c r="C56" i="59" s="1"/>
  <c r="C57" i="59" s="1"/>
  <c r="C58" i="59" s="1"/>
  <c r="C59" i="59" s="1"/>
  <c r="C60" i="59" s="1"/>
  <c r="C61" i="59" s="1"/>
  <c r="C62" i="59" s="1"/>
  <c r="C63" i="59" s="1"/>
  <c r="C64" i="59" s="1"/>
  <c r="C65" i="59" s="1"/>
  <c r="C66" i="59" s="1"/>
  <c r="C67" i="59" s="1"/>
  <c r="C68" i="59" s="1"/>
  <c r="C69" i="59" s="1"/>
  <c r="C70" i="59" s="1"/>
  <c r="C71" i="59" s="1"/>
  <c r="C72" i="59" s="1"/>
  <c r="K17" i="59"/>
  <c r="L17" i="59" s="1"/>
  <c r="M17" i="59"/>
  <c r="N17" i="59" s="1"/>
  <c r="B18" i="59"/>
  <c r="K18" i="59"/>
  <c r="L18" i="59"/>
  <c r="M18" i="59"/>
  <c r="N18" i="59" s="1"/>
  <c r="B19" i="59"/>
  <c r="K19" i="59"/>
  <c r="L19" i="59" s="1"/>
  <c r="M19" i="59"/>
  <c r="N19" i="59" s="1"/>
  <c r="B20" i="59"/>
  <c r="I20" i="59"/>
  <c r="K20" i="59"/>
  <c r="L20" i="59"/>
  <c r="M20" i="59"/>
  <c r="N20" i="59"/>
  <c r="B21" i="59"/>
  <c r="K21" i="59"/>
  <c r="L21" i="59" s="1"/>
  <c r="M21" i="59"/>
  <c r="N21" i="59"/>
  <c r="B22" i="59"/>
  <c r="L23" i="59"/>
  <c r="N23" i="59"/>
  <c r="O23" i="59" s="1"/>
  <c r="L24" i="59"/>
  <c r="N24" i="59"/>
  <c r="L25" i="59"/>
  <c r="N25" i="59"/>
  <c r="L26" i="59"/>
  <c r="N26" i="59"/>
  <c r="L27" i="59"/>
  <c r="N27" i="59"/>
  <c r="L28" i="59"/>
  <c r="N28" i="59"/>
  <c r="L29" i="59"/>
  <c r="N29" i="59"/>
  <c r="L30" i="59"/>
  <c r="N30" i="59"/>
  <c r="L31" i="59"/>
  <c r="N31" i="59"/>
  <c r="L32" i="59"/>
  <c r="N32" i="59"/>
  <c r="L33" i="59"/>
  <c r="N33" i="59"/>
  <c r="L34" i="59"/>
  <c r="N34" i="59"/>
  <c r="L35" i="59"/>
  <c r="N35" i="59"/>
  <c r="L36" i="59"/>
  <c r="N36" i="59"/>
  <c r="L37" i="59"/>
  <c r="N37" i="59"/>
  <c r="L38" i="59"/>
  <c r="N38" i="59"/>
  <c r="L39" i="59"/>
  <c r="N39" i="59"/>
  <c r="L40" i="59"/>
  <c r="N40" i="59"/>
  <c r="O40" i="59" s="1"/>
  <c r="L41" i="59"/>
  <c r="N41" i="59"/>
  <c r="L42" i="59"/>
  <c r="N42" i="59"/>
  <c r="L43" i="59"/>
  <c r="N43" i="59"/>
  <c r="L44" i="59"/>
  <c r="N44" i="59"/>
  <c r="L45" i="59"/>
  <c r="N45" i="59"/>
  <c r="L46" i="59"/>
  <c r="N46" i="59"/>
  <c r="L47" i="59"/>
  <c r="N47" i="59"/>
  <c r="L48" i="59"/>
  <c r="N48" i="59"/>
  <c r="L49" i="59"/>
  <c r="N49" i="59"/>
  <c r="L50" i="59"/>
  <c r="N50" i="59"/>
  <c r="L51" i="59"/>
  <c r="N51" i="59"/>
  <c r="L52" i="59"/>
  <c r="N52" i="59"/>
  <c r="L53" i="59"/>
  <c r="N53" i="59"/>
  <c r="L54" i="59"/>
  <c r="N54" i="59"/>
  <c r="L55" i="59"/>
  <c r="N55" i="59"/>
  <c r="L56" i="59"/>
  <c r="N56" i="59"/>
  <c r="O56" i="59" s="1"/>
  <c r="L57" i="59"/>
  <c r="N57" i="59"/>
  <c r="L58" i="59"/>
  <c r="N58" i="59"/>
  <c r="O58" i="59" s="1"/>
  <c r="Q58" i="59"/>
  <c r="L59" i="59"/>
  <c r="N59" i="59"/>
  <c r="L60" i="59"/>
  <c r="N60" i="59"/>
  <c r="L61" i="59"/>
  <c r="N61" i="59"/>
  <c r="L62" i="59"/>
  <c r="N62" i="59"/>
  <c r="L63" i="59"/>
  <c r="N63" i="59"/>
  <c r="L64" i="59"/>
  <c r="N64" i="59"/>
  <c r="L65" i="59"/>
  <c r="N65" i="59"/>
  <c r="L66" i="59"/>
  <c r="N66" i="59"/>
  <c r="L67" i="59"/>
  <c r="N67" i="59"/>
  <c r="L68" i="59"/>
  <c r="N68" i="59"/>
  <c r="L69" i="59"/>
  <c r="N69" i="59"/>
  <c r="O69" i="59" s="1"/>
  <c r="L70" i="59"/>
  <c r="O70" i="59" s="1"/>
  <c r="N70" i="59"/>
  <c r="L71" i="59"/>
  <c r="N71" i="59"/>
  <c r="L72" i="59"/>
  <c r="N72" i="59"/>
  <c r="D89" i="59"/>
  <c r="D90" i="59"/>
  <c r="D91" i="59"/>
  <c r="D92" i="59"/>
  <c r="D103" i="59" s="1"/>
  <c r="B103" i="59" s="1"/>
  <c r="D93" i="59"/>
  <c r="J93" i="59"/>
  <c r="L93" i="59"/>
  <c r="D94" i="59"/>
  <c r="D96" i="59"/>
  <c r="L99" i="59"/>
  <c r="M99" i="59" s="1"/>
  <c r="N99" i="59"/>
  <c r="O99" i="59" s="1"/>
  <c r="P99" i="59" s="1"/>
  <c r="B100" i="59"/>
  <c r="L100" i="59"/>
  <c r="M100" i="59" s="1"/>
  <c r="N100" i="59"/>
  <c r="O100" i="59" s="1"/>
  <c r="B101" i="59"/>
  <c r="J101" i="59"/>
  <c r="L101" i="59"/>
  <c r="M101" i="59"/>
  <c r="N101" i="59"/>
  <c r="O101" i="59" s="1"/>
  <c r="B102" i="59"/>
  <c r="L102" i="59"/>
  <c r="M102" i="59"/>
  <c r="N102" i="59"/>
  <c r="O102" i="59" s="1"/>
  <c r="M103" i="59"/>
  <c r="O103" i="59"/>
  <c r="M104" i="59"/>
  <c r="O104" i="59"/>
  <c r="P104" i="59" s="1"/>
  <c r="M105" i="59"/>
  <c r="O105" i="59"/>
  <c r="M106" i="59"/>
  <c r="O106" i="59"/>
  <c r="M107" i="59"/>
  <c r="O107" i="59"/>
  <c r="M108" i="59"/>
  <c r="O108" i="59"/>
  <c r="M109" i="59"/>
  <c r="O109" i="59"/>
  <c r="M110" i="59"/>
  <c r="O110" i="59"/>
  <c r="M111" i="59"/>
  <c r="O111" i="59"/>
  <c r="M112" i="59"/>
  <c r="O112" i="59"/>
  <c r="M113" i="59"/>
  <c r="O113" i="59"/>
  <c r="M114" i="59"/>
  <c r="O114" i="59"/>
  <c r="M115" i="59"/>
  <c r="O115" i="59"/>
  <c r="M116" i="59"/>
  <c r="O116" i="59"/>
  <c r="P116" i="59" s="1"/>
  <c r="M117" i="59"/>
  <c r="O117" i="59"/>
  <c r="M118" i="59"/>
  <c r="O118" i="59"/>
  <c r="M119" i="59"/>
  <c r="O119" i="59"/>
  <c r="M120" i="59"/>
  <c r="O120" i="59"/>
  <c r="P120" i="59" s="1"/>
  <c r="M121" i="59"/>
  <c r="O121" i="59"/>
  <c r="M122" i="59"/>
  <c r="O122" i="59"/>
  <c r="M123" i="59"/>
  <c r="O123" i="59"/>
  <c r="M124" i="59"/>
  <c r="O124" i="59"/>
  <c r="P124" i="59" s="1"/>
  <c r="M125" i="59"/>
  <c r="O125" i="59"/>
  <c r="M126" i="59"/>
  <c r="O126" i="59"/>
  <c r="M127" i="59"/>
  <c r="O127" i="59"/>
  <c r="M128" i="59"/>
  <c r="O128" i="59"/>
  <c r="P128" i="59" s="1"/>
  <c r="M129" i="59"/>
  <c r="O129" i="59"/>
  <c r="M130" i="59"/>
  <c r="O130" i="59"/>
  <c r="P130" i="59" s="1"/>
  <c r="M131" i="59"/>
  <c r="O131" i="59"/>
  <c r="P131" i="59"/>
  <c r="M132" i="59"/>
  <c r="O132" i="59"/>
  <c r="P132" i="59"/>
  <c r="M133" i="59"/>
  <c r="O133" i="59"/>
  <c r="P133" i="59"/>
  <c r="M134" i="59"/>
  <c r="O134" i="59"/>
  <c r="P134" i="59"/>
  <c r="M135" i="59"/>
  <c r="O135" i="59"/>
  <c r="P135" i="59"/>
  <c r="M136" i="59"/>
  <c r="O136" i="59"/>
  <c r="P136" i="59"/>
  <c r="M137" i="59"/>
  <c r="O137" i="59"/>
  <c r="P137" i="59"/>
  <c r="M138" i="59"/>
  <c r="O138" i="59"/>
  <c r="P138" i="59"/>
  <c r="M139" i="59"/>
  <c r="O139" i="59"/>
  <c r="P139" i="59"/>
  <c r="M140" i="59"/>
  <c r="O140" i="59"/>
  <c r="P140" i="59"/>
  <c r="M141" i="59"/>
  <c r="O141" i="59"/>
  <c r="P141" i="59"/>
  <c r="M142" i="59"/>
  <c r="O142" i="59"/>
  <c r="P142" i="59"/>
  <c r="M143" i="59"/>
  <c r="O143" i="59"/>
  <c r="P143" i="59"/>
  <c r="M144" i="59"/>
  <c r="O144" i="59"/>
  <c r="P144" i="59"/>
  <c r="M145" i="59"/>
  <c r="O145" i="59"/>
  <c r="P145" i="59"/>
  <c r="M146" i="59"/>
  <c r="O146" i="59"/>
  <c r="P146" i="59"/>
  <c r="M147" i="59"/>
  <c r="O147" i="59"/>
  <c r="P147" i="59"/>
  <c r="M148" i="59"/>
  <c r="O148" i="59"/>
  <c r="P148" i="59"/>
  <c r="M149" i="59"/>
  <c r="O149" i="59"/>
  <c r="P149" i="59"/>
  <c r="M150" i="59"/>
  <c r="O150" i="59"/>
  <c r="P150" i="59"/>
  <c r="M151" i="59"/>
  <c r="O151" i="59"/>
  <c r="P151" i="59"/>
  <c r="M152" i="59"/>
  <c r="O152" i="59"/>
  <c r="P152" i="59"/>
  <c r="M153" i="59"/>
  <c r="O153" i="59"/>
  <c r="P153" i="59"/>
  <c r="M154" i="59"/>
  <c r="O154" i="59"/>
  <c r="P154" i="59"/>
  <c r="P1" i="58"/>
  <c r="P83" i="58" s="1"/>
  <c r="O3" i="58"/>
  <c r="D8" i="58"/>
  <c r="D90" i="58" s="1"/>
  <c r="K11" i="58"/>
  <c r="C17" i="58"/>
  <c r="C18" i="58"/>
  <c r="C19" i="58" s="1"/>
  <c r="C20" i="58" s="1"/>
  <c r="C21" i="58" s="1"/>
  <c r="C22" i="58"/>
  <c r="C23" i="58" s="1"/>
  <c r="C24" i="58" s="1"/>
  <c r="C25" i="58" s="1"/>
  <c r="C26" i="58" s="1"/>
  <c r="C27" i="58" s="1"/>
  <c r="C28" i="58" s="1"/>
  <c r="C29" i="58" s="1"/>
  <c r="C30" i="58" s="1"/>
  <c r="C31" i="58" s="1"/>
  <c r="C32" i="58" s="1"/>
  <c r="C33" i="58" s="1"/>
  <c r="C34" i="58" s="1"/>
  <c r="C35" i="58" s="1"/>
  <c r="C36" i="58" s="1"/>
  <c r="C37" i="58" s="1"/>
  <c r="C38" i="58" s="1"/>
  <c r="C39" i="58" s="1"/>
  <c r="C40" i="58" s="1"/>
  <c r="C41" i="58" s="1"/>
  <c r="C42" i="58" s="1"/>
  <c r="C43" i="58" s="1"/>
  <c r="C44" i="58" s="1"/>
  <c r="K17" i="58"/>
  <c r="L17" i="58"/>
  <c r="M17" i="58"/>
  <c r="N17" i="58" s="1"/>
  <c r="B18" i="58"/>
  <c r="K18" i="58"/>
  <c r="L18" i="58"/>
  <c r="M18" i="58"/>
  <c r="N18" i="58"/>
  <c r="O18" i="58" s="1"/>
  <c r="B19" i="58"/>
  <c r="K19" i="58"/>
  <c r="L19" i="58"/>
  <c r="M19" i="58"/>
  <c r="N19" i="58"/>
  <c r="B20" i="58"/>
  <c r="K20" i="58"/>
  <c r="L20" i="58" s="1"/>
  <c r="M20" i="58"/>
  <c r="N20" i="58" s="1"/>
  <c r="B21" i="58"/>
  <c r="I21" i="58"/>
  <c r="K21" i="58"/>
  <c r="L21" i="58" s="1"/>
  <c r="M21" i="58"/>
  <c r="N21" i="58" s="1"/>
  <c r="B22" i="58"/>
  <c r="K22" i="58"/>
  <c r="L22" i="58"/>
  <c r="M22" i="58"/>
  <c r="N22" i="58"/>
  <c r="O22" i="58" s="1"/>
  <c r="B23" i="58"/>
  <c r="L24" i="58"/>
  <c r="N24" i="58"/>
  <c r="O24" i="58" s="1"/>
  <c r="L25" i="58"/>
  <c r="N25" i="58"/>
  <c r="L26" i="58"/>
  <c r="N26" i="58"/>
  <c r="O26" i="58" s="1"/>
  <c r="L27" i="58"/>
  <c r="N27" i="58"/>
  <c r="L28" i="58"/>
  <c r="N28" i="58"/>
  <c r="L29" i="58"/>
  <c r="N29" i="58"/>
  <c r="L30" i="58"/>
  <c r="N30" i="58"/>
  <c r="L31" i="58"/>
  <c r="N31" i="58"/>
  <c r="L32" i="58"/>
  <c r="N32" i="58"/>
  <c r="O32" i="58" s="1"/>
  <c r="L33" i="58"/>
  <c r="N33" i="58"/>
  <c r="L34" i="58"/>
  <c r="N34" i="58"/>
  <c r="O34" i="58" s="1"/>
  <c r="L35" i="58"/>
  <c r="N35" i="58"/>
  <c r="L36" i="58"/>
  <c r="N36" i="58"/>
  <c r="O36" i="58" s="1"/>
  <c r="L37" i="58"/>
  <c r="N37" i="58"/>
  <c r="L38" i="58"/>
  <c r="N38" i="58"/>
  <c r="O38" i="58" s="1"/>
  <c r="L39" i="58"/>
  <c r="N39" i="58"/>
  <c r="L40" i="58"/>
  <c r="N40" i="58"/>
  <c r="O40" i="58" s="1"/>
  <c r="L41" i="58"/>
  <c r="N41" i="58"/>
  <c r="L42" i="58"/>
  <c r="N42" i="58"/>
  <c r="O42" i="58" s="1"/>
  <c r="L43" i="58"/>
  <c r="N43" i="58"/>
  <c r="L44" i="58"/>
  <c r="N44" i="58"/>
  <c r="O44" i="58" s="1"/>
  <c r="L45" i="58"/>
  <c r="N45" i="58"/>
  <c r="L46" i="58"/>
  <c r="N46" i="58"/>
  <c r="O46" i="58" s="1"/>
  <c r="L47" i="58"/>
  <c r="N47" i="58"/>
  <c r="L48" i="58"/>
  <c r="N48" i="58"/>
  <c r="O48" i="58" s="1"/>
  <c r="L49" i="58"/>
  <c r="N49" i="58"/>
  <c r="L50" i="58"/>
  <c r="N50" i="58"/>
  <c r="O50" i="58" s="1"/>
  <c r="L51" i="58"/>
  <c r="N51" i="58"/>
  <c r="L52" i="58"/>
  <c r="N52" i="58"/>
  <c r="L53" i="58"/>
  <c r="N53" i="58"/>
  <c r="L54" i="58"/>
  <c r="N54" i="58"/>
  <c r="O54" i="58" s="1"/>
  <c r="L55" i="58"/>
  <c r="N55" i="58"/>
  <c r="L56" i="58"/>
  <c r="N56" i="58"/>
  <c r="O56" i="58" s="1"/>
  <c r="L57" i="58"/>
  <c r="N57" i="58"/>
  <c r="L58" i="58"/>
  <c r="N58" i="58"/>
  <c r="O58" i="58" s="1"/>
  <c r="Q58" i="58"/>
  <c r="L59" i="58"/>
  <c r="N59" i="58"/>
  <c r="L60" i="58"/>
  <c r="O60" i="58" s="1"/>
  <c r="N60" i="58"/>
  <c r="L61" i="58"/>
  <c r="N61" i="58"/>
  <c r="L62" i="58"/>
  <c r="O62" i="58" s="1"/>
  <c r="N62" i="58"/>
  <c r="L63" i="58"/>
  <c r="N63" i="58"/>
  <c r="L64" i="58"/>
  <c r="O64" i="58" s="1"/>
  <c r="N64" i="58"/>
  <c r="L65" i="58"/>
  <c r="N65" i="58"/>
  <c r="L66" i="58"/>
  <c r="O66" i="58" s="1"/>
  <c r="N66" i="58"/>
  <c r="L67" i="58"/>
  <c r="N67" i="58"/>
  <c r="L68" i="58"/>
  <c r="O68" i="58" s="1"/>
  <c r="N68" i="58"/>
  <c r="L69" i="58"/>
  <c r="N69" i="58"/>
  <c r="L70" i="58"/>
  <c r="O70" i="58" s="1"/>
  <c r="N70" i="58"/>
  <c r="L71" i="58"/>
  <c r="N71" i="58"/>
  <c r="L72" i="58"/>
  <c r="O72" i="58" s="1"/>
  <c r="N72" i="58"/>
  <c r="D89" i="58"/>
  <c r="D91" i="58"/>
  <c r="J93" i="58"/>
  <c r="L93" i="58"/>
  <c r="D96" i="58"/>
  <c r="J99" i="58"/>
  <c r="L99" i="58"/>
  <c r="M99" i="58" s="1"/>
  <c r="N99" i="58"/>
  <c r="O99" i="58" s="1"/>
  <c r="P99" i="58"/>
  <c r="B100" i="58"/>
  <c r="L100" i="58"/>
  <c r="M100" i="58" s="1"/>
  <c r="N100" i="58"/>
  <c r="O100" i="58" s="1"/>
  <c r="B101" i="58"/>
  <c r="L101" i="58"/>
  <c r="M101" i="58"/>
  <c r="N101" i="58"/>
  <c r="O101" i="58"/>
  <c r="P101" i="58" s="1"/>
  <c r="B102" i="58"/>
  <c r="J102" i="58"/>
  <c r="L102" i="58"/>
  <c r="M102" i="58" s="1"/>
  <c r="N102" i="58"/>
  <c r="O102" i="58" s="1"/>
  <c r="B103" i="58"/>
  <c r="L103" i="58"/>
  <c r="M103" i="58"/>
  <c r="N103" i="58"/>
  <c r="O103" i="58"/>
  <c r="P103" i="58" s="1"/>
  <c r="D104" i="58"/>
  <c r="B104" i="58" s="1"/>
  <c r="M104" i="58"/>
  <c r="O104" i="58"/>
  <c r="M105" i="58"/>
  <c r="O105" i="58"/>
  <c r="M106" i="58"/>
  <c r="O106" i="58"/>
  <c r="M107" i="58"/>
  <c r="O107" i="58"/>
  <c r="M108" i="58"/>
  <c r="O108" i="58"/>
  <c r="M109" i="58"/>
  <c r="O109" i="58"/>
  <c r="M110" i="58"/>
  <c r="O110" i="58"/>
  <c r="M111" i="58"/>
  <c r="O111" i="58"/>
  <c r="M112" i="58"/>
  <c r="O112" i="58"/>
  <c r="M113" i="58"/>
  <c r="O113" i="58"/>
  <c r="M114" i="58"/>
  <c r="O114" i="58"/>
  <c r="M115" i="58"/>
  <c r="O115" i="58"/>
  <c r="M116" i="58"/>
  <c r="O116" i="58"/>
  <c r="M117" i="58"/>
  <c r="O117" i="58"/>
  <c r="M118" i="58"/>
  <c r="O118" i="58"/>
  <c r="M119" i="58"/>
  <c r="O119" i="58"/>
  <c r="M120" i="58"/>
  <c r="O120" i="58"/>
  <c r="M121" i="58"/>
  <c r="O121" i="58"/>
  <c r="M122" i="58"/>
  <c r="O122" i="58"/>
  <c r="M123" i="58"/>
  <c r="O123" i="58"/>
  <c r="M124" i="58"/>
  <c r="O124" i="58"/>
  <c r="M125" i="58"/>
  <c r="O125" i="58"/>
  <c r="P125" i="58" s="1"/>
  <c r="M126" i="58"/>
  <c r="O126" i="58"/>
  <c r="M127" i="58"/>
  <c r="O127" i="58"/>
  <c r="M128" i="58"/>
  <c r="O128" i="58"/>
  <c r="M129" i="58"/>
  <c r="O129" i="58"/>
  <c r="M130" i="58"/>
  <c r="O130" i="58"/>
  <c r="P130" i="58" s="1"/>
  <c r="M131" i="58"/>
  <c r="O131" i="58"/>
  <c r="M132" i="58"/>
  <c r="O132" i="58"/>
  <c r="M133" i="58"/>
  <c r="O133" i="58"/>
  <c r="M134" i="58"/>
  <c r="O134" i="58"/>
  <c r="M135" i="58"/>
  <c r="O135" i="58"/>
  <c r="M136" i="58"/>
  <c r="O136" i="58"/>
  <c r="M137" i="58"/>
  <c r="O137" i="58"/>
  <c r="M138" i="58"/>
  <c r="O138" i="58"/>
  <c r="M139" i="58"/>
  <c r="O139" i="58"/>
  <c r="M140" i="58"/>
  <c r="O140" i="58"/>
  <c r="M141" i="58"/>
  <c r="O141" i="58"/>
  <c r="M142" i="58"/>
  <c r="O142" i="58"/>
  <c r="M143" i="58"/>
  <c r="O143" i="58"/>
  <c r="M144" i="58"/>
  <c r="O144" i="58"/>
  <c r="M145" i="58"/>
  <c r="O145" i="58"/>
  <c r="M146" i="58"/>
  <c r="O146" i="58"/>
  <c r="M147" i="58"/>
  <c r="O147" i="58"/>
  <c r="M148" i="58"/>
  <c r="O148" i="58"/>
  <c r="M149" i="58"/>
  <c r="O149" i="58"/>
  <c r="M150" i="58"/>
  <c r="O150" i="58"/>
  <c r="M151" i="58"/>
  <c r="O151" i="58"/>
  <c r="M152" i="58"/>
  <c r="O152" i="58"/>
  <c r="M153" i="58"/>
  <c r="O153" i="58"/>
  <c r="M154" i="58"/>
  <c r="O154" i="58"/>
  <c r="P1" i="57"/>
  <c r="P83" i="57" s="1"/>
  <c r="O3" i="57"/>
  <c r="D8" i="57"/>
  <c r="K11" i="57"/>
  <c r="C17" i="57"/>
  <c r="C18" i="57"/>
  <c r="C19" i="57" s="1"/>
  <c r="C20" i="57" s="1"/>
  <c r="C21" i="57" s="1"/>
  <c r="C22" i="57" s="1"/>
  <c r="C23" i="57" s="1"/>
  <c r="C24" i="57" s="1"/>
  <c r="C25" i="57" s="1"/>
  <c r="C26" i="57" s="1"/>
  <c r="C27" i="57" s="1"/>
  <c r="C28" i="57" s="1"/>
  <c r="C29" i="57" s="1"/>
  <c r="C30" i="57" s="1"/>
  <c r="C31" i="57" s="1"/>
  <c r="C32" i="57" s="1"/>
  <c r="C33" i="57" s="1"/>
  <c r="C34" i="57" s="1"/>
  <c r="C35" i="57" s="1"/>
  <c r="C36" i="57" s="1"/>
  <c r="C37" i="57" s="1"/>
  <c r="C38" i="57" s="1"/>
  <c r="C39" i="57" s="1"/>
  <c r="C40" i="57" s="1"/>
  <c r="C41" i="57" s="1"/>
  <c r="C42" i="57" s="1"/>
  <c r="C43" i="57" s="1"/>
  <c r="C44" i="57" s="1"/>
  <c r="K17" i="57"/>
  <c r="L17" i="57"/>
  <c r="M17" i="57"/>
  <c r="N17" i="57"/>
  <c r="B18" i="57"/>
  <c r="K18" i="57"/>
  <c r="L18" i="57" s="1"/>
  <c r="M18" i="57"/>
  <c r="N18" i="57"/>
  <c r="B19" i="57"/>
  <c r="K19" i="57"/>
  <c r="L19" i="57"/>
  <c r="M19" i="57"/>
  <c r="N19" i="57"/>
  <c r="B20" i="57"/>
  <c r="K20" i="57"/>
  <c r="L20" i="57"/>
  <c r="M20" i="57"/>
  <c r="N20" i="57" s="1"/>
  <c r="B21" i="57"/>
  <c r="I21" i="57"/>
  <c r="K21" i="57"/>
  <c r="L21" i="57" s="1"/>
  <c r="M21" i="57"/>
  <c r="N21" i="57"/>
  <c r="B22" i="57"/>
  <c r="K22" i="57"/>
  <c r="L22" i="57"/>
  <c r="M22" i="57"/>
  <c r="N22" i="57"/>
  <c r="B23" i="57"/>
  <c r="L24" i="57"/>
  <c r="N24" i="57"/>
  <c r="O24" i="57"/>
  <c r="L25" i="57"/>
  <c r="O25" i="57" s="1"/>
  <c r="N25" i="57"/>
  <c r="L26" i="57"/>
  <c r="N26" i="57"/>
  <c r="L27" i="57"/>
  <c r="N27" i="57"/>
  <c r="L28" i="57"/>
  <c r="N28" i="57"/>
  <c r="O28" i="57" s="1"/>
  <c r="L29" i="57"/>
  <c r="O29" i="57" s="1"/>
  <c r="N29" i="57"/>
  <c r="L30" i="57"/>
  <c r="N30" i="57"/>
  <c r="L31" i="57"/>
  <c r="O31" i="57" s="1"/>
  <c r="N31" i="57"/>
  <c r="L32" i="57"/>
  <c r="N32" i="57"/>
  <c r="L33" i="57"/>
  <c r="O33" i="57" s="1"/>
  <c r="N33" i="57"/>
  <c r="L34" i="57"/>
  <c r="N34" i="57"/>
  <c r="L35" i="57"/>
  <c r="O35" i="57" s="1"/>
  <c r="N35" i="57"/>
  <c r="L36" i="57"/>
  <c r="N36" i="57"/>
  <c r="L37" i="57"/>
  <c r="N37" i="57"/>
  <c r="L38" i="57"/>
  <c r="N38" i="57"/>
  <c r="L39" i="57"/>
  <c r="O39" i="57" s="1"/>
  <c r="N39" i="57"/>
  <c r="L40" i="57"/>
  <c r="N40" i="57"/>
  <c r="O40" i="57" s="1"/>
  <c r="L41" i="57"/>
  <c r="O41" i="57" s="1"/>
  <c r="N41" i="57"/>
  <c r="L42" i="57"/>
  <c r="N42" i="57"/>
  <c r="L43" i="57"/>
  <c r="O43" i="57" s="1"/>
  <c r="N43" i="57"/>
  <c r="L44" i="57"/>
  <c r="N44" i="57"/>
  <c r="L45" i="57"/>
  <c r="O45" i="57" s="1"/>
  <c r="N45" i="57"/>
  <c r="L46" i="57"/>
  <c r="N46" i="57"/>
  <c r="L47" i="57"/>
  <c r="O47" i="57" s="1"/>
  <c r="N47" i="57"/>
  <c r="L48" i="57"/>
  <c r="N48" i="57"/>
  <c r="L49" i="57"/>
  <c r="N49" i="57"/>
  <c r="L50" i="57"/>
  <c r="N50" i="57"/>
  <c r="L51" i="57"/>
  <c r="N51" i="57"/>
  <c r="L52" i="57"/>
  <c r="N52" i="57"/>
  <c r="O52" i="57" s="1"/>
  <c r="L53" i="57"/>
  <c r="O53" i="57" s="1"/>
  <c r="N53" i="57"/>
  <c r="L54" i="57"/>
  <c r="N54" i="57"/>
  <c r="L55" i="57"/>
  <c r="N55" i="57"/>
  <c r="L56" i="57"/>
  <c r="N56" i="57"/>
  <c r="L57" i="57"/>
  <c r="N57" i="57"/>
  <c r="L58" i="57"/>
  <c r="N58" i="57"/>
  <c r="Q58" i="57"/>
  <c r="L59" i="57"/>
  <c r="N59" i="57"/>
  <c r="O59" i="57" s="1"/>
  <c r="L60" i="57"/>
  <c r="N60" i="57"/>
  <c r="L61" i="57"/>
  <c r="N61" i="57"/>
  <c r="O61" i="57" s="1"/>
  <c r="L62" i="57"/>
  <c r="N62" i="57"/>
  <c r="L63" i="57"/>
  <c r="N63" i="57"/>
  <c r="L64" i="57"/>
  <c r="N64" i="57"/>
  <c r="L65" i="57"/>
  <c r="N65" i="57"/>
  <c r="L66" i="57"/>
  <c r="N66" i="57"/>
  <c r="L67" i="57"/>
  <c r="N67" i="57"/>
  <c r="L68" i="57"/>
  <c r="N68" i="57"/>
  <c r="L69" i="57"/>
  <c r="N69" i="57"/>
  <c r="L70" i="57"/>
  <c r="N70" i="57"/>
  <c r="L71" i="57"/>
  <c r="N71" i="57"/>
  <c r="L72" i="57"/>
  <c r="N72" i="57"/>
  <c r="D89" i="57"/>
  <c r="D90" i="57"/>
  <c r="D91" i="57"/>
  <c r="D92" i="57"/>
  <c r="J93" i="57"/>
  <c r="L93" i="57"/>
  <c r="D96" i="57"/>
  <c r="J99" i="57"/>
  <c r="L99" i="57"/>
  <c r="M99" i="57" s="1"/>
  <c r="N99" i="57"/>
  <c r="O99" i="57" s="1"/>
  <c r="P99" i="57"/>
  <c r="B100" i="57"/>
  <c r="L100" i="57"/>
  <c r="M100" i="57"/>
  <c r="N100" i="57"/>
  <c r="O100" i="57" s="1"/>
  <c r="B101" i="57"/>
  <c r="L101" i="57"/>
  <c r="M101" i="57"/>
  <c r="N101" i="57"/>
  <c r="O101" i="57"/>
  <c r="B102" i="57"/>
  <c r="J102" i="57"/>
  <c r="L102" i="57"/>
  <c r="M102" i="57"/>
  <c r="N102" i="57"/>
  <c r="O102" i="57"/>
  <c r="B103" i="57"/>
  <c r="L103" i="57"/>
  <c r="M103" i="57"/>
  <c r="N103" i="57"/>
  <c r="O103" i="57" s="1"/>
  <c r="P103" i="57" s="1"/>
  <c r="D104" i="57"/>
  <c r="B104" i="57"/>
  <c r="M104" i="57"/>
  <c r="O104" i="57"/>
  <c r="P104" i="57" s="1"/>
  <c r="M105" i="57"/>
  <c r="O105" i="57"/>
  <c r="M106" i="57"/>
  <c r="O106" i="57"/>
  <c r="M107" i="57"/>
  <c r="O107" i="57"/>
  <c r="M108" i="57"/>
  <c r="O108" i="57"/>
  <c r="M109" i="57"/>
  <c r="O109" i="57"/>
  <c r="M110" i="57"/>
  <c r="O110" i="57"/>
  <c r="P110" i="57" s="1"/>
  <c r="M111" i="57"/>
  <c r="O111" i="57"/>
  <c r="M112" i="57"/>
  <c r="O112" i="57"/>
  <c r="P112" i="57" s="1"/>
  <c r="M113" i="57"/>
  <c r="O113" i="57"/>
  <c r="M114" i="57"/>
  <c r="O114" i="57"/>
  <c r="M115" i="57"/>
  <c r="O115" i="57"/>
  <c r="M116" i="57"/>
  <c r="O116" i="57"/>
  <c r="M117" i="57"/>
  <c r="O117" i="57"/>
  <c r="M118" i="57"/>
  <c r="O118" i="57"/>
  <c r="P118" i="57" s="1"/>
  <c r="M119" i="57"/>
  <c r="O119" i="57"/>
  <c r="M120" i="57"/>
  <c r="O120" i="57"/>
  <c r="M121" i="57"/>
  <c r="O121" i="57"/>
  <c r="M122" i="57"/>
  <c r="O122" i="57"/>
  <c r="P122" i="57" s="1"/>
  <c r="M123" i="57"/>
  <c r="O123" i="57"/>
  <c r="M124" i="57"/>
  <c r="O124" i="57"/>
  <c r="P124" i="57" s="1"/>
  <c r="M125" i="57"/>
  <c r="O125" i="57"/>
  <c r="M126" i="57"/>
  <c r="O126" i="57"/>
  <c r="M127" i="57"/>
  <c r="O127" i="57"/>
  <c r="M128" i="57"/>
  <c r="O128" i="57"/>
  <c r="M129" i="57"/>
  <c r="O129" i="57"/>
  <c r="M130" i="57"/>
  <c r="O130" i="57"/>
  <c r="M131" i="57"/>
  <c r="O131" i="57"/>
  <c r="M132" i="57"/>
  <c r="O132" i="57"/>
  <c r="M133" i="57"/>
  <c r="O133" i="57"/>
  <c r="M134" i="57"/>
  <c r="O134" i="57"/>
  <c r="M135" i="57"/>
  <c r="O135" i="57"/>
  <c r="M136" i="57"/>
  <c r="O136" i="57"/>
  <c r="M137" i="57"/>
  <c r="O137" i="57"/>
  <c r="M138" i="57"/>
  <c r="O138" i="57"/>
  <c r="M139" i="57"/>
  <c r="O139" i="57"/>
  <c r="M140" i="57"/>
  <c r="O140" i="57"/>
  <c r="M141" i="57"/>
  <c r="O141" i="57"/>
  <c r="M142" i="57"/>
  <c r="O142" i="57"/>
  <c r="M143" i="57"/>
  <c r="O143" i="57"/>
  <c r="P143" i="57"/>
  <c r="M144" i="57"/>
  <c r="O144" i="57"/>
  <c r="M145" i="57"/>
  <c r="O145" i="57"/>
  <c r="M146" i="57"/>
  <c r="O146" i="57"/>
  <c r="M147" i="57"/>
  <c r="O147" i="57"/>
  <c r="M148" i="57"/>
  <c r="O148" i="57"/>
  <c r="M149" i="57"/>
  <c r="O149" i="57"/>
  <c r="P149" i="57" s="1"/>
  <c r="M150" i="57"/>
  <c r="O150" i="57"/>
  <c r="M151" i="57"/>
  <c r="O151" i="57"/>
  <c r="P151" i="57" s="1"/>
  <c r="M152" i="57"/>
  <c r="O152" i="57"/>
  <c r="M153" i="57"/>
  <c r="O153" i="57"/>
  <c r="P153" i="57" s="1"/>
  <c r="M154" i="57"/>
  <c r="O154" i="57"/>
  <c r="P1" i="56"/>
  <c r="P83" i="56" s="1"/>
  <c r="O3" i="56"/>
  <c r="D8" i="56"/>
  <c r="D90" i="56"/>
  <c r="K11" i="56"/>
  <c r="C17" i="56"/>
  <c r="C18" i="56" s="1"/>
  <c r="C19" i="56" s="1"/>
  <c r="K17" i="56"/>
  <c r="L17" i="56" s="1"/>
  <c r="M17" i="56"/>
  <c r="N17" i="56"/>
  <c r="B18" i="56"/>
  <c r="C20" i="56"/>
  <c r="C21" i="56" s="1"/>
  <c r="C22" i="56" s="1"/>
  <c r="C23" i="56" s="1"/>
  <c r="C24" i="56" s="1"/>
  <c r="C25" i="56" s="1"/>
  <c r="C26" i="56" s="1"/>
  <c r="C27" i="56" s="1"/>
  <c r="C28" i="56" s="1"/>
  <c r="C29" i="56" s="1"/>
  <c r="C30" i="56" s="1"/>
  <c r="C31" i="56" s="1"/>
  <c r="C32" i="56" s="1"/>
  <c r="C33" i="56" s="1"/>
  <c r="C34" i="56" s="1"/>
  <c r="C35" i="56" s="1"/>
  <c r="C36" i="56" s="1"/>
  <c r="C37" i="56" s="1"/>
  <c r="C38" i="56" s="1"/>
  <c r="C39" i="56" s="1"/>
  <c r="C40" i="56" s="1"/>
  <c r="C41" i="56" s="1"/>
  <c r="C42" i="56" s="1"/>
  <c r="C43" i="56" s="1"/>
  <c r="C44" i="56" s="1"/>
  <c r="K18" i="56"/>
  <c r="L18" i="56"/>
  <c r="M18" i="56"/>
  <c r="N18" i="56"/>
  <c r="O18" i="56" s="1"/>
  <c r="B19" i="56"/>
  <c r="K19" i="56"/>
  <c r="L19" i="56"/>
  <c r="O19" i="56" s="1"/>
  <c r="M19" i="56"/>
  <c r="N19" i="56"/>
  <c r="B20" i="56"/>
  <c r="K20" i="56"/>
  <c r="L20" i="56"/>
  <c r="M20" i="56"/>
  <c r="N20" i="56"/>
  <c r="B21" i="56"/>
  <c r="I21" i="56"/>
  <c r="K21" i="56"/>
  <c r="L21" i="56"/>
  <c r="M21" i="56"/>
  <c r="N21" i="56"/>
  <c r="B22" i="56"/>
  <c r="K22" i="56"/>
  <c r="L22" i="56" s="1"/>
  <c r="M22" i="56"/>
  <c r="N22" i="56"/>
  <c r="B23" i="56"/>
  <c r="L24" i="56"/>
  <c r="O24" i="56" s="1"/>
  <c r="N24" i="56"/>
  <c r="L25" i="56"/>
  <c r="N25" i="56"/>
  <c r="O25" i="56" s="1"/>
  <c r="L26" i="56"/>
  <c r="N26" i="56"/>
  <c r="L27" i="56"/>
  <c r="N27" i="56"/>
  <c r="L28" i="56"/>
  <c r="N28" i="56"/>
  <c r="L29" i="56"/>
  <c r="N29" i="56"/>
  <c r="L30" i="56"/>
  <c r="N30" i="56"/>
  <c r="L31" i="56"/>
  <c r="N31" i="56"/>
  <c r="L32" i="56"/>
  <c r="N32" i="56"/>
  <c r="L33" i="56"/>
  <c r="N33" i="56"/>
  <c r="L34" i="56"/>
  <c r="N34" i="56"/>
  <c r="L35" i="56"/>
  <c r="N35" i="56"/>
  <c r="O35" i="56" s="1"/>
  <c r="L36" i="56"/>
  <c r="N36" i="56"/>
  <c r="L37" i="56"/>
  <c r="N37" i="56"/>
  <c r="L38" i="56"/>
  <c r="N38" i="56"/>
  <c r="L39" i="56"/>
  <c r="N39" i="56"/>
  <c r="L40" i="56"/>
  <c r="N40" i="56"/>
  <c r="L41" i="56"/>
  <c r="N41" i="56"/>
  <c r="O41" i="56" s="1"/>
  <c r="L42" i="56"/>
  <c r="N42" i="56"/>
  <c r="L43" i="56"/>
  <c r="N43" i="56"/>
  <c r="L44" i="56"/>
  <c r="N44" i="56"/>
  <c r="L45" i="56"/>
  <c r="N45" i="56"/>
  <c r="O45" i="56" s="1"/>
  <c r="L46" i="56"/>
  <c r="N46" i="56"/>
  <c r="L47" i="56"/>
  <c r="N47" i="56"/>
  <c r="L48" i="56"/>
  <c r="N48" i="56"/>
  <c r="L49" i="56"/>
  <c r="N49" i="56"/>
  <c r="L50" i="56"/>
  <c r="N50" i="56"/>
  <c r="L51" i="56"/>
  <c r="N51" i="56"/>
  <c r="L52" i="56"/>
  <c r="N52" i="56"/>
  <c r="L53" i="56"/>
  <c r="N53" i="56"/>
  <c r="L54" i="56"/>
  <c r="N54" i="56"/>
  <c r="L55" i="56"/>
  <c r="N55" i="56"/>
  <c r="L56" i="56"/>
  <c r="N56" i="56"/>
  <c r="L57" i="56"/>
  <c r="N57" i="56"/>
  <c r="O57" i="56" s="1"/>
  <c r="L58" i="56"/>
  <c r="N58" i="56"/>
  <c r="Q58" i="56"/>
  <c r="L59" i="56"/>
  <c r="N59" i="56"/>
  <c r="L60" i="56"/>
  <c r="N60" i="56"/>
  <c r="L61" i="56"/>
  <c r="N61" i="56"/>
  <c r="L62" i="56"/>
  <c r="N62" i="56"/>
  <c r="O62" i="56" s="1"/>
  <c r="L63" i="56"/>
  <c r="N63" i="56"/>
  <c r="L64" i="56"/>
  <c r="N64" i="56"/>
  <c r="L65" i="56"/>
  <c r="N65" i="56"/>
  <c r="L66" i="56"/>
  <c r="N66" i="56"/>
  <c r="L67" i="56"/>
  <c r="N67" i="56"/>
  <c r="L68" i="56"/>
  <c r="N68" i="56"/>
  <c r="O68" i="56" s="1"/>
  <c r="L69" i="56"/>
  <c r="N69" i="56"/>
  <c r="L70" i="56"/>
  <c r="N70" i="56"/>
  <c r="L71" i="56"/>
  <c r="N71" i="56"/>
  <c r="L72" i="56"/>
  <c r="N72" i="56"/>
  <c r="D89" i="56"/>
  <c r="D91" i="56"/>
  <c r="J93" i="56"/>
  <c r="L93" i="56"/>
  <c r="D96" i="56"/>
  <c r="J99" i="56"/>
  <c r="L99" i="56"/>
  <c r="M99" i="56"/>
  <c r="N99" i="56"/>
  <c r="O99" i="56"/>
  <c r="B100" i="56"/>
  <c r="L100" i="56"/>
  <c r="M100" i="56" s="1"/>
  <c r="N100" i="56"/>
  <c r="O100" i="56" s="1"/>
  <c r="B101" i="56"/>
  <c r="L101" i="56"/>
  <c r="M101" i="56"/>
  <c r="N101" i="56"/>
  <c r="O101" i="56"/>
  <c r="B102" i="56"/>
  <c r="J102" i="56"/>
  <c r="L102" i="56"/>
  <c r="M102" i="56"/>
  <c r="N102" i="56"/>
  <c r="O102" i="56"/>
  <c r="B103" i="56"/>
  <c r="L103" i="56"/>
  <c r="M103" i="56" s="1"/>
  <c r="N103" i="56"/>
  <c r="O103" i="56" s="1"/>
  <c r="M104" i="56"/>
  <c r="O104" i="56"/>
  <c r="M105" i="56"/>
  <c r="O105" i="56"/>
  <c r="M106" i="56"/>
  <c r="O106" i="56"/>
  <c r="M107" i="56"/>
  <c r="O107" i="56"/>
  <c r="M108" i="56"/>
  <c r="O108" i="56"/>
  <c r="M109" i="56"/>
  <c r="O109" i="56"/>
  <c r="M110" i="56"/>
  <c r="O110" i="56"/>
  <c r="M111" i="56"/>
  <c r="O111" i="56"/>
  <c r="M112" i="56"/>
  <c r="O112" i="56"/>
  <c r="M113" i="56"/>
  <c r="O113" i="56"/>
  <c r="M114" i="56"/>
  <c r="O114" i="56"/>
  <c r="M115" i="56"/>
  <c r="O115" i="56"/>
  <c r="M116" i="56"/>
  <c r="O116" i="56"/>
  <c r="M117" i="56"/>
  <c r="O117" i="56"/>
  <c r="M118" i="56"/>
  <c r="O118" i="56"/>
  <c r="M119" i="56"/>
  <c r="O119" i="56"/>
  <c r="M120" i="56"/>
  <c r="O120" i="56"/>
  <c r="M121" i="56"/>
  <c r="O121" i="56"/>
  <c r="M122" i="56"/>
  <c r="O122" i="56"/>
  <c r="M123" i="56"/>
  <c r="O123" i="56"/>
  <c r="M124" i="56"/>
  <c r="O124" i="56"/>
  <c r="M125" i="56"/>
  <c r="O125" i="56"/>
  <c r="P125" i="56" s="1"/>
  <c r="M126" i="56"/>
  <c r="O126" i="56"/>
  <c r="M127" i="56"/>
  <c r="O127" i="56"/>
  <c r="M128" i="56"/>
  <c r="O128" i="56"/>
  <c r="P128" i="56" s="1"/>
  <c r="M129" i="56"/>
  <c r="O129" i="56"/>
  <c r="M130" i="56"/>
  <c r="O130" i="56"/>
  <c r="M131" i="56"/>
  <c r="O131" i="56"/>
  <c r="M132" i="56"/>
  <c r="O132" i="56"/>
  <c r="M133" i="56"/>
  <c r="O133" i="56"/>
  <c r="M134" i="56"/>
  <c r="O134" i="56"/>
  <c r="M135" i="56"/>
  <c r="O135" i="56"/>
  <c r="M136" i="56"/>
  <c r="O136" i="56"/>
  <c r="M137" i="56"/>
  <c r="O137" i="56"/>
  <c r="M138" i="56"/>
  <c r="O138" i="56"/>
  <c r="M139" i="56"/>
  <c r="O139" i="56"/>
  <c r="M140" i="56"/>
  <c r="O140" i="56"/>
  <c r="M141" i="56"/>
  <c r="O141" i="56"/>
  <c r="M142" i="56"/>
  <c r="O142" i="56"/>
  <c r="M143" i="56"/>
  <c r="O143" i="56"/>
  <c r="P143" i="56" s="1"/>
  <c r="M144" i="56"/>
  <c r="O144" i="56"/>
  <c r="M145" i="56"/>
  <c r="O145" i="56"/>
  <c r="M146" i="56"/>
  <c r="O146" i="56"/>
  <c r="M147" i="56"/>
  <c r="O147" i="56"/>
  <c r="M148" i="56"/>
  <c r="O148" i="56"/>
  <c r="M149" i="56"/>
  <c r="O149" i="56"/>
  <c r="M150" i="56"/>
  <c r="O150" i="56"/>
  <c r="M151" i="56"/>
  <c r="O151" i="56"/>
  <c r="P151" i="56" s="1"/>
  <c r="M152" i="56"/>
  <c r="O152" i="56"/>
  <c r="M153" i="56"/>
  <c r="O153" i="56"/>
  <c r="M154" i="56"/>
  <c r="O154" i="56"/>
  <c r="P1" i="55"/>
  <c r="P83" i="55" s="1"/>
  <c r="O3" i="55"/>
  <c r="D8" i="55"/>
  <c r="D90" i="55"/>
  <c r="K11" i="55"/>
  <c r="C17" i="55"/>
  <c r="C18" i="55"/>
  <c r="C19" i="55"/>
  <c r="C20" i="55" s="1"/>
  <c r="C21" i="55" s="1"/>
  <c r="C22" i="55" s="1"/>
  <c r="C23" i="55" s="1"/>
  <c r="C24" i="55" s="1"/>
  <c r="C25" i="55" s="1"/>
  <c r="C26" i="55" s="1"/>
  <c r="C27" i="55" s="1"/>
  <c r="C28" i="55" s="1"/>
  <c r="C29" i="55" s="1"/>
  <c r="C30" i="55" s="1"/>
  <c r="C31" i="55" s="1"/>
  <c r="C32" i="55" s="1"/>
  <c r="C33" i="55" s="1"/>
  <c r="C34" i="55" s="1"/>
  <c r="C35" i="55" s="1"/>
  <c r="C36" i="55" s="1"/>
  <c r="C37" i="55" s="1"/>
  <c r="C38" i="55" s="1"/>
  <c r="C39" i="55" s="1"/>
  <c r="C40" i="55" s="1"/>
  <c r="C41" i="55" s="1"/>
  <c r="C42" i="55" s="1"/>
  <c r="C43" i="55" s="1"/>
  <c r="C44" i="55" s="1"/>
  <c r="C45" i="55" s="1"/>
  <c r="C46" i="55" s="1"/>
  <c r="C47" i="55"/>
  <c r="C48" i="55" s="1"/>
  <c r="C49" i="55" s="1"/>
  <c r="C50" i="55" s="1"/>
  <c r="C51" i="55" s="1"/>
  <c r="C52" i="55" s="1"/>
  <c r="C53" i="55" s="1"/>
  <c r="C54" i="55" s="1"/>
  <c r="C55" i="55" s="1"/>
  <c r="C56" i="55" s="1"/>
  <c r="C57" i="55" s="1"/>
  <c r="C58" i="55" s="1"/>
  <c r="C59" i="55" s="1"/>
  <c r="C60" i="55" s="1"/>
  <c r="C61" i="55" s="1"/>
  <c r="C62" i="55" s="1"/>
  <c r="C63" i="55" s="1"/>
  <c r="C64" i="55" s="1"/>
  <c r="C65" i="55" s="1"/>
  <c r="C66" i="55" s="1"/>
  <c r="C67" i="55" s="1"/>
  <c r="C68" i="55" s="1"/>
  <c r="C69" i="55" s="1"/>
  <c r="C70" i="55" s="1"/>
  <c r="C71" i="55" s="1"/>
  <c r="C72" i="55" s="1"/>
  <c r="K17" i="55"/>
  <c r="L17" i="55"/>
  <c r="M17" i="55"/>
  <c r="N17" i="55" s="1"/>
  <c r="B18" i="55"/>
  <c r="K18" i="55"/>
  <c r="L18" i="55"/>
  <c r="M18" i="55"/>
  <c r="N18" i="55"/>
  <c r="B19" i="55"/>
  <c r="K19" i="55"/>
  <c r="L19" i="55" s="1"/>
  <c r="M19" i="55"/>
  <c r="N19" i="55" s="1"/>
  <c r="B20" i="55"/>
  <c r="K20" i="55"/>
  <c r="L20" i="55"/>
  <c r="M20" i="55"/>
  <c r="N20" i="55"/>
  <c r="B21" i="55"/>
  <c r="I21" i="55"/>
  <c r="K21" i="55"/>
  <c r="L21" i="55"/>
  <c r="M21" i="55"/>
  <c r="N21" i="55"/>
  <c r="B22" i="55"/>
  <c r="K22" i="55"/>
  <c r="L22" i="55" s="1"/>
  <c r="M22" i="55"/>
  <c r="N22" i="55" s="1"/>
  <c r="B23" i="55"/>
  <c r="L24" i="55"/>
  <c r="N24" i="55"/>
  <c r="L25" i="55"/>
  <c r="N25" i="55"/>
  <c r="L26" i="55"/>
  <c r="N26" i="55"/>
  <c r="L27" i="55"/>
  <c r="N27" i="55"/>
  <c r="L28" i="55"/>
  <c r="N28" i="55"/>
  <c r="L29" i="55"/>
  <c r="N29" i="55"/>
  <c r="L30" i="55"/>
  <c r="N30" i="55"/>
  <c r="L31" i="55"/>
  <c r="N31" i="55"/>
  <c r="L32" i="55"/>
  <c r="N32" i="55"/>
  <c r="L33" i="55"/>
  <c r="N33" i="55"/>
  <c r="L34" i="55"/>
  <c r="N34" i="55"/>
  <c r="L35" i="55"/>
  <c r="N35" i="55"/>
  <c r="L36" i="55"/>
  <c r="N36" i="55"/>
  <c r="L37" i="55"/>
  <c r="N37" i="55"/>
  <c r="L38" i="55"/>
  <c r="N38" i="55"/>
  <c r="L39" i="55"/>
  <c r="N39" i="55"/>
  <c r="L40" i="55"/>
  <c r="N40" i="55"/>
  <c r="L41" i="55"/>
  <c r="N41" i="55"/>
  <c r="L42" i="55"/>
  <c r="N42" i="55"/>
  <c r="L43" i="55"/>
  <c r="N43" i="55"/>
  <c r="O43" i="55" s="1"/>
  <c r="L44" i="55"/>
  <c r="N44" i="55"/>
  <c r="L45" i="55"/>
  <c r="N45" i="55"/>
  <c r="L46" i="55"/>
  <c r="N46" i="55"/>
  <c r="L47" i="55"/>
  <c r="N47" i="55"/>
  <c r="L48" i="55"/>
  <c r="O48" i="55" s="1"/>
  <c r="N48" i="55"/>
  <c r="L49" i="55"/>
  <c r="N49" i="55"/>
  <c r="L50" i="55"/>
  <c r="N50" i="55"/>
  <c r="L51" i="55"/>
  <c r="N51" i="55"/>
  <c r="L52" i="55"/>
  <c r="O52" i="55" s="1"/>
  <c r="N52" i="55"/>
  <c r="L53" i="55"/>
  <c r="N53" i="55"/>
  <c r="O53" i="55" s="1"/>
  <c r="L54" i="55"/>
  <c r="O54" i="55" s="1"/>
  <c r="N54" i="55"/>
  <c r="L55" i="55"/>
  <c r="N55" i="55"/>
  <c r="L56" i="55"/>
  <c r="O56" i="55" s="1"/>
  <c r="N56" i="55"/>
  <c r="L57" i="55"/>
  <c r="N57" i="55"/>
  <c r="O57" i="55" s="1"/>
  <c r="L58" i="55"/>
  <c r="O58" i="55" s="1"/>
  <c r="N58" i="55"/>
  <c r="Q58" i="55"/>
  <c r="L59" i="55"/>
  <c r="N59" i="55"/>
  <c r="O59" i="55" s="1"/>
  <c r="L60" i="55"/>
  <c r="N60" i="55"/>
  <c r="L61" i="55"/>
  <c r="N61" i="55"/>
  <c r="O61" i="55" s="1"/>
  <c r="L62" i="55"/>
  <c r="N62" i="55"/>
  <c r="O62" i="55"/>
  <c r="L63" i="55"/>
  <c r="O63" i="55" s="1"/>
  <c r="N63" i="55"/>
  <c r="L64" i="55"/>
  <c r="N64" i="55"/>
  <c r="O64" i="55" s="1"/>
  <c r="L65" i="55"/>
  <c r="N65" i="55"/>
  <c r="L66" i="55"/>
  <c r="N66" i="55"/>
  <c r="L67" i="55"/>
  <c r="N67" i="55"/>
  <c r="L68" i="55"/>
  <c r="N68" i="55"/>
  <c r="L69" i="55"/>
  <c r="N69" i="55"/>
  <c r="L70" i="55"/>
  <c r="N70" i="55"/>
  <c r="L71" i="55"/>
  <c r="N71" i="55"/>
  <c r="L72" i="55"/>
  <c r="O72" i="55" s="1"/>
  <c r="N72" i="55"/>
  <c r="D89" i="55"/>
  <c r="J93" i="55"/>
  <c r="L93" i="55"/>
  <c r="D96" i="55"/>
  <c r="J99" i="55"/>
  <c r="L99" i="55"/>
  <c r="M99" i="55"/>
  <c r="N99" i="55"/>
  <c r="O99" i="55" s="1"/>
  <c r="P99" i="55" s="1"/>
  <c r="B100" i="55"/>
  <c r="L100" i="55"/>
  <c r="M100" i="55" s="1"/>
  <c r="N100" i="55"/>
  <c r="O100" i="55"/>
  <c r="B101" i="55"/>
  <c r="L101" i="55"/>
  <c r="M101" i="55" s="1"/>
  <c r="N101" i="55"/>
  <c r="O101" i="55"/>
  <c r="B102" i="55"/>
  <c r="J102" i="55"/>
  <c r="L102" i="55"/>
  <c r="M102" i="55" s="1"/>
  <c r="P102" i="55" s="1"/>
  <c r="N102" i="55"/>
  <c r="O102" i="55"/>
  <c r="B103" i="55"/>
  <c r="L103" i="55"/>
  <c r="M103" i="55"/>
  <c r="N103" i="55"/>
  <c r="O103" i="55" s="1"/>
  <c r="P103" i="55" s="1"/>
  <c r="D104" i="55"/>
  <c r="B104" i="55"/>
  <c r="M104" i="55"/>
  <c r="O104" i="55"/>
  <c r="P104" i="55" s="1"/>
  <c r="M105" i="55"/>
  <c r="O105" i="55"/>
  <c r="M106" i="55"/>
  <c r="O106" i="55"/>
  <c r="P106" i="55" s="1"/>
  <c r="M107" i="55"/>
  <c r="O107" i="55"/>
  <c r="M108" i="55"/>
  <c r="O108" i="55"/>
  <c r="P108" i="55" s="1"/>
  <c r="M109" i="55"/>
  <c r="O109" i="55"/>
  <c r="M110" i="55"/>
  <c r="P110" i="55" s="1"/>
  <c r="O110" i="55"/>
  <c r="M111" i="55"/>
  <c r="O111" i="55"/>
  <c r="M112" i="55"/>
  <c r="O112" i="55"/>
  <c r="M113" i="55"/>
  <c r="O113" i="55"/>
  <c r="M114" i="55"/>
  <c r="O114" i="55"/>
  <c r="P114" i="55" s="1"/>
  <c r="M115" i="55"/>
  <c r="O115" i="55"/>
  <c r="M116" i="55"/>
  <c r="O116" i="55"/>
  <c r="P116" i="55" s="1"/>
  <c r="M117" i="55"/>
  <c r="O117" i="55"/>
  <c r="M118" i="55"/>
  <c r="O118" i="55"/>
  <c r="M119" i="55"/>
  <c r="O119" i="55"/>
  <c r="M120" i="55"/>
  <c r="O120" i="55"/>
  <c r="M121" i="55"/>
  <c r="O121" i="55"/>
  <c r="M122" i="55"/>
  <c r="O122" i="55"/>
  <c r="M123" i="55"/>
  <c r="O123" i="55"/>
  <c r="M124" i="55"/>
  <c r="O124" i="55"/>
  <c r="P124" i="55" s="1"/>
  <c r="M125" i="55"/>
  <c r="O125" i="55"/>
  <c r="M126" i="55"/>
  <c r="O126" i="55"/>
  <c r="M127" i="55"/>
  <c r="O127" i="55"/>
  <c r="M128" i="55"/>
  <c r="O128" i="55"/>
  <c r="M129" i="55"/>
  <c r="O129" i="55"/>
  <c r="M130" i="55"/>
  <c r="O130" i="55"/>
  <c r="M131" i="55"/>
  <c r="O131" i="55"/>
  <c r="P131" i="55"/>
  <c r="M132" i="55"/>
  <c r="O132" i="55"/>
  <c r="M133" i="55"/>
  <c r="O133" i="55"/>
  <c r="P133" i="55" s="1"/>
  <c r="M134" i="55"/>
  <c r="O134" i="55"/>
  <c r="M135" i="55"/>
  <c r="O135" i="55"/>
  <c r="P135" i="55" s="1"/>
  <c r="M136" i="55"/>
  <c r="O136" i="55"/>
  <c r="M137" i="55"/>
  <c r="O137" i="55"/>
  <c r="M138" i="55"/>
  <c r="O138" i="55"/>
  <c r="M139" i="55"/>
  <c r="O139" i="55"/>
  <c r="M140" i="55"/>
  <c r="O140" i="55"/>
  <c r="M141" i="55"/>
  <c r="O141" i="55"/>
  <c r="M142" i="55"/>
  <c r="O142" i="55"/>
  <c r="M143" i="55"/>
  <c r="O143" i="55"/>
  <c r="M144" i="55"/>
  <c r="O144" i="55"/>
  <c r="M145" i="55"/>
  <c r="O145" i="55"/>
  <c r="M146" i="55"/>
  <c r="O146" i="55"/>
  <c r="M147" i="55"/>
  <c r="O147" i="55"/>
  <c r="M148" i="55"/>
  <c r="O148" i="55"/>
  <c r="M149" i="55"/>
  <c r="O149" i="55"/>
  <c r="M150" i="55"/>
  <c r="O150" i="55"/>
  <c r="M151" i="55"/>
  <c r="O151" i="55"/>
  <c r="M152" i="55"/>
  <c r="O152" i="55"/>
  <c r="M153" i="55"/>
  <c r="O153" i="55"/>
  <c r="M154" i="55"/>
  <c r="O154" i="55"/>
  <c r="P1" i="54"/>
  <c r="P83" i="54" s="1"/>
  <c r="O3" i="54"/>
  <c r="D8" i="54"/>
  <c r="D90" i="54"/>
  <c r="K11" i="54"/>
  <c r="C17" i="54"/>
  <c r="K17" i="54"/>
  <c r="L17" i="54"/>
  <c r="M17" i="54"/>
  <c r="N17" i="54" s="1"/>
  <c r="B18" i="54"/>
  <c r="C18" i="54"/>
  <c r="C19" i="54" s="1"/>
  <c r="C20" i="54" s="1"/>
  <c r="C21" i="54" s="1"/>
  <c r="C22" i="54" s="1"/>
  <c r="C23" i="54" s="1"/>
  <c r="C24" i="54" s="1"/>
  <c r="C25" i="54" s="1"/>
  <c r="C26" i="54"/>
  <c r="C27" i="54" s="1"/>
  <c r="C28" i="54" s="1"/>
  <c r="C29" i="54" s="1"/>
  <c r="C30" i="54" s="1"/>
  <c r="C31" i="54" s="1"/>
  <c r="C32" i="54" s="1"/>
  <c r="C33" i="54" s="1"/>
  <c r="C34" i="54" s="1"/>
  <c r="C35" i="54" s="1"/>
  <c r="C36" i="54" s="1"/>
  <c r="C37" i="54" s="1"/>
  <c r="C38" i="54" s="1"/>
  <c r="C39" i="54" s="1"/>
  <c r="C40" i="54" s="1"/>
  <c r="C41" i="54" s="1"/>
  <c r="C42" i="54" s="1"/>
  <c r="C43" i="54" s="1"/>
  <c r="C44" i="54" s="1"/>
  <c r="K18" i="54"/>
  <c r="L18" i="54"/>
  <c r="M18" i="54"/>
  <c r="N18" i="54" s="1"/>
  <c r="B19" i="54"/>
  <c r="K19" i="54"/>
  <c r="L19" i="54" s="1"/>
  <c r="M19" i="54"/>
  <c r="N19" i="54"/>
  <c r="B20" i="54"/>
  <c r="K20" i="54"/>
  <c r="L20" i="54" s="1"/>
  <c r="M20" i="54"/>
  <c r="N20" i="54"/>
  <c r="B21" i="54"/>
  <c r="I21" i="54"/>
  <c r="K21" i="54"/>
  <c r="L21" i="54"/>
  <c r="M21" i="54"/>
  <c r="N21" i="54" s="1"/>
  <c r="B22" i="54"/>
  <c r="K22" i="54"/>
  <c r="L22" i="54" s="1"/>
  <c r="M22" i="54"/>
  <c r="N22" i="54" s="1"/>
  <c r="B23" i="54"/>
  <c r="L24" i="54"/>
  <c r="O24" i="54" s="1"/>
  <c r="N24" i="54"/>
  <c r="L25" i="54"/>
  <c r="N25" i="54"/>
  <c r="L26" i="54"/>
  <c r="N26" i="54"/>
  <c r="L27" i="54"/>
  <c r="N27" i="54"/>
  <c r="O27" i="54" s="1"/>
  <c r="L28" i="54"/>
  <c r="N28" i="54"/>
  <c r="L29" i="54"/>
  <c r="N29" i="54"/>
  <c r="L30" i="54"/>
  <c r="N30" i="54"/>
  <c r="L31" i="54"/>
  <c r="N31" i="54"/>
  <c r="L32" i="54"/>
  <c r="N32" i="54"/>
  <c r="L33" i="54"/>
  <c r="N33" i="54"/>
  <c r="L34" i="54"/>
  <c r="O34" i="54" s="1"/>
  <c r="N34" i="54"/>
  <c r="L35" i="54"/>
  <c r="N35" i="54"/>
  <c r="L36" i="54"/>
  <c r="N36" i="54"/>
  <c r="L37" i="54"/>
  <c r="N37" i="54"/>
  <c r="L38" i="54"/>
  <c r="N38" i="54"/>
  <c r="L39" i="54"/>
  <c r="N39" i="54"/>
  <c r="L40" i="54"/>
  <c r="N40" i="54"/>
  <c r="L41" i="54"/>
  <c r="N41" i="54"/>
  <c r="L42" i="54"/>
  <c r="N42" i="54"/>
  <c r="L43" i="54"/>
  <c r="N43" i="54"/>
  <c r="L44" i="54"/>
  <c r="N44" i="54"/>
  <c r="L45" i="54"/>
  <c r="N45" i="54"/>
  <c r="L46" i="54"/>
  <c r="N46" i="54"/>
  <c r="L47" i="54"/>
  <c r="N47" i="54"/>
  <c r="O47" i="54" s="1"/>
  <c r="L48" i="54"/>
  <c r="N48" i="54"/>
  <c r="L49" i="54"/>
  <c r="N49" i="54"/>
  <c r="L50" i="54"/>
  <c r="N50" i="54"/>
  <c r="L51" i="54"/>
  <c r="N51" i="54"/>
  <c r="L52" i="54"/>
  <c r="N52" i="54"/>
  <c r="L53" i="54"/>
  <c r="N53" i="54"/>
  <c r="L54" i="54"/>
  <c r="N54" i="54"/>
  <c r="L55" i="54"/>
  <c r="N55" i="54"/>
  <c r="L56" i="54"/>
  <c r="N56" i="54"/>
  <c r="L57" i="54"/>
  <c r="N57" i="54"/>
  <c r="L58" i="54"/>
  <c r="N58" i="54"/>
  <c r="Q58" i="54"/>
  <c r="L59" i="54"/>
  <c r="N59" i="54"/>
  <c r="L60" i="54"/>
  <c r="N60" i="54"/>
  <c r="L61" i="54"/>
  <c r="N61" i="54"/>
  <c r="L62" i="54"/>
  <c r="N62" i="54"/>
  <c r="L63" i="54"/>
  <c r="N63" i="54"/>
  <c r="L64" i="54"/>
  <c r="N64" i="54"/>
  <c r="L65" i="54"/>
  <c r="N65" i="54"/>
  <c r="O65" i="54" s="1"/>
  <c r="L66" i="54"/>
  <c r="N66" i="54"/>
  <c r="L67" i="54"/>
  <c r="N67" i="54"/>
  <c r="L68" i="54"/>
  <c r="N68" i="54"/>
  <c r="L69" i="54"/>
  <c r="N69" i="54"/>
  <c r="L70" i="54"/>
  <c r="N70" i="54"/>
  <c r="L71" i="54"/>
  <c r="N71" i="54"/>
  <c r="L72" i="54"/>
  <c r="N72" i="54"/>
  <c r="D89" i="54"/>
  <c r="D91" i="54"/>
  <c r="J93" i="54"/>
  <c r="L93" i="54"/>
  <c r="D96" i="54"/>
  <c r="J99" i="54"/>
  <c r="L99" i="54"/>
  <c r="M99" i="54" s="1"/>
  <c r="N99" i="54"/>
  <c r="O99" i="54"/>
  <c r="P99" i="54" s="1"/>
  <c r="B100" i="54"/>
  <c r="L100" i="54"/>
  <c r="M100" i="54"/>
  <c r="N100" i="54"/>
  <c r="O100" i="54" s="1"/>
  <c r="P100" i="54" s="1"/>
  <c r="B101" i="54"/>
  <c r="L101" i="54"/>
  <c r="M101" i="54"/>
  <c r="N101" i="54"/>
  <c r="O101" i="54"/>
  <c r="B102" i="54"/>
  <c r="J102" i="54"/>
  <c r="L102" i="54"/>
  <c r="M102" i="54"/>
  <c r="N102" i="54"/>
  <c r="O102" i="54"/>
  <c r="B103" i="54"/>
  <c r="L103" i="54"/>
  <c r="M103" i="54" s="1"/>
  <c r="N103" i="54"/>
  <c r="O103" i="54"/>
  <c r="M104" i="54"/>
  <c r="O104" i="54"/>
  <c r="M105" i="54"/>
  <c r="O105" i="54"/>
  <c r="M106" i="54"/>
  <c r="O106" i="54"/>
  <c r="M107" i="54"/>
  <c r="O107" i="54"/>
  <c r="M108" i="54"/>
  <c r="O108" i="54"/>
  <c r="M109" i="54"/>
  <c r="O109" i="54"/>
  <c r="M110" i="54"/>
  <c r="O110" i="54"/>
  <c r="M111" i="54"/>
  <c r="O111" i="54"/>
  <c r="M112" i="54"/>
  <c r="O112" i="54"/>
  <c r="M113" i="54"/>
  <c r="O113" i="54"/>
  <c r="M114" i="54"/>
  <c r="O114" i="54"/>
  <c r="P114" i="54" s="1"/>
  <c r="M115" i="54"/>
  <c r="O115" i="54"/>
  <c r="M116" i="54"/>
  <c r="O116" i="54"/>
  <c r="M117" i="54"/>
  <c r="O117" i="54"/>
  <c r="M118" i="54"/>
  <c r="O118" i="54"/>
  <c r="M119" i="54"/>
  <c r="O119" i="54"/>
  <c r="M120" i="54"/>
  <c r="O120" i="54"/>
  <c r="M121" i="54"/>
  <c r="O121" i="54"/>
  <c r="P121" i="54" s="1"/>
  <c r="M122" i="54"/>
  <c r="O122" i="54"/>
  <c r="M123" i="54"/>
  <c r="O123" i="54"/>
  <c r="M124" i="54"/>
  <c r="O124" i="54"/>
  <c r="M125" i="54"/>
  <c r="O125" i="54"/>
  <c r="M126" i="54"/>
  <c r="O126" i="54"/>
  <c r="M127" i="54"/>
  <c r="O127" i="54"/>
  <c r="M128" i="54"/>
  <c r="O128" i="54"/>
  <c r="M129" i="54"/>
  <c r="O129" i="54"/>
  <c r="M130" i="54"/>
  <c r="O130" i="54"/>
  <c r="M131" i="54"/>
  <c r="O131" i="54"/>
  <c r="M132" i="54"/>
  <c r="O132" i="54"/>
  <c r="M133" i="54"/>
  <c r="O133" i="54"/>
  <c r="M134" i="54"/>
  <c r="O134" i="54"/>
  <c r="P134" i="54" s="1"/>
  <c r="M135" i="54"/>
  <c r="O135" i="54"/>
  <c r="M136" i="54"/>
  <c r="O136" i="54"/>
  <c r="P136" i="54" s="1"/>
  <c r="M137" i="54"/>
  <c r="O137" i="54"/>
  <c r="P137" i="54" s="1"/>
  <c r="M138" i="54"/>
  <c r="O138" i="54"/>
  <c r="M139" i="54"/>
  <c r="O139" i="54"/>
  <c r="M140" i="54"/>
  <c r="O140" i="54"/>
  <c r="P140" i="54" s="1"/>
  <c r="M141" i="54"/>
  <c r="O141" i="54"/>
  <c r="M142" i="54"/>
  <c r="O142" i="54"/>
  <c r="M143" i="54"/>
  <c r="O143" i="54"/>
  <c r="M144" i="54"/>
  <c r="O144" i="54"/>
  <c r="P144" i="54" s="1"/>
  <c r="M145" i="54"/>
  <c r="O145" i="54"/>
  <c r="M146" i="54"/>
  <c r="O146" i="54"/>
  <c r="M147" i="54"/>
  <c r="O147" i="54"/>
  <c r="M148" i="54"/>
  <c r="O148" i="54"/>
  <c r="P148" i="54" s="1"/>
  <c r="M149" i="54"/>
  <c r="O149" i="54"/>
  <c r="M150" i="54"/>
  <c r="O150" i="54"/>
  <c r="M151" i="54"/>
  <c r="O151" i="54"/>
  <c r="M152" i="54"/>
  <c r="O152" i="54"/>
  <c r="M153" i="54"/>
  <c r="O153" i="54"/>
  <c r="M154" i="54"/>
  <c r="O154" i="54"/>
  <c r="P1" i="53"/>
  <c r="P83" i="53" s="1"/>
  <c r="O3" i="53"/>
  <c r="D8" i="53"/>
  <c r="D90" i="53"/>
  <c r="K11" i="53"/>
  <c r="C17" i="53"/>
  <c r="C18" i="53"/>
  <c r="C19" i="53"/>
  <c r="C20" i="53" s="1"/>
  <c r="C21" i="53" s="1"/>
  <c r="C22" i="53" s="1"/>
  <c r="C23" i="53" s="1"/>
  <c r="C24" i="53" s="1"/>
  <c r="C25" i="53" s="1"/>
  <c r="C26" i="53" s="1"/>
  <c r="C27" i="53" s="1"/>
  <c r="C28" i="53" s="1"/>
  <c r="C29" i="53" s="1"/>
  <c r="C30" i="53" s="1"/>
  <c r="C31" i="53" s="1"/>
  <c r="C32" i="53" s="1"/>
  <c r="C33" i="53" s="1"/>
  <c r="C34" i="53" s="1"/>
  <c r="C35" i="53" s="1"/>
  <c r="C36" i="53" s="1"/>
  <c r="C37" i="53" s="1"/>
  <c r="C38" i="53" s="1"/>
  <c r="C39" i="53" s="1"/>
  <c r="C40" i="53" s="1"/>
  <c r="C41" i="53" s="1"/>
  <c r="C42" i="53" s="1"/>
  <c r="C43" i="53" s="1"/>
  <c r="C44" i="53" s="1"/>
  <c r="K17" i="53"/>
  <c r="L17" i="53" s="1"/>
  <c r="M17" i="53"/>
  <c r="N17" i="53" s="1"/>
  <c r="O17" i="53" s="1"/>
  <c r="B18" i="53"/>
  <c r="K18" i="53"/>
  <c r="L18" i="53" s="1"/>
  <c r="M18" i="53"/>
  <c r="N18" i="53" s="1"/>
  <c r="B19" i="53"/>
  <c r="K19" i="53"/>
  <c r="L19" i="53" s="1"/>
  <c r="M19" i="53"/>
  <c r="N19" i="53"/>
  <c r="B20" i="53"/>
  <c r="K20" i="53"/>
  <c r="L20" i="53" s="1"/>
  <c r="M20" i="53"/>
  <c r="N20" i="53" s="1"/>
  <c r="B21" i="53"/>
  <c r="I21" i="53"/>
  <c r="K21" i="53"/>
  <c r="L21" i="53" s="1"/>
  <c r="M21" i="53"/>
  <c r="N21" i="53" s="1"/>
  <c r="B22" i="53"/>
  <c r="K22" i="53"/>
  <c r="L22" i="53" s="1"/>
  <c r="M22" i="53"/>
  <c r="N22" i="53"/>
  <c r="B23" i="53"/>
  <c r="L24" i="53"/>
  <c r="N24" i="53"/>
  <c r="L25" i="53"/>
  <c r="N25" i="53"/>
  <c r="L26" i="53"/>
  <c r="N26" i="53"/>
  <c r="L27" i="53"/>
  <c r="N27" i="53"/>
  <c r="L28" i="53"/>
  <c r="N28" i="53"/>
  <c r="L29" i="53"/>
  <c r="N29" i="53"/>
  <c r="L30" i="53"/>
  <c r="N30" i="53"/>
  <c r="L31" i="53"/>
  <c r="N31" i="53"/>
  <c r="L32" i="53"/>
  <c r="N32" i="53"/>
  <c r="L33" i="53"/>
  <c r="N33" i="53"/>
  <c r="L34" i="53"/>
  <c r="N34" i="53"/>
  <c r="L35" i="53"/>
  <c r="N35" i="53"/>
  <c r="L36" i="53"/>
  <c r="N36" i="53"/>
  <c r="L37" i="53"/>
  <c r="N37" i="53"/>
  <c r="L38" i="53"/>
  <c r="N38" i="53"/>
  <c r="L39" i="53"/>
  <c r="N39" i="53"/>
  <c r="L40" i="53"/>
  <c r="N40" i="53"/>
  <c r="L41" i="53"/>
  <c r="N41" i="53"/>
  <c r="L42" i="53"/>
  <c r="N42" i="53"/>
  <c r="L43" i="53"/>
  <c r="N43" i="53"/>
  <c r="L44" i="53"/>
  <c r="N44" i="53"/>
  <c r="L45" i="53"/>
  <c r="N45" i="53"/>
  <c r="L46" i="53"/>
  <c r="N46" i="53"/>
  <c r="L47" i="53"/>
  <c r="N47" i="53"/>
  <c r="L48" i="53"/>
  <c r="N48" i="53"/>
  <c r="L49" i="53"/>
  <c r="N49" i="53"/>
  <c r="L50" i="53"/>
  <c r="N50" i="53"/>
  <c r="L51" i="53"/>
  <c r="N51" i="53"/>
  <c r="L52" i="53"/>
  <c r="N52" i="53"/>
  <c r="L53" i="53"/>
  <c r="N53" i="53"/>
  <c r="L54" i="53"/>
  <c r="N54" i="53"/>
  <c r="L55" i="53"/>
  <c r="N55" i="53"/>
  <c r="L56" i="53"/>
  <c r="N56" i="53"/>
  <c r="L57" i="53"/>
  <c r="N57" i="53"/>
  <c r="L58" i="53"/>
  <c r="N58" i="53"/>
  <c r="Q58" i="53"/>
  <c r="L59" i="53"/>
  <c r="N59" i="53"/>
  <c r="L60" i="53"/>
  <c r="N60" i="53"/>
  <c r="L61" i="53"/>
  <c r="N61" i="53"/>
  <c r="L62" i="53"/>
  <c r="N62" i="53"/>
  <c r="L63" i="53"/>
  <c r="N63" i="53"/>
  <c r="L64" i="53"/>
  <c r="N64" i="53"/>
  <c r="O64" i="53" s="1"/>
  <c r="L65" i="53"/>
  <c r="N65" i="53"/>
  <c r="L66" i="53"/>
  <c r="N66" i="53"/>
  <c r="L67" i="53"/>
  <c r="N67" i="53"/>
  <c r="L68" i="53"/>
  <c r="N68" i="53"/>
  <c r="L69" i="53"/>
  <c r="N69" i="53"/>
  <c r="L70" i="53"/>
  <c r="N70" i="53"/>
  <c r="O70" i="53" s="1"/>
  <c r="L71" i="53"/>
  <c r="N71" i="53"/>
  <c r="L72" i="53"/>
  <c r="N72" i="53"/>
  <c r="D89" i="53"/>
  <c r="D91" i="53"/>
  <c r="J93" i="53"/>
  <c r="L93" i="53"/>
  <c r="D96" i="53"/>
  <c r="J99" i="53"/>
  <c r="L99" i="53"/>
  <c r="M99" i="53"/>
  <c r="N99" i="53"/>
  <c r="O99" i="53" s="1"/>
  <c r="B100" i="53"/>
  <c r="L100" i="53"/>
  <c r="M100" i="53" s="1"/>
  <c r="N100" i="53"/>
  <c r="O100" i="53"/>
  <c r="B101" i="53"/>
  <c r="L101" i="53"/>
  <c r="M101" i="53" s="1"/>
  <c r="N101" i="53"/>
  <c r="O101" i="53" s="1"/>
  <c r="B102" i="53"/>
  <c r="J102" i="53"/>
  <c r="L102" i="53"/>
  <c r="M102" i="53" s="1"/>
  <c r="N102" i="53"/>
  <c r="O102" i="53" s="1"/>
  <c r="B103" i="53"/>
  <c r="L103" i="53"/>
  <c r="M103" i="53" s="1"/>
  <c r="N103" i="53"/>
  <c r="O103" i="53"/>
  <c r="M104" i="53"/>
  <c r="O104" i="53"/>
  <c r="M105" i="53"/>
  <c r="O105" i="53"/>
  <c r="P105" i="53" s="1"/>
  <c r="M106" i="53"/>
  <c r="O106" i="53"/>
  <c r="M107" i="53"/>
  <c r="O107" i="53"/>
  <c r="P107" i="53" s="1"/>
  <c r="M108" i="53"/>
  <c r="O108" i="53"/>
  <c r="M109" i="53"/>
  <c r="O109" i="53"/>
  <c r="M110" i="53"/>
  <c r="O110" i="53"/>
  <c r="M111" i="53"/>
  <c r="O111" i="53"/>
  <c r="M112" i="53"/>
  <c r="O112" i="53"/>
  <c r="M113" i="53"/>
  <c r="O113" i="53"/>
  <c r="M114" i="53"/>
  <c r="O114" i="53"/>
  <c r="M115" i="53"/>
  <c r="O115" i="53"/>
  <c r="P115" i="53" s="1"/>
  <c r="M116" i="53"/>
  <c r="O116" i="53"/>
  <c r="M117" i="53"/>
  <c r="O117" i="53"/>
  <c r="M118" i="53"/>
  <c r="O118" i="53"/>
  <c r="M119" i="53"/>
  <c r="O119" i="53"/>
  <c r="M120" i="53"/>
  <c r="O120" i="53"/>
  <c r="M121" i="53"/>
  <c r="O121" i="53"/>
  <c r="M122" i="53"/>
  <c r="O122" i="53"/>
  <c r="M123" i="53"/>
  <c r="O123" i="53"/>
  <c r="M124" i="53"/>
  <c r="O124" i="53"/>
  <c r="M125" i="53"/>
  <c r="O125" i="53"/>
  <c r="M126" i="53"/>
  <c r="O126" i="53"/>
  <c r="M127" i="53"/>
  <c r="O127" i="53"/>
  <c r="M128" i="53"/>
  <c r="O128" i="53"/>
  <c r="M129" i="53"/>
  <c r="O129" i="53"/>
  <c r="M130" i="53"/>
  <c r="O130" i="53"/>
  <c r="M131" i="53"/>
  <c r="O131" i="53"/>
  <c r="P131" i="53" s="1"/>
  <c r="M132" i="53"/>
  <c r="O132" i="53"/>
  <c r="M133" i="53"/>
  <c r="O133" i="53"/>
  <c r="M134" i="53"/>
  <c r="O134" i="53"/>
  <c r="M135" i="53"/>
  <c r="O135" i="53"/>
  <c r="M136" i="53"/>
  <c r="O136" i="53"/>
  <c r="M137" i="53"/>
  <c r="O137" i="53"/>
  <c r="P137" i="53" s="1"/>
  <c r="M138" i="53"/>
  <c r="O138" i="53"/>
  <c r="M139" i="53"/>
  <c r="O139" i="53"/>
  <c r="M140" i="53"/>
  <c r="O140" i="53"/>
  <c r="M141" i="53"/>
  <c r="O141" i="53"/>
  <c r="M142" i="53"/>
  <c r="O142" i="53"/>
  <c r="M143" i="53"/>
  <c r="O143" i="53"/>
  <c r="M144" i="53"/>
  <c r="O144" i="53"/>
  <c r="M145" i="53"/>
  <c r="O145" i="53"/>
  <c r="M146" i="53"/>
  <c r="O146" i="53"/>
  <c r="M147" i="53"/>
  <c r="O147" i="53"/>
  <c r="M148" i="53"/>
  <c r="O148" i="53"/>
  <c r="M149" i="53"/>
  <c r="O149" i="53"/>
  <c r="M150" i="53"/>
  <c r="O150" i="53"/>
  <c r="M151" i="53"/>
  <c r="O151" i="53"/>
  <c r="M152" i="53"/>
  <c r="O152" i="53"/>
  <c r="M153" i="53"/>
  <c r="O153" i="53"/>
  <c r="M154" i="53"/>
  <c r="O154" i="53"/>
  <c r="P1" i="46"/>
  <c r="P83" i="46" s="1"/>
  <c r="O3" i="46"/>
  <c r="D8" i="46"/>
  <c r="D90" i="46" s="1"/>
  <c r="K11" i="46"/>
  <c r="C17" i="46"/>
  <c r="C18" i="46" s="1"/>
  <c r="K17" i="46"/>
  <c r="L17" i="46" s="1"/>
  <c r="M17" i="46"/>
  <c r="N17" i="46" s="1"/>
  <c r="B18" i="46"/>
  <c r="C19" i="46"/>
  <c r="C20" i="46" s="1"/>
  <c r="C21" i="46" s="1"/>
  <c r="C22" i="46" s="1"/>
  <c r="C23" i="46"/>
  <c r="C24" i="46" s="1"/>
  <c r="C25" i="46" s="1"/>
  <c r="C26" i="46" s="1"/>
  <c r="C27" i="46" s="1"/>
  <c r="C28" i="46" s="1"/>
  <c r="C29" i="46" s="1"/>
  <c r="C30" i="46" s="1"/>
  <c r="C31" i="46" s="1"/>
  <c r="C32" i="46"/>
  <c r="C33" i="46" s="1"/>
  <c r="C34" i="46" s="1"/>
  <c r="C35" i="46" s="1"/>
  <c r="C36" i="46" s="1"/>
  <c r="C37" i="46" s="1"/>
  <c r="C38" i="46" s="1"/>
  <c r="C39" i="46" s="1"/>
  <c r="C40" i="46" s="1"/>
  <c r="C41" i="46" s="1"/>
  <c r="C42" i="46" s="1"/>
  <c r="C43" i="46" s="1"/>
  <c r="C44" i="46" s="1"/>
  <c r="C45" i="46" s="1"/>
  <c r="C46" i="46" s="1"/>
  <c r="C47" i="46" s="1"/>
  <c r="C48" i="46" s="1"/>
  <c r="C49" i="46" s="1"/>
  <c r="C50" i="46" s="1"/>
  <c r="C51" i="46" s="1"/>
  <c r="C52" i="46" s="1"/>
  <c r="C53" i="46" s="1"/>
  <c r="C54" i="46" s="1"/>
  <c r="C55" i="46" s="1"/>
  <c r="C56" i="46" s="1"/>
  <c r="C57" i="46" s="1"/>
  <c r="C58" i="46" s="1"/>
  <c r="C59" i="46" s="1"/>
  <c r="C60" i="46" s="1"/>
  <c r="C61" i="46" s="1"/>
  <c r="C62" i="46" s="1"/>
  <c r="C63" i="46" s="1"/>
  <c r="C64" i="46" s="1"/>
  <c r="C65" i="46" s="1"/>
  <c r="C66" i="46" s="1"/>
  <c r="C67" i="46" s="1"/>
  <c r="C68" i="46" s="1"/>
  <c r="C69" i="46" s="1"/>
  <c r="C70" i="46" s="1"/>
  <c r="C71" i="46" s="1"/>
  <c r="C72" i="46" s="1"/>
  <c r="K18" i="46"/>
  <c r="L18" i="46" s="1"/>
  <c r="M18" i="46"/>
  <c r="N18" i="46" s="1"/>
  <c r="B19" i="46"/>
  <c r="K19" i="46"/>
  <c r="L19" i="46"/>
  <c r="M19" i="46"/>
  <c r="N19" i="46" s="1"/>
  <c r="B20" i="46"/>
  <c r="K20" i="46"/>
  <c r="L20" i="46"/>
  <c r="M20" i="46"/>
  <c r="N20" i="46" s="1"/>
  <c r="B21" i="46"/>
  <c r="I21" i="46"/>
  <c r="K21" i="46"/>
  <c r="L21" i="46"/>
  <c r="M21" i="46"/>
  <c r="N21" i="46" s="1"/>
  <c r="O21" i="46" s="1"/>
  <c r="B22" i="46"/>
  <c r="K22" i="46"/>
  <c r="L22" i="46"/>
  <c r="M22" i="46"/>
  <c r="N22" i="46"/>
  <c r="B23" i="46"/>
  <c r="L24" i="46"/>
  <c r="N24" i="46"/>
  <c r="L25" i="46"/>
  <c r="N25" i="46"/>
  <c r="L26" i="46"/>
  <c r="N26" i="46"/>
  <c r="L27" i="46"/>
  <c r="N27" i="46"/>
  <c r="L28" i="46"/>
  <c r="N28" i="46"/>
  <c r="L29" i="46"/>
  <c r="N29" i="46"/>
  <c r="L30" i="46"/>
  <c r="N30" i="46"/>
  <c r="L31" i="46"/>
  <c r="N31" i="46"/>
  <c r="L32" i="46"/>
  <c r="N32" i="46"/>
  <c r="L33" i="46"/>
  <c r="N33" i="46"/>
  <c r="O33" i="46" s="1"/>
  <c r="L34" i="46"/>
  <c r="N34" i="46"/>
  <c r="L35" i="46"/>
  <c r="N35" i="46"/>
  <c r="L36" i="46"/>
  <c r="N36" i="46"/>
  <c r="L37" i="46"/>
  <c r="N37" i="46"/>
  <c r="L38" i="46"/>
  <c r="N38" i="46"/>
  <c r="L39" i="46"/>
  <c r="N39" i="46"/>
  <c r="L40" i="46"/>
  <c r="N40" i="46"/>
  <c r="L41" i="46"/>
  <c r="N41" i="46"/>
  <c r="L42" i="46"/>
  <c r="N42" i="46"/>
  <c r="L43" i="46"/>
  <c r="N43" i="46"/>
  <c r="L44" i="46"/>
  <c r="N44" i="46"/>
  <c r="L45" i="46"/>
  <c r="N45" i="46"/>
  <c r="L46" i="46"/>
  <c r="N46" i="46"/>
  <c r="L47" i="46"/>
  <c r="N47" i="46"/>
  <c r="L48" i="46"/>
  <c r="N48" i="46"/>
  <c r="L49" i="46"/>
  <c r="N49" i="46"/>
  <c r="L50" i="46"/>
  <c r="N50" i="46"/>
  <c r="L51" i="46"/>
  <c r="N51" i="46"/>
  <c r="L52" i="46"/>
  <c r="N52" i="46"/>
  <c r="L53" i="46"/>
  <c r="N53" i="46"/>
  <c r="L54" i="46"/>
  <c r="O54" i="46" s="1"/>
  <c r="N54" i="46"/>
  <c r="L55" i="46"/>
  <c r="N55" i="46"/>
  <c r="L56" i="46"/>
  <c r="N56" i="46"/>
  <c r="L57" i="46"/>
  <c r="N57" i="46"/>
  <c r="L58" i="46"/>
  <c r="N58" i="46"/>
  <c r="Q58" i="46"/>
  <c r="L59" i="46"/>
  <c r="N59" i="46"/>
  <c r="L60" i="46"/>
  <c r="N60" i="46"/>
  <c r="L61" i="46"/>
  <c r="N61" i="46"/>
  <c r="L62" i="46"/>
  <c r="N62" i="46"/>
  <c r="L63" i="46"/>
  <c r="N63" i="46"/>
  <c r="L64" i="46"/>
  <c r="N64" i="46"/>
  <c r="L65" i="46"/>
  <c r="N65" i="46"/>
  <c r="L66" i="46"/>
  <c r="N66" i="46"/>
  <c r="L67" i="46"/>
  <c r="N67" i="46"/>
  <c r="L68" i="46"/>
  <c r="N68" i="46"/>
  <c r="L69" i="46"/>
  <c r="N69" i="46"/>
  <c r="L70" i="46"/>
  <c r="N70" i="46"/>
  <c r="O70" i="46" s="1"/>
  <c r="L71" i="46"/>
  <c r="N71" i="46"/>
  <c r="L72" i="46"/>
  <c r="N72" i="46"/>
  <c r="O72" i="46" s="1"/>
  <c r="D89" i="46"/>
  <c r="D91" i="46"/>
  <c r="J93" i="46"/>
  <c r="L93" i="46"/>
  <c r="D96" i="46"/>
  <c r="J99" i="46"/>
  <c r="L99" i="46"/>
  <c r="M99" i="46"/>
  <c r="N99" i="46"/>
  <c r="O99" i="46"/>
  <c r="B100" i="46"/>
  <c r="L100" i="46"/>
  <c r="M100" i="46" s="1"/>
  <c r="N100" i="46"/>
  <c r="O100" i="46" s="1"/>
  <c r="B101" i="46"/>
  <c r="L101" i="46"/>
  <c r="M101" i="46"/>
  <c r="N101" i="46"/>
  <c r="O101" i="46"/>
  <c r="B102" i="46"/>
  <c r="J102" i="46"/>
  <c r="L102" i="46"/>
  <c r="M102" i="46"/>
  <c r="N102" i="46"/>
  <c r="O102" i="46"/>
  <c r="B103" i="46"/>
  <c r="L103" i="46"/>
  <c r="M103" i="46" s="1"/>
  <c r="N103" i="46"/>
  <c r="O103" i="46" s="1"/>
  <c r="D104" i="46"/>
  <c r="B104" i="46" s="1"/>
  <c r="M104" i="46"/>
  <c r="O104" i="46"/>
  <c r="M105" i="46"/>
  <c r="O105" i="46"/>
  <c r="P105" i="46" s="1"/>
  <c r="M106" i="46"/>
  <c r="O106" i="46"/>
  <c r="M107" i="46"/>
  <c r="O107" i="46"/>
  <c r="M108" i="46"/>
  <c r="O108" i="46"/>
  <c r="M109" i="46"/>
  <c r="O109" i="46"/>
  <c r="P109" i="46" s="1"/>
  <c r="M110" i="46"/>
  <c r="O110" i="46"/>
  <c r="M111" i="46"/>
  <c r="O111" i="46"/>
  <c r="P111" i="46"/>
  <c r="M112" i="46"/>
  <c r="O112" i="46"/>
  <c r="M113" i="46"/>
  <c r="O113" i="46"/>
  <c r="P113" i="46" s="1"/>
  <c r="M114" i="46"/>
  <c r="O114" i="46"/>
  <c r="M115" i="46"/>
  <c r="O115" i="46"/>
  <c r="P115" i="46" s="1"/>
  <c r="M116" i="46"/>
  <c r="O116" i="46"/>
  <c r="M117" i="46"/>
  <c r="O117" i="46"/>
  <c r="P117" i="46" s="1"/>
  <c r="M118" i="46"/>
  <c r="O118" i="46"/>
  <c r="M119" i="46"/>
  <c r="O119" i="46"/>
  <c r="M120" i="46"/>
  <c r="O120" i="46"/>
  <c r="M121" i="46"/>
  <c r="O121" i="46"/>
  <c r="P121" i="46"/>
  <c r="M122" i="46"/>
  <c r="O122" i="46"/>
  <c r="P122" i="46" s="1"/>
  <c r="M123" i="46"/>
  <c r="O123" i="46"/>
  <c r="M124" i="46"/>
  <c r="O124" i="46"/>
  <c r="M125" i="46"/>
  <c r="O125" i="46"/>
  <c r="P125" i="46" s="1"/>
  <c r="M126" i="46"/>
  <c r="O126" i="46"/>
  <c r="P126" i="46" s="1"/>
  <c r="M127" i="46"/>
  <c r="O127" i="46"/>
  <c r="M128" i="46"/>
  <c r="O128" i="46"/>
  <c r="M129" i="46"/>
  <c r="O129" i="46"/>
  <c r="M130" i="46"/>
  <c r="O130" i="46"/>
  <c r="P130" i="46" s="1"/>
  <c r="M131" i="46"/>
  <c r="O131" i="46"/>
  <c r="M132" i="46"/>
  <c r="O132" i="46"/>
  <c r="M133" i="46"/>
  <c r="O133" i="46"/>
  <c r="M134" i="46"/>
  <c r="O134" i="46"/>
  <c r="P134" i="46" s="1"/>
  <c r="M135" i="46"/>
  <c r="O135" i="46"/>
  <c r="M136" i="46"/>
  <c r="O136" i="46"/>
  <c r="M137" i="46"/>
  <c r="O137" i="46"/>
  <c r="M138" i="46"/>
  <c r="O138" i="46"/>
  <c r="P138" i="46" s="1"/>
  <c r="M139" i="46"/>
  <c r="O139" i="46"/>
  <c r="M140" i="46"/>
  <c r="O140" i="46"/>
  <c r="M141" i="46"/>
  <c r="O141" i="46"/>
  <c r="M142" i="46"/>
  <c r="O142" i="46"/>
  <c r="M143" i="46"/>
  <c r="O143" i="46"/>
  <c r="M144" i="46"/>
  <c r="O144" i="46"/>
  <c r="P144" i="46" s="1"/>
  <c r="M145" i="46"/>
  <c r="O145" i="46"/>
  <c r="M146" i="46"/>
  <c r="O146" i="46"/>
  <c r="P146" i="46" s="1"/>
  <c r="M147" i="46"/>
  <c r="O147" i="46"/>
  <c r="M148" i="46"/>
  <c r="O148" i="46"/>
  <c r="P148" i="46" s="1"/>
  <c r="M149" i="46"/>
  <c r="O149" i="46"/>
  <c r="M150" i="46"/>
  <c r="O150" i="46"/>
  <c r="P150" i="46" s="1"/>
  <c r="M151" i="46"/>
  <c r="O151" i="46"/>
  <c r="P151" i="46" s="1"/>
  <c r="M152" i="46"/>
  <c r="O152" i="46"/>
  <c r="P152" i="46" s="1"/>
  <c r="M153" i="46"/>
  <c r="P153" i="46" s="1"/>
  <c r="O153" i="46"/>
  <c r="M154" i="46"/>
  <c r="O154" i="46"/>
  <c r="P154" i="46" s="1"/>
  <c r="P1" i="45"/>
  <c r="P83" i="45" s="1"/>
  <c r="O3" i="45"/>
  <c r="D8" i="45"/>
  <c r="D90" i="45" s="1"/>
  <c r="K11" i="45"/>
  <c r="C17" i="45"/>
  <c r="C18" i="45"/>
  <c r="C19" i="45" s="1"/>
  <c r="C20" i="45" s="1"/>
  <c r="C21" i="45" s="1"/>
  <c r="C22" i="45" s="1"/>
  <c r="C23" i="45" s="1"/>
  <c r="C24" i="45" s="1"/>
  <c r="C25" i="45" s="1"/>
  <c r="C26" i="45" s="1"/>
  <c r="C27" i="45" s="1"/>
  <c r="C28" i="45" s="1"/>
  <c r="C29" i="45" s="1"/>
  <c r="C30" i="45" s="1"/>
  <c r="C31" i="45" s="1"/>
  <c r="C32" i="45" s="1"/>
  <c r="C33" i="45" s="1"/>
  <c r="C34" i="45" s="1"/>
  <c r="C35" i="45" s="1"/>
  <c r="C36" i="45" s="1"/>
  <c r="C37" i="45" s="1"/>
  <c r="C38" i="45" s="1"/>
  <c r="C39" i="45" s="1"/>
  <c r="C40" i="45" s="1"/>
  <c r="C41" i="45" s="1"/>
  <c r="C42" i="45" s="1"/>
  <c r="C43" i="45" s="1"/>
  <c r="C44" i="45" s="1"/>
  <c r="C45" i="45" s="1"/>
  <c r="C46" i="45" s="1"/>
  <c r="C47" i="45" s="1"/>
  <c r="C48" i="45" s="1"/>
  <c r="C49" i="45" s="1"/>
  <c r="C50" i="45" s="1"/>
  <c r="C51" i="45" s="1"/>
  <c r="C52" i="45" s="1"/>
  <c r="C53" i="45" s="1"/>
  <c r="C54" i="45" s="1"/>
  <c r="C55" i="45" s="1"/>
  <c r="C56" i="45" s="1"/>
  <c r="C57" i="45" s="1"/>
  <c r="C58" i="45" s="1"/>
  <c r="C59" i="45" s="1"/>
  <c r="C60" i="45" s="1"/>
  <c r="C61" i="45" s="1"/>
  <c r="C62" i="45" s="1"/>
  <c r="C63" i="45" s="1"/>
  <c r="C64" i="45" s="1"/>
  <c r="C65" i="45" s="1"/>
  <c r="C66" i="45" s="1"/>
  <c r="C67" i="45" s="1"/>
  <c r="C68" i="45" s="1"/>
  <c r="C69" i="45" s="1"/>
  <c r="C70" i="45" s="1"/>
  <c r="C71" i="45" s="1"/>
  <c r="C72" i="45" s="1"/>
  <c r="K17" i="45"/>
  <c r="L17" i="45"/>
  <c r="M17" i="45"/>
  <c r="N17" i="45"/>
  <c r="B18" i="45"/>
  <c r="K18" i="45"/>
  <c r="L18" i="45" s="1"/>
  <c r="M18" i="45"/>
  <c r="N18" i="45" s="1"/>
  <c r="B19" i="45"/>
  <c r="K19" i="45"/>
  <c r="L19" i="45" s="1"/>
  <c r="M19" i="45"/>
  <c r="N19" i="45" s="1"/>
  <c r="B20" i="45"/>
  <c r="K20" i="45"/>
  <c r="L20" i="45" s="1"/>
  <c r="M20" i="45"/>
  <c r="N20" i="45" s="1"/>
  <c r="B21" i="45"/>
  <c r="K21" i="45"/>
  <c r="L21" i="45"/>
  <c r="M21" i="45"/>
  <c r="N21" i="45"/>
  <c r="B22" i="45"/>
  <c r="I22" i="45"/>
  <c r="K22" i="45"/>
  <c r="L22" i="45"/>
  <c r="M22" i="45"/>
  <c r="N22" i="45"/>
  <c r="B23" i="45"/>
  <c r="K23" i="45"/>
  <c r="L23" i="45" s="1"/>
  <c r="M23" i="45"/>
  <c r="N23" i="45" s="1"/>
  <c r="B24" i="45"/>
  <c r="L25" i="45"/>
  <c r="N25" i="45"/>
  <c r="L26" i="45"/>
  <c r="N26" i="45"/>
  <c r="L27" i="45"/>
  <c r="N27" i="45"/>
  <c r="L28" i="45"/>
  <c r="N28" i="45"/>
  <c r="L29" i="45"/>
  <c r="N29" i="45"/>
  <c r="L30" i="45"/>
  <c r="N30" i="45"/>
  <c r="L31" i="45"/>
  <c r="N31" i="45"/>
  <c r="L32" i="45"/>
  <c r="N32" i="45"/>
  <c r="L33" i="45"/>
  <c r="N33" i="45"/>
  <c r="L34" i="45"/>
  <c r="N34" i="45"/>
  <c r="L35" i="45"/>
  <c r="N35" i="45"/>
  <c r="L36" i="45"/>
  <c r="N36" i="45"/>
  <c r="L37" i="45"/>
  <c r="N37" i="45"/>
  <c r="O37" i="45" s="1"/>
  <c r="L38" i="45"/>
  <c r="N38" i="45"/>
  <c r="L39" i="45"/>
  <c r="N39" i="45"/>
  <c r="L40" i="45"/>
  <c r="N40" i="45"/>
  <c r="L41" i="45"/>
  <c r="N41" i="45"/>
  <c r="O41" i="45" s="1"/>
  <c r="L42" i="45"/>
  <c r="N42" i="45"/>
  <c r="L43" i="45"/>
  <c r="N43" i="45"/>
  <c r="L44" i="45"/>
  <c r="N44" i="45"/>
  <c r="L45" i="45"/>
  <c r="N45" i="45"/>
  <c r="L46" i="45"/>
  <c r="N46" i="45"/>
  <c r="L47" i="45"/>
  <c r="N47" i="45"/>
  <c r="L48" i="45"/>
  <c r="N48" i="45"/>
  <c r="L49" i="45"/>
  <c r="N49" i="45"/>
  <c r="L50" i="45"/>
  <c r="N50" i="45"/>
  <c r="L51" i="45"/>
  <c r="N51" i="45"/>
  <c r="L52" i="45"/>
  <c r="N52" i="45"/>
  <c r="L53" i="45"/>
  <c r="N53" i="45"/>
  <c r="L54" i="45"/>
  <c r="N54" i="45"/>
  <c r="L55" i="45"/>
  <c r="N55" i="45"/>
  <c r="L56" i="45"/>
  <c r="N56" i="45"/>
  <c r="O56" i="45" s="1"/>
  <c r="L57" i="45"/>
  <c r="N57" i="45"/>
  <c r="O57" i="45" s="1"/>
  <c r="L58" i="45"/>
  <c r="N58" i="45"/>
  <c r="Q58" i="45"/>
  <c r="L59" i="45"/>
  <c r="N59" i="45"/>
  <c r="L60" i="45"/>
  <c r="N60" i="45"/>
  <c r="L61" i="45"/>
  <c r="N61" i="45"/>
  <c r="L62" i="45"/>
  <c r="N62" i="45"/>
  <c r="L63" i="45"/>
  <c r="N63" i="45"/>
  <c r="L64" i="45"/>
  <c r="N64" i="45"/>
  <c r="L65" i="45"/>
  <c r="N65" i="45"/>
  <c r="L66" i="45"/>
  <c r="N66" i="45"/>
  <c r="L67" i="45"/>
  <c r="N67" i="45"/>
  <c r="L68" i="45"/>
  <c r="N68" i="45"/>
  <c r="L69" i="45"/>
  <c r="N69" i="45"/>
  <c r="L70" i="45"/>
  <c r="N70" i="45"/>
  <c r="L71" i="45"/>
  <c r="N71" i="45"/>
  <c r="L72" i="45"/>
  <c r="N72" i="45"/>
  <c r="D89" i="45"/>
  <c r="D91" i="45"/>
  <c r="J93" i="45"/>
  <c r="L93" i="45"/>
  <c r="D96" i="45"/>
  <c r="J99" i="45"/>
  <c r="L99" i="45"/>
  <c r="M99" i="45"/>
  <c r="N99" i="45"/>
  <c r="O99" i="45"/>
  <c r="P99" i="45" s="1"/>
  <c r="B100" i="45"/>
  <c r="J100" i="45"/>
  <c r="L100" i="45"/>
  <c r="M100" i="45" s="1"/>
  <c r="N100" i="45"/>
  <c r="O100" i="45" s="1"/>
  <c r="B101" i="45"/>
  <c r="L101" i="45"/>
  <c r="M101" i="45"/>
  <c r="N101" i="45"/>
  <c r="O101" i="45"/>
  <c r="B102" i="45"/>
  <c r="L102" i="45"/>
  <c r="M102" i="45" s="1"/>
  <c r="N102" i="45"/>
  <c r="O102" i="45" s="1"/>
  <c r="B103" i="45"/>
  <c r="J103" i="45"/>
  <c r="L103" i="45"/>
  <c r="M103" i="45" s="1"/>
  <c r="N103" i="45"/>
  <c r="O103" i="45"/>
  <c r="B104" i="45"/>
  <c r="L104" i="45"/>
  <c r="M104" i="45" s="1"/>
  <c r="N104" i="45"/>
  <c r="O104" i="45" s="1"/>
  <c r="M105" i="45"/>
  <c r="O105" i="45"/>
  <c r="M106" i="45"/>
  <c r="O106" i="45"/>
  <c r="M107" i="45"/>
  <c r="O107" i="45"/>
  <c r="M108" i="45"/>
  <c r="O108" i="45"/>
  <c r="M109" i="45"/>
  <c r="O109" i="45"/>
  <c r="M110" i="45"/>
  <c r="O110" i="45"/>
  <c r="M111" i="45"/>
  <c r="O111" i="45"/>
  <c r="M112" i="45"/>
  <c r="P112" i="45" s="1"/>
  <c r="O112" i="45"/>
  <c r="M113" i="45"/>
  <c r="O113" i="45"/>
  <c r="M114" i="45"/>
  <c r="O114" i="45"/>
  <c r="M115" i="45"/>
  <c r="O115" i="45"/>
  <c r="M116" i="45"/>
  <c r="O116" i="45"/>
  <c r="M117" i="45"/>
  <c r="O117" i="45"/>
  <c r="M118" i="45"/>
  <c r="O118" i="45"/>
  <c r="M119" i="45"/>
  <c r="O119" i="45"/>
  <c r="M120" i="45"/>
  <c r="O120" i="45"/>
  <c r="M121" i="45"/>
  <c r="P121" i="45" s="1"/>
  <c r="O121" i="45"/>
  <c r="M122" i="45"/>
  <c r="O122" i="45"/>
  <c r="M123" i="45"/>
  <c r="O123" i="45"/>
  <c r="M124" i="45"/>
  <c r="O124" i="45"/>
  <c r="M125" i="45"/>
  <c r="O125" i="45"/>
  <c r="M126" i="45"/>
  <c r="O126" i="45"/>
  <c r="M127" i="45"/>
  <c r="O127" i="45"/>
  <c r="M128" i="45"/>
  <c r="O128" i="45"/>
  <c r="M129" i="45"/>
  <c r="O129" i="45"/>
  <c r="M130" i="45"/>
  <c r="O130" i="45"/>
  <c r="M131" i="45"/>
  <c r="O131" i="45"/>
  <c r="M132" i="45"/>
  <c r="O132" i="45"/>
  <c r="M133" i="45"/>
  <c r="O133" i="45"/>
  <c r="M134" i="45"/>
  <c r="O134" i="45"/>
  <c r="M135" i="45"/>
  <c r="P135" i="45" s="1"/>
  <c r="O135" i="45"/>
  <c r="M136" i="45"/>
  <c r="O136" i="45"/>
  <c r="M137" i="45"/>
  <c r="O137" i="45"/>
  <c r="M138" i="45"/>
  <c r="O138" i="45"/>
  <c r="M139" i="45"/>
  <c r="O139" i="45"/>
  <c r="M140" i="45"/>
  <c r="O140" i="45"/>
  <c r="M141" i="45"/>
  <c r="O141" i="45"/>
  <c r="M142" i="45"/>
  <c r="O142" i="45"/>
  <c r="M143" i="45"/>
  <c r="O143" i="45"/>
  <c r="M144" i="45"/>
  <c r="O144" i="45"/>
  <c r="M145" i="45"/>
  <c r="O145" i="45"/>
  <c r="M146" i="45"/>
  <c r="O146" i="45"/>
  <c r="M147" i="45"/>
  <c r="O147" i="45"/>
  <c r="M148" i="45"/>
  <c r="O148" i="45"/>
  <c r="M149" i="45"/>
  <c r="O149" i="45"/>
  <c r="M150" i="45"/>
  <c r="O150" i="45"/>
  <c r="M151" i="45"/>
  <c r="O151" i="45"/>
  <c r="M152" i="45"/>
  <c r="O152" i="45"/>
  <c r="M153" i="45"/>
  <c r="O153" i="45"/>
  <c r="M154" i="45"/>
  <c r="O154" i="45"/>
  <c r="P1" i="44"/>
  <c r="P83" i="44" s="1"/>
  <c r="O3" i="44"/>
  <c r="D8" i="44"/>
  <c r="D90" i="44" s="1"/>
  <c r="K11" i="44"/>
  <c r="C17" i="44"/>
  <c r="C18" i="44" s="1"/>
  <c r="C19" i="44" s="1"/>
  <c r="C20" i="44" s="1"/>
  <c r="C21" i="44" s="1"/>
  <c r="C22" i="44" s="1"/>
  <c r="C23" i="44" s="1"/>
  <c r="C24" i="44" s="1"/>
  <c r="C25" i="44" s="1"/>
  <c r="C26" i="44" s="1"/>
  <c r="C27" i="44" s="1"/>
  <c r="C28" i="44" s="1"/>
  <c r="C29" i="44" s="1"/>
  <c r="C30" i="44" s="1"/>
  <c r="C31" i="44" s="1"/>
  <c r="C32" i="44" s="1"/>
  <c r="C33" i="44" s="1"/>
  <c r="C34" i="44" s="1"/>
  <c r="C35" i="44" s="1"/>
  <c r="C36" i="44" s="1"/>
  <c r="C37" i="44" s="1"/>
  <c r="C38" i="44" s="1"/>
  <c r="C39" i="44" s="1"/>
  <c r="C40" i="44" s="1"/>
  <c r="C41" i="44" s="1"/>
  <c r="C42" i="44" s="1"/>
  <c r="C43" i="44" s="1"/>
  <c r="C44" i="44" s="1"/>
  <c r="K17" i="44"/>
  <c r="L17" i="44" s="1"/>
  <c r="M17" i="44"/>
  <c r="N17" i="44" s="1"/>
  <c r="B18" i="44"/>
  <c r="K18" i="44"/>
  <c r="L18" i="44"/>
  <c r="M18" i="44"/>
  <c r="N18" i="44"/>
  <c r="B19" i="44"/>
  <c r="K19" i="44"/>
  <c r="L19" i="44" s="1"/>
  <c r="M19" i="44"/>
  <c r="N19" i="44" s="1"/>
  <c r="B20" i="44"/>
  <c r="K20" i="44"/>
  <c r="L20" i="44"/>
  <c r="M20" i="44"/>
  <c r="N20" i="44"/>
  <c r="O20" i="44" s="1"/>
  <c r="B21" i="44"/>
  <c r="K21" i="44"/>
  <c r="L21" i="44"/>
  <c r="M21" i="44"/>
  <c r="N21" i="44"/>
  <c r="B22" i="44"/>
  <c r="K22" i="44"/>
  <c r="L22" i="44" s="1"/>
  <c r="M22" i="44"/>
  <c r="N22" i="44" s="1"/>
  <c r="B23" i="44"/>
  <c r="I23" i="44"/>
  <c r="K23" i="44"/>
  <c r="L23" i="44" s="1"/>
  <c r="M23" i="44"/>
  <c r="N23" i="44" s="1"/>
  <c r="B24" i="44"/>
  <c r="K24" i="44"/>
  <c r="L24" i="44"/>
  <c r="M24" i="44"/>
  <c r="N24" i="44"/>
  <c r="B25" i="44"/>
  <c r="L26" i="44"/>
  <c r="N26" i="44"/>
  <c r="L27" i="44"/>
  <c r="N27" i="44"/>
  <c r="L28" i="44"/>
  <c r="N28" i="44"/>
  <c r="L29" i="44"/>
  <c r="N29" i="44"/>
  <c r="L30" i="44"/>
  <c r="N30" i="44"/>
  <c r="L31" i="44"/>
  <c r="N31" i="44"/>
  <c r="L32" i="44"/>
  <c r="N32" i="44"/>
  <c r="L33" i="44"/>
  <c r="N33" i="44"/>
  <c r="L34" i="44"/>
  <c r="N34" i="44"/>
  <c r="L35" i="44"/>
  <c r="N35" i="44"/>
  <c r="L36" i="44"/>
  <c r="N36" i="44"/>
  <c r="L37" i="44"/>
  <c r="N37" i="44"/>
  <c r="L38" i="44"/>
  <c r="N38" i="44"/>
  <c r="L39" i="44"/>
  <c r="N39" i="44"/>
  <c r="L40" i="44"/>
  <c r="N40" i="44"/>
  <c r="L41" i="44"/>
  <c r="O41" i="44" s="1"/>
  <c r="N41" i="44"/>
  <c r="L42" i="44"/>
  <c r="N42" i="44"/>
  <c r="L43" i="44"/>
  <c r="O43" i="44" s="1"/>
  <c r="N43" i="44"/>
  <c r="L44" i="44"/>
  <c r="N44" i="44"/>
  <c r="L45" i="44"/>
  <c r="N45" i="44"/>
  <c r="L46" i="44"/>
  <c r="O46" i="44" s="1"/>
  <c r="N46" i="44"/>
  <c r="L47" i="44"/>
  <c r="N47" i="44"/>
  <c r="L48" i="44"/>
  <c r="N48" i="44"/>
  <c r="L49" i="44"/>
  <c r="N49" i="44"/>
  <c r="L50" i="44"/>
  <c r="O50" i="44" s="1"/>
  <c r="N50" i="44"/>
  <c r="L51" i="44"/>
  <c r="N51" i="44"/>
  <c r="L52" i="44"/>
  <c r="N52" i="44"/>
  <c r="L53" i="44"/>
  <c r="N53" i="44"/>
  <c r="L54" i="44"/>
  <c r="N54" i="44"/>
  <c r="L55" i="44"/>
  <c r="N55" i="44"/>
  <c r="L56" i="44"/>
  <c r="N56" i="44"/>
  <c r="L57" i="44"/>
  <c r="N57" i="44"/>
  <c r="L58" i="44"/>
  <c r="N58" i="44"/>
  <c r="Q58" i="44"/>
  <c r="L59" i="44"/>
  <c r="N59" i="44"/>
  <c r="L60" i="44"/>
  <c r="N60" i="44"/>
  <c r="L61" i="44"/>
  <c r="N61" i="44"/>
  <c r="L62" i="44"/>
  <c r="N62" i="44"/>
  <c r="L63" i="44"/>
  <c r="N63" i="44"/>
  <c r="L64" i="44"/>
  <c r="N64" i="44"/>
  <c r="L65" i="44"/>
  <c r="N65" i="44"/>
  <c r="L66" i="44"/>
  <c r="N66" i="44"/>
  <c r="L67" i="44"/>
  <c r="N67" i="44"/>
  <c r="L68" i="44"/>
  <c r="N68" i="44"/>
  <c r="L69" i="44"/>
  <c r="N69" i="44"/>
  <c r="L70" i="44"/>
  <c r="N70" i="44"/>
  <c r="L71" i="44"/>
  <c r="N71" i="44"/>
  <c r="L72" i="44"/>
  <c r="N72" i="44"/>
  <c r="D89" i="44"/>
  <c r="D91" i="44"/>
  <c r="J93" i="44"/>
  <c r="L93" i="44"/>
  <c r="D96" i="44"/>
  <c r="J99" i="44"/>
  <c r="L99" i="44"/>
  <c r="M99" i="44"/>
  <c r="N99" i="44"/>
  <c r="O99" i="44"/>
  <c r="B100" i="44"/>
  <c r="J100" i="44"/>
  <c r="L100" i="44"/>
  <c r="M100" i="44"/>
  <c r="N100" i="44"/>
  <c r="O100" i="44"/>
  <c r="B101" i="44"/>
  <c r="J101" i="44"/>
  <c r="L101" i="44"/>
  <c r="M101" i="44"/>
  <c r="N101" i="44"/>
  <c r="O101" i="44"/>
  <c r="B102" i="44"/>
  <c r="L102" i="44"/>
  <c r="M102" i="44" s="1"/>
  <c r="N102" i="44"/>
  <c r="O102" i="44" s="1"/>
  <c r="B103" i="44"/>
  <c r="L103" i="44"/>
  <c r="M103" i="44"/>
  <c r="N103" i="44"/>
  <c r="O103" i="44"/>
  <c r="B104" i="44"/>
  <c r="J104" i="44"/>
  <c r="L104" i="44"/>
  <c r="M104" i="44"/>
  <c r="N104" i="44"/>
  <c r="O104" i="44"/>
  <c r="B105" i="44"/>
  <c r="L105" i="44"/>
  <c r="M105" i="44" s="1"/>
  <c r="N105" i="44"/>
  <c r="O105" i="44" s="1"/>
  <c r="M106" i="44"/>
  <c r="O106" i="44"/>
  <c r="M107" i="44"/>
  <c r="O107" i="44"/>
  <c r="M108" i="44"/>
  <c r="O108" i="44"/>
  <c r="M109" i="44"/>
  <c r="O109" i="44"/>
  <c r="M110" i="44"/>
  <c r="O110" i="44"/>
  <c r="M111" i="44"/>
  <c r="O111" i="44"/>
  <c r="M112" i="44"/>
  <c r="O112" i="44"/>
  <c r="M113" i="44"/>
  <c r="O113" i="44"/>
  <c r="M114" i="44"/>
  <c r="O114" i="44"/>
  <c r="M115" i="44"/>
  <c r="O115" i="44"/>
  <c r="M116" i="44"/>
  <c r="O116" i="44"/>
  <c r="M117" i="44"/>
  <c r="O117" i="44"/>
  <c r="M118" i="44"/>
  <c r="O118" i="44"/>
  <c r="M119" i="44"/>
  <c r="O119" i="44"/>
  <c r="M120" i="44"/>
  <c r="O120" i="44"/>
  <c r="M121" i="44"/>
  <c r="O121" i="44"/>
  <c r="M122" i="44"/>
  <c r="O122" i="44"/>
  <c r="M123" i="44"/>
  <c r="O123" i="44"/>
  <c r="M124" i="44"/>
  <c r="O124" i="44"/>
  <c r="M125" i="44"/>
  <c r="O125" i="44"/>
  <c r="M126" i="44"/>
  <c r="O126" i="44"/>
  <c r="M127" i="44"/>
  <c r="O127" i="44"/>
  <c r="M128" i="44"/>
  <c r="O128" i="44"/>
  <c r="M129" i="44"/>
  <c r="O129" i="44"/>
  <c r="M130" i="44"/>
  <c r="O130" i="44"/>
  <c r="M131" i="44"/>
  <c r="O131" i="44"/>
  <c r="M132" i="44"/>
  <c r="O132" i="44"/>
  <c r="M133" i="44"/>
  <c r="O133" i="44"/>
  <c r="M134" i="44"/>
  <c r="O134" i="44"/>
  <c r="M135" i="44"/>
  <c r="O135" i="44"/>
  <c r="M136" i="44"/>
  <c r="O136" i="44"/>
  <c r="M137" i="44"/>
  <c r="O137" i="44"/>
  <c r="M138" i="44"/>
  <c r="O138" i="44"/>
  <c r="M139" i="44"/>
  <c r="O139" i="44"/>
  <c r="M140" i="44"/>
  <c r="O140" i="44"/>
  <c r="M141" i="44"/>
  <c r="O141" i="44"/>
  <c r="M142" i="44"/>
  <c r="O142" i="44"/>
  <c r="M143" i="44"/>
  <c r="O143" i="44"/>
  <c r="M144" i="44"/>
  <c r="O144" i="44"/>
  <c r="M145" i="44"/>
  <c r="O145" i="44"/>
  <c r="M146" i="44"/>
  <c r="O146" i="44"/>
  <c r="M147" i="44"/>
  <c r="O147" i="44"/>
  <c r="M148" i="44"/>
  <c r="O148" i="44"/>
  <c r="M149" i="44"/>
  <c r="O149" i="44"/>
  <c r="M150" i="44"/>
  <c r="O150" i="44"/>
  <c r="M151" i="44"/>
  <c r="O151" i="44"/>
  <c r="M152" i="44"/>
  <c r="O152" i="44"/>
  <c r="M153" i="44"/>
  <c r="O153" i="44"/>
  <c r="M154" i="44"/>
  <c r="O154" i="44"/>
  <c r="P1" i="43"/>
  <c r="P83" i="43" s="1"/>
  <c r="O3" i="43"/>
  <c r="D8" i="43"/>
  <c r="D90" i="43"/>
  <c r="K11" i="43"/>
  <c r="C17" i="43"/>
  <c r="C18" i="43"/>
  <c r="C19" i="43"/>
  <c r="C20" i="43" s="1"/>
  <c r="C21" i="43" s="1"/>
  <c r="C22" i="43" s="1"/>
  <c r="C23" i="43" s="1"/>
  <c r="C24" i="43" s="1"/>
  <c r="C25" i="43" s="1"/>
  <c r="C26" i="43" s="1"/>
  <c r="C27" i="43"/>
  <c r="C28" i="43" s="1"/>
  <c r="C29" i="43" s="1"/>
  <c r="C30" i="43" s="1"/>
  <c r="C31" i="43" s="1"/>
  <c r="C32" i="43" s="1"/>
  <c r="C33" i="43" s="1"/>
  <c r="C34" i="43" s="1"/>
  <c r="C35" i="43" s="1"/>
  <c r="C36" i="43" s="1"/>
  <c r="C37" i="43" s="1"/>
  <c r="C38" i="43" s="1"/>
  <c r="C39" i="43" s="1"/>
  <c r="C40" i="43" s="1"/>
  <c r="C41" i="43" s="1"/>
  <c r="C42" i="43" s="1"/>
  <c r="C43" i="43" s="1"/>
  <c r="C44" i="43" s="1"/>
  <c r="C45" i="43" s="1"/>
  <c r="C46" i="43" s="1"/>
  <c r="C47" i="43" s="1"/>
  <c r="C48" i="43" s="1"/>
  <c r="C49" i="43" s="1"/>
  <c r="C50" i="43" s="1"/>
  <c r="C51" i="43" s="1"/>
  <c r="C52" i="43" s="1"/>
  <c r="C53" i="43" s="1"/>
  <c r="C54" i="43" s="1"/>
  <c r="C55" i="43" s="1"/>
  <c r="C56" i="43" s="1"/>
  <c r="C57" i="43" s="1"/>
  <c r="C58" i="43" s="1"/>
  <c r="C59" i="43" s="1"/>
  <c r="C60" i="43" s="1"/>
  <c r="C61" i="43" s="1"/>
  <c r="C62" i="43" s="1"/>
  <c r="C63" i="43" s="1"/>
  <c r="C64" i="43" s="1"/>
  <c r="C65" i="43" s="1"/>
  <c r="C66" i="43" s="1"/>
  <c r="C67" i="43" s="1"/>
  <c r="C68" i="43" s="1"/>
  <c r="C69" i="43" s="1"/>
  <c r="C70" i="43" s="1"/>
  <c r="C71" i="43" s="1"/>
  <c r="C72" i="43" s="1"/>
  <c r="K17" i="43"/>
  <c r="L17" i="43"/>
  <c r="M17" i="43"/>
  <c r="N17" i="43" s="1"/>
  <c r="B18" i="43"/>
  <c r="K18" i="43"/>
  <c r="L18" i="43"/>
  <c r="M18" i="43"/>
  <c r="N18" i="43" s="1"/>
  <c r="O18" i="43" s="1"/>
  <c r="B19" i="43"/>
  <c r="K19" i="43"/>
  <c r="L19" i="43" s="1"/>
  <c r="M19" i="43"/>
  <c r="N19" i="43"/>
  <c r="B20" i="43"/>
  <c r="K20" i="43"/>
  <c r="L20" i="43" s="1"/>
  <c r="M20" i="43"/>
  <c r="N20" i="43" s="1"/>
  <c r="B21" i="43"/>
  <c r="K21" i="43"/>
  <c r="L21" i="43"/>
  <c r="M21" i="43"/>
  <c r="N21" i="43" s="1"/>
  <c r="B22" i="43"/>
  <c r="K22" i="43"/>
  <c r="L22" i="43" s="1"/>
  <c r="M22" i="43"/>
  <c r="N22" i="43" s="1"/>
  <c r="B23" i="43"/>
  <c r="I23" i="43"/>
  <c r="K23" i="43"/>
  <c r="L23" i="43"/>
  <c r="M23" i="43"/>
  <c r="N23" i="43" s="1"/>
  <c r="B24" i="43"/>
  <c r="K24" i="43"/>
  <c r="L24" i="43"/>
  <c r="M24" i="43"/>
  <c r="N24" i="43" s="1"/>
  <c r="B25" i="43"/>
  <c r="L26" i="43"/>
  <c r="N26" i="43"/>
  <c r="L27" i="43"/>
  <c r="N27" i="43"/>
  <c r="L28" i="43"/>
  <c r="N28" i="43"/>
  <c r="L29" i="43"/>
  <c r="N29" i="43"/>
  <c r="L30" i="43"/>
  <c r="O30" i="43" s="1"/>
  <c r="N30" i="43"/>
  <c r="L31" i="43"/>
  <c r="N31" i="43"/>
  <c r="L32" i="43"/>
  <c r="N32" i="43"/>
  <c r="L33" i="43"/>
  <c r="N33" i="43"/>
  <c r="L34" i="43"/>
  <c r="N34" i="43"/>
  <c r="L35" i="43"/>
  <c r="N35" i="43"/>
  <c r="L36" i="43"/>
  <c r="N36" i="43"/>
  <c r="L37" i="43"/>
  <c r="N37" i="43"/>
  <c r="L38" i="43"/>
  <c r="N38" i="43"/>
  <c r="L39" i="43"/>
  <c r="N39" i="43"/>
  <c r="L40" i="43"/>
  <c r="N40" i="43"/>
  <c r="L41" i="43"/>
  <c r="N41" i="43"/>
  <c r="L42" i="43"/>
  <c r="N42" i="43"/>
  <c r="L43" i="43"/>
  <c r="N43" i="43"/>
  <c r="L44" i="43"/>
  <c r="N44" i="43"/>
  <c r="L45" i="43"/>
  <c r="O45" i="43" s="1"/>
  <c r="N45" i="43"/>
  <c r="L46" i="43"/>
  <c r="N46" i="43"/>
  <c r="L47" i="43"/>
  <c r="N47" i="43"/>
  <c r="L48" i="43"/>
  <c r="N48" i="43"/>
  <c r="L49" i="43"/>
  <c r="N49" i="43"/>
  <c r="L50" i="43"/>
  <c r="N50" i="43"/>
  <c r="L51" i="43"/>
  <c r="N51" i="43"/>
  <c r="L52" i="43"/>
  <c r="N52" i="43"/>
  <c r="L53" i="43"/>
  <c r="N53" i="43"/>
  <c r="L54" i="43"/>
  <c r="N54" i="43"/>
  <c r="L55" i="43"/>
  <c r="N55" i="43"/>
  <c r="L56" i="43"/>
  <c r="N56" i="43"/>
  <c r="L57" i="43"/>
  <c r="N57" i="43"/>
  <c r="L58" i="43"/>
  <c r="N58" i="43"/>
  <c r="Q58" i="43"/>
  <c r="L59" i="43"/>
  <c r="N59" i="43"/>
  <c r="L60" i="43"/>
  <c r="N60" i="43"/>
  <c r="L61" i="43"/>
  <c r="N61" i="43"/>
  <c r="L62" i="43"/>
  <c r="N62" i="43"/>
  <c r="L63" i="43"/>
  <c r="N63" i="43"/>
  <c r="L64" i="43"/>
  <c r="N64" i="43"/>
  <c r="L65" i="43"/>
  <c r="N65" i="43"/>
  <c r="L66" i="43"/>
  <c r="N66" i="43"/>
  <c r="L67" i="43"/>
  <c r="N67" i="43"/>
  <c r="L68" i="43"/>
  <c r="N68" i="43"/>
  <c r="L69" i="43"/>
  <c r="N69" i="43"/>
  <c r="L70" i="43"/>
  <c r="N70" i="43"/>
  <c r="L71" i="43"/>
  <c r="N71" i="43"/>
  <c r="L72" i="43"/>
  <c r="O72" i="43" s="1"/>
  <c r="N72" i="43"/>
  <c r="D89" i="43"/>
  <c r="D91" i="43"/>
  <c r="J93" i="43"/>
  <c r="L93" i="43"/>
  <c r="D96" i="43"/>
  <c r="J99" i="43"/>
  <c r="L99" i="43"/>
  <c r="M99" i="43" s="1"/>
  <c r="N99" i="43"/>
  <c r="O99" i="43" s="1"/>
  <c r="B100" i="43"/>
  <c r="J100" i="43"/>
  <c r="L100" i="43"/>
  <c r="M100" i="43" s="1"/>
  <c r="N100" i="43"/>
  <c r="O100" i="43" s="1"/>
  <c r="B101" i="43"/>
  <c r="J101" i="43"/>
  <c r="L101" i="43"/>
  <c r="M101" i="43" s="1"/>
  <c r="N101" i="43"/>
  <c r="O101" i="43" s="1"/>
  <c r="B102" i="43"/>
  <c r="L102" i="43"/>
  <c r="M102" i="43" s="1"/>
  <c r="N102" i="43"/>
  <c r="O102" i="43" s="1"/>
  <c r="B103" i="43"/>
  <c r="L103" i="43"/>
  <c r="M103" i="43" s="1"/>
  <c r="N103" i="43"/>
  <c r="O103" i="43"/>
  <c r="B104" i="43"/>
  <c r="J104" i="43"/>
  <c r="L104" i="43"/>
  <c r="M104" i="43"/>
  <c r="N104" i="43"/>
  <c r="O104" i="43" s="1"/>
  <c r="B105" i="43"/>
  <c r="L105" i="43"/>
  <c r="M105" i="43" s="1"/>
  <c r="N105" i="43"/>
  <c r="O105" i="43" s="1"/>
  <c r="M106" i="43"/>
  <c r="O106" i="43"/>
  <c r="M107" i="43"/>
  <c r="O107" i="43"/>
  <c r="M108" i="43"/>
  <c r="O108" i="43"/>
  <c r="P108" i="43" s="1"/>
  <c r="M109" i="43"/>
  <c r="O109" i="43"/>
  <c r="M110" i="43"/>
  <c r="O110" i="43"/>
  <c r="M111" i="43"/>
  <c r="O111" i="43"/>
  <c r="M112" i="43"/>
  <c r="O112" i="43"/>
  <c r="M113" i="43"/>
  <c r="O113" i="43"/>
  <c r="M114" i="43"/>
  <c r="O114" i="43"/>
  <c r="M115" i="43"/>
  <c r="O115" i="43"/>
  <c r="M116" i="43"/>
  <c r="O116" i="43"/>
  <c r="P116" i="43" s="1"/>
  <c r="M117" i="43"/>
  <c r="O117" i="43"/>
  <c r="M118" i="43"/>
  <c r="O118" i="43"/>
  <c r="M119" i="43"/>
  <c r="O119" i="43"/>
  <c r="M120" i="43"/>
  <c r="O120" i="43"/>
  <c r="P120" i="43" s="1"/>
  <c r="M121" i="43"/>
  <c r="O121" i="43"/>
  <c r="M122" i="43"/>
  <c r="O122" i="43"/>
  <c r="M123" i="43"/>
  <c r="O123" i="43"/>
  <c r="M124" i="43"/>
  <c r="O124" i="43"/>
  <c r="P124" i="43" s="1"/>
  <c r="M125" i="43"/>
  <c r="O125" i="43"/>
  <c r="M126" i="43"/>
  <c r="O126" i="43"/>
  <c r="M127" i="43"/>
  <c r="O127" i="43"/>
  <c r="M128" i="43"/>
  <c r="O128" i="43"/>
  <c r="M129" i="43"/>
  <c r="O129" i="43"/>
  <c r="M130" i="43"/>
  <c r="O130" i="43"/>
  <c r="M131" i="43"/>
  <c r="O131" i="43"/>
  <c r="M132" i="43"/>
  <c r="O132" i="43"/>
  <c r="P132" i="43" s="1"/>
  <c r="M133" i="43"/>
  <c r="O133" i="43"/>
  <c r="M134" i="43"/>
  <c r="O134" i="43"/>
  <c r="M135" i="43"/>
  <c r="O135" i="43"/>
  <c r="M136" i="43"/>
  <c r="O136" i="43"/>
  <c r="M137" i="43"/>
  <c r="O137" i="43"/>
  <c r="M138" i="43"/>
  <c r="O138" i="43"/>
  <c r="M139" i="43"/>
  <c r="O139" i="43"/>
  <c r="M140" i="43"/>
  <c r="O140" i="43"/>
  <c r="M141" i="43"/>
  <c r="O141" i="43"/>
  <c r="M142" i="43"/>
  <c r="O142" i="43"/>
  <c r="M143" i="43"/>
  <c r="O143" i="43"/>
  <c r="M144" i="43"/>
  <c r="O144" i="43"/>
  <c r="M145" i="43"/>
  <c r="O145" i="43"/>
  <c r="M146" i="43"/>
  <c r="O146" i="43"/>
  <c r="M147" i="43"/>
  <c r="O147" i="43"/>
  <c r="M148" i="43"/>
  <c r="O148" i="43"/>
  <c r="P148" i="43" s="1"/>
  <c r="M149" i="43"/>
  <c r="O149" i="43"/>
  <c r="M150" i="43"/>
  <c r="O150" i="43"/>
  <c r="M151" i="43"/>
  <c r="O151" i="43"/>
  <c r="M152" i="43"/>
  <c r="O152" i="43"/>
  <c r="P152" i="43" s="1"/>
  <c r="M153" i="43"/>
  <c r="O153" i="43"/>
  <c r="M154" i="43"/>
  <c r="O154" i="43"/>
  <c r="P1" i="42"/>
  <c r="P83" i="42" s="1"/>
  <c r="O3" i="42"/>
  <c r="D8" i="42"/>
  <c r="D90" i="42" s="1"/>
  <c r="K11" i="42"/>
  <c r="C17" i="42"/>
  <c r="C18" i="42" s="1"/>
  <c r="C19" i="42" s="1"/>
  <c r="C20" i="42" s="1"/>
  <c r="C21" i="42" s="1"/>
  <c r="C22" i="42" s="1"/>
  <c r="C23" i="42" s="1"/>
  <c r="K17" i="42"/>
  <c r="L17" i="42" s="1"/>
  <c r="M17" i="42"/>
  <c r="N17" i="42"/>
  <c r="B18" i="42"/>
  <c r="C24" i="42"/>
  <c r="C25" i="42" s="1"/>
  <c r="C26" i="42" s="1"/>
  <c r="C27" i="42" s="1"/>
  <c r="C28" i="42" s="1"/>
  <c r="C29" i="42" s="1"/>
  <c r="C30" i="42" s="1"/>
  <c r="C31" i="42" s="1"/>
  <c r="C32" i="42" s="1"/>
  <c r="C33" i="42" s="1"/>
  <c r="C34" i="42" s="1"/>
  <c r="C35" i="42" s="1"/>
  <c r="C36" i="42" s="1"/>
  <c r="C37" i="42" s="1"/>
  <c r="C38" i="42" s="1"/>
  <c r="C39" i="42" s="1"/>
  <c r="C40" i="42" s="1"/>
  <c r="C41" i="42" s="1"/>
  <c r="C42" i="42" s="1"/>
  <c r="C43" i="42" s="1"/>
  <c r="C44" i="42" s="1"/>
  <c r="C45" i="42" s="1"/>
  <c r="C46" i="42" s="1"/>
  <c r="C47" i="42" s="1"/>
  <c r="C48" i="42" s="1"/>
  <c r="C49" i="42" s="1"/>
  <c r="C50" i="42" s="1"/>
  <c r="C51" i="42" s="1"/>
  <c r="C52" i="42" s="1"/>
  <c r="C53" i="42" s="1"/>
  <c r="C54" i="42" s="1"/>
  <c r="C55" i="42" s="1"/>
  <c r="C56" i="42" s="1"/>
  <c r="C57" i="42" s="1"/>
  <c r="C58" i="42" s="1"/>
  <c r="C59" i="42" s="1"/>
  <c r="C60" i="42" s="1"/>
  <c r="C61" i="42" s="1"/>
  <c r="C62" i="42" s="1"/>
  <c r="C63" i="42" s="1"/>
  <c r="C64" i="42" s="1"/>
  <c r="C65" i="42" s="1"/>
  <c r="C66" i="42" s="1"/>
  <c r="C67" i="42" s="1"/>
  <c r="C68" i="42" s="1"/>
  <c r="C69" i="42" s="1"/>
  <c r="C70" i="42" s="1"/>
  <c r="C71" i="42" s="1"/>
  <c r="C72" i="42" s="1"/>
  <c r="K18" i="42"/>
  <c r="L18" i="42" s="1"/>
  <c r="M18" i="42"/>
  <c r="N18" i="42"/>
  <c r="B19" i="42"/>
  <c r="K19" i="42"/>
  <c r="L19" i="42"/>
  <c r="M19" i="42"/>
  <c r="N19" i="42" s="1"/>
  <c r="B20" i="42"/>
  <c r="K20" i="42"/>
  <c r="L20" i="42"/>
  <c r="M20" i="42"/>
  <c r="N20" i="42" s="1"/>
  <c r="B21" i="42"/>
  <c r="K21" i="42"/>
  <c r="L21" i="42" s="1"/>
  <c r="M21" i="42"/>
  <c r="N21" i="42" s="1"/>
  <c r="B22" i="42"/>
  <c r="K22" i="42"/>
  <c r="L22" i="42" s="1"/>
  <c r="M22" i="42"/>
  <c r="N22" i="42"/>
  <c r="B23" i="42"/>
  <c r="I23" i="42"/>
  <c r="K23" i="42"/>
  <c r="L23" i="42"/>
  <c r="M23" i="42"/>
  <c r="N23" i="42" s="1"/>
  <c r="B24" i="42"/>
  <c r="K24" i="42"/>
  <c r="L24" i="42" s="1"/>
  <c r="M24" i="42"/>
  <c r="N24" i="42" s="1"/>
  <c r="B25" i="42"/>
  <c r="L26" i="42"/>
  <c r="N26" i="42"/>
  <c r="L27" i="42"/>
  <c r="N27" i="42"/>
  <c r="L28" i="42"/>
  <c r="N28" i="42"/>
  <c r="L29" i="42"/>
  <c r="N29" i="42"/>
  <c r="L30" i="42"/>
  <c r="N30" i="42"/>
  <c r="L31" i="42"/>
  <c r="N31" i="42"/>
  <c r="L32" i="42"/>
  <c r="O32" i="42" s="1"/>
  <c r="N32" i="42"/>
  <c r="L33" i="42"/>
  <c r="N33" i="42"/>
  <c r="L34" i="42"/>
  <c r="N34" i="42"/>
  <c r="L35" i="42"/>
  <c r="N35" i="42"/>
  <c r="O35" i="42" s="1"/>
  <c r="L36" i="42"/>
  <c r="N36" i="42"/>
  <c r="L37" i="42"/>
  <c r="N37" i="42"/>
  <c r="L38" i="42"/>
  <c r="N38" i="42"/>
  <c r="L39" i="42"/>
  <c r="N39" i="42"/>
  <c r="L40" i="42"/>
  <c r="N40" i="42"/>
  <c r="L41" i="42"/>
  <c r="N41" i="42"/>
  <c r="L42" i="42"/>
  <c r="N42" i="42"/>
  <c r="L43" i="42"/>
  <c r="N43" i="42"/>
  <c r="L44" i="42"/>
  <c r="N44" i="42"/>
  <c r="L45" i="42"/>
  <c r="N45" i="42"/>
  <c r="L46" i="42"/>
  <c r="N46" i="42"/>
  <c r="L47" i="42"/>
  <c r="N47" i="42"/>
  <c r="L48" i="42"/>
  <c r="N48" i="42"/>
  <c r="L49" i="42"/>
  <c r="N49" i="42"/>
  <c r="L50" i="42"/>
  <c r="N50" i="42"/>
  <c r="L51" i="42"/>
  <c r="N51" i="42"/>
  <c r="L52" i="42"/>
  <c r="N52" i="42"/>
  <c r="L53" i="42"/>
  <c r="N53" i="42"/>
  <c r="L54" i="42"/>
  <c r="N54" i="42"/>
  <c r="L55" i="42"/>
  <c r="N55" i="42"/>
  <c r="L56" i="42"/>
  <c r="N56" i="42"/>
  <c r="L57" i="42"/>
  <c r="N57" i="42"/>
  <c r="L58" i="42"/>
  <c r="N58" i="42"/>
  <c r="Q58" i="42"/>
  <c r="L59" i="42"/>
  <c r="N59" i="42"/>
  <c r="L60" i="42"/>
  <c r="N60" i="42"/>
  <c r="L61" i="42"/>
  <c r="N61" i="42"/>
  <c r="L62" i="42"/>
  <c r="N62" i="42"/>
  <c r="L63" i="42"/>
  <c r="N63" i="42"/>
  <c r="L64" i="42"/>
  <c r="N64" i="42"/>
  <c r="L65" i="42"/>
  <c r="N65" i="42"/>
  <c r="L66" i="42"/>
  <c r="N66" i="42"/>
  <c r="L67" i="42"/>
  <c r="N67" i="42"/>
  <c r="L68" i="42"/>
  <c r="N68" i="42"/>
  <c r="L69" i="42"/>
  <c r="N69" i="42"/>
  <c r="L70" i="42"/>
  <c r="N70" i="42"/>
  <c r="L71" i="42"/>
  <c r="N71" i="42"/>
  <c r="L72" i="42"/>
  <c r="N72" i="42"/>
  <c r="O72" i="42"/>
  <c r="D89" i="42"/>
  <c r="D91" i="42"/>
  <c r="J93" i="42"/>
  <c r="L93" i="42"/>
  <c r="D96" i="42"/>
  <c r="J99" i="42"/>
  <c r="L99" i="42"/>
  <c r="M99" i="42"/>
  <c r="N99" i="42"/>
  <c r="O99" i="42" s="1"/>
  <c r="B100" i="42"/>
  <c r="J100" i="42"/>
  <c r="L100" i="42"/>
  <c r="M100" i="42" s="1"/>
  <c r="N100" i="42"/>
  <c r="O100" i="42"/>
  <c r="B101" i="42"/>
  <c r="J101" i="42"/>
  <c r="L101" i="42"/>
  <c r="M101" i="42"/>
  <c r="N101" i="42"/>
  <c r="O101" i="42" s="1"/>
  <c r="B102" i="42"/>
  <c r="L102" i="42"/>
  <c r="M102" i="42" s="1"/>
  <c r="N102" i="42"/>
  <c r="O102" i="42"/>
  <c r="B103" i="42"/>
  <c r="L103" i="42"/>
  <c r="M103" i="42" s="1"/>
  <c r="N103" i="42"/>
  <c r="O103" i="42"/>
  <c r="B104" i="42"/>
  <c r="J104" i="42"/>
  <c r="L104" i="42"/>
  <c r="M104" i="42"/>
  <c r="N104" i="42"/>
  <c r="O104" i="42" s="1"/>
  <c r="B105" i="42"/>
  <c r="L105" i="42"/>
  <c r="M105" i="42" s="1"/>
  <c r="N105" i="42"/>
  <c r="O105" i="42"/>
  <c r="M106" i="42"/>
  <c r="O106" i="42"/>
  <c r="M107" i="42"/>
  <c r="O107" i="42"/>
  <c r="M108" i="42"/>
  <c r="O108" i="42"/>
  <c r="M109" i="42"/>
  <c r="O109" i="42"/>
  <c r="P109" i="42" s="1"/>
  <c r="M110" i="42"/>
  <c r="O110" i="42"/>
  <c r="P110" i="42" s="1"/>
  <c r="M111" i="42"/>
  <c r="O111" i="42"/>
  <c r="M112" i="42"/>
  <c r="O112" i="42"/>
  <c r="P112" i="42" s="1"/>
  <c r="M113" i="42"/>
  <c r="O113" i="42"/>
  <c r="M114" i="42"/>
  <c r="O114" i="42"/>
  <c r="M115" i="42"/>
  <c r="O115" i="42"/>
  <c r="P115" i="42" s="1"/>
  <c r="M116" i="42"/>
  <c r="O116" i="42"/>
  <c r="M117" i="42"/>
  <c r="O117" i="42"/>
  <c r="M118" i="42"/>
  <c r="O118" i="42"/>
  <c r="M119" i="42"/>
  <c r="O119" i="42"/>
  <c r="P119" i="42" s="1"/>
  <c r="M120" i="42"/>
  <c r="O120" i="42"/>
  <c r="P120" i="42" s="1"/>
  <c r="M121" i="42"/>
  <c r="O121" i="42"/>
  <c r="M122" i="42"/>
  <c r="O122" i="42"/>
  <c r="M123" i="42"/>
  <c r="O123" i="42"/>
  <c r="M124" i="42"/>
  <c r="O124" i="42"/>
  <c r="P124" i="42" s="1"/>
  <c r="M125" i="42"/>
  <c r="O125" i="42"/>
  <c r="M126" i="42"/>
  <c r="O126" i="42"/>
  <c r="M127" i="42"/>
  <c r="O127" i="42"/>
  <c r="M128" i="42"/>
  <c r="O128" i="42"/>
  <c r="P128" i="42" s="1"/>
  <c r="M129" i="42"/>
  <c r="O129" i="42"/>
  <c r="M130" i="42"/>
  <c r="O130" i="42"/>
  <c r="M131" i="42"/>
  <c r="O131" i="42"/>
  <c r="M132" i="42"/>
  <c r="O132" i="42"/>
  <c r="P132" i="42" s="1"/>
  <c r="M133" i="42"/>
  <c r="O133" i="42"/>
  <c r="M134" i="42"/>
  <c r="O134" i="42"/>
  <c r="M135" i="42"/>
  <c r="O135" i="42"/>
  <c r="M136" i="42"/>
  <c r="O136" i="42"/>
  <c r="P136" i="42" s="1"/>
  <c r="M137" i="42"/>
  <c r="O137" i="42"/>
  <c r="M138" i="42"/>
  <c r="O138" i="42"/>
  <c r="M139" i="42"/>
  <c r="O139" i="42"/>
  <c r="M140" i="42"/>
  <c r="O140" i="42"/>
  <c r="M141" i="42"/>
  <c r="O141" i="42"/>
  <c r="P141" i="42" s="1"/>
  <c r="M142" i="42"/>
  <c r="O142" i="42"/>
  <c r="M143" i="42"/>
  <c r="O143" i="42"/>
  <c r="M144" i="42"/>
  <c r="O144" i="42"/>
  <c r="M145" i="42"/>
  <c r="O145" i="42"/>
  <c r="P145" i="42" s="1"/>
  <c r="M146" i="42"/>
  <c r="O146" i="42"/>
  <c r="P146" i="42" s="1"/>
  <c r="M147" i="42"/>
  <c r="O147" i="42"/>
  <c r="M148" i="42"/>
  <c r="O148" i="42"/>
  <c r="M149" i="42"/>
  <c r="O149" i="42"/>
  <c r="M150" i="42"/>
  <c r="O150" i="42"/>
  <c r="M151" i="42"/>
  <c r="O151" i="42"/>
  <c r="M152" i="42"/>
  <c r="O152" i="42"/>
  <c r="M153" i="42"/>
  <c r="O153" i="42"/>
  <c r="M154" i="42"/>
  <c r="O154" i="42"/>
  <c r="P1" i="41"/>
  <c r="P83" i="41" s="1"/>
  <c r="O3" i="41"/>
  <c r="D8" i="41"/>
  <c r="K11" i="41"/>
  <c r="C17" i="41"/>
  <c r="C18" i="41" s="1"/>
  <c r="C19" i="41" s="1"/>
  <c r="C20" i="41" s="1"/>
  <c r="C21" i="41" s="1"/>
  <c r="C22" i="41" s="1"/>
  <c r="C23" i="41" s="1"/>
  <c r="C24" i="41" s="1"/>
  <c r="C25" i="41" s="1"/>
  <c r="C26" i="41" s="1"/>
  <c r="C27" i="41" s="1"/>
  <c r="C28" i="41" s="1"/>
  <c r="C29" i="41" s="1"/>
  <c r="C30" i="41" s="1"/>
  <c r="C31" i="41" s="1"/>
  <c r="C32" i="41" s="1"/>
  <c r="C33" i="41" s="1"/>
  <c r="C34" i="41" s="1"/>
  <c r="C35" i="41" s="1"/>
  <c r="C36" i="41" s="1"/>
  <c r="C37" i="41" s="1"/>
  <c r="C38" i="41" s="1"/>
  <c r="C39" i="41" s="1"/>
  <c r="C40" i="41" s="1"/>
  <c r="C41" i="41" s="1"/>
  <c r="C42" i="41" s="1"/>
  <c r="C43" i="41" s="1"/>
  <c r="C44" i="41" s="1"/>
  <c r="K17" i="41"/>
  <c r="L17" i="41"/>
  <c r="M17" i="41"/>
  <c r="N17" i="41" s="1"/>
  <c r="B18" i="41"/>
  <c r="K18" i="41"/>
  <c r="L18" i="41" s="1"/>
  <c r="M18" i="41"/>
  <c r="N18" i="41"/>
  <c r="B19" i="41"/>
  <c r="K19" i="41"/>
  <c r="L19" i="41" s="1"/>
  <c r="M19" i="41"/>
  <c r="N19" i="41"/>
  <c r="B20" i="41"/>
  <c r="K20" i="41"/>
  <c r="L20" i="41"/>
  <c r="M20" i="41"/>
  <c r="N20" i="41"/>
  <c r="O20" i="41" s="1"/>
  <c r="B21" i="41"/>
  <c r="K21" i="41"/>
  <c r="L21" i="41"/>
  <c r="M21" i="41"/>
  <c r="N21" i="41"/>
  <c r="B22" i="41"/>
  <c r="K22" i="41"/>
  <c r="L22" i="41"/>
  <c r="M22" i="41"/>
  <c r="N22" i="41" s="1"/>
  <c r="B23" i="41"/>
  <c r="I23" i="41"/>
  <c r="K23" i="41"/>
  <c r="L23" i="41" s="1"/>
  <c r="M23" i="41"/>
  <c r="N23" i="41"/>
  <c r="B24" i="41"/>
  <c r="K24" i="41"/>
  <c r="L24" i="41" s="1"/>
  <c r="M24" i="41"/>
  <c r="N24" i="41" s="1"/>
  <c r="B25" i="41"/>
  <c r="L26" i="41"/>
  <c r="N26" i="41"/>
  <c r="L27" i="41"/>
  <c r="N27" i="41"/>
  <c r="L28" i="41"/>
  <c r="N28" i="41"/>
  <c r="L29" i="41"/>
  <c r="O29" i="41" s="1"/>
  <c r="N29" i="41"/>
  <c r="L30" i="41"/>
  <c r="N30" i="41"/>
  <c r="L31" i="41"/>
  <c r="N31" i="41"/>
  <c r="L32" i="41"/>
  <c r="N32" i="41"/>
  <c r="L33" i="41"/>
  <c r="N33" i="41"/>
  <c r="L34" i="41"/>
  <c r="N34" i="41"/>
  <c r="L35" i="41"/>
  <c r="N35" i="41"/>
  <c r="L36" i="41"/>
  <c r="N36" i="41"/>
  <c r="L37" i="41"/>
  <c r="N37" i="41"/>
  <c r="L38" i="41"/>
  <c r="N38" i="41"/>
  <c r="L39" i="41"/>
  <c r="O39" i="41" s="1"/>
  <c r="N39" i="41"/>
  <c r="L40" i="41"/>
  <c r="N40" i="41"/>
  <c r="L41" i="41"/>
  <c r="N41" i="41"/>
  <c r="L42" i="41"/>
  <c r="N42" i="41"/>
  <c r="L43" i="41"/>
  <c r="N43" i="41"/>
  <c r="L44" i="41"/>
  <c r="N44" i="41"/>
  <c r="L45" i="41"/>
  <c r="N45" i="41"/>
  <c r="L46" i="41"/>
  <c r="N46" i="41"/>
  <c r="L47" i="41"/>
  <c r="N47" i="41"/>
  <c r="L48" i="41"/>
  <c r="N48" i="41"/>
  <c r="L49" i="41"/>
  <c r="N49" i="41"/>
  <c r="L50" i="41"/>
  <c r="N50" i="41"/>
  <c r="L51" i="41"/>
  <c r="N51" i="41"/>
  <c r="L52" i="41"/>
  <c r="N52" i="41"/>
  <c r="L53" i="41"/>
  <c r="N53" i="41"/>
  <c r="L54" i="41"/>
  <c r="N54" i="41"/>
  <c r="L55" i="41"/>
  <c r="N55" i="41"/>
  <c r="L56" i="41"/>
  <c r="N56" i="41"/>
  <c r="L57" i="41"/>
  <c r="N57" i="41"/>
  <c r="L58" i="41"/>
  <c r="N58" i="41"/>
  <c r="Q58" i="41"/>
  <c r="L59" i="41"/>
  <c r="N59" i="41"/>
  <c r="L60" i="41"/>
  <c r="N60" i="41"/>
  <c r="L61" i="41"/>
  <c r="N61" i="41"/>
  <c r="O61" i="41" s="1"/>
  <c r="L62" i="41"/>
  <c r="N62" i="41"/>
  <c r="L63" i="41"/>
  <c r="N63" i="41"/>
  <c r="O63" i="41" s="1"/>
  <c r="L64" i="41"/>
  <c r="N64" i="41"/>
  <c r="L65" i="41"/>
  <c r="N65" i="41"/>
  <c r="L66" i="41"/>
  <c r="N66" i="41"/>
  <c r="L67" i="41"/>
  <c r="N67" i="41"/>
  <c r="O67" i="41" s="1"/>
  <c r="L68" i="41"/>
  <c r="N68" i="41"/>
  <c r="L69" i="41"/>
  <c r="N69" i="41"/>
  <c r="L70" i="41"/>
  <c r="N70" i="41"/>
  <c r="O70" i="41" s="1"/>
  <c r="L71" i="41"/>
  <c r="N71" i="41"/>
  <c r="L72" i="41"/>
  <c r="N72" i="41"/>
  <c r="D89" i="41"/>
  <c r="D90" i="41"/>
  <c r="D91" i="41"/>
  <c r="J93" i="41"/>
  <c r="L93" i="41"/>
  <c r="D96" i="41"/>
  <c r="J99" i="41"/>
  <c r="L99" i="41"/>
  <c r="M99" i="41"/>
  <c r="N99" i="41"/>
  <c r="O99" i="41"/>
  <c r="B100" i="41"/>
  <c r="J100" i="41"/>
  <c r="L100" i="41"/>
  <c r="M100" i="41" s="1"/>
  <c r="N100" i="41"/>
  <c r="O100" i="41"/>
  <c r="B101" i="41"/>
  <c r="J101" i="41"/>
  <c r="L101" i="41"/>
  <c r="M101" i="41" s="1"/>
  <c r="N101" i="41"/>
  <c r="O101" i="41"/>
  <c r="B102" i="41"/>
  <c r="L102" i="41"/>
  <c r="M102" i="41"/>
  <c r="N102" i="41"/>
  <c r="O102" i="41"/>
  <c r="P102" i="41" s="1"/>
  <c r="B103" i="41"/>
  <c r="L103" i="41"/>
  <c r="M103" i="41"/>
  <c r="N103" i="41"/>
  <c r="O103" i="41"/>
  <c r="B104" i="41"/>
  <c r="J104" i="41"/>
  <c r="L104" i="41"/>
  <c r="M104" i="41"/>
  <c r="N104" i="41"/>
  <c r="O104" i="41" s="1"/>
  <c r="B105" i="41"/>
  <c r="L105" i="41"/>
  <c r="M105" i="41"/>
  <c r="N105" i="41"/>
  <c r="O105" i="41" s="1"/>
  <c r="P105" i="41" s="1"/>
  <c r="M106" i="41"/>
  <c r="O106" i="41"/>
  <c r="M107" i="41"/>
  <c r="O107" i="41"/>
  <c r="M108" i="41"/>
  <c r="O108" i="41"/>
  <c r="M109" i="41"/>
  <c r="O109" i="41"/>
  <c r="M110" i="41"/>
  <c r="O110" i="41"/>
  <c r="M111" i="41"/>
  <c r="O111" i="41"/>
  <c r="M112" i="41"/>
  <c r="O112" i="41"/>
  <c r="M113" i="41"/>
  <c r="O113" i="41"/>
  <c r="M114" i="41"/>
  <c r="O114" i="41"/>
  <c r="M115" i="41"/>
  <c r="O115" i="41"/>
  <c r="M116" i="41"/>
  <c r="O116" i="41"/>
  <c r="M117" i="41"/>
  <c r="O117" i="41"/>
  <c r="M118" i="41"/>
  <c r="O118" i="41"/>
  <c r="M119" i="41"/>
  <c r="O119" i="41"/>
  <c r="M120" i="41"/>
  <c r="O120" i="41"/>
  <c r="M121" i="41"/>
  <c r="O121" i="41"/>
  <c r="M122" i="41"/>
  <c r="O122" i="41"/>
  <c r="M123" i="41"/>
  <c r="O123" i="41"/>
  <c r="M124" i="41"/>
  <c r="O124" i="41"/>
  <c r="M125" i="41"/>
  <c r="O125" i="41"/>
  <c r="M126" i="41"/>
  <c r="O126" i="41"/>
  <c r="M127" i="41"/>
  <c r="O127" i="41"/>
  <c r="M128" i="41"/>
  <c r="O128" i="41"/>
  <c r="M129" i="41"/>
  <c r="O129" i="41"/>
  <c r="P129" i="41" s="1"/>
  <c r="M130" i="41"/>
  <c r="O130" i="41"/>
  <c r="M131" i="41"/>
  <c r="O131" i="41"/>
  <c r="M132" i="41"/>
  <c r="O132" i="41"/>
  <c r="M133" i="41"/>
  <c r="O133" i="41"/>
  <c r="M134" i="41"/>
  <c r="O134" i="41"/>
  <c r="M135" i="41"/>
  <c r="O135" i="41"/>
  <c r="P135" i="41" s="1"/>
  <c r="M136" i="41"/>
  <c r="O136" i="41"/>
  <c r="M137" i="41"/>
  <c r="O137" i="41"/>
  <c r="P137" i="41" s="1"/>
  <c r="M138" i="41"/>
  <c r="O138" i="41"/>
  <c r="M139" i="41"/>
  <c r="O139" i="41"/>
  <c r="M140" i="41"/>
  <c r="O140" i="41"/>
  <c r="M141" i="41"/>
  <c r="O141" i="41"/>
  <c r="M142" i="41"/>
  <c r="O142" i="41"/>
  <c r="M143" i="41"/>
  <c r="O143" i="41"/>
  <c r="P143" i="41" s="1"/>
  <c r="M144" i="41"/>
  <c r="O144" i="41"/>
  <c r="M145" i="41"/>
  <c r="O145" i="41"/>
  <c r="P145" i="41" s="1"/>
  <c r="M146" i="41"/>
  <c r="O146" i="41"/>
  <c r="M147" i="41"/>
  <c r="O147" i="41"/>
  <c r="M148" i="41"/>
  <c r="O148" i="41"/>
  <c r="M149" i="41"/>
  <c r="O149" i="41"/>
  <c r="M150" i="41"/>
  <c r="O150" i="41"/>
  <c r="M151" i="41"/>
  <c r="O151" i="41"/>
  <c r="P151" i="41" s="1"/>
  <c r="M152" i="41"/>
  <c r="O152" i="41"/>
  <c r="M153" i="41"/>
  <c r="O153" i="41"/>
  <c r="P153" i="41" s="1"/>
  <c r="M154" i="41"/>
  <c r="O154" i="41"/>
  <c r="P1" i="39"/>
  <c r="P83" i="39" s="1"/>
  <c r="O3" i="39"/>
  <c r="D8" i="39"/>
  <c r="D90" i="39" s="1"/>
  <c r="K11" i="39"/>
  <c r="C17" i="39"/>
  <c r="C18" i="39"/>
  <c r="C19" i="39"/>
  <c r="C20" i="39" s="1"/>
  <c r="C21" i="39" s="1"/>
  <c r="C22" i="39" s="1"/>
  <c r="C23" i="39"/>
  <c r="C24" i="39" s="1"/>
  <c r="C25" i="39" s="1"/>
  <c r="C26" i="39" s="1"/>
  <c r="C27" i="39" s="1"/>
  <c r="C28" i="39" s="1"/>
  <c r="C29" i="39" s="1"/>
  <c r="C30" i="39" s="1"/>
  <c r="C31" i="39" s="1"/>
  <c r="C32" i="39" s="1"/>
  <c r="C33" i="39" s="1"/>
  <c r="C34" i="39" s="1"/>
  <c r="C35" i="39" s="1"/>
  <c r="C36" i="39" s="1"/>
  <c r="C37" i="39" s="1"/>
  <c r="C38" i="39" s="1"/>
  <c r="C39" i="39" s="1"/>
  <c r="C40" i="39" s="1"/>
  <c r="C41" i="39" s="1"/>
  <c r="C42" i="39" s="1"/>
  <c r="C43" i="39" s="1"/>
  <c r="C44" i="39" s="1"/>
  <c r="C45" i="39" s="1"/>
  <c r="C46" i="39" s="1"/>
  <c r="C47" i="39" s="1"/>
  <c r="C48" i="39" s="1"/>
  <c r="C49" i="39" s="1"/>
  <c r="C50" i="39" s="1"/>
  <c r="C51" i="39" s="1"/>
  <c r="C52" i="39" s="1"/>
  <c r="C53" i="39" s="1"/>
  <c r="C54" i="39" s="1"/>
  <c r="C55" i="39" s="1"/>
  <c r="C56" i="39" s="1"/>
  <c r="C57" i="39" s="1"/>
  <c r="C58" i="39" s="1"/>
  <c r="C59" i="39" s="1"/>
  <c r="C60" i="39" s="1"/>
  <c r="C61" i="39" s="1"/>
  <c r="C62" i="39" s="1"/>
  <c r="C63" i="39" s="1"/>
  <c r="C64" i="39" s="1"/>
  <c r="C65" i="39" s="1"/>
  <c r="C66" i="39" s="1"/>
  <c r="C67" i="39" s="1"/>
  <c r="C68" i="39" s="1"/>
  <c r="C69" i="39" s="1"/>
  <c r="C70" i="39" s="1"/>
  <c r="C71" i="39" s="1"/>
  <c r="C72" i="39" s="1"/>
  <c r="K17" i="39"/>
  <c r="L17" i="39" s="1"/>
  <c r="M17" i="39"/>
  <c r="N17" i="39" s="1"/>
  <c r="B18" i="39"/>
  <c r="K18" i="39"/>
  <c r="L18" i="39"/>
  <c r="M18" i="39"/>
  <c r="N18" i="39"/>
  <c r="B19" i="39"/>
  <c r="K19" i="39"/>
  <c r="L19" i="39" s="1"/>
  <c r="M19" i="39"/>
  <c r="N19" i="39" s="1"/>
  <c r="B20" i="39"/>
  <c r="K20" i="39"/>
  <c r="L20" i="39"/>
  <c r="M20" i="39"/>
  <c r="N20" i="39"/>
  <c r="O20" i="39" s="1"/>
  <c r="B21" i="39"/>
  <c r="K21" i="39"/>
  <c r="L21" i="39"/>
  <c r="M21" i="39"/>
  <c r="N21" i="39"/>
  <c r="B22" i="39"/>
  <c r="K22" i="39"/>
  <c r="L22" i="39"/>
  <c r="M22" i="39"/>
  <c r="N22" i="39"/>
  <c r="B23" i="39"/>
  <c r="I23" i="39"/>
  <c r="K23" i="39"/>
  <c r="L23" i="39"/>
  <c r="M23" i="39"/>
  <c r="N23" i="39"/>
  <c r="B24" i="39"/>
  <c r="K24" i="39"/>
  <c r="L24" i="39" s="1"/>
  <c r="M24" i="39"/>
  <c r="N24" i="39" s="1"/>
  <c r="B25" i="39"/>
  <c r="L26" i="39"/>
  <c r="N26" i="39"/>
  <c r="L27" i="39"/>
  <c r="N27" i="39"/>
  <c r="L28" i="39"/>
  <c r="N28" i="39"/>
  <c r="L29" i="39"/>
  <c r="N29" i="39"/>
  <c r="L30" i="39"/>
  <c r="N30" i="39"/>
  <c r="L31" i="39"/>
  <c r="N31" i="39"/>
  <c r="L32" i="39"/>
  <c r="N32" i="39"/>
  <c r="L33" i="39"/>
  <c r="N33" i="39"/>
  <c r="L34" i="39"/>
  <c r="N34" i="39"/>
  <c r="L35" i="39"/>
  <c r="N35" i="39"/>
  <c r="L36" i="39"/>
  <c r="N36" i="39"/>
  <c r="L37" i="39"/>
  <c r="N37" i="39"/>
  <c r="L38" i="39"/>
  <c r="N38" i="39"/>
  <c r="L39" i="39"/>
  <c r="N39" i="39"/>
  <c r="L40" i="39"/>
  <c r="N40" i="39"/>
  <c r="L41" i="39"/>
  <c r="N41" i="39"/>
  <c r="L42" i="39"/>
  <c r="N42" i="39"/>
  <c r="O42" i="39" s="1"/>
  <c r="L43" i="39"/>
  <c r="N43" i="39"/>
  <c r="L44" i="39"/>
  <c r="N44" i="39"/>
  <c r="L45" i="39"/>
  <c r="N45" i="39"/>
  <c r="O45" i="39" s="1"/>
  <c r="L46" i="39"/>
  <c r="N46" i="39"/>
  <c r="L47" i="39"/>
  <c r="N47" i="39"/>
  <c r="O47" i="39" s="1"/>
  <c r="L48" i="39"/>
  <c r="N48" i="39"/>
  <c r="L49" i="39"/>
  <c r="N49" i="39"/>
  <c r="L50" i="39"/>
  <c r="N50" i="39"/>
  <c r="L51" i="39"/>
  <c r="N51" i="39"/>
  <c r="O51" i="39" s="1"/>
  <c r="L52" i="39"/>
  <c r="N52" i="39"/>
  <c r="L53" i="39"/>
  <c r="N53" i="39"/>
  <c r="L54" i="39"/>
  <c r="N54" i="39"/>
  <c r="L55" i="39"/>
  <c r="N55" i="39"/>
  <c r="L56" i="39"/>
  <c r="N56" i="39"/>
  <c r="L57" i="39"/>
  <c r="N57" i="39"/>
  <c r="L58" i="39"/>
  <c r="N58" i="39"/>
  <c r="Q58" i="39"/>
  <c r="L59" i="39"/>
  <c r="N59" i="39"/>
  <c r="L60" i="39"/>
  <c r="N60" i="39"/>
  <c r="L61" i="39"/>
  <c r="N61" i="39"/>
  <c r="L62" i="39"/>
  <c r="N62" i="39"/>
  <c r="L63" i="39"/>
  <c r="N63" i="39"/>
  <c r="L64" i="39"/>
  <c r="N64" i="39"/>
  <c r="L65" i="39"/>
  <c r="N65" i="39"/>
  <c r="O65" i="39" s="1"/>
  <c r="L66" i="39"/>
  <c r="N66" i="39"/>
  <c r="O66" i="39" s="1"/>
  <c r="L67" i="39"/>
  <c r="N67" i="39"/>
  <c r="L68" i="39"/>
  <c r="N68" i="39"/>
  <c r="L69" i="39"/>
  <c r="N69" i="39"/>
  <c r="L70" i="39"/>
  <c r="N70" i="39"/>
  <c r="L71" i="39"/>
  <c r="N71" i="39"/>
  <c r="O71" i="39" s="1"/>
  <c r="L72" i="39"/>
  <c r="N72" i="39"/>
  <c r="D89" i="39"/>
  <c r="D91" i="39"/>
  <c r="J93" i="39"/>
  <c r="L93" i="39"/>
  <c r="D96" i="39"/>
  <c r="J99" i="39"/>
  <c r="L99" i="39"/>
  <c r="M99" i="39" s="1"/>
  <c r="N99" i="39"/>
  <c r="O99" i="39" s="1"/>
  <c r="B100" i="39"/>
  <c r="J100" i="39"/>
  <c r="L100" i="39"/>
  <c r="M100" i="39" s="1"/>
  <c r="N100" i="39"/>
  <c r="O100" i="39"/>
  <c r="B101" i="39"/>
  <c r="J101" i="39"/>
  <c r="L101" i="39"/>
  <c r="M101" i="39"/>
  <c r="N101" i="39"/>
  <c r="O101" i="39"/>
  <c r="B102" i="39"/>
  <c r="J102" i="39"/>
  <c r="L102" i="39"/>
  <c r="M102" i="39" s="1"/>
  <c r="N102" i="39"/>
  <c r="O102" i="39"/>
  <c r="B103" i="39"/>
  <c r="L103" i="39"/>
  <c r="M103" i="39" s="1"/>
  <c r="N103" i="39"/>
  <c r="O103" i="39" s="1"/>
  <c r="B104" i="39"/>
  <c r="J104" i="39"/>
  <c r="L104" i="39"/>
  <c r="M104" i="39" s="1"/>
  <c r="N104" i="39"/>
  <c r="O104" i="39" s="1"/>
  <c r="B105" i="39"/>
  <c r="L105" i="39"/>
  <c r="M105" i="39"/>
  <c r="N105" i="39"/>
  <c r="O105" i="39"/>
  <c r="D106" i="39"/>
  <c r="B106" i="39"/>
  <c r="M106" i="39"/>
  <c r="O106" i="39"/>
  <c r="M107" i="39"/>
  <c r="O107" i="39"/>
  <c r="M108" i="39"/>
  <c r="O108" i="39"/>
  <c r="M109" i="39"/>
  <c r="O109" i="39"/>
  <c r="P109" i="39" s="1"/>
  <c r="M110" i="39"/>
  <c r="O110" i="39"/>
  <c r="M111" i="39"/>
  <c r="O111" i="39"/>
  <c r="P111" i="39" s="1"/>
  <c r="M112" i="39"/>
  <c r="O112" i="39"/>
  <c r="P112" i="39" s="1"/>
  <c r="M113" i="39"/>
  <c r="O113" i="39"/>
  <c r="M114" i="39"/>
  <c r="O114" i="39"/>
  <c r="M115" i="39"/>
  <c r="O115" i="39"/>
  <c r="P115" i="39" s="1"/>
  <c r="M116" i="39"/>
  <c r="O116" i="39"/>
  <c r="M117" i="39"/>
  <c r="O117" i="39"/>
  <c r="M118" i="39"/>
  <c r="O118" i="39"/>
  <c r="P118" i="39" s="1"/>
  <c r="M119" i="39"/>
  <c r="O119" i="39"/>
  <c r="M120" i="39"/>
  <c r="O120" i="39"/>
  <c r="M121" i="39"/>
  <c r="O121" i="39"/>
  <c r="M122" i="39"/>
  <c r="O122" i="39"/>
  <c r="M123" i="39"/>
  <c r="O123" i="39"/>
  <c r="M124" i="39"/>
  <c r="O124" i="39"/>
  <c r="M125" i="39"/>
  <c r="O125" i="39"/>
  <c r="M126" i="39"/>
  <c r="O126" i="39"/>
  <c r="P126" i="39" s="1"/>
  <c r="M127" i="39"/>
  <c r="O127" i="39"/>
  <c r="M128" i="39"/>
  <c r="O128" i="39"/>
  <c r="M129" i="39"/>
  <c r="O129" i="39"/>
  <c r="M130" i="39"/>
  <c r="O130" i="39"/>
  <c r="M131" i="39"/>
  <c r="O131" i="39"/>
  <c r="M132" i="39"/>
  <c r="O132" i="39"/>
  <c r="M133" i="39"/>
  <c r="O133" i="39"/>
  <c r="P133" i="39" s="1"/>
  <c r="M134" i="39"/>
  <c r="O134" i="39"/>
  <c r="M135" i="39"/>
  <c r="O135" i="39"/>
  <c r="P135" i="39" s="1"/>
  <c r="M136" i="39"/>
  <c r="O136" i="39"/>
  <c r="M137" i="39"/>
  <c r="O137" i="39"/>
  <c r="M138" i="39"/>
  <c r="O138" i="39"/>
  <c r="M139" i="39"/>
  <c r="O139" i="39"/>
  <c r="M140" i="39"/>
  <c r="O140" i="39"/>
  <c r="M141" i="39"/>
  <c r="O141" i="39"/>
  <c r="M142" i="39"/>
  <c r="O142" i="39"/>
  <c r="M143" i="39"/>
  <c r="O143" i="39"/>
  <c r="M144" i="39"/>
  <c r="O144" i="39"/>
  <c r="M145" i="39"/>
  <c r="O145" i="39"/>
  <c r="M146" i="39"/>
  <c r="O146" i="39"/>
  <c r="M147" i="39"/>
  <c r="O147" i="39"/>
  <c r="M148" i="39"/>
  <c r="O148" i="39"/>
  <c r="M149" i="39"/>
  <c r="O149" i="39"/>
  <c r="M150" i="39"/>
  <c r="O150" i="39"/>
  <c r="M151" i="39"/>
  <c r="O151" i="39"/>
  <c r="P151" i="39" s="1"/>
  <c r="M152" i="39"/>
  <c r="O152" i="39"/>
  <c r="M153" i="39"/>
  <c r="O153" i="39"/>
  <c r="M154" i="39"/>
  <c r="O154" i="39"/>
  <c r="P1" i="35"/>
  <c r="P83" i="35" s="1"/>
  <c r="O3" i="35"/>
  <c r="K11" i="35"/>
  <c r="I14" i="35"/>
  <c r="C17" i="35"/>
  <c r="C18" i="35" s="1"/>
  <c r="C19" i="35" s="1"/>
  <c r="C20" i="35" s="1"/>
  <c r="C21" i="35" s="1"/>
  <c r="C22" i="35" s="1"/>
  <c r="C23" i="35" s="1"/>
  <c r="C24" i="35" s="1"/>
  <c r="C25" i="35" s="1"/>
  <c r="C26" i="35" s="1"/>
  <c r="C27" i="35" s="1"/>
  <c r="C28" i="35" s="1"/>
  <c r="C29" i="35" s="1"/>
  <c r="C30" i="35" s="1"/>
  <c r="C31" i="35" s="1"/>
  <c r="C32" i="35" s="1"/>
  <c r="C33" i="35" s="1"/>
  <c r="C34" i="35" s="1"/>
  <c r="C35" i="35" s="1"/>
  <c r="C36" i="35" s="1"/>
  <c r="C37" i="35" s="1"/>
  <c r="C38" i="35" s="1"/>
  <c r="C39" i="35" s="1"/>
  <c r="C40" i="35" s="1"/>
  <c r="C41" i="35" s="1"/>
  <c r="C42" i="35" s="1"/>
  <c r="C43" i="35" s="1"/>
  <c r="C44" i="35" s="1"/>
  <c r="C45" i="35" s="1"/>
  <c r="C46" i="35" s="1"/>
  <c r="C47" i="35" s="1"/>
  <c r="C48" i="35" s="1"/>
  <c r="C49" i="35" s="1"/>
  <c r="C50" i="35" s="1"/>
  <c r="C51" i="35" s="1"/>
  <c r="C52" i="35" s="1"/>
  <c r="C53" i="35" s="1"/>
  <c r="C54" i="35" s="1"/>
  <c r="C55" i="35" s="1"/>
  <c r="C56" i="35" s="1"/>
  <c r="C57" i="35" s="1"/>
  <c r="C58" i="35" s="1"/>
  <c r="C59" i="35" s="1"/>
  <c r="C60" i="35" s="1"/>
  <c r="C61" i="35" s="1"/>
  <c r="C62" i="35" s="1"/>
  <c r="C63" i="35" s="1"/>
  <c r="C64" i="35" s="1"/>
  <c r="C65" i="35" s="1"/>
  <c r="C66" i="35" s="1"/>
  <c r="C67" i="35" s="1"/>
  <c r="C68" i="35" s="1"/>
  <c r="C69" i="35" s="1"/>
  <c r="C70" i="35" s="1"/>
  <c r="C71" i="35" s="1"/>
  <c r="C72" i="35" s="1"/>
  <c r="I17" i="35"/>
  <c r="L17" i="35"/>
  <c r="N17" i="35"/>
  <c r="O17" i="35" s="1"/>
  <c r="B18" i="35"/>
  <c r="I18" i="35"/>
  <c r="L18" i="35"/>
  <c r="N18" i="35"/>
  <c r="O18" i="35" s="1"/>
  <c r="B19" i="35"/>
  <c r="K19" i="35"/>
  <c r="L19" i="35" s="1"/>
  <c r="M19" i="35"/>
  <c r="N19" i="35" s="1"/>
  <c r="B20" i="35"/>
  <c r="K20" i="35"/>
  <c r="L20" i="35"/>
  <c r="M20" i="35"/>
  <c r="N20" i="35"/>
  <c r="B21" i="35"/>
  <c r="L21" i="35"/>
  <c r="N21" i="35"/>
  <c r="L22" i="35"/>
  <c r="N22" i="35"/>
  <c r="L23" i="35"/>
  <c r="N23" i="35"/>
  <c r="L24" i="35"/>
  <c r="N24" i="35"/>
  <c r="L25" i="35"/>
  <c r="N25" i="35"/>
  <c r="L26" i="35"/>
  <c r="N26" i="35"/>
  <c r="L27" i="35"/>
  <c r="N27" i="35"/>
  <c r="O27" i="35" s="1"/>
  <c r="L28" i="35"/>
  <c r="N28" i="35"/>
  <c r="L29" i="35"/>
  <c r="N29" i="35"/>
  <c r="O29" i="35" s="1"/>
  <c r="L30" i="35"/>
  <c r="N30" i="35"/>
  <c r="L31" i="35"/>
  <c r="N31" i="35"/>
  <c r="L32" i="35"/>
  <c r="N32" i="35"/>
  <c r="L33" i="35"/>
  <c r="N33" i="35"/>
  <c r="L34" i="35"/>
  <c r="N34" i="35"/>
  <c r="L35" i="35"/>
  <c r="N35" i="35"/>
  <c r="O35" i="35" s="1"/>
  <c r="L36" i="35"/>
  <c r="N36" i="35"/>
  <c r="L37" i="35"/>
  <c r="N37" i="35"/>
  <c r="L38" i="35"/>
  <c r="N38" i="35"/>
  <c r="L39" i="35"/>
  <c r="N39" i="35"/>
  <c r="L40" i="35"/>
  <c r="N40" i="35"/>
  <c r="L41" i="35"/>
  <c r="N41" i="35"/>
  <c r="L42" i="35"/>
  <c r="N42" i="35"/>
  <c r="L43" i="35"/>
  <c r="N43" i="35"/>
  <c r="O43" i="35" s="1"/>
  <c r="L44" i="35"/>
  <c r="N44" i="35"/>
  <c r="L45" i="35"/>
  <c r="N45" i="35"/>
  <c r="O45" i="35" s="1"/>
  <c r="L46" i="35"/>
  <c r="N46" i="35"/>
  <c r="L47" i="35"/>
  <c r="N47" i="35"/>
  <c r="O47" i="35" s="1"/>
  <c r="L48" i="35"/>
  <c r="N48" i="35"/>
  <c r="L49" i="35"/>
  <c r="N49" i="35"/>
  <c r="L50" i="35"/>
  <c r="N50" i="35"/>
  <c r="L51" i="35"/>
  <c r="N51" i="35"/>
  <c r="L52" i="35"/>
  <c r="N52" i="35"/>
  <c r="L53" i="35"/>
  <c r="N53" i="35"/>
  <c r="O53" i="35" s="1"/>
  <c r="L54" i="35"/>
  <c r="N54" i="35"/>
  <c r="L55" i="35"/>
  <c r="N55" i="35"/>
  <c r="O55" i="35" s="1"/>
  <c r="L56" i="35"/>
  <c r="N56" i="35"/>
  <c r="L57" i="35"/>
  <c r="N57" i="35"/>
  <c r="L58" i="35"/>
  <c r="N58" i="35"/>
  <c r="Q58" i="35"/>
  <c r="L59" i="35"/>
  <c r="N59" i="35"/>
  <c r="L60" i="35"/>
  <c r="N60" i="35"/>
  <c r="L61" i="35"/>
  <c r="O61" i="35" s="1"/>
  <c r="N61" i="35"/>
  <c r="L62" i="35"/>
  <c r="N62" i="35"/>
  <c r="L63" i="35"/>
  <c r="N63" i="35"/>
  <c r="L64" i="35"/>
  <c r="N64" i="35"/>
  <c r="L65" i="35"/>
  <c r="O65" i="35" s="1"/>
  <c r="N65" i="35"/>
  <c r="L66" i="35"/>
  <c r="N66" i="35"/>
  <c r="L67" i="35"/>
  <c r="N67" i="35"/>
  <c r="L68" i="35"/>
  <c r="N68" i="35"/>
  <c r="L69" i="35"/>
  <c r="N69" i="35"/>
  <c r="L70" i="35"/>
  <c r="N70" i="35"/>
  <c r="O70" i="35" s="1"/>
  <c r="L71" i="35"/>
  <c r="N71" i="35"/>
  <c r="L72" i="35"/>
  <c r="N72" i="35"/>
  <c r="O87" i="35"/>
  <c r="D89" i="35"/>
  <c r="D90" i="35"/>
  <c r="D91" i="35"/>
  <c r="J93" i="35"/>
  <c r="L93" i="35"/>
  <c r="D96" i="35"/>
  <c r="J96" i="35"/>
  <c r="J99" i="35"/>
  <c r="M99" i="35"/>
  <c r="O99" i="35"/>
  <c r="P99" i="35" s="1"/>
  <c r="B100" i="35"/>
  <c r="J100" i="35"/>
  <c r="L100" i="35"/>
  <c r="M100" i="35" s="1"/>
  <c r="N100" i="35"/>
  <c r="O100" i="35"/>
  <c r="B101" i="35"/>
  <c r="M101" i="35"/>
  <c r="O101" i="35"/>
  <c r="M102" i="35"/>
  <c r="O102" i="35"/>
  <c r="P102" i="35" s="1"/>
  <c r="J103" i="35"/>
  <c r="L103" i="35"/>
  <c r="M103" i="35" s="1"/>
  <c r="N103" i="35"/>
  <c r="O103" i="35"/>
  <c r="B104" i="35"/>
  <c r="M104" i="35"/>
  <c r="O104" i="35"/>
  <c r="P104" i="35" s="1"/>
  <c r="M105" i="35"/>
  <c r="O105" i="35"/>
  <c r="M106" i="35"/>
  <c r="O106" i="35"/>
  <c r="P106" i="35" s="1"/>
  <c r="M107" i="35"/>
  <c r="O107" i="35"/>
  <c r="M108" i="35"/>
  <c r="O108" i="35"/>
  <c r="P108" i="35" s="1"/>
  <c r="M109" i="35"/>
  <c r="O109" i="35"/>
  <c r="M110" i="35"/>
  <c r="O110" i="35"/>
  <c r="M111" i="35"/>
  <c r="O111" i="35"/>
  <c r="M112" i="35"/>
  <c r="O112" i="35"/>
  <c r="P112" i="35" s="1"/>
  <c r="M113" i="35"/>
  <c r="O113" i="35"/>
  <c r="M114" i="35"/>
  <c r="O114" i="35"/>
  <c r="P114" i="35" s="1"/>
  <c r="M115" i="35"/>
  <c r="O115" i="35"/>
  <c r="M116" i="35"/>
  <c r="O116" i="35"/>
  <c r="M117" i="35"/>
  <c r="O117" i="35"/>
  <c r="M118" i="35"/>
  <c r="O118" i="35"/>
  <c r="M119" i="35"/>
  <c r="O119" i="35"/>
  <c r="M120" i="35"/>
  <c r="O120" i="35"/>
  <c r="M121" i="35"/>
  <c r="O121" i="35"/>
  <c r="M122" i="35"/>
  <c r="O122" i="35"/>
  <c r="P122" i="35" s="1"/>
  <c r="M123" i="35"/>
  <c r="O123" i="35"/>
  <c r="M124" i="35"/>
  <c r="O124" i="35"/>
  <c r="M125" i="35"/>
  <c r="O125" i="35"/>
  <c r="M126" i="35"/>
  <c r="O126" i="35"/>
  <c r="M127" i="35"/>
  <c r="O127" i="35"/>
  <c r="M128" i="35"/>
  <c r="O128" i="35"/>
  <c r="M129" i="35"/>
  <c r="O129" i="35"/>
  <c r="P129" i="35" s="1"/>
  <c r="M130" i="35"/>
  <c r="O130" i="35"/>
  <c r="M131" i="35"/>
  <c r="O131" i="35"/>
  <c r="M132" i="35"/>
  <c r="O132" i="35"/>
  <c r="M133" i="35"/>
  <c r="O133" i="35"/>
  <c r="M134" i="35"/>
  <c r="O134" i="35"/>
  <c r="M135" i="35"/>
  <c r="O135" i="35"/>
  <c r="M136" i="35"/>
  <c r="O136" i="35"/>
  <c r="M137" i="35"/>
  <c r="O137" i="35"/>
  <c r="M138" i="35"/>
  <c r="O138" i="35"/>
  <c r="M139" i="35"/>
  <c r="O139" i="35"/>
  <c r="M140" i="35"/>
  <c r="O140" i="35"/>
  <c r="M141" i="35"/>
  <c r="O141" i="35"/>
  <c r="M142" i="35"/>
  <c r="O142" i="35"/>
  <c r="M143" i="35"/>
  <c r="O143" i="35"/>
  <c r="P143" i="35" s="1"/>
  <c r="M144" i="35"/>
  <c r="O144" i="35"/>
  <c r="M145" i="35"/>
  <c r="O145" i="35"/>
  <c r="P145" i="35" s="1"/>
  <c r="M146" i="35"/>
  <c r="O146" i="35"/>
  <c r="M147" i="35"/>
  <c r="O147" i="35"/>
  <c r="M148" i="35"/>
  <c r="O148" i="35"/>
  <c r="M149" i="35"/>
  <c r="O149" i="35"/>
  <c r="P149" i="35" s="1"/>
  <c r="M150" i="35"/>
  <c r="O150" i="35"/>
  <c r="M151" i="35"/>
  <c r="O151" i="35"/>
  <c r="M152" i="35"/>
  <c r="O152" i="35"/>
  <c r="M153" i="35"/>
  <c r="O153" i="35"/>
  <c r="P153" i="35" s="1"/>
  <c r="M154" i="35"/>
  <c r="O154" i="35"/>
  <c r="P1" i="34"/>
  <c r="P83" i="34" s="1"/>
  <c r="O3" i="34"/>
  <c r="D8" i="34"/>
  <c r="D90" i="34" s="1"/>
  <c r="K11" i="34"/>
  <c r="C17" i="34"/>
  <c r="I17" i="34"/>
  <c r="L17" i="34"/>
  <c r="N17" i="34"/>
  <c r="B18" i="34"/>
  <c r="C18" i="34"/>
  <c r="C19" i="34" s="1"/>
  <c r="C20" i="34" s="1"/>
  <c r="C21" i="34" s="1"/>
  <c r="C22" i="34" s="1"/>
  <c r="C23" i="34" s="1"/>
  <c r="C24" i="34" s="1"/>
  <c r="C25" i="34" s="1"/>
  <c r="C26" i="34"/>
  <c r="C27" i="34" s="1"/>
  <c r="C28" i="34" s="1"/>
  <c r="C29" i="34" s="1"/>
  <c r="C30" i="34" s="1"/>
  <c r="C31" i="34" s="1"/>
  <c r="C32" i="34" s="1"/>
  <c r="C33" i="34" s="1"/>
  <c r="C34" i="34" s="1"/>
  <c r="C35" i="34" s="1"/>
  <c r="C36" i="34" s="1"/>
  <c r="C37" i="34" s="1"/>
  <c r="C38" i="34" s="1"/>
  <c r="C39" i="34" s="1"/>
  <c r="C40" i="34" s="1"/>
  <c r="C41" i="34" s="1"/>
  <c r="C42" i="34" s="1"/>
  <c r="C43" i="34" s="1"/>
  <c r="C44" i="34" s="1"/>
  <c r="C45" i="34" s="1"/>
  <c r="C46" i="34" s="1"/>
  <c r="C47" i="34" s="1"/>
  <c r="C48" i="34" s="1"/>
  <c r="C49" i="34" s="1"/>
  <c r="C50" i="34" s="1"/>
  <c r="C51" i="34" s="1"/>
  <c r="I18" i="34"/>
  <c r="L18" i="34"/>
  <c r="N18" i="34"/>
  <c r="O18" i="34" s="1"/>
  <c r="B19" i="34"/>
  <c r="K19" i="34"/>
  <c r="L19" i="34"/>
  <c r="M19" i="34"/>
  <c r="N19" i="34" s="1"/>
  <c r="B20" i="34"/>
  <c r="K20" i="34"/>
  <c r="L20" i="34" s="1"/>
  <c r="M20" i="34"/>
  <c r="N20" i="34" s="1"/>
  <c r="B21" i="34"/>
  <c r="K21" i="34"/>
  <c r="L21" i="34" s="1"/>
  <c r="M21" i="34"/>
  <c r="N21" i="34"/>
  <c r="B22" i="34"/>
  <c r="K22" i="34"/>
  <c r="L22" i="34" s="1"/>
  <c r="M22" i="34"/>
  <c r="N22" i="34" s="1"/>
  <c r="B23" i="34"/>
  <c r="K23" i="34"/>
  <c r="L23" i="34"/>
  <c r="M23" i="34"/>
  <c r="N23" i="34"/>
  <c r="B24" i="34"/>
  <c r="K24" i="34"/>
  <c r="L24" i="34" s="1"/>
  <c r="M24" i="34"/>
  <c r="N24" i="34" s="1"/>
  <c r="B25" i="34"/>
  <c r="I25" i="34"/>
  <c r="K25" i="34"/>
  <c r="L25" i="34" s="1"/>
  <c r="M25" i="34"/>
  <c r="N25" i="34" s="1"/>
  <c r="B26" i="34"/>
  <c r="K26" i="34"/>
  <c r="L26" i="34"/>
  <c r="M26" i="34"/>
  <c r="N26" i="34"/>
  <c r="B27" i="34"/>
  <c r="L28" i="34"/>
  <c r="N28" i="34"/>
  <c r="L29" i="34"/>
  <c r="N29" i="34"/>
  <c r="L30" i="34"/>
  <c r="N30" i="34"/>
  <c r="O30" i="34" s="1"/>
  <c r="L31" i="34"/>
  <c r="N31" i="34"/>
  <c r="L32" i="34"/>
  <c r="N32" i="34"/>
  <c r="L33" i="34"/>
  <c r="N33" i="34"/>
  <c r="L34" i="34"/>
  <c r="N34" i="34"/>
  <c r="L35" i="34"/>
  <c r="N35" i="34"/>
  <c r="L36" i="34"/>
  <c r="N36" i="34"/>
  <c r="L37" i="34"/>
  <c r="N37" i="34"/>
  <c r="L38" i="34"/>
  <c r="N38" i="34"/>
  <c r="L39" i="34"/>
  <c r="N39" i="34"/>
  <c r="L40" i="34"/>
  <c r="N40" i="34"/>
  <c r="L41" i="34"/>
  <c r="N41" i="34"/>
  <c r="L42" i="34"/>
  <c r="N42" i="34"/>
  <c r="O42" i="34" s="1"/>
  <c r="L43" i="34"/>
  <c r="N43" i="34"/>
  <c r="L44" i="34"/>
  <c r="N44" i="34"/>
  <c r="L45" i="34"/>
  <c r="N45" i="34"/>
  <c r="L46" i="34"/>
  <c r="N46" i="34"/>
  <c r="L47" i="34"/>
  <c r="N47" i="34"/>
  <c r="L48" i="34"/>
  <c r="N48" i="34"/>
  <c r="L49" i="34"/>
  <c r="N49" i="34"/>
  <c r="L50" i="34"/>
  <c r="N50" i="34"/>
  <c r="L51" i="34"/>
  <c r="N51" i="34"/>
  <c r="L52" i="34"/>
  <c r="N52" i="34"/>
  <c r="L53" i="34"/>
  <c r="N53" i="34"/>
  <c r="L54" i="34"/>
  <c r="N54" i="34"/>
  <c r="L55" i="34"/>
  <c r="N55" i="34"/>
  <c r="L56" i="34"/>
  <c r="N56" i="34"/>
  <c r="L57" i="34"/>
  <c r="N57" i="34"/>
  <c r="L58" i="34"/>
  <c r="N58" i="34"/>
  <c r="Q58" i="34"/>
  <c r="L59" i="34"/>
  <c r="N59" i="34"/>
  <c r="L60" i="34"/>
  <c r="N60" i="34"/>
  <c r="L61" i="34"/>
  <c r="N61" i="34"/>
  <c r="L62" i="34"/>
  <c r="N62" i="34"/>
  <c r="O62" i="34" s="1"/>
  <c r="L63" i="34"/>
  <c r="N63" i="34"/>
  <c r="L64" i="34"/>
  <c r="N64" i="34"/>
  <c r="L65" i="34"/>
  <c r="N65" i="34"/>
  <c r="L66" i="34"/>
  <c r="N66" i="34"/>
  <c r="L67" i="34"/>
  <c r="N67" i="34"/>
  <c r="L68" i="34"/>
  <c r="N68" i="34"/>
  <c r="L69" i="34"/>
  <c r="N69" i="34"/>
  <c r="L70" i="34"/>
  <c r="N70" i="34"/>
  <c r="L71" i="34"/>
  <c r="N71" i="34"/>
  <c r="L72" i="34"/>
  <c r="N72" i="34"/>
  <c r="D89" i="34"/>
  <c r="D91" i="34"/>
  <c r="J93" i="34"/>
  <c r="L93" i="34"/>
  <c r="D96" i="34"/>
  <c r="J99" i="34"/>
  <c r="M99" i="34"/>
  <c r="O99" i="34"/>
  <c r="P99" i="34" s="1"/>
  <c r="B100" i="34"/>
  <c r="J100" i="34"/>
  <c r="L100" i="34"/>
  <c r="M100" i="34" s="1"/>
  <c r="N100" i="34"/>
  <c r="O100" i="34"/>
  <c r="B101" i="34"/>
  <c r="J101" i="34"/>
  <c r="L101" i="34"/>
  <c r="M101" i="34"/>
  <c r="N101" i="34"/>
  <c r="O101" i="34" s="1"/>
  <c r="P101" i="34" s="1"/>
  <c r="B102" i="34"/>
  <c r="J102" i="34"/>
  <c r="L102" i="34"/>
  <c r="M102" i="34" s="1"/>
  <c r="N102" i="34"/>
  <c r="O102" i="34" s="1"/>
  <c r="B103" i="34"/>
  <c r="J103" i="34"/>
  <c r="L103" i="34"/>
  <c r="M103" i="34" s="1"/>
  <c r="N103" i="34"/>
  <c r="O103" i="34" s="1"/>
  <c r="D104" i="34"/>
  <c r="B104" i="34" s="1"/>
  <c r="L105" i="34"/>
  <c r="M105" i="34" s="1"/>
  <c r="N105" i="34"/>
  <c r="O105" i="34" s="1"/>
  <c r="B106" i="34"/>
  <c r="J106" i="34"/>
  <c r="L106" i="34"/>
  <c r="M106" i="34" s="1"/>
  <c r="N106" i="34"/>
  <c r="O106" i="34" s="1"/>
  <c r="B107" i="34"/>
  <c r="L107" i="34"/>
  <c r="M107" i="34"/>
  <c r="N107" i="34"/>
  <c r="O107" i="34"/>
  <c r="M108" i="34"/>
  <c r="O108" i="34"/>
  <c r="P108" i="34" s="1"/>
  <c r="M109" i="34"/>
  <c r="O109" i="34"/>
  <c r="M110" i="34"/>
  <c r="O110" i="34"/>
  <c r="M111" i="34"/>
  <c r="O111" i="34"/>
  <c r="M112" i="34"/>
  <c r="O112" i="34"/>
  <c r="P112" i="34" s="1"/>
  <c r="M113" i="34"/>
  <c r="O113" i="34"/>
  <c r="M114" i="34"/>
  <c r="O114" i="34"/>
  <c r="M115" i="34"/>
  <c r="O115" i="34"/>
  <c r="M116" i="34"/>
  <c r="O116" i="34"/>
  <c r="M117" i="34"/>
  <c r="O117" i="34"/>
  <c r="M118" i="34"/>
  <c r="O118" i="34"/>
  <c r="M119" i="34"/>
  <c r="O119" i="34"/>
  <c r="M120" i="34"/>
  <c r="O120" i="34"/>
  <c r="M121" i="34"/>
  <c r="O121" i="34"/>
  <c r="M122" i="34"/>
  <c r="P122" i="34" s="1"/>
  <c r="O122" i="34"/>
  <c r="M123" i="34"/>
  <c r="O123" i="34"/>
  <c r="M124" i="34"/>
  <c r="O124" i="34"/>
  <c r="M125" i="34"/>
  <c r="O125" i="34"/>
  <c r="M126" i="34"/>
  <c r="O126" i="34"/>
  <c r="M127" i="34"/>
  <c r="O127" i="34"/>
  <c r="M128" i="34"/>
  <c r="O128" i="34"/>
  <c r="P128" i="34" s="1"/>
  <c r="M129" i="34"/>
  <c r="O129" i="34"/>
  <c r="M130" i="34"/>
  <c r="O130" i="34"/>
  <c r="M131" i="34"/>
  <c r="O131" i="34"/>
  <c r="M132" i="34"/>
  <c r="O132" i="34"/>
  <c r="M133" i="34"/>
  <c r="O133" i="34"/>
  <c r="P133" i="34" s="1"/>
  <c r="M134" i="34"/>
  <c r="O134" i="34"/>
  <c r="M135" i="34"/>
  <c r="O135" i="34"/>
  <c r="P135" i="34" s="1"/>
  <c r="M136" i="34"/>
  <c r="O136" i="34"/>
  <c r="M137" i="34"/>
  <c r="O137" i="34"/>
  <c r="M138" i="34"/>
  <c r="O138" i="34"/>
  <c r="M139" i="34"/>
  <c r="O139" i="34"/>
  <c r="M140" i="34"/>
  <c r="O140" i="34"/>
  <c r="M141" i="34"/>
  <c r="O141" i="34"/>
  <c r="M142" i="34"/>
  <c r="O142" i="34"/>
  <c r="M143" i="34"/>
  <c r="O143" i="34"/>
  <c r="P143" i="34" s="1"/>
  <c r="M144" i="34"/>
  <c r="O144" i="34"/>
  <c r="M145" i="34"/>
  <c r="O145" i="34"/>
  <c r="M146" i="34"/>
  <c r="O146" i="34"/>
  <c r="M147" i="34"/>
  <c r="O147" i="34"/>
  <c r="M148" i="34"/>
  <c r="O148" i="34"/>
  <c r="M149" i="34"/>
  <c r="O149" i="34"/>
  <c r="M150" i="34"/>
  <c r="O150" i="34"/>
  <c r="P150" i="34" s="1"/>
  <c r="M151" i="34"/>
  <c r="O151" i="34"/>
  <c r="M152" i="34"/>
  <c r="O152" i="34"/>
  <c r="P152" i="34" s="1"/>
  <c r="M153" i="34"/>
  <c r="O153" i="34"/>
  <c r="M154" i="34"/>
  <c r="O154" i="34"/>
  <c r="P1" i="33"/>
  <c r="P83" i="33" s="1"/>
  <c r="O3" i="33"/>
  <c r="D8" i="33"/>
  <c r="D90" i="33"/>
  <c r="K11" i="33"/>
  <c r="I14" i="33"/>
  <c r="E17" i="33" s="1"/>
  <c r="C17" i="33"/>
  <c r="C18" i="33"/>
  <c r="C19" i="33"/>
  <c r="C20" i="33" s="1"/>
  <c r="C21" i="33" s="1"/>
  <c r="C22" i="33" s="1"/>
  <c r="C23" i="33"/>
  <c r="C24" i="33" s="1"/>
  <c r="C25" i="33" s="1"/>
  <c r="C26" i="33" s="1"/>
  <c r="C27" i="33" s="1"/>
  <c r="C28" i="33" s="1"/>
  <c r="C29" i="33" s="1"/>
  <c r="C30" i="33" s="1"/>
  <c r="C31" i="33" s="1"/>
  <c r="C32" i="33" s="1"/>
  <c r="C33" i="33" s="1"/>
  <c r="C34" i="33" s="1"/>
  <c r="C35" i="33" s="1"/>
  <c r="C36" i="33" s="1"/>
  <c r="C37" i="33" s="1"/>
  <c r="C38" i="33" s="1"/>
  <c r="C39" i="33" s="1"/>
  <c r="C40" i="33" s="1"/>
  <c r="C41" i="33" s="1"/>
  <c r="C42" i="33" s="1"/>
  <c r="C43" i="33" s="1"/>
  <c r="C44" i="33" s="1"/>
  <c r="C45" i="33" s="1"/>
  <c r="C46" i="33" s="1"/>
  <c r="C47" i="33" s="1"/>
  <c r="C48" i="33" s="1"/>
  <c r="C49" i="33" s="1"/>
  <c r="C50" i="33" s="1"/>
  <c r="C51" i="33" s="1"/>
  <c r="C52" i="33" s="1"/>
  <c r="C53" i="33" s="1"/>
  <c r="C54" i="33" s="1"/>
  <c r="C55" i="33" s="1"/>
  <c r="C56" i="33" s="1"/>
  <c r="C57" i="33" s="1"/>
  <c r="C58" i="33" s="1"/>
  <c r="C59" i="33" s="1"/>
  <c r="C60" i="33" s="1"/>
  <c r="C61" i="33" s="1"/>
  <c r="C62" i="33" s="1"/>
  <c r="C63" i="33" s="1"/>
  <c r="C64" i="33" s="1"/>
  <c r="C65" i="33" s="1"/>
  <c r="C66" i="33" s="1"/>
  <c r="C67" i="33" s="1"/>
  <c r="C68" i="33" s="1"/>
  <c r="C69" i="33" s="1"/>
  <c r="C70" i="33" s="1"/>
  <c r="C71" i="33" s="1"/>
  <c r="C72" i="33" s="1"/>
  <c r="D17" i="33"/>
  <c r="L17" i="33"/>
  <c r="N17" i="33"/>
  <c r="L18" i="33"/>
  <c r="N18" i="33"/>
  <c r="L19" i="33"/>
  <c r="N19" i="33"/>
  <c r="L20" i="33"/>
  <c r="N20" i="33"/>
  <c r="L21" i="33"/>
  <c r="N21" i="33"/>
  <c r="L22" i="33"/>
  <c r="N22" i="33"/>
  <c r="L23" i="33"/>
  <c r="N23" i="33"/>
  <c r="L24" i="33"/>
  <c r="N24" i="33"/>
  <c r="O24" i="33" s="1"/>
  <c r="L25" i="33"/>
  <c r="N25" i="33"/>
  <c r="L26" i="33"/>
  <c r="N26" i="33"/>
  <c r="L27" i="33"/>
  <c r="N27" i="33"/>
  <c r="L28" i="33"/>
  <c r="N28" i="33"/>
  <c r="O28" i="33" s="1"/>
  <c r="L29" i="33"/>
  <c r="N29" i="33"/>
  <c r="L30" i="33"/>
  <c r="N30" i="33"/>
  <c r="L31" i="33"/>
  <c r="N31" i="33"/>
  <c r="L32" i="33"/>
  <c r="N32" i="33"/>
  <c r="L33" i="33"/>
  <c r="N33" i="33"/>
  <c r="L34" i="33"/>
  <c r="N34" i="33"/>
  <c r="L35" i="33"/>
  <c r="N35" i="33"/>
  <c r="L36" i="33"/>
  <c r="N36" i="33"/>
  <c r="L37" i="33"/>
  <c r="N37" i="33"/>
  <c r="L38" i="33"/>
  <c r="N38" i="33"/>
  <c r="O38" i="33" s="1"/>
  <c r="L39" i="33"/>
  <c r="N39" i="33"/>
  <c r="L40" i="33"/>
  <c r="N40" i="33"/>
  <c r="L41" i="33"/>
  <c r="N41" i="33"/>
  <c r="L42" i="33"/>
  <c r="N42" i="33"/>
  <c r="O42" i="33" s="1"/>
  <c r="L43" i="33"/>
  <c r="N43" i="33"/>
  <c r="L44" i="33"/>
  <c r="N44" i="33"/>
  <c r="L45" i="33"/>
  <c r="N45" i="33"/>
  <c r="L46" i="33"/>
  <c r="N46" i="33"/>
  <c r="L47" i="33"/>
  <c r="N47" i="33"/>
  <c r="L48" i="33"/>
  <c r="N48" i="33"/>
  <c r="L49" i="33"/>
  <c r="N49" i="33"/>
  <c r="L50" i="33"/>
  <c r="N50" i="33"/>
  <c r="L51" i="33"/>
  <c r="O51" i="33" s="1"/>
  <c r="N51" i="33"/>
  <c r="L52" i="33"/>
  <c r="N52" i="33"/>
  <c r="L53" i="33"/>
  <c r="O53" i="33" s="1"/>
  <c r="N53" i="33"/>
  <c r="L54" i="33"/>
  <c r="O54" i="33" s="1"/>
  <c r="N54" i="33"/>
  <c r="L55" i="33"/>
  <c r="N55" i="33"/>
  <c r="L56" i="33"/>
  <c r="N56" i="33"/>
  <c r="L57" i="33"/>
  <c r="N57" i="33"/>
  <c r="L58" i="33"/>
  <c r="N58" i="33"/>
  <c r="Q58" i="33"/>
  <c r="L59" i="33"/>
  <c r="N59" i="33"/>
  <c r="L60" i="33"/>
  <c r="N60" i="33"/>
  <c r="L61" i="33"/>
  <c r="N61" i="33"/>
  <c r="L62" i="33"/>
  <c r="N62" i="33"/>
  <c r="L63" i="33"/>
  <c r="N63" i="33"/>
  <c r="L64" i="33"/>
  <c r="N64" i="33"/>
  <c r="L65" i="33"/>
  <c r="N65" i="33"/>
  <c r="L66" i="33"/>
  <c r="N66" i="33"/>
  <c r="L67" i="33"/>
  <c r="N67" i="33"/>
  <c r="L68" i="33"/>
  <c r="N68" i="33"/>
  <c r="L69" i="33"/>
  <c r="N69" i="33"/>
  <c r="O69" i="33" s="1"/>
  <c r="L70" i="33"/>
  <c r="N70" i="33"/>
  <c r="L71" i="33"/>
  <c r="N71" i="33"/>
  <c r="L72" i="33"/>
  <c r="N72" i="33"/>
  <c r="D89" i="33"/>
  <c r="D91" i="33"/>
  <c r="J93" i="33"/>
  <c r="L93" i="33"/>
  <c r="D96" i="33"/>
  <c r="M99" i="33"/>
  <c r="O99" i="33"/>
  <c r="M100" i="33"/>
  <c r="O100" i="33"/>
  <c r="M101" i="33"/>
  <c r="O101" i="33"/>
  <c r="M102" i="33"/>
  <c r="O102" i="33"/>
  <c r="P102" i="33" s="1"/>
  <c r="M103" i="33"/>
  <c r="O103" i="33"/>
  <c r="M104" i="33"/>
  <c r="O104" i="33"/>
  <c r="P104" i="33" s="1"/>
  <c r="M105" i="33"/>
  <c r="O105" i="33"/>
  <c r="M106" i="33"/>
  <c r="O106" i="33"/>
  <c r="M107" i="33"/>
  <c r="O107" i="33"/>
  <c r="M108" i="33"/>
  <c r="O108" i="33"/>
  <c r="M109" i="33"/>
  <c r="O109" i="33"/>
  <c r="M110" i="33"/>
  <c r="O110" i="33"/>
  <c r="M111" i="33"/>
  <c r="O111" i="33"/>
  <c r="M112" i="33"/>
  <c r="O112" i="33"/>
  <c r="M113" i="33"/>
  <c r="O113" i="33"/>
  <c r="M114" i="33"/>
  <c r="O114" i="33"/>
  <c r="M115" i="33"/>
  <c r="O115" i="33"/>
  <c r="M116" i="33"/>
  <c r="O116" i="33"/>
  <c r="M117" i="33"/>
  <c r="O117" i="33"/>
  <c r="M118" i="33"/>
  <c r="O118" i="33"/>
  <c r="M119" i="33"/>
  <c r="O119" i="33"/>
  <c r="M120" i="33"/>
  <c r="O120" i="33"/>
  <c r="P120" i="33" s="1"/>
  <c r="M121" i="33"/>
  <c r="O121" i="33"/>
  <c r="M122" i="33"/>
  <c r="O122" i="33"/>
  <c r="P122" i="33" s="1"/>
  <c r="M123" i="33"/>
  <c r="O123" i="33"/>
  <c r="M124" i="33"/>
  <c r="O124" i="33"/>
  <c r="M125" i="33"/>
  <c r="O125" i="33"/>
  <c r="M126" i="33"/>
  <c r="O126" i="33"/>
  <c r="M127" i="33"/>
  <c r="O127" i="33"/>
  <c r="M128" i="33"/>
  <c r="O128" i="33"/>
  <c r="M129" i="33"/>
  <c r="O129" i="33"/>
  <c r="M130" i="33"/>
  <c r="O130" i="33"/>
  <c r="M131" i="33"/>
  <c r="O131" i="33"/>
  <c r="M132" i="33"/>
  <c r="O132" i="33"/>
  <c r="M133" i="33"/>
  <c r="O133" i="33"/>
  <c r="M134" i="33"/>
  <c r="O134" i="33"/>
  <c r="M135" i="33"/>
  <c r="O135" i="33"/>
  <c r="M136" i="33"/>
  <c r="O136" i="33"/>
  <c r="M137" i="33"/>
  <c r="O137" i="33"/>
  <c r="M138" i="33"/>
  <c r="O138" i="33"/>
  <c r="M139" i="33"/>
  <c r="O139" i="33"/>
  <c r="M140" i="33"/>
  <c r="O140" i="33"/>
  <c r="P140" i="33" s="1"/>
  <c r="M141" i="33"/>
  <c r="O141" i="33"/>
  <c r="M142" i="33"/>
  <c r="O142" i="33"/>
  <c r="M143" i="33"/>
  <c r="O143" i="33"/>
  <c r="M144" i="33"/>
  <c r="O144" i="33"/>
  <c r="M145" i="33"/>
  <c r="O145" i="33"/>
  <c r="M146" i="33"/>
  <c r="O146" i="33"/>
  <c r="M147" i="33"/>
  <c r="O147" i="33"/>
  <c r="M148" i="33"/>
  <c r="O148" i="33"/>
  <c r="M149" i="33"/>
  <c r="O149" i="33"/>
  <c r="M150" i="33"/>
  <c r="O150" i="33"/>
  <c r="M151" i="33"/>
  <c r="O151" i="33"/>
  <c r="M152" i="33"/>
  <c r="O152" i="33"/>
  <c r="P152" i="33" s="1"/>
  <c r="M153" i="33"/>
  <c r="O153" i="33"/>
  <c r="M154" i="33"/>
  <c r="O154" i="33"/>
  <c r="P1" i="32"/>
  <c r="P83" i="32" s="1"/>
  <c r="O3" i="32"/>
  <c r="D8" i="32"/>
  <c r="D90" i="32" s="1"/>
  <c r="K11" i="32"/>
  <c r="C17" i="32"/>
  <c r="C18" i="32"/>
  <c r="C19" i="32" s="1"/>
  <c r="C20" i="32" s="1"/>
  <c r="C21" i="32" s="1"/>
  <c r="C22" i="32" s="1"/>
  <c r="C23" i="32" s="1"/>
  <c r="C24" i="32" s="1"/>
  <c r="C25" i="32" s="1"/>
  <c r="C26" i="32" s="1"/>
  <c r="C27" i="32" s="1"/>
  <c r="C28" i="32" s="1"/>
  <c r="C29" i="32" s="1"/>
  <c r="C30" i="32" s="1"/>
  <c r="C31" i="32" s="1"/>
  <c r="C32" i="32" s="1"/>
  <c r="C33" i="32" s="1"/>
  <c r="C34" i="32" s="1"/>
  <c r="C35" i="32" s="1"/>
  <c r="C36" i="32" s="1"/>
  <c r="C37" i="32" s="1"/>
  <c r="C38" i="32" s="1"/>
  <c r="C39" i="32" s="1"/>
  <c r="C40" i="32" s="1"/>
  <c r="C41" i="32" s="1"/>
  <c r="C42" i="32" s="1"/>
  <c r="C43" i="32" s="1"/>
  <c r="C44" i="32" s="1"/>
  <c r="I17" i="32"/>
  <c r="L17" i="32"/>
  <c r="N17" i="32"/>
  <c r="B18" i="32"/>
  <c r="I18" i="32"/>
  <c r="L18" i="32"/>
  <c r="N18" i="32"/>
  <c r="O18" i="32" s="1"/>
  <c r="B19" i="32"/>
  <c r="K19" i="32"/>
  <c r="L19" i="32" s="1"/>
  <c r="M19" i="32"/>
  <c r="N19" i="32"/>
  <c r="B20" i="32"/>
  <c r="K20" i="32"/>
  <c r="L20" i="32" s="1"/>
  <c r="M20" i="32"/>
  <c r="N20" i="32" s="1"/>
  <c r="B21" i="32"/>
  <c r="K21" i="32"/>
  <c r="L21" i="32" s="1"/>
  <c r="M21" i="32"/>
  <c r="N21" i="32" s="1"/>
  <c r="B22" i="32"/>
  <c r="K22" i="32"/>
  <c r="L22" i="32" s="1"/>
  <c r="M22" i="32"/>
  <c r="N22" i="32"/>
  <c r="B23" i="32"/>
  <c r="K23" i="32"/>
  <c r="L23" i="32" s="1"/>
  <c r="M23" i="32"/>
  <c r="N23" i="32" s="1"/>
  <c r="B24" i="32"/>
  <c r="K24" i="32"/>
  <c r="L24" i="32"/>
  <c r="M24" i="32"/>
  <c r="N24" i="32"/>
  <c r="B25" i="32"/>
  <c r="I25" i="32"/>
  <c r="K25" i="32"/>
  <c r="L25" i="32"/>
  <c r="M25" i="32"/>
  <c r="N25" i="32"/>
  <c r="B26" i="32"/>
  <c r="I26" i="32"/>
  <c r="K26" i="32"/>
  <c r="L26" i="32"/>
  <c r="M26" i="32"/>
  <c r="N26" i="32"/>
  <c r="B27" i="32"/>
  <c r="L28" i="32"/>
  <c r="N28" i="32"/>
  <c r="L29" i="32"/>
  <c r="N29" i="32"/>
  <c r="L30" i="32"/>
  <c r="N30" i="32"/>
  <c r="L31" i="32"/>
  <c r="N31" i="32"/>
  <c r="L32" i="32"/>
  <c r="N32" i="32"/>
  <c r="L33" i="32"/>
  <c r="N33" i="32"/>
  <c r="L34" i="32"/>
  <c r="N34" i="32"/>
  <c r="L35" i="32"/>
  <c r="N35" i="32"/>
  <c r="L36" i="32"/>
  <c r="N36" i="32"/>
  <c r="L37" i="32"/>
  <c r="N37" i="32"/>
  <c r="O37" i="32" s="1"/>
  <c r="L38" i="32"/>
  <c r="O38" i="32" s="1"/>
  <c r="N38" i="32"/>
  <c r="L39" i="32"/>
  <c r="N39" i="32"/>
  <c r="L40" i="32"/>
  <c r="O40" i="32" s="1"/>
  <c r="N40" i="32"/>
  <c r="L41" i="32"/>
  <c r="N41" i="32"/>
  <c r="L42" i="32"/>
  <c r="O42" i="32" s="1"/>
  <c r="N42" i="32"/>
  <c r="L43" i="32"/>
  <c r="N43" i="32"/>
  <c r="L44" i="32"/>
  <c r="N44" i="32"/>
  <c r="L45" i="32"/>
  <c r="N45" i="32"/>
  <c r="L46" i="32"/>
  <c r="N46" i="32"/>
  <c r="O46" i="32" s="1"/>
  <c r="L47" i="32"/>
  <c r="N47" i="32"/>
  <c r="L48" i="32"/>
  <c r="N48" i="32"/>
  <c r="L49" i="32"/>
  <c r="N49" i="32"/>
  <c r="L50" i="32"/>
  <c r="N50" i="32"/>
  <c r="O50" i="32" s="1"/>
  <c r="L51" i="32"/>
  <c r="N51" i="32"/>
  <c r="L52" i="32"/>
  <c r="N52" i="32"/>
  <c r="L53" i="32"/>
  <c r="N53" i="32"/>
  <c r="L54" i="32"/>
  <c r="N54" i="32"/>
  <c r="L55" i="32"/>
  <c r="N55" i="32"/>
  <c r="L56" i="32"/>
  <c r="N56" i="32"/>
  <c r="O56" i="32" s="1"/>
  <c r="L57" i="32"/>
  <c r="N57" i="32"/>
  <c r="L58" i="32"/>
  <c r="N58" i="32"/>
  <c r="Q58" i="32"/>
  <c r="L59" i="32"/>
  <c r="N59" i="32"/>
  <c r="L60" i="32"/>
  <c r="N60" i="32"/>
  <c r="L61" i="32"/>
  <c r="N61" i="32"/>
  <c r="L62" i="32"/>
  <c r="N62" i="32"/>
  <c r="L63" i="32"/>
  <c r="O63" i="32" s="1"/>
  <c r="N63" i="32"/>
  <c r="L64" i="32"/>
  <c r="N64" i="32"/>
  <c r="L65" i="32"/>
  <c r="N65" i="32"/>
  <c r="L66" i="32"/>
  <c r="N66" i="32"/>
  <c r="L67" i="32"/>
  <c r="N67" i="32"/>
  <c r="L68" i="32"/>
  <c r="N68" i="32"/>
  <c r="L69" i="32"/>
  <c r="N69" i="32"/>
  <c r="L70" i="32"/>
  <c r="N70" i="32"/>
  <c r="L71" i="32"/>
  <c r="N71" i="32"/>
  <c r="L72" i="32"/>
  <c r="N72" i="32"/>
  <c r="D89" i="32"/>
  <c r="D91" i="32"/>
  <c r="J93" i="32"/>
  <c r="L93" i="32"/>
  <c r="D96" i="32"/>
  <c r="J99" i="32"/>
  <c r="M99" i="32"/>
  <c r="O99" i="32"/>
  <c r="B100" i="32"/>
  <c r="J100" i="32"/>
  <c r="L100" i="32"/>
  <c r="M100" i="32"/>
  <c r="N100" i="32"/>
  <c r="O100" i="32" s="1"/>
  <c r="B101" i="32"/>
  <c r="J101" i="32"/>
  <c r="L101" i="32"/>
  <c r="M101" i="32" s="1"/>
  <c r="N101" i="32"/>
  <c r="O101" i="32"/>
  <c r="B102" i="32"/>
  <c r="J102" i="32"/>
  <c r="L102" i="32"/>
  <c r="M102" i="32" s="1"/>
  <c r="N102" i="32"/>
  <c r="O102" i="32"/>
  <c r="B103" i="32"/>
  <c r="J103" i="32"/>
  <c r="L103" i="32"/>
  <c r="M103" i="32" s="1"/>
  <c r="N103" i="32"/>
  <c r="O103" i="32"/>
  <c r="B104" i="32"/>
  <c r="L104" i="32"/>
  <c r="M104" i="32" s="1"/>
  <c r="N104" i="32"/>
  <c r="O104" i="32"/>
  <c r="B105" i="32"/>
  <c r="L105" i="32"/>
  <c r="M105" i="32"/>
  <c r="N105" i="32"/>
  <c r="O105" i="32"/>
  <c r="B106" i="32"/>
  <c r="J106" i="32"/>
  <c r="L106" i="32"/>
  <c r="M106" i="32" s="1"/>
  <c r="N106" i="32"/>
  <c r="O106" i="32"/>
  <c r="B107" i="32"/>
  <c r="L107" i="32"/>
  <c r="M107" i="32" s="1"/>
  <c r="N107" i="32"/>
  <c r="O107" i="32"/>
  <c r="D108" i="32"/>
  <c r="B108" i="32"/>
  <c r="M108" i="32"/>
  <c r="O108" i="32"/>
  <c r="M109" i="32"/>
  <c r="O109" i="32"/>
  <c r="M110" i="32"/>
  <c r="O110" i="32"/>
  <c r="M111" i="32"/>
  <c r="O111" i="32"/>
  <c r="P111" i="32" s="1"/>
  <c r="M112" i="32"/>
  <c r="O112" i="32"/>
  <c r="M113" i="32"/>
  <c r="O113" i="32"/>
  <c r="P113" i="32" s="1"/>
  <c r="M114" i="32"/>
  <c r="O114" i="32"/>
  <c r="M115" i="32"/>
  <c r="O115" i="32"/>
  <c r="M116" i="32"/>
  <c r="O116" i="32"/>
  <c r="M117" i="32"/>
  <c r="O117" i="32"/>
  <c r="M118" i="32"/>
  <c r="O118" i="32"/>
  <c r="M119" i="32"/>
  <c r="O119" i="32"/>
  <c r="M120" i="32"/>
  <c r="O120" i="32"/>
  <c r="M121" i="32"/>
  <c r="O121" i="32"/>
  <c r="P121" i="32" s="1"/>
  <c r="M122" i="32"/>
  <c r="O122" i="32"/>
  <c r="M123" i="32"/>
  <c r="O123" i="32"/>
  <c r="M124" i="32"/>
  <c r="O124" i="32"/>
  <c r="M125" i="32"/>
  <c r="O125" i="32"/>
  <c r="P125" i="32" s="1"/>
  <c r="M126" i="32"/>
  <c r="O126" i="32"/>
  <c r="M127" i="32"/>
  <c r="O127" i="32"/>
  <c r="P127" i="32"/>
  <c r="M128" i="32"/>
  <c r="O128" i="32"/>
  <c r="M129" i="32"/>
  <c r="O129" i="32"/>
  <c r="M130" i="32"/>
  <c r="O130" i="32"/>
  <c r="M131" i="32"/>
  <c r="O131" i="32"/>
  <c r="M132" i="32"/>
  <c r="O132" i="32"/>
  <c r="M133" i="32"/>
  <c r="O133" i="32"/>
  <c r="M134" i="32"/>
  <c r="O134" i="32"/>
  <c r="M135" i="32"/>
  <c r="O135" i="32"/>
  <c r="P135" i="32" s="1"/>
  <c r="M136" i="32"/>
  <c r="O136" i="32"/>
  <c r="M137" i="32"/>
  <c r="O137" i="32"/>
  <c r="M138" i="32"/>
  <c r="O138" i="32"/>
  <c r="M139" i="32"/>
  <c r="O139" i="32"/>
  <c r="P139" i="32" s="1"/>
  <c r="M140" i="32"/>
  <c r="O140" i="32"/>
  <c r="M141" i="32"/>
  <c r="O141" i="32"/>
  <c r="M142" i="32"/>
  <c r="O142" i="32"/>
  <c r="M143" i="32"/>
  <c r="O143" i="32"/>
  <c r="P143" i="32" s="1"/>
  <c r="M144" i="32"/>
  <c r="O144" i="32"/>
  <c r="M145" i="32"/>
  <c r="O145" i="32"/>
  <c r="M146" i="32"/>
  <c r="O146" i="32"/>
  <c r="M147" i="32"/>
  <c r="O147" i="32"/>
  <c r="P147" i="32" s="1"/>
  <c r="M148" i="32"/>
  <c r="O148" i="32"/>
  <c r="M149" i="32"/>
  <c r="O149" i="32"/>
  <c r="P149" i="32" s="1"/>
  <c r="M150" i="32"/>
  <c r="O150" i="32"/>
  <c r="M151" i="32"/>
  <c r="O151" i="32"/>
  <c r="M152" i="32"/>
  <c r="O152" i="32"/>
  <c r="P152" i="32" s="1"/>
  <c r="M153" i="32"/>
  <c r="O153" i="32"/>
  <c r="P153" i="32" s="1"/>
  <c r="M154" i="32"/>
  <c r="O154" i="32"/>
  <c r="P1" i="31"/>
  <c r="P83" i="31" s="1"/>
  <c r="O3" i="31"/>
  <c r="D8" i="31"/>
  <c r="D90" i="31"/>
  <c r="K11" i="31"/>
  <c r="C17" i="31"/>
  <c r="C18" i="31"/>
  <c r="C19" i="31" s="1"/>
  <c r="C20" i="31" s="1"/>
  <c r="C21" i="31" s="1"/>
  <c r="C22" i="31" s="1"/>
  <c r="C23" i="31" s="1"/>
  <c r="C24" i="31" s="1"/>
  <c r="C25" i="31" s="1"/>
  <c r="C26" i="31" s="1"/>
  <c r="C27" i="31" s="1"/>
  <c r="C28" i="31" s="1"/>
  <c r="C29" i="31" s="1"/>
  <c r="C30" i="31" s="1"/>
  <c r="C31" i="31" s="1"/>
  <c r="C32" i="31" s="1"/>
  <c r="C33" i="31" s="1"/>
  <c r="C34" i="31" s="1"/>
  <c r="C35" i="31" s="1"/>
  <c r="C36" i="31" s="1"/>
  <c r="C37" i="31" s="1"/>
  <c r="C38" i="31" s="1"/>
  <c r="C39" i="31" s="1"/>
  <c r="C40" i="31" s="1"/>
  <c r="C41" i="31" s="1"/>
  <c r="C42" i="31" s="1"/>
  <c r="C43" i="31" s="1"/>
  <c r="C44" i="31" s="1"/>
  <c r="C45" i="31" s="1"/>
  <c r="C46" i="31" s="1"/>
  <c r="C47" i="31" s="1"/>
  <c r="C48" i="31" s="1"/>
  <c r="C49" i="31" s="1"/>
  <c r="C50" i="31" s="1"/>
  <c r="C51" i="31" s="1"/>
  <c r="C52" i="31" s="1"/>
  <c r="C53" i="31" s="1"/>
  <c r="C54" i="31" s="1"/>
  <c r="C55" i="31" s="1"/>
  <c r="C56" i="31" s="1"/>
  <c r="C57" i="31" s="1"/>
  <c r="C58" i="31" s="1"/>
  <c r="C59" i="31" s="1"/>
  <c r="C60" i="31" s="1"/>
  <c r="C61" i="31" s="1"/>
  <c r="C62" i="31" s="1"/>
  <c r="C63" i="31" s="1"/>
  <c r="C64" i="31" s="1"/>
  <c r="C65" i="31" s="1"/>
  <c r="C66" i="31" s="1"/>
  <c r="C67" i="31" s="1"/>
  <c r="C68" i="31" s="1"/>
  <c r="C69" i="31" s="1"/>
  <c r="C70" i="31" s="1"/>
  <c r="C71" i="31" s="1"/>
  <c r="C72" i="31" s="1"/>
  <c r="I17" i="31"/>
  <c r="L17" i="31"/>
  <c r="O17" i="31" s="1"/>
  <c r="N17" i="31"/>
  <c r="B18" i="31"/>
  <c r="I18" i="31"/>
  <c r="L18" i="31"/>
  <c r="N18" i="31"/>
  <c r="O18" i="31" s="1"/>
  <c r="B19" i="31"/>
  <c r="K19" i="31"/>
  <c r="L19" i="31"/>
  <c r="M19" i="31"/>
  <c r="N19" i="31" s="1"/>
  <c r="B20" i="31"/>
  <c r="K20" i="31"/>
  <c r="L20" i="31" s="1"/>
  <c r="M20" i="31"/>
  <c r="N20" i="31" s="1"/>
  <c r="B21" i="31"/>
  <c r="K21" i="31"/>
  <c r="L21" i="31" s="1"/>
  <c r="M21" i="31"/>
  <c r="N21" i="31"/>
  <c r="B22" i="31"/>
  <c r="K22" i="31"/>
  <c r="L22" i="31" s="1"/>
  <c r="M22" i="31"/>
  <c r="N22" i="31"/>
  <c r="B23" i="31"/>
  <c r="K23" i="31"/>
  <c r="L23" i="31"/>
  <c r="M23" i="31"/>
  <c r="N23" i="31"/>
  <c r="B24" i="31"/>
  <c r="K24" i="31"/>
  <c r="L24" i="31"/>
  <c r="M24" i="31"/>
  <c r="N24" i="31"/>
  <c r="O24" i="31"/>
  <c r="B25" i="31"/>
  <c r="I25" i="31"/>
  <c r="K25" i="31"/>
  <c r="L25" i="31"/>
  <c r="M25" i="31"/>
  <c r="N25" i="31" s="1"/>
  <c r="O25" i="31" s="1"/>
  <c r="B26" i="31"/>
  <c r="K26" i="31"/>
  <c r="L26" i="31"/>
  <c r="M26" i="31"/>
  <c r="N26" i="31"/>
  <c r="B27" i="31"/>
  <c r="L28" i="31"/>
  <c r="N28" i="31"/>
  <c r="L29" i="31"/>
  <c r="N29" i="31"/>
  <c r="O29" i="31" s="1"/>
  <c r="L30" i="31"/>
  <c r="N30" i="31"/>
  <c r="L31" i="31"/>
  <c r="N31" i="31"/>
  <c r="L32" i="31"/>
  <c r="N32" i="31"/>
  <c r="L33" i="31"/>
  <c r="N33" i="31"/>
  <c r="O33" i="31" s="1"/>
  <c r="L34" i="31"/>
  <c r="N34" i="31"/>
  <c r="L35" i="31"/>
  <c r="N35" i="31"/>
  <c r="L36" i="31"/>
  <c r="N36" i="31"/>
  <c r="L37" i="31"/>
  <c r="N37" i="31"/>
  <c r="L38" i="31"/>
  <c r="N38" i="31"/>
  <c r="L39" i="31"/>
  <c r="N39" i="31"/>
  <c r="L40" i="31"/>
  <c r="N40" i="31"/>
  <c r="L41" i="31"/>
  <c r="N41" i="31"/>
  <c r="L42" i="31"/>
  <c r="N42" i="31"/>
  <c r="L43" i="31"/>
  <c r="N43" i="31"/>
  <c r="L44" i="31"/>
  <c r="N44" i="31"/>
  <c r="L45" i="31"/>
  <c r="N45" i="31"/>
  <c r="O45" i="31" s="1"/>
  <c r="L46" i="31"/>
  <c r="N46" i="31"/>
  <c r="L47" i="31"/>
  <c r="N47" i="31"/>
  <c r="O47" i="31" s="1"/>
  <c r="L48" i="31"/>
  <c r="N48" i="31"/>
  <c r="L49" i="31"/>
  <c r="N49" i="31"/>
  <c r="O49" i="31" s="1"/>
  <c r="L50" i="31"/>
  <c r="N50" i="31"/>
  <c r="L51" i="31"/>
  <c r="N51" i="31"/>
  <c r="O51" i="31" s="1"/>
  <c r="L52" i="31"/>
  <c r="N52" i="31"/>
  <c r="L53" i="31"/>
  <c r="N53" i="31"/>
  <c r="L54" i="31"/>
  <c r="N54" i="31"/>
  <c r="L55" i="31"/>
  <c r="N55" i="31"/>
  <c r="O55" i="31" s="1"/>
  <c r="L56" i="31"/>
  <c r="N56" i="31"/>
  <c r="L57" i="31"/>
  <c r="N57" i="31"/>
  <c r="L58" i="31"/>
  <c r="N58" i="31"/>
  <c r="Q58" i="31"/>
  <c r="L59" i="31"/>
  <c r="N59" i="31"/>
  <c r="L60" i="31"/>
  <c r="N60" i="31"/>
  <c r="L61" i="31"/>
  <c r="N61" i="31"/>
  <c r="L62" i="31"/>
  <c r="O62" i="31" s="1"/>
  <c r="N62" i="31"/>
  <c r="L63" i="31"/>
  <c r="N63" i="31"/>
  <c r="L64" i="31"/>
  <c r="N64" i="31"/>
  <c r="L65" i="31"/>
  <c r="N65" i="31"/>
  <c r="O65" i="31" s="1"/>
  <c r="L66" i="31"/>
  <c r="N66" i="31"/>
  <c r="O66" i="31" s="1"/>
  <c r="L67" i="31"/>
  <c r="N67" i="31"/>
  <c r="L68" i="31"/>
  <c r="N68" i="31"/>
  <c r="O68" i="31" s="1"/>
  <c r="L69" i="31"/>
  <c r="N69" i="31"/>
  <c r="L70" i="31"/>
  <c r="N70" i="31"/>
  <c r="O70" i="31" s="1"/>
  <c r="L71" i="31"/>
  <c r="N71" i="31"/>
  <c r="L72" i="31"/>
  <c r="N72" i="31"/>
  <c r="D89" i="31"/>
  <c r="D91" i="31"/>
  <c r="J93" i="31"/>
  <c r="L93" i="31"/>
  <c r="D96" i="31"/>
  <c r="J99" i="31"/>
  <c r="M99" i="31"/>
  <c r="P99" i="31" s="1"/>
  <c r="O99" i="31"/>
  <c r="B100" i="31"/>
  <c r="J100" i="31"/>
  <c r="L100" i="31"/>
  <c r="M100" i="31"/>
  <c r="N100" i="31"/>
  <c r="O100" i="31"/>
  <c r="B101" i="31"/>
  <c r="J101" i="31"/>
  <c r="L101" i="31"/>
  <c r="M101" i="31" s="1"/>
  <c r="N101" i="31"/>
  <c r="O101" i="31"/>
  <c r="B102" i="31"/>
  <c r="J102" i="31"/>
  <c r="L102" i="31"/>
  <c r="M102" i="31"/>
  <c r="N102" i="31"/>
  <c r="O102" i="31" s="1"/>
  <c r="B103" i="31"/>
  <c r="J103" i="31"/>
  <c r="L103" i="31"/>
  <c r="M103" i="31"/>
  <c r="N103" i="31"/>
  <c r="O103" i="31"/>
  <c r="B104" i="31"/>
  <c r="L104" i="31"/>
  <c r="M104" i="31"/>
  <c r="N104" i="31"/>
  <c r="O104" i="31" s="1"/>
  <c r="B105" i="31"/>
  <c r="L105" i="31"/>
  <c r="M105" i="31"/>
  <c r="N105" i="31"/>
  <c r="O105" i="31" s="1"/>
  <c r="B106" i="31"/>
  <c r="J106" i="31"/>
  <c r="L106" i="31"/>
  <c r="M106" i="31"/>
  <c r="N106" i="31"/>
  <c r="O106" i="31"/>
  <c r="B107" i="31"/>
  <c r="M107" i="31"/>
  <c r="O107" i="31"/>
  <c r="M108" i="31"/>
  <c r="O108" i="31"/>
  <c r="M109" i="31"/>
  <c r="O109" i="31"/>
  <c r="M110" i="31"/>
  <c r="O110" i="31"/>
  <c r="M111" i="31"/>
  <c r="O111" i="31"/>
  <c r="M112" i="31"/>
  <c r="O112" i="31"/>
  <c r="M113" i="31"/>
  <c r="O113" i="31"/>
  <c r="M114" i="31"/>
  <c r="O114" i="31"/>
  <c r="M115" i="31"/>
  <c r="O115" i="31"/>
  <c r="M116" i="31"/>
  <c r="O116" i="31"/>
  <c r="M117" i="31"/>
  <c r="O117" i="31"/>
  <c r="M118" i="31"/>
  <c r="O118" i="31"/>
  <c r="M119" i="31"/>
  <c r="O119" i="31"/>
  <c r="M120" i="31"/>
  <c r="O120" i="31"/>
  <c r="M121" i="31"/>
  <c r="O121" i="31"/>
  <c r="M122" i="31"/>
  <c r="O122" i="31"/>
  <c r="M123" i="31"/>
  <c r="O123" i="31"/>
  <c r="M124" i="31"/>
  <c r="O124" i="31"/>
  <c r="M125" i="31"/>
  <c r="O125" i="31"/>
  <c r="M126" i="31"/>
  <c r="O126" i="31"/>
  <c r="M127" i="31"/>
  <c r="O127" i="31"/>
  <c r="M128" i="31"/>
  <c r="O128" i="31"/>
  <c r="M129" i="31"/>
  <c r="O129" i="31"/>
  <c r="M130" i="31"/>
  <c r="O130" i="31"/>
  <c r="M131" i="31"/>
  <c r="O131" i="31"/>
  <c r="M132" i="31"/>
  <c r="O132" i="31"/>
  <c r="M133" i="31"/>
  <c r="O133" i="31"/>
  <c r="M134" i="31"/>
  <c r="O134" i="31"/>
  <c r="M135" i="31"/>
  <c r="O135" i="31"/>
  <c r="M136" i="31"/>
  <c r="O136" i="31"/>
  <c r="M137" i="31"/>
  <c r="O137" i="31"/>
  <c r="M138" i="31"/>
  <c r="O138" i="31"/>
  <c r="M139" i="31"/>
  <c r="O139" i="31"/>
  <c r="M140" i="31"/>
  <c r="O140" i="31"/>
  <c r="M141" i="31"/>
  <c r="O141" i="31"/>
  <c r="M142" i="31"/>
  <c r="O142" i="31"/>
  <c r="M143" i="31"/>
  <c r="O143" i="31"/>
  <c r="M144" i="31"/>
  <c r="O144" i="31"/>
  <c r="M145" i="31"/>
  <c r="O145" i="31"/>
  <c r="M146" i="31"/>
  <c r="O146" i="31"/>
  <c r="M147" i="31"/>
  <c r="O147" i="31"/>
  <c r="M148" i="31"/>
  <c r="O148" i="31"/>
  <c r="M149" i="31"/>
  <c r="O149" i="31"/>
  <c r="M150" i="31"/>
  <c r="O150" i="31"/>
  <c r="M151" i="31"/>
  <c r="O151" i="31"/>
  <c r="M152" i="31"/>
  <c r="O152" i="31"/>
  <c r="M153" i="31"/>
  <c r="O153" i="31"/>
  <c r="P153" i="31" s="1"/>
  <c r="M154" i="31"/>
  <c r="O154" i="31"/>
  <c r="P1" i="30"/>
  <c r="P83" i="30" s="1"/>
  <c r="O3" i="30"/>
  <c r="D8" i="30"/>
  <c r="K11" i="30"/>
  <c r="C17" i="30"/>
  <c r="C18" i="30" s="1"/>
  <c r="C19" i="30" s="1"/>
  <c r="C20" i="30" s="1"/>
  <c r="C21" i="30" s="1"/>
  <c r="C22" i="30" s="1"/>
  <c r="C23" i="30" s="1"/>
  <c r="C24" i="30" s="1"/>
  <c r="C25" i="30" s="1"/>
  <c r="C26" i="30" s="1"/>
  <c r="C27" i="30" s="1"/>
  <c r="C28" i="30" s="1"/>
  <c r="C29" i="30" s="1"/>
  <c r="C30" i="30" s="1"/>
  <c r="C31" i="30" s="1"/>
  <c r="C32" i="30" s="1"/>
  <c r="C33" i="30" s="1"/>
  <c r="C34" i="30" s="1"/>
  <c r="C35" i="30" s="1"/>
  <c r="C36" i="30" s="1"/>
  <c r="C37" i="30" s="1"/>
  <c r="C38" i="30" s="1"/>
  <c r="C39" i="30" s="1"/>
  <c r="C40" i="30" s="1"/>
  <c r="C41" i="30" s="1"/>
  <c r="C42" i="30" s="1"/>
  <c r="C43" i="30" s="1"/>
  <c r="C44" i="30" s="1"/>
  <c r="C45" i="30" s="1"/>
  <c r="C46" i="30" s="1"/>
  <c r="C47" i="30" s="1"/>
  <c r="C48" i="30" s="1"/>
  <c r="C49" i="30" s="1"/>
  <c r="C50" i="30" s="1"/>
  <c r="C51" i="30" s="1"/>
  <c r="C52" i="30" s="1"/>
  <c r="C53" i="30" s="1"/>
  <c r="C54" i="30" s="1"/>
  <c r="C55" i="30" s="1"/>
  <c r="C56" i="30" s="1"/>
  <c r="C57" i="30" s="1"/>
  <c r="C58" i="30" s="1"/>
  <c r="C59" i="30" s="1"/>
  <c r="C60" i="30" s="1"/>
  <c r="C61" i="30" s="1"/>
  <c r="C62" i="30" s="1"/>
  <c r="C63" i="30" s="1"/>
  <c r="C64" i="30" s="1"/>
  <c r="C65" i="30" s="1"/>
  <c r="C66" i="30" s="1"/>
  <c r="C67" i="30" s="1"/>
  <c r="C68" i="30" s="1"/>
  <c r="C69" i="30" s="1"/>
  <c r="C70" i="30" s="1"/>
  <c r="C71" i="30" s="1"/>
  <c r="C72" i="30" s="1"/>
  <c r="I17" i="30"/>
  <c r="L17" i="30"/>
  <c r="N17" i="30"/>
  <c r="O17" i="30" s="1"/>
  <c r="B18" i="30"/>
  <c r="I18" i="30"/>
  <c r="L18" i="30"/>
  <c r="N18" i="30"/>
  <c r="O18" i="30"/>
  <c r="B19" i="30"/>
  <c r="I19" i="30"/>
  <c r="L19" i="30"/>
  <c r="N19" i="30"/>
  <c r="O19" i="30" s="1"/>
  <c r="B20" i="30"/>
  <c r="K20" i="30"/>
  <c r="L20" i="30"/>
  <c r="M20" i="30"/>
  <c r="N20" i="30"/>
  <c r="B21" i="30"/>
  <c r="K21" i="30"/>
  <c r="L21" i="30" s="1"/>
  <c r="M21" i="30"/>
  <c r="N21" i="30" s="1"/>
  <c r="B22" i="30"/>
  <c r="K22" i="30"/>
  <c r="L22" i="30"/>
  <c r="M22" i="30"/>
  <c r="N22" i="30"/>
  <c r="B23" i="30"/>
  <c r="K23" i="30"/>
  <c r="L23" i="30" s="1"/>
  <c r="M23" i="30"/>
  <c r="N23" i="30" s="1"/>
  <c r="O23" i="30" s="1"/>
  <c r="B24" i="30"/>
  <c r="K24" i="30"/>
  <c r="L24" i="30" s="1"/>
  <c r="M24" i="30"/>
  <c r="N24" i="30" s="1"/>
  <c r="B25" i="30"/>
  <c r="K25" i="30"/>
  <c r="L25" i="30"/>
  <c r="M25" i="30"/>
  <c r="N25" i="30"/>
  <c r="O25" i="30" s="1"/>
  <c r="B26" i="30"/>
  <c r="I26" i="30"/>
  <c r="K26" i="30"/>
  <c r="L26" i="30" s="1"/>
  <c r="M26" i="30"/>
  <c r="N26" i="30"/>
  <c r="B27" i="30"/>
  <c r="K27" i="30"/>
  <c r="L27" i="30"/>
  <c r="M27" i="30"/>
  <c r="N27" i="30"/>
  <c r="O27" i="30" s="1"/>
  <c r="B28" i="30"/>
  <c r="L29" i="30"/>
  <c r="N29" i="30"/>
  <c r="L30" i="30"/>
  <c r="N30" i="30"/>
  <c r="L31" i="30"/>
  <c r="N31" i="30"/>
  <c r="L32" i="30"/>
  <c r="N32" i="30"/>
  <c r="L33" i="30"/>
  <c r="N33" i="30"/>
  <c r="L34" i="30"/>
  <c r="N34" i="30"/>
  <c r="L35" i="30"/>
  <c r="N35" i="30"/>
  <c r="L36" i="30"/>
  <c r="N36" i="30"/>
  <c r="L37" i="30"/>
  <c r="N37" i="30"/>
  <c r="L38" i="30"/>
  <c r="N38" i="30"/>
  <c r="L39" i="30"/>
  <c r="N39" i="30"/>
  <c r="L40" i="30"/>
  <c r="N40" i="30"/>
  <c r="L41" i="30"/>
  <c r="N41" i="30"/>
  <c r="L42" i="30"/>
  <c r="N42" i="30"/>
  <c r="L43" i="30"/>
  <c r="N43" i="30"/>
  <c r="L44" i="30"/>
  <c r="N44" i="30"/>
  <c r="L45" i="30"/>
  <c r="N45" i="30"/>
  <c r="L46" i="30"/>
  <c r="N46" i="30"/>
  <c r="L47" i="30"/>
  <c r="N47" i="30"/>
  <c r="L48" i="30"/>
  <c r="N48" i="30"/>
  <c r="L49" i="30"/>
  <c r="N49" i="30"/>
  <c r="L50" i="30"/>
  <c r="N50" i="30"/>
  <c r="L51" i="30"/>
  <c r="O51" i="30" s="1"/>
  <c r="N51" i="30"/>
  <c r="L52" i="30"/>
  <c r="N52" i="30"/>
  <c r="L53" i="30"/>
  <c r="N53" i="30"/>
  <c r="L54" i="30"/>
  <c r="N54" i="30"/>
  <c r="L55" i="30"/>
  <c r="O55" i="30" s="1"/>
  <c r="N55" i="30"/>
  <c r="L56" i="30"/>
  <c r="N56" i="30"/>
  <c r="L57" i="30"/>
  <c r="N57" i="30"/>
  <c r="L58" i="30"/>
  <c r="N58" i="30"/>
  <c r="Q58" i="30"/>
  <c r="L59" i="30"/>
  <c r="N59" i="30"/>
  <c r="L60" i="30"/>
  <c r="N60" i="30"/>
  <c r="L61" i="30"/>
  <c r="N61" i="30"/>
  <c r="L62" i="30"/>
  <c r="N62" i="30"/>
  <c r="L63" i="30"/>
  <c r="N63" i="30"/>
  <c r="L64" i="30"/>
  <c r="N64" i="30"/>
  <c r="O64" i="30" s="1"/>
  <c r="L65" i="30"/>
  <c r="N65" i="30"/>
  <c r="L66" i="30"/>
  <c r="N66" i="30"/>
  <c r="L67" i="30"/>
  <c r="N67" i="30"/>
  <c r="L68" i="30"/>
  <c r="N68" i="30"/>
  <c r="L69" i="30"/>
  <c r="N69" i="30"/>
  <c r="L70" i="30"/>
  <c r="N70" i="30"/>
  <c r="O70" i="30" s="1"/>
  <c r="L71" i="30"/>
  <c r="N71" i="30"/>
  <c r="L72" i="30"/>
  <c r="N72" i="30"/>
  <c r="D89" i="30"/>
  <c r="D90" i="30"/>
  <c r="D91" i="30"/>
  <c r="J93" i="30"/>
  <c r="L93" i="30"/>
  <c r="D96" i="30"/>
  <c r="J99" i="30"/>
  <c r="M99" i="30"/>
  <c r="O99" i="30"/>
  <c r="B100" i="30"/>
  <c r="J100" i="30"/>
  <c r="M100" i="30"/>
  <c r="P100" i="30" s="1"/>
  <c r="O100" i="30"/>
  <c r="B101" i="30"/>
  <c r="J101" i="30"/>
  <c r="L101" i="30"/>
  <c r="M101" i="30"/>
  <c r="N101" i="30"/>
  <c r="O101" i="30"/>
  <c r="P101" i="30" s="1"/>
  <c r="B102" i="30"/>
  <c r="J102" i="30"/>
  <c r="L102" i="30"/>
  <c r="M102" i="30" s="1"/>
  <c r="N102" i="30"/>
  <c r="O102" i="30" s="1"/>
  <c r="B103" i="30"/>
  <c r="J103" i="30"/>
  <c r="L103" i="30"/>
  <c r="M103" i="30"/>
  <c r="N103" i="30"/>
  <c r="O103" i="30" s="1"/>
  <c r="B104" i="30"/>
  <c r="J104" i="30"/>
  <c r="L104" i="30"/>
  <c r="M104" i="30" s="1"/>
  <c r="N104" i="30"/>
  <c r="O104" i="30"/>
  <c r="B105" i="30"/>
  <c r="L105" i="30"/>
  <c r="M105" i="30"/>
  <c r="N105" i="30"/>
  <c r="O105" i="30"/>
  <c r="P105" i="30" s="1"/>
  <c r="B106" i="30"/>
  <c r="L106" i="30"/>
  <c r="M106" i="30"/>
  <c r="N106" i="30"/>
  <c r="O106" i="30" s="1"/>
  <c r="P106" i="30" s="1"/>
  <c r="B107" i="30"/>
  <c r="J107" i="30"/>
  <c r="L107" i="30"/>
  <c r="M107" i="30"/>
  <c r="N107" i="30"/>
  <c r="O107" i="30" s="1"/>
  <c r="B108" i="30"/>
  <c r="L108" i="30"/>
  <c r="M108" i="30"/>
  <c r="N108" i="30"/>
  <c r="O108" i="30"/>
  <c r="M109" i="30"/>
  <c r="O109" i="30"/>
  <c r="M110" i="30"/>
  <c r="O110" i="30"/>
  <c r="P110" i="30" s="1"/>
  <c r="M111" i="30"/>
  <c r="O111" i="30"/>
  <c r="M112" i="30"/>
  <c r="O112" i="30"/>
  <c r="M113" i="30"/>
  <c r="O113" i="30"/>
  <c r="M114" i="30"/>
  <c r="O114" i="30"/>
  <c r="P114" i="30" s="1"/>
  <c r="M115" i="30"/>
  <c r="O115" i="30"/>
  <c r="M116" i="30"/>
  <c r="O116" i="30"/>
  <c r="P116" i="30" s="1"/>
  <c r="M117" i="30"/>
  <c r="O117" i="30"/>
  <c r="M118" i="30"/>
  <c r="O118" i="30"/>
  <c r="M119" i="30"/>
  <c r="O119" i="30"/>
  <c r="M120" i="30"/>
  <c r="O120" i="30"/>
  <c r="M121" i="30"/>
  <c r="O121" i="30"/>
  <c r="M122" i="30"/>
  <c r="O122" i="30"/>
  <c r="P122" i="30" s="1"/>
  <c r="M123" i="30"/>
  <c r="O123" i="30"/>
  <c r="M124" i="30"/>
  <c r="O124" i="30"/>
  <c r="P124" i="30" s="1"/>
  <c r="M125" i="30"/>
  <c r="O125" i="30"/>
  <c r="M126" i="30"/>
  <c r="O126" i="30"/>
  <c r="P126" i="30" s="1"/>
  <c r="M127" i="30"/>
  <c r="O127" i="30"/>
  <c r="M128" i="30"/>
  <c r="O128" i="30"/>
  <c r="P128" i="30" s="1"/>
  <c r="M129" i="30"/>
  <c r="O129" i="30"/>
  <c r="M130" i="30"/>
  <c r="O130" i="30"/>
  <c r="P130" i="30" s="1"/>
  <c r="M131" i="30"/>
  <c r="O131" i="30"/>
  <c r="M132" i="30"/>
  <c r="O132" i="30"/>
  <c r="M133" i="30"/>
  <c r="O133" i="30"/>
  <c r="M134" i="30"/>
  <c r="O134" i="30"/>
  <c r="P134" i="30" s="1"/>
  <c r="M135" i="30"/>
  <c r="O135" i="30"/>
  <c r="M136" i="30"/>
  <c r="O136" i="30"/>
  <c r="M137" i="30"/>
  <c r="O137" i="30"/>
  <c r="M138" i="30"/>
  <c r="O138" i="30"/>
  <c r="P138" i="30" s="1"/>
  <c r="M139" i="30"/>
  <c r="O139" i="30"/>
  <c r="M140" i="30"/>
  <c r="O140" i="30"/>
  <c r="M141" i="30"/>
  <c r="O141" i="30"/>
  <c r="M142" i="30"/>
  <c r="O142" i="30"/>
  <c r="M143" i="30"/>
  <c r="O143" i="30"/>
  <c r="P143" i="30" s="1"/>
  <c r="M144" i="30"/>
  <c r="P144" i="30" s="1"/>
  <c r="O144" i="30"/>
  <c r="M145" i="30"/>
  <c r="O145" i="30"/>
  <c r="M146" i="30"/>
  <c r="O146" i="30"/>
  <c r="M147" i="30"/>
  <c r="O147" i="30"/>
  <c r="M148" i="30"/>
  <c r="O148" i="30"/>
  <c r="M149" i="30"/>
  <c r="O149" i="30"/>
  <c r="M150" i="30"/>
  <c r="O150" i="30"/>
  <c r="M151" i="30"/>
  <c r="O151" i="30"/>
  <c r="M152" i="30"/>
  <c r="P152" i="30" s="1"/>
  <c r="O152" i="30"/>
  <c r="M153" i="30"/>
  <c r="O153" i="30"/>
  <c r="M154" i="30"/>
  <c r="O154" i="30"/>
  <c r="P1" i="29"/>
  <c r="P83" i="29" s="1"/>
  <c r="O3" i="29"/>
  <c r="D8" i="29"/>
  <c r="D90" i="29" s="1"/>
  <c r="K11" i="29"/>
  <c r="C17" i="29"/>
  <c r="C18" i="29" s="1"/>
  <c r="C19" i="29" s="1"/>
  <c r="C20" i="29" s="1"/>
  <c r="C21" i="29" s="1"/>
  <c r="C22" i="29" s="1"/>
  <c r="C23" i="29" s="1"/>
  <c r="C24" i="29" s="1"/>
  <c r="C25" i="29" s="1"/>
  <c r="C26" i="29" s="1"/>
  <c r="C27" i="29" s="1"/>
  <c r="C28" i="29" s="1"/>
  <c r="C29" i="29" s="1"/>
  <c r="C30" i="29" s="1"/>
  <c r="C31" i="29" s="1"/>
  <c r="C32" i="29" s="1"/>
  <c r="C33" i="29" s="1"/>
  <c r="C34" i="29" s="1"/>
  <c r="C35" i="29" s="1"/>
  <c r="C36" i="29" s="1"/>
  <c r="C37" i="29" s="1"/>
  <c r="C38" i="29" s="1"/>
  <c r="C39" i="29" s="1"/>
  <c r="C40" i="29" s="1"/>
  <c r="C41" i="29" s="1"/>
  <c r="C42" i="29" s="1"/>
  <c r="C43" i="29" s="1"/>
  <c r="C44" i="29" s="1"/>
  <c r="I17" i="29"/>
  <c r="L17" i="29"/>
  <c r="N17" i="29"/>
  <c r="B18" i="29"/>
  <c r="I18" i="29"/>
  <c r="L18" i="29"/>
  <c r="N18" i="29"/>
  <c r="O18" i="29" s="1"/>
  <c r="B19" i="29"/>
  <c r="I19" i="29"/>
  <c r="L19" i="29"/>
  <c r="O19" i="29" s="1"/>
  <c r="N19" i="29"/>
  <c r="B20" i="29"/>
  <c r="K20" i="29"/>
  <c r="L20" i="29" s="1"/>
  <c r="M20" i="29"/>
  <c r="N20" i="29" s="1"/>
  <c r="O20" i="29" s="1"/>
  <c r="B21" i="29"/>
  <c r="K21" i="29"/>
  <c r="L21" i="29" s="1"/>
  <c r="M21" i="29"/>
  <c r="N21" i="29" s="1"/>
  <c r="B22" i="29"/>
  <c r="K22" i="29"/>
  <c r="L22" i="29" s="1"/>
  <c r="M22" i="29"/>
  <c r="N22" i="29"/>
  <c r="B23" i="29"/>
  <c r="K23" i="29"/>
  <c r="L23" i="29" s="1"/>
  <c r="M23" i="29"/>
  <c r="N23" i="29" s="1"/>
  <c r="B24" i="29"/>
  <c r="K24" i="29"/>
  <c r="L24" i="29" s="1"/>
  <c r="M24" i="29"/>
  <c r="N24" i="29" s="1"/>
  <c r="B25" i="29"/>
  <c r="K25" i="29"/>
  <c r="L25" i="29" s="1"/>
  <c r="M25" i="29"/>
  <c r="N25" i="29" s="1"/>
  <c r="O25" i="29" s="1"/>
  <c r="B26" i="29"/>
  <c r="I26" i="29"/>
  <c r="K26" i="29"/>
  <c r="L26" i="29" s="1"/>
  <c r="M26" i="29"/>
  <c r="N26" i="29"/>
  <c r="B27" i="29"/>
  <c r="K27" i="29"/>
  <c r="L27" i="29" s="1"/>
  <c r="M27" i="29"/>
  <c r="N27" i="29" s="1"/>
  <c r="B28" i="29"/>
  <c r="L29" i="29"/>
  <c r="N29" i="29"/>
  <c r="L30" i="29"/>
  <c r="N30" i="29"/>
  <c r="L31" i="29"/>
  <c r="N31" i="29"/>
  <c r="L32" i="29"/>
  <c r="N32" i="29"/>
  <c r="L33" i="29"/>
  <c r="N33" i="29"/>
  <c r="L34" i="29"/>
  <c r="O34" i="29" s="1"/>
  <c r="N34" i="29"/>
  <c r="L35" i="29"/>
  <c r="N35" i="29"/>
  <c r="L36" i="29"/>
  <c r="O36" i="29" s="1"/>
  <c r="N36" i="29"/>
  <c r="L37" i="29"/>
  <c r="N37" i="29"/>
  <c r="L38" i="29"/>
  <c r="O38" i="29" s="1"/>
  <c r="N38" i="29"/>
  <c r="L39" i="29"/>
  <c r="N39" i="29"/>
  <c r="L40" i="29"/>
  <c r="O40" i="29" s="1"/>
  <c r="N40" i="29"/>
  <c r="L41" i="29"/>
  <c r="N41" i="29"/>
  <c r="L42" i="29"/>
  <c r="N42" i="29"/>
  <c r="L43" i="29"/>
  <c r="N43" i="29"/>
  <c r="L44" i="29"/>
  <c r="N44" i="29"/>
  <c r="L45" i="29"/>
  <c r="N45" i="29"/>
  <c r="L46" i="29"/>
  <c r="N46" i="29"/>
  <c r="L47" i="29"/>
  <c r="N47" i="29"/>
  <c r="L48" i="29"/>
  <c r="O48" i="29" s="1"/>
  <c r="N48" i="29"/>
  <c r="L49" i="29"/>
  <c r="N49" i="29"/>
  <c r="L50" i="29"/>
  <c r="N50" i="29"/>
  <c r="L51" i="29"/>
  <c r="N51" i="29"/>
  <c r="L52" i="29"/>
  <c r="N52" i="29"/>
  <c r="L53" i="29"/>
  <c r="N53" i="29"/>
  <c r="L54" i="29"/>
  <c r="N54" i="29"/>
  <c r="L55" i="29"/>
  <c r="N55" i="29"/>
  <c r="L56" i="29"/>
  <c r="N56" i="29"/>
  <c r="L57" i="29"/>
  <c r="N57" i="29"/>
  <c r="L58" i="29"/>
  <c r="N58" i="29"/>
  <c r="Q58" i="29"/>
  <c r="L59" i="29"/>
  <c r="N59" i="29"/>
  <c r="L60" i="29"/>
  <c r="N60" i="29"/>
  <c r="O60" i="29" s="1"/>
  <c r="L61" i="29"/>
  <c r="N61" i="29"/>
  <c r="L62" i="29"/>
  <c r="N62" i="29"/>
  <c r="O62" i="29" s="1"/>
  <c r="L63" i="29"/>
  <c r="N63" i="29"/>
  <c r="L64" i="29"/>
  <c r="N64" i="29"/>
  <c r="L65" i="29"/>
  <c r="N65" i="29"/>
  <c r="L66" i="29"/>
  <c r="N66" i="29"/>
  <c r="L67" i="29"/>
  <c r="N67" i="29"/>
  <c r="L68" i="29"/>
  <c r="N68" i="29"/>
  <c r="L69" i="29"/>
  <c r="N69" i="29"/>
  <c r="L70" i="29"/>
  <c r="N70" i="29"/>
  <c r="O70" i="29" s="1"/>
  <c r="L71" i="29"/>
  <c r="N71" i="29"/>
  <c r="L72" i="29"/>
  <c r="N72" i="29"/>
  <c r="O72" i="29" s="1"/>
  <c r="D89" i="29"/>
  <c r="D91" i="29"/>
  <c r="J93" i="29"/>
  <c r="L93" i="29"/>
  <c r="D96" i="29"/>
  <c r="J99" i="29"/>
  <c r="M99" i="29"/>
  <c r="O99" i="29"/>
  <c r="W99" i="29"/>
  <c r="B100" i="29"/>
  <c r="J100" i="29"/>
  <c r="M100" i="29"/>
  <c r="O100" i="29"/>
  <c r="W100" i="29"/>
  <c r="B101" i="29"/>
  <c r="J101" i="29"/>
  <c r="L101" i="29"/>
  <c r="M101" i="29"/>
  <c r="N101" i="29"/>
  <c r="O101" i="29" s="1"/>
  <c r="B102" i="29"/>
  <c r="J102" i="29"/>
  <c r="L102" i="29"/>
  <c r="M102" i="29" s="1"/>
  <c r="N102" i="29"/>
  <c r="O102" i="29" s="1"/>
  <c r="B103" i="29"/>
  <c r="J103" i="29"/>
  <c r="L103" i="29"/>
  <c r="M103" i="29" s="1"/>
  <c r="P103" i="29" s="1"/>
  <c r="N103" i="29"/>
  <c r="O103" i="29" s="1"/>
  <c r="B104" i="29"/>
  <c r="J104" i="29"/>
  <c r="L104" i="29"/>
  <c r="M104" i="29" s="1"/>
  <c r="N104" i="29"/>
  <c r="O104" i="29"/>
  <c r="B105" i="29"/>
  <c r="L105" i="29"/>
  <c r="M105" i="29" s="1"/>
  <c r="N105" i="29"/>
  <c r="O105" i="29" s="1"/>
  <c r="B106" i="29"/>
  <c r="L106" i="29"/>
  <c r="M106" i="29" s="1"/>
  <c r="N106" i="29"/>
  <c r="O106" i="29" s="1"/>
  <c r="B107" i="29"/>
  <c r="J107" i="29"/>
  <c r="L107" i="29"/>
  <c r="M107" i="29"/>
  <c r="N107" i="29"/>
  <c r="O107" i="29"/>
  <c r="B108" i="29"/>
  <c r="L108" i="29"/>
  <c r="M108" i="29"/>
  <c r="N108" i="29"/>
  <c r="O108" i="29" s="1"/>
  <c r="D109" i="29"/>
  <c r="B109" i="29" s="1"/>
  <c r="M109" i="29"/>
  <c r="O109" i="29"/>
  <c r="M110" i="29"/>
  <c r="O110" i="29"/>
  <c r="M111" i="29"/>
  <c r="O111" i="29"/>
  <c r="M112" i="29"/>
  <c r="O112" i="29"/>
  <c r="M113" i="29"/>
  <c r="O113" i="29"/>
  <c r="M114" i="29"/>
  <c r="O114" i="29"/>
  <c r="M115" i="29"/>
  <c r="O115" i="29"/>
  <c r="P115" i="29" s="1"/>
  <c r="M116" i="29"/>
  <c r="O116" i="29"/>
  <c r="M117" i="29"/>
  <c r="O117" i="29"/>
  <c r="M118" i="29"/>
  <c r="O118" i="29"/>
  <c r="M119" i="29"/>
  <c r="O119" i="29"/>
  <c r="M120" i="29"/>
  <c r="O120" i="29"/>
  <c r="M121" i="29"/>
  <c r="P121" i="29" s="1"/>
  <c r="O121" i="29"/>
  <c r="M122" i="29"/>
  <c r="O122" i="29"/>
  <c r="M123" i="29"/>
  <c r="O123" i="29"/>
  <c r="M124" i="29"/>
  <c r="O124" i="29"/>
  <c r="M125" i="29"/>
  <c r="O125" i="29"/>
  <c r="M126" i="29"/>
  <c r="O126" i="29"/>
  <c r="M127" i="29"/>
  <c r="O127" i="29"/>
  <c r="P127" i="29" s="1"/>
  <c r="M128" i="29"/>
  <c r="O128" i="29"/>
  <c r="M129" i="29"/>
  <c r="O129" i="29"/>
  <c r="M130" i="29"/>
  <c r="O130" i="29"/>
  <c r="M131" i="29"/>
  <c r="O131" i="29"/>
  <c r="P131" i="29" s="1"/>
  <c r="M132" i="29"/>
  <c r="O132" i="29"/>
  <c r="M133" i="29"/>
  <c r="O133" i="29"/>
  <c r="M134" i="29"/>
  <c r="O134" i="29"/>
  <c r="M135" i="29"/>
  <c r="O135" i="29"/>
  <c r="M136" i="29"/>
  <c r="O136" i="29"/>
  <c r="M137" i="29"/>
  <c r="O137" i="29"/>
  <c r="M138" i="29"/>
  <c r="O138" i="29"/>
  <c r="M139" i="29"/>
  <c r="O139" i="29"/>
  <c r="M140" i="29"/>
  <c r="O140" i="29"/>
  <c r="M141" i="29"/>
  <c r="O141" i="29"/>
  <c r="M142" i="29"/>
  <c r="O142" i="29"/>
  <c r="M143" i="29"/>
  <c r="O143" i="29"/>
  <c r="M144" i="29"/>
  <c r="O144" i="29"/>
  <c r="M145" i="29"/>
  <c r="O145" i="29"/>
  <c r="M146" i="29"/>
  <c r="O146" i="29"/>
  <c r="M147" i="29"/>
  <c r="O147" i="29"/>
  <c r="M148" i="29"/>
  <c r="O148" i="29"/>
  <c r="M149" i="29"/>
  <c r="O149" i="29"/>
  <c r="M150" i="29"/>
  <c r="O150" i="29"/>
  <c r="M151" i="29"/>
  <c r="O151" i="29"/>
  <c r="M152" i="29"/>
  <c r="O152" i="29"/>
  <c r="M153" i="29"/>
  <c r="O153" i="29"/>
  <c r="M154" i="29"/>
  <c r="P154" i="29"/>
  <c r="O154" i="29"/>
  <c r="P1" i="28"/>
  <c r="P83" i="28" s="1"/>
  <c r="O3" i="28"/>
  <c r="D8" i="28"/>
  <c r="D90" i="28" s="1"/>
  <c r="K11" i="28"/>
  <c r="C17" i="28"/>
  <c r="I17" i="28"/>
  <c r="L17" i="28"/>
  <c r="N17" i="28"/>
  <c r="C18" i="28"/>
  <c r="C19" i="28" s="1"/>
  <c r="C20" i="28" s="1"/>
  <c r="C21" i="28" s="1"/>
  <c r="C22" i="28" s="1"/>
  <c r="C23" i="28"/>
  <c r="C24" i="28" s="1"/>
  <c r="C25" i="28" s="1"/>
  <c r="C26" i="28" s="1"/>
  <c r="C27" i="28" s="1"/>
  <c r="C28" i="28" s="1"/>
  <c r="C29" i="28" s="1"/>
  <c r="C30" i="28" s="1"/>
  <c r="C31" i="28" s="1"/>
  <c r="C32" i="28" s="1"/>
  <c r="C33" i="28" s="1"/>
  <c r="C34" i="28" s="1"/>
  <c r="C35" i="28" s="1"/>
  <c r="C36" i="28" s="1"/>
  <c r="C37" i="28" s="1"/>
  <c r="C38" i="28" s="1"/>
  <c r="C39" i="28" s="1"/>
  <c r="C40" i="28" s="1"/>
  <c r="C41" i="28" s="1"/>
  <c r="C42" i="28" s="1"/>
  <c r="C43" i="28" s="1"/>
  <c r="C44" i="28" s="1"/>
  <c r="C45" i="28" s="1"/>
  <c r="C46" i="28" s="1"/>
  <c r="C47" i="28" s="1"/>
  <c r="C48" i="28" s="1"/>
  <c r="C49" i="28" s="1"/>
  <c r="C50" i="28" s="1"/>
  <c r="C51" i="28" s="1"/>
  <c r="C52" i="28" s="1"/>
  <c r="C53" i="28" s="1"/>
  <c r="C54" i="28" s="1"/>
  <c r="C55" i="28" s="1"/>
  <c r="C56" i="28" s="1"/>
  <c r="C57" i="28" s="1"/>
  <c r="C58" i="28" s="1"/>
  <c r="C59" i="28" s="1"/>
  <c r="C60" i="28" s="1"/>
  <c r="C61" i="28" s="1"/>
  <c r="C62" i="28" s="1"/>
  <c r="C63" i="28" s="1"/>
  <c r="C64" i="28" s="1"/>
  <c r="C65" i="28" s="1"/>
  <c r="C66" i="28" s="1"/>
  <c r="C67" i="28" s="1"/>
  <c r="C68" i="28" s="1"/>
  <c r="C69" i="28" s="1"/>
  <c r="C70" i="28" s="1"/>
  <c r="C71" i="28" s="1"/>
  <c r="C72" i="28" s="1"/>
  <c r="D18" i="28"/>
  <c r="B18" i="28" s="1"/>
  <c r="I18" i="28"/>
  <c r="L18" i="28"/>
  <c r="O18" i="28"/>
  <c r="N18" i="28"/>
  <c r="B19" i="28"/>
  <c r="I19" i="28"/>
  <c r="L19" i="28"/>
  <c r="M19" i="28"/>
  <c r="N19" i="28" s="1"/>
  <c r="O19" i="28" s="1"/>
  <c r="B20" i="28"/>
  <c r="I20" i="28"/>
  <c r="L20" i="28"/>
  <c r="N20" i="28"/>
  <c r="B21" i="28"/>
  <c r="K21" i="28"/>
  <c r="L21" i="28" s="1"/>
  <c r="M21" i="28"/>
  <c r="N21" i="28"/>
  <c r="B22" i="28"/>
  <c r="K22" i="28"/>
  <c r="L22" i="28"/>
  <c r="M22" i="28"/>
  <c r="N22" i="28" s="1"/>
  <c r="O22" i="28" s="1"/>
  <c r="B23" i="28"/>
  <c r="K23" i="28"/>
  <c r="L23" i="28"/>
  <c r="M23" i="28"/>
  <c r="N23" i="28"/>
  <c r="B24" i="28"/>
  <c r="K24" i="28"/>
  <c r="L24" i="28" s="1"/>
  <c r="M24" i="28"/>
  <c r="N24" i="28" s="1"/>
  <c r="B25" i="28"/>
  <c r="K25" i="28"/>
  <c r="L25" i="28"/>
  <c r="M25" i="28"/>
  <c r="N25" i="28" s="1"/>
  <c r="O25" i="28" s="1"/>
  <c r="B26" i="28"/>
  <c r="K26" i="28"/>
  <c r="L26" i="28"/>
  <c r="M26" i="28"/>
  <c r="N26" i="28"/>
  <c r="B27" i="28"/>
  <c r="I27" i="28"/>
  <c r="K27" i="28"/>
  <c r="L27" i="28"/>
  <c r="M27" i="28"/>
  <c r="N27" i="28" s="1"/>
  <c r="O27" i="28" s="1"/>
  <c r="B28" i="28"/>
  <c r="K28" i="28"/>
  <c r="L28" i="28" s="1"/>
  <c r="M28" i="28"/>
  <c r="N28" i="28"/>
  <c r="B29" i="28"/>
  <c r="L30" i="28"/>
  <c r="N30" i="28"/>
  <c r="L31" i="28"/>
  <c r="N31" i="28"/>
  <c r="L32" i="28"/>
  <c r="N32" i="28"/>
  <c r="L33" i="28"/>
  <c r="N33" i="28"/>
  <c r="L34" i="28"/>
  <c r="N34" i="28"/>
  <c r="O34" i="28" s="1"/>
  <c r="L35" i="28"/>
  <c r="N35" i="28"/>
  <c r="L36" i="28"/>
  <c r="N36" i="28"/>
  <c r="L37" i="28"/>
  <c r="N37" i="28"/>
  <c r="L38" i="28"/>
  <c r="N38" i="28"/>
  <c r="L39" i="28"/>
  <c r="N39" i="28"/>
  <c r="L40" i="28"/>
  <c r="N40" i="28"/>
  <c r="O40" i="28" s="1"/>
  <c r="L41" i="28"/>
  <c r="N41" i="28"/>
  <c r="L42" i="28"/>
  <c r="N42" i="28"/>
  <c r="L43" i="28"/>
  <c r="N43" i="28"/>
  <c r="L44" i="28"/>
  <c r="N44" i="28"/>
  <c r="L45" i="28"/>
  <c r="N45" i="28"/>
  <c r="L46" i="28"/>
  <c r="N46" i="28"/>
  <c r="L47" i="28"/>
  <c r="N47" i="28"/>
  <c r="O47" i="28" s="1"/>
  <c r="L48" i="28"/>
  <c r="N48" i="28"/>
  <c r="L49" i="28"/>
  <c r="N49" i="28"/>
  <c r="O49" i="28" s="1"/>
  <c r="L50" i="28"/>
  <c r="N50" i="28"/>
  <c r="L51" i="28"/>
  <c r="N51" i="28"/>
  <c r="L52" i="28"/>
  <c r="N52" i="28"/>
  <c r="L53" i="28"/>
  <c r="N53" i="28"/>
  <c r="O53" i="28" s="1"/>
  <c r="L54" i="28"/>
  <c r="N54" i="28"/>
  <c r="L55" i="28"/>
  <c r="N55" i="28"/>
  <c r="L56" i="28"/>
  <c r="N56" i="28"/>
  <c r="L57" i="28"/>
  <c r="N57" i="28"/>
  <c r="L58" i="28"/>
  <c r="N58" i="28"/>
  <c r="Q58" i="28"/>
  <c r="L59" i="28"/>
  <c r="N59" i="28"/>
  <c r="L60" i="28"/>
  <c r="N60" i="28"/>
  <c r="L61" i="28"/>
  <c r="O61" i="28" s="1"/>
  <c r="N61" i="28"/>
  <c r="L62" i="28"/>
  <c r="N62" i="28"/>
  <c r="L63" i="28"/>
  <c r="N63" i="28"/>
  <c r="L64" i="28"/>
  <c r="N64" i="28"/>
  <c r="L65" i="28"/>
  <c r="N65" i="28"/>
  <c r="L66" i="28"/>
  <c r="N66" i="28"/>
  <c r="L67" i="28"/>
  <c r="N67" i="28"/>
  <c r="L68" i="28"/>
  <c r="N68" i="28"/>
  <c r="L69" i="28"/>
  <c r="N69" i="28"/>
  <c r="L70" i="28"/>
  <c r="N70" i="28"/>
  <c r="L71" i="28"/>
  <c r="N71" i="28"/>
  <c r="L72" i="28"/>
  <c r="N72" i="28"/>
  <c r="D89" i="28"/>
  <c r="D91" i="28"/>
  <c r="J92" i="28"/>
  <c r="J93" i="28"/>
  <c r="L93" i="28"/>
  <c r="D96" i="28"/>
  <c r="J99" i="28"/>
  <c r="L99" i="28"/>
  <c r="M99" i="28" s="1"/>
  <c r="P99" i="28" s="1"/>
  <c r="N99" i="28"/>
  <c r="O99" i="28"/>
  <c r="B100" i="28"/>
  <c r="J100" i="28"/>
  <c r="M100" i="28"/>
  <c r="O100" i="28"/>
  <c r="B101" i="28"/>
  <c r="J101" i="28"/>
  <c r="M101" i="28"/>
  <c r="O101" i="28"/>
  <c r="B102" i="28"/>
  <c r="J102" i="28"/>
  <c r="L102" i="28"/>
  <c r="M102" i="28"/>
  <c r="N102" i="28"/>
  <c r="O102" i="28" s="1"/>
  <c r="P102" i="28" s="1"/>
  <c r="B103" i="28"/>
  <c r="J103" i="28"/>
  <c r="L103" i="28"/>
  <c r="M103" i="28" s="1"/>
  <c r="N103" i="28"/>
  <c r="O103" i="28" s="1"/>
  <c r="B104" i="28"/>
  <c r="J104" i="28"/>
  <c r="L104" i="28"/>
  <c r="M104" i="28" s="1"/>
  <c r="N104" i="28"/>
  <c r="O104" i="28" s="1"/>
  <c r="B105" i="28"/>
  <c r="J105" i="28"/>
  <c r="L105" i="28"/>
  <c r="M105" i="28" s="1"/>
  <c r="N105" i="28"/>
  <c r="O105" i="28" s="1"/>
  <c r="B106" i="28"/>
  <c r="L106" i="28"/>
  <c r="M106" i="28"/>
  <c r="N106" i="28"/>
  <c r="O106" i="28" s="1"/>
  <c r="B107" i="28"/>
  <c r="L107" i="28"/>
  <c r="M107" i="28" s="1"/>
  <c r="N107" i="28"/>
  <c r="O107" i="28" s="1"/>
  <c r="B108" i="28"/>
  <c r="J108" i="28"/>
  <c r="L108" i="28"/>
  <c r="M108" i="28" s="1"/>
  <c r="N108" i="28"/>
  <c r="O108" i="28" s="1"/>
  <c r="B109" i="28"/>
  <c r="L109" i="28"/>
  <c r="M109" i="28"/>
  <c r="N109" i="28"/>
  <c r="O109" i="28" s="1"/>
  <c r="P109" i="28" s="1"/>
  <c r="D110" i="28"/>
  <c r="M110" i="28"/>
  <c r="O110" i="28"/>
  <c r="M111" i="28"/>
  <c r="O111" i="28"/>
  <c r="M112" i="28"/>
  <c r="O112" i="28"/>
  <c r="M113" i="28"/>
  <c r="O113" i="28"/>
  <c r="P113" i="28" s="1"/>
  <c r="M114" i="28"/>
  <c r="O114" i="28"/>
  <c r="M115" i="28"/>
  <c r="O115" i="28"/>
  <c r="M116" i="28"/>
  <c r="O116" i="28"/>
  <c r="M117" i="28"/>
  <c r="O117" i="28"/>
  <c r="P117" i="28" s="1"/>
  <c r="M118" i="28"/>
  <c r="O118" i="28"/>
  <c r="M119" i="28"/>
  <c r="O119" i="28"/>
  <c r="M120" i="28"/>
  <c r="O120" i="28"/>
  <c r="M121" i="28"/>
  <c r="O121" i="28"/>
  <c r="P121" i="28" s="1"/>
  <c r="M122" i="28"/>
  <c r="O122" i="28"/>
  <c r="M123" i="28"/>
  <c r="O123" i="28"/>
  <c r="M124" i="28"/>
  <c r="O124" i="28"/>
  <c r="M125" i="28"/>
  <c r="O125" i="28"/>
  <c r="M126" i="28"/>
  <c r="O126" i="28"/>
  <c r="M127" i="28"/>
  <c r="O127" i="28"/>
  <c r="M128" i="28"/>
  <c r="O128" i="28"/>
  <c r="M129" i="28"/>
  <c r="O129" i="28"/>
  <c r="M130" i="28"/>
  <c r="O130" i="28"/>
  <c r="M131" i="28"/>
  <c r="O131" i="28"/>
  <c r="M132" i="28"/>
  <c r="O132" i="28"/>
  <c r="M133" i="28"/>
  <c r="O133" i="28"/>
  <c r="M134" i="28"/>
  <c r="O134" i="28"/>
  <c r="M135" i="28"/>
  <c r="O135" i="28"/>
  <c r="M136" i="28"/>
  <c r="O136" i="28"/>
  <c r="M137" i="28"/>
  <c r="O137" i="28"/>
  <c r="M138" i="28"/>
  <c r="O138" i="28"/>
  <c r="M139" i="28"/>
  <c r="O139" i="28"/>
  <c r="M140" i="28"/>
  <c r="O140" i="28"/>
  <c r="M141" i="28"/>
  <c r="O141" i="28"/>
  <c r="M142" i="28"/>
  <c r="O142" i="28"/>
  <c r="M143" i="28"/>
  <c r="O143" i="28"/>
  <c r="M144" i="28"/>
  <c r="O144" i="28"/>
  <c r="M145" i="28"/>
  <c r="O145" i="28"/>
  <c r="P145" i="28" s="1"/>
  <c r="M146" i="28"/>
  <c r="O146" i="28"/>
  <c r="M147" i="28"/>
  <c r="O147" i="28"/>
  <c r="M148" i="28"/>
  <c r="O148" i="28"/>
  <c r="M149" i="28"/>
  <c r="O149" i="28"/>
  <c r="P149" i="28" s="1"/>
  <c r="M150" i="28"/>
  <c r="O150" i="28"/>
  <c r="M151" i="28"/>
  <c r="O151" i="28"/>
  <c r="M152" i="28"/>
  <c r="O152" i="28"/>
  <c r="M153" i="28"/>
  <c r="O153" i="28"/>
  <c r="M154" i="28"/>
  <c r="O154" i="28"/>
  <c r="P1" i="27"/>
  <c r="P83" i="27" s="1"/>
  <c r="O3" i="27"/>
  <c r="D8" i="27"/>
  <c r="K11" i="27"/>
  <c r="C17" i="27"/>
  <c r="C18" i="27" s="1"/>
  <c r="C19" i="27" s="1"/>
  <c r="C20" i="27" s="1"/>
  <c r="C21" i="27" s="1"/>
  <c r="C22" i="27" s="1"/>
  <c r="C23" i="27" s="1"/>
  <c r="C24" i="27" s="1"/>
  <c r="C25" i="27" s="1"/>
  <c r="C26" i="27" s="1"/>
  <c r="C27" i="27" s="1"/>
  <c r="C28" i="27" s="1"/>
  <c r="C29" i="27" s="1"/>
  <c r="C30" i="27" s="1"/>
  <c r="C31" i="27" s="1"/>
  <c r="C32" i="27" s="1"/>
  <c r="C33" i="27" s="1"/>
  <c r="C34" i="27" s="1"/>
  <c r="C35" i="27" s="1"/>
  <c r="C36" i="27" s="1"/>
  <c r="C37" i="27" s="1"/>
  <c r="C38" i="27" s="1"/>
  <c r="C39" i="27" s="1"/>
  <c r="C40" i="27" s="1"/>
  <c r="C41" i="27" s="1"/>
  <c r="C42" i="27" s="1"/>
  <c r="C43" i="27" s="1"/>
  <c r="C44" i="27" s="1"/>
  <c r="I17" i="27"/>
  <c r="L17" i="27"/>
  <c r="N17" i="27"/>
  <c r="O17" i="27" s="1"/>
  <c r="B18" i="27"/>
  <c r="I18" i="27"/>
  <c r="L18" i="27"/>
  <c r="N18" i="27"/>
  <c r="O18" i="27"/>
  <c r="B19" i="27"/>
  <c r="I19" i="27"/>
  <c r="L19" i="27"/>
  <c r="N19" i="27"/>
  <c r="K20" i="27"/>
  <c r="L20" i="27"/>
  <c r="M20" i="27"/>
  <c r="N20" i="27"/>
  <c r="B21" i="27"/>
  <c r="K21" i="27"/>
  <c r="L21" i="27" s="1"/>
  <c r="M21" i="27"/>
  <c r="N21" i="27" s="1"/>
  <c r="O21" i="27" s="1"/>
  <c r="B22" i="27"/>
  <c r="K22" i="27"/>
  <c r="L22" i="27" s="1"/>
  <c r="M22" i="27"/>
  <c r="N22" i="27" s="1"/>
  <c r="B23" i="27"/>
  <c r="K23" i="27"/>
  <c r="L23" i="27"/>
  <c r="M23" i="27"/>
  <c r="N23" i="27"/>
  <c r="B24" i="27"/>
  <c r="K24" i="27"/>
  <c r="L24" i="27" s="1"/>
  <c r="M24" i="27"/>
  <c r="N24" i="27" s="1"/>
  <c r="B25" i="27"/>
  <c r="K25" i="27"/>
  <c r="L25" i="27" s="1"/>
  <c r="M25" i="27"/>
  <c r="N25" i="27" s="1"/>
  <c r="B26" i="27"/>
  <c r="I26" i="27"/>
  <c r="K26" i="27"/>
  <c r="L26" i="27" s="1"/>
  <c r="M26" i="27"/>
  <c r="N26" i="27" s="1"/>
  <c r="B27" i="27"/>
  <c r="K27" i="27"/>
  <c r="L27" i="27"/>
  <c r="M27" i="27"/>
  <c r="N27" i="27"/>
  <c r="B28" i="27"/>
  <c r="L29" i="27"/>
  <c r="O29" i="27" s="1"/>
  <c r="N29" i="27"/>
  <c r="L30" i="27"/>
  <c r="N30" i="27"/>
  <c r="L31" i="27"/>
  <c r="N31" i="27"/>
  <c r="L32" i="27"/>
  <c r="N32" i="27"/>
  <c r="L33" i="27"/>
  <c r="N33" i="27"/>
  <c r="L34" i="27"/>
  <c r="N34" i="27"/>
  <c r="L35" i="27"/>
  <c r="N35" i="27"/>
  <c r="L36" i="27"/>
  <c r="N36" i="27"/>
  <c r="L37" i="27"/>
  <c r="N37" i="27"/>
  <c r="L38" i="27"/>
  <c r="N38" i="27"/>
  <c r="L39" i="27"/>
  <c r="N39" i="27"/>
  <c r="L40" i="27"/>
  <c r="N40" i="27"/>
  <c r="L41" i="27"/>
  <c r="N41" i="27"/>
  <c r="L42" i="27"/>
  <c r="N42" i="27"/>
  <c r="O42" i="27" s="1"/>
  <c r="L43" i="27"/>
  <c r="N43" i="27"/>
  <c r="L44" i="27"/>
  <c r="N44" i="27"/>
  <c r="O44" i="27" s="1"/>
  <c r="L45" i="27"/>
  <c r="N45" i="27"/>
  <c r="L46" i="27"/>
  <c r="N46" i="27"/>
  <c r="O46" i="27" s="1"/>
  <c r="L47" i="27"/>
  <c r="N47" i="27"/>
  <c r="L48" i="27"/>
  <c r="N48" i="27"/>
  <c r="L49" i="27"/>
  <c r="N49" i="27"/>
  <c r="L50" i="27"/>
  <c r="N50" i="27"/>
  <c r="L51" i="27"/>
  <c r="N51" i="27"/>
  <c r="L52" i="27"/>
  <c r="N52" i="27"/>
  <c r="L53" i="27"/>
  <c r="N53" i="27"/>
  <c r="L54" i="27"/>
  <c r="N54" i="27"/>
  <c r="L55" i="27"/>
  <c r="N55" i="27"/>
  <c r="L56" i="27"/>
  <c r="N56" i="27"/>
  <c r="L57" i="27"/>
  <c r="N57" i="27"/>
  <c r="L58" i="27"/>
  <c r="N58" i="27"/>
  <c r="Q58" i="27"/>
  <c r="L59" i="27"/>
  <c r="N59" i="27"/>
  <c r="L60" i="27"/>
  <c r="N60" i="27"/>
  <c r="L61" i="27"/>
  <c r="N61" i="27"/>
  <c r="L62" i="27"/>
  <c r="N62" i="27"/>
  <c r="L63" i="27"/>
  <c r="N63" i="27"/>
  <c r="L64" i="27"/>
  <c r="N64" i="27"/>
  <c r="L65" i="27"/>
  <c r="N65" i="27"/>
  <c r="L66" i="27"/>
  <c r="N66" i="27"/>
  <c r="L67" i="27"/>
  <c r="N67" i="27"/>
  <c r="L68" i="27"/>
  <c r="N68" i="27"/>
  <c r="L69" i="27"/>
  <c r="N69" i="27"/>
  <c r="L70" i="27"/>
  <c r="N70" i="27"/>
  <c r="L71" i="27"/>
  <c r="N71" i="27"/>
  <c r="L72" i="27"/>
  <c r="N72" i="27"/>
  <c r="D89" i="27"/>
  <c r="D90" i="27"/>
  <c r="D91" i="27"/>
  <c r="J93" i="27"/>
  <c r="L93" i="27"/>
  <c r="D96" i="27"/>
  <c r="F99" i="27"/>
  <c r="B100" i="27" s="1"/>
  <c r="J99" i="27"/>
  <c r="M99" i="27"/>
  <c r="P99" i="27"/>
  <c r="O99" i="27"/>
  <c r="J100" i="27"/>
  <c r="M100" i="27"/>
  <c r="O100" i="27"/>
  <c r="J101" i="27"/>
  <c r="L101" i="27"/>
  <c r="M101" i="27" s="1"/>
  <c r="N101" i="27"/>
  <c r="O101" i="27" s="1"/>
  <c r="B102" i="27"/>
  <c r="J102" i="27"/>
  <c r="L102" i="27"/>
  <c r="M102" i="27" s="1"/>
  <c r="N102" i="27"/>
  <c r="O102" i="27" s="1"/>
  <c r="P102" i="27" s="1"/>
  <c r="B103" i="27"/>
  <c r="J103" i="27"/>
  <c r="L103" i="27"/>
  <c r="M103" i="27" s="1"/>
  <c r="N103" i="27"/>
  <c r="O103" i="27"/>
  <c r="B104" i="27"/>
  <c r="J104" i="27"/>
  <c r="L104" i="27"/>
  <c r="M104" i="27"/>
  <c r="N104" i="27"/>
  <c r="O104" i="27" s="1"/>
  <c r="P104" i="27" s="1"/>
  <c r="B105" i="27"/>
  <c r="L105" i="27"/>
  <c r="M105" i="27"/>
  <c r="N105" i="27"/>
  <c r="O105" i="27"/>
  <c r="B106" i="27"/>
  <c r="L106" i="27"/>
  <c r="M106" i="27" s="1"/>
  <c r="N106" i="27"/>
  <c r="O106" i="27" s="1"/>
  <c r="B107" i="27"/>
  <c r="J107" i="27"/>
  <c r="L107" i="27"/>
  <c r="M107" i="27" s="1"/>
  <c r="N107" i="27"/>
  <c r="O107" i="27" s="1"/>
  <c r="B108" i="27"/>
  <c r="L108" i="27"/>
  <c r="M108" i="27"/>
  <c r="N108" i="27"/>
  <c r="O108" i="27"/>
  <c r="D109" i="27"/>
  <c r="M109" i="27"/>
  <c r="O109" i="27"/>
  <c r="M110" i="27"/>
  <c r="O110" i="27"/>
  <c r="M111" i="27"/>
  <c r="O111" i="27"/>
  <c r="M112" i="27"/>
  <c r="O112" i="27"/>
  <c r="M113" i="27"/>
  <c r="O113" i="27"/>
  <c r="M114" i="27"/>
  <c r="O114" i="27"/>
  <c r="M115" i="27"/>
  <c r="O115" i="27"/>
  <c r="M116" i="27"/>
  <c r="O116" i="27"/>
  <c r="P116" i="27" s="1"/>
  <c r="M117" i="27"/>
  <c r="O117" i="27"/>
  <c r="M118" i="27"/>
  <c r="O118" i="27"/>
  <c r="M119" i="27"/>
  <c r="O119" i="27"/>
  <c r="M120" i="27"/>
  <c r="O120" i="27"/>
  <c r="P120" i="27" s="1"/>
  <c r="M121" i="27"/>
  <c r="O121" i="27"/>
  <c r="M122" i="27"/>
  <c r="O122" i="27"/>
  <c r="M123" i="27"/>
  <c r="O123" i="27"/>
  <c r="M124" i="27"/>
  <c r="O124" i="27"/>
  <c r="M125" i="27"/>
  <c r="O125" i="27"/>
  <c r="M126" i="27"/>
  <c r="O126" i="27"/>
  <c r="M127" i="27"/>
  <c r="O127" i="27"/>
  <c r="M128" i="27"/>
  <c r="O128" i="27"/>
  <c r="P128" i="27" s="1"/>
  <c r="M129" i="27"/>
  <c r="O129" i="27"/>
  <c r="M130" i="27"/>
  <c r="O130" i="27"/>
  <c r="M131" i="27"/>
  <c r="O131" i="27"/>
  <c r="M132" i="27"/>
  <c r="O132" i="27"/>
  <c r="P132" i="27" s="1"/>
  <c r="M133" i="27"/>
  <c r="O133" i="27"/>
  <c r="M134" i="27"/>
  <c r="O134" i="27"/>
  <c r="M135" i="27"/>
  <c r="O135" i="27"/>
  <c r="M136" i="27"/>
  <c r="O136" i="27"/>
  <c r="M137" i="27"/>
  <c r="O137" i="27"/>
  <c r="P137" i="27" s="1"/>
  <c r="M138" i="27"/>
  <c r="O138" i="27"/>
  <c r="M139" i="27"/>
  <c r="O139" i="27"/>
  <c r="P139" i="27" s="1"/>
  <c r="M140" i="27"/>
  <c r="O140" i="27"/>
  <c r="M141" i="27"/>
  <c r="O141" i="27"/>
  <c r="P141" i="27" s="1"/>
  <c r="M142" i="27"/>
  <c r="O142" i="27"/>
  <c r="M143" i="27"/>
  <c r="O143" i="27"/>
  <c r="M144" i="27"/>
  <c r="O144" i="27"/>
  <c r="M145" i="27"/>
  <c r="O145" i="27"/>
  <c r="P145" i="27" s="1"/>
  <c r="M146" i="27"/>
  <c r="O146" i="27"/>
  <c r="M147" i="27"/>
  <c r="O147" i="27"/>
  <c r="M148" i="27"/>
  <c r="O148" i="27"/>
  <c r="M149" i="27"/>
  <c r="O149" i="27"/>
  <c r="P149" i="27" s="1"/>
  <c r="M150" i="27"/>
  <c r="O150" i="27"/>
  <c r="P150" i="27" s="1"/>
  <c r="M151" i="27"/>
  <c r="O151" i="27"/>
  <c r="M152" i="27"/>
  <c r="O152" i="27"/>
  <c r="M153" i="27"/>
  <c r="O153" i="27"/>
  <c r="M154" i="27"/>
  <c r="O154" i="27"/>
  <c r="P1" i="26"/>
  <c r="P83" i="26" s="1"/>
  <c r="O3" i="26"/>
  <c r="D8" i="26"/>
  <c r="D90" i="26" s="1"/>
  <c r="K11" i="26"/>
  <c r="I14" i="26"/>
  <c r="E17" i="26" s="1"/>
  <c r="C17" i="26"/>
  <c r="C18" i="26" s="1"/>
  <c r="C19" i="26" s="1"/>
  <c r="C20" i="26" s="1"/>
  <c r="C21" i="26" s="1"/>
  <c r="C22" i="26" s="1"/>
  <c r="C23" i="26" s="1"/>
  <c r="C24" i="26" s="1"/>
  <c r="C25" i="26" s="1"/>
  <c r="C26" i="26" s="1"/>
  <c r="C27" i="26" s="1"/>
  <c r="C28" i="26" s="1"/>
  <c r="C29" i="26" s="1"/>
  <c r="C30" i="26" s="1"/>
  <c r="C31" i="26" s="1"/>
  <c r="C32" i="26" s="1"/>
  <c r="C33" i="26" s="1"/>
  <c r="C34" i="26" s="1"/>
  <c r="C35" i="26" s="1"/>
  <c r="C36" i="26" s="1"/>
  <c r="C37" i="26" s="1"/>
  <c r="C38" i="26" s="1"/>
  <c r="C39" i="26" s="1"/>
  <c r="C40" i="26" s="1"/>
  <c r="C41" i="26" s="1"/>
  <c r="C42" i="26" s="1"/>
  <c r="C43" i="26" s="1"/>
  <c r="C44" i="26" s="1"/>
  <c r="D17" i="26"/>
  <c r="M17" i="26"/>
  <c r="L18" i="26"/>
  <c r="N18" i="26"/>
  <c r="L19" i="26"/>
  <c r="N19" i="26"/>
  <c r="L20" i="26"/>
  <c r="N20" i="26"/>
  <c r="L21" i="26"/>
  <c r="N21" i="26"/>
  <c r="L22" i="26"/>
  <c r="N22" i="26"/>
  <c r="L23" i="26"/>
  <c r="N23" i="26"/>
  <c r="L24" i="26"/>
  <c r="N24" i="26"/>
  <c r="L25" i="26"/>
  <c r="N25" i="26"/>
  <c r="L26" i="26"/>
  <c r="N26" i="26"/>
  <c r="L27" i="26"/>
  <c r="N27" i="26"/>
  <c r="L28" i="26"/>
  <c r="N28" i="26"/>
  <c r="L29" i="26"/>
  <c r="O29" i="26" s="1"/>
  <c r="N29" i="26"/>
  <c r="L30" i="26"/>
  <c r="N30" i="26"/>
  <c r="L31" i="26"/>
  <c r="O31" i="26" s="1"/>
  <c r="N31" i="26"/>
  <c r="L32" i="26"/>
  <c r="N32" i="26"/>
  <c r="L33" i="26"/>
  <c r="N33" i="26"/>
  <c r="L34" i="26"/>
  <c r="N34" i="26"/>
  <c r="O34" i="26" s="1"/>
  <c r="L35" i="26"/>
  <c r="O35" i="26" s="1"/>
  <c r="N35" i="26"/>
  <c r="L36" i="26"/>
  <c r="N36" i="26"/>
  <c r="L37" i="26"/>
  <c r="N37" i="26"/>
  <c r="L38" i="26"/>
  <c r="N38" i="26"/>
  <c r="L39" i="26"/>
  <c r="O39" i="26" s="1"/>
  <c r="N39" i="26"/>
  <c r="L40" i="26"/>
  <c r="N40" i="26"/>
  <c r="O40" i="26" s="1"/>
  <c r="L41" i="26"/>
  <c r="O41" i="26" s="1"/>
  <c r="N41" i="26"/>
  <c r="L42" i="26"/>
  <c r="N42" i="26"/>
  <c r="O42" i="26" s="1"/>
  <c r="L43" i="26"/>
  <c r="N43" i="26"/>
  <c r="L44" i="26"/>
  <c r="N44" i="26"/>
  <c r="O44" i="26" s="1"/>
  <c r="L45" i="26"/>
  <c r="O45" i="26" s="1"/>
  <c r="N45" i="26"/>
  <c r="L46" i="26"/>
  <c r="N46" i="26"/>
  <c r="O46" i="26" s="1"/>
  <c r="L47" i="26"/>
  <c r="O47" i="26" s="1"/>
  <c r="N47" i="26"/>
  <c r="L48" i="26"/>
  <c r="N48" i="26"/>
  <c r="O48" i="26" s="1"/>
  <c r="L49" i="26"/>
  <c r="N49" i="26"/>
  <c r="L50" i="26"/>
  <c r="N50" i="26"/>
  <c r="L51" i="26"/>
  <c r="O51" i="26" s="1"/>
  <c r="N51" i="26"/>
  <c r="L52" i="26"/>
  <c r="N52" i="26"/>
  <c r="L53" i="26"/>
  <c r="O53" i="26" s="1"/>
  <c r="N53" i="26"/>
  <c r="L54" i="26"/>
  <c r="N54" i="26"/>
  <c r="O54" i="26" s="1"/>
  <c r="L55" i="26"/>
  <c r="N55" i="26"/>
  <c r="L56" i="26"/>
  <c r="N56" i="26"/>
  <c r="L57" i="26"/>
  <c r="N57" i="26"/>
  <c r="L58" i="26"/>
  <c r="N58" i="26"/>
  <c r="Q58" i="26"/>
  <c r="L59" i="26"/>
  <c r="N59" i="26"/>
  <c r="L60" i="26"/>
  <c r="N60" i="26"/>
  <c r="L61" i="26"/>
  <c r="N61" i="26"/>
  <c r="O61" i="26" s="1"/>
  <c r="L62" i="26"/>
  <c r="N62" i="26"/>
  <c r="L63" i="26"/>
  <c r="N63" i="26"/>
  <c r="L64" i="26"/>
  <c r="N64" i="26"/>
  <c r="L65" i="26"/>
  <c r="N65" i="26"/>
  <c r="O65" i="26" s="1"/>
  <c r="L66" i="26"/>
  <c r="N66" i="26"/>
  <c r="L67" i="26"/>
  <c r="N67" i="26"/>
  <c r="O67" i="26" s="1"/>
  <c r="L68" i="26"/>
  <c r="N68" i="26"/>
  <c r="L69" i="26"/>
  <c r="N69" i="26"/>
  <c r="L70" i="26"/>
  <c r="N70" i="26"/>
  <c r="L71" i="26"/>
  <c r="N71" i="26"/>
  <c r="O71" i="26" s="1"/>
  <c r="L72" i="26"/>
  <c r="N72" i="26"/>
  <c r="D89" i="26"/>
  <c r="D91" i="26"/>
  <c r="J93" i="26"/>
  <c r="L93" i="26"/>
  <c r="D96" i="26"/>
  <c r="L99" i="26"/>
  <c r="N99" i="26"/>
  <c r="M100" i="26"/>
  <c r="O100" i="26"/>
  <c r="M101" i="26"/>
  <c r="O101" i="26"/>
  <c r="M102" i="26"/>
  <c r="O102" i="26"/>
  <c r="M103" i="26"/>
  <c r="O103" i="26"/>
  <c r="M104" i="26"/>
  <c r="O104" i="26"/>
  <c r="M105" i="26"/>
  <c r="O105" i="26"/>
  <c r="M106" i="26"/>
  <c r="O106" i="26"/>
  <c r="M107" i="26"/>
  <c r="O107" i="26"/>
  <c r="M108" i="26"/>
  <c r="O108" i="26"/>
  <c r="M109" i="26"/>
  <c r="O109" i="26"/>
  <c r="M110" i="26"/>
  <c r="O110" i="26"/>
  <c r="M111" i="26"/>
  <c r="O111" i="26"/>
  <c r="M112" i="26"/>
  <c r="O112" i="26"/>
  <c r="M113" i="26"/>
  <c r="O113" i="26"/>
  <c r="M114" i="26"/>
  <c r="O114" i="26"/>
  <c r="M115" i="26"/>
  <c r="O115" i="26"/>
  <c r="M116" i="26"/>
  <c r="O116" i="26"/>
  <c r="M117" i="26"/>
  <c r="O117" i="26"/>
  <c r="M118" i="26"/>
  <c r="O118" i="26"/>
  <c r="M119" i="26"/>
  <c r="O119" i="26"/>
  <c r="P119" i="26" s="1"/>
  <c r="M120" i="26"/>
  <c r="O120" i="26"/>
  <c r="M121" i="26"/>
  <c r="O121" i="26"/>
  <c r="M122" i="26"/>
  <c r="O122" i="26"/>
  <c r="M123" i="26"/>
  <c r="O123" i="26"/>
  <c r="M124" i="26"/>
  <c r="O124" i="26"/>
  <c r="M125" i="26"/>
  <c r="O125" i="26"/>
  <c r="M126" i="26"/>
  <c r="O126" i="26"/>
  <c r="M127" i="26"/>
  <c r="O127" i="26"/>
  <c r="M128" i="26"/>
  <c r="O128" i="26"/>
  <c r="M129" i="26"/>
  <c r="O129" i="26"/>
  <c r="M130" i="26"/>
  <c r="O130" i="26"/>
  <c r="M131" i="26"/>
  <c r="O131" i="26"/>
  <c r="M132" i="26"/>
  <c r="O132" i="26"/>
  <c r="M133" i="26"/>
  <c r="O133" i="26"/>
  <c r="M134" i="26"/>
  <c r="O134" i="26"/>
  <c r="M135" i="26"/>
  <c r="O135" i="26"/>
  <c r="M136" i="26"/>
  <c r="O136" i="26"/>
  <c r="M137" i="26"/>
  <c r="O137" i="26"/>
  <c r="M138" i="26"/>
  <c r="O138" i="26"/>
  <c r="M139" i="26"/>
  <c r="O139" i="26"/>
  <c r="M140" i="26"/>
  <c r="O140" i="26"/>
  <c r="M141" i="26"/>
  <c r="O141" i="26"/>
  <c r="M142" i="26"/>
  <c r="O142" i="26"/>
  <c r="M143" i="26"/>
  <c r="O143" i="26"/>
  <c r="M144" i="26"/>
  <c r="O144" i="26"/>
  <c r="M145" i="26"/>
  <c r="O145" i="26"/>
  <c r="M146" i="26"/>
  <c r="O146" i="26"/>
  <c r="M147" i="26"/>
  <c r="O147" i="26"/>
  <c r="M148" i="26"/>
  <c r="O148" i="26"/>
  <c r="M149" i="26"/>
  <c r="O149" i="26"/>
  <c r="M150" i="26"/>
  <c r="O150" i="26"/>
  <c r="M151" i="26"/>
  <c r="O151" i="26"/>
  <c r="M152" i="26"/>
  <c r="O152" i="26"/>
  <c r="M153" i="26"/>
  <c r="O153" i="26"/>
  <c r="P153" i="26" s="1"/>
  <c r="M154" i="26"/>
  <c r="O154" i="26"/>
  <c r="P154" i="26" s="1"/>
  <c r="P1" i="25"/>
  <c r="P83" i="25" s="1"/>
  <c r="O3" i="25"/>
  <c r="D8" i="25"/>
  <c r="D90" i="25" s="1"/>
  <c r="K11" i="25"/>
  <c r="I14" i="25"/>
  <c r="C17" i="25"/>
  <c r="D17" i="25"/>
  <c r="L17" i="25"/>
  <c r="N17" i="25"/>
  <c r="O17" i="25" s="1"/>
  <c r="C18" i="25"/>
  <c r="C19" i="25"/>
  <c r="C20" i="25"/>
  <c r="C21" i="25" s="1"/>
  <c r="C22" i="25" s="1"/>
  <c r="C23" i="25" s="1"/>
  <c r="C24" i="25" s="1"/>
  <c r="C25" i="25" s="1"/>
  <c r="C26" i="25" s="1"/>
  <c r="C27" i="25" s="1"/>
  <c r="C28" i="25" s="1"/>
  <c r="C29" i="25" s="1"/>
  <c r="C30" i="25" s="1"/>
  <c r="C31" i="25" s="1"/>
  <c r="C32" i="25" s="1"/>
  <c r="C33" i="25" s="1"/>
  <c r="C34" i="25" s="1"/>
  <c r="C35" i="25" s="1"/>
  <c r="C36" i="25" s="1"/>
  <c r="C37" i="25" s="1"/>
  <c r="C38" i="25" s="1"/>
  <c r="C39" i="25" s="1"/>
  <c r="C40" i="25" s="1"/>
  <c r="C41" i="25" s="1"/>
  <c r="C42" i="25" s="1"/>
  <c r="C43" i="25" s="1"/>
  <c r="C44" i="25" s="1"/>
  <c r="L18" i="25"/>
  <c r="N18" i="25"/>
  <c r="L19" i="25"/>
  <c r="N19" i="25"/>
  <c r="L20" i="25"/>
  <c r="N20" i="25"/>
  <c r="L21" i="25"/>
  <c r="N21" i="25"/>
  <c r="L22" i="25"/>
  <c r="N22" i="25"/>
  <c r="L23" i="25"/>
  <c r="N23" i="25"/>
  <c r="L24" i="25"/>
  <c r="N24" i="25"/>
  <c r="O24" i="25" s="1"/>
  <c r="L25" i="25"/>
  <c r="N25" i="25"/>
  <c r="L26" i="25"/>
  <c r="N26" i="25"/>
  <c r="O26" i="25" s="1"/>
  <c r="L27" i="25"/>
  <c r="N27" i="25"/>
  <c r="L28" i="25"/>
  <c r="N28" i="25"/>
  <c r="L29" i="25"/>
  <c r="N29" i="25"/>
  <c r="L30" i="25"/>
  <c r="N30" i="25"/>
  <c r="O30" i="25" s="1"/>
  <c r="L31" i="25"/>
  <c r="N31" i="25"/>
  <c r="O31" i="25" s="1"/>
  <c r="L32" i="25"/>
  <c r="N32" i="25"/>
  <c r="L33" i="25"/>
  <c r="N33" i="25"/>
  <c r="O33" i="25" s="1"/>
  <c r="L34" i="25"/>
  <c r="N34" i="25"/>
  <c r="L35" i="25"/>
  <c r="N35" i="25"/>
  <c r="O35" i="25" s="1"/>
  <c r="L36" i="25"/>
  <c r="N36" i="25"/>
  <c r="O36" i="25" s="1"/>
  <c r="L37" i="25"/>
  <c r="N37" i="25"/>
  <c r="O37" i="25" s="1"/>
  <c r="L38" i="25"/>
  <c r="N38" i="25"/>
  <c r="O38" i="25" s="1"/>
  <c r="L39" i="25"/>
  <c r="N39" i="25"/>
  <c r="O39" i="25" s="1"/>
  <c r="L40" i="25"/>
  <c r="N40" i="25"/>
  <c r="L41" i="25"/>
  <c r="N41" i="25"/>
  <c r="O41" i="25" s="1"/>
  <c r="L42" i="25"/>
  <c r="N42" i="25"/>
  <c r="O42" i="25" s="1"/>
  <c r="L43" i="25"/>
  <c r="N43" i="25"/>
  <c r="L44" i="25"/>
  <c r="N44" i="25"/>
  <c r="L45" i="25"/>
  <c r="N45" i="25"/>
  <c r="L46" i="25"/>
  <c r="N46" i="25"/>
  <c r="L47" i="25"/>
  <c r="N47" i="25"/>
  <c r="L48" i="25"/>
  <c r="N48" i="25"/>
  <c r="L49" i="25"/>
  <c r="N49" i="25"/>
  <c r="L50" i="25"/>
  <c r="N50" i="25"/>
  <c r="L51" i="25"/>
  <c r="N51" i="25"/>
  <c r="L52" i="25"/>
  <c r="N52" i="25"/>
  <c r="L53" i="25"/>
  <c r="N53" i="25"/>
  <c r="L54" i="25"/>
  <c r="N54" i="25"/>
  <c r="L55" i="25"/>
  <c r="N55" i="25"/>
  <c r="L56" i="25"/>
  <c r="N56" i="25"/>
  <c r="L57" i="25"/>
  <c r="N57" i="25"/>
  <c r="L58" i="25"/>
  <c r="N58" i="25"/>
  <c r="Q58" i="25"/>
  <c r="L59" i="25"/>
  <c r="N59" i="25"/>
  <c r="L60" i="25"/>
  <c r="O60" i="25" s="1"/>
  <c r="N60" i="25"/>
  <c r="L61" i="25"/>
  <c r="N61" i="25"/>
  <c r="O61" i="25" s="1"/>
  <c r="L62" i="25"/>
  <c r="O62" i="25" s="1"/>
  <c r="N62" i="25"/>
  <c r="L63" i="25"/>
  <c r="N63" i="25"/>
  <c r="O63" i="25" s="1"/>
  <c r="L64" i="25"/>
  <c r="O64" i="25" s="1"/>
  <c r="N64" i="25"/>
  <c r="L65" i="25"/>
  <c r="N65" i="25"/>
  <c r="L66" i="25"/>
  <c r="N66" i="25"/>
  <c r="L67" i="25"/>
  <c r="N67" i="25"/>
  <c r="O67" i="25" s="1"/>
  <c r="L68" i="25"/>
  <c r="O68" i="25" s="1"/>
  <c r="N68" i="25"/>
  <c r="L69" i="25"/>
  <c r="N69" i="25"/>
  <c r="O69" i="25" s="1"/>
  <c r="L70" i="25"/>
  <c r="O70" i="25" s="1"/>
  <c r="N70" i="25"/>
  <c r="L71" i="25"/>
  <c r="N71" i="25"/>
  <c r="O71" i="25" s="1"/>
  <c r="L72" i="25"/>
  <c r="N72" i="25"/>
  <c r="D89" i="25"/>
  <c r="D91" i="25"/>
  <c r="J93" i="25"/>
  <c r="L93" i="25"/>
  <c r="D96" i="25"/>
  <c r="M99" i="25"/>
  <c r="O99" i="25"/>
  <c r="M100" i="25"/>
  <c r="O100" i="25"/>
  <c r="P100" i="25" s="1"/>
  <c r="M101" i="25"/>
  <c r="O101" i="25"/>
  <c r="M102" i="25"/>
  <c r="O102" i="25"/>
  <c r="P102" i="25"/>
  <c r="M103" i="25"/>
  <c r="O103" i="25"/>
  <c r="M104" i="25"/>
  <c r="O104" i="25"/>
  <c r="M105" i="25"/>
  <c r="O105" i="25"/>
  <c r="M106" i="25"/>
  <c r="O106" i="25"/>
  <c r="M107" i="25"/>
  <c r="P107" i="25" s="1"/>
  <c r="O107" i="25"/>
  <c r="M108" i="25"/>
  <c r="O108" i="25"/>
  <c r="M109" i="25"/>
  <c r="P109" i="25" s="1"/>
  <c r="O109" i="25"/>
  <c r="M110" i="25"/>
  <c r="O110" i="25"/>
  <c r="M111" i="25"/>
  <c r="P111" i="25" s="1"/>
  <c r="O111" i="25"/>
  <c r="M112" i="25"/>
  <c r="O112" i="25"/>
  <c r="M113" i="25"/>
  <c r="P113" i="25" s="1"/>
  <c r="O113" i="25"/>
  <c r="M114" i="25"/>
  <c r="O114" i="25"/>
  <c r="M115" i="25"/>
  <c r="P115" i="25" s="1"/>
  <c r="O115" i="25"/>
  <c r="M116" i="25"/>
  <c r="O116" i="25"/>
  <c r="P116" i="25" s="1"/>
  <c r="M117" i="25"/>
  <c r="P117" i="25" s="1"/>
  <c r="O117" i="25"/>
  <c r="M118" i="25"/>
  <c r="O118" i="25"/>
  <c r="M119" i="25"/>
  <c r="P119" i="25" s="1"/>
  <c r="O119" i="25"/>
  <c r="M120" i="25"/>
  <c r="O120" i="25"/>
  <c r="M121" i="25"/>
  <c r="O121" i="25"/>
  <c r="M122" i="25"/>
  <c r="O122" i="25"/>
  <c r="M123" i="25"/>
  <c r="O123" i="25"/>
  <c r="M124" i="25"/>
  <c r="O124" i="25"/>
  <c r="P124" i="25" s="1"/>
  <c r="M125" i="25"/>
  <c r="O125" i="25"/>
  <c r="M126" i="25"/>
  <c r="O126" i="25"/>
  <c r="P126" i="25" s="1"/>
  <c r="M127" i="25"/>
  <c r="P127" i="25" s="1"/>
  <c r="O127" i="25"/>
  <c r="M128" i="25"/>
  <c r="O128" i="25"/>
  <c r="P128" i="25" s="1"/>
  <c r="M129" i="25"/>
  <c r="O129" i="25"/>
  <c r="M130" i="25"/>
  <c r="O130" i="25"/>
  <c r="P130" i="25" s="1"/>
  <c r="M131" i="25"/>
  <c r="O131" i="25"/>
  <c r="M132" i="25"/>
  <c r="O132" i="25"/>
  <c r="P132" i="25" s="1"/>
  <c r="M133" i="25"/>
  <c r="P133" i="25" s="1"/>
  <c r="O133" i="25"/>
  <c r="M134" i="25"/>
  <c r="O134" i="25"/>
  <c r="M135" i="25"/>
  <c r="P135" i="25" s="1"/>
  <c r="O135" i="25"/>
  <c r="M136" i="25"/>
  <c r="O136" i="25"/>
  <c r="M137" i="25"/>
  <c r="P137" i="25" s="1"/>
  <c r="O137" i="25"/>
  <c r="M138" i="25"/>
  <c r="O138" i="25"/>
  <c r="M139" i="25"/>
  <c r="P139" i="25" s="1"/>
  <c r="O139" i="25"/>
  <c r="M140" i="25"/>
  <c r="O140" i="25"/>
  <c r="M141" i="25"/>
  <c r="O141" i="25"/>
  <c r="M142" i="25"/>
  <c r="O142" i="25"/>
  <c r="M143" i="25"/>
  <c r="P143" i="25" s="1"/>
  <c r="O143" i="25"/>
  <c r="M144" i="25"/>
  <c r="O144" i="25"/>
  <c r="P144" i="25" s="1"/>
  <c r="M145" i="25"/>
  <c r="P145" i="25" s="1"/>
  <c r="O145" i="25"/>
  <c r="M146" i="25"/>
  <c r="O146" i="25"/>
  <c r="P146" i="25" s="1"/>
  <c r="M147" i="25"/>
  <c r="P147" i="25" s="1"/>
  <c r="O147" i="25"/>
  <c r="M148" i="25"/>
  <c r="O148" i="25"/>
  <c r="P148" i="25" s="1"/>
  <c r="M149" i="25"/>
  <c r="O149" i="25"/>
  <c r="M150" i="25"/>
  <c r="O150" i="25"/>
  <c r="M151" i="25"/>
  <c r="P151" i="25" s="1"/>
  <c r="O151" i="25"/>
  <c r="M152" i="25"/>
  <c r="O152" i="25"/>
  <c r="P152" i="25" s="1"/>
  <c r="M153" i="25"/>
  <c r="O153" i="25"/>
  <c r="M154" i="25"/>
  <c r="O154" i="25"/>
  <c r="P1" i="24"/>
  <c r="P83" i="24" s="1"/>
  <c r="O3" i="24"/>
  <c r="D8" i="24"/>
  <c r="D90" i="24" s="1"/>
  <c r="K11" i="24"/>
  <c r="C17" i="24"/>
  <c r="C18" i="24" s="1"/>
  <c r="C19" i="24" s="1"/>
  <c r="C20" i="24" s="1"/>
  <c r="C21" i="24" s="1"/>
  <c r="C22" i="24" s="1"/>
  <c r="C23" i="24" s="1"/>
  <c r="C24" i="24" s="1"/>
  <c r="C25" i="24" s="1"/>
  <c r="C26" i="24" s="1"/>
  <c r="C27" i="24" s="1"/>
  <c r="C28" i="24" s="1"/>
  <c r="C29" i="24" s="1"/>
  <c r="C30" i="24" s="1"/>
  <c r="C31" i="24" s="1"/>
  <c r="C32" i="24" s="1"/>
  <c r="C33" i="24" s="1"/>
  <c r="C34" i="24" s="1"/>
  <c r="C35" i="24" s="1"/>
  <c r="C36" i="24" s="1"/>
  <c r="C37" i="24" s="1"/>
  <c r="C38" i="24" s="1"/>
  <c r="C39" i="24" s="1"/>
  <c r="C40" i="24" s="1"/>
  <c r="C41" i="24" s="1"/>
  <c r="C42" i="24" s="1"/>
  <c r="C43" i="24" s="1"/>
  <c r="C44" i="24" s="1"/>
  <c r="C45" i="24" s="1"/>
  <c r="C46" i="24" s="1"/>
  <c r="C47" i="24" s="1"/>
  <c r="C48" i="24" s="1"/>
  <c r="C49" i="24" s="1"/>
  <c r="C50" i="24" s="1"/>
  <c r="C51" i="24" s="1"/>
  <c r="C52" i="24" s="1"/>
  <c r="C53" i="24" s="1"/>
  <c r="C54" i="24" s="1"/>
  <c r="C55" i="24" s="1"/>
  <c r="C56" i="24" s="1"/>
  <c r="C57" i="24" s="1"/>
  <c r="C58" i="24" s="1"/>
  <c r="C59" i="24" s="1"/>
  <c r="C60" i="24" s="1"/>
  <c r="C61" i="24" s="1"/>
  <c r="C62" i="24" s="1"/>
  <c r="C63" i="24" s="1"/>
  <c r="C64" i="24" s="1"/>
  <c r="C65" i="24" s="1"/>
  <c r="C66" i="24" s="1"/>
  <c r="C67" i="24" s="1"/>
  <c r="C68" i="24" s="1"/>
  <c r="C69" i="24" s="1"/>
  <c r="C70" i="24" s="1"/>
  <c r="C71" i="24" s="1"/>
  <c r="C72" i="24" s="1"/>
  <c r="I17" i="24"/>
  <c r="L17" i="24"/>
  <c r="M17" i="24"/>
  <c r="N17" i="24" s="1"/>
  <c r="B18" i="24"/>
  <c r="I18" i="24"/>
  <c r="L18" i="24"/>
  <c r="O18" i="24"/>
  <c r="N18" i="24"/>
  <c r="B19" i="24"/>
  <c r="K19" i="24"/>
  <c r="L19" i="24"/>
  <c r="M19" i="24"/>
  <c r="N19" i="24" s="1"/>
  <c r="O19" i="24" s="1"/>
  <c r="B20" i="24"/>
  <c r="K20" i="24"/>
  <c r="L20" i="24"/>
  <c r="M20" i="24"/>
  <c r="N20" i="24"/>
  <c r="O20" i="24" s="1"/>
  <c r="B21" i="24"/>
  <c r="K21" i="24"/>
  <c r="L21" i="24"/>
  <c r="M21" i="24"/>
  <c r="N21" i="24"/>
  <c r="O21" i="24" s="1"/>
  <c r="B22" i="24"/>
  <c r="K22" i="24"/>
  <c r="L22" i="24"/>
  <c r="M22" i="24"/>
  <c r="N22" i="24"/>
  <c r="B23" i="24"/>
  <c r="K23" i="24"/>
  <c r="L23" i="24" s="1"/>
  <c r="M23" i="24"/>
  <c r="N23" i="24" s="1"/>
  <c r="O23" i="24" s="1"/>
  <c r="B24" i="24"/>
  <c r="K24" i="24"/>
  <c r="L24" i="24" s="1"/>
  <c r="O24" i="24" s="1"/>
  <c r="M24" i="24"/>
  <c r="N24" i="24"/>
  <c r="B25" i="24"/>
  <c r="I25" i="24"/>
  <c r="K25" i="24"/>
  <c r="L25" i="24"/>
  <c r="M25" i="24"/>
  <c r="N25" i="24"/>
  <c r="B26" i="24"/>
  <c r="K26" i="24"/>
  <c r="L26" i="24" s="1"/>
  <c r="M26" i="24"/>
  <c r="N26" i="24" s="1"/>
  <c r="B27" i="24"/>
  <c r="L28" i="24"/>
  <c r="N28" i="24"/>
  <c r="L29" i="24"/>
  <c r="N29" i="24"/>
  <c r="L30" i="24"/>
  <c r="N30" i="24"/>
  <c r="L31" i="24"/>
  <c r="N31" i="24"/>
  <c r="L32" i="24"/>
  <c r="N32" i="24"/>
  <c r="L33" i="24"/>
  <c r="N33" i="24"/>
  <c r="L34" i="24"/>
  <c r="N34" i="24"/>
  <c r="O34" i="24"/>
  <c r="L35" i="24"/>
  <c r="O35" i="24" s="1"/>
  <c r="N35" i="24"/>
  <c r="L36" i="24"/>
  <c r="N36" i="24"/>
  <c r="L37" i="24"/>
  <c r="O37" i="24" s="1"/>
  <c r="N37" i="24"/>
  <c r="L38" i="24"/>
  <c r="N38" i="24"/>
  <c r="L39" i="24"/>
  <c r="O39" i="24" s="1"/>
  <c r="N39" i="24"/>
  <c r="L40" i="24"/>
  <c r="N40" i="24"/>
  <c r="L41" i="24"/>
  <c r="N41" i="24"/>
  <c r="L42" i="24"/>
  <c r="N42" i="24"/>
  <c r="L43" i="24"/>
  <c r="O43" i="24" s="1"/>
  <c r="N43" i="24"/>
  <c r="L44" i="24"/>
  <c r="N44" i="24"/>
  <c r="O44" i="24" s="1"/>
  <c r="L45" i="24"/>
  <c r="N45" i="24"/>
  <c r="L46" i="24"/>
  <c r="N46" i="24"/>
  <c r="L47" i="24"/>
  <c r="N47" i="24"/>
  <c r="L48" i="24"/>
  <c r="N48" i="24"/>
  <c r="O48" i="24" s="1"/>
  <c r="L49" i="24"/>
  <c r="N49" i="24"/>
  <c r="L50" i="24"/>
  <c r="N50" i="24"/>
  <c r="O50" i="24" s="1"/>
  <c r="L51" i="24"/>
  <c r="N51" i="24"/>
  <c r="L52" i="24"/>
  <c r="N52" i="24"/>
  <c r="L53" i="24"/>
  <c r="N53" i="24"/>
  <c r="L54" i="24"/>
  <c r="N54" i="24"/>
  <c r="O54" i="24" s="1"/>
  <c r="L55" i="24"/>
  <c r="N55" i="24"/>
  <c r="L56" i="24"/>
  <c r="N56" i="24"/>
  <c r="L57" i="24"/>
  <c r="O57" i="24" s="1"/>
  <c r="N57" i="24"/>
  <c r="L58" i="24"/>
  <c r="N58" i="24"/>
  <c r="Q58" i="24"/>
  <c r="L59" i="24"/>
  <c r="N59" i="24"/>
  <c r="L60" i="24"/>
  <c r="N60" i="24"/>
  <c r="L61" i="24"/>
  <c r="N61" i="24"/>
  <c r="L62" i="24"/>
  <c r="N62" i="24"/>
  <c r="L63" i="24"/>
  <c r="N63" i="24"/>
  <c r="L64" i="24"/>
  <c r="N64" i="24"/>
  <c r="L65" i="24"/>
  <c r="N65" i="24"/>
  <c r="L66" i="24"/>
  <c r="N66" i="24"/>
  <c r="L67" i="24"/>
  <c r="N67" i="24"/>
  <c r="L68" i="24"/>
  <c r="N68" i="24"/>
  <c r="L69" i="24"/>
  <c r="N69" i="24"/>
  <c r="L70" i="24"/>
  <c r="N70" i="24"/>
  <c r="L71" i="24"/>
  <c r="N71" i="24"/>
  <c r="L72" i="24"/>
  <c r="N72" i="24"/>
  <c r="D89" i="24"/>
  <c r="D91" i="24"/>
  <c r="J93" i="24"/>
  <c r="L93" i="24"/>
  <c r="D96" i="24"/>
  <c r="J99" i="24"/>
  <c r="M99" i="24"/>
  <c r="O99" i="24"/>
  <c r="B100" i="24"/>
  <c r="J100" i="24"/>
  <c r="L100" i="24"/>
  <c r="M100" i="24" s="1"/>
  <c r="N100" i="24"/>
  <c r="O100" i="24" s="1"/>
  <c r="B101" i="24"/>
  <c r="J101" i="24"/>
  <c r="L101" i="24"/>
  <c r="M101" i="24"/>
  <c r="N101" i="24"/>
  <c r="O101" i="24"/>
  <c r="P101" i="24" s="1"/>
  <c r="B102" i="24"/>
  <c r="J102" i="24"/>
  <c r="L102" i="24"/>
  <c r="M102" i="24"/>
  <c r="N102" i="24"/>
  <c r="O102" i="24" s="1"/>
  <c r="P102" i="24" s="1"/>
  <c r="B103" i="24"/>
  <c r="J103" i="24"/>
  <c r="L103" i="24"/>
  <c r="M103" i="24"/>
  <c r="N103" i="24"/>
  <c r="O103" i="24" s="1"/>
  <c r="P103" i="24" s="1"/>
  <c r="B104" i="24"/>
  <c r="L104" i="24"/>
  <c r="M104" i="24"/>
  <c r="N104" i="24"/>
  <c r="O104" i="24"/>
  <c r="B105" i="24"/>
  <c r="L105" i="24"/>
  <c r="M105" i="24" s="1"/>
  <c r="N105" i="24"/>
  <c r="O105" i="24" s="1"/>
  <c r="B106" i="24"/>
  <c r="J106" i="24"/>
  <c r="L106" i="24"/>
  <c r="M106" i="24"/>
  <c r="N106" i="24"/>
  <c r="O106" i="24" s="1"/>
  <c r="B107" i="24"/>
  <c r="L107" i="24"/>
  <c r="M107" i="24"/>
  <c r="N107" i="24"/>
  <c r="O107" i="24"/>
  <c r="D108" i="24"/>
  <c r="B108" i="24"/>
  <c r="M108" i="24"/>
  <c r="O108" i="24"/>
  <c r="P108" i="24" s="1"/>
  <c r="M109" i="24"/>
  <c r="O109" i="24"/>
  <c r="M110" i="24"/>
  <c r="O110" i="24"/>
  <c r="M111" i="24"/>
  <c r="O111" i="24"/>
  <c r="M112" i="24"/>
  <c r="O112" i="24"/>
  <c r="P112" i="24" s="1"/>
  <c r="M113" i="24"/>
  <c r="O113" i="24"/>
  <c r="M114" i="24"/>
  <c r="O114" i="24"/>
  <c r="M115" i="24"/>
  <c r="O115" i="24"/>
  <c r="M116" i="24"/>
  <c r="O116" i="24"/>
  <c r="P116" i="24" s="1"/>
  <c r="M117" i="24"/>
  <c r="O117" i="24"/>
  <c r="M118" i="24"/>
  <c r="O118" i="24"/>
  <c r="M119" i="24"/>
  <c r="O119" i="24"/>
  <c r="M120" i="24"/>
  <c r="O120" i="24"/>
  <c r="P120" i="24" s="1"/>
  <c r="M121" i="24"/>
  <c r="O121" i="24"/>
  <c r="M122" i="24"/>
  <c r="O122" i="24"/>
  <c r="M123" i="24"/>
  <c r="O123" i="24"/>
  <c r="P123" i="24" s="1"/>
  <c r="M124" i="24"/>
  <c r="O124" i="24"/>
  <c r="M125" i="24"/>
  <c r="O125" i="24"/>
  <c r="M126" i="24"/>
  <c r="O126" i="24"/>
  <c r="M127" i="24"/>
  <c r="O127" i="24"/>
  <c r="P127" i="24" s="1"/>
  <c r="M128" i="24"/>
  <c r="O128" i="24"/>
  <c r="P128" i="24" s="1"/>
  <c r="M129" i="24"/>
  <c r="O129" i="24"/>
  <c r="M130" i="24"/>
  <c r="O130" i="24"/>
  <c r="M131" i="24"/>
  <c r="O131" i="24"/>
  <c r="M132" i="24"/>
  <c r="O132" i="24"/>
  <c r="P132" i="24" s="1"/>
  <c r="M133" i="24"/>
  <c r="O133" i="24"/>
  <c r="M134" i="24"/>
  <c r="O134" i="24"/>
  <c r="M135" i="24"/>
  <c r="O135" i="24"/>
  <c r="P135" i="24" s="1"/>
  <c r="M136" i="24"/>
  <c r="O136" i="24"/>
  <c r="M137" i="24"/>
  <c r="O137" i="24"/>
  <c r="M138" i="24"/>
  <c r="O138" i="24"/>
  <c r="M139" i="24"/>
  <c r="O139" i="24"/>
  <c r="M140" i="24"/>
  <c r="O140" i="24"/>
  <c r="M141" i="24"/>
  <c r="O141" i="24"/>
  <c r="P141" i="24" s="1"/>
  <c r="M142" i="24"/>
  <c r="O142" i="24"/>
  <c r="M143" i="24"/>
  <c r="O143" i="24"/>
  <c r="M144" i="24"/>
  <c r="O144" i="24"/>
  <c r="M145" i="24"/>
  <c r="O145" i="24"/>
  <c r="P145" i="24" s="1"/>
  <c r="M146" i="24"/>
  <c r="O146" i="24"/>
  <c r="M147" i="24"/>
  <c r="O147" i="24"/>
  <c r="M148" i="24"/>
  <c r="O148" i="24"/>
  <c r="M149" i="24"/>
  <c r="O149" i="24"/>
  <c r="M150" i="24"/>
  <c r="O150" i="24"/>
  <c r="M151" i="24"/>
  <c r="O151" i="24"/>
  <c r="M152" i="24"/>
  <c r="O152" i="24"/>
  <c r="M153" i="24"/>
  <c r="O153" i="24"/>
  <c r="P153" i="24" s="1"/>
  <c r="M154" i="24"/>
  <c r="O154" i="24"/>
  <c r="P1" i="23"/>
  <c r="P83" i="23" s="1"/>
  <c r="O3" i="23"/>
  <c r="D8" i="23"/>
  <c r="D90" i="23" s="1"/>
  <c r="K11" i="23"/>
  <c r="C17" i="23"/>
  <c r="C18" i="23"/>
  <c r="C19" i="23" s="1"/>
  <c r="C20" i="23" s="1"/>
  <c r="C21" i="23" s="1"/>
  <c r="C22" i="23" s="1"/>
  <c r="C23" i="23" s="1"/>
  <c r="C24" i="23" s="1"/>
  <c r="C25" i="23" s="1"/>
  <c r="C26" i="23" s="1"/>
  <c r="C27" i="23" s="1"/>
  <c r="C28" i="23" s="1"/>
  <c r="C29" i="23" s="1"/>
  <c r="C30" i="23" s="1"/>
  <c r="C31" i="23" s="1"/>
  <c r="C32" i="23" s="1"/>
  <c r="C33" i="23" s="1"/>
  <c r="C34" i="23" s="1"/>
  <c r="C35" i="23" s="1"/>
  <c r="C36" i="23" s="1"/>
  <c r="C37" i="23" s="1"/>
  <c r="C38" i="23" s="1"/>
  <c r="C39" i="23" s="1"/>
  <c r="C40" i="23" s="1"/>
  <c r="C41" i="23" s="1"/>
  <c r="C42" i="23" s="1"/>
  <c r="C43" i="23" s="1"/>
  <c r="C44" i="23" s="1"/>
  <c r="I17" i="23"/>
  <c r="L17" i="23"/>
  <c r="M17" i="23"/>
  <c r="N17" i="23" s="1"/>
  <c r="O17" i="23" s="1"/>
  <c r="B18" i="23"/>
  <c r="I18" i="23"/>
  <c r="L18" i="23"/>
  <c r="N18" i="23"/>
  <c r="O18" i="23" s="1"/>
  <c r="B19" i="23"/>
  <c r="K19" i="23"/>
  <c r="L19" i="23" s="1"/>
  <c r="M19" i="23"/>
  <c r="N19" i="23" s="1"/>
  <c r="O19" i="23" s="1"/>
  <c r="B20" i="23"/>
  <c r="K20" i="23"/>
  <c r="L20" i="23"/>
  <c r="M20" i="23"/>
  <c r="N20" i="23" s="1"/>
  <c r="B21" i="23"/>
  <c r="K21" i="23"/>
  <c r="L21" i="23" s="1"/>
  <c r="M21" i="23"/>
  <c r="N21" i="23" s="1"/>
  <c r="B22" i="23"/>
  <c r="K22" i="23"/>
  <c r="L22" i="23" s="1"/>
  <c r="M22" i="23"/>
  <c r="N22" i="23"/>
  <c r="B23" i="23"/>
  <c r="K23" i="23"/>
  <c r="L23" i="23" s="1"/>
  <c r="M23" i="23"/>
  <c r="N23" i="23" s="1"/>
  <c r="B24" i="23"/>
  <c r="K24" i="23"/>
  <c r="L24" i="23"/>
  <c r="M24" i="23"/>
  <c r="N24" i="23"/>
  <c r="O24" i="23" s="1"/>
  <c r="B25" i="23"/>
  <c r="I25" i="23"/>
  <c r="K25" i="23"/>
  <c r="L25" i="23" s="1"/>
  <c r="M25" i="23"/>
  <c r="N25" i="23" s="1"/>
  <c r="B26" i="23"/>
  <c r="K26" i="23"/>
  <c r="L26" i="23"/>
  <c r="M26" i="23"/>
  <c r="N26" i="23"/>
  <c r="O26" i="23" s="1"/>
  <c r="B27" i="23"/>
  <c r="L28" i="23"/>
  <c r="O28" i="23" s="1"/>
  <c r="N28" i="23"/>
  <c r="L29" i="23"/>
  <c r="N29" i="23"/>
  <c r="L30" i="23"/>
  <c r="O30" i="23" s="1"/>
  <c r="N30" i="23"/>
  <c r="L31" i="23"/>
  <c r="N31" i="23"/>
  <c r="L32" i="23"/>
  <c r="N32" i="23"/>
  <c r="L33" i="23"/>
  <c r="N33" i="23"/>
  <c r="L34" i="23"/>
  <c r="N34" i="23"/>
  <c r="L35" i="23"/>
  <c r="N35" i="23"/>
  <c r="L36" i="23"/>
  <c r="N36" i="23"/>
  <c r="L37" i="23"/>
  <c r="N37" i="23"/>
  <c r="O37" i="23" s="1"/>
  <c r="L38" i="23"/>
  <c r="O38" i="23" s="1"/>
  <c r="N38" i="23"/>
  <c r="L39" i="23"/>
  <c r="N39" i="23"/>
  <c r="L40" i="23"/>
  <c r="N40" i="23"/>
  <c r="L41" i="23"/>
  <c r="N41" i="23"/>
  <c r="L42" i="23"/>
  <c r="O42" i="23" s="1"/>
  <c r="N42" i="23"/>
  <c r="L43" i="23"/>
  <c r="N43" i="23"/>
  <c r="L44" i="23"/>
  <c r="O44" i="23" s="1"/>
  <c r="N44" i="23"/>
  <c r="L45" i="23"/>
  <c r="N45" i="23"/>
  <c r="O45" i="23" s="1"/>
  <c r="L46" i="23"/>
  <c r="N46" i="23"/>
  <c r="L47" i="23"/>
  <c r="N47" i="23"/>
  <c r="O47" i="23" s="1"/>
  <c r="L48" i="23"/>
  <c r="N48" i="23"/>
  <c r="L49" i="23"/>
  <c r="N49" i="23"/>
  <c r="L50" i="23"/>
  <c r="N50" i="23"/>
  <c r="L51" i="23"/>
  <c r="N51" i="23"/>
  <c r="O51" i="23" s="1"/>
  <c r="L52" i="23"/>
  <c r="N52" i="23"/>
  <c r="L53" i="23"/>
  <c r="N53" i="23"/>
  <c r="O53" i="23" s="1"/>
  <c r="L54" i="23"/>
  <c r="N54" i="23"/>
  <c r="L55" i="23"/>
  <c r="N55" i="23"/>
  <c r="O55" i="23" s="1"/>
  <c r="L56" i="23"/>
  <c r="N56" i="23"/>
  <c r="L57" i="23"/>
  <c r="N57" i="23"/>
  <c r="L58" i="23"/>
  <c r="N58" i="23"/>
  <c r="Q58" i="23"/>
  <c r="L59" i="23"/>
  <c r="N59" i="23"/>
  <c r="L60" i="23"/>
  <c r="N60" i="23"/>
  <c r="L61" i="23"/>
  <c r="N61" i="23"/>
  <c r="L62" i="23"/>
  <c r="N62" i="23"/>
  <c r="L63" i="23"/>
  <c r="N63" i="23"/>
  <c r="L64" i="23"/>
  <c r="N64" i="23"/>
  <c r="L65" i="23"/>
  <c r="N65" i="23"/>
  <c r="L66" i="23"/>
  <c r="N66" i="23"/>
  <c r="L67" i="23"/>
  <c r="N67" i="23"/>
  <c r="L68" i="23"/>
  <c r="N68" i="23"/>
  <c r="L69" i="23"/>
  <c r="N69" i="23"/>
  <c r="L70" i="23"/>
  <c r="N70" i="23"/>
  <c r="O70" i="23" s="1"/>
  <c r="L71" i="23"/>
  <c r="N71" i="23"/>
  <c r="L72" i="23"/>
  <c r="N72" i="23"/>
  <c r="D89" i="23"/>
  <c r="D91" i="23"/>
  <c r="J93" i="23"/>
  <c r="L93" i="23"/>
  <c r="D96" i="23"/>
  <c r="J99" i="23"/>
  <c r="M99" i="23"/>
  <c r="P99" i="23"/>
  <c r="O99" i="23"/>
  <c r="B100" i="23"/>
  <c r="J100" i="23"/>
  <c r="L100" i="23"/>
  <c r="M100" i="23" s="1"/>
  <c r="N100" i="23"/>
  <c r="O100" i="23" s="1"/>
  <c r="P100" i="23" s="1"/>
  <c r="B101" i="23"/>
  <c r="J101" i="23"/>
  <c r="L101" i="23"/>
  <c r="M101" i="23"/>
  <c r="N101" i="23"/>
  <c r="O101" i="23" s="1"/>
  <c r="P101" i="23" s="1"/>
  <c r="B102" i="23"/>
  <c r="J102" i="23"/>
  <c r="L102" i="23"/>
  <c r="M102" i="23" s="1"/>
  <c r="N102" i="23"/>
  <c r="O102" i="23" s="1"/>
  <c r="P102" i="23" s="1"/>
  <c r="B103" i="23"/>
  <c r="J103" i="23"/>
  <c r="L103" i="23"/>
  <c r="M103" i="23"/>
  <c r="N103" i="23"/>
  <c r="O103" i="23"/>
  <c r="P103" i="23" s="1"/>
  <c r="B104" i="23"/>
  <c r="L104" i="23"/>
  <c r="M104" i="23"/>
  <c r="N104" i="23"/>
  <c r="O104" i="23"/>
  <c r="B105" i="23"/>
  <c r="L105" i="23"/>
  <c r="M105" i="23" s="1"/>
  <c r="P105" i="23" s="1"/>
  <c r="N105" i="23"/>
  <c r="O105" i="23" s="1"/>
  <c r="B106" i="23"/>
  <c r="J106" i="23"/>
  <c r="L106" i="23"/>
  <c r="M106" i="23" s="1"/>
  <c r="N106" i="23"/>
  <c r="O106" i="23" s="1"/>
  <c r="B107" i="23"/>
  <c r="L107" i="23"/>
  <c r="M107" i="23" s="1"/>
  <c r="N107" i="23"/>
  <c r="O107" i="23" s="1"/>
  <c r="P107" i="23" s="1"/>
  <c r="D108" i="23"/>
  <c r="M108" i="23"/>
  <c r="O108" i="23"/>
  <c r="P108" i="23" s="1"/>
  <c r="M109" i="23"/>
  <c r="O109" i="23"/>
  <c r="M110" i="23"/>
  <c r="O110" i="23"/>
  <c r="M111" i="23"/>
  <c r="O111" i="23"/>
  <c r="M112" i="23"/>
  <c r="O112" i="23"/>
  <c r="M113" i="23"/>
  <c r="O113" i="23"/>
  <c r="P113" i="23" s="1"/>
  <c r="M114" i="23"/>
  <c r="O114" i="23"/>
  <c r="P114" i="23"/>
  <c r="M115" i="23"/>
  <c r="O115" i="23"/>
  <c r="P115" i="23" s="1"/>
  <c r="M116" i="23"/>
  <c r="O116" i="23"/>
  <c r="M117" i="23"/>
  <c r="O117" i="23"/>
  <c r="M118" i="23"/>
  <c r="O118" i="23"/>
  <c r="P118" i="23" s="1"/>
  <c r="M119" i="23"/>
  <c r="O119" i="23"/>
  <c r="P119" i="23" s="1"/>
  <c r="M120" i="23"/>
  <c r="O120" i="23"/>
  <c r="M121" i="23"/>
  <c r="O121" i="23"/>
  <c r="M122" i="23"/>
  <c r="O122" i="23"/>
  <c r="P122" i="23" s="1"/>
  <c r="M123" i="23"/>
  <c r="O123" i="23"/>
  <c r="P123" i="23" s="1"/>
  <c r="M124" i="23"/>
  <c r="O124" i="23"/>
  <c r="M125" i="23"/>
  <c r="O125" i="23"/>
  <c r="M126" i="23"/>
  <c r="O126" i="23"/>
  <c r="P126" i="23" s="1"/>
  <c r="M127" i="23"/>
  <c r="O127" i="23"/>
  <c r="M128" i="23"/>
  <c r="O128" i="23"/>
  <c r="M129" i="23"/>
  <c r="O129" i="23"/>
  <c r="M130" i="23"/>
  <c r="O130" i="23"/>
  <c r="M131" i="23"/>
  <c r="O131" i="23"/>
  <c r="P131" i="23" s="1"/>
  <c r="M132" i="23"/>
  <c r="O132" i="23"/>
  <c r="M133" i="23"/>
  <c r="P133" i="23" s="1"/>
  <c r="O133" i="23"/>
  <c r="M134" i="23"/>
  <c r="O134" i="23"/>
  <c r="P134" i="23" s="1"/>
  <c r="M135" i="23"/>
  <c r="O135" i="23"/>
  <c r="M136" i="23"/>
  <c r="O136" i="23"/>
  <c r="P136" i="23" s="1"/>
  <c r="M137" i="23"/>
  <c r="O137" i="23"/>
  <c r="M138" i="23"/>
  <c r="O138" i="23"/>
  <c r="P138" i="23" s="1"/>
  <c r="M139" i="23"/>
  <c r="O139" i="23"/>
  <c r="M140" i="23"/>
  <c r="O140" i="23"/>
  <c r="P140" i="23" s="1"/>
  <c r="M141" i="23"/>
  <c r="O141" i="23"/>
  <c r="M142" i="23"/>
  <c r="O142" i="23"/>
  <c r="M143" i="23"/>
  <c r="O143" i="23"/>
  <c r="P143" i="23" s="1"/>
  <c r="M144" i="23"/>
  <c r="O144" i="23"/>
  <c r="P144" i="23" s="1"/>
  <c r="M145" i="23"/>
  <c r="O145" i="23"/>
  <c r="M146" i="23"/>
  <c r="O146" i="23"/>
  <c r="P146" i="23" s="1"/>
  <c r="M147" i="23"/>
  <c r="O147" i="23"/>
  <c r="P147" i="23" s="1"/>
  <c r="M148" i="23"/>
  <c r="O148" i="23"/>
  <c r="M149" i="23"/>
  <c r="O149" i="23"/>
  <c r="M150" i="23"/>
  <c r="O150" i="23"/>
  <c r="M151" i="23"/>
  <c r="O151" i="23"/>
  <c r="P151" i="23" s="1"/>
  <c r="M152" i="23"/>
  <c r="O152" i="23"/>
  <c r="M153" i="23"/>
  <c r="O153" i="23"/>
  <c r="M154" i="23"/>
  <c r="O154" i="23"/>
  <c r="P1" i="22"/>
  <c r="P83" i="22" s="1"/>
  <c r="O3" i="22"/>
  <c r="D8" i="22"/>
  <c r="D90" i="22" s="1"/>
  <c r="K11" i="22"/>
  <c r="C17" i="22"/>
  <c r="I17" i="22"/>
  <c r="L17" i="22"/>
  <c r="N17" i="22"/>
  <c r="B18" i="22"/>
  <c r="C18" i="22"/>
  <c r="C19" i="22" s="1"/>
  <c r="C20" i="22" s="1"/>
  <c r="C21" i="22" s="1"/>
  <c r="C22" i="22" s="1"/>
  <c r="C23" i="22" s="1"/>
  <c r="C24" i="22" s="1"/>
  <c r="C25" i="22" s="1"/>
  <c r="C26" i="22" s="1"/>
  <c r="C27" i="22" s="1"/>
  <c r="C28" i="22" s="1"/>
  <c r="C29" i="22" s="1"/>
  <c r="C30" i="22" s="1"/>
  <c r="C31" i="22" s="1"/>
  <c r="C32" i="22" s="1"/>
  <c r="C33" i="22" s="1"/>
  <c r="C34" i="22" s="1"/>
  <c r="C35" i="22" s="1"/>
  <c r="C36" i="22" s="1"/>
  <c r="C37" i="22" s="1"/>
  <c r="C38" i="22" s="1"/>
  <c r="C39" i="22" s="1"/>
  <c r="C40" i="22" s="1"/>
  <c r="C41" i="22" s="1"/>
  <c r="C42" i="22" s="1"/>
  <c r="C43" i="22" s="1"/>
  <c r="C44" i="22" s="1"/>
  <c r="K18" i="22"/>
  <c r="L18" i="22" s="1"/>
  <c r="M18" i="22"/>
  <c r="N18" i="22" s="1"/>
  <c r="B19" i="22"/>
  <c r="K19" i="22"/>
  <c r="L19" i="22" s="1"/>
  <c r="M19" i="22"/>
  <c r="N19" i="22" s="1"/>
  <c r="B20" i="22"/>
  <c r="K20" i="22"/>
  <c r="L20" i="22"/>
  <c r="M20" i="22"/>
  <c r="N20" i="22" s="1"/>
  <c r="B21" i="22"/>
  <c r="K21" i="22"/>
  <c r="L21" i="22" s="1"/>
  <c r="M21" i="22"/>
  <c r="N21" i="22" s="1"/>
  <c r="B22" i="22"/>
  <c r="K22" i="22"/>
  <c r="L22" i="22" s="1"/>
  <c r="M22" i="22"/>
  <c r="N22" i="22" s="1"/>
  <c r="O22" i="22" s="1"/>
  <c r="B23" i="22"/>
  <c r="K23" i="22"/>
  <c r="L23" i="22"/>
  <c r="M23" i="22"/>
  <c r="N23" i="22" s="1"/>
  <c r="B24" i="22"/>
  <c r="I24" i="22"/>
  <c r="K24" i="22"/>
  <c r="L24" i="22"/>
  <c r="M24" i="22"/>
  <c r="N24" i="22"/>
  <c r="B25" i="22"/>
  <c r="K25" i="22"/>
  <c r="L25" i="22"/>
  <c r="M25" i="22"/>
  <c r="N25" i="22" s="1"/>
  <c r="B26" i="22"/>
  <c r="L27" i="22"/>
  <c r="N27" i="22"/>
  <c r="L28" i="22"/>
  <c r="N28" i="22"/>
  <c r="L29" i="22"/>
  <c r="N29" i="22"/>
  <c r="L30" i="22"/>
  <c r="N30" i="22"/>
  <c r="L31" i="22"/>
  <c r="N31" i="22"/>
  <c r="L32" i="22"/>
  <c r="N32" i="22"/>
  <c r="L33" i="22"/>
  <c r="N33" i="22"/>
  <c r="L34" i="22"/>
  <c r="N34" i="22"/>
  <c r="L35" i="22"/>
  <c r="N35" i="22"/>
  <c r="L36" i="22"/>
  <c r="N36" i="22"/>
  <c r="L37" i="22"/>
  <c r="N37" i="22"/>
  <c r="L38" i="22"/>
  <c r="N38" i="22"/>
  <c r="L39" i="22"/>
  <c r="N39" i="22"/>
  <c r="L40" i="22"/>
  <c r="N40" i="22"/>
  <c r="L41" i="22"/>
  <c r="N41" i="22"/>
  <c r="L42" i="22"/>
  <c r="N42" i="22"/>
  <c r="O42" i="22" s="1"/>
  <c r="L43" i="22"/>
  <c r="N43" i="22"/>
  <c r="L44" i="22"/>
  <c r="N44" i="22"/>
  <c r="O44" i="22" s="1"/>
  <c r="L45" i="22"/>
  <c r="N45" i="22"/>
  <c r="L46" i="22"/>
  <c r="N46" i="22"/>
  <c r="L47" i="22"/>
  <c r="N47" i="22"/>
  <c r="L48" i="22"/>
  <c r="N48" i="22"/>
  <c r="L49" i="22"/>
  <c r="N49" i="22"/>
  <c r="L50" i="22"/>
  <c r="N50" i="22"/>
  <c r="L51" i="22"/>
  <c r="N51" i="22"/>
  <c r="L52" i="22"/>
  <c r="N52" i="22"/>
  <c r="L53" i="22"/>
  <c r="N53" i="22"/>
  <c r="L54" i="22"/>
  <c r="N54" i="22"/>
  <c r="L55" i="22"/>
  <c r="N55" i="22"/>
  <c r="L56" i="22"/>
  <c r="N56" i="22"/>
  <c r="L57" i="22"/>
  <c r="N57" i="22"/>
  <c r="L58" i="22"/>
  <c r="N58" i="22"/>
  <c r="Q58" i="22"/>
  <c r="L59" i="22"/>
  <c r="N59" i="22"/>
  <c r="L60" i="22"/>
  <c r="N60" i="22"/>
  <c r="L61" i="22"/>
  <c r="N61" i="22"/>
  <c r="L62" i="22"/>
  <c r="N62" i="22"/>
  <c r="L63" i="22"/>
  <c r="N63" i="22"/>
  <c r="L64" i="22"/>
  <c r="N64" i="22"/>
  <c r="O64" i="22" s="1"/>
  <c r="L65" i="22"/>
  <c r="N65" i="22"/>
  <c r="L66" i="22"/>
  <c r="N66" i="22"/>
  <c r="O66" i="22" s="1"/>
  <c r="L67" i="22"/>
  <c r="N67" i="22"/>
  <c r="L68" i="22"/>
  <c r="N68" i="22"/>
  <c r="L69" i="22"/>
  <c r="N69" i="22"/>
  <c r="L70" i="22"/>
  <c r="N70" i="22"/>
  <c r="L71" i="22"/>
  <c r="N71" i="22"/>
  <c r="L72" i="22"/>
  <c r="N72" i="22"/>
  <c r="O72" i="22" s="1"/>
  <c r="D89" i="22"/>
  <c r="D91" i="22"/>
  <c r="J93" i="22"/>
  <c r="L93" i="22"/>
  <c r="D96" i="22"/>
  <c r="J99" i="22"/>
  <c r="L99" i="22"/>
  <c r="M99" i="22" s="1"/>
  <c r="N99" i="22"/>
  <c r="O99" i="22" s="1"/>
  <c r="B100" i="22"/>
  <c r="J100" i="22"/>
  <c r="L100" i="22"/>
  <c r="M100" i="22"/>
  <c r="N100" i="22"/>
  <c r="O100" i="22"/>
  <c r="B101" i="22"/>
  <c r="J101" i="22"/>
  <c r="L101" i="22"/>
  <c r="M101" i="22" s="1"/>
  <c r="N101" i="22"/>
  <c r="O101" i="22"/>
  <c r="B102" i="22"/>
  <c r="J102" i="22"/>
  <c r="L102" i="22"/>
  <c r="M102" i="22" s="1"/>
  <c r="N102" i="22"/>
  <c r="O102" i="22" s="1"/>
  <c r="B103" i="22"/>
  <c r="L103" i="22"/>
  <c r="M103" i="22" s="1"/>
  <c r="N103" i="22"/>
  <c r="O103" i="22" s="1"/>
  <c r="B104" i="22"/>
  <c r="L104" i="22"/>
  <c r="M104" i="22" s="1"/>
  <c r="N104" i="22"/>
  <c r="O104" i="22"/>
  <c r="B105" i="22"/>
  <c r="J105" i="22"/>
  <c r="L105" i="22"/>
  <c r="M105" i="22" s="1"/>
  <c r="N105" i="22"/>
  <c r="O105" i="22" s="1"/>
  <c r="B106" i="22"/>
  <c r="L106" i="22"/>
  <c r="M106" i="22"/>
  <c r="N106" i="22"/>
  <c r="O106" i="22" s="1"/>
  <c r="P106" i="22" s="1"/>
  <c r="D107" i="22"/>
  <c r="M107" i="22"/>
  <c r="O107" i="22"/>
  <c r="M108" i="22"/>
  <c r="O108" i="22"/>
  <c r="M109" i="22"/>
  <c r="O109" i="22"/>
  <c r="P109" i="22" s="1"/>
  <c r="M110" i="22"/>
  <c r="O110" i="22"/>
  <c r="M111" i="22"/>
  <c r="O111" i="22"/>
  <c r="P111" i="22" s="1"/>
  <c r="M112" i="22"/>
  <c r="O112" i="22"/>
  <c r="M113" i="22"/>
  <c r="O113" i="22"/>
  <c r="P113" i="22" s="1"/>
  <c r="M114" i="22"/>
  <c r="O114" i="22"/>
  <c r="M115" i="22"/>
  <c r="O115" i="22"/>
  <c r="M116" i="22"/>
  <c r="O116" i="22"/>
  <c r="P116" i="22" s="1"/>
  <c r="M117" i="22"/>
  <c r="O117" i="22"/>
  <c r="P117" i="22" s="1"/>
  <c r="M118" i="22"/>
  <c r="O118" i="22"/>
  <c r="P118" i="22" s="1"/>
  <c r="M119" i="22"/>
  <c r="O119" i="22"/>
  <c r="M120" i="22"/>
  <c r="O120" i="22"/>
  <c r="P120" i="22"/>
  <c r="M121" i="22"/>
  <c r="O121" i="22"/>
  <c r="M122" i="22"/>
  <c r="O122" i="22"/>
  <c r="P122" i="22" s="1"/>
  <c r="M123" i="22"/>
  <c r="O123" i="22"/>
  <c r="M124" i="22"/>
  <c r="O124" i="22"/>
  <c r="M125" i="22"/>
  <c r="O125" i="22"/>
  <c r="P125" i="22" s="1"/>
  <c r="M126" i="22"/>
  <c r="P126" i="22" s="1"/>
  <c r="O126" i="22"/>
  <c r="M127" i="22"/>
  <c r="O127" i="22"/>
  <c r="P127" i="22" s="1"/>
  <c r="M128" i="22"/>
  <c r="O128" i="22"/>
  <c r="P128" i="22" s="1"/>
  <c r="M129" i="22"/>
  <c r="O129" i="22"/>
  <c r="M130" i="22"/>
  <c r="O130" i="22"/>
  <c r="M131" i="22"/>
  <c r="O131" i="22"/>
  <c r="P131" i="22" s="1"/>
  <c r="M132" i="22"/>
  <c r="O132" i="22"/>
  <c r="P132" i="22" s="1"/>
  <c r="M133" i="22"/>
  <c r="O133" i="22"/>
  <c r="M134" i="22"/>
  <c r="O134" i="22"/>
  <c r="P134" i="22" s="1"/>
  <c r="M135" i="22"/>
  <c r="O135" i="22"/>
  <c r="M136" i="22"/>
  <c r="O136" i="22"/>
  <c r="M137" i="22"/>
  <c r="O137" i="22"/>
  <c r="P137" i="22" s="1"/>
  <c r="M138" i="22"/>
  <c r="O138" i="22"/>
  <c r="M139" i="22"/>
  <c r="O139" i="22"/>
  <c r="P139" i="22" s="1"/>
  <c r="M140" i="22"/>
  <c r="O140" i="22"/>
  <c r="M141" i="22"/>
  <c r="O141" i="22"/>
  <c r="P141" i="22" s="1"/>
  <c r="M142" i="22"/>
  <c r="O142" i="22"/>
  <c r="M143" i="22"/>
  <c r="O143" i="22"/>
  <c r="P143" i="22" s="1"/>
  <c r="M144" i="22"/>
  <c r="O144" i="22"/>
  <c r="P144" i="22" s="1"/>
  <c r="M145" i="22"/>
  <c r="O145" i="22"/>
  <c r="P145" i="22" s="1"/>
  <c r="M146" i="22"/>
  <c r="O146" i="22"/>
  <c r="M147" i="22"/>
  <c r="O147" i="22"/>
  <c r="M148" i="22"/>
  <c r="O148" i="22"/>
  <c r="M149" i="22"/>
  <c r="O149" i="22"/>
  <c r="P149" i="22" s="1"/>
  <c r="M150" i="22"/>
  <c r="O150" i="22"/>
  <c r="M151" i="22"/>
  <c r="O151" i="22"/>
  <c r="M152" i="22"/>
  <c r="O152" i="22"/>
  <c r="P152" i="22" s="1"/>
  <c r="M153" i="22"/>
  <c r="O153" i="22"/>
  <c r="M154" i="22"/>
  <c r="O154" i="22"/>
  <c r="P154" i="22" s="1"/>
  <c r="P1" i="21"/>
  <c r="P83" i="21" s="1"/>
  <c r="O3" i="21"/>
  <c r="D8" i="21"/>
  <c r="K11" i="21"/>
  <c r="C17" i="21"/>
  <c r="C18" i="21" s="1"/>
  <c r="C19" i="21" s="1"/>
  <c r="C20" i="21" s="1"/>
  <c r="C21" i="21" s="1"/>
  <c r="C22" i="21" s="1"/>
  <c r="C23" i="21" s="1"/>
  <c r="C24" i="21" s="1"/>
  <c r="C25" i="21" s="1"/>
  <c r="C26" i="21" s="1"/>
  <c r="C27" i="21" s="1"/>
  <c r="C28" i="21" s="1"/>
  <c r="C29" i="21" s="1"/>
  <c r="C30" i="21" s="1"/>
  <c r="C31" i="21" s="1"/>
  <c r="C32" i="21" s="1"/>
  <c r="C33" i="21" s="1"/>
  <c r="C34" i="21" s="1"/>
  <c r="C35" i="21" s="1"/>
  <c r="C36" i="21" s="1"/>
  <c r="C37" i="21" s="1"/>
  <c r="C38" i="21" s="1"/>
  <c r="C39" i="21" s="1"/>
  <c r="C40" i="21" s="1"/>
  <c r="C41" i="21" s="1"/>
  <c r="C42" i="21" s="1"/>
  <c r="C43" i="21" s="1"/>
  <c r="C44" i="21" s="1"/>
  <c r="I17" i="21"/>
  <c r="L17" i="21"/>
  <c r="N17" i="21"/>
  <c r="O17" i="21" s="1"/>
  <c r="B18" i="21"/>
  <c r="I18" i="21"/>
  <c r="K18" i="21"/>
  <c r="L18" i="21"/>
  <c r="M18" i="21"/>
  <c r="N18" i="21" s="1"/>
  <c r="O18" i="21" s="1"/>
  <c r="B19" i="21"/>
  <c r="I19" i="21"/>
  <c r="K19" i="21"/>
  <c r="L19" i="21" s="1"/>
  <c r="M19" i="21"/>
  <c r="N19" i="21"/>
  <c r="B20" i="21"/>
  <c r="I20" i="21"/>
  <c r="K20" i="21"/>
  <c r="L20" i="21"/>
  <c r="M20" i="21"/>
  <c r="N20" i="21" s="1"/>
  <c r="B21" i="21"/>
  <c r="K21" i="21"/>
  <c r="L21" i="21"/>
  <c r="M21" i="21"/>
  <c r="N21" i="21"/>
  <c r="B22" i="21"/>
  <c r="K22" i="21"/>
  <c r="L22" i="21" s="1"/>
  <c r="M22" i="21"/>
  <c r="N22" i="21"/>
  <c r="B23" i="21"/>
  <c r="K23" i="21"/>
  <c r="L23" i="21"/>
  <c r="M23" i="21"/>
  <c r="N23" i="21"/>
  <c r="B24" i="21"/>
  <c r="I24" i="21"/>
  <c r="K24" i="21"/>
  <c r="L24" i="21" s="1"/>
  <c r="M24" i="21"/>
  <c r="N24" i="21"/>
  <c r="B25" i="21"/>
  <c r="K25" i="21"/>
  <c r="L25" i="21"/>
  <c r="M25" i="21"/>
  <c r="N25" i="21"/>
  <c r="O25" i="21" s="1"/>
  <c r="B26" i="21"/>
  <c r="L27" i="21"/>
  <c r="N27" i="21"/>
  <c r="L28" i="21"/>
  <c r="N28" i="21"/>
  <c r="L29" i="21"/>
  <c r="N29" i="21"/>
  <c r="L30" i="21"/>
  <c r="N30" i="21"/>
  <c r="L31" i="21"/>
  <c r="N31" i="21"/>
  <c r="L32" i="21"/>
  <c r="N32" i="21"/>
  <c r="L33" i="21"/>
  <c r="N33" i="21"/>
  <c r="L34" i="21"/>
  <c r="N34" i="21"/>
  <c r="L35" i="21"/>
  <c r="N35" i="21"/>
  <c r="L36" i="21"/>
  <c r="N36" i="21"/>
  <c r="O36" i="21" s="1"/>
  <c r="L37" i="21"/>
  <c r="N37" i="21"/>
  <c r="L38" i="21"/>
  <c r="N38" i="21"/>
  <c r="O38" i="21" s="1"/>
  <c r="L39" i="21"/>
  <c r="N39" i="21"/>
  <c r="L40" i="21"/>
  <c r="N40" i="21"/>
  <c r="L41" i="21"/>
  <c r="N41" i="21"/>
  <c r="L42" i="21"/>
  <c r="N42" i="21"/>
  <c r="L43" i="21"/>
  <c r="N43" i="21"/>
  <c r="L44" i="21"/>
  <c r="N44" i="21"/>
  <c r="O44" i="21" s="1"/>
  <c r="L45" i="21"/>
  <c r="N45" i="21"/>
  <c r="L46" i="21"/>
  <c r="N46" i="21"/>
  <c r="O46" i="21" s="1"/>
  <c r="L47" i="21"/>
  <c r="N47" i="21"/>
  <c r="L48" i="21"/>
  <c r="N48" i="21"/>
  <c r="O48" i="21" s="1"/>
  <c r="L49" i="21"/>
  <c r="N49" i="21"/>
  <c r="L50" i="21"/>
  <c r="N50" i="21"/>
  <c r="L51" i="21"/>
  <c r="N51" i="21"/>
  <c r="L52" i="21"/>
  <c r="N52" i="21"/>
  <c r="O52" i="21" s="1"/>
  <c r="L53" i="21"/>
  <c r="N53" i="21"/>
  <c r="L54" i="21"/>
  <c r="N54" i="21"/>
  <c r="O54" i="21" s="1"/>
  <c r="L55" i="21"/>
  <c r="N55" i="21"/>
  <c r="L56" i="21"/>
  <c r="N56" i="21"/>
  <c r="O56" i="21" s="1"/>
  <c r="L57" i="21"/>
  <c r="N57" i="21"/>
  <c r="L58" i="21"/>
  <c r="N58" i="21"/>
  <c r="Q58" i="21"/>
  <c r="L59" i="21"/>
  <c r="N59" i="21"/>
  <c r="L60" i="21"/>
  <c r="N60" i="21"/>
  <c r="L61" i="21"/>
  <c r="O61" i="21" s="1"/>
  <c r="N61" i="21"/>
  <c r="L62" i="21"/>
  <c r="N62" i="21"/>
  <c r="O62" i="21" s="1"/>
  <c r="L63" i="21"/>
  <c r="N63" i="21"/>
  <c r="L64" i="21"/>
  <c r="N64" i="21"/>
  <c r="O64" i="21" s="1"/>
  <c r="L65" i="21"/>
  <c r="N65" i="21"/>
  <c r="L66" i="21"/>
  <c r="N66" i="21"/>
  <c r="L67" i="21"/>
  <c r="N67" i="21"/>
  <c r="O67" i="21" s="1"/>
  <c r="L68" i="21"/>
  <c r="N68" i="21"/>
  <c r="L69" i="21"/>
  <c r="N69" i="21"/>
  <c r="O69" i="21" s="1"/>
  <c r="L70" i="21"/>
  <c r="N70" i="21"/>
  <c r="O70" i="21" s="1"/>
  <c r="L71" i="21"/>
  <c r="N71" i="21"/>
  <c r="L72" i="21"/>
  <c r="N72" i="21"/>
  <c r="O72" i="21" s="1"/>
  <c r="D89" i="21"/>
  <c r="D90" i="21"/>
  <c r="D91" i="21"/>
  <c r="D92" i="21"/>
  <c r="J93" i="21"/>
  <c r="L93" i="21"/>
  <c r="D96" i="21"/>
  <c r="J99" i="21"/>
  <c r="L99" i="21"/>
  <c r="M99" i="21" s="1"/>
  <c r="P99" i="21" s="1"/>
  <c r="N99" i="21"/>
  <c r="O99" i="21"/>
  <c r="B100" i="21"/>
  <c r="J100" i="21"/>
  <c r="L100" i="21"/>
  <c r="M100" i="21"/>
  <c r="N100" i="21"/>
  <c r="O100" i="21"/>
  <c r="P100" i="21"/>
  <c r="B101" i="21"/>
  <c r="J101" i="21"/>
  <c r="L101" i="21"/>
  <c r="M101" i="21" s="1"/>
  <c r="N101" i="21"/>
  <c r="O101" i="21" s="1"/>
  <c r="B102" i="21"/>
  <c r="J102" i="21"/>
  <c r="L102" i="21"/>
  <c r="M102" i="21"/>
  <c r="N102" i="21"/>
  <c r="O102" i="21" s="1"/>
  <c r="B103" i="21"/>
  <c r="L103" i="21"/>
  <c r="M103" i="21"/>
  <c r="N103" i="21"/>
  <c r="O103" i="21"/>
  <c r="P103" i="21"/>
  <c r="B104" i="21"/>
  <c r="L104" i="21"/>
  <c r="M104" i="21"/>
  <c r="N104" i="21"/>
  <c r="O104" i="21"/>
  <c r="P104" i="21"/>
  <c r="B105" i="21"/>
  <c r="J105" i="21"/>
  <c r="L105" i="21"/>
  <c r="M105" i="21" s="1"/>
  <c r="N105" i="21"/>
  <c r="O105" i="21"/>
  <c r="P105" i="21" s="1"/>
  <c r="B106" i="21"/>
  <c r="L106" i="21"/>
  <c r="M106" i="21"/>
  <c r="N106" i="21"/>
  <c r="O106" i="21" s="1"/>
  <c r="M107" i="21"/>
  <c r="O107" i="21"/>
  <c r="M108" i="21"/>
  <c r="O108" i="21"/>
  <c r="M109" i="21"/>
  <c r="O109" i="21"/>
  <c r="M110" i="21"/>
  <c r="O110" i="21"/>
  <c r="P110" i="21" s="1"/>
  <c r="M111" i="21"/>
  <c r="O111" i="21"/>
  <c r="P111" i="21"/>
  <c r="M112" i="21"/>
  <c r="O112" i="21"/>
  <c r="M113" i="21"/>
  <c r="O113" i="21"/>
  <c r="M114" i="21"/>
  <c r="O114" i="21"/>
  <c r="P114" i="21" s="1"/>
  <c r="M115" i="21"/>
  <c r="O115" i="21"/>
  <c r="M116" i="21"/>
  <c r="O116" i="21"/>
  <c r="M117" i="21"/>
  <c r="O117" i="21"/>
  <c r="M118" i="21"/>
  <c r="O118" i="21"/>
  <c r="P118" i="21" s="1"/>
  <c r="M119" i="21"/>
  <c r="O119" i="21"/>
  <c r="M120" i="21"/>
  <c r="O120" i="21"/>
  <c r="P120" i="21" s="1"/>
  <c r="M121" i="21"/>
  <c r="O121" i="21"/>
  <c r="M122" i="21"/>
  <c r="O122" i="21"/>
  <c r="M123" i="21"/>
  <c r="O123" i="21"/>
  <c r="M124" i="21"/>
  <c r="O124" i="21"/>
  <c r="P124" i="21" s="1"/>
  <c r="M125" i="21"/>
  <c r="O125" i="21"/>
  <c r="P125" i="21" s="1"/>
  <c r="M126" i="21"/>
  <c r="O126" i="21"/>
  <c r="P126" i="21" s="1"/>
  <c r="M127" i="21"/>
  <c r="O127" i="21"/>
  <c r="M128" i="21"/>
  <c r="O128" i="21"/>
  <c r="P128" i="21" s="1"/>
  <c r="M129" i="21"/>
  <c r="O129" i="21"/>
  <c r="M130" i="21"/>
  <c r="O130" i="21"/>
  <c r="P130" i="21" s="1"/>
  <c r="M131" i="21"/>
  <c r="O131" i="21"/>
  <c r="P131" i="21" s="1"/>
  <c r="M132" i="21"/>
  <c r="O132" i="21"/>
  <c r="P132" i="21" s="1"/>
  <c r="M133" i="21"/>
  <c r="O133" i="21"/>
  <c r="P133" i="21" s="1"/>
  <c r="M134" i="21"/>
  <c r="P134" i="21"/>
  <c r="O134" i="21"/>
  <c r="M135" i="21"/>
  <c r="O135" i="21"/>
  <c r="P135" i="21" s="1"/>
  <c r="M136" i="21"/>
  <c r="O136" i="21"/>
  <c r="P136" i="21" s="1"/>
  <c r="M137" i="21"/>
  <c r="O137" i="21"/>
  <c r="M138" i="21"/>
  <c r="O138" i="21"/>
  <c r="M139" i="21"/>
  <c r="O139" i="21"/>
  <c r="P139" i="21" s="1"/>
  <c r="M140" i="21"/>
  <c r="O140" i="21"/>
  <c r="P140" i="21" s="1"/>
  <c r="M141" i="21"/>
  <c r="O141" i="21"/>
  <c r="M142" i="21"/>
  <c r="O142" i="21"/>
  <c r="P142" i="21" s="1"/>
  <c r="M143" i="21"/>
  <c r="O143" i="21"/>
  <c r="M144" i="21"/>
  <c r="O144" i="21"/>
  <c r="P144" i="21"/>
  <c r="M145" i="21"/>
  <c r="O145" i="21"/>
  <c r="M146" i="21"/>
  <c r="O146" i="21"/>
  <c r="P146" i="21" s="1"/>
  <c r="M147" i="21"/>
  <c r="O147" i="21"/>
  <c r="P147" i="21" s="1"/>
  <c r="M148" i="21"/>
  <c r="O148" i="21"/>
  <c r="P148" i="21" s="1"/>
  <c r="M149" i="21"/>
  <c r="O149" i="21"/>
  <c r="M150" i="21"/>
  <c r="O150" i="21"/>
  <c r="P150" i="21" s="1"/>
  <c r="M151" i="21"/>
  <c r="O151" i="21"/>
  <c r="M152" i="21"/>
  <c r="O152" i="21"/>
  <c r="P152" i="21" s="1"/>
  <c r="M153" i="21"/>
  <c r="O153" i="21"/>
  <c r="P153" i="21" s="1"/>
  <c r="M154" i="21"/>
  <c r="O154" i="21"/>
  <c r="P1" i="20"/>
  <c r="P83" i="20" s="1"/>
  <c r="O3" i="20"/>
  <c r="D8" i="20"/>
  <c r="D90" i="20"/>
  <c r="K11" i="20"/>
  <c r="C17" i="20"/>
  <c r="C18" i="20" s="1"/>
  <c r="C19" i="20" s="1"/>
  <c r="C20" i="20" s="1"/>
  <c r="C21" i="20" s="1"/>
  <c r="C22" i="20" s="1"/>
  <c r="C23" i="20" s="1"/>
  <c r="C24" i="20" s="1"/>
  <c r="C25" i="20" s="1"/>
  <c r="C26" i="20" s="1"/>
  <c r="C27" i="20" s="1"/>
  <c r="C28" i="20" s="1"/>
  <c r="C29" i="20" s="1"/>
  <c r="C30" i="20" s="1"/>
  <c r="C31" i="20" s="1"/>
  <c r="C32" i="20" s="1"/>
  <c r="C33" i="20" s="1"/>
  <c r="C34" i="20" s="1"/>
  <c r="C35" i="20" s="1"/>
  <c r="C36" i="20" s="1"/>
  <c r="C37" i="20" s="1"/>
  <c r="C38" i="20" s="1"/>
  <c r="C39" i="20" s="1"/>
  <c r="C40" i="20" s="1"/>
  <c r="C41" i="20" s="1"/>
  <c r="C42" i="20" s="1"/>
  <c r="C43" i="20" s="1"/>
  <c r="C44" i="20" s="1"/>
  <c r="I17" i="20"/>
  <c r="L17" i="20"/>
  <c r="N17" i="20"/>
  <c r="B18" i="20"/>
  <c r="K18" i="20"/>
  <c r="L18" i="20" s="1"/>
  <c r="M18" i="20"/>
  <c r="N18" i="20"/>
  <c r="B19" i="20"/>
  <c r="K19" i="20"/>
  <c r="L19" i="20"/>
  <c r="M19" i="20"/>
  <c r="N19" i="20" s="1"/>
  <c r="O19" i="20" s="1"/>
  <c r="B20" i="20"/>
  <c r="K20" i="20"/>
  <c r="L20" i="20" s="1"/>
  <c r="M20" i="20"/>
  <c r="N20" i="20"/>
  <c r="B21" i="20"/>
  <c r="K21" i="20"/>
  <c r="L21" i="20" s="1"/>
  <c r="M21" i="20"/>
  <c r="N21" i="20"/>
  <c r="B22" i="20"/>
  <c r="K22" i="20"/>
  <c r="L22" i="20"/>
  <c r="O22" i="20"/>
  <c r="M22" i="20"/>
  <c r="N22" i="20"/>
  <c r="B23" i="20"/>
  <c r="K23" i="20"/>
  <c r="L23" i="20" s="1"/>
  <c r="M23" i="20"/>
  <c r="N23" i="20"/>
  <c r="B24" i="20"/>
  <c r="I24" i="20"/>
  <c r="K24" i="20"/>
  <c r="L24" i="20"/>
  <c r="M24" i="20"/>
  <c r="N24" i="20" s="1"/>
  <c r="B25" i="20"/>
  <c r="K25" i="20"/>
  <c r="L25" i="20"/>
  <c r="M25" i="20"/>
  <c r="N25" i="20"/>
  <c r="B26" i="20"/>
  <c r="L27" i="20"/>
  <c r="N27" i="20"/>
  <c r="L28" i="20"/>
  <c r="N28" i="20"/>
  <c r="L29" i="20"/>
  <c r="N29" i="20"/>
  <c r="O29" i="20" s="1"/>
  <c r="L30" i="20"/>
  <c r="O30" i="20" s="1"/>
  <c r="N30" i="20"/>
  <c r="L31" i="20"/>
  <c r="N31" i="20"/>
  <c r="L32" i="20"/>
  <c r="O32" i="20" s="1"/>
  <c r="N32" i="20"/>
  <c r="L33" i="20"/>
  <c r="N33" i="20"/>
  <c r="L34" i="20"/>
  <c r="N34" i="20"/>
  <c r="L35" i="20"/>
  <c r="N35" i="20"/>
  <c r="L36" i="20"/>
  <c r="N36" i="20"/>
  <c r="L37" i="20"/>
  <c r="N37" i="20"/>
  <c r="O37" i="20" s="1"/>
  <c r="L38" i="20"/>
  <c r="N38" i="20"/>
  <c r="L39" i="20"/>
  <c r="N39" i="20"/>
  <c r="L40" i="20"/>
  <c r="N40" i="20"/>
  <c r="L41" i="20"/>
  <c r="N41" i="20"/>
  <c r="L42" i="20"/>
  <c r="N42" i="20"/>
  <c r="L43" i="20"/>
  <c r="N43" i="20"/>
  <c r="L44" i="20"/>
  <c r="N44" i="20"/>
  <c r="L45" i="20"/>
  <c r="N45" i="20"/>
  <c r="L46" i="20"/>
  <c r="N46" i="20"/>
  <c r="L47" i="20"/>
  <c r="N47" i="20"/>
  <c r="O47" i="20" s="1"/>
  <c r="L48" i="20"/>
  <c r="O48" i="20" s="1"/>
  <c r="N48" i="20"/>
  <c r="L49" i="20"/>
  <c r="N49" i="20"/>
  <c r="L50" i="20"/>
  <c r="O50" i="20" s="1"/>
  <c r="N50" i="20"/>
  <c r="L51" i="20"/>
  <c r="N51" i="20"/>
  <c r="L52" i="20"/>
  <c r="N52" i="20"/>
  <c r="L53" i="20"/>
  <c r="N53" i="20"/>
  <c r="L54" i="20"/>
  <c r="O54" i="20" s="1"/>
  <c r="N54" i="20"/>
  <c r="L55" i="20"/>
  <c r="N55" i="20"/>
  <c r="O55" i="20" s="1"/>
  <c r="L56" i="20"/>
  <c r="N56" i="20"/>
  <c r="L57" i="20"/>
  <c r="N57" i="20"/>
  <c r="L58" i="20"/>
  <c r="N58" i="20"/>
  <c r="Q58" i="20"/>
  <c r="L59" i="20"/>
  <c r="N59" i="20"/>
  <c r="L60" i="20"/>
  <c r="N60" i="20"/>
  <c r="L61" i="20"/>
  <c r="N61" i="20"/>
  <c r="L62" i="20"/>
  <c r="N62" i="20"/>
  <c r="L63" i="20"/>
  <c r="N63" i="20"/>
  <c r="L64" i="20"/>
  <c r="N64" i="20"/>
  <c r="L65" i="20"/>
  <c r="N65" i="20"/>
  <c r="L66" i="20"/>
  <c r="N66" i="20"/>
  <c r="L67" i="20"/>
  <c r="N67" i="20"/>
  <c r="O67" i="20" s="1"/>
  <c r="L68" i="20"/>
  <c r="N68" i="20"/>
  <c r="O68" i="20" s="1"/>
  <c r="L69" i="20"/>
  <c r="N69" i="20"/>
  <c r="L70" i="20"/>
  <c r="N70" i="20"/>
  <c r="O70" i="20" s="1"/>
  <c r="L71" i="20"/>
  <c r="N71" i="20"/>
  <c r="L72" i="20"/>
  <c r="N72" i="20"/>
  <c r="D89" i="20"/>
  <c r="D91" i="20"/>
  <c r="J93" i="20"/>
  <c r="L93" i="20"/>
  <c r="D96" i="20"/>
  <c r="J99" i="20"/>
  <c r="L99" i="20"/>
  <c r="M99" i="20" s="1"/>
  <c r="N99" i="20"/>
  <c r="O99" i="20"/>
  <c r="B100" i="20"/>
  <c r="J100" i="20"/>
  <c r="L100" i="20"/>
  <c r="M100" i="20"/>
  <c r="N100" i="20"/>
  <c r="O100" i="20"/>
  <c r="B101" i="20"/>
  <c r="J101" i="20"/>
  <c r="L101" i="20"/>
  <c r="M101" i="20" s="1"/>
  <c r="N101" i="20"/>
  <c r="O101" i="20"/>
  <c r="P101" i="20" s="1"/>
  <c r="B102" i="20"/>
  <c r="J102" i="20"/>
  <c r="L102" i="20"/>
  <c r="M102" i="20" s="1"/>
  <c r="N102" i="20"/>
  <c r="O102" i="20"/>
  <c r="B103" i="20"/>
  <c r="L103" i="20"/>
  <c r="M103" i="20"/>
  <c r="N103" i="20"/>
  <c r="O103" i="20"/>
  <c r="B104" i="20"/>
  <c r="L104" i="20"/>
  <c r="M104" i="20"/>
  <c r="N104" i="20"/>
  <c r="O104" i="20" s="1"/>
  <c r="B105" i="20"/>
  <c r="J105" i="20"/>
  <c r="L105" i="20"/>
  <c r="M105" i="20" s="1"/>
  <c r="N105" i="20"/>
  <c r="O105" i="20"/>
  <c r="P105" i="20" s="1"/>
  <c r="B106" i="20"/>
  <c r="L106" i="20"/>
  <c r="M106" i="20"/>
  <c r="N106" i="20"/>
  <c r="O106" i="20" s="1"/>
  <c r="P106" i="20" s="1"/>
  <c r="D107" i="20"/>
  <c r="B107" i="20"/>
  <c r="M107" i="20"/>
  <c r="O107" i="20"/>
  <c r="P107" i="20" s="1"/>
  <c r="M108" i="20"/>
  <c r="O108" i="20"/>
  <c r="M109" i="20"/>
  <c r="O109" i="20"/>
  <c r="M110" i="20"/>
  <c r="O110" i="20"/>
  <c r="M111" i="20"/>
  <c r="O111" i="20"/>
  <c r="P111" i="20" s="1"/>
  <c r="M112" i="20"/>
  <c r="O112" i="20"/>
  <c r="M113" i="20"/>
  <c r="O113" i="20"/>
  <c r="M114" i="20"/>
  <c r="O114" i="20"/>
  <c r="M115" i="20"/>
  <c r="O115" i="20"/>
  <c r="P115" i="20" s="1"/>
  <c r="M116" i="20"/>
  <c r="O116" i="20"/>
  <c r="M117" i="20"/>
  <c r="P117" i="20" s="1"/>
  <c r="O117" i="20"/>
  <c r="M118" i="20"/>
  <c r="O118" i="20"/>
  <c r="M119" i="20"/>
  <c r="O119" i="20"/>
  <c r="M120" i="20"/>
  <c r="O120" i="20"/>
  <c r="M121" i="20"/>
  <c r="O121" i="20"/>
  <c r="P121" i="20" s="1"/>
  <c r="M122" i="20"/>
  <c r="O122" i="20"/>
  <c r="M123" i="20"/>
  <c r="O123" i="20"/>
  <c r="P123" i="20" s="1"/>
  <c r="M124" i="20"/>
  <c r="O124" i="20"/>
  <c r="P124" i="20" s="1"/>
  <c r="M125" i="20"/>
  <c r="O125" i="20"/>
  <c r="M126" i="20"/>
  <c r="O126" i="20"/>
  <c r="P126" i="20" s="1"/>
  <c r="M127" i="20"/>
  <c r="O127" i="20"/>
  <c r="P127" i="20" s="1"/>
  <c r="M128" i="20"/>
  <c r="O128" i="20"/>
  <c r="P128" i="20"/>
  <c r="M129" i="20"/>
  <c r="O129" i="20"/>
  <c r="M130" i="20"/>
  <c r="O130" i="20"/>
  <c r="M131" i="20"/>
  <c r="O131" i="20"/>
  <c r="P131" i="20" s="1"/>
  <c r="M132" i="20"/>
  <c r="O132" i="20"/>
  <c r="M133" i="20"/>
  <c r="O133" i="20"/>
  <c r="M134" i="20"/>
  <c r="O134" i="20"/>
  <c r="M135" i="20"/>
  <c r="O135" i="20"/>
  <c r="M136" i="20"/>
  <c r="O136" i="20"/>
  <c r="M137" i="20"/>
  <c r="O137" i="20"/>
  <c r="P137" i="20" s="1"/>
  <c r="M138" i="20"/>
  <c r="O138" i="20"/>
  <c r="M139" i="20"/>
  <c r="O139" i="20"/>
  <c r="P139" i="20" s="1"/>
  <c r="M140" i="20"/>
  <c r="O140" i="20"/>
  <c r="M141" i="20"/>
  <c r="O141" i="20"/>
  <c r="M142" i="20"/>
  <c r="O142" i="20"/>
  <c r="P142" i="20" s="1"/>
  <c r="M143" i="20"/>
  <c r="O143" i="20"/>
  <c r="M144" i="20"/>
  <c r="O144" i="20"/>
  <c r="P144" i="20" s="1"/>
  <c r="M145" i="20"/>
  <c r="O145" i="20"/>
  <c r="M146" i="20"/>
  <c r="O146" i="20"/>
  <c r="M147" i="20"/>
  <c r="O147" i="20"/>
  <c r="M148" i="20"/>
  <c r="O148" i="20"/>
  <c r="M149" i="20"/>
  <c r="O149" i="20"/>
  <c r="P149" i="20" s="1"/>
  <c r="M150" i="20"/>
  <c r="O150" i="20"/>
  <c r="M151" i="20"/>
  <c r="O151" i="20"/>
  <c r="M152" i="20"/>
  <c r="O152" i="20"/>
  <c r="M153" i="20"/>
  <c r="O153" i="20"/>
  <c r="M154" i="20"/>
  <c r="O154" i="20"/>
  <c r="P1" i="19"/>
  <c r="P83" i="19" s="1"/>
  <c r="O3" i="19"/>
  <c r="D8" i="19"/>
  <c r="D90" i="19" s="1"/>
  <c r="K11" i="19"/>
  <c r="C17" i="19"/>
  <c r="C18" i="19"/>
  <c r="C19" i="19"/>
  <c r="C20" i="19" s="1"/>
  <c r="C21" i="19" s="1"/>
  <c r="C22" i="19" s="1"/>
  <c r="C23" i="19" s="1"/>
  <c r="C24" i="19" s="1"/>
  <c r="C25" i="19" s="1"/>
  <c r="C26" i="19" s="1"/>
  <c r="C27" i="19" s="1"/>
  <c r="C28" i="19" s="1"/>
  <c r="C29" i="19" s="1"/>
  <c r="C30" i="19" s="1"/>
  <c r="C31" i="19" s="1"/>
  <c r="C32" i="19" s="1"/>
  <c r="C33" i="19" s="1"/>
  <c r="C34" i="19" s="1"/>
  <c r="C35" i="19" s="1"/>
  <c r="C36" i="19" s="1"/>
  <c r="C37" i="19" s="1"/>
  <c r="C38" i="19" s="1"/>
  <c r="C39" i="19" s="1"/>
  <c r="C40" i="19" s="1"/>
  <c r="C41" i="19" s="1"/>
  <c r="C42" i="19" s="1"/>
  <c r="C43" i="19" s="1"/>
  <c r="C44" i="19" s="1"/>
  <c r="C45" i="19" s="1"/>
  <c r="C46" i="19" s="1"/>
  <c r="C47" i="19" s="1"/>
  <c r="C48" i="19" s="1"/>
  <c r="C49" i="19" s="1"/>
  <c r="C50" i="19" s="1"/>
  <c r="C51" i="19" s="1"/>
  <c r="C52" i="19" s="1"/>
  <c r="C53" i="19" s="1"/>
  <c r="C54" i="19" s="1"/>
  <c r="C55" i="19" s="1"/>
  <c r="C56" i="19" s="1"/>
  <c r="C57" i="19" s="1"/>
  <c r="C58" i="19" s="1"/>
  <c r="C59" i="19" s="1"/>
  <c r="C60" i="19" s="1"/>
  <c r="C61" i="19" s="1"/>
  <c r="C62" i="19" s="1"/>
  <c r="C63" i="19" s="1"/>
  <c r="C64" i="19" s="1"/>
  <c r="C65" i="19" s="1"/>
  <c r="C66" i="19" s="1"/>
  <c r="C67" i="19" s="1"/>
  <c r="C68" i="19" s="1"/>
  <c r="C69" i="19" s="1"/>
  <c r="C70" i="19" s="1"/>
  <c r="C71" i="19" s="1"/>
  <c r="C72" i="19" s="1"/>
  <c r="I17" i="19"/>
  <c r="L17" i="19"/>
  <c r="N17" i="19"/>
  <c r="O17" i="19" s="1"/>
  <c r="B18" i="19"/>
  <c r="K18" i="19"/>
  <c r="L18" i="19"/>
  <c r="M18" i="19"/>
  <c r="N18" i="19" s="1"/>
  <c r="O18" i="19" s="1"/>
  <c r="B19" i="19"/>
  <c r="K19" i="19"/>
  <c r="L19" i="19"/>
  <c r="M19" i="19"/>
  <c r="N19" i="19"/>
  <c r="O19" i="19" s="1"/>
  <c r="B20" i="19"/>
  <c r="K20" i="19"/>
  <c r="L20" i="19"/>
  <c r="M20" i="19"/>
  <c r="N20" i="19"/>
  <c r="O20" i="19" s="1"/>
  <c r="B21" i="19"/>
  <c r="K21" i="19"/>
  <c r="L21" i="19"/>
  <c r="M21" i="19"/>
  <c r="N21" i="19" s="1"/>
  <c r="O21" i="19" s="1"/>
  <c r="B22" i="19"/>
  <c r="K22" i="19"/>
  <c r="L22" i="19"/>
  <c r="M22" i="19"/>
  <c r="N22" i="19"/>
  <c r="B23" i="19"/>
  <c r="K23" i="19"/>
  <c r="L23" i="19" s="1"/>
  <c r="M23" i="19"/>
  <c r="N23" i="19" s="1"/>
  <c r="B24" i="19"/>
  <c r="I24" i="19"/>
  <c r="K24" i="19"/>
  <c r="L24" i="19"/>
  <c r="M24" i="19"/>
  <c r="N24" i="19"/>
  <c r="O24" i="19" s="1"/>
  <c r="B25" i="19"/>
  <c r="K25" i="19"/>
  <c r="L25" i="19" s="1"/>
  <c r="O25" i="19" s="1"/>
  <c r="M25" i="19"/>
  <c r="N25" i="19"/>
  <c r="B26" i="19"/>
  <c r="L27" i="19"/>
  <c r="N27" i="19"/>
  <c r="L28" i="19"/>
  <c r="N28" i="19"/>
  <c r="L29" i="19"/>
  <c r="N29" i="19"/>
  <c r="L30" i="19"/>
  <c r="N30" i="19"/>
  <c r="L31" i="19"/>
  <c r="N31" i="19"/>
  <c r="L32" i="19"/>
  <c r="N32" i="19"/>
  <c r="L33" i="19"/>
  <c r="N33" i="19"/>
  <c r="L34" i="19"/>
  <c r="N34" i="19"/>
  <c r="L35" i="19"/>
  <c r="N35" i="19"/>
  <c r="L36" i="19"/>
  <c r="N36" i="19"/>
  <c r="L37" i="19"/>
  <c r="N37" i="19"/>
  <c r="L38" i="19"/>
  <c r="N38" i="19"/>
  <c r="O38" i="19" s="1"/>
  <c r="L39" i="19"/>
  <c r="N39" i="19"/>
  <c r="L40" i="19"/>
  <c r="N40" i="19"/>
  <c r="L41" i="19"/>
  <c r="N41" i="19"/>
  <c r="L42" i="19"/>
  <c r="N42" i="19"/>
  <c r="L43" i="19"/>
  <c r="N43" i="19"/>
  <c r="L44" i="19"/>
  <c r="N44" i="19"/>
  <c r="L45" i="19"/>
  <c r="N45" i="19"/>
  <c r="L46" i="19"/>
  <c r="N46" i="19"/>
  <c r="L47" i="19"/>
  <c r="N47" i="19"/>
  <c r="L48" i="19"/>
  <c r="N48" i="19"/>
  <c r="L49" i="19"/>
  <c r="N49" i="19"/>
  <c r="L50" i="19"/>
  <c r="N50" i="19"/>
  <c r="L51" i="19"/>
  <c r="N51" i="19"/>
  <c r="L52" i="19"/>
  <c r="N52" i="19"/>
  <c r="L53" i="19"/>
  <c r="N53" i="19"/>
  <c r="L54" i="19"/>
  <c r="N54" i="19"/>
  <c r="L55" i="19"/>
  <c r="N55" i="19"/>
  <c r="L56" i="19"/>
  <c r="N56" i="19"/>
  <c r="L57" i="19"/>
  <c r="N57" i="19"/>
  <c r="L58" i="19"/>
  <c r="N58" i="19"/>
  <c r="Q58" i="19"/>
  <c r="L59" i="19"/>
  <c r="N59" i="19"/>
  <c r="L60" i="19"/>
  <c r="N60" i="19"/>
  <c r="L61" i="19"/>
  <c r="N61" i="19"/>
  <c r="L62" i="19"/>
  <c r="N62" i="19"/>
  <c r="L63" i="19"/>
  <c r="N63" i="19"/>
  <c r="L64" i="19"/>
  <c r="N64" i="19"/>
  <c r="L65" i="19"/>
  <c r="N65" i="19"/>
  <c r="L66" i="19"/>
  <c r="N66" i="19"/>
  <c r="L67" i="19"/>
  <c r="N67" i="19"/>
  <c r="L68" i="19"/>
  <c r="N68" i="19"/>
  <c r="L69" i="19"/>
  <c r="N69" i="19"/>
  <c r="L70" i="19"/>
  <c r="N70" i="19"/>
  <c r="L71" i="19"/>
  <c r="N71" i="19"/>
  <c r="L72" i="19"/>
  <c r="N72" i="19"/>
  <c r="D89" i="19"/>
  <c r="D91" i="19"/>
  <c r="J93" i="19"/>
  <c r="L93" i="19"/>
  <c r="D96" i="19"/>
  <c r="J99" i="19"/>
  <c r="L99" i="19"/>
  <c r="M99" i="19" s="1"/>
  <c r="P99" i="19" s="1"/>
  <c r="N99" i="19"/>
  <c r="O99" i="19"/>
  <c r="B100" i="19"/>
  <c r="J100" i="19"/>
  <c r="L100" i="19"/>
  <c r="M100" i="19"/>
  <c r="N100" i="19"/>
  <c r="O100" i="19" s="1"/>
  <c r="B101" i="19"/>
  <c r="J101" i="19"/>
  <c r="L101" i="19"/>
  <c r="M101" i="19"/>
  <c r="N101" i="19"/>
  <c r="O101" i="19" s="1"/>
  <c r="P101" i="19" s="1"/>
  <c r="B102" i="19"/>
  <c r="J102" i="19"/>
  <c r="L102" i="19"/>
  <c r="M102" i="19" s="1"/>
  <c r="N102" i="19"/>
  <c r="O102" i="19"/>
  <c r="P102" i="19" s="1"/>
  <c r="B103" i="19"/>
  <c r="L103" i="19"/>
  <c r="M103" i="19"/>
  <c r="N103" i="19"/>
  <c r="O103" i="19" s="1"/>
  <c r="B104" i="19"/>
  <c r="L104" i="19"/>
  <c r="M104" i="19"/>
  <c r="N104" i="19"/>
  <c r="O104" i="19" s="1"/>
  <c r="P104" i="19" s="1"/>
  <c r="B105" i="19"/>
  <c r="J105" i="19"/>
  <c r="L105" i="19"/>
  <c r="M105" i="19" s="1"/>
  <c r="N105" i="19"/>
  <c r="O105" i="19" s="1"/>
  <c r="P105" i="19" s="1"/>
  <c r="B106" i="19"/>
  <c r="L106" i="19"/>
  <c r="M106" i="19" s="1"/>
  <c r="N106" i="19"/>
  <c r="O106" i="19"/>
  <c r="P106" i="19" s="1"/>
  <c r="D107" i="19"/>
  <c r="M107" i="19"/>
  <c r="O107" i="19"/>
  <c r="P107" i="19" s="1"/>
  <c r="M108" i="19"/>
  <c r="O108" i="19"/>
  <c r="P108" i="19" s="1"/>
  <c r="M109" i="19"/>
  <c r="O109" i="19"/>
  <c r="M110" i="19"/>
  <c r="O110" i="19"/>
  <c r="M111" i="19"/>
  <c r="O111" i="19"/>
  <c r="M112" i="19"/>
  <c r="O112" i="19"/>
  <c r="M113" i="19"/>
  <c r="O113" i="19"/>
  <c r="P113" i="19" s="1"/>
  <c r="M114" i="19"/>
  <c r="O114" i="19"/>
  <c r="P114" i="19" s="1"/>
  <c r="M115" i="19"/>
  <c r="O115" i="19"/>
  <c r="M116" i="19"/>
  <c r="O116" i="19"/>
  <c r="M117" i="19"/>
  <c r="O117" i="19"/>
  <c r="P117" i="19" s="1"/>
  <c r="M118" i="19"/>
  <c r="O118" i="19"/>
  <c r="M119" i="19"/>
  <c r="O119" i="19"/>
  <c r="P119" i="19" s="1"/>
  <c r="M120" i="19"/>
  <c r="O120" i="19"/>
  <c r="P120" i="19" s="1"/>
  <c r="M121" i="19"/>
  <c r="O121" i="19"/>
  <c r="M122" i="19"/>
  <c r="O122" i="19"/>
  <c r="M123" i="19"/>
  <c r="O123" i="19"/>
  <c r="M124" i="19"/>
  <c r="O124" i="19"/>
  <c r="P124" i="19" s="1"/>
  <c r="M125" i="19"/>
  <c r="O125" i="19"/>
  <c r="M126" i="19"/>
  <c r="O126" i="19"/>
  <c r="M127" i="19"/>
  <c r="P127" i="19" s="1"/>
  <c r="O127" i="19"/>
  <c r="M128" i="19"/>
  <c r="O128" i="19"/>
  <c r="P128" i="19" s="1"/>
  <c r="M129" i="19"/>
  <c r="O129" i="19"/>
  <c r="M130" i="19"/>
  <c r="O130" i="19"/>
  <c r="P130" i="19" s="1"/>
  <c r="M131" i="19"/>
  <c r="O131" i="19"/>
  <c r="P131" i="19" s="1"/>
  <c r="M132" i="19"/>
  <c r="O132" i="19"/>
  <c r="P132" i="19" s="1"/>
  <c r="M133" i="19"/>
  <c r="O133" i="19"/>
  <c r="P133" i="19" s="1"/>
  <c r="M134" i="19"/>
  <c r="O134" i="19"/>
  <c r="M135" i="19"/>
  <c r="O135" i="19"/>
  <c r="P135" i="19" s="1"/>
  <c r="M136" i="19"/>
  <c r="O136" i="19"/>
  <c r="M137" i="19"/>
  <c r="O137" i="19"/>
  <c r="M138" i="19"/>
  <c r="O138" i="19"/>
  <c r="M139" i="19"/>
  <c r="O139" i="19"/>
  <c r="P139" i="19" s="1"/>
  <c r="M140" i="19"/>
  <c r="O140" i="19"/>
  <c r="M141" i="19"/>
  <c r="O141" i="19"/>
  <c r="M142" i="19"/>
  <c r="O142" i="19"/>
  <c r="M143" i="19"/>
  <c r="O143" i="19"/>
  <c r="M144" i="19"/>
  <c r="O144" i="19"/>
  <c r="M145" i="19"/>
  <c r="O145" i="19"/>
  <c r="M146" i="19"/>
  <c r="O146" i="19"/>
  <c r="M147" i="19"/>
  <c r="O147" i="19"/>
  <c r="P147" i="19" s="1"/>
  <c r="M148" i="19"/>
  <c r="O148" i="19"/>
  <c r="M149" i="19"/>
  <c r="O149" i="19"/>
  <c r="M150" i="19"/>
  <c r="O150" i="19"/>
  <c r="M151" i="19"/>
  <c r="O151" i="19"/>
  <c r="M152" i="19"/>
  <c r="O152" i="19"/>
  <c r="M153" i="19"/>
  <c r="O153" i="19"/>
  <c r="M154" i="19"/>
  <c r="O154" i="19"/>
  <c r="P1" i="18"/>
  <c r="P83" i="18" s="1"/>
  <c r="O3" i="18"/>
  <c r="D10" i="18"/>
  <c r="K11" i="18"/>
  <c r="C17" i="18"/>
  <c r="I17" i="18"/>
  <c r="L17" i="18"/>
  <c r="N17" i="18"/>
  <c r="B18" i="18"/>
  <c r="C18" i="18"/>
  <c r="C19" i="18" s="1"/>
  <c r="C20" i="18" s="1"/>
  <c r="C21" i="18" s="1"/>
  <c r="C22" i="18" s="1"/>
  <c r="C23" i="18" s="1"/>
  <c r="C24" i="18" s="1"/>
  <c r="C25" i="18" s="1"/>
  <c r="C26" i="18" s="1"/>
  <c r="C27" i="18" s="1"/>
  <c r="C28" i="18" s="1"/>
  <c r="C29" i="18" s="1"/>
  <c r="C30" i="18" s="1"/>
  <c r="C31" i="18" s="1"/>
  <c r="C32" i="18" s="1"/>
  <c r="C33" i="18" s="1"/>
  <c r="C34" i="18" s="1"/>
  <c r="C35" i="18" s="1"/>
  <c r="C36" i="18" s="1"/>
  <c r="C37" i="18" s="1"/>
  <c r="C38" i="18" s="1"/>
  <c r="C39" i="18" s="1"/>
  <c r="C40" i="18" s="1"/>
  <c r="C41" i="18" s="1"/>
  <c r="C42" i="18" s="1"/>
  <c r="C43" i="18" s="1"/>
  <c r="C44" i="18" s="1"/>
  <c r="K18" i="18"/>
  <c r="L18" i="18"/>
  <c r="M18" i="18"/>
  <c r="N18" i="18"/>
  <c r="B19" i="18"/>
  <c r="K19" i="18"/>
  <c r="L19" i="18" s="1"/>
  <c r="M19" i="18"/>
  <c r="N19" i="18" s="1"/>
  <c r="B20" i="18"/>
  <c r="K20" i="18"/>
  <c r="L20" i="18" s="1"/>
  <c r="M20" i="18"/>
  <c r="N20" i="18" s="1"/>
  <c r="O20" i="18" s="1"/>
  <c r="B21" i="18"/>
  <c r="K21" i="18"/>
  <c r="L21" i="18" s="1"/>
  <c r="M21" i="18"/>
  <c r="N21" i="18" s="1"/>
  <c r="B22" i="18"/>
  <c r="K22" i="18"/>
  <c r="L22" i="18" s="1"/>
  <c r="M22" i="18"/>
  <c r="N22" i="18"/>
  <c r="O22" i="18" s="1"/>
  <c r="B23" i="18"/>
  <c r="K23" i="18"/>
  <c r="L23" i="18"/>
  <c r="M23" i="18"/>
  <c r="N23" i="18" s="1"/>
  <c r="B24" i="18"/>
  <c r="I24" i="18"/>
  <c r="K24" i="18"/>
  <c r="L24" i="18"/>
  <c r="O24" i="18" s="1"/>
  <c r="M24" i="18"/>
  <c r="N24" i="18"/>
  <c r="B25" i="18"/>
  <c r="K25" i="18"/>
  <c r="L25" i="18"/>
  <c r="M25" i="18"/>
  <c r="N25" i="18"/>
  <c r="O25" i="18" s="1"/>
  <c r="L27" i="18"/>
  <c r="N27" i="18"/>
  <c r="L28" i="18"/>
  <c r="N28" i="18"/>
  <c r="L29" i="18"/>
  <c r="N29" i="18"/>
  <c r="L30" i="18"/>
  <c r="N30" i="18"/>
  <c r="L31" i="18"/>
  <c r="N31" i="18"/>
  <c r="L32" i="18"/>
  <c r="N32" i="18"/>
  <c r="L33" i="18"/>
  <c r="N33" i="18"/>
  <c r="L34" i="18"/>
  <c r="N34" i="18"/>
  <c r="L35" i="18"/>
  <c r="N35" i="18"/>
  <c r="L36" i="18"/>
  <c r="N36" i="18"/>
  <c r="L37" i="18"/>
  <c r="N37" i="18"/>
  <c r="L38" i="18"/>
  <c r="N38" i="18"/>
  <c r="L39" i="18"/>
  <c r="N39" i="18"/>
  <c r="L40" i="18"/>
  <c r="N40" i="18"/>
  <c r="L41" i="18"/>
  <c r="N41" i="18"/>
  <c r="L42" i="18"/>
  <c r="N42" i="18"/>
  <c r="L43" i="18"/>
  <c r="N43" i="18"/>
  <c r="L44" i="18"/>
  <c r="N44" i="18"/>
  <c r="L45" i="18"/>
  <c r="N45" i="18"/>
  <c r="L46" i="18"/>
  <c r="N46" i="18"/>
  <c r="L47" i="18"/>
  <c r="N47" i="18"/>
  <c r="L48" i="18"/>
  <c r="N48" i="18"/>
  <c r="L49" i="18"/>
  <c r="N49" i="18"/>
  <c r="L50" i="18"/>
  <c r="N50" i="18"/>
  <c r="L51" i="18"/>
  <c r="N51" i="18"/>
  <c r="L52" i="18"/>
  <c r="N52" i="18"/>
  <c r="L53" i="18"/>
  <c r="N53" i="18"/>
  <c r="L54" i="18"/>
  <c r="N54" i="18"/>
  <c r="L55" i="18"/>
  <c r="N55" i="18"/>
  <c r="L56" i="18"/>
  <c r="N56" i="18"/>
  <c r="L57" i="18"/>
  <c r="N57" i="18"/>
  <c r="L58" i="18"/>
  <c r="N58" i="18"/>
  <c r="Q58" i="18"/>
  <c r="L59" i="18"/>
  <c r="N59" i="18"/>
  <c r="O59" i="18" s="1"/>
  <c r="L60" i="18"/>
  <c r="N60" i="18"/>
  <c r="L61" i="18"/>
  <c r="N61" i="18"/>
  <c r="O61" i="18" s="1"/>
  <c r="L62" i="18"/>
  <c r="N62" i="18"/>
  <c r="O62" i="18" s="1"/>
  <c r="L63" i="18"/>
  <c r="N63" i="18"/>
  <c r="L64" i="18"/>
  <c r="N64" i="18"/>
  <c r="L65" i="18"/>
  <c r="N65" i="18"/>
  <c r="L66" i="18"/>
  <c r="N66" i="18"/>
  <c r="L67" i="18"/>
  <c r="N67" i="18"/>
  <c r="L68" i="18"/>
  <c r="N68" i="18"/>
  <c r="L69" i="18"/>
  <c r="N69" i="18"/>
  <c r="L70" i="18"/>
  <c r="N70" i="18"/>
  <c r="L71" i="18"/>
  <c r="N71" i="18"/>
  <c r="L72" i="18"/>
  <c r="N72" i="18"/>
  <c r="D89" i="18"/>
  <c r="D91" i="18"/>
  <c r="J93" i="18"/>
  <c r="L93" i="18"/>
  <c r="D96" i="18"/>
  <c r="J99" i="18"/>
  <c r="L99" i="18"/>
  <c r="M99" i="18" s="1"/>
  <c r="N99" i="18"/>
  <c r="O99" i="18" s="1"/>
  <c r="B100" i="18"/>
  <c r="J100" i="18"/>
  <c r="L100" i="18"/>
  <c r="M100" i="18"/>
  <c r="N100" i="18"/>
  <c r="O100" i="18" s="1"/>
  <c r="B101" i="18"/>
  <c r="J101" i="18"/>
  <c r="L101" i="18"/>
  <c r="M101" i="18" s="1"/>
  <c r="N101" i="18"/>
  <c r="O101" i="18"/>
  <c r="P101" i="18" s="1"/>
  <c r="B102" i="18"/>
  <c r="J102" i="18"/>
  <c r="L102" i="18"/>
  <c r="M102" i="18"/>
  <c r="N102" i="18"/>
  <c r="O102" i="18" s="1"/>
  <c r="P102" i="18" s="1"/>
  <c r="B103" i="18"/>
  <c r="L103" i="18"/>
  <c r="M103" i="18"/>
  <c r="N103" i="18"/>
  <c r="O103" i="18"/>
  <c r="B104" i="18"/>
  <c r="L104" i="18"/>
  <c r="M104" i="18"/>
  <c r="N104" i="18"/>
  <c r="O104" i="18" s="1"/>
  <c r="P104" i="18" s="1"/>
  <c r="B105" i="18"/>
  <c r="J105" i="18"/>
  <c r="L105" i="18"/>
  <c r="M105" i="18" s="1"/>
  <c r="N105" i="18"/>
  <c r="O105" i="18"/>
  <c r="B106" i="18"/>
  <c r="L106" i="18"/>
  <c r="M106" i="18" s="1"/>
  <c r="N106" i="18"/>
  <c r="O106" i="18" s="1"/>
  <c r="D107" i="18"/>
  <c r="B107" i="18"/>
  <c r="M107" i="18"/>
  <c r="O107" i="18"/>
  <c r="M108" i="18"/>
  <c r="P108" i="18" s="1"/>
  <c r="O108" i="18"/>
  <c r="M109" i="18"/>
  <c r="O109" i="18"/>
  <c r="P109" i="18" s="1"/>
  <c r="M110" i="18"/>
  <c r="O110" i="18"/>
  <c r="M111" i="18"/>
  <c r="O111" i="18"/>
  <c r="P111" i="18" s="1"/>
  <c r="M112" i="18"/>
  <c r="O112" i="18"/>
  <c r="M113" i="18"/>
  <c r="O113" i="18"/>
  <c r="M114" i="18"/>
  <c r="O114" i="18"/>
  <c r="P114" i="18" s="1"/>
  <c r="M115" i="18"/>
  <c r="P115" i="18" s="1"/>
  <c r="O115" i="18"/>
  <c r="M116" i="18"/>
  <c r="O116" i="18"/>
  <c r="P116" i="18" s="1"/>
  <c r="M117" i="18"/>
  <c r="O117" i="18"/>
  <c r="P117" i="18" s="1"/>
  <c r="M118" i="18"/>
  <c r="O118" i="18"/>
  <c r="M119" i="18"/>
  <c r="O119" i="18"/>
  <c r="M120" i="18"/>
  <c r="O120" i="18"/>
  <c r="M121" i="18"/>
  <c r="O121" i="18"/>
  <c r="P121" i="18" s="1"/>
  <c r="M122" i="18"/>
  <c r="O122" i="18"/>
  <c r="M123" i="18"/>
  <c r="O123" i="18"/>
  <c r="M124" i="18"/>
  <c r="O124" i="18"/>
  <c r="P124" i="18" s="1"/>
  <c r="M125" i="18"/>
  <c r="O125" i="18"/>
  <c r="P125" i="18" s="1"/>
  <c r="M126" i="18"/>
  <c r="O126" i="18"/>
  <c r="M127" i="18"/>
  <c r="O127" i="18"/>
  <c r="P127" i="18" s="1"/>
  <c r="M128" i="18"/>
  <c r="O128" i="18"/>
  <c r="P128" i="18"/>
  <c r="M129" i="18"/>
  <c r="O129" i="18"/>
  <c r="M130" i="18"/>
  <c r="O130" i="18"/>
  <c r="M131" i="18"/>
  <c r="O131" i="18"/>
  <c r="P131" i="18" s="1"/>
  <c r="M132" i="18"/>
  <c r="O132" i="18"/>
  <c r="P132" i="18" s="1"/>
  <c r="M133" i="18"/>
  <c r="O133" i="18"/>
  <c r="M134" i="18"/>
  <c r="O134" i="18"/>
  <c r="M135" i="18"/>
  <c r="O135" i="18"/>
  <c r="P135" i="18" s="1"/>
  <c r="M136" i="18"/>
  <c r="O136" i="18"/>
  <c r="M137" i="18"/>
  <c r="P137" i="18" s="1"/>
  <c r="O137" i="18"/>
  <c r="M138" i="18"/>
  <c r="O138" i="18"/>
  <c r="M139" i="18"/>
  <c r="O139" i="18"/>
  <c r="M140" i="18"/>
  <c r="O140" i="18"/>
  <c r="P140" i="18" s="1"/>
  <c r="M141" i="18"/>
  <c r="O141" i="18"/>
  <c r="M142" i="18"/>
  <c r="O142" i="18"/>
  <c r="P142" i="18" s="1"/>
  <c r="M143" i="18"/>
  <c r="O143" i="18"/>
  <c r="M144" i="18"/>
  <c r="O144" i="18"/>
  <c r="P144" i="18" s="1"/>
  <c r="M145" i="18"/>
  <c r="O145" i="18"/>
  <c r="P145" i="18" s="1"/>
  <c r="M146" i="18"/>
  <c r="O146" i="18"/>
  <c r="P146" i="18" s="1"/>
  <c r="M147" i="18"/>
  <c r="O147" i="18"/>
  <c r="P147" i="18" s="1"/>
  <c r="M148" i="18"/>
  <c r="O148" i="18"/>
  <c r="P148" i="18" s="1"/>
  <c r="M149" i="18"/>
  <c r="O149" i="18"/>
  <c r="P149" i="18" s="1"/>
  <c r="M150" i="18"/>
  <c r="O150" i="18"/>
  <c r="P150" i="18" s="1"/>
  <c r="M151" i="18"/>
  <c r="O151" i="18"/>
  <c r="M152" i="18"/>
  <c r="P152" i="18"/>
  <c r="O152" i="18"/>
  <c r="M153" i="18"/>
  <c r="O153" i="18"/>
  <c r="M154" i="18"/>
  <c r="O154" i="18"/>
  <c r="P154" i="18" s="1"/>
  <c r="P1" i="17"/>
  <c r="P83" i="17" s="1"/>
  <c r="O3" i="17"/>
  <c r="D8" i="17"/>
  <c r="D90" i="17"/>
  <c r="K11" i="17"/>
  <c r="C17" i="17"/>
  <c r="C18" i="17"/>
  <c r="C19" i="17" s="1"/>
  <c r="C20" i="17" s="1"/>
  <c r="C21" i="17" s="1"/>
  <c r="I17" i="17"/>
  <c r="L17" i="17"/>
  <c r="N17" i="17"/>
  <c r="O17" i="17" s="1"/>
  <c r="B18" i="17"/>
  <c r="K18" i="17"/>
  <c r="L18" i="17"/>
  <c r="M18" i="17"/>
  <c r="N18" i="17" s="1"/>
  <c r="O18" i="17" s="1"/>
  <c r="B19" i="17"/>
  <c r="K19" i="17"/>
  <c r="L19" i="17"/>
  <c r="M19" i="17"/>
  <c r="N19" i="17"/>
  <c r="O19" i="17" s="1"/>
  <c r="B20" i="17"/>
  <c r="K20" i="17"/>
  <c r="L20" i="17" s="1"/>
  <c r="M20" i="17"/>
  <c r="N20" i="17" s="1"/>
  <c r="O20" i="17" s="1"/>
  <c r="B21" i="17"/>
  <c r="I21" i="17"/>
  <c r="K21" i="17"/>
  <c r="L21" i="17"/>
  <c r="M21" i="17"/>
  <c r="N21" i="17" s="1"/>
  <c r="O21" i="17" s="1"/>
  <c r="B22" i="17"/>
  <c r="K22" i="17"/>
  <c r="L22" i="17" s="1"/>
  <c r="M22" i="17"/>
  <c r="N22" i="17"/>
  <c r="B23" i="17"/>
  <c r="K23" i="17"/>
  <c r="L23" i="17"/>
  <c r="M23" i="17"/>
  <c r="N23" i="17"/>
  <c r="O23" i="17" s="1"/>
  <c r="B24" i="17"/>
  <c r="I24" i="17"/>
  <c r="K24" i="17"/>
  <c r="L24" i="17" s="1"/>
  <c r="M24" i="17"/>
  <c r="N24" i="17" s="1"/>
  <c r="O24" i="17" s="1"/>
  <c r="B25" i="17"/>
  <c r="K25" i="17"/>
  <c r="L25" i="17"/>
  <c r="M25" i="17"/>
  <c r="N25" i="17" s="1"/>
  <c r="O25" i="17" s="1"/>
  <c r="B26" i="17"/>
  <c r="L27" i="17"/>
  <c r="N27" i="17"/>
  <c r="L28" i="17"/>
  <c r="N28" i="17"/>
  <c r="L29" i="17"/>
  <c r="N29" i="17"/>
  <c r="L30" i="17"/>
  <c r="N30" i="17"/>
  <c r="L31" i="17"/>
  <c r="N31" i="17"/>
  <c r="L32" i="17"/>
  <c r="N32" i="17"/>
  <c r="L33" i="17"/>
  <c r="N33" i="17"/>
  <c r="L34" i="17"/>
  <c r="N34" i="17"/>
  <c r="L35" i="17"/>
  <c r="N35" i="17"/>
  <c r="L36" i="17"/>
  <c r="N36" i="17"/>
  <c r="L37" i="17"/>
  <c r="N37" i="17"/>
  <c r="L38" i="17"/>
  <c r="N38" i="17"/>
  <c r="L39" i="17"/>
  <c r="N39" i="17"/>
  <c r="L40" i="17"/>
  <c r="N40" i="17"/>
  <c r="L41" i="17"/>
  <c r="N41" i="17"/>
  <c r="L42" i="17"/>
  <c r="O42" i="17" s="1"/>
  <c r="N42" i="17"/>
  <c r="L43" i="17"/>
  <c r="N43" i="17"/>
  <c r="L44" i="17"/>
  <c r="N44" i="17"/>
  <c r="L45" i="17"/>
  <c r="N45" i="17"/>
  <c r="O45" i="17" s="1"/>
  <c r="L46" i="17"/>
  <c r="O46" i="17" s="1"/>
  <c r="N46" i="17"/>
  <c r="L47" i="17"/>
  <c r="N47" i="17"/>
  <c r="L48" i="17"/>
  <c r="N48" i="17"/>
  <c r="L49" i="17"/>
  <c r="N49" i="17"/>
  <c r="L50" i="17"/>
  <c r="N50" i="17"/>
  <c r="L51" i="17"/>
  <c r="N51" i="17"/>
  <c r="L52" i="17"/>
  <c r="N52" i="17"/>
  <c r="L53" i="17"/>
  <c r="N53" i="17"/>
  <c r="L54" i="17"/>
  <c r="N54" i="17"/>
  <c r="L55" i="17"/>
  <c r="N55" i="17"/>
  <c r="O55" i="17" s="1"/>
  <c r="L56" i="17"/>
  <c r="N56" i="17"/>
  <c r="L57" i="17"/>
  <c r="N57" i="17"/>
  <c r="L58" i="17"/>
  <c r="N58" i="17"/>
  <c r="Q58" i="17"/>
  <c r="L59" i="17"/>
  <c r="N59" i="17"/>
  <c r="L60" i="17"/>
  <c r="N60" i="17"/>
  <c r="L61" i="17"/>
  <c r="N61" i="17"/>
  <c r="L62" i="17"/>
  <c r="N62" i="17"/>
  <c r="L63" i="17"/>
  <c r="N63" i="17"/>
  <c r="L64" i="17"/>
  <c r="N64" i="17"/>
  <c r="L65" i="17"/>
  <c r="N65" i="17"/>
  <c r="L66" i="17"/>
  <c r="N66" i="17"/>
  <c r="L67" i="17"/>
  <c r="N67" i="17"/>
  <c r="L68" i="17"/>
  <c r="N68" i="17"/>
  <c r="L69" i="17"/>
  <c r="N69" i="17"/>
  <c r="L70" i="17"/>
  <c r="N70" i="17"/>
  <c r="L71" i="17"/>
  <c r="N71" i="17"/>
  <c r="L72" i="17"/>
  <c r="N72" i="17"/>
  <c r="D89" i="17"/>
  <c r="D91" i="17"/>
  <c r="J93" i="17"/>
  <c r="L93" i="17"/>
  <c r="D96" i="17"/>
  <c r="J99" i="17"/>
  <c r="L99" i="17"/>
  <c r="M99" i="17" s="1"/>
  <c r="N99" i="17"/>
  <c r="O99" i="17" s="1"/>
  <c r="P99" i="17" s="1"/>
  <c r="B100" i="17"/>
  <c r="J100" i="17"/>
  <c r="L100" i="17"/>
  <c r="M100" i="17" s="1"/>
  <c r="N100" i="17"/>
  <c r="O100" i="17"/>
  <c r="B101" i="17"/>
  <c r="J101" i="17"/>
  <c r="L101" i="17"/>
  <c r="M101" i="17"/>
  <c r="N101" i="17"/>
  <c r="O101" i="17" s="1"/>
  <c r="B102" i="17"/>
  <c r="J102" i="17"/>
  <c r="L102" i="17"/>
  <c r="M102" i="17"/>
  <c r="N102" i="17"/>
  <c r="O102" i="17"/>
  <c r="B103" i="17"/>
  <c r="L103" i="17"/>
  <c r="M103" i="17"/>
  <c r="P103" i="17" s="1"/>
  <c r="N103" i="17"/>
  <c r="O103" i="17"/>
  <c r="B104" i="17"/>
  <c r="L104" i="17"/>
  <c r="M104" i="17" s="1"/>
  <c r="N104" i="17"/>
  <c r="O104" i="17"/>
  <c r="B105" i="17"/>
  <c r="J105" i="17"/>
  <c r="L105" i="17"/>
  <c r="M105" i="17"/>
  <c r="N105" i="17"/>
  <c r="O105" i="17" s="1"/>
  <c r="P105" i="17" s="1"/>
  <c r="B106" i="17"/>
  <c r="L106" i="17"/>
  <c r="M106" i="17"/>
  <c r="N106" i="17"/>
  <c r="O106" i="17"/>
  <c r="D107" i="17"/>
  <c r="M107" i="17"/>
  <c r="O107" i="17"/>
  <c r="M108" i="17"/>
  <c r="O108" i="17"/>
  <c r="M109" i="17"/>
  <c r="O109" i="17"/>
  <c r="M110" i="17"/>
  <c r="O110" i="17"/>
  <c r="P110" i="17" s="1"/>
  <c r="M111" i="17"/>
  <c r="O111" i="17"/>
  <c r="M112" i="17"/>
  <c r="O112" i="17"/>
  <c r="M113" i="17"/>
  <c r="O113" i="17"/>
  <c r="M114" i="17"/>
  <c r="O114" i="17"/>
  <c r="P114" i="17" s="1"/>
  <c r="M115" i="17"/>
  <c r="O115" i="17"/>
  <c r="M116" i="17"/>
  <c r="O116" i="17"/>
  <c r="M117" i="17"/>
  <c r="O117" i="17"/>
  <c r="M118" i="17"/>
  <c r="O118" i="17"/>
  <c r="P118" i="17" s="1"/>
  <c r="M119" i="17"/>
  <c r="O119" i="17"/>
  <c r="M120" i="17"/>
  <c r="O120" i="17"/>
  <c r="M121" i="17"/>
  <c r="O121" i="17"/>
  <c r="P121" i="17" s="1"/>
  <c r="M122" i="17"/>
  <c r="O122" i="17"/>
  <c r="P122" i="17" s="1"/>
  <c r="M123" i="17"/>
  <c r="O123" i="17"/>
  <c r="P123" i="17" s="1"/>
  <c r="M124" i="17"/>
  <c r="O124" i="17"/>
  <c r="M125" i="17"/>
  <c r="O125" i="17"/>
  <c r="P125" i="17" s="1"/>
  <c r="M126" i="17"/>
  <c r="O126" i="17"/>
  <c r="M127" i="17"/>
  <c r="O127" i="17"/>
  <c r="P127" i="17" s="1"/>
  <c r="M128" i="17"/>
  <c r="O128" i="17"/>
  <c r="M129" i="17"/>
  <c r="O129" i="17"/>
  <c r="P129" i="17" s="1"/>
  <c r="M130" i="17"/>
  <c r="O130" i="17"/>
  <c r="M131" i="17"/>
  <c r="O131" i="17"/>
  <c r="M132" i="17"/>
  <c r="O132" i="17"/>
  <c r="M133" i="17"/>
  <c r="O133" i="17"/>
  <c r="P133" i="17" s="1"/>
  <c r="M134" i="17"/>
  <c r="O134" i="17"/>
  <c r="M135" i="17"/>
  <c r="O135" i="17"/>
  <c r="M136" i="17"/>
  <c r="O136" i="17"/>
  <c r="M137" i="17"/>
  <c r="O137" i="17"/>
  <c r="M138" i="17"/>
  <c r="O138" i="17"/>
  <c r="M139" i="17"/>
  <c r="O139" i="17"/>
  <c r="M140" i="17"/>
  <c r="O140" i="17"/>
  <c r="M141" i="17"/>
  <c r="O141" i="17"/>
  <c r="P141" i="17" s="1"/>
  <c r="M142" i="17"/>
  <c r="P142" i="17" s="1"/>
  <c r="O142" i="17"/>
  <c r="M143" i="17"/>
  <c r="O143" i="17"/>
  <c r="P143" i="17" s="1"/>
  <c r="M144" i="17"/>
  <c r="O144" i="17"/>
  <c r="P144" i="17" s="1"/>
  <c r="M145" i="17"/>
  <c r="O145" i="17"/>
  <c r="P145" i="17" s="1"/>
  <c r="M146" i="17"/>
  <c r="O146" i="17"/>
  <c r="M147" i="17"/>
  <c r="O147" i="17"/>
  <c r="M148" i="17"/>
  <c r="O148" i="17"/>
  <c r="M149" i="17"/>
  <c r="O149" i="17"/>
  <c r="P149" i="17" s="1"/>
  <c r="M150" i="17"/>
  <c r="O150" i="17"/>
  <c r="P150" i="17" s="1"/>
  <c r="M151" i="17"/>
  <c r="O151" i="17"/>
  <c r="P151" i="17" s="1"/>
  <c r="M152" i="17"/>
  <c r="O152" i="17"/>
  <c r="M153" i="17"/>
  <c r="O153" i="17"/>
  <c r="M154" i="17"/>
  <c r="O154" i="17"/>
  <c r="P1" i="3"/>
  <c r="P83" i="3" s="1"/>
  <c r="O3" i="3"/>
  <c r="D8" i="3"/>
  <c r="D90" i="3"/>
  <c r="K11" i="3"/>
  <c r="C17" i="3"/>
  <c r="C18" i="3"/>
  <c r="C19" i="3" s="1"/>
  <c r="C20" i="3" s="1"/>
  <c r="C21" i="3" s="1"/>
  <c r="C22" i="3" s="1"/>
  <c r="C23" i="3"/>
  <c r="C24" i="3" s="1"/>
  <c r="C25" i="3" s="1"/>
  <c r="C26" i="3" s="1"/>
  <c r="C27" i="3" s="1"/>
  <c r="C28" i="3" s="1"/>
  <c r="C29" i="3" s="1"/>
  <c r="C30" i="3" s="1"/>
  <c r="C31" i="3"/>
  <c r="C32" i="3" s="1"/>
  <c r="C33" i="3" s="1"/>
  <c r="C34" i="3" s="1"/>
  <c r="C35" i="3" s="1"/>
  <c r="C36" i="3" s="1"/>
  <c r="C37" i="3" s="1"/>
  <c r="C38" i="3" s="1"/>
  <c r="C39" i="3" s="1"/>
  <c r="C40" i="3" s="1"/>
  <c r="C41" i="3" s="1"/>
  <c r="C42" i="3" s="1"/>
  <c r="C43" i="3" s="1"/>
  <c r="C44" i="3" s="1"/>
  <c r="I17" i="3"/>
  <c r="L17" i="3"/>
  <c r="N17" i="3"/>
  <c r="O17" i="3" s="1"/>
  <c r="B18" i="3"/>
  <c r="K18" i="3"/>
  <c r="L18" i="3" s="1"/>
  <c r="M18" i="3"/>
  <c r="N18" i="3" s="1"/>
  <c r="O18" i="3" s="1"/>
  <c r="B19" i="3"/>
  <c r="K19" i="3"/>
  <c r="L19" i="3"/>
  <c r="M19" i="3"/>
  <c r="N19" i="3" s="1"/>
  <c r="O19" i="3" s="1"/>
  <c r="B20" i="3"/>
  <c r="K20" i="3"/>
  <c r="L20" i="3"/>
  <c r="M20" i="3"/>
  <c r="N20" i="3"/>
  <c r="O20" i="3" s="1"/>
  <c r="B21" i="3"/>
  <c r="K21" i="3"/>
  <c r="L21" i="3" s="1"/>
  <c r="M21" i="3"/>
  <c r="N21" i="3"/>
  <c r="O21" i="3" s="1"/>
  <c r="B22" i="3"/>
  <c r="K22" i="3"/>
  <c r="L22" i="3" s="1"/>
  <c r="M22" i="3"/>
  <c r="N22" i="3" s="1"/>
  <c r="O22" i="3" s="1"/>
  <c r="B23" i="3"/>
  <c r="K23" i="3"/>
  <c r="L23" i="3"/>
  <c r="M23" i="3"/>
  <c r="N23" i="3" s="1"/>
  <c r="O23" i="3" s="1"/>
  <c r="B24" i="3"/>
  <c r="I24" i="3"/>
  <c r="K24" i="3"/>
  <c r="L24" i="3" s="1"/>
  <c r="M24" i="3"/>
  <c r="N24" i="3"/>
  <c r="B25" i="3"/>
  <c r="I25" i="3"/>
  <c r="K25" i="3"/>
  <c r="L25" i="3" s="1"/>
  <c r="M25" i="3"/>
  <c r="N25" i="3" s="1"/>
  <c r="B26" i="3"/>
  <c r="L27" i="3"/>
  <c r="N27" i="3"/>
  <c r="L28" i="3"/>
  <c r="N28" i="3"/>
  <c r="O28" i="3" s="1"/>
  <c r="L29" i="3"/>
  <c r="O29" i="3" s="1"/>
  <c r="N29" i="3"/>
  <c r="L30" i="3"/>
  <c r="N30" i="3"/>
  <c r="O30" i="3" s="1"/>
  <c r="L31" i="3"/>
  <c r="N31" i="3"/>
  <c r="O31" i="3" s="1"/>
  <c r="L32" i="3"/>
  <c r="N32" i="3"/>
  <c r="L33" i="3"/>
  <c r="N33" i="3"/>
  <c r="O33" i="3" s="1"/>
  <c r="L34" i="3"/>
  <c r="N34" i="3"/>
  <c r="L35" i="3"/>
  <c r="N35" i="3"/>
  <c r="O35" i="3" s="1"/>
  <c r="L36" i="3"/>
  <c r="N36" i="3"/>
  <c r="L37" i="3"/>
  <c r="N37" i="3"/>
  <c r="O37" i="3" s="1"/>
  <c r="L38" i="3"/>
  <c r="N38" i="3"/>
  <c r="L39" i="3"/>
  <c r="N39" i="3"/>
  <c r="O39" i="3" s="1"/>
  <c r="L40" i="3"/>
  <c r="N40" i="3"/>
  <c r="L41" i="3"/>
  <c r="N41" i="3"/>
  <c r="O41" i="3" s="1"/>
  <c r="L42" i="3"/>
  <c r="N42" i="3"/>
  <c r="L43" i="3"/>
  <c r="N43" i="3"/>
  <c r="L44" i="3"/>
  <c r="N44" i="3"/>
  <c r="L45" i="3"/>
  <c r="N45" i="3"/>
  <c r="L46" i="3"/>
  <c r="N46" i="3"/>
  <c r="L47" i="3"/>
  <c r="N47" i="3"/>
  <c r="O47" i="3" s="1"/>
  <c r="L48" i="3"/>
  <c r="N48" i="3"/>
  <c r="L49" i="3"/>
  <c r="N49" i="3"/>
  <c r="L50" i="3"/>
  <c r="N50" i="3"/>
  <c r="L51" i="3"/>
  <c r="N51" i="3"/>
  <c r="O51" i="3" s="1"/>
  <c r="L52" i="3"/>
  <c r="N52" i="3"/>
  <c r="L53" i="3"/>
  <c r="N53" i="3"/>
  <c r="L54" i="3"/>
  <c r="N54" i="3"/>
  <c r="L55" i="3"/>
  <c r="N55" i="3"/>
  <c r="L56" i="3"/>
  <c r="N56" i="3"/>
  <c r="L57" i="3"/>
  <c r="N57" i="3"/>
  <c r="L58" i="3"/>
  <c r="N58" i="3"/>
  <c r="Q58" i="3"/>
  <c r="L59" i="3"/>
  <c r="N59" i="3"/>
  <c r="L60" i="3"/>
  <c r="N60" i="3"/>
  <c r="L61" i="3"/>
  <c r="N61" i="3"/>
  <c r="L62" i="3"/>
  <c r="N62" i="3"/>
  <c r="L63" i="3"/>
  <c r="N63" i="3"/>
  <c r="L64" i="3"/>
  <c r="N64" i="3"/>
  <c r="L65" i="3"/>
  <c r="N65" i="3"/>
  <c r="O65" i="3" s="1"/>
  <c r="L66" i="3"/>
  <c r="N66" i="3"/>
  <c r="L67" i="3"/>
  <c r="N67" i="3"/>
  <c r="O67" i="3" s="1"/>
  <c r="L68" i="3"/>
  <c r="N68" i="3"/>
  <c r="L69" i="3"/>
  <c r="N69" i="3"/>
  <c r="L70" i="3"/>
  <c r="N70" i="3"/>
  <c r="L71" i="3"/>
  <c r="N71" i="3"/>
  <c r="L72" i="3"/>
  <c r="N72" i="3"/>
  <c r="D89" i="3"/>
  <c r="D91" i="3"/>
  <c r="J93" i="3"/>
  <c r="L93" i="3"/>
  <c r="D96" i="3"/>
  <c r="J99" i="3"/>
  <c r="L99" i="3"/>
  <c r="M99" i="3"/>
  <c r="N99" i="3"/>
  <c r="O99" i="3" s="1"/>
  <c r="P99" i="3" s="1"/>
  <c r="B100" i="3"/>
  <c r="J100" i="3"/>
  <c r="L100" i="3"/>
  <c r="M100" i="3" s="1"/>
  <c r="N100" i="3"/>
  <c r="O100" i="3"/>
  <c r="B101" i="3"/>
  <c r="J101" i="3"/>
  <c r="L101" i="3"/>
  <c r="M101" i="3" s="1"/>
  <c r="N101" i="3"/>
  <c r="O101" i="3"/>
  <c r="P101" i="3" s="1"/>
  <c r="B102" i="3"/>
  <c r="L102" i="3"/>
  <c r="M102" i="3" s="1"/>
  <c r="N102" i="3"/>
  <c r="O102" i="3" s="1"/>
  <c r="B103" i="3"/>
  <c r="L103" i="3"/>
  <c r="M103" i="3"/>
  <c r="N103" i="3"/>
  <c r="O103" i="3" s="1"/>
  <c r="P103" i="3" s="1"/>
  <c r="B104" i="3"/>
  <c r="L104" i="3"/>
  <c r="M104" i="3"/>
  <c r="N104" i="3"/>
  <c r="O104" i="3"/>
  <c r="B105" i="3"/>
  <c r="J105" i="3"/>
  <c r="L105" i="3"/>
  <c r="M105" i="3"/>
  <c r="N105" i="3"/>
  <c r="O105" i="3"/>
  <c r="B106" i="3"/>
  <c r="J106" i="3"/>
  <c r="L106" i="3"/>
  <c r="M106" i="3" s="1"/>
  <c r="N106" i="3"/>
  <c r="O106" i="3"/>
  <c r="D107" i="3"/>
  <c r="B107" i="3" s="1"/>
  <c r="M107" i="3"/>
  <c r="O107" i="3"/>
  <c r="P107" i="3" s="1"/>
  <c r="M108" i="3"/>
  <c r="O108" i="3"/>
  <c r="P108" i="3" s="1"/>
  <c r="M109" i="3"/>
  <c r="O109" i="3"/>
  <c r="P109" i="3" s="1"/>
  <c r="M110" i="3"/>
  <c r="O110" i="3"/>
  <c r="P110" i="3" s="1"/>
  <c r="M111" i="3"/>
  <c r="O111" i="3"/>
  <c r="M112" i="3"/>
  <c r="O112" i="3"/>
  <c r="M113" i="3"/>
  <c r="O113" i="3"/>
  <c r="P113" i="3" s="1"/>
  <c r="M114" i="3"/>
  <c r="O114" i="3"/>
  <c r="P114" i="3" s="1"/>
  <c r="M115" i="3"/>
  <c r="O115" i="3"/>
  <c r="P115" i="3" s="1"/>
  <c r="M116" i="3"/>
  <c r="O116" i="3"/>
  <c r="P116" i="3" s="1"/>
  <c r="M117" i="3"/>
  <c r="O117" i="3"/>
  <c r="P117" i="3" s="1"/>
  <c r="M118" i="3"/>
  <c r="O118" i="3"/>
  <c r="M119" i="3"/>
  <c r="O119" i="3"/>
  <c r="P119" i="3" s="1"/>
  <c r="M120" i="3"/>
  <c r="O120" i="3"/>
  <c r="P120" i="3" s="1"/>
  <c r="M121" i="3"/>
  <c r="O121" i="3"/>
  <c r="P121" i="3" s="1"/>
  <c r="M122" i="3"/>
  <c r="O122" i="3"/>
  <c r="M123" i="3"/>
  <c r="O123" i="3"/>
  <c r="P123" i="3" s="1"/>
  <c r="M124" i="3"/>
  <c r="O124" i="3"/>
  <c r="P124" i="3" s="1"/>
  <c r="M125" i="3"/>
  <c r="O125" i="3"/>
  <c r="M126" i="3"/>
  <c r="O126" i="3"/>
  <c r="P126" i="3" s="1"/>
  <c r="M127" i="3"/>
  <c r="O127" i="3"/>
  <c r="P127" i="3" s="1"/>
  <c r="M128" i="3"/>
  <c r="O128" i="3"/>
  <c r="P128" i="3" s="1"/>
  <c r="M129" i="3"/>
  <c r="O129" i="3"/>
  <c r="M130" i="3"/>
  <c r="O130" i="3"/>
  <c r="M131" i="3"/>
  <c r="O131" i="3"/>
  <c r="P131" i="3" s="1"/>
  <c r="M132" i="3"/>
  <c r="O132" i="3"/>
  <c r="P132" i="3" s="1"/>
  <c r="M133" i="3"/>
  <c r="O133" i="3"/>
  <c r="M134" i="3"/>
  <c r="O134" i="3"/>
  <c r="M135" i="3"/>
  <c r="O135" i="3"/>
  <c r="M136" i="3"/>
  <c r="O136" i="3"/>
  <c r="P136" i="3" s="1"/>
  <c r="M137" i="3"/>
  <c r="O137" i="3"/>
  <c r="P137" i="3" s="1"/>
  <c r="M138" i="3"/>
  <c r="O138" i="3"/>
  <c r="P138" i="3" s="1"/>
  <c r="M139" i="3"/>
  <c r="O139" i="3"/>
  <c r="M140" i="3"/>
  <c r="O140" i="3"/>
  <c r="M141" i="3"/>
  <c r="O141" i="3"/>
  <c r="M142" i="3"/>
  <c r="O142" i="3"/>
  <c r="P142" i="3" s="1"/>
  <c r="M143" i="3"/>
  <c r="O143" i="3"/>
  <c r="M144" i="3"/>
  <c r="O144" i="3"/>
  <c r="M145" i="3"/>
  <c r="O145" i="3"/>
  <c r="P145" i="3" s="1"/>
  <c r="M146" i="3"/>
  <c r="O146" i="3"/>
  <c r="M147" i="3"/>
  <c r="O147" i="3"/>
  <c r="M148" i="3"/>
  <c r="O148" i="3"/>
  <c r="M149" i="3"/>
  <c r="O149" i="3"/>
  <c r="P149" i="3" s="1"/>
  <c r="M150" i="3"/>
  <c r="O150" i="3"/>
  <c r="P150" i="3" s="1"/>
  <c r="M151" i="3"/>
  <c r="O151" i="3"/>
  <c r="M152" i="3"/>
  <c r="O152" i="3"/>
  <c r="P152" i="3" s="1"/>
  <c r="M153" i="3"/>
  <c r="O153" i="3"/>
  <c r="P153" i="3" s="1"/>
  <c r="M154" i="3"/>
  <c r="O154" i="3"/>
  <c r="A1" i="2"/>
  <c r="A4" i="2"/>
  <c r="C11" i="2"/>
  <c r="F11" i="2"/>
  <c r="F13" i="2" s="1"/>
  <c r="E18" i="2" s="1"/>
  <c r="F18" i="2" s="1"/>
  <c r="F12" i="2"/>
  <c r="C49" i="2" s="1"/>
  <c r="J92" i="29"/>
  <c r="L86" i="29" s="1"/>
  <c r="D16" i="2"/>
  <c r="E16" i="2"/>
  <c r="F16" i="2" s="1"/>
  <c r="D17" i="2"/>
  <c r="E17" i="2"/>
  <c r="F17" i="2"/>
  <c r="D18" i="2"/>
  <c r="C23" i="2"/>
  <c r="E23" i="2"/>
  <c r="C30" i="2"/>
  <c r="E30" i="2"/>
  <c r="C33" i="2"/>
  <c r="E33" i="2"/>
  <c r="C34" i="2"/>
  <c r="E34" i="2"/>
  <c r="C35" i="2"/>
  <c r="E35" i="2"/>
  <c r="C39" i="2"/>
  <c r="C43" i="2"/>
  <c r="F43" i="2"/>
  <c r="C44" i="2"/>
  <c r="F44" i="2"/>
  <c r="C45" i="2"/>
  <c r="F45" i="2"/>
  <c r="C46" i="2"/>
  <c r="F46" i="2"/>
  <c r="C51" i="2"/>
  <c r="C54" i="2"/>
  <c r="C57" i="2"/>
  <c r="F57" i="2"/>
  <c r="Q59" i="2"/>
  <c r="C61" i="2"/>
  <c r="C63" i="2"/>
  <c r="F63" i="2"/>
  <c r="C74" i="2"/>
  <c r="F74" i="2"/>
  <c r="C80" i="2"/>
  <c r="F80" i="2"/>
  <c r="F85" i="2"/>
  <c r="F86" i="2"/>
  <c r="C88" i="2"/>
  <c r="C89" i="2"/>
  <c r="F89" i="2"/>
  <c r="F10" i="1"/>
  <c r="F11" i="1"/>
  <c r="D15" i="1"/>
  <c r="F15" i="1" s="1"/>
  <c r="E15" i="1"/>
  <c r="D16" i="1"/>
  <c r="E16" i="1"/>
  <c r="D17" i="1"/>
  <c r="K17" i="1"/>
  <c r="C22" i="1"/>
  <c r="E22" i="1"/>
  <c r="C29" i="1"/>
  <c r="E29" i="1"/>
  <c r="C32" i="1"/>
  <c r="E32" i="1"/>
  <c r="C33" i="1"/>
  <c r="E33" i="1"/>
  <c r="C34" i="1"/>
  <c r="E34" i="1"/>
  <c r="C38" i="1"/>
  <c r="C41" i="1"/>
  <c r="F41" i="1"/>
  <c r="F42" i="1"/>
  <c r="C43" i="1"/>
  <c r="F43" i="1"/>
  <c r="C48" i="1"/>
  <c r="C54" i="1"/>
  <c r="F54" i="1"/>
  <c r="P56" i="1"/>
  <c r="C60" i="1"/>
  <c r="F60" i="1"/>
  <c r="C70" i="1"/>
  <c r="F70" i="1"/>
  <c r="C76" i="1"/>
  <c r="F76" i="1"/>
  <c r="F80" i="1"/>
  <c r="F81" i="1"/>
  <c r="C83" i="1"/>
  <c r="C84" i="1"/>
  <c r="F84" i="1"/>
  <c r="R126" i="1"/>
  <c r="R127" i="1"/>
  <c r="R128" i="1"/>
  <c r="G12" i="36"/>
  <c r="L12" i="36"/>
  <c r="P12" i="36"/>
  <c r="P18" i="36"/>
  <c r="W18" i="36"/>
  <c r="P19" i="36"/>
  <c r="W19" i="36"/>
  <c r="P20" i="36"/>
  <c r="W20" i="36"/>
  <c r="P21" i="36"/>
  <c r="P93" i="36" s="1"/>
  <c r="W21" i="36"/>
  <c r="P22" i="36"/>
  <c r="W22" i="36"/>
  <c r="P23" i="36"/>
  <c r="W23" i="36"/>
  <c r="P24" i="36"/>
  <c r="W24" i="36"/>
  <c r="P25" i="36"/>
  <c r="W25" i="36"/>
  <c r="P26" i="36"/>
  <c r="W26" i="36"/>
  <c r="P27" i="36"/>
  <c r="W27" i="36"/>
  <c r="P28" i="36"/>
  <c r="W28" i="36"/>
  <c r="P29" i="36"/>
  <c r="W29" i="36"/>
  <c r="P30" i="36"/>
  <c r="W30" i="36"/>
  <c r="P31" i="36"/>
  <c r="W31" i="36"/>
  <c r="P32" i="36"/>
  <c r="W32" i="36"/>
  <c r="P33" i="36"/>
  <c r="W33" i="36"/>
  <c r="P34" i="36"/>
  <c r="W34" i="36"/>
  <c r="P35" i="36"/>
  <c r="W35" i="36"/>
  <c r="P36" i="36"/>
  <c r="W36" i="36"/>
  <c r="P37" i="36"/>
  <c r="W37" i="36"/>
  <c r="P38" i="36"/>
  <c r="W38" i="36"/>
  <c r="P39" i="36"/>
  <c r="W39" i="36"/>
  <c r="P40" i="36"/>
  <c r="W40" i="36"/>
  <c r="P41" i="36"/>
  <c r="W41" i="36"/>
  <c r="P42" i="36"/>
  <c r="W42" i="36"/>
  <c r="P43" i="36"/>
  <c r="W43" i="36"/>
  <c r="P44" i="36"/>
  <c r="W44" i="36"/>
  <c r="P45" i="36"/>
  <c r="W45" i="36"/>
  <c r="P46" i="36"/>
  <c r="W46" i="36"/>
  <c r="P47" i="36"/>
  <c r="W47" i="36"/>
  <c r="P48" i="36"/>
  <c r="W48" i="36"/>
  <c r="P49" i="36"/>
  <c r="W49" i="36"/>
  <c r="P50" i="36"/>
  <c r="W50" i="36"/>
  <c r="P51" i="36"/>
  <c r="W51" i="36"/>
  <c r="P52" i="36"/>
  <c r="W52" i="36"/>
  <c r="P53" i="36"/>
  <c r="W53" i="36"/>
  <c r="P54" i="36"/>
  <c r="W54" i="36"/>
  <c r="P55" i="36"/>
  <c r="W55" i="36"/>
  <c r="P56" i="36"/>
  <c r="W56" i="36"/>
  <c r="P57" i="36"/>
  <c r="W57" i="36"/>
  <c r="P58" i="36"/>
  <c r="W58" i="36"/>
  <c r="P59" i="36"/>
  <c r="W59" i="36"/>
  <c r="P60" i="36"/>
  <c r="W60" i="36"/>
  <c r="P61" i="36"/>
  <c r="W61" i="36"/>
  <c r="P62" i="36"/>
  <c r="W62" i="36"/>
  <c r="P63" i="36"/>
  <c r="W63" i="36"/>
  <c r="P64" i="36"/>
  <c r="W64" i="36"/>
  <c r="P65" i="36"/>
  <c r="W65" i="36"/>
  <c r="P66" i="36"/>
  <c r="W66" i="36"/>
  <c r="P67" i="36"/>
  <c r="W67" i="36"/>
  <c r="P68" i="36"/>
  <c r="W68" i="36"/>
  <c r="P69" i="36"/>
  <c r="W69" i="36"/>
  <c r="P70" i="36"/>
  <c r="W70" i="36"/>
  <c r="P71" i="36"/>
  <c r="W71" i="36"/>
  <c r="P72" i="36"/>
  <c r="W72" i="36"/>
  <c r="P73" i="36"/>
  <c r="W73" i="36"/>
  <c r="P74" i="36"/>
  <c r="W74" i="36"/>
  <c r="P75" i="36"/>
  <c r="W75" i="36"/>
  <c r="P76" i="36"/>
  <c r="P77" i="36"/>
  <c r="P78" i="36"/>
  <c r="P79" i="36"/>
  <c r="P80" i="36"/>
  <c r="P81" i="36"/>
  <c r="P82" i="36"/>
  <c r="P83" i="36"/>
  <c r="P84" i="36"/>
  <c r="P85" i="36"/>
  <c r="P86" i="36"/>
  <c r="P87" i="36"/>
  <c r="P88" i="36"/>
  <c r="N93" i="36"/>
  <c r="O93" i="36"/>
  <c r="P120" i="68"/>
  <c r="P111" i="79"/>
  <c r="J92" i="22"/>
  <c r="N87" i="22" s="1"/>
  <c r="J92" i="21"/>
  <c r="P136" i="34"/>
  <c r="P134" i="34"/>
  <c r="P123" i="34"/>
  <c r="P121" i="34"/>
  <c r="P119" i="34"/>
  <c r="P113" i="34"/>
  <c r="P111" i="34"/>
  <c r="J92" i="30"/>
  <c r="M18" i="2"/>
  <c r="J94" i="20"/>
  <c r="P112" i="21"/>
  <c r="P138" i="27"/>
  <c r="P130" i="27"/>
  <c r="J92" i="35"/>
  <c r="L86" i="35" s="1"/>
  <c r="P143" i="28"/>
  <c r="P131" i="34"/>
  <c r="P132" i="46"/>
  <c r="P128" i="46"/>
  <c r="P110" i="58"/>
  <c r="P117" i="64"/>
  <c r="P123" i="66"/>
  <c r="P109" i="72"/>
  <c r="P115" i="73"/>
  <c r="P139" i="24"/>
  <c r="P137" i="24"/>
  <c r="P150" i="29"/>
  <c r="P147" i="34"/>
  <c r="P145" i="34"/>
  <c r="P147" i="39"/>
  <c r="P137" i="39"/>
  <c r="P129" i="39"/>
  <c r="P121" i="39"/>
  <c r="P147" i="46"/>
  <c r="P141" i="46"/>
  <c r="P120" i="46"/>
  <c r="P118" i="46"/>
  <c r="P112" i="46"/>
  <c r="P110" i="46"/>
  <c r="P148" i="55"/>
  <c r="P138" i="55"/>
  <c r="P132" i="55"/>
  <c r="P118" i="55"/>
  <c r="P117" i="63"/>
  <c r="P109" i="79"/>
  <c r="P119" i="61"/>
  <c r="P111" i="72"/>
  <c r="P107" i="72"/>
  <c r="P109" i="73"/>
  <c r="P124" i="77"/>
  <c r="P106" i="58"/>
  <c r="P114" i="59"/>
  <c r="P106" i="59"/>
  <c r="P124" i="61"/>
  <c r="P130" i="60"/>
  <c r="P108" i="66"/>
  <c r="P104" i="66"/>
  <c r="P119" i="70"/>
  <c r="P111" i="70"/>
  <c r="P117" i="75"/>
  <c r="P106" i="79"/>
  <c r="P101" i="81"/>
  <c r="P109" i="83"/>
  <c r="P109" i="85"/>
  <c r="O21" i="98"/>
  <c r="O69" i="73"/>
  <c r="P142" i="34"/>
  <c r="P140" i="34"/>
  <c r="P114" i="46"/>
  <c r="P119" i="58"/>
  <c r="P105" i="60"/>
  <c r="P106" i="67"/>
  <c r="P130" i="77"/>
  <c r="P129" i="79"/>
  <c r="P127" i="79"/>
  <c r="P105" i="79"/>
  <c r="P117" i="79"/>
  <c r="P113" i="79"/>
  <c r="P123" i="73"/>
  <c r="O45" i="85"/>
  <c r="O37" i="85"/>
  <c r="O30" i="86"/>
  <c r="O27" i="55"/>
  <c r="O63" i="82"/>
  <c r="O30" i="64"/>
  <c r="P122" i="87"/>
  <c r="P120" i="87"/>
  <c r="O67" i="61"/>
  <c r="O71" i="80"/>
  <c r="O26" i="83"/>
  <c r="O72" i="91"/>
  <c r="O70" i="13"/>
  <c r="O32" i="95"/>
  <c r="O62" i="96"/>
  <c r="O52" i="13"/>
  <c r="J94" i="90"/>
  <c r="J95" i="90"/>
  <c r="J94" i="76"/>
  <c r="J95" i="76" s="1"/>
  <c r="J94" i="53"/>
  <c r="J95" i="53"/>
  <c r="J94" i="28"/>
  <c r="J95" i="28"/>
  <c r="C55" i="2"/>
  <c r="P152" i="17"/>
  <c r="P135" i="27"/>
  <c r="J92" i="92"/>
  <c r="J92" i="89"/>
  <c r="L86" i="89"/>
  <c r="J92" i="97"/>
  <c r="J92" i="96"/>
  <c r="N88" i="96" s="1"/>
  <c r="J92" i="88"/>
  <c r="J92" i="84"/>
  <c r="J92" i="80"/>
  <c r="J92" i="79"/>
  <c r="N87" i="79" s="1"/>
  <c r="J92" i="77"/>
  <c r="N87" i="77" s="1"/>
  <c r="J92" i="76"/>
  <c r="J92" i="75"/>
  <c r="J92" i="72"/>
  <c r="N87" i="72" s="1"/>
  <c r="O87" i="72" s="1"/>
  <c r="J92" i="91"/>
  <c r="J92" i="73"/>
  <c r="J92" i="60"/>
  <c r="L86" i="60" s="1"/>
  <c r="J92" i="68"/>
  <c r="L86" i="68"/>
  <c r="J92" i="65"/>
  <c r="J92" i="62"/>
  <c r="N87" i="62" s="1"/>
  <c r="J92" i="54"/>
  <c r="N87" i="54" s="1"/>
  <c r="J92" i="44"/>
  <c r="L86" i="44" s="1"/>
  <c r="J92" i="57"/>
  <c r="J92" i="53"/>
  <c r="N87" i="53"/>
  <c r="J92" i="34"/>
  <c r="J92" i="56"/>
  <c r="N87" i="56"/>
  <c r="J92" i="41"/>
  <c r="M87" i="41"/>
  <c r="J92" i="27"/>
  <c r="J92" i="58"/>
  <c r="J92" i="32"/>
  <c r="L86" i="32" s="1"/>
  <c r="J92" i="33"/>
  <c r="J92" i="31"/>
  <c r="J92" i="19"/>
  <c r="L86" i="19"/>
  <c r="P116" i="21"/>
  <c r="J92" i="26"/>
  <c r="P138" i="32"/>
  <c r="P136" i="29"/>
  <c r="P135" i="29"/>
  <c r="P112" i="32"/>
  <c r="P120" i="34"/>
  <c r="P110" i="32"/>
  <c r="P117" i="34"/>
  <c r="P113" i="57"/>
  <c r="P120" i="20"/>
  <c r="P112" i="20"/>
  <c r="P141" i="28"/>
  <c r="P141" i="34"/>
  <c r="P151" i="35"/>
  <c r="P147" i="35"/>
  <c r="P135" i="35"/>
  <c r="P131" i="35"/>
  <c r="P123" i="35"/>
  <c r="P115" i="35"/>
  <c r="P107" i="35"/>
  <c r="P154" i="39"/>
  <c r="P142" i="39"/>
  <c r="P122" i="39"/>
  <c r="P110" i="39"/>
  <c r="P109" i="34"/>
  <c r="P154" i="57"/>
  <c r="P152" i="57"/>
  <c r="P150" i="57"/>
  <c r="P146" i="57"/>
  <c r="P144" i="57"/>
  <c r="P130" i="57"/>
  <c r="P128" i="57"/>
  <c r="P114" i="57"/>
  <c r="P141" i="35"/>
  <c r="P133" i="35"/>
  <c r="P125" i="35"/>
  <c r="P121" i="35"/>
  <c r="P117" i="35"/>
  <c r="P113" i="35"/>
  <c r="P105" i="35"/>
  <c r="P152" i="39"/>
  <c r="P120" i="39"/>
  <c r="P116" i="39"/>
  <c r="P151" i="44"/>
  <c r="P149" i="44"/>
  <c r="P135" i="44"/>
  <c r="P127" i="44"/>
  <c r="P125" i="44"/>
  <c r="P121" i="44"/>
  <c r="P106" i="57"/>
  <c r="P121" i="59"/>
  <c r="P113" i="59"/>
  <c r="P128" i="63"/>
  <c r="P120" i="63"/>
  <c r="P108" i="63"/>
  <c r="P130" i="62"/>
  <c r="P115" i="62"/>
  <c r="P103" i="63"/>
  <c r="P147" i="58"/>
  <c r="P141" i="58"/>
  <c r="P139" i="58"/>
  <c r="P137" i="58"/>
  <c r="P135" i="58"/>
  <c r="P133" i="58"/>
  <c r="P121" i="58"/>
  <c r="P117" i="58"/>
  <c r="P105" i="58"/>
  <c r="P119" i="59"/>
  <c r="P115" i="59"/>
  <c r="P126" i="63"/>
  <c r="P122" i="63"/>
  <c r="P110" i="63"/>
  <c r="P106" i="63"/>
  <c r="P119" i="62"/>
  <c r="P103" i="62"/>
  <c r="P128" i="60"/>
  <c r="P112" i="64"/>
  <c r="P126" i="66"/>
  <c r="P110" i="66"/>
  <c r="P128" i="70"/>
  <c r="P124" i="70"/>
  <c r="P128" i="62"/>
  <c r="P104" i="62"/>
  <c r="P124" i="60"/>
  <c r="P128" i="64"/>
  <c r="P108" i="64"/>
  <c r="P107" i="64"/>
  <c r="P106" i="64"/>
  <c r="P130" i="66"/>
  <c r="P122" i="66"/>
  <c r="P106" i="66"/>
  <c r="P125" i="67"/>
  <c r="P115" i="67"/>
  <c r="P130" i="70"/>
  <c r="P126" i="70"/>
  <c r="P122" i="70"/>
  <c r="P121" i="69"/>
  <c r="P126" i="73"/>
  <c r="P118" i="73"/>
  <c r="P127" i="74"/>
  <c r="P128" i="75"/>
  <c r="P130" i="73"/>
  <c r="P111" i="73"/>
  <c r="P109" i="74"/>
  <c r="P115" i="75"/>
  <c r="P120" i="73"/>
  <c r="P106" i="73"/>
  <c r="P114" i="74"/>
  <c r="P109" i="75"/>
  <c r="P128" i="77"/>
  <c r="P129" i="78"/>
  <c r="P111" i="78"/>
  <c r="P109" i="78"/>
  <c r="P121" i="76"/>
  <c r="P122" i="77"/>
  <c r="P119" i="76"/>
  <c r="P103" i="76"/>
  <c r="P126" i="77"/>
  <c r="P120" i="77"/>
  <c r="P115" i="78"/>
  <c r="P126" i="79"/>
  <c r="P121" i="79"/>
  <c r="P116" i="79"/>
  <c r="P103" i="79"/>
  <c r="P112" i="79"/>
  <c r="P104" i="79"/>
  <c r="P123" i="80"/>
  <c r="P101" i="78"/>
  <c r="P102" i="79"/>
  <c r="P123" i="79"/>
  <c r="P122" i="79"/>
  <c r="P102" i="80"/>
  <c r="P110" i="80"/>
  <c r="P123" i="81"/>
  <c r="P130" i="83"/>
  <c r="P120" i="83"/>
  <c r="P110" i="82"/>
  <c r="P102" i="82"/>
  <c r="P114" i="83"/>
  <c r="P126" i="83"/>
  <c r="P118" i="83"/>
  <c r="P110" i="83"/>
  <c r="P102" i="83"/>
  <c r="P112" i="83"/>
  <c r="P104" i="83"/>
  <c r="P106" i="83"/>
  <c r="P114" i="85"/>
  <c r="P123" i="85"/>
  <c r="P104" i="85"/>
  <c r="P108" i="89"/>
  <c r="P101" i="85"/>
  <c r="P103" i="88"/>
  <c r="P128" i="89"/>
  <c r="P110" i="89"/>
  <c r="P135" i="43"/>
  <c r="O42" i="65"/>
  <c r="O32" i="59"/>
  <c r="P126" i="65"/>
  <c r="P124" i="65"/>
  <c r="P122" i="65"/>
  <c r="P116" i="65"/>
  <c r="O34" i="67"/>
  <c r="O22" i="67"/>
  <c r="O67" i="77"/>
  <c r="O35" i="77"/>
  <c r="O24" i="82"/>
  <c r="P109" i="88"/>
  <c r="P100" i="87"/>
  <c r="O52" i="81"/>
  <c r="P114" i="88"/>
  <c r="O70" i="88"/>
  <c r="O25" i="89"/>
  <c r="O63" i="90"/>
  <c r="O51" i="90"/>
  <c r="P112" i="89"/>
  <c r="P106" i="89"/>
  <c r="P105" i="54"/>
  <c r="P110" i="65"/>
  <c r="O43" i="90"/>
  <c r="O63" i="77"/>
  <c r="O66" i="13"/>
  <c r="O38" i="35"/>
  <c r="O27" i="56"/>
  <c r="O23" i="65"/>
  <c r="O55" i="89"/>
  <c r="O47" i="89"/>
  <c r="O19" i="88"/>
  <c r="O26" i="73"/>
  <c r="O59" i="90"/>
  <c r="O68" i="13"/>
  <c r="O60" i="79"/>
  <c r="O34" i="33"/>
  <c r="O29" i="56"/>
  <c r="O26" i="59"/>
  <c r="O30" i="61"/>
  <c r="O47" i="72"/>
  <c r="O51" i="66"/>
  <c r="O43" i="81"/>
  <c r="O19" i="81"/>
  <c r="O67" i="82"/>
  <c r="O21" i="89"/>
  <c r="O44" i="92"/>
  <c r="P129" i="13"/>
  <c r="P121" i="13"/>
  <c r="P119" i="13"/>
  <c r="P111" i="13"/>
  <c r="P109" i="13"/>
  <c r="P138" i="53"/>
  <c r="P126" i="53"/>
  <c r="O32" i="54"/>
  <c r="P146" i="56"/>
  <c r="P134" i="56"/>
  <c r="P118" i="56"/>
  <c r="O42" i="66"/>
  <c r="O58" i="77"/>
  <c r="O50" i="77"/>
  <c r="O54" i="77"/>
  <c r="O29" i="77"/>
  <c r="P129" i="84"/>
  <c r="P117" i="84"/>
  <c r="P109" i="84"/>
  <c r="O54" i="84"/>
  <c r="O44" i="88"/>
  <c r="O38" i="13"/>
  <c r="N87" i="65"/>
  <c r="M87" i="73"/>
  <c r="O87" i="73" s="1"/>
  <c r="C99" i="98"/>
  <c r="C99" i="97"/>
  <c r="N17" i="97"/>
  <c r="N17" i="98"/>
  <c r="L17" i="97"/>
  <c r="O17" i="97" s="1"/>
  <c r="L17" i="96"/>
  <c r="L17" i="98"/>
  <c r="N17" i="96"/>
  <c r="L17" i="95"/>
  <c r="N17" i="95"/>
  <c r="M99" i="95"/>
  <c r="O99" i="95"/>
  <c r="C45" i="89"/>
  <c r="C46" i="89" s="1"/>
  <c r="C47" i="89" s="1"/>
  <c r="C48" i="89" s="1"/>
  <c r="C49" i="89" s="1"/>
  <c r="C50" i="89" s="1"/>
  <c r="C51" i="89" s="1"/>
  <c r="C52" i="89" s="1"/>
  <c r="C53" i="89" s="1"/>
  <c r="C54" i="89" s="1"/>
  <c r="C55" i="89" s="1"/>
  <c r="C56" i="89" s="1"/>
  <c r="C57" i="89" s="1"/>
  <c r="C58" i="89" s="1"/>
  <c r="C59" i="89" s="1"/>
  <c r="C60" i="89" s="1"/>
  <c r="C61" i="89" s="1"/>
  <c r="C62" i="89" s="1"/>
  <c r="C63" i="89" s="1"/>
  <c r="C64" i="89" s="1"/>
  <c r="C65" i="89" s="1"/>
  <c r="C66" i="89" s="1"/>
  <c r="C67" i="89" s="1"/>
  <c r="C68" i="89" s="1"/>
  <c r="C69" i="89" s="1"/>
  <c r="C70" i="89" s="1"/>
  <c r="C71" i="89" s="1"/>
  <c r="C72" i="89" s="1"/>
  <c r="M87" i="89"/>
  <c r="N87" i="89"/>
  <c r="O87" i="89" s="1"/>
  <c r="C45" i="92"/>
  <c r="C46" i="92"/>
  <c r="C47" i="92"/>
  <c r="C48" i="92" s="1"/>
  <c r="C49" i="92" s="1"/>
  <c r="C50" i="92" s="1"/>
  <c r="C51" i="92" s="1"/>
  <c r="C52" i="92" s="1"/>
  <c r="C53" i="92" s="1"/>
  <c r="C54" i="92" s="1"/>
  <c r="C55" i="92" s="1"/>
  <c r="C56" i="92" s="1"/>
  <c r="C57" i="92" s="1"/>
  <c r="C58" i="92" s="1"/>
  <c r="C59" i="92" s="1"/>
  <c r="C60" i="92" s="1"/>
  <c r="C61" i="92" s="1"/>
  <c r="C62" i="92" s="1"/>
  <c r="C63" i="92" s="1"/>
  <c r="C64" i="92" s="1"/>
  <c r="C65" i="92" s="1"/>
  <c r="C66" i="92" s="1"/>
  <c r="C67" i="92" s="1"/>
  <c r="C68" i="92" s="1"/>
  <c r="C69" i="92" s="1"/>
  <c r="C70" i="92" s="1"/>
  <c r="C71" i="92" s="1"/>
  <c r="C72" i="92" s="1"/>
  <c r="C45" i="41"/>
  <c r="C46" i="41" s="1"/>
  <c r="C47" i="41" s="1"/>
  <c r="C48" i="41" s="1"/>
  <c r="C49" i="41" s="1"/>
  <c r="C50" i="41" s="1"/>
  <c r="C51" i="41" s="1"/>
  <c r="C52" i="41" s="1"/>
  <c r="C53" i="41" s="1"/>
  <c r="C54" i="41" s="1"/>
  <c r="C55" i="41" s="1"/>
  <c r="C56" i="41" s="1"/>
  <c r="C57" i="41" s="1"/>
  <c r="C58" i="41" s="1"/>
  <c r="C59" i="41" s="1"/>
  <c r="C60" i="41" s="1"/>
  <c r="C61" i="41" s="1"/>
  <c r="C62" i="41" s="1"/>
  <c r="C63" i="41" s="1"/>
  <c r="C64" i="41" s="1"/>
  <c r="C65" i="41" s="1"/>
  <c r="C66" i="41" s="1"/>
  <c r="C67" i="41" s="1"/>
  <c r="C68" i="41" s="1"/>
  <c r="C69" i="41" s="1"/>
  <c r="C70" i="41" s="1"/>
  <c r="C71" i="41" s="1"/>
  <c r="C72" i="41" s="1"/>
  <c r="C99" i="96"/>
  <c r="D99" i="96" s="1"/>
  <c r="J94" i="31"/>
  <c r="J95" i="31" s="1"/>
  <c r="J94" i="89"/>
  <c r="J95" i="89" s="1"/>
  <c r="J94" i="67"/>
  <c r="J95" i="67"/>
  <c r="J94" i="61"/>
  <c r="J94" i="45"/>
  <c r="J95" i="45" s="1"/>
  <c r="J94" i="25"/>
  <c r="J95" i="25" s="1"/>
  <c r="J94" i="85"/>
  <c r="J95" i="85" s="1"/>
  <c r="J94" i="68"/>
  <c r="J94" i="59"/>
  <c r="J94" i="19"/>
  <c r="O21" i="21"/>
  <c r="P117" i="24"/>
  <c r="P111" i="28"/>
  <c r="P102" i="32"/>
  <c r="E104" i="35"/>
  <c r="F104" i="35" s="1"/>
  <c r="O19" i="35"/>
  <c r="P101" i="59"/>
  <c r="P117" i="90"/>
  <c r="P113" i="90"/>
  <c r="C99" i="95"/>
  <c r="J94" i="55"/>
  <c r="J95" i="55"/>
  <c r="J94" i="82"/>
  <c r="J95" i="82" s="1"/>
  <c r="E101" i="35"/>
  <c r="F101" i="35" s="1"/>
  <c r="P152" i="27"/>
  <c r="O27" i="27"/>
  <c r="P104" i="30"/>
  <c r="P103" i="30"/>
  <c r="C100" i="96"/>
  <c r="C101" i="96" s="1"/>
  <c r="C102" i="96" s="1"/>
  <c r="C103" i="96" s="1"/>
  <c r="C104" i="96" s="1"/>
  <c r="C105" i="96" s="1"/>
  <c r="C106" i="96" s="1"/>
  <c r="C107" i="96" s="1"/>
  <c r="C108" i="96" s="1"/>
  <c r="C109" i="96" s="1"/>
  <c r="C110" i="96"/>
  <c r="C111" i="96" s="1"/>
  <c r="C112" i="96" s="1"/>
  <c r="C113" i="96" s="1"/>
  <c r="C114" i="96" s="1"/>
  <c r="C115" i="96" s="1"/>
  <c r="C116" i="96" s="1"/>
  <c r="C117" i="96" s="1"/>
  <c r="C118" i="96" s="1"/>
  <c r="C119" i="96" s="1"/>
  <c r="C120" i="96" s="1"/>
  <c r="C121" i="96" s="1"/>
  <c r="C122" i="96"/>
  <c r="C123" i="96" s="1"/>
  <c r="C124" i="96" s="1"/>
  <c r="C125" i="96" s="1"/>
  <c r="C126" i="96" s="1"/>
  <c r="C127" i="96" s="1"/>
  <c r="C128" i="96" s="1"/>
  <c r="C129" i="96" s="1"/>
  <c r="C130" i="96" s="1"/>
  <c r="C131" i="96" s="1"/>
  <c r="C132" i="96" s="1"/>
  <c r="C133" i="96" s="1"/>
  <c r="C134" i="96" s="1"/>
  <c r="C135" i="96" s="1"/>
  <c r="C136" i="96" s="1"/>
  <c r="C137" i="96" s="1"/>
  <c r="C138" i="96" s="1"/>
  <c r="C139" i="96" s="1"/>
  <c r="C140" i="96" s="1"/>
  <c r="C141" i="96" s="1"/>
  <c r="C142" i="96" s="1"/>
  <c r="C143" i="96" s="1"/>
  <c r="C144" i="96" s="1"/>
  <c r="C145" i="96" s="1"/>
  <c r="C146" i="96"/>
  <c r="C147" i="96" s="1"/>
  <c r="C148" i="96" s="1"/>
  <c r="C149" i="96" s="1"/>
  <c r="C150" i="96" s="1"/>
  <c r="C151" i="96" s="1"/>
  <c r="C152" i="96" s="1"/>
  <c r="C153" i="96" s="1"/>
  <c r="C154" i="96" s="1"/>
  <c r="J94" i="43"/>
  <c r="J95" i="43" s="1"/>
  <c r="J94" i="71"/>
  <c r="P139" i="3"/>
  <c r="P135" i="3"/>
  <c r="P118" i="3"/>
  <c r="P119" i="18"/>
  <c r="B26" i="18"/>
  <c r="P145" i="19"/>
  <c r="O24" i="21"/>
  <c r="O20" i="21"/>
  <c r="O22" i="24"/>
  <c r="P139" i="29"/>
  <c r="O21" i="30"/>
  <c r="P103" i="31"/>
  <c r="P154" i="35"/>
  <c r="P139" i="35"/>
  <c r="P103" i="39"/>
  <c r="O19" i="54"/>
  <c r="O18" i="54"/>
  <c r="P154" i="55"/>
  <c r="O22" i="57"/>
  <c r="O20" i="57"/>
  <c r="O18" i="59"/>
  <c r="O17" i="59"/>
  <c r="P125" i="61"/>
  <c r="O17" i="71"/>
  <c r="P129" i="72"/>
  <c r="P125" i="72"/>
  <c r="P123" i="72"/>
  <c r="P121" i="72"/>
  <c r="P117" i="72"/>
  <c r="C72" i="2"/>
  <c r="P122" i="19"/>
  <c r="P100" i="19"/>
  <c r="O19" i="21"/>
  <c r="O20" i="22"/>
  <c r="P132" i="28"/>
  <c r="P130" i="28"/>
  <c r="P107" i="28"/>
  <c r="P106" i="28"/>
  <c r="P104" i="28"/>
  <c r="P103" i="28"/>
  <c r="P137" i="29"/>
  <c r="O24" i="30"/>
  <c r="P147" i="31"/>
  <c r="P125" i="31"/>
  <c r="P101" i="31"/>
  <c r="O23" i="31"/>
  <c r="P101" i="41"/>
  <c r="P99" i="41"/>
  <c r="P105" i="42"/>
  <c r="P102" i="42"/>
  <c r="P100" i="42"/>
  <c r="P122" i="43"/>
  <c r="P106" i="43"/>
  <c r="P105" i="44"/>
  <c r="P102" i="44"/>
  <c r="P101" i="44"/>
  <c r="O19" i="61"/>
  <c r="P99" i="63"/>
  <c r="O17" i="60"/>
  <c r="O20" i="65"/>
  <c r="O19" i="65"/>
  <c r="P99" i="76"/>
  <c r="J93" i="36"/>
  <c r="M87" i="65"/>
  <c r="C7" i="2"/>
  <c r="C27" i="2"/>
  <c r="P143" i="3"/>
  <c r="P153" i="17"/>
  <c r="P140" i="17"/>
  <c r="O21" i="18"/>
  <c r="O17" i="18"/>
  <c r="P114" i="20"/>
  <c r="O23" i="21"/>
  <c r="P130" i="22"/>
  <c r="P107" i="22"/>
  <c r="P103" i="22"/>
  <c r="O17" i="22"/>
  <c r="P154" i="23"/>
  <c r="P152" i="23"/>
  <c r="P151" i="24"/>
  <c r="P149" i="24"/>
  <c r="P107" i="24"/>
  <c r="P144" i="27"/>
  <c r="O22" i="27"/>
  <c r="P123" i="28"/>
  <c r="P101" i="28"/>
  <c r="P142" i="29"/>
  <c r="P134" i="29"/>
  <c r="P124" i="29"/>
  <c r="P122" i="29"/>
  <c r="P108" i="29"/>
  <c r="P108" i="30"/>
  <c r="P102" i="31"/>
  <c r="P100" i="31"/>
  <c r="O20" i="31"/>
  <c r="O21" i="32"/>
  <c r="P144" i="34"/>
  <c r="P125" i="34"/>
  <c r="P102" i="34"/>
  <c r="O17" i="34"/>
  <c r="P130" i="35"/>
  <c r="P127" i="35"/>
  <c r="P105" i="39"/>
  <c r="O23" i="39"/>
  <c r="P103" i="42"/>
  <c r="P101" i="42"/>
  <c r="P99" i="42"/>
  <c r="O21" i="43"/>
  <c r="P103" i="44"/>
  <c r="P100" i="44"/>
  <c r="O17" i="45"/>
  <c r="P106" i="53"/>
  <c r="O20" i="53"/>
  <c r="P139" i="55"/>
  <c r="P136" i="55"/>
  <c r="P99" i="56"/>
  <c r="P108" i="57"/>
  <c r="P146" i="58"/>
  <c r="P142" i="58"/>
  <c r="P140" i="58"/>
  <c r="P127" i="58"/>
  <c r="C99" i="59"/>
  <c r="C100" i="59" s="1"/>
  <c r="C101" i="59" s="1"/>
  <c r="C102" i="59" s="1"/>
  <c r="C103" i="59" s="1"/>
  <c r="C104" i="59" s="1"/>
  <c r="C105" i="59" s="1"/>
  <c r="C106" i="59" s="1"/>
  <c r="C107" i="59" s="1"/>
  <c r="C108" i="59" s="1"/>
  <c r="C109" i="59" s="1"/>
  <c r="C110" i="59" s="1"/>
  <c r="C111" i="59" s="1"/>
  <c r="C112" i="59" s="1"/>
  <c r="C113" i="59" s="1"/>
  <c r="C114" i="59" s="1"/>
  <c r="C115" i="59" s="1"/>
  <c r="C116" i="59" s="1"/>
  <c r="C117" i="59" s="1"/>
  <c r="C118" i="59" s="1"/>
  <c r="C119" i="59" s="1"/>
  <c r="C120" i="59" s="1"/>
  <c r="C121" i="59" s="1"/>
  <c r="C122" i="59" s="1"/>
  <c r="C123" i="59" s="1"/>
  <c r="C124" i="59" s="1"/>
  <c r="C125" i="59" s="1"/>
  <c r="C126" i="59" s="1"/>
  <c r="C127" i="59" s="1"/>
  <c r="C128" i="59" s="1"/>
  <c r="C129" i="59" s="1"/>
  <c r="C130" i="59" s="1"/>
  <c r="C131" i="59" s="1"/>
  <c r="C132" i="59" s="1"/>
  <c r="C133" i="59" s="1"/>
  <c r="C134" i="59" s="1"/>
  <c r="C135" i="59" s="1"/>
  <c r="C136" i="59" s="1"/>
  <c r="C137" i="59" s="1"/>
  <c r="C138" i="59" s="1"/>
  <c r="C139" i="59" s="1"/>
  <c r="C140" i="59" s="1"/>
  <c r="C141" i="59" s="1"/>
  <c r="C142" i="59" s="1"/>
  <c r="C143" i="59" s="1"/>
  <c r="C144" i="59" s="1"/>
  <c r="C145" i="59" s="1"/>
  <c r="C146" i="59" s="1"/>
  <c r="C147" i="59" s="1"/>
  <c r="C148" i="59" s="1"/>
  <c r="C149" i="59" s="1"/>
  <c r="C150" i="59" s="1"/>
  <c r="C151" i="59" s="1"/>
  <c r="C152" i="59" s="1"/>
  <c r="C153" i="59" s="1"/>
  <c r="C154" i="59" s="1"/>
  <c r="O21" i="59"/>
  <c r="P103" i="61"/>
  <c r="P102" i="62"/>
  <c r="P101" i="62"/>
  <c r="P126" i="60"/>
  <c r="O21" i="64"/>
  <c r="P99" i="66"/>
  <c r="O44" i="66"/>
  <c r="O20" i="68"/>
  <c r="P129" i="69"/>
  <c r="O19" i="69"/>
  <c r="O18" i="69"/>
  <c r="P122" i="71"/>
  <c r="P120" i="71"/>
  <c r="P114" i="72"/>
  <c r="P104" i="72"/>
  <c r="P135" i="17"/>
  <c r="P126" i="17"/>
  <c r="P115" i="17"/>
  <c r="P107" i="18"/>
  <c r="P145" i="20"/>
  <c r="P140" i="20"/>
  <c r="P118" i="20"/>
  <c r="P116" i="20"/>
  <c r="O24" i="20"/>
  <c r="O20" i="20"/>
  <c r="P129" i="21"/>
  <c r="P108" i="21"/>
  <c r="P123" i="22"/>
  <c r="P119" i="22"/>
  <c r="P114" i="22"/>
  <c r="P130" i="23"/>
  <c r="P128" i="23"/>
  <c r="P111" i="23"/>
  <c r="O23" i="23"/>
  <c r="P150" i="24"/>
  <c r="P124" i="24"/>
  <c r="P151" i="27"/>
  <c r="P124" i="27"/>
  <c r="P103" i="27"/>
  <c r="P137" i="28"/>
  <c r="P127" i="28"/>
  <c r="P116" i="28"/>
  <c r="P114" i="28"/>
  <c r="P108" i="28"/>
  <c r="O28" i="28"/>
  <c r="P116" i="29"/>
  <c r="P107" i="29"/>
  <c r="O20" i="30"/>
  <c r="P106" i="31"/>
  <c r="P105" i="31"/>
  <c r="O26" i="31"/>
  <c r="P150" i="32"/>
  <c r="P148" i="32"/>
  <c r="P146" i="32"/>
  <c r="P144" i="32"/>
  <c r="P142" i="32"/>
  <c r="P132" i="32"/>
  <c r="P126" i="32"/>
  <c r="P124" i="32"/>
  <c r="P122" i="32"/>
  <c r="P120" i="32"/>
  <c r="P116" i="32"/>
  <c r="P114" i="32"/>
  <c r="P108" i="32"/>
  <c r="O24" i="32"/>
  <c r="O56" i="33"/>
  <c r="P126" i="34"/>
  <c r="P103" i="34"/>
  <c r="P137" i="35"/>
  <c r="P102" i="39"/>
  <c r="O24" i="39"/>
  <c r="P104" i="43"/>
  <c r="O24" i="43"/>
  <c r="O17" i="43"/>
  <c r="P104" i="45"/>
  <c r="P100" i="45"/>
  <c r="P102" i="53"/>
  <c r="P101" i="54"/>
  <c r="O17" i="54"/>
  <c r="P152" i="55"/>
  <c r="P129" i="55"/>
  <c r="O24" i="55"/>
  <c r="O18" i="55"/>
  <c r="O22" i="56"/>
  <c r="O21" i="56"/>
  <c r="P121" i="57"/>
  <c r="P119" i="57"/>
  <c r="O21" i="57"/>
  <c r="O19" i="57"/>
  <c r="P148" i="58"/>
  <c r="P100" i="58"/>
  <c r="O21" i="58"/>
  <c r="P101" i="61"/>
  <c r="O20" i="61"/>
  <c r="P124" i="63"/>
  <c r="O20" i="63"/>
  <c r="O17" i="63"/>
  <c r="P109" i="62"/>
  <c r="O21" i="62"/>
  <c r="P114" i="60"/>
  <c r="P102" i="60"/>
  <c r="O21" i="60"/>
  <c r="O18" i="60"/>
  <c r="P118" i="64"/>
  <c r="P129" i="66"/>
  <c r="P124" i="66"/>
  <c r="P113" i="66"/>
  <c r="P101" i="67"/>
  <c r="O19" i="68"/>
  <c r="O27" i="69"/>
  <c r="O24" i="69"/>
  <c r="P102" i="70"/>
  <c r="P100" i="70"/>
  <c r="P99" i="70"/>
  <c r="O22" i="71"/>
  <c r="O19" i="71"/>
  <c r="P104" i="73"/>
  <c r="O23" i="73"/>
  <c r="O22" i="73"/>
  <c r="P126" i="76"/>
  <c r="P124" i="76"/>
  <c r="P122" i="76"/>
  <c r="P100" i="76"/>
  <c r="O19" i="76"/>
  <c r="O17" i="77"/>
  <c r="O18" i="82"/>
  <c r="O23" i="42"/>
  <c r="O22" i="42"/>
  <c r="P100" i="43"/>
  <c r="O19" i="43"/>
  <c r="O21" i="44"/>
  <c r="O17" i="44"/>
  <c r="O20" i="45"/>
  <c r="P116" i="46"/>
  <c r="P108" i="46"/>
  <c r="P102" i="46"/>
  <c r="O22" i="46"/>
  <c r="P101" i="53"/>
  <c r="O18" i="53"/>
  <c r="P103" i="54"/>
  <c r="P151" i="55"/>
  <c r="P149" i="55"/>
  <c r="P146" i="55"/>
  <c r="P144" i="55"/>
  <c r="P142" i="55"/>
  <c r="P107" i="55"/>
  <c r="O22" i="55"/>
  <c r="O20" i="55"/>
  <c r="P131" i="57"/>
  <c r="P129" i="57"/>
  <c r="P126" i="57"/>
  <c r="P120" i="57"/>
  <c r="P100" i="57"/>
  <c r="O17" i="57"/>
  <c r="P152" i="58"/>
  <c r="P150" i="58"/>
  <c r="P145" i="58"/>
  <c r="P143" i="58"/>
  <c r="P124" i="58"/>
  <c r="P115" i="58"/>
  <c r="P111" i="58"/>
  <c r="P109" i="58"/>
  <c r="O59" i="58"/>
  <c r="O20" i="58"/>
  <c r="P122" i="59"/>
  <c r="P118" i="59"/>
  <c r="P129" i="61"/>
  <c r="P122" i="61"/>
  <c r="P102" i="61"/>
  <c r="P115" i="63"/>
  <c r="P104" i="63"/>
  <c r="P100" i="63"/>
  <c r="O21" i="63"/>
  <c r="P117" i="62"/>
  <c r="P106" i="62"/>
  <c r="O19" i="60"/>
  <c r="P123" i="64"/>
  <c r="P104" i="64"/>
  <c r="P117" i="67"/>
  <c r="O26" i="67"/>
  <c r="P111" i="69"/>
  <c r="P105" i="69"/>
  <c r="P104" i="69"/>
  <c r="P101" i="69"/>
  <c r="P100" i="69"/>
  <c r="O26" i="69"/>
  <c r="P109" i="70"/>
  <c r="P106" i="70"/>
  <c r="P104" i="70"/>
  <c r="P103" i="70"/>
  <c r="P124" i="71"/>
  <c r="P117" i="71"/>
  <c r="P107" i="71"/>
  <c r="P106" i="71"/>
  <c r="P102" i="71"/>
  <c r="O19" i="72"/>
  <c r="O47" i="73"/>
  <c r="O21" i="73"/>
  <c r="P104" i="74"/>
  <c r="O22" i="74"/>
  <c r="P100" i="75"/>
  <c r="O36" i="75"/>
  <c r="O18" i="75"/>
  <c r="P124" i="79"/>
  <c r="P125" i="85"/>
  <c r="P121" i="71"/>
  <c r="P104" i="71"/>
  <c r="O26" i="71"/>
  <c r="O23" i="71"/>
  <c r="P102" i="72"/>
  <c r="P100" i="72"/>
  <c r="P99" i="72"/>
  <c r="P103" i="73"/>
  <c r="P101" i="73"/>
  <c r="O18" i="73"/>
  <c r="P100" i="74"/>
  <c r="P111" i="75"/>
  <c r="O17" i="76"/>
  <c r="P117" i="78"/>
  <c r="O17" i="78"/>
  <c r="P116" i="80"/>
  <c r="O18" i="80"/>
  <c r="O17" i="80"/>
  <c r="P127" i="81"/>
  <c r="O26" i="98"/>
  <c r="P126" i="13"/>
  <c r="P124" i="13"/>
  <c r="P122" i="13"/>
  <c r="P120" i="13"/>
  <c r="P118" i="13"/>
  <c r="P116" i="13"/>
  <c r="P114" i="13"/>
  <c r="O71" i="13"/>
  <c r="O69" i="13"/>
  <c r="O67" i="13"/>
  <c r="O65" i="13"/>
  <c r="O63" i="13"/>
  <c r="O61" i="13"/>
  <c r="O59" i="13"/>
  <c r="O57" i="13"/>
  <c r="O55" i="13"/>
  <c r="O53" i="13"/>
  <c r="O51" i="13"/>
  <c r="O49" i="13"/>
  <c r="O47" i="13"/>
  <c r="O41" i="13"/>
  <c r="O39" i="13"/>
  <c r="O37" i="13"/>
  <c r="O35" i="13"/>
  <c r="O33" i="13"/>
  <c r="O25" i="13"/>
  <c r="P119" i="79"/>
  <c r="P115" i="79"/>
  <c r="O18" i="79"/>
  <c r="O70" i="81"/>
  <c r="O50" i="81"/>
  <c r="P130" i="87"/>
  <c r="O57" i="89"/>
  <c r="O61" i="90"/>
  <c r="O41" i="90"/>
  <c r="O37" i="90"/>
  <c r="F17" i="13"/>
  <c r="D18" i="13" s="1"/>
  <c r="B109" i="27"/>
  <c r="C45" i="57"/>
  <c r="C46" i="57"/>
  <c r="C47" i="57" s="1"/>
  <c r="C48" i="57" s="1"/>
  <c r="C49" i="57" s="1"/>
  <c r="C50" i="57" s="1"/>
  <c r="C51" i="57" s="1"/>
  <c r="C52" i="57" s="1"/>
  <c r="C53" i="57" s="1"/>
  <c r="C54" i="57"/>
  <c r="C55" i="57" s="1"/>
  <c r="C56" i="57" s="1"/>
  <c r="C57" i="57" s="1"/>
  <c r="C58" i="57" s="1"/>
  <c r="C59" i="57" s="1"/>
  <c r="C60" i="57" s="1"/>
  <c r="C61" i="57" s="1"/>
  <c r="C62" i="57"/>
  <c r="C63" i="57" s="1"/>
  <c r="C64" i="57" s="1"/>
  <c r="C65" i="57" s="1"/>
  <c r="C66" i="57" s="1"/>
  <c r="C67" i="57" s="1"/>
  <c r="C68" i="57" s="1"/>
  <c r="C69" i="57" s="1"/>
  <c r="C70" i="57" s="1"/>
  <c r="C71" i="57" s="1"/>
  <c r="C72" i="57" s="1"/>
  <c r="B107" i="19"/>
  <c r="C52" i="34"/>
  <c r="C53" i="34" s="1"/>
  <c r="C54" i="34" s="1"/>
  <c r="C55" i="34" s="1"/>
  <c r="C56" i="34"/>
  <c r="C57" i="34" s="1"/>
  <c r="C58" i="34" s="1"/>
  <c r="C59" i="34" s="1"/>
  <c r="C60" i="34" s="1"/>
  <c r="C61" i="34" s="1"/>
  <c r="C62" i="34" s="1"/>
  <c r="C63" i="34" s="1"/>
  <c r="C64" i="34"/>
  <c r="C65" i="34" s="1"/>
  <c r="C66" i="34" s="1"/>
  <c r="C67" i="34" s="1"/>
  <c r="C68" i="34" s="1"/>
  <c r="C69" i="34" s="1"/>
  <c r="C70" i="34" s="1"/>
  <c r="C71" i="34" s="1"/>
  <c r="C72" i="34" s="1"/>
  <c r="C45" i="53"/>
  <c r="C46" i="53" s="1"/>
  <c r="C47" i="53" s="1"/>
  <c r="C48" i="53" s="1"/>
  <c r="C49" i="53" s="1"/>
  <c r="C50" i="53" s="1"/>
  <c r="C51" i="53" s="1"/>
  <c r="C52" i="53"/>
  <c r="C53" i="53" s="1"/>
  <c r="C54" i="53" s="1"/>
  <c r="C55" i="53" s="1"/>
  <c r="C56" i="53" s="1"/>
  <c r="C57" i="53" s="1"/>
  <c r="C58" i="53" s="1"/>
  <c r="C59" i="53" s="1"/>
  <c r="C60" i="53" s="1"/>
  <c r="C61" i="53" s="1"/>
  <c r="C62" i="53" s="1"/>
  <c r="C63" i="53" s="1"/>
  <c r="C64" i="53" s="1"/>
  <c r="C65" i="53" s="1"/>
  <c r="C66" i="53" s="1"/>
  <c r="C67" i="53" s="1"/>
  <c r="C68" i="53" s="1"/>
  <c r="C69" i="53" s="1"/>
  <c r="C70" i="53" s="1"/>
  <c r="C71" i="53" s="1"/>
  <c r="C72" i="53" s="1"/>
  <c r="C45" i="54"/>
  <c r="C46" i="54" s="1"/>
  <c r="C47" i="54" s="1"/>
  <c r="C48" i="54"/>
  <c r="C49" i="54" s="1"/>
  <c r="C50" i="54" s="1"/>
  <c r="C51" i="54" s="1"/>
  <c r="C52" i="54" s="1"/>
  <c r="C53" i="54" s="1"/>
  <c r="C54" i="54" s="1"/>
  <c r="C55" i="54" s="1"/>
  <c r="C56" i="54"/>
  <c r="C57" i="54" s="1"/>
  <c r="C58" i="54" s="1"/>
  <c r="C59" i="54" s="1"/>
  <c r="C60" i="54" s="1"/>
  <c r="C61" i="54" s="1"/>
  <c r="C62" i="54" s="1"/>
  <c r="C63" i="54" s="1"/>
  <c r="C64" i="54" s="1"/>
  <c r="C65" i="54" s="1"/>
  <c r="C66" i="54" s="1"/>
  <c r="C67" i="54" s="1"/>
  <c r="C68" i="54" s="1"/>
  <c r="C69" i="54" s="1"/>
  <c r="C70" i="54" s="1"/>
  <c r="C71" i="54" s="1"/>
  <c r="C72" i="54" s="1"/>
  <c r="O23" i="28"/>
  <c r="C45" i="60"/>
  <c r="C46" i="60"/>
  <c r="C47" i="60"/>
  <c r="C48" i="60" s="1"/>
  <c r="C49" i="60" s="1"/>
  <c r="C50" i="60" s="1"/>
  <c r="C51" i="60"/>
  <c r="C52" i="60" s="1"/>
  <c r="C53" i="60" s="1"/>
  <c r="C54" i="60" s="1"/>
  <c r="C55" i="60" s="1"/>
  <c r="C56" i="60" s="1"/>
  <c r="C57" i="60" s="1"/>
  <c r="C58" i="60" s="1"/>
  <c r="C59" i="60"/>
  <c r="C60" i="60" s="1"/>
  <c r="C61" i="60" s="1"/>
  <c r="C62" i="60" s="1"/>
  <c r="C63" i="60" s="1"/>
  <c r="C64" i="60" s="1"/>
  <c r="C65" i="60" s="1"/>
  <c r="C66" i="60" s="1"/>
  <c r="C67" i="60" s="1"/>
  <c r="C68" i="60" s="1"/>
  <c r="C69" i="60" s="1"/>
  <c r="C70" i="60" s="1"/>
  <c r="C71" i="60" s="1"/>
  <c r="C72" i="60" s="1"/>
  <c r="M87" i="60"/>
  <c r="C45" i="80"/>
  <c r="C46" i="80"/>
  <c r="C47" i="80" s="1"/>
  <c r="C48" i="80" s="1"/>
  <c r="C49" i="80" s="1"/>
  <c r="C50" i="80" s="1"/>
  <c r="C51" i="80" s="1"/>
  <c r="C52" i="80" s="1"/>
  <c r="C53" i="80" s="1"/>
  <c r="C54" i="80" s="1"/>
  <c r="C55" i="80" s="1"/>
  <c r="C56" i="80" s="1"/>
  <c r="C57" i="80" s="1"/>
  <c r="C58" i="80" s="1"/>
  <c r="C59" i="80" s="1"/>
  <c r="C60" i="80" s="1"/>
  <c r="C61" i="80" s="1"/>
  <c r="C62" i="80" s="1"/>
  <c r="C63" i="80" s="1"/>
  <c r="C64" i="80" s="1"/>
  <c r="C65" i="80" s="1"/>
  <c r="C66" i="80" s="1"/>
  <c r="C67" i="80" s="1"/>
  <c r="C68" i="80" s="1"/>
  <c r="C69" i="80" s="1"/>
  <c r="C70" i="80" s="1"/>
  <c r="C71" i="80" s="1"/>
  <c r="C72" i="80" s="1"/>
  <c r="D99" i="13"/>
  <c r="C45" i="44"/>
  <c r="C46" i="44" s="1"/>
  <c r="C47" i="44" s="1"/>
  <c r="C48" i="44" s="1"/>
  <c r="C49" i="44"/>
  <c r="C50" i="44" s="1"/>
  <c r="C51" i="44" s="1"/>
  <c r="C52" i="44" s="1"/>
  <c r="C53" i="44" s="1"/>
  <c r="C54" i="44" s="1"/>
  <c r="C55" i="44" s="1"/>
  <c r="C56" i="44" s="1"/>
  <c r="C57" i="44"/>
  <c r="C58" i="44" s="1"/>
  <c r="C59" i="44" s="1"/>
  <c r="C60" i="44" s="1"/>
  <c r="C61" i="44" s="1"/>
  <c r="C62" i="44" s="1"/>
  <c r="C63" i="44" s="1"/>
  <c r="C64" i="44" s="1"/>
  <c r="C65" i="44" s="1"/>
  <c r="C66" i="44" s="1"/>
  <c r="C67" i="44" s="1"/>
  <c r="C68" i="44" s="1"/>
  <c r="C69" i="44" s="1"/>
  <c r="C70" i="44" s="1"/>
  <c r="C71" i="44" s="1"/>
  <c r="C72" i="44" s="1"/>
  <c r="C45" i="56"/>
  <c r="C46" i="56" s="1"/>
  <c r="C47" i="56" s="1"/>
  <c r="C48" i="56" s="1"/>
  <c r="C49" i="56" s="1"/>
  <c r="C50" i="56" s="1"/>
  <c r="C51" i="56" s="1"/>
  <c r="C52" i="56" s="1"/>
  <c r="C53" i="56"/>
  <c r="C54" i="56" s="1"/>
  <c r="C55" i="56" s="1"/>
  <c r="C56" i="56" s="1"/>
  <c r="C57" i="56" s="1"/>
  <c r="C58" i="56" s="1"/>
  <c r="C59" i="56" s="1"/>
  <c r="C60" i="56" s="1"/>
  <c r="C61" i="56"/>
  <c r="C62" i="56" s="1"/>
  <c r="C63" i="56" s="1"/>
  <c r="C64" i="56" s="1"/>
  <c r="C65" i="56" s="1"/>
  <c r="C66" i="56" s="1"/>
  <c r="C67" i="56" s="1"/>
  <c r="C68" i="56" s="1"/>
  <c r="C69" i="56"/>
  <c r="C70" i="56" s="1"/>
  <c r="C71" i="56" s="1"/>
  <c r="C72" i="56" s="1"/>
  <c r="M87" i="56"/>
  <c r="B107" i="22"/>
  <c r="C45" i="58"/>
  <c r="C46" i="58"/>
  <c r="C47" i="58"/>
  <c r="C48" i="58" s="1"/>
  <c r="C49" i="58" s="1"/>
  <c r="C50" i="58" s="1"/>
  <c r="C51" i="58" s="1"/>
  <c r="C52" i="58" s="1"/>
  <c r="C53" i="58" s="1"/>
  <c r="C54" i="58" s="1"/>
  <c r="C55" i="58"/>
  <c r="C56" i="58" s="1"/>
  <c r="C57" i="58" s="1"/>
  <c r="C58" i="58" s="1"/>
  <c r="C59" i="58" s="1"/>
  <c r="C60" i="58" s="1"/>
  <c r="C61" i="58" s="1"/>
  <c r="C62" i="58" s="1"/>
  <c r="C63" i="58"/>
  <c r="C64" i="58" s="1"/>
  <c r="C65" i="58" s="1"/>
  <c r="C66" i="58" s="1"/>
  <c r="C67" i="58" s="1"/>
  <c r="C68" i="58" s="1"/>
  <c r="C69" i="58" s="1"/>
  <c r="C70" i="58" s="1"/>
  <c r="C71" i="58"/>
  <c r="C72" i="58" s="1"/>
  <c r="C45" i="75"/>
  <c r="C46" i="75" s="1"/>
  <c r="C47" i="75" s="1"/>
  <c r="C48" i="75" s="1"/>
  <c r="C49" i="75" s="1"/>
  <c r="C50" i="75" s="1"/>
  <c r="C51" i="75"/>
  <c r="C52" i="75" s="1"/>
  <c r="C53" i="75" s="1"/>
  <c r="C54" i="75" s="1"/>
  <c r="C55" i="75" s="1"/>
  <c r="C56" i="75" s="1"/>
  <c r="C57" i="75" s="1"/>
  <c r="C58" i="75" s="1"/>
  <c r="C59" i="75"/>
  <c r="C60" i="75" s="1"/>
  <c r="C61" i="75" s="1"/>
  <c r="C62" i="75" s="1"/>
  <c r="C63" i="75" s="1"/>
  <c r="C64" i="75" s="1"/>
  <c r="C65" i="75" s="1"/>
  <c r="C66" i="75" s="1"/>
  <c r="C67" i="75" s="1"/>
  <c r="C68" i="75" s="1"/>
  <c r="C69" i="75" s="1"/>
  <c r="C70" i="75" s="1"/>
  <c r="C71" i="75" s="1"/>
  <c r="C72" i="75" s="1"/>
  <c r="N87" i="41"/>
  <c r="N87" i="88"/>
  <c r="D107" i="21"/>
  <c r="B107" i="21" s="1"/>
  <c r="M88" i="28"/>
  <c r="N88" i="28"/>
  <c r="M87" i="28"/>
  <c r="L86" i="28"/>
  <c r="N87" i="28"/>
  <c r="O23" i="32"/>
  <c r="O19" i="32"/>
  <c r="P99" i="43"/>
  <c r="B103" i="63"/>
  <c r="O20" i="64"/>
  <c r="C45" i="68"/>
  <c r="C46" i="68" s="1"/>
  <c r="C47" i="68" s="1"/>
  <c r="C48" i="68" s="1"/>
  <c r="C49" i="68"/>
  <c r="C50" i="68" s="1"/>
  <c r="C51" i="68" s="1"/>
  <c r="C52" i="68" s="1"/>
  <c r="C53" i="68" s="1"/>
  <c r="C54" i="68" s="1"/>
  <c r="C55" i="68" s="1"/>
  <c r="C56" i="68" s="1"/>
  <c r="C57" i="68" s="1"/>
  <c r="C58" i="68" s="1"/>
  <c r="C59" i="68" s="1"/>
  <c r="C60" i="68" s="1"/>
  <c r="C61" i="68" s="1"/>
  <c r="C62" i="68" s="1"/>
  <c r="C63" i="68" s="1"/>
  <c r="C64" i="68" s="1"/>
  <c r="C65" i="68" s="1"/>
  <c r="C66" i="68" s="1"/>
  <c r="C67" i="68" s="1"/>
  <c r="C68" i="68" s="1"/>
  <c r="C69" i="68" s="1"/>
  <c r="C70" i="68" s="1"/>
  <c r="C71" i="68" s="1"/>
  <c r="C72" i="68" s="1"/>
  <c r="P105" i="3"/>
  <c r="P99" i="18"/>
  <c r="P113" i="20"/>
  <c r="P106" i="24"/>
  <c r="P100" i="27"/>
  <c r="P102" i="29"/>
  <c r="P107" i="31"/>
  <c r="O24" i="34"/>
  <c r="P101" i="46"/>
  <c r="P100" i="46"/>
  <c r="P100" i="53"/>
  <c r="P136" i="58"/>
  <c r="P134" i="58"/>
  <c r="P129" i="58"/>
  <c r="C127" i="60"/>
  <c r="C128" i="60"/>
  <c r="C129" i="60" s="1"/>
  <c r="C130" i="60" s="1"/>
  <c r="C131" i="60" s="1"/>
  <c r="C132" i="60" s="1"/>
  <c r="C133" i="60" s="1"/>
  <c r="C134" i="60" s="1"/>
  <c r="C135" i="60" s="1"/>
  <c r="C136" i="60"/>
  <c r="C137" i="60" s="1"/>
  <c r="C138" i="60" s="1"/>
  <c r="C139" i="60" s="1"/>
  <c r="C140" i="60" s="1"/>
  <c r="C141" i="60" s="1"/>
  <c r="C142" i="60" s="1"/>
  <c r="C143" i="60" s="1"/>
  <c r="C144" i="60"/>
  <c r="C145" i="60" s="1"/>
  <c r="C146" i="60" s="1"/>
  <c r="C147" i="60" s="1"/>
  <c r="C148" i="60" s="1"/>
  <c r="C149" i="60" s="1"/>
  <c r="C150" i="60" s="1"/>
  <c r="C151" i="60" s="1"/>
  <c r="C152" i="60" s="1"/>
  <c r="C153" i="60" s="1"/>
  <c r="C154" i="60" s="1"/>
  <c r="C45" i="72"/>
  <c r="C46" i="72"/>
  <c r="C47" i="72" s="1"/>
  <c r="C48" i="72" s="1"/>
  <c r="C49" i="72" s="1"/>
  <c r="C50" i="72" s="1"/>
  <c r="C51" i="72" s="1"/>
  <c r="C52" i="72" s="1"/>
  <c r="C53" i="72" s="1"/>
  <c r="C54" i="72" s="1"/>
  <c r="C55" i="72" s="1"/>
  <c r="C56" i="72" s="1"/>
  <c r="C57" i="72" s="1"/>
  <c r="C58" i="72" s="1"/>
  <c r="C59" i="72" s="1"/>
  <c r="C60" i="72" s="1"/>
  <c r="C61" i="72" s="1"/>
  <c r="C62" i="72" s="1"/>
  <c r="C63" i="72" s="1"/>
  <c r="C64" i="72" s="1"/>
  <c r="C65" i="72" s="1"/>
  <c r="C66" i="72" s="1"/>
  <c r="C67" i="72" s="1"/>
  <c r="C68" i="72" s="1"/>
  <c r="C69" i="72" s="1"/>
  <c r="C70" i="72" s="1"/>
  <c r="C71" i="72" s="1"/>
  <c r="C72" i="72" s="1"/>
  <c r="N87" i="73"/>
  <c r="N87" i="84"/>
  <c r="N87" i="30"/>
  <c r="P108" i="27"/>
  <c r="B110" i="28"/>
  <c r="P132" i="29"/>
  <c r="P126" i="29"/>
  <c r="O26" i="30"/>
  <c r="O19" i="31"/>
  <c r="P106" i="32"/>
  <c r="P103" i="32"/>
  <c r="O25" i="32"/>
  <c r="P110" i="34"/>
  <c r="O56" i="53"/>
  <c r="F47" i="2"/>
  <c r="F51" i="2" s="1"/>
  <c r="J92" i="3"/>
  <c r="J92" i="17"/>
  <c r="L86" i="17" s="1"/>
  <c r="J92" i="45"/>
  <c r="J92" i="98"/>
  <c r="M88" i="98" s="1"/>
  <c r="J92" i="90"/>
  <c r="J92" i="87"/>
  <c r="J92" i="85"/>
  <c r="L86" i="85" s="1"/>
  <c r="J92" i="82"/>
  <c r="J92" i="74"/>
  <c r="J92" i="71"/>
  <c r="N87" i="71" s="1"/>
  <c r="J92" i="67"/>
  <c r="J92" i="64"/>
  <c r="M87" i="64"/>
  <c r="J92" i="61"/>
  <c r="J92" i="43"/>
  <c r="L86" i="43"/>
  <c r="J92" i="42"/>
  <c r="J92" i="55"/>
  <c r="J92" i="23"/>
  <c r="L86" i="23" s="1"/>
  <c r="J92" i="24"/>
  <c r="M87" i="24" s="1"/>
  <c r="J92" i="25"/>
  <c r="L86" i="25" s="1"/>
  <c r="J92" i="95"/>
  <c r="J92" i="86"/>
  <c r="J92" i="13"/>
  <c r="J92" i="83"/>
  <c r="M87" i="83" s="1"/>
  <c r="J92" i="81"/>
  <c r="J92" i="78"/>
  <c r="M87" i="78" s="1"/>
  <c r="J92" i="70"/>
  <c r="N87" i="70"/>
  <c r="J92" i="66"/>
  <c r="J92" i="63"/>
  <c r="M87" i="63"/>
  <c r="J92" i="59"/>
  <c r="J92" i="69"/>
  <c r="M87" i="69" s="1"/>
  <c r="J92" i="39"/>
  <c r="M87" i="39" s="1"/>
  <c r="J92" i="46"/>
  <c r="J92" i="20"/>
  <c r="J92" i="18"/>
  <c r="P106" i="3"/>
  <c r="O18" i="20"/>
  <c r="O21" i="23"/>
  <c r="O23" i="27"/>
  <c r="P154" i="28"/>
  <c r="P126" i="28"/>
  <c r="P119" i="28"/>
  <c r="P100" i="28"/>
  <c r="O24" i="28"/>
  <c r="O20" i="28"/>
  <c r="P118" i="29"/>
  <c r="P99" i="29"/>
  <c r="O17" i="29"/>
  <c r="P99" i="32"/>
  <c r="P107" i="34"/>
  <c r="O26" i="34"/>
  <c r="O20" i="34"/>
  <c r="O22" i="39"/>
  <c r="O22" i="41"/>
  <c r="P102" i="45"/>
  <c r="O23" i="45"/>
  <c r="P106" i="46"/>
  <c r="P104" i="46"/>
  <c r="O21" i="54"/>
  <c r="P117" i="61"/>
  <c r="F87" i="2"/>
  <c r="F88" i="2"/>
  <c r="F90" i="2" s="1"/>
  <c r="F91" i="2" s="1"/>
  <c r="F92" i="2" s="1"/>
  <c r="D95" i="63" s="1"/>
  <c r="J96" i="63" s="1"/>
  <c r="J94" i="83"/>
  <c r="J95" i="83"/>
  <c r="J94" i="74"/>
  <c r="J95" i="74" s="1"/>
  <c r="J94" i="66"/>
  <c r="J94" i="62"/>
  <c r="J95" i="62" s="1"/>
  <c r="I103" i="62" s="1"/>
  <c r="N88" i="62" s="1"/>
  <c r="J94" i="34"/>
  <c r="J95" i="34" s="1"/>
  <c r="J94" i="41"/>
  <c r="J95" i="41"/>
  <c r="J94" i="44"/>
  <c r="J95" i="44" s="1"/>
  <c r="J94" i="23"/>
  <c r="J94" i="87"/>
  <c r="J95" i="87" s="1"/>
  <c r="J94" i="98"/>
  <c r="J94" i="95"/>
  <c r="J95" i="95"/>
  <c r="J94" i="84"/>
  <c r="J95" i="84" s="1"/>
  <c r="J94" i="75"/>
  <c r="J95" i="75"/>
  <c r="J94" i="72"/>
  <c r="J95" i="72" s="1"/>
  <c r="J94" i="58"/>
  <c r="J94" i="69"/>
  <c r="J94" i="26"/>
  <c r="J95" i="26" s="1"/>
  <c r="P112" i="18"/>
  <c r="P110" i="18"/>
  <c r="P103" i="18"/>
  <c r="D8" i="18"/>
  <c r="D90" i="18"/>
  <c r="P154" i="20"/>
  <c r="P138" i="20"/>
  <c r="P122" i="20"/>
  <c r="P110" i="20"/>
  <c r="P108" i="20"/>
  <c r="P103" i="20"/>
  <c r="P100" i="20"/>
  <c r="O21" i="20"/>
  <c r="O17" i="20"/>
  <c r="P138" i="22"/>
  <c r="P136" i="22"/>
  <c r="O20" i="23"/>
  <c r="P147" i="27"/>
  <c r="P142" i="27"/>
  <c r="P131" i="27"/>
  <c r="P129" i="27"/>
  <c r="P127" i="27"/>
  <c r="P122" i="27"/>
  <c r="P109" i="27"/>
  <c r="P144" i="28"/>
  <c r="P139" i="28"/>
  <c r="P133" i="28"/>
  <c r="O17" i="28"/>
  <c r="P114" i="29"/>
  <c r="P110" i="29"/>
  <c r="O27" i="29"/>
  <c r="P107" i="30"/>
  <c r="P99" i="30"/>
  <c r="O22" i="31"/>
  <c r="P105" i="32"/>
  <c r="P109" i="33"/>
  <c r="P154" i="34"/>
  <c r="P149" i="34"/>
  <c r="O18" i="39"/>
  <c r="O18" i="41"/>
  <c r="O24" i="42"/>
  <c r="O18" i="42"/>
  <c r="P103" i="43"/>
  <c r="O22" i="43"/>
  <c r="P99" i="44"/>
  <c r="O23" i="44"/>
  <c r="P99" i="46"/>
  <c r="O20" i="46"/>
  <c r="O21" i="53"/>
  <c r="O17" i="56"/>
  <c r="P120" i="58"/>
  <c r="P118" i="58"/>
  <c r="P113" i="58"/>
  <c r="O19" i="58"/>
  <c r="P100" i="59"/>
  <c r="P119" i="63"/>
  <c r="P116" i="68"/>
  <c r="P99" i="68"/>
  <c r="O20" i="72"/>
  <c r="P148" i="34"/>
  <c r="P146" i="34"/>
  <c r="P100" i="34"/>
  <c r="O20" i="35"/>
  <c r="O19" i="39"/>
  <c r="O19" i="41"/>
  <c r="P107" i="46"/>
  <c r="O19" i="53"/>
  <c r="P100" i="55"/>
  <c r="P102" i="56"/>
  <c r="P101" i="57"/>
  <c r="P144" i="58"/>
  <c r="P128" i="58"/>
  <c r="P126" i="58"/>
  <c r="P112" i="58"/>
  <c r="O18" i="64"/>
  <c r="O23" i="34"/>
  <c r="O19" i="34"/>
  <c r="P150" i="35"/>
  <c r="P134" i="35"/>
  <c r="P132" i="35"/>
  <c r="P104" i="41"/>
  <c r="P104" i="42"/>
  <c r="O21" i="42"/>
  <c r="O17" i="42"/>
  <c r="O24" i="44"/>
  <c r="P101" i="45"/>
  <c r="O17" i="46"/>
  <c r="P102" i="54"/>
  <c r="O22" i="54"/>
  <c r="P143" i="55"/>
  <c r="P141" i="55"/>
  <c r="P127" i="55"/>
  <c r="P111" i="55"/>
  <c r="P109" i="55"/>
  <c r="P101" i="56"/>
  <c r="P139" i="57"/>
  <c r="P137" i="57"/>
  <c r="P123" i="57"/>
  <c r="P117" i="57"/>
  <c r="P112" i="59"/>
  <c r="P99" i="61"/>
  <c r="O18" i="61"/>
  <c r="O18" i="63"/>
  <c r="O19" i="62"/>
  <c r="P100" i="60"/>
  <c r="P100" i="64"/>
  <c r="P101" i="66"/>
  <c r="O18" i="66"/>
  <c r="P123" i="67"/>
  <c r="P107" i="70"/>
  <c r="P149" i="56"/>
  <c r="P119" i="56"/>
  <c r="P117" i="56"/>
  <c r="O61" i="58"/>
  <c r="P107" i="61"/>
  <c r="P123" i="63"/>
  <c r="O19" i="63"/>
  <c r="P125" i="62"/>
  <c r="P99" i="62"/>
  <c r="P125" i="60"/>
  <c r="P118" i="60"/>
  <c r="P115" i="60"/>
  <c r="P107" i="60"/>
  <c r="P101" i="60"/>
  <c r="O20" i="60"/>
  <c r="P130" i="64"/>
  <c r="P126" i="64"/>
  <c r="P120" i="64"/>
  <c r="P114" i="64"/>
  <c r="P110" i="64"/>
  <c r="P103" i="64"/>
  <c r="O19" i="64"/>
  <c r="P117" i="66"/>
  <c r="O17" i="68"/>
  <c r="P116" i="69"/>
  <c r="P108" i="69"/>
  <c r="P105" i="70"/>
  <c r="P101" i="70"/>
  <c r="P127" i="72"/>
  <c r="O17" i="72"/>
  <c r="P129" i="73"/>
  <c r="O21" i="61"/>
  <c r="O17" i="61"/>
  <c r="P101" i="63"/>
  <c r="O18" i="62"/>
  <c r="P100" i="65"/>
  <c r="O17" i="65"/>
  <c r="P120" i="66"/>
  <c r="P108" i="67"/>
  <c r="O25" i="69"/>
  <c r="O21" i="69"/>
  <c r="O17" i="69"/>
  <c r="P125" i="70"/>
  <c r="P113" i="70"/>
  <c r="O29" i="70"/>
  <c r="P103" i="71"/>
  <c r="P100" i="71"/>
  <c r="P99" i="71"/>
  <c r="O25" i="71"/>
  <c r="O21" i="71"/>
  <c r="C100" i="86"/>
  <c r="C101" i="86" s="1"/>
  <c r="C102" i="86" s="1"/>
  <c r="C103" i="86" s="1"/>
  <c r="C104" i="86" s="1"/>
  <c r="C105" i="86" s="1"/>
  <c r="C106" i="86" s="1"/>
  <c r="C107" i="86"/>
  <c r="C108" i="86" s="1"/>
  <c r="C109" i="86" s="1"/>
  <c r="C110" i="86" s="1"/>
  <c r="C111" i="86" s="1"/>
  <c r="C112" i="86" s="1"/>
  <c r="C113" i="86" s="1"/>
  <c r="C114" i="86" s="1"/>
  <c r="C115" i="86"/>
  <c r="C116" i="86" s="1"/>
  <c r="C117" i="86" s="1"/>
  <c r="C118" i="86" s="1"/>
  <c r="C119" i="86" s="1"/>
  <c r="C120" i="86" s="1"/>
  <c r="C121" i="86" s="1"/>
  <c r="C122" i="86" s="1"/>
  <c r="C123" i="86" s="1"/>
  <c r="C124" i="86" s="1"/>
  <c r="C125" i="86" s="1"/>
  <c r="C126" i="86" s="1"/>
  <c r="C127" i="86" s="1"/>
  <c r="C128" i="86" s="1"/>
  <c r="C129" i="86" s="1"/>
  <c r="C130" i="86" s="1"/>
  <c r="C131" i="86" s="1"/>
  <c r="C132" i="86" s="1"/>
  <c r="C133" i="86" s="1"/>
  <c r="C134" i="86" s="1"/>
  <c r="C135" i="86" s="1"/>
  <c r="C136" i="86" s="1"/>
  <c r="C137" i="86" s="1"/>
  <c r="C138" i="86" s="1"/>
  <c r="C139" i="86" s="1"/>
  <c r="C140" i="86" s="1"/>
  <c r="C141" i="86" s="1"/>
  <c r="C142" i="86" s="1"/>
  <c r="C143" i="86" s="1"/>
  <c r="C144" i="86" s="1"/>
  <c r="C145" i="86" s="1"/>
  <c r="C146" i="86" s="1"/>
  <c r="C147" i="86" s="1"/>
  <c r="C148" i="86" s="1"/>
  <c r="C149" i="86" s="1"/>
  <c r="C150" i="86" s="1"/>
  <c r="C151" i="86" s="1"/>
  <c r="C152" i="86" s="1"/>
  <c r="C153" i="86" s="1"/>
  <c r="C154" i="86" s="1"/>
  <c r="P119" i="73"/>
  <c r="C99" i="73"/>
  <c r="C100" i="73" s="1"/>
  <c r="C101" i="73" s="1"/>
  <c r="C102" i="73" s="1"/>
  <c r="C103" i="73" s="1"/>
  <c r="C104" i="73" s="1"/>
  <c r="C105" i="73" s="1"/>
  <c r="C106" i="73"/>
  <c r="C107" i="73" s="1"/>
  <c r="C108" i="73" s="1"/>
  <c r="C109" i="73" s="1"/>
  <c r="C110" i="73" s="1"/>
  <c r="C111" i="73" s="1"/>
  <c r="C112" i="73" s="1"/>
  <c r="C113" i="73" s="1"/>
  <c r="C114" i="73"/>
  <c r="C115" i="73" s="1"/>
  <c r="C116" i="73" s="1"/>
  <c r="C117" i="73" s="1"/>
  <c r="C118" i="73" s="1"/>
  <c r="C119" i="73" s="1"/>
  <c r="C120" i="73" s="1"/>
  <c r="C121" i="73" s="1"/>
  <c r="C122" i="73" s="1"/>
  <c r="C123" i="73" s="1"/>
  <c r="C124" i="73" s="1"/>
  <c r="C125" i="73" s="1"/>
  <c r="C126" i="73" s="1"/>
  <c r="C127" i="73" s="1"/>
  <c r="C128" i="73" s="1"/>
  <c r="C129" i="73" s="1"/>
  <c r="C130" i="73" s="1"/>
  <c r="C131" i="73" s="1"/>
  <c r="C132" i="73" s="1"/>
  <c r="C133" i="73" s="1"/>
  <c r="P100" i="77"/>
  <c r="O24" i="71"/>
  <c r="O20" i="71"/>
  <c r="P119" i="72"/>
  <c r="P106" i="72"/>
  <c r="O53" i="72"/>
  <c r="O21" i="72"/>
  <c r="P128" i="73"/>
  <c r="P121" i="73"/>
  <c r="O20" i="74"/>
  <c r="P127" i="78"/>
  <c r="P100" i="79"/>
  <c r="O58" i="60"/>
  <c r="O41" i="60"/>
  <c r="O37" i="60"/>
  <c r="P100" i="73"/>
  <c r="O24" i="73"/>
  <c r="C100" i="74"/>
  <c r="C101" i="74" s="1"/>
  <c r="C102" i="74"/>
  <c r="C103" i="74" s="1"/>
  <c r="C104" i="74" s="1"/>
  <c r="C105" i="74" s="1"/>
  <c r="C106" i="74" s="1"/>
  <c r="C107" i="74" s="1"/>
  <c r="C108" i="74" s="1"/>
  <c r="C109" i="74" s="1"/>
  <c r="C110" i="74"/>
  <c r="C111" i="74" s="1"/>
  <c r="C112" i="74" s="1"/>
  <c r="C113" i="74" s="1"/>
  <c r="C114" i="74" s="1"/>
  <c r="C115" i="74" s="1"/>
  <c r="C116" i="74" s="1"/>
  <c r="C117" i="74" s="1"/>
  <c r="C118" i="74" s="1"/>
  <c r="C119" i="74" s="1"/>
  <c r="C120" i="74" s="1"/>
  <c r="C121" i="74" s="1"/>
  <c r="C122" i="74" s="1"/>
  <c r="C123" i="74" s="1"/>
  <c r="C124" i="74" s="1"/>
  <c r="C125" i="74" s="1"/>
  <c r="C126" i="74" s="1"/>
  <c r="C127" i="74" s="1"/>
  <c r="C128" i="74" s="1"/>
  <c r="C129" i="74" s="1"/>
  <c r="C130" i="74" s="1"/>
  <c r="C131" i="74" s="1"/>
  <c r="C132" i="74" s="1"/>
  <c r="C133" i="74" s="1"/>
  <c r="C134" i="74" s="1"/>
  <c r="C135" i="74" s="1"/>
  <c r="C136" i="74" s="1"/>
  <c r="C137" i="74" s="1"/>
  <c r="C138" i="74" s="1"/>
  <c r="C139" i="74" s="1"/>
  <c r="C140" i="74" s="1"/>
  <c r="C141" i="74" s="1"/>
  <c r="C142" i="74" s="1"/>
  <c r="C143" i="74" s="1"/>
  <c r="C144" i="74" s="1"/>
  <c r="C145" i="74" s="1"/>
  <c r="C146" i="74" s="1"/>
  <c r="C147" i="74" s="1"/>
  <c r="C148" i="74" s="1"/>
  <c r="C149" i="74" s="1"/>
  <c r="C150" i="74" s="1"/>
  <c r="C151" i="74" s="1"/>
  <c r="C152" i="74" s="1"/>
  <c r="C153" i="74" s="1"/>
  <c r="C154" i="74" s="1"/>
  <c r="O21" i="74"/>
  <c r="O17" i="74"/>
  <c r="P113" i="78"/>
  <c r="O19" i="78"/>
  <c r="P125" i="79"/>
  <c r="P114" i="79"/>
  <c r="O31" i="79"/>
  <c r="P99" i="85"/>
  <c r="O19" i="73"/>
  <c r="P102" i="74"/>
  <c r="P101" i="74"/>
  <c r="O58" i="75"/>
  <c r="O17" i="75"/>
  <c r="O26" i="76"/>
  <c r="O18" i="76"/>
  <c r="P105" i="77"/>
  <c r="P130" i="79"/>
  <c r="O19" i="79"/>
  <c r="P108" i="80"/>
  <c r="P125" i="81"/>
  <c r="P116" i="83"/>
  <c r="P108" i="83"/>
  <c r="O41" i="80"/>
  <c r="O29" i="92"/>
  <c r="O31" i="90"/>
  <c r="P115" i="91"/>
  <c r="O70" i="91"/>
  <c r="O26" i="91"/>
  <c r="P129" i="92"/>
  <c r="P125" i="92"/>
  <c r="P121" i="92"/>
  <c r="P105" i="92"/>
  <c r="O69" i="92"/>
  <c r="O65" i="92"/>
  <c r="O41" i="92"/>
  <c r="O46" i="81"/>
  <c r="O42" i="81"/>
  <c r="O29" i="81"/>
  <c r="O22" i="81"/>
  <c r="O69" i="82"/>
  <c r="O65" i="82"/>
  <c r="O37" i="82"/>
  <c r="O30" i="82"/>
  <c r="O22" i="82"/>
  <c r="O68" i="83"/>
  <c r="O20" i="83"/>
  <c r="O35" i="85"/>
  <c r="O25" i="92"/>
  <c r="P117" i="95"/>
  <c r="P109" i="95"/>
  <c r="P105" i="95"/>
  <c r="O23" i="95"/>
  <c r="P118" i="96"/>
  <c r="P100" i="96"/>
  <c r="O64" i="96"/>
  <c r="O56" i="96"/>
  <c r="O41" i="96"/>
  <c r="O33" i="96"/>
  <c r="O29" i="96"/>
  <c r="O25" i="96"/>
  <c r="P129" i="97"/>
  <c r="O47" i="95"/>
  <c r="O43" i="95"/>
  <c r="P120" i="97"/>
  <c r="P118" i="97"/>
  <c r="P116" i="97"/>
  <c r="P114" i="97"/>
  <c r="P112" i="97"/>
  <c r="P110" i="97"/>
  <c r="P108" i="97"/>
  <c r="P106" i="97"/>
  <c r="P104" i="97"/>
  <c r="P102" i="97"/>
  <c r="O26" i="97"/>
  <c r="P113" i="53"/>
  <c r="J95" i="98"/>
  <c r="N87" i="78"/>
  <c r="L86" i="78"/>
  <c r="L86" i="86"/>
  <c r="L86" i="74"/>
  <c r="L86" i="90"/>
  <c r="M87" i="90"/>
  <c r="O87" i="90" s="1"/>
  <c r="N87" i="90"/>
  <c r="L86" i="70"/>
  <c r="M87" i="70"/>
  <c r="O87" i="70" s="1"/>
  <c r="N87" i="43"/>
  <c r="J95" i="66"/>
  <c r="M87" i="45"/>
  <c r="N88" i="97"/>
  <c r="J95" i="61"/>
  <c r="P153" i="19"/>
  <c r="P151" i="19"/>
  <c r="P143" i="19"/>
  <c r="P141" i="19"/>
  <c r="P111" i="19"/>
  <c r="P109" i="19"/>
  <c r="P153" i="20"/>
  <c r="P152" i="35"/>
  <c r="P148" i="35"/>
  <c r="P146" i="35"/>
  <c r="P144" i="35"/>
  <c r="P142" i="35"/>
  <c r="P140" i="35"/>
  <c r="P138" i="35"/>
  <c r="P136" i="35"/>
  <c r="P128" i="35"/>
  <c r="P126" i="35"/>
  <c r="P124" i="35"/>
  <c r="P101" i="35"/>
  <c r="P148" i="39"/>
  <c r="P146" i="39"/>
  <c r="P144" i="39"/>
  <c r="P140" i="39"/>
  <c r="P138" i="39"/>
  <c r="P136" i="39"/>
  <c r="P134" i="39"/>
  <c r="P132" i="39"/>
  <c r="P130" i="39"/>
  <c r="P128" i="39"/>
  <c r="P153" i="55"/>
  <c r="P147" i="55"/>
  <c r="P145" i="55"/>
  <c r="P137" i="55"/>
  <c r="P149" i="58"/>
  <c r="P121" i="61"/>
  <c r="P119" i="60"/>
  <c r="P117" i="60"/>
  <c r="P113" i="60"/>
  <c r="P111" i="60"/>
  <c r="P109" i="60"/>
  <c r="P103" i="60"/>
  <c r="P120" i="29"/>
  <c r="P137" i="46"/>
  <c r="P115" i="55"/>
  <c r="P123" i="58"/>
  <c r="P107" i="58"/>
  <c r="P117" i="59"/>
  <c r="P111" i="59"/>
  <c r="P109" i="59"/>
  <c r="P107" i="59"/>
  <c r="P105" i="59"/>
  <c r="P103" i="59"/>
  <c r="P130" i="61"/>
  <c r="P128" i="61"/>
  <c r="P110" i="62"/>
  <c r="P108" i="62"/>
  <c r="P148" i="17"/>
  <c r="P146" i="17"/>
  <c r="P119" i="17"/>
  <c r="P113" i="17"/>
  <c r="P111" i="17"/>
  <c r="P107" i="17"/>
  <c r="P153" i="18"/>
  <c r="P151" i="18"/>
  <c r="P138" i="18"/>
  <c r="P136" i="18"/>
  <c r="P134" i="18"/>
  <c r="P130" i="18"/>
  <c r="P152" i="19"/>
  <c r="P150" i="19"/>
  <c r="P148" i="19"/>
  <c r="P144" i="19"/>
  <c r="P140" i="19"/>
  <c r="P138" i="19"/>
  <c r="P136" i="19"/>
  <c r="P123" i="19"/>
  <c r="P112" i="19"/>
  <c r="P110" i="19"/>
  <c r="P152" i="20"/>
  <c r="P150" i="20"/>
  <c r="P148" i="20"/>
  <c r="P127" i="21"/>
  <c r="P123" i="21"/>
  <c r="P121" i="21"/>
  <c r="P119" i="21"/>
  <c r="P117" i="21"/>
  <c r="P115" i="21"/>
  <c r="P113" i="21"/>
  <c r="P109" i="21"/>
  <c r="P107" i="21"/>
  <c r="P112" i="23"/>
  <c r="P154" i="24"/>
  <c r="P152" i="24"/>
  <c r="P148" i="24"/>
  <c r="P146" i="24"/>
  <c r="P144" i="24"/>
  <c r="P142" i="24"/>
  <c r="P140" i="24"/>
  <c r="P138" i="24"/>
  <c r="P136" i="24"/>
  <c r="P134" i="24"/>
  <c r="P121" i="24"/>
  <c r="P119" i="24"/>
  <c r="P115" i="24"/>
  <c r="P113" i="24"/>
  <c r="P111" i="24"/>
  <c r="P114" i="26"/>
  <c r="P152" i="28"/>
  <c r="P127" i="39"/>
  <c r="P119" i="39"/>
  <c r="P117" i="39"/>
  <c r="P113" i="39"/>
  <c r="P108" i="39"/>
  <c r="P106" i="39"/>
  <c r="P135" i="46"/>
  <c r="P133" i="46"/>
  <c r="P131" i="46"/>
  <c r="P129" i="46"/>
  <c r="P127" i="46"/>
  <c r="P152" i="56"/>
  <c r="P140" i="57"/>
  <c r="P138" i="57"/>
  <c r="P136" i="57"/>
  <c r="P134" i="57"/>
  <c r="P132" i="57"/>
  <c r="P154" i="58"/>
  <c r="P120" i="61"/>
  <c r="P110" i="61"/>
  <c r="P108" i="61"/>
  <c r="P106" i="61"/>
  <c r="P104" i="61"/>
  <c r="P129" i="62"/>
  <c r="P127" i="62"/>
  <c r="P113" i="67"/>
  <c r="P111" i="67"/>
  <c r="P107" i="67"/>
  <c r="P105" i="67"/>
  <c r="P103" i="67"/>
  <c r="P130" i="69"/>
  <c r="P128" i="69"/>
  <c r="P126" i="69"/>
  <c r="P124" i="69"/>
  <c r="P122" i="69"/>
  <c r="P118" i="70"/>
  <c r="P116" i="70"/>
  <c r="P129" i="71"/>
  <c r="P127" i="71"/>
  <c r="P125" i="71"/>
  <c r="P123" i="71"/>
  <c r="P119" i="71"/>
  <c r="P115" i="71"/>
  <c r="P113" i="71"/>
  <c r="P111" i="71"/>
  <c r="P109" i="71"/>
  <c r="P130" i="72"/>
  <c r="P128" i="72"/>
  <c r="P126" i="72"/>
  <c r="P126" i="75"/>
  <c r="P113" i="76"/>
  <c r="P110" i="77"/>
  <c r="P115" i="80"/>
  <c r="P148" i="27"/>
  <c r="P146" i="27"/>
  <c r="P125" i="27"/>
  <c r="P138" i="29"/>
  <c r="P130" i="29"/>
  <c r="P128" i="29"/>
  <c r="P109" i="29"/>
  <c r="P139" i="39"/>
  <c r="P114" i="39"/>
  <c r="P107" i="39"/>
  <c r="P132" i="54"/>
  <c r="P130" i="54"/>
  <c r="P128" i="54"/>
  <c r="P126" i="54"/>
  <c r="P124" i="54"/>
  <c r="P122" i="54"/>
  <c r="P120" i="54"/>
  <c r="P116" i="54"/>
  <c r="P109" i="54"/>
  <c r="P150" i="55"/>
  <c r="P140" i="55"/>
  <c r="P125" i="55"/>
  <c r="P123" i="55"/>
  <c r="P121" i="55"/>
  <c r="P119" i="55"/>
  <c r="P117" i="55"/>
  <c r="P135" i="57"/>
  <c r="P133" i="57"/>
  <c r="P127" i="57"/>
  <c r="P125" i="57"/>
  <c r="P153" i="58"/>
  <c r="P151" i="58"/>
  <c r="P122" i="58"/>
  <c r="P116" i="58"/>
  <c r="P114" i="58"/>
  <c r="P108" i="58"/>
  <c r="P104" i="58"/>
  <c r="P130" i="71"/>
  <c r="P128" i="71"/>
  <c r="P126" i="71"/>
  <c r="P118" i="71"/>
  <c r="P116" i="71"/>
  <c r="P114" i="71"/>
  <c r="P112" i="71"/>
  <c r="P110" i="71"/>
  <c r="P108" i="71"/>
  <c r="P107" i="73"/>
  <c r="P104" i="78"/>
  <c r="P102" i="78"/>
  <c r="P140" i="27"/>
  <c r="P136" i="27"/>
  <c r="P134" i="27"/>
  <c r="P121" i="27"/>
  <c r="P117" i="27"/>
  <c r="P115" i="27"/>
  <c r="P113" i="27"/>
  <c r="P111" i="27"/>
  <c r="P148" i="28"/>
  <c r="P146" i="28"/>
  <c r="P142" i="28"/>
  <c r="P140" i="28"/>
  <c r="P138" i="28"/>
  <c r="P136" i="28"/>
  <c r="P134" i="28"/>
  <c r="P128" i="28"/>
  <c r="P124" i="28"/>
  <c r="P122" i="28"/>
  <c r="P120" i="28"/>
  <c r="P118" i="28"/>
  <c r="P112" i="28"/>
  <c r="P110" i="28"/>
  <c r="P151" i="29"/>
  <c r="P149" i="29"/>
  <c r="P147" i="29"/>
  <c r="P145" i="29"/>
  <c r="P143" i="29"/>
  <c r="P141" i="29"/>
  <c r="P112" i="29"/>
  <c r="P140" i="32"/>
  <c r="P136" i="32"/>
  <c r="P130" i="32"/>
  <c r="P128" i="32"/>
  <c r="P118" i="32"/>
  <c r="P129" i="34"/>
  <c r="P127" i="34"/>
  <c r="P115" i="34"/>
  <c r="P119" i="35"/>
  <c r="P111" i="35"/>
  <c r="P109" i="35"/>
  <c r="P150" i="39"/>
  <c r="P125" i="39"/>
  <c r="P123" i="39"/>
  <c r="P138" i="42"/>
  <c r="P126" i="42"/>
  <c r="P140" i="43"/>
  <c r="P109" i="44"/>
  <c r="P130" i="45"/>
  <c r="P145" i="54"/>
  <c r="P134" i="55"/>
  <c r="P130" i="55"/>
  <c r="P128" i="55"/>
  <c r="P113" i="55"/>
  <c r="P105" i="55"/>
  <c r="P148" i="57"/>
  <c r="P142" i="57"/>
  <c r="P115" i="57"/>
  <c r="P111" i="57"/>
  <c r="P109" i="57"/>
  <c r="P107" i="57"/>
  <c r="P105" i="57"/>
  <c r="P131" i="58"/>
  <c r="P129" i="59"/>
  <c r="P127" i="59"/>
  <c r="P125" i="59"/>
  <c r="P123" i="59"/>
  <c r="P123" i="61"/>
  <c r="P118" i="61"/>
  <c r="P116" i="61"/>
  <c r="P114" i="61"/>
  <c r="P112" i="61"/>
  <c r="P130" i="63"/>
  <c r="P118" i="63"/>
  <c r="P116" i="63"/>
  <c r="P114" i="63"/>
  <c r="P112" i="63"/>
  <c r="P122" i="62"/>
  <c r="P120" i="62"/>
  <c r="P112" i="62"/>
  <c r="P129" i="60"/>
  <c r="P127" i="60"/>
  <c r="P123" i="60"/>
  <c r="P121" i="60"/>
  <c r="P128" i="66"/>
  <c r="P108" i="68"/>
  <c r="P104" i="68"/>
  <c r="P119" i="69"/>
  <c r="P117" i="69"/>
  <c r="P115" i="69"/>
  <c r="P113" i="69"/>
  <c r="P109" i="69"/>
  <c r="P107" i="78"/>
  <c r="P129" i="81"/>
  <c r="P119" i="81"/>
  <c r="P128" i="83"/>
  <c r="P124" i="83"/>
  <c r="P122" i="83"/>
  <c r="P100" i="83"/>
  <c r="P128" i="81"/>
  <c r="P124" i="81"/>
  <c r="P128" i="82"/>
  <c r="P124" i="82"/>
  <c r="P116" i="82"/>
  <c r="P108" i="82"/>
  <c r="P104" i="82"/>
  <c r="P125" i="13"/>
  <c r="P123" i="13"/>
  <c r="P117" i="13"/>
  <c r="P115" i="13"/>
  <c r="P113" i="13"/>
  <c r="P107" i="13"/>
  <c r="P124" i="72"/>
  <c r="P122" i="72"/>
  <c r="P120" i="72"/>
  <c r="P118" i="72"/>
  <c r="P116" i="72"/>
  <c r="P124" i="73"/>
  <c r="P122" i="73"/>
  <c r="P116" i="73"/>
  <c r="P114" i="73"/>
  <c r="P112" i="73"/>
  <c r="P108" i="73"/>
  <c r="P103" i="75"/>
  <c r="P101" i="75"/>
  <c r="P117" i="76"/>
  <c r="P118" i="77"/>
  <c r="P125" i="78"/>
  <c r="P123" i="78"/>
  <c r="P121" i="78"/>
  <c r="P119" i="78"/>
  <c r="P128" i="80"/>
  <c r="P126" i="80"/>
  <c r="P107" i="80"/>
  <c r="P114" i="81"/>
  <c r="P110" i="81"/>
  <c r="P104" i="81"/>
  <c r="P124" i="87"/>
  <c r="P128" i="92"/>
  <c r="P124" i="92"/>
  <c r="P118" i="92"/>
  <c r="P122" i="95"/>
  <c r="P119" i="97"/>
  <c r="P117" i="97"/>
  <c r="P113" i="97"/>
  <c r="P109" i="97"/>
  <c r="P107" i="97"/>
  <c r="P103" i="97"/>
  <c r="N87" i="85"/>
  <c r="M87" i="72"/>
  <c r="C13" i="2"/>
  <c r="C76" i="2"/>
  <c r="L86" i="72"/>
  <c r="L86" i="41"/>
  <c r="C79" i="2"/>
  <c r="C75" i="2"/>
  <c r="C9" i="2"/>
  <c r="C58" i="2"/>
  <c r="C60" i="2"/>
  <c r="C21" i="2"/>
  <c r="M87" i="53"/>
  <c r="C78" i="2"/>
  <c r="C81" i="2"/>
  <c r="L86" i="54"/>
  <c r="L86" i="30"/>
  <c r="M87" i="30"/>
  <c r="L86" i="21"/>
  <c r="L86" i="65"/>
  <c r="L86" i="73"/>
  <c r="M87" i="97"/>
  <c r="N87" i="39"/>
  <c r="M87" i="66"/>
  <c r="L86" i="66"/>
  <c r="N87" i="66"/>
  <c r="L86" i="67"/>
  <c r="M87" i="67"/>
  <c r="N87" i="67"/>
  <c r="N87" i="45"/>
  <c r="L86" i="45"/>
  <c r="N87" i="69"/>
  <c r="L86" i="53"/>
  <c r="M87" i="54"/>
  <c r="L86" i="3"/>
  <c r="N87" i="68"/>
  <c r="L86" i="76"/>
  <c r="M87" i="76"/>
  <c r="N87" i="76"/>
  <c r="N88" i="95"/>
  <c r="M87" i="95"/>
  <c r="M87" i="55"/>
  <c r="N87" i="55"/>
  <c r="L86" i="55"/>
  <c r="N87" i="82"/>
  <c r="L86" i="82"/>
  <c r="N88" i="98"/>
  <c r="N87" i="98"/>
  <c r="N87" i="96"/>
  <c r="M87" i="82"/>
  <c r="N87" i="63"/>
  <c r="O87" i="63" s="1"/>
  <c r="L86" i="33"/>
  <c r="L86" i="27"/>
  <c r="N87" i="27"/>
  <c r="L86" i="34"/>
  <c r="L86" i="80"/>
  <c r="D106" i="74"/>
  <c r="B106" i="74"/>
  <c r="J105" i="74"/>
  <c r="I12" i="32"/>
  <c r="I13" i="32" s="1"/>
  <c r="E17" i="25"/>
  <c r="F17" i="25" s="1"/>
  <c r="D18" i="25" s="1"/>
  <c r="B18" i="25" s="1"/>
  <c r="I10" i="67"/>
  <c r="I10" i="87"/>
  <c r="D94" i="87" s="1"/>
  <c r="O36" i="55"/>
  <c r="P111" i="42"/>
  <c r="O63" i="67"/>
  <c r="O43" i="67"/>
  <c r="O40" i="72"/>
  <c r="O64" i="95"/>
  <c r="P101" i="96"/>
  <c r="O64" i="13"/>
  <c r="O49" i="97"/>
  <c r="O40" i="13"/>
  <c r="O59" i="65"/>
  <c r="I10" i="20"/>
  <c r="D94" i="20" s="1"/>
  <c r="I10" i="63"/>
  <c r="I10" i="23"/>
  <c r="A2" i="1"/>
  <c r="A2" i="2" s="1"/>
  <c r="I12" i="28"/>
  <c r="I13" i="28" s="1"/>
  <c r="I12" i="30"/>
  <c r="I13" i="30" s="1"/>
  <c r="I12" i="43"/>
  <c r="I13" i="43" s="1"/>
  <c r="C58" i="1"/>
  <c r="O57" i="25"/>
  <c r="P144" i="26"/>
  <c r="P140" i="26"/>
  <c r="P118" i="26"/>
  <c r="P113" i="31"/>
  <c r="P123" i="43"/>
  <c r="P137" i="45"/>
  <c r="P133" i="45"/>
  <c r="P135" i="56"/>
  <c r="P133" i="56"/>
  <c r="P125" i="65"/>
  <c r="O70" i="65"/>
  <c r="O60" i="23"/>
  <c r="P134" i="25"/>
  <c r="P138" i="44"/>
  <c r="P133" i="44"/>
  <c r="P151" i="53"/>
  <c r="P141" i="31"/>
  <c r="O57" i="35"/>
  <c r="O44" i="35"/>
  <c r="O42" i="35"/>
  <c r="P114" i="42"/>
  <c r="P109" i="43"/>
  <c r="P129" i="44"/>
  <c r="P108" i="44"/>
  <c r="P136" i="45"/>
  <c r="O46" i="45"/>
  <c r="P153" i="53"/>
  <c r="P144" i="53"/>
  <c r="P128" i="53"/>
  <c r="O46" i="57"/>
  <c r="O47" i="59"/>
  <c r="O29" i="59"/>
  <c r="P117" i="31"/>
  <c r="P138" i="33"/>
  <c r="P148" i="42"/>
  <c r="P144" i="42"/>
  <c r="P117" i="42"/>
  <c r="P146" i="43"/>
  <c r="P134" i="43"/>
  <c r="P144" i="44"/>
  <c r="P140" i="44"/>
  <c r="P124" i="44"/>
  <c r="O53" i="44"/>
  <c r="P133" i="53"/>
  <c r="P108" i="53"/>
  <c r="O42" i="54"/>
  <c r="O35" i="58"/>
  <c r="O29" i="62"/>
  <c r="P113" i="56"/>
  <c r="O69" i="58"/>
  <c r="O60" i="59"/>
  <c r="O43" i="61"/>
  <c r="O32" i="72"/>
  <c r="O42" i="76"/>
  <c r="O38" i="76"/>
  <c r="O32" i="82"/>
  <c r="O70" i="83"/>
  <c r="P122" i="56"/>
  <c r="P105" i="56"/>
  <c r="O63" i="59"/>
  <c r="O72" i="61"/>
  <c r="O70" i="63"/>
  <c r="P128" i="65"/>
  <c r="P121" i="65"/>
  <c r="P114" i="65"/>
  <c r="P106" i="65"/>
  <c r="O72" i="65"/>
  <c r="O54" i="65"/>
  <c r="O50" i="65"/>
  <c r="O48" i="65"/>
  <c r="O23" i="66"/>
  <c r="O41" i="67"/>
  <c r="O56" i="77"/>
  <c r="O48" i="72"/>
  <c r="O51" i="72"/>
  <c r="O59" i="74"/>
  <c r="O21" i="78"/>
  <c r="O63" i="88"/>
  <c r="P111" i="96"/>
  <c r="O64" i="87"/>
  <c r="O46" i="88"/>
  <c r="O25" i="88"/>
  <c r="O45" i="89"/>
  <c r="O19" i="89"/>
  <c r="O35" i="91"/>
  <c r="P129" i="95"/>
  <c r="P120" i="96"/>
  <c r="O66" i="96"/>
  <c r="P115" i="97"/>
  <c r="P101" i="97"/>
  <c r="O54" i="13"/>
  <c r="P108" i="88"/>
  <c r="O65" i="88"/>
  <c r="P101" i="90"/>
  <c r="P116" i="92"/>
  <c r="P127" i="96"/>
  <c r="P100" i="97"/>
  <c r="O60" i="13"/>
  <c r="I12" i="98"/>
  <c r="I13" i="98" s="1"/>
  <c r="O19" i="25"/>
  <c r="P114" i="53"/>
  <c r="P100" i="26"/>
  <c r="O39" i="33"/>
  <c r="O71" i="24"/>
  <c r="P122" i="25"/>
  <c r="P128" i="44"/>
  <c r="O48" i="62"/>
  <c r="P123" i="44"/>
  <c r="P153" i="45"/>
  <c r="P148" i="33"/>
  <c r="P117" i="44"/>
  <c r="P111" i="45"/>
  <c r="P111" i="56"/>
  <c r="P124" i="89"/>
  <c r="P126" i="56"/>
  <c r="P117" i="65"/>
  <c r="O49" i="76"/>
  <c r="O60" i="77"/>
  <c r="P118" i="87"/>
  <c r="P110" i="88"/>
  <c r="O53" i="88"/>
  <c r="P112" i="13"/>
  <c r="P110" i="13"/>
  <c r="P100" i="13"/>
  <c r="O56" i="13"/>
  <c r="O50" i="13"/>
  <c r="P131" i="43"/>
  <c r="P147" i="44"/>
  <c r="P137" i="44"/>
  <c r="P120" i="44"/>
  <c r="P126" i="45"/>
  <c r="P142" i="54"/>
  <c r="P123" i="56"/>
  <c r="O39" i="59"/>
  <c r="O63" i="60"/>
  <c r="P123" i="65"/>
  <c r="O57" i="65"/>
  <c r="O60" i="73"/>
  <c r="O53" i="76"/>
  <c r="O44" i="81"/>
  <c r="O23" i="89"/>
  <c r="P99" i="97"/>
  <c r="O67" i="69"/>
  <c r="P104" i="92"/>
  <c r="O56" i="92"/>
  <c r="O54" i="92"/>
  <c r="P107" i="96"/>
  <c r="P113" i="96"/>
  <c r="P111" i="97"/>
  <c r="P105" i="97"/>
  <c r="P118" i="98"/>
  <c r="P104" i="13"/>
  <c r="O72" i="13"/>
  <c r="O62" i="13"/>
  <c r="O44" i="13"/>
  <c r="D18" i="96"/>
  <c r="I10" i="21"/>
  <c r="I10" i="35"/>
  <c r="I10" i="32"/>
  <c r="D94" i="32" s="1"/>
  <c r="I10" i="57"/>
  <c r="I12" i="77"/>
  <c r="I13" i="77" s="1"/>
  <c r="I12" i="71"/>
  <c r="I13" i="71" s="1"/>
  <c r="I12" i="88"/>
  <c r="I13" i="88" s="1"/>
  <c r="I12" i="87"/>
  <c r="I13" i="87" s="1"/>
  <c r="I12" i="29"/>
  <c r="I13" i="29" s="1"/>
  <c r="I12" i="74"/>
  <c r="I13" i="74" s="1"/>
  <c r="O59" i="33"/>
  <c r="O47" i="41"/>
  <c r="P133" i="42"/>
  <c r="P133" i="43"/>
  <c r="P143" i="44"/>
  <c r="P114" i="25"/>
  <c r="O43" i="19"/>
  <c r="P118" i="25"/>
  <c r="P134" i="33"/>
  <c r="O68" i="35"/>
  <c r="P113" i="43"/>
  <c r="P152" i="44"/>
  <c r="P112" i="44"/>
  <c r="P148" i="56"/>
  <c r="O70" i="44"/>
  <c r="O63" i="62"/>
  <c r="P112" i="54"/>
  <c r="P145" i="56"/>
  <c r="O61" i="60"/>
  <c r="O29" i="65"/>
  <c r="P120" i="65"/>
  <c r="O71" i="71"/>
  <c r="O38" i="87"/>
  <c r="P126" i="97"/>
  <c r="O36" i="13"/>
  <c r="B18" i="96"/>
  <c r="I17" i="96"/>
  <c r="D18" i="97"/>
  <c r="D24" i="46"/>
  <c r="B24" i="46"/>
  <c r="D20" i="85"/>
  <c r="D28" i="23"/>
  <c r="D26" i="44"/>
  <c r="B26" i="44"/>
  <c r="D20" i="80"/>
  <c r="B20" i="80" s="1"/>
  <c r="D24" i="53"/>
  <c r="B24" i="53"/>
  <c r="D27" i="18"/>
  <c r="B27" i="18" s="1"/>
  <c r="D28" i="71"/>
  <c r="D27" i="20"/>
  <c r="B27" i="20" s="1"/>
  <c r="I23" i="53"/>
  <c r="I19" i="80"/>
  <c r="D23" i="60"/>
  <c r="B23" i="60" s="1"/>
  <c r="D24" i="55"/>
  <c r="D26" i="42"/>
  <c r="B26" i="42"/>
  <c r="D19" i="88"/>
  <c r="B19" i="88" s="1"/>
  <c r="D23" i="63"/>
  <c r="I27" i="71"/>
  <c r="D22" i="66"/>
  <c r="B22" i="66" s="1"/>
  <c r="D26" i="43"/>
  <c r="B26" i="43"/>
  <c r="D29" i="30"/>
  <c r="B29" i="30" s="1"/>
  <c r="D27" i="3"/>
  <c r="D19" i="92"/>
  <c r="B19" i="92"/>
  <c r="I18" i="88"/>
  <c r="D27" i="19"/>
  <c r="I27" i="23"/>
  <c r="D24" i="72"/>
  <c r="D21" i="76"/>
  <c r="B21" i="76" s="1"/>
  <c r="D22" i="68"/>
  <c r="D29" i="29"/>
  <c r="D27" i="21"/>
  <c r="B27" i="21"/>
  <c r="D24" i="54"/>
  <c r="D27" i="22"/>
  <c r="D21" i="78"/>
  <c r="B21" i="78"/>
  <c r="D23" i="59"/>
  <c r="I17" i="97"/>
  <c r="D28" i="32"/>
  <c r="B28" i="32"/>
  <c r="D18" i="95"/>
  <c r="B18" i="95" s="1"/>
  <c r="D21" i="75"/>
  <c r="D29" i="70"/>
  <c r="B29" i="70" s="1"/>
  <c r="I28" i="70"/>
  <c r="D21" i="77"/>
  <c r="D26" i="39"/>
  <c r="B26" i="39"/>
  <c r="D21" i="79"/>
  <c r="B21" i="79" s="1"/>
  <c r="D30" i="28"/>
  <c r="I25" i="44"/>
  <c r="D20" i="81"/>
  <c r="D19" i="90"/>
  <c r="D20" i="82"/>
  <c r="B28" i="23"/>
  <c r="I18" i="89"/>
  <c r="I19" i="85"/>
  <c r="B20" i="85"/>
  <c r="D19" i="89"/>
  <c r="B19" i="89" s="1"/>
  <c r="I26" i="21"/>
  <c r="D25" i="45"/>
  <c r="I23" i="46"/>
  <c r="B18" i="97"/>
  <c r="D23" i="61"/>
  <c r="D22" i="65"/>
  <c r="D18" i="98"/>
  <c r="B18" i="98" s="1"/>
  <c r="I21" i="68"/>
  <c r="D23" i="64"/>
  <c r="D23" i="62"/>
  <c r="D24" i="57"/>
  <c r="B24" i="57" s="1"/>
  <c r="D24" i="56"/>
  <c r="B24" i="56"/>
  <c r="D22" i="67"/>
  <c r="B22" i="67" s="1"/>
  <c r="D24" i="58"/>
  <c r="B24" i="58"/>
  <c r="D29" i="27"/>
  <c r="D19" i="91"/>
  <c r="D28" i="24"/>
  <c r="B28" i="24"/>
  <c r="D26" i="73"/>
  <c r="B26" i="73" s="1"/>
  <c r="D20" i="84"/>
  <c r="B20" i="84"/>
  <c r="D19" i="87"/>
  <c r="D26" i="41"/>
  <c r="D29" i="69"/>
  <c r="D20" i="83"/>
  <c r="B20" i="83" s="1"/>
  <c r="D28" i="31"/>
  <c r="D28" i="34"/>
  <c r="I27" i="31"/>
  <c r="I27" i="34"/>
  <c r="I19" i="83"/>
  <c r="B26" i="41"/>
  <c r="I22" i="62"/>
  <c r="I23" i="56"/>
  <c r="I19" i="82"/>
  <c r="I22" i="59"/>
  <c r="I20" i="78"/>
  <c r="B24" i="54"/>
  <c r="B19" i="86"/>
  <c r="B22" i="68"/>
  <c r="B24" i="72"/>
  <c r="I25" i="43"/>
  <c r="I25" i="42"/>
  <c r="I26" i="18"/>
  <c r="B28" i="31"/>
  <c r="I28" i="69"/>
  <c r="I25" i="41"/>
  <c r="I19" i="84"/>
  <c r="I18" i="91"/>
  <c r="B29" i="27"/>
  <c r="I23" i="57"/>
  <c r="I17" i="98"/>
  <c r="B23" i="61"/>
  <c r="I25" i="39"/>
  <c r="I20" i="75"/>
  <c r="I17" i="95"/>
  <c r="B27" i="22"/>
  <c r="I23" i="72"/>
  <c r="I25" i="73"/>
  <c r="I21" i="66"/>
  <c r="I20" i="77"/>
  <c r="I26" i="20"/>
  <c r="B28" i="71"/>
  <c r="I22" i="64"/>
  <c r="I27" i="24"/>
  <c r="B19" i="91"/>
  <c r="I28" i="27"/>
  <c r="B25" i="74"/>
  <c r="B23" i="64"/>
  <c r="I21" i="65"/>
  <c r="I24" i="45"/>
  <c r="B20" i="82"/>
  <c r="B19" i="90"/>
  <c r="D27" i="17"/>
  <c r="B27" i="17"/>
  <c r="B21" i="77"/>
  <c r="I26" i="22"/>
  <c r="I20" i="76"/>
  <c r="B27" i="19"/>
  <c r="I26" i="3"/>
  <c r="I28" i="30"/>
  <c r="I18" i="87"/>
  <c r="B23" i="63"/>
  <c r="I24" i="74"/>
  <c r="I23" i="55"/>
  <c r="I22" i="60"/>
  <c r="I23" i="58"/>
  <c r="I21" i="67"/>
  <c r="I22" i="61"/>
  <c r="B25" i="45"/>
  <c r="I18" i="90"/>
  <c r="I19" i="81"/>
  <c r="I29" i="28"/>
  <c r="I20" i="79"/>
  <c r="I27" i="32"/>
  <c r="I28" i="29"/>
  <c r="I23" i="54"/>
  <c r="I18" i="86"/>
  <c r="I18" i="92"/>
  <c r="I22" i="63"/>
  <c r="I26" i="19"/>
  <c r="I26" i="17"/>
  <c r="P114" i="98"/>
  <c r="O71" i="98"/>
  <c r="O65" i="98"/>
  <c r="O30" i="98"/>
  <c r="O22" i="98"/>
  <c r="P130" i="98"/>
  <c r="P126" i="98"/>
  <c r="O43" i="98"/>
  <c r="O41" i="98"/>
  <c r="O39" i="98"/>
  <c r="O37" i="98"/>
  <c r="P110" i="96"/>
  <c r="P108" i="96"/>
  <c r="P103" i="96"/>
  <c r="P130" i="92"/>
  <c r="P102" i="91"/>
  <c r="P124" i="91"/>
  <c r="P116" i="91"/>
  <c r="P110" i="91"/>
  <c r="P108" i="91"/>
  <c r="P106" i="91"/>
  <c r="P111" i="90"/>
  <c r="P109" i="90"/>
  <c r="P105" i="90"/>
  <c r="P103" i="90"/>
  <c r="P129" i="88"/>
  <c r="P104" i="88"/>
  <c r="P128" i="87"/>
  <c r="P126" i="87"/>
  <c r="P124" i="86"/>
  <c r="P104" i="86"/>
  <c r="O72" i="86"/>
  <c r="O68" i="86"/>
  <c r="O48" i="86"/>
  <c r="N87" i="86"/>
  <c r="M87" i="86"/>
  <c r="C45" i="86"/>
  <c r="C46" i="86" s="1"/>
  <c r="C47" i="86" s="1"/>
  <c r="C48" i="86" s="1"/>
  <c r="C49" i="86" s="1"/>
  <c r="C50" i="86" s="1"/>
  <c r="C51" i="86" s="1"/>
  <c r="C52" i="86" s="1"/>
  <c r="C53" i="86" s="1"/>
  <c r="C54" i="86" s="1"/>
  <c r="C55" i="86" s="1"/>
  <c r="C56" i="86" s="1"/>
  <c r="C57" i="86" s="1"/>
  <c r="C58" i="86" s="1"/>
  <c r="C59" i="86" s="1"/>
  <c r="C60" i="86" s="1"/>
  <c r="C61" i="86" s="1"/>
  <c r="C62" i="86" s="1"/>
  <c r="C63" i="86" s="1"/>
  <c r="C64" i="86" s="1"/>
  <c r="C65" i="86" s="1"/>
  <c r="C66" i="86" s="1"/>
  <c r="C67" i="86" s="1"/>
  <c r="C68" i="86" s="1"/>
  <c r="C69" i="86" s="1"/>
  <c r="C70" i="86" s="1"/>
  <c r="C71" i="86" s="1"/>
  <c r="C72" i="86" s="1"/>
  <c r="P108" i="86"/>
  <c r="P106" i="86"/>
  <c r="P120" i="86"/>
  <c r="P102" i="86"/>
  <c r="P100" i="86"/>
  <c r="P126" i="84"/>
  <c r="P124" i="84"/>
  <c r="P122" i="84"/>
  <c r="P118" i="84"/>
  <c r="P107" i="84"/>
  <c r="P105" i="84"/>
  <c r="P117" i="81"/>
  <c r="P109" i="80"/>
  <c r="P103" i="80"/>
  <c r="P106" i="76"/>
  <c r="P112" i="76"/>
  <c r="P108" i="76"/>
  <c r="B101" i="75"/>
  <c r="P124" i="74"/>
  <c r="P122" i="74"/>
  <c r="P129" i="74"/>
  <c r="P125" i="74"/>
  <c r="P123" i="74"/>
  <c r="P121" i="74"/>
  <c r="P119" i="74"/>
  <c r="P130" i="74"/>
  <c r="P128" i="74"/>
  <c r="P117" i="74"/>
  <c r="P112" i="74"/>
  <c r="O52" i="74"/>
  <c r="O50" i="74"/>
  <c r="O44" i="74"/>
  <c r="O71" i="74"/>
  <c r="O69" i="74"/>
  <c r="O67" i="74"/>
  <c r="O61" i="74"/>
  <c r="O57" i="74"/>
  <c r="O47" i="74"/>
  <c r="O42" i="74"/>
  <c r="O55" i="74"/>
  <c r="O53" i="74"/>
  <c r="O51" i="74"/>
  <c r="O36" i="74"/>
  <c r="O34" i="74"/>
  <c r="O32" i="74"/>
  <c r="O72" i="74"/>
  <c r="O70" i="74"/>
  <c r="O68" i="74"/>
  <c r="O66" i="74"/>
  <c r="O64" i="74"/>
  <c r="O62" i="74"/>
  <c r="O60" i="74"/>
  <c r="O58" i="74"/>
  <c r="O56" i="74"/>
  <c r="O54" i="74"/>
  <c r="O29" i="74"/>
  <c r="O27" i="74"/>
  <c r="M87" i="74"/>
  <c r="O71" i="68"/>
  <c r="O67" i="68"/>
  <c r="O65" i="68"/>
  <c r="O63" i="68"/>
  <c r="O61" i="68"/>
  <c r="O59" i="68"/>
  <c r="O36" i="68"/>
  <c r="M88" i="96"/>
  <c r="L86" i="22"/>
  <c r="M87" i="62"/>
  <c r="L86" i="98"/>
  <c r="L86" i="64"/>
  <c r="L86" i="63"/>
  <c r="M87" i="68"/>
  <c r="L86" i="13"/>
  <c r="N87" i="29"/>
  <c r="M87" i="75"/>
  <c r="M87" i="79"/>
  <c r="N87" i="60"/>
  <c r="O87" i="60" s="1"/>
  <c r="M88" i="13"/>
  <c r="N87" i="18"/>
  <c r="M87" i="43"/>
  <c r="N87" i="74"/>
  <c r="L86" i="87"/>
  <c r="L86" i="18"/>
  <c r="L86" i="39"/>
  <c r="L86" i="77"/>
  <c r="N87" i="58"/>
  <c r="M87" i="57"/>
  <c r="M87" i="96"/>
  <c r="L86" i="79"/>
  <c r="L86" i="96"/>
  <c r="L86" i="62"/>
  <c r="N87" i="64"/>
  <c r="O87" i="64" s="1"/>
  <c r="M87" i="46"/>
  <c r="N87" i="87"/>
  <c r="L86" i="83"/>
  <c r="N87" i="92"/>
  <c r="M87" i="87"/>
  <c r="M87" i="77"/>
  <c r="M87" i="19"/>
  <c r="N87" i="83"/>
  <c r="L86" i="69"/>
  <c r="N87" i="31"/>
  <c r="I10" i="28"/>
  <c r="I10" i="29"/>
  <c r="I10" i="22"/>
  <c r="I10" i="41"/>
  <c r="D94" i="41" s="1"/>
  <c r="I10" i="86"/>
  <c r="I10" i="95"/>
  <c r="I10" i="77"/>
  <c r="I10" i="34"/>
  <c r="U1" i="36"/>
  <c r="I13" i="36" s="1"/>
  <c r="P120" i="25"/>
  <c r="P122" i="91"/>
  <c r="P114" i="91"/>
  <c r="P103" i="91"/>
  <c r="P138" i="25"/>
  <c r="P144" i="33"/>
  <c r="P115" i="41"/>
  <c r="P113" i="41"/>
  <c r="P134" i="42"/>
  <c r="P137" i="43"/>
  <c r="P111" i="43"/>
  <c r="P119" i="44"/>
  <c r="P108" i="45"/>
  <c r="P127" i="65"/>
  <c r="P142" i="25"/>
  <c r="P152" i="26"/>
  <c r="P127" i="31"/>
  <c r="P119" i="31"/>
  <c r="P109" i="31"/>
  <c r="P109" i="41"/>
  <c r="P114" i="43"/>
  <c r="P154" i="44"/>
  <c r="P127" i="97"/>
  <c r="P113" i="44"/>
  <c r="P140" i="45"/>
  <c r="P127" i="53"/>
  <c r="P109" i="53"/>
  <c r="P104" i="54"/>
  <c r="P118" i="89"/>
  <c r="P123" i="91"/>
  <c r="P119" i="91"/>
  <c r="P142" i="44"/>
  <c r="P149" i="45"/>
  <c r="P147" i="45"/>
  <c r="P118" i="65"/>
  <c r="P128" i="86"/>
  <c r="P121" i="88"/>
  <c r="P130" i="91"/>
  <c r="P126" i="91"/>
  <c r="P102" i="92"/>
  <c r="P100" i="92"/>
  <c r="P125" i="96"/>
  <c r="P104" i="96"/>
  <c r="P124" i="97"/>
  <c r="O23" i="98"/>
  <c r="O42" i="98"/>
  <c r="O35" i="98"/>
  <c r="O67" i="98"/>
  <c r="O17" i="98"/>
  <c r="O70" i="97"/>
  <c r="O67" i="97"/>
  <c r="O59" i="97"/>
  <c r="O45" i="97"/>
  <c r="O43" i="97"/>
  <c r="O66" i="97"/>
  <c r="O62" i="97"/>
  <c r="O31" i="97"/>
  <c r="O28" i="97"/>
  <c r="O69" i="97"/>
  <c r="O52" i="96"/>
  <c r="O39" i="96"/>
  <c r="O31" i="96"/>
  <c r="O21" i="96"/>
  <c r="O19" i="96"/>
  <c r="O72" i="96"/>
  <c r="O53" i="96"/>
  <c r="O51" i="96"/>
  <c r="O34" i="96"/>
  <c r="O32" i="96"/>
  <c r="O20" i="96"/>
  <c r="O18" i="96"/>
  <c r="O40" i="96"/>
  <c r="O22" i="96"/>
  <c r="O17" i="96"/>
  <c r="O71" i="96"/>
  <c r="O35" i="96"/>
  <c r="O17" i="95"/>
  <c r="O65" i="95"/>
  <c r="O52" i="95"/>
  <c r="O40" i="95"/>
  <c r="O38" i="95"/>
  <c r="O35" i="95"/>
  <c r="O33" i="95"/>
  <c r="O29" i="95"/>
  <c r="O25" i="95"/>
  <c r="O21" i="95"/>
  <c r="O62" i="95"/>
  <c r="O57" i="95"/>
  <c r="O55" i="95"/>
  <c r="O53" i="95"/>
  <c r="O49" i="95"/>
  <c r="O26" i="95"/>
  <c r="O41" i="95"/>
  <c r="O37" i="95"/>
  <c r="O20" i="95"/>
  <c r="O19" i="95"/>
  <c r="O17" i="92"/>
  <c r="O71" i="92"/>
  <c r="O60" i="92"/>
  <c r="O58" i="92"/>
  <c r="O19" i="92"/>
  <c r="O61" i="92"/>
  <c r="O57" i="92"/>
  <c r="O48" i="92"/>
  <c r="O46" i="92"/>
  <c r="O34" i="92"/>
  <c r="O21" i="92"/>
  <c r="O72" i="92"/>
  <c r="O17" i="91"/>
  <c r="O68" i="91"/>
  <c r="O66" i="91"/>
  <c r="O63" i="91"/>
  <c r="O54" i="91"/>
  <c r="O51" i="91"/>
  <c r="O49" i="91"/>
  <c r="O47" i="91"/>
  <c r="O45" i="91"/>
  <c r="O43" i="91"/>
  <c r="O34" i="91"/>
  <c r="O31" i="91"/>
  <c r="O27" i="91"/>
  <c r="O25" i="91"/>
  <c r="O23" i="91"/>
  <c r="O22" i="91"/>
  <c r="O71" i="91"/>
  <c r="O60" i="91"/>
  <c r="O58" i="91"/>
  <c r="O48" i="91"/>
  <c r="O17" i="90"/>
  <c r="O27" i="90"/>
  <c r="O53" i="89"/>
  <c r="O51" i="89"/>
  <c r="O41" i="89"/>
  <c r="O31" i="88"/>
  <c r="O58" i="88"/>
  <c r="O56" i="88"/>
  <c r="O54" i="88"/>
  <c r="O52" i="88"/>
  <c r="O50" i="88"/>
  <c r="O66" i="88"/>
  <c r="O49" i="88"/>
  <c r="O43" i="88"/>
  <c r="O41" i="88"/>
  <c r="O39" i="88"/>
  <c r="O35" i="88"/>
  <c r="O33" i="88"/>
  <c r="O40" i="88"/>
  <c r="O17" i="87"/>
  <c r="O72" i="87"/>
  <c r="O60" i="87"/>
  <c r="O48" i="87"/>
  <c r="O46" i="87"/>
  <c r="O44" i="87"/>
  <c r="O50" i="87"/>
  <c r="B19" i="87"/>
  <c r="O17" i="86"/>
  <c r="O64" i="86"/>
  <c r="O56" i="86"/>
  <c r="O54" i="86"/>
  <c r="O52" i="86"/>
  <c r="O50" i="86"/>
  <c r="O46" i="86"/>
  <c r="O44" i="86"/>
  <c r="O42" i="86"/>
  <c r="O40" i="86"/>
  <c r="O38" i="86"/>
  <c r="O36" i="86"/>
  <c r="O34" i="86"/>
  <c r="O32" i="86"/>
  <c r="O28" i="86"/>
  <c r="O24" i="86"/>
  <c r="O66" i="86"/>
  <c r="O25" i="85"/>
  <c r="O49" i="85"/>
  <c r="O72" i="85"/>
  <c r="O57" i="85"/>
  <c r="O55" i="85"/>
  <c r="O24" i="84"/>
  <c r="O67" i="84"/>
  <c r="O65" i="84"/>
  <c r="O48" i="84"/>
  <c r="O50" i="83"/>
  <c r="O38" i="83"/>
  <c r="O28" i="83"/>
  <c r="O22" i="83"/>
  <c r="O59" i="83"/>
  <c r="O41" i="83"/>
  <c r="O31" i="83"/>
  <c r="O35" i="82"/>
  <c r="O19" i="82"/>
  <c r="O72" i="82"/>
  <c r="O70" i="82"/>
  <c r="O68" i="82"/>
  <c r="O64" i="82"/>
  <c r="O62" i="82"/>
  <c r="O60" i="82"/>
  <c r="O72" i="81"/>
  <c r="O40" i="81"/>
  <c r="O38" i="81"/>
  <c r="O36" i="81"/>
  <c r="O30" i="81"/>
  <c r="O45" i="81"/>
  <c r="O41" i="81"/>
  <c r="B20" i="81"/>
  <c r="O33" i="80"/>
  <c r="O31" i="80"/>
  <c r="O29" i="80"/>
  <c r="O27" i="80"/>
  <c r="O56" i="80"/>
  <c r="O51" i="80"/>
  <c r="O47" i="80"/>
  <c r="O66" i="79"/>
  <c r="O64" i="79"/>
  <c r="O62" i="79"/>
  <c r="O53" i="79"/>
  <c r="O51" i="79"/>
  <c r="O49" i="79"/>
  <c r="O28" i="79"/>
  <c r="O24" i="79"/>
  <c r="O57" i="79"/>
  <c r="O39" i="79"/>
  <c r="O70" i="79"/>
  <c r="O48" i="79"/>
  <c r="O29" i="79"/>
  <c r="O32" i="79"/>
  <c r="O21" i="79"/>
  <c r="O65" i="78"/>
  <c r="O60" i="78"/>
  <c r="O62" i="78"/>
  <c r="O64" i="77"/>
  <c r="O62" i="77"/>
  <c r="O43" i="77"/>
  <c r="O40" i="77"/>
  <c r="O38" i="77"/>
  <c r="O30" i="77"/>
  <c r="O24" i="77"/>
  <c r="O48" i="77"/>
  <c r="O46" i="77"/>
  <c r="O51" i="76"/>
  <c r="O22" i="76"/>
  <c r="O68" i="76"/>
  <c r="O66" i="76"/>
  <c r="O48" i="76"/>
  <c r="O46" i="76"/>
  <c r="O37" i="76"/>
  <c r="O31" i="76"/>
  <c r="O29" i="76"/>
  <c r="O27" i="76"/>
  <c r="O25" i="76"/>
  <c r="O23" i="76"/>
  <c r="O36" i="76"/>
  <c r="O44" i="76"/>
  <c r="O69" i="75"/>
  <c r="O70" i="75"/>
  <c r="O66" i="75"/>
  <c r="O61" i="75"/>
  <c r="O59" i="75"/>
  <c r="O33" i="75"/>
  <c r="B21" i="75"/>
  <c r="O49" i="74"/>
  <c r="O65" i="74"/>
  <c r="O63" i="74"/>
  <c r="O48" i="74"/>
  <c r="O40" i="74"/>
  <c r="O38" i="74"/>
  <c r="O34" i="73"/>
  <c r="O32" i="73"/>
  <c r="O65" i="72"/>
  <c r="O46" i="72"/>
  <c r="O44" i="72"/>
  <c r="O42" i="72"/>
  <c r="O36" i="72"/>
  <c r="O26" i="72"/>
  <c r="O57" i="72"/>
  <c r="O35" i="72"/>
  <c r="O33" i="72"/>
  <c r="O31" i="72"/>
  <c r="O29" i="72"/>
  <c r="O59" i="72"/>
  <c r="O41" i="72"/>
  <c r="O25" i="72"/>
  <c r="O63" i="71"/>
  <c r="O51" i="71"/>
  <c r="O49" i="71"/>
  <c r="O59" i="71"/>
  <c r="O37" i="71"/>
  <c r="O32" i="71"/>
  <c r="O72" i="70"/>
  <c r="O56" i="70"/>
  <c r="O43" i="69"/>
  <c r="B29" i="69"/>
  <c r="O72" i="68"/>
  <c r="O69" i="68"/>
  <c r="O38" i="68"/>
  <c r="O34" i="68"/>
  <c r="O30" i="68"/>
  <c r="O32" i="68"/>
  <c r="O42" i="67"/>
  <c r="O72" i="67"/>
  <c r="O67" i="67"/>
  <c r="O65" i="67"/>
  <c r="O56" i="67"/>
  <c r="O53" i="67"/>
  <c r="O35" i="67"/>
  <c r="O33" i="67"/>
  <c r="O31" i="67"/>
  <c r="O27" i="67"/>
  <c r="O55" i="66"/>
  <c r="O38" i="66"/>
  <c r="O24" i="66"/>
  <c r="O72" i="66"/>
  <c r="O68" i="66"/>
  <c r="O32" i="66"/>
  <c r="O56" i="66"/>
  <c r="O64" i="66"/>
  <c r="O66" i="65"/>
  <c r="O64" i="65"/>
  <c r="O62" i="65"/>
  <c r="O32" i="65"/>
  <c r="O25" i="65"/>
  <c r="O51" i="65"/>
  <c r="B22" i="65"/>
  <c r="O64" i="64"/>
  <c r="O56" i="64"/>
  <c r="O71" i="64"/>
  <c r="O53" i="60"/>
  <c r="O59" i="60"/>
  <c r="O66" i="60"/>
  <c r="O64" i="60"/>
  <c r="O37" i="62"/>
  <c r="O35" i="62"/>
  <c r="O66" i="62"/>
  <c r="O62" i="62"/>
  <c r="O53" i="62"/>
  <c r="O61" i="62"/>
  <c r="B23" i="62"/>
  <c r="O68" i="63"/>
  <c r="O66" i="63"/>
  <c r="O64" i="63"/>
  <c r="O62" i="63"/>
  <c r="O51" i="63"/>
  <c r="O49" i="63"/>
  <c r="O47" i="63"/>
  <c r="O45" i="63"/>
  <c r="O71" i="63"/>
  <c r="O67" i="63"/>
  <c r="O65" i="63"/>
  <c r="O63" i="63"/>
  <c r="O56" i="63"/>
  <c r="O60" i="63"/>
  <c r="O40" i="63"/>
  <c r="O50" i="61"/>
  <c r="O65" i="61"/>
  <c r="O28" i="61"/>
  <c r="O64" i="59"/>
  <c r="O62" i="59"/>
  <c r="O43" i="59"/>
  <c r="B23" i="59"/>
  <c r="O48" i="59"/>
  <c r="O33" i="58"/>
  <c r="O49" i="58"/>
  <c r="O45" i="58"/>
  <c r="O63" i="58"/>
  <c r="O53" i="58"/>
  <c r="O67" i="57"/>
  <c r="O44" i="57"/>
  <c r="O38" i="57"/>
  <c r="O36" i="57"/>
  <c r="O34" i="57"/>
  <c r="O26" i="57"/>
  <c r="O69" i="56"/>
  <c r="O58" i="56"/>
  <c r="O34" i="56"/>
  <c r="O32" i="56"/>
  <c r="O28" i="56"/>
  <c r="O72" i="56"/>
  <c r="O52" i="56"/>
  <c r="O42" i="56"/>
  <c r="B24" i="55"/>
  <c r="O60" i="54"/>
  <c r="O72" i="54"/>
  <c r="O61" i="54"/>
  <c r="O57" i="54"/>
  <c r="O38" i="54"/>
  <c r="O36" i="54"/>
  <c r="O30" i="54"/>
  <c r="O53" i="54"/>
  <c r="O68" i="53"/>
  <c r="O62" i="53"/>
  <c r="O60" i="53"/>
  <c r="O72" i="53"/>
  <c r="O32" i="53"/>
  <c r="O36" i="46"/>
  <c r="O71" i="46"/>
  <c r="O67" i="46"/>
  <c r="O65" i="46"/>
  <c r="O64" i="46"/>
  <c r="O68" i="46"/>
  <c r="O66" i="46"/>
  <c r="O55" i="46"/>
  <c r="O32" i="46"/>
  <c r="O29" i="46"/>
  <c r="O27" i="46"/>
  <c r="O64" i="45"/>
  <c r="O34" i="45"/>
  <c r="O59" i="45"/>
  <c r="O39" i="45"/>
  <c r="O67" i="44"/>
  <c r="O61" i="44"/>
  <c r="O68" i="44"/>
  <c r="O31" i="44"/>
  <c r="O51" i="44"/>
  <c r="O54" i="43"/>
  <c r="O40" i="43"/>
  <c r="O38" i="43"/>
  <c r="O36" i="43"/>
  <c r="O39" i="42"/>
  <c r="O70" i="42"/>
  <c r="O61" i="42"/>
  <c r="O28" i="42"/>
  <c r="O57" i="42"/>
  <c r="O55" i="42"/>
  <c r="O65" i="42"/>
  <c r="O31" i="42"/>
  <c r="O68" i="42"/>
  <c r="O62" i="42"/>
  <c r="O58" i="42"/>
  <c r="O51" i="42"/>
  <c r="O72" i="41"/>
  <c r="O35" i="41"/>
  <c r="O56" i="41"/>
  <c r="O48" i="41"/>
  <c r="O46" i="41"/>
  <c r="O38" i="41"/>
  <c r="O42" i="41"/>
  <c r="O32" i="39"/>
  <c r="O67" i="34"/>
  <c r="O50" i="34"/>
  <c r="B28" i="34"/>
  <c r="O30" i="32"/>
  <c r="O39" i="31"/>
  <c r="O65" i="30"/>
  <c r="O41" i="30"/>
  <c r="O41" i="29"/>
  <c r="O39" i="29"/>
  <c r="O37" i="29"/>
  <c r="B29" i="29"/>
  <c r="O72" i="28"/>
  <c r="O57" i="28"/>
  <c r="O55" i="28"/>
  <c r="O51" i="28"/>
  <c r="O37" i="28"/>
  <c r="O52" i="28"/>
  <c r="O38" i="28"/>
  <c r="B30" i="28"/>
  <c r="O67" i="28"/>
  <c r="O43" i="27"/>
  <c r="O40" i="27"/>
  <c r="O36" i="27"/>
  <c r="O72" i="27"/>
  <c r="O68" i="27"/>
  <c r="O33" i="27"/>
  <c r="O57" i="27"/>
  <c r="O65" i="24"/>
  <c r="O69" i="24"/>
  <c r="O38" i="24"/>
  <c r="O49" i="23"/>
  <c r="O41" i="23"/>
  <c r="O59" i="22"/>
  <c r="O47" i="22"/>
  <c r="O30" i="22"/>
  <c r="O59" i="21"/>
  <c r="O59" i="20"/>
  <c r="O41" i="20"/>
  <c r="O61" i="20"/>
  <c r="O69" i="20"/>
  <c r="O54" i="19"/>
  <c r="O34" i="19"/>
  <c r="O65" i="19"/>
  <c r="O58" i="19"/>
  <c r="O52" i="18"/>
  <c r="O66" i="18"/>
  <c r="O64" i="18"/>
  <c r="O32" i="18"/>
  <c r="O65" i="17"/>
  <c r="O57" i="17"/>
  <c r="O64" i="17"/>
  <c r="O53" i="3"/>
  <c r="B27" i="3"/>
  <c r="D93" i="34"/>
  <c r="D94" i="34"/>
  <c r="D93" i="28"/>
  <c r="C99" i="28" s="1"/>
  <c r="C100" i="28" s="1"/>
  <c r="C101" i="28" s="1"/>
  <c r="C102" i="28" s="1"/>
  <c r="C103" i="28" s="1"/>
  <c r="C104" i="28" s="1"/>
  <c r="D93" i="22"/>
  <c r="D94" i="22"/>
  <c r="D93" i="41"/>
  <c r="C99" i="41" s="1"/>
  <c r="D92" i="41"/>
  <c r="D106" i="41" s="1"/>
  <c r="B106" i="41" s="1"/>
  <c r="M99" i="84"/>
  <c r="O99" i="87"/>
  <c r="O99" i="84"/>
  <c r="M99" i="87"/>
  <c r="D20" i="86"/>
  <c r="I25" i="74"/>
  <c r="D26" i="74"/>
  <c r="B26" i="74" s="1"/>
  <c r="I19" i="86"/>
  <c r="B20" i="86"/>
  <c r="M99" i="89"/>
  <c r="O99" i="89"/>
  <c r="O99" i="88"/>
  <c r="M99" i="88"/>
  <c r="M99" i="90"/>
  <c r="O99" i="91"/>
  <c r="O99" i="92"/>
  <c r="O99" i="96"/>
  <c r="M99" i="92"/>
  <c r="O99" i="90"/>
  <c r="M99" i="91"/>
  <c r="M99" i="96"/>
  <c r="O30" i="100"/>
  <c r="O59" i="100"/>
  <c r="C45" i="23"/>
  <c r="C46" i="23"/>
  <c r="C47" i="23"/>
  <c r="C48" i="23" s="1"/>
  <c r="C49" i="23" s="1"/>
  <c r="C50" i="23" s="1"/>
  <c r="C51" i="23"/>
  <c r="C52" i="23" s="1"/>
  <c r="C53" i="23" s="1"/>
  <c r="C54" i="23" s="1"/>
  <c r="C55" i="23"/>
  <c r="C56" i="23" s="1"/>
  <c r="C57" i="23" s="1"/>
  <c r="C58" i="23" s="1"/>
  <c r="C59" i="23" s="1"/>
  <c r="C60" i="23" s="1"/>
  <c r="C61" i="23" s="1"/>
  <c r="C62" i="23" s="1"/>
  <c r="C63" i="23" s="1"/>
  <c r="C64" i="23" s="1"/>
  <c r="C65" i="23" s="1"/>
  <c r="C66" i="23" s="1"/>
  <c r="C67" i="23" s="1"/>
  <c r="C68" i="23" s="1"/>
  <c r="C69" i="23" s="1"/>
  <c r="C70" i="23" s="1"/>
  <c r="C71" i="23" s="1"/>
  <c r="C72" i="23" s="1"/>
  <c r="N87" i="23"/>
  <c r="O87" i="23" s="1"/>
  <c r="M87" i="23"/>
  <c r="C45" i="18"/>
  <c r="C46" i="18" s="1"/>
  <c r="C47" i="18" s="1"/>
  <c r="C48" i="18" s="1"/>
  <c r="C49" i="18"/>
  <c r="C50" i="18" s="1"/>
  <c r="C51" i="18" s="1"/>
  <c r="C52" i="18" s="1"/>
  <c r="C53" i="18" s="1"/>
  <c r="C54" i="18" s="1"/>
  <c r="C55" i="18" s="1"/>
  <c r="C56" i="18" s="1"/>
  <c r="C57" i="18" s="1"/>
  <c r="C58" i="18" s="1"/>
  <c r="C59" i="18" s="1"/>
  <c r="C60" i="18" s="1"/>
  <c r="C61" i="18" s="1"/>
  <c r="C62" i="18" s="1"/>
  <c r="C63" i="18" s="1"/>
  <c r="C64" i="18" s="1"/>
  <c r="C65" i="18" s="1"/>
  <c r="C66" i="18" s="1"/>
  <c r="C67" i="18" s="1"/>
  <c r="C68" i="18" s="1"/>
  <c r="C69" i="18"/>
  <c r="C70" i="18" s="1"/>
  <c r="C71" i="18" s="1"/>
  <c r="C72" i="18" s="1"/>
  <c r="M87" i="18"/>
  <c r="C134" i="73"/>
  <c r="C135" i="73" s="1"/>
  <c r="C136" i="73" s="1"/>
  <c r="C137" i="73" s="1"/>
  <c r="C138" i="73" s="1"/>
  <c r="C139" i="73" s="1"/>
  <c r="C140" i="73" s="1"/>
  <c r="C141" i="73" s="1"/>
  <c r="C142" i="73" s="1"/>
  <c r="C143" i="73" s="1"/>
  <c r="C144" i="73" s="1"/>
  <c r="C145" i="73" s="1"/>
  <c r="C146" i="73" s="1"/>
  <c r="C147" i="73" s="1"/>
  <c r="C148" i="73" s="1"/>
  <c r="C149" i="73" s="1"/>
  <c r="C150" i="73" s="1"/>
  <c r="C151" i="73" s="1"/>
  <c r="C152" i="73" s="1"/>
  <c r="C153" i="73" s="1"/>
  <c r="C154" i="73" s="1"/>
  <c r="N87" i="75"/>
  <c r="O87" i="75" s="1"/>
  <c r="L86" i="75"/>
  <c r="L86" i="92"/>
  <c r="M87" i="92"/>
  <c r="J95" i="20"/>
  <c r="I10" i="100"/>
  <c r="E99" i="100" s="1"/>
  <c r="I10" i="99"/>
  <c r="I10" i="76"/>
  <c r="I10" i="88"/>
  <c r="D94" i="88" s="1"/>
  <c r="I10" i="46"/>
  <c r="D93" i="46" s="1"/>
  <c r="N88" i="13"/>
  <c r="N87" i="13"/>
  <c r="B108" i="23"/>
  <c r="N87" i="46"/>
  <c r="L86" i="46"/>
  <c r="L86" i="81"/>
  <c r="M87" i="81"/>
  <c r="N87" i="81"/>
  <c r="J95" i="59"/>
  <c r="C45" i="20"/>
  <c r="C46" i="20" s="1"/>
  <c r="C47" i="20" s="1"/>
  <c r="C48" i="20" s="1"/>
  <c r="C49" i="20"/>
  <c r="C50" i="20" s="1"/>
  <c r="C51" i="20" s="1"/>
  <c r="C52" i="20" s="1"/>
  <c r="C53" i="20" s="1"/>
  <c r="C54" i="20" s="1"/>
  <c r="C55" i="20" s="1"/>
  <c r="C56" i="20" s="1"/>
  <c r="C57" i="20" s="1"/>
  <c r="C58" i="20" s="1"/>
  <c r="C59" i="20" s="1"/>
  <c r="C60" i="20" s="1"/>
  <c r="C61" i="20" s="1"/>
  <c r="C62" i="20" s="1"/>
  <c r="C63" i="20" s="1"/>
  <c r="C64" i="20" s="1"/>
  <c r="C65" i="20" s="1"/>
  <c r="C66" i="20" s="1"/>
  <c r="C67" i="20" s="1"/>
  <c r="C68" i="20" s="1"/>
  <c r="C69" i="20" s="1"/>
  <c r="C70" i="20" s="1"/>
  <c r="C71" i="20" s="1"/>
  <c r="C72" i="20" s="1"/>
  <c r="M87" i="13"/>
  <c r="J95" i="58"/>
  <c r="D95" i="100"/>
  <c r="J96" i="100" s="1"/>
  <c r="D95" i="92"/>
  <c r="J96" i="92" s="1"/>
  <c r="D95" i="23"/>
  <c r="J96" i="23" s="1"/>
  <c r="D95" i="67"/>
  <c r="J96" i="67" s="1"/>
  <c r="D95" i="78"/>
  <c r="J96" i="78" s="1"/>
  <c r="D95" i="33"/>
  <c r="D95" i="35"/>
  <c r="D95" i="43"/>
  <c r="D95" i="55"/>
  <c r="J96" i="55" s="1"/>
  <c r="E104" i="55" s="1"/>
  <c r="F104" i="55" s="1"/>
  <c r="G104" i="55" s="1"/>
  <c r="D95" i="85"/>
  <c r="J96" i="85" s="1"/>
  <c r="E100" i="85" s="1"/>
  <c r="D95" i="95"/>
  <c r="J96" i="95" s="1"/>
  <c r="D95" i="66"/>
  <c r="J96" i="66" s="1"/>
  <c r="D95" i="75"/>
  <c r="J96" i="75" s="1"/>
  <c r="D95" i="20"/>
  <c r="J96" i="20" s="1"/>
  <c r="D99" i="97"/>
  <c r="C100" i="97"/>
  <c r="C101" i="97"/>
  <c r="C102" i="97" s="1"/>
  <c r="C103" i="97" s="1"/>
  <c r="C104" i="97" s="1"/>
  <c r="C105" i="97"/>
  <c r="C106" i="97" s="1"/>
  <c r="C107" i="97" s="1"/>
  <c r="C108" i="97" s="1"/>
  <c r="C109" i="97" s="1"/>
  <c r="C110" i="97" s="1"/>
  <c r="C111" i="97" s="1"/>
  <c r="C112" i="97" s="1"/>
  <c r="C113" i="97" s="1"/>
  <c r="C114" i="97" s="1"/>
  <c r="C115" i="97" s="1"/>
  <c r="C116" i="97" s="1"/>
  <c r="C117" i="97" s="1"/>
  <c r="C118" i="97" s="1"/>
  <c r="C119" i="97" s="1"/>
  <c r="C120" i="97" s="1"/>
  <c r="C121" i="97" s="1"/>
  <c r="C122" i="97" s="1"/>
  <c r="C123" i="97" s="1"/>
  <c r="C124" i="97" s="1"/>
  <c r="C125" i="97"/>
  <c r="C126" i="97" s="1"/>
  <c r="C127" i="97" s="1"/>
  <c r="C128" i="97" s="1"/>
  <c r="C129" i="97" s="1"/>
  <c r="C130" i="97" s="1"/>
  <c r="C131" i="97" s="1"/>
  <c r="C132" i="97" s="1"/>
  <c r="C133" i="97" s="1"/>
  <c r="C134" i="97" s="1"/>
  <c r="C135" i="97" s="1"/>
  <c r="C136" i="97" s="1"/>
  <c r="C137" i="97"/>
  <c r="C138" i="97" s="1"/>
  <c r="C139" i="97" s="1"/>
  <c r="C140" i="97" s="1"/>
  <c r="C141" i="97" s="1"/>
  <c r="C142" i="97" s="1"/>
  <c r="C143" i="97" s="1"/>
  <c r="C144" i="97" s="1"/>
  <c r="C145" i="97" s="1"/>
  <c r="C146" i="97" s="1"/>
  <c r="C147" i="97" s="1"/>
  <c r="C148" i="97" s="1"/>
  <c r="C149" i="97" s="1"/>
  <c r="C150" i="97" s="1"/>
  <c r="C151" i="97" s="1"/>
  <c r="C152" i="97" s="1"/>
  <c r="C153" i="97" s="1"/>
  <c r="C154" i="97" s="1"/>
  <c r="L86" i="58"/>
  <c r="M87" i="58"/>
  <c r="O87" i="58" s="1"/>
  <c r="N87" i="57"/>
  <c r="O87" i="57" s="1"/>
  <c r="L86" i="57"/>
  <c r="P125" i="3"/>
  <c r="P122" i="3"/>
  <c r="P147" i="17"/>
  <c r="P124" i="17"/>
  <c r="P101" i="17"/>
  <c r="C45" i="25"/>
  <c r="C46" i="25" s="1"/>
  <c r="C47" i="25" s="1"/>
  <c r="C48" i="25" s="1"/>
  <c r="C49" i="25"/>
  <c r="C50" i="25" s="1"/>
  <c r="C51" i="25" s="1"/>
  <c r="C52" i="25" s="1"/>
  <c r="C53" i="25" s="1"/>
  <c r="C54" i="25" s="1"/>
  <c r="C55" i="25" s="1"/>
  <c r="C56" i="25" s="1"/>
  <c r="C57" i="25" s="1"/>
  <c r="C58" i="25" s="1"/>
  <c r="C59" i="25" s="1"/>
  <c r="C60" i="25" s="1"/>
  <c r="C61" i="25" s="1"/>
  <c r="C62" i="25" s="1"/>
  <c r="C63" i="25" s="1"/>
  <c r="C64" i="25" s="1"/>
  <c r="C65" i="25" s="1"/>
  <c r="C66" i="25" s="1"/>
  <c r="C67" i="25" s="1"/>
  <c r="C68" i="25" s="1"/>
  <c r="C69" i="25" s="1"/>
  <c r="C70" i="25" s="1"/>
  <c r="C71" i="25" s="1"/>
  <c r="C72" i="25" s="1"/>
  <c r="M87" i="25"/>
  <c r="N87" i="25"/>
  <c r="C45" i="27"/>
  <c r="C46" i="27"/>
  <c r="C47" i="27"/>
  <c r="C48" i="27" s="1"/>
  <c r="C49" i="27" s="1"/>
  <c r="C50" i="27" s="1"/>
  <c r="C51" i="27" s="1"/>
  <c r="C52" i="27" s="1"/>
  <c r="C53" i="27" s="1"/>
  <c r="C54" i="27" s="1"/>
  <c r="C55" i="27" s="1"/>
  <c r="C56" i="27" s="1"/>
  <c r="C57" i="27" s="1"/>
  <c r="C58" i="27" s="1"/>
  <c r="C59" i="27"/>
  <c r="C60" i="27" s="1"/>
  <c r="C61" i="27" s="1"/>
  <c r="C62" i="27" s="1"/>
  <c r="C63" i="27" s="1"/>
  <c r="C64" i="27" s="1"/>
  <c r="C65" i="27" s="1"/>
  <c r="C66" i="27" s="1"/>
  <c r="C67" i="27" s="1"/>
  <c r="C68" i="27" s="1"/>
  <c r="C69" i="27" s="1"/>
  <c r="C70" i="27" s="1"/>
  <c r="C71" i="27"/>
  <c r="C72" i="27" s="1"/>
  <c r="M87" i="27"/>
  <c r="O87" i="27" s="1"/>
  <c r="C100" i="95"/>
  <c r="C101" i="95" s="1"/>
  <c r="C102" i="95" s="1"/>
  <c r="C103" i="95" s="1"/>
  <c r="C104" i="95" s="1"/>
  <c r="C105" i="95" s="1"/>
  <c r="C106" i="95" s="1"/>
  <c r="C107" i="95" s="1"/>
  <c r="C108" i="95" s="1"/>
  <c r="C109" i="95" s="1"/>
  <c r="C110" i="95" s="1"/>
  <c r="C111" i="95" s="1"/>
  <c r="C112" i="95"/>
  <c r="C113" i="95" s="1"/>
  <c r="C114" i="95" s="1"/>
  <c r="C115" i="95" s="1"/>
  <c r="C116" i="95" s="1"/>
  <c r="C117" i="95" s="1"/>
  <c r="C118" i="95" s="1"/>
  <c r="C119" i="95" s="1"/>
  <c r="C120" i="95" s="1"/>
  <c r="C121" i="95" s="1"/>
  <c r="C122" i="95" s="1"/>
  <c r="C123" i="95" s="1"/>
  <c r="C124" i="95"/>
  <c r="C125" i="95" s="1"/>
  <c r="C126" i="95" s="1"/>
  <c r="C127" i="95" s="1"/>
  <c r="C128" i="95" s="1"/>
  <c r="C129" i="95" s="1"/>
  <c r="C130" i="95" s="1"/>
  <c r="C131" i="95" s="1"/>
  <c r="C132" i="95" s="1"/>
  <c r="C133" i="95" s="1"/>
  <c r="C134" i="95" s="1"/>
  <c r="C135" i="95" s="1"/>
  <c r="C136" i="95" s="1"/>
  <c r="C137" i="95" s="1"/>
  <c r="C138" i="95" s="1"/>
  <c r="C139" i="95" s="1"/>
  <c r="C140" i="95" s="1"/>
  <c r="C141" i="95" s="1"/>
  <c r="C142" i="95" s="1"/>
  <c r="C143" i="95" s="1"/>
  <c r="C144" i="95"/>
  <c r="C145" i="95" s="1"/>
  <c r="C146" i="95" s="1"/>
  <c r="C147" i="95" s="1"/>
  <c r="C148" i="95" s="1"/>
  <c r="C149" i="95" s="1"/>
  <c r="C150" i="95" s="1"/>
  <c r="C151" i="95" s="1"/>
  <c r="C152" i="95" s="1"/>
  <c r="C153" i="95" s="1"/>
  <c r="C154" i="95" s="1"/>
  <c r="D99" i="95"/>
  <c r="J95" i="19"/>
  <c r="N87" i="33"/>
  <c r="M87" i="33"/>
  <c r="O87" i="33" s="1"/>
  <c r="N87" i="34"/>
  <c r="M87" i="34"/>
  <c r="N87" i="44"/>
  <c r="M87" i="44"/>
  <c r="P130" i="3"/>
  <c r="O24" i="3"/>
  <c r="J95" i="69"/>
  <c r="J95" i="23"/>
  <c r="N87" i="91"/>
  <c r="L86" i="91"/>
  <c r="M87" i="91"/>
  <c r="P108" i="17"/>
  <c r="B107" i="17"/>
  <c r="L86" i="24"/>
  <c r="N87" i="24"/>
  <c r="N87" i="61"/>
  <c r="M87" i="85"/>
  <c r="M87" i="98"/>
  <c r="J95" i="68"/>
  <c r="C100" i="98"/>
  <c r="C101" i="98" s="1"/>
  <c r="C102" i="98" s="1"/>
  <c r="C103" i="98"/>
  <c r="C104" i="98" s="1"/>
  <c r="C105" i="98" s="1"/>
  <c r="C106" i="98" s="1"/>
  <c r="C107" i="98" s="1"/>
  <c r="C108" i="98" s="1"/>
  <c r="C109" i="98" s="1"/>
  <c r="C110" i="98" s="1"/>
  <c r="C111" i="98" s="1"/>
  <c r="C112" i="98" s="1"/>
  <c r="C113" i="98" s="1"/>
  <c r="C114" i="98" s="1"/>
  <c r="C115" i="98" s="1"/>
  <c r="C116" i="98" s="1"/>
  <c r="C117" i="98" s="1"/>
  <c r="C118" i="98" s="1"/>
  <c r="C119" i="98" s="1"/>
  <c r="C120" i="98" s="1"/>
  <c r="C121" i="98" s="1"/>
  <c r="C122" i="98" s="1"/>
  <c r="C123" i="98" s="1"/>
  <c r="C124" i="98" s="1"/>
  <c r="C125" i="98" s="1"/>
  <c r="C126" i="98" s="1"/>
  <c r="C127" i="98" s="1"/>
  <c r="C128" i="98" s="1"/>
  <c r="C129" i="98" s="1"/>
  <c r="C130" i="98" s="1"/>
  <c r="C131" i="98" s="1"/>
  <c r="C132" i="98" s="1"/>
  <c r="C133" i="98" s="1"/>
  <c r="C134" i="98" s="1"/>
  <c r="C135" i="98" s="1"/>
  <c r="C136" i="98" s="1"/>
  <c r="C137" i="98" s="1"/>
  <c r="C138" i="98" s="1"/>
  <c r="C139" i="98" s="1"/>
  <c r="C140" i="98" s="1"/>
  <c r="C141" i="98" s="1"/>
  <c r="C142" i="98" s="1"/>
  <c r="C143" i="98" s="1"/>
  <c r="C144" i="98" s="1"/>
  <c r="C145" i="98" s="1"/>
  <c r="C146" i="98" s="1"/>
  <c r="C147" i="98" s="1"/>
  <c r="C148" i="98" s="1"/>
  <c r="C149" i="98" s="1"/>
  <c r="C150" i="98" s="1"/>
  <c r="C151" i="98" s="1"/>
  <c r="C152" i="98" s="1"/>
  <c r="C153" i="98" s="1"/>
  <c r="C154" i="98" s="1"/>
  <c r="D99" i="98"/>
  <c r="L86" i="26"/>
  <c r="N87" i="80"/>
  <c r="M87" i="80"/>
  <c r="L86" i="97"/>
  <c r="M88" i="97"/>
  <c r="N87" i="97"/>
  <c r="I12" i="100"/>
  <c r="I13" i="100" s="1"/>
  <c r="E17" i="100" s="1"/>
  <c r="F17" i="100" s="1"/>
  <c r="H17" i="100" s="1"/>
  <c r="I12" i="99"/>
  <c r="I13" i="99" s="1"/>
  <c r="E17" i="99" s="1"/>
  <c r="F17" i="99" s="1"/>
  <c r="I12" i="18"/>
  <c r="I13" i="18" s="1"/>
  <c r="I12" i="69"/>
  <c r="I13" i="69" s="1"/>
  <c r="F19" i="2"/>
  <c r="C45" i="22"/>
  <c r="C46" i="22"/>
  <c r="C47" i="22" s="1"/>
  <c r="C48" i="22" s="1"/>
  <c r="C49" i="22" s="1"/>
  <c r="C50" i="22" s="1"/>
  <c r="C51" i="22" s="1"/>
  <c r="C52" i="22" s="1"/>
  <c r="C53" i="22" s="1"/>
  <c r="C54" i="22" s="1"/>
  <c r="C55" i="22" s="1"/>
  <c r="C56" i="22" s="1"/>
  <c r="C57" i="22" s="1"/>
  <c r="C58" i="22" s="1"/>
  <c r="C59" i="22" s="1"/>
  <c r="C60" i="22" s="1"/>
  <c r="C61" i="22" s="1"/>
  <c r="C62" i="22" s="1"/>
  <c r="C63" i="22" s="1"/>
  <c r="C64" i="22" s="1"/>
  <c r="C65" i="22" s="1"/>
  <c r="C66" i="22" s="1"/>
  <c r="C67" i="22" s="1"/>
  <c r="C68" i="22" s="1"/>
  <c r="C69" i="22" s="1"/>
  <c r="C70" i="22" s="1"/>
  <c r="C71" i="22" s="1"/>
  <c r="C72" i="22" s="1"/>
  <c r="M87" i="22"/>
  <c r="O87" i="22" s="1"/>
  <c r="N87" i="95"/>
  <c r="O87" i="95" s="1"/>
  <c r="L86" i="95"/>
  <c r="M88" i="95"/>
  <c r="L86" i="71"/>
  <c r="M87" i="71"/>
  <c r="J95" i="71"/>
  <c r="L86" i="31"/>
  <c r="M87" i="31"/>
  <c r="J94" i="99"/>
  <c r="J95" i="99" s="1"/>
  <c r="J94" i="100"/>
  <c r="J94" i="88"/>
  <c r="J95" i="88" s="1"/>
  <c r="J94" i="64"/>
  <c r="J94" i="46"/>
  <c r="J95" i="46" s="1"/>
  <c r="J94" i="30"/>
  <c r="J94" i="96"/>
  <c r="J94" i="78"/>
  <c r="J95" i="78" s="1"/>
  <c r="J94" i="63"/>
  <c r="J94" i="24"/>
  <c r="J94" i="81"/>
  <c r="J94" i="65"/>
  <c r="J95" i="65" s="1"/>
  <c r="J94" i="56"/>
  <c r="J94" i="35"/>
  <c r="J94" i="29"/>
  <c r="J95" i="29" s="1"/>
  <c r="J94" i="21"/>
  <c r="J95" i="21" s="1"/>
  <c r="J94" i="42"/>
  <c r="J94" i="32"/>
  <c r="J94" i="22"/>
  <c r="J94" i="79"/>
  <c r="J95" i="79" s="1"/>
  <c r="J94" i="27"/>
  <c r="J94" i="54"/>
  <c r="J94" i="13"/>
  <c r="J94" i="73"/>
  <c r="J94" i="57"/>
  <c r="J95" i="57"/>
  <c r="J94" i="33"/>
  <c r="J94" i="60"/>
  <c r="J95" i="60" s="1"/>
  <c r="J94" i="39"/>
  <c r="J94" i="92"/>
  <c r="J95" i="92" s="1"/>
  <c r="J94" i="77"/>
  <c r="J95" i="77" s="1"/>
  <c r="J94" i="18"/>
  <c r="J94" i="97"/>
  <c r="J94" i="91"/>
  <c r="J95" i="91"/>
  <c r="J94" i="86"/>
  <c r="J95" i="86" s="1"/>
  <c r="J94" i="80"/>
  <c r="J94" i="70"/>
  <c r="J94" i="17"/>
  <c r="J95" i="17" s="1"/>
  <c r="J94" i="3"/>
  <c r="P151" i="3"/>
  <c r="P147" i="3"/>
  <c r="P144" i="3"/>
  <c r="P112" i="3"/>
  <c r="P104" i="3"/>
  <c r="P100" i="3"/>
  <c r="O59" i="3"/>
  <c r="O50" i="3"/>
  <c r="O25" i="3"/>
  <c r="P137" i="17"/>
  <c r="P131" i="17"/>
  <c r="P102" i="17"/>
  <c r="P141" i="18"/>
  <c r="P139" i="18"/>
  <c r="P122" i="18"/>
  <c r="P120" i="18"/>
  <c r="P118" i="18"/>
  <c r="O24" i="22"/>
  <c r="O23" i="22"/>
  <c r="P100" i="18"/>
  <c r="O23" i="18"/>
  <c r="P146" i="20"/>
  <c r="P133" i="20"/>
  <c r="P109" i="20"/>
  <c r="O39" i="20"/>
  <c r="P146" i="22"/>
  <c r="P104" i="22"/>
  <c r="P134" i="19"/>
  <c r="P126" i="19"/>
  <c r="P116" i="19"/>
  <c r="P129" i="20"/>
  <c r="O35" i="20"/>
  <c r="O25" i="20"/>
  <c r="O23" i="20"/>
  <c r="P102" i="21"/>
  <c r="P101" i="21"/>
  <c r="P142" i="22"/>
  <c r="P133" i="22"/>
  <c r="P102" i="22"/>
  <c r="O29" i="22"/>
  <c r="P124" i="23"/>
  <c r="P116" i="23"/>
  <c r="O25" i="23"/>
  <c r="P143" i="24"/>
  <c r="P105" i="24"/>
  <c r="P104" i="24"/>
  <c r="P99" i="24"/>
  <c r="O17" i="24"/>
  <c r="O64" i="26"/>
  <c r="P143" i="27"/>
  <c r="P110" i="27"/>
  <c r="P131" i="24"/>
  <c r="O26" i="24"/>
  <c r="P133" i="27"/>
  <c r="P123" i="27"/>
  <c r="P107" i="27"/>
  <c r="O70" i="27"/>
  <c r="O19" i="27"/>
  <c r="P146" i="29"/>
  <c r="O21" i="29"/>
  <c r="O21" i="31"/>
  <c r="P100" i="32"/>
  <c r="P106" i="34"/>
  <c r="P105" i="34"/>
  <c r="O25" i="34"/>
  <c r="P100" i="35"/>
  <c r="O20" i="42"/>
  <c r="P101" i="27"/>
  <c r="P102" i="30"/>
  <c r="P104" i="31"/>
  <c r="P105" i="43"/>
  <c r="O26" i="27"/>
  <c r="O25" i="27"/>
  <c r="O26" i="28"/>
  <c r="P119" i="29"/>
  <c r="P101" i="32"/>
  <c r="O21" i="34"/>
  <c r="P103" i="35"/>
  <c r="O21" i="45"/>
  <c r="O18" i="57"/>
  <c r="O20" i="43"/>
  <c r="O23" i="43"/>
  <c r="O22" i="44"/>
  <c r="O18" i="44"/>
  <c r="O19" i="46"/>
  <c r="O18" i="46"/>
  <c r="P103" i="53"/>
  <c r="O22" i="53"/>
  <c r="P102" i="59"/>
  <c r="C99" i="61"/>
  <c r="C100" i="61"/>
  <c r="C101" i="61" s="1"/>
  <c r="C102" i="61" s="1"/>
  <c r="C103" i="61"/>
  <c r="C104" i="61" s="1"/>
  <c r="C105" i="61" s="1"/>
  <c r="C106" i="61" s="1"/>
  <c r="C107" i="61" s="1"/>
  <c r="C108" i="61" s="1"/>
  <c r="C109" i="61" s="1"/>
  <c r="C110" i="61" s="1"/>
  <c r="C111" i="61" s="1"/>
  <c r="C112" i="61" s="1"/>
  <c r="C113" i="61" s="1"/>
  <c r="C114" i="61" s="1"/>
  <c r="C115" i="61" s="1"/>
  <c r="C116" i="61" s="1"/>
  <c r="C117" i="61" s="1"/>
  <c r="C118" i="61" s="1"/>
  <c r="C119" i="61" s="1"/>
  <c r="C120" i="61" s="1"/>
  <c r="C121" i="61" s="1"/>
  <c r="C122" i="61" s="1"/>
  <c r="C123" i="61" s="1"/>
  <c r="C124" i="61"/>
  <c r="C125" i="61" s="1"/>
  <c r="C126" i="61" s="1"/>
  <c r="P101" i="64"/>
  <c r="P99" i="64"/>
  <c r="O17" i="64"/>
  <c r="O17" i="66"/>
  <c r="O51" i="67"/>
  <c r="P113" i="68"/>
  <c r="O58" i="69"/>
  <c r="P101" i="71"/>
  <c r="O45" i="71"/>
  <c r="P115" i="72"/>
  <c r="O39" i="72"/>
  <c r="O24" i="72"/>
  <c r="C99" i="72"/>
  <c r="C100" i="72"/>
  <c r="C101" i="72" s="1"/>
  <c r="C102" i="72" s="1"/>
  <c r="C103" i="72" s="1"/>
  <c r="C104" i="72" s="1"/>
  <c r="C105" i="72"/>
  <c r="C106" i="72" s="1"/>
  <c r="C107" i="72" s="1"/>
  <c r="C108" i="72"/>
  <c r="C109" i="72" s="1"/>
  <c r="C110" i="72" s="1"/>
  <c r="C111" i="72" s="1"/>
  <c r="C112" i="72" s="1"/>
  <c r="C113" i="72" s="1"/>
  <c r="C114" i="72" s="1"/>
  <c r="C115" i="72" s="1"/>
  <c r="C116" i="72" s="1"/>
  <c r="C117" i="72" s="1"/>
  <c r="C118" i="72" s="1"/>
  <c r="C119" i="72" s="1"/>
  <c r="C120" i="72" s="1"/>
  <c r="C121" i="72" s="1"/>
  <c r="C122" i="72" s="1"/>
  <c r="C123" i="72" s="1"/>
  <c r="C124" i="72" s="1"/>
  <c r="C125" i="72" s="1"/>
  <c r="C126" i="72" s="1"/>
  <c r="O62" i="73"/>
  <c r="P115" i="74"/>
  <c r="P121" i="75"/>
  <c r="P129" i="76"/>
  <c r="O41" i="76"/>
  <c r="O70" i="77"/>
  <c r="O45" i="77"/>
  <c r="O19" i="77"/>
  <c r="P118" i="78"/>
  <c r="O47" i="78"/>
  <c r="O39" i="78"/>
  <c r="P102" i="75"/>
  <c r="O57" i="75"/>
  <c r="O19" i="75"/>
  <c r="P118" i="76"/>
  <c r="P109" i="76"/>
  <c r="P129" i="77"/>
  <c r="P115" i="77"/>
  <c r="O59" i="77"/>
  <c r="O39" i="77"/>
  <c r="O33" i="77"/>
  <c r="P107" i="79"/>
  <c r="O61" i="71"/>
  <c r="O39" i="71"/>
  <c r="P117" i="73"/>
  <c r="O59" i="73"/>
  <c r="C100" i="71"/>
  <c r="C101" i="71" s="1"/>
  <c r="C102" i="71" s="1"/>
  <c r="C103" i="71"/>
  <c r="C104" i="71" s="1"/>
  <c r="C105" i="71" s="1"/>
  <c r="C106" i="71" s="1"/>
  <c r="C107" i="71" s="1"/>
  <c r="C108" i="71" s="1"/>
  <c r="C109" i="71" s="1"/>
  <c r="C110" i="71" s="1"/>
  <c r="C111" i="71" s="1"/>
  <c r="C112" i="71" s="1"/>
  <c r="C113" i="71" s="1"/>
  <c r="C114" i="71" s="1"/>
  <c r="C115" i="71" s="1"/>
  <c r="C116" i="71" s="1"/>
  <c r="C117" i="71" s="1"/>
  <c r="C118" i="71" s="1"/>
  <c r="C119" i="71" s="1"/>
  <c r="C120" i="71" s="1"/>
  <c r="C121" i="71" s="1"/>
  <c r="C122" i="71" s="1"/>
  <c r="C123" i="71" s="1"/>
  <c r="C124" i="71"/>
  <c r="C125" i="71" s="1"/>
  <c r="C126" i="71" s="1"/>
  <c r="O17" i="79"/>
  <c r="O23" i="79"/>
  <c r="P125" i="80"/>
  <c r="O68" i="80"/>
  <c r="O43" i="80"/>
  <c r="O18" i="81"/>
  <c r="P129" i="82"/>
  <c r="P123" i="82"/>
  <c r="O17" i="82"/>
  <c r="P119" i="83"/>
  <c r="O52" i="87"/>
  <c r="P129" i="90"/>
  <c r="P126" i="85"/>
  <c r="P121" i="85"/>
  <c r="P107" i="85"/>
  <c r="P103" i="85"/>
  <c r="O59" i="85"/>
  <c r="O48" i="85"/>
  <c r="O18" i="85"/>
  <c r="P116" i="86"/>
  <c r="P112" i="87"/>
  <c r="O25" i="87"/>
  <c r="P100" i="89"/>
  <c r="O61" i="89"/>
  <c r="O17" i="89"/>
  <c r="O23" i="90"/>
  <c r="P130" i="85"/>
  <c r="P117" i="85"/>
  <c r="P113" i="85"/>
  <c r="P110" i="85"/>
  <c r="O39" i="85"/>
  <c r="O22" i="86"/>
  <c r="P106" i="87"/>
  <c r="O56" i="87"/>
  <c r="O40" i="87"/>
  <c r="P105" i="88"/>
  <c r="O68" i="88"/>
  <c r="O37" i="91"/>
  <c r="O19" i="91"/>
  <c r="P109" i="92"/>
  <c r="O63" i="98"/>
  <c r="O33" i="98"/>
  <c r="P102" i="13"/>
  <c r="O26" i="18"/>
  <c r="O26" i="22"/>
  <c r="O22" i="63"/>
  <c r="P101" i="13"/>
  <c r="P99" i="13"/>
  <c r="O43" i="13"/>
  <c r="O26" i="3"/>
  <c r="O26" i="20"/>
  <c r="O25" i="39"/>
  <c r="O22" i="59"/>
  <c r="O21" i="67"/>
  <c r="O28" i="70"/>
  <c r="C99" i="100"/>
  <c r="D99" i="100"/>
  <c r="J92" i="100"/>
  <c r="L86" i="100" s="1"/>
  <c r="J92" i="99"/>
  <c r="O24" i="45"/>
  <c r="O23" i="55"/>
  <c r="O22" i="64"/>
  <c r="O21" i="66"/>
  <c r="O24" i="74"/>
  <c r="O19" i="84"/>
  <c r="O18" i="90"/>
  <c r="O27" i="32"/>
  <c r="O25" i="44"/>
  <c r="O23" i="54"/>
  <c r="O22" i="61"/>
  <c r="D99" i="99"/>
  <c r="C100" i="99"/>
  <c r="C101" i="99"/>
  <c r="C102" i="99"/>
  <c r="C103" i="99" s="1"/>
  <c r="C104" i="99" s="1"/>
  <c r="C105" i="99" s="1"/>
  <c r="C106" i="99" s="1"/>
  <c r="C107" i="99" s="1"/>
  <c r="C108" i="99" s="1"/>
  <c r="C109" i="99" s="1"/>
  <c r="C110" i="99"/>
  <c r="C111" i="99" s="1"/>
  <c r="C112" i="99" s="1"/>
  <c r="C113" i="99" s="1"/>
  <c r="C114" i="99" s="1"/>
  <c r="C115" i="99" s="1"/>
  <c r="C116" i="99" s="1"/>
  <c r="C117" i="99" s="1"/>
  <c r="C118" i="99" s="1"/>
  <c r="C119" i="99" s="1"/>
  <c r="C120" i="99" s="1"/>
  <c r="C121" i="99"/>
  <c r="C122" i="99" s="1"/>
  <c r="C123" i="99" s="1"/>
  <c r="C124" i="99" s="1"/>
  <c r="C125" i="99" s="1"/>
  <c r="C126" i="99" s="1"/>
  <c r="C127" i="99" s="1"/>
  <c r="C128" i="99" s="1"/>
  <c r="C129" i="99" s="1"/>
  <c r="C130" i="99" s="1"/>
  <c r="C131" i="99" s="1"/>
  <c r="C132" i="99" s="1"/>
  <c r="C133" i="99" s="1"/>
  <c r="C134" i="99" s="1"/>
  <c r="C135" i="99" s="1"/>
  <c r="C136" i="99" s="1"/>
  <c r="C137" i="99" s="1"/>
  <c r="C138" i="99" s="1"/>
  <c r="C139" i="99" s="1"/>
  <c r="C140" i="99" s="1"/>
  <c r="C141" i="99" s="1"/>
  <c r="C142" i="99" s="1"/>
  <c r="C143" i="99" s="1"/>
  <c r="C144" i="99" s="1"/>
  <c r="C145" i="99" s="1"/>
  <c r="C146" i="99" s="1"/>
  <c r="C147" i="99" s="1"/>
  <c r="C148" i="99" s="1"/>
  <c r="C149" i="99" s="1"/>
  <c r="C150" i="99" s="1"/>
  <c r="C151" i="99" s="1"/>
  <c r="C152" i="99" s="1"/>
  <c r="C153" i="99" s="1"/>
  <c r="C154" i="99" s="1"/>
  <c r="O34" i="99"/>
  <c r="D17" i="99"/>
  <c r="O55" i="100"/>
  <c r="O29" i="100"/>
  <c r="C100" i="100"/>
  <c r="C101" i="100"/>
  <c r="C102" i="100"/>
  <c r="C103" i="100" s="1"/>
  <c r="C104" i="100" s="1"/>
  <c r="C105" i="100" s="1"/>
  <c r="C106" i="100" s="1"/>
  <c r="C107" i="100"/>
  <c r="C108" i="100" s="1"/>
  <c r="C109" i="100" s="1"/>
  <c r="C110" i="100" s="1"/>
  <c r="C111" i="100" s="1"/>
  <c r="C112" i="100" s="1"/>
  <c r="C113" i="100" s="1"/>
  <c r="C114" i="100" s="1"/>
  <c r="C115" i="100" s="1"/>
  <c r="C116" i="100" s="1"/>
  <c r="C117" i="100" s="1"/>
  <c r="C118" i="100" s="1"/>
  <c r="C119" i="100" s="1"/>
  <c r="C120" i="100" s="1"/>
  <c r="C121" i="100" s="1"/>
  <c r="C122" i="100" s="1"/>
  <c r="C123" i="100" s="1"/>
  <c r="C124" i="100" s="1"/>
  <c r="C125" i="100" s="1"/>
  <c r="C126" i="100" s="1"/>
  <c r="C127" i="100" s="1"/>
  <c r="C128" i="100" s="1"/>
  <c r="C129" i="100" s="1"/>
  <c r="C130" i="100" s="1"/>
  <c r="C131" i="100" s="1"/>
  <c r="C132" i="100" s="1"/>
  <c r="C133" i="100" s="1"/>
  <c r="C134" i="100" s="1"/>
  <c r="C135" i="100" s="1"/>
  <c r="C136" i="100" s="1"/>
  <c r="C137" i="100" s="1"/>
  <c r="C138" i="100" s="1"/>
  <c r="C139" i="100" s="1"/>
  <c r="C140" i="100" s="1"/>
  <c r="C141" i="100" s="1"/>
  <c r="C142" i="100" s="1"/>
  <c r="C143" i="100" s="1"/>
  <c r="C144" i="100" s="1"/>
  <c r="C145" i="100" s="1"/>
  <c r="C146" i="100" s="1"/>
  <c r="C147" i="100" s="1"/>
  <c r="C148" i="100" s="1"/>
  <c r="C149" i="100" s="1"/>
  <c r="C150" i="100" s="1"/>
  <c r="C151" i="100" s="1"/>
  <c r="C152" i="100" s="1"/>
  <c r="C153" i="100" s="1"/>
  <c r="C154" i="100" s="1"/>
  <c r="J95" i="70"/>
  <c r="J95" i="97"/>
  <c r="J95" i="39"/>
  <c r="J95" i="73"/>
  <c r="J95" i="64"/>
  <c r="E24" i="2"/>
  <c r="E25" i="2" s="1"/>
  <c r="E31" i="2"/>
  <c r="J95" i="80"/>
  <c r="J95" i="18"/>
  <c r="J95" i="13"/>
  <c r="J95" i="22"/>
  <c r="J95" i="81"/>
  <c r="J95" i="96"/>
  <c r="J95" i="3"/>
  <c r="J95" i="54"/>
  <c r="J95" i="35"/>
  <c r="J95" i="24"/>
  <c r="J95" i="30"/>
  <c r="J95" i="56"/>
  <c r="J95" i="63"/>
  <c r="E108" i="23"/>
  <c r="F108" i="23" s="1"/>
  <c r="F100" i="85"/>
  <c r="D101" i="85" s="1"/>
  <c r="B101" i="85" s="1"/>
  <c r="O87" i="87"/>
  <c r="O17" i="99"/>
  <c r="O26" i="99"/>
  <c r="O72" i="99"/>
  <c r="O27" i="100"/>
  <c r="P99" i="100"/>
  <c r="P107" i="100"/>
  <c r="P115" i="100"/>
  <c r="O52" i="23"/>
  <c r="P103" i="100"/>
  <c r="P119" i="100"/>
  <c r="O64" i="20"/>
  <c r="O42" i="21"/>
  <c r="O30" i="21"/>
  <c r="O54" i="22"/>
  <c r="O50" i="22"/>
  <c r="O35" i="23"/>
  <c r="O21" i="25"/>
  <c r="P151" i="26"/>
  <c r="P139" i="26"/>
  <c r="O58" i="29"/>
  <c r="O57" i="31"/>
  <c r="O38" i="59"/>
  <c r="O38" i="63"/>
  <c r="T14" i="36"/>
  <c r="D94" i="46"/>
  <c r="I12" i="53"/>
  <c r="I13" i="53" s="1"/>
  <c r="I12" i="25"/>
  <c r="I12" i="34"/>
  <c r="I13" i="34" s="1"/>
  <c r="I12" i="63"/>
  <c r="I13" i="63" s="1"/>
  <c r="I12" i="92"/>
  <c r="I13" i="92" s="1"/>
  <c r="I12" i="20"/>
  <c r="I13" i="20" s="1"/>
  <c r="I12" i="22"/>
  <c r="I13" i="22" s="1"/>
  <c r="I12" i="13"/>
  <c r="I12" i="81"/>
  <c r="I13" i="81" s="1"/>
  <c r="I12" i="61"/>
  <c r="I13" i="61" s="1"/>
  <c r="I12" i="79"/>
  <c r="I13" i="79" s="1"/>
  <c r="I12" i="45"/>
  <c r="I13" i="45" s="1"/>
  <c r="I12" i="83"/>
  <c r="I13" i="83" s="1"/>
  <c r="I12" i="44"/>
  <c r="I13" i="44" s="1"/>
  <c r="I12" i="27"/>
  <c r="I13" i="27" s="1"/>
  <c r="I12" i="42"/>
  <c r="I13" i="42" s="1"/>
  <c r="I12" i="75"/>
  <c r="I13" i="75" s="1"/>
  <c r="I12" i="35"/>
  <c r="I12" i="80"/>
  <c r="I13" i="80" s="1"/>
  <c r="I12" i="91"/>
  <c r="I13" i="91" s="1"/>
  <c r="I12" i="3"/>
  <c r="I13" i="3" s="1"/>
  <c r="I12" i="67"/>
  <c r="I13" i="67" s="1"/>
  <c r="I12" i="65"/>
  <c r="I13" i="65" s="1"/>
  <c r="I12" i="96"/>
  <c r="I13" i="96" s="1"/>
  <c r="I12" i="90"/>
  <c r="I13" i="90" s="1"/>
  <c r="I12" i="31"/>
  <c r="I13" i="31" s="1"/>
  <c r="I12" i="41"/>
  <c r="I13" i="41" s="1"/>
  <c r="I12" i="33"/>
  <c r="I13" i="33" s="1"/>
  <c r="I12" i="23"/>
  <c r="I13" i="23" s="1"/>
  <c r="I12" i="86"/>
  <c r="I13" i="86" s="1"/>
  <c r="O38" i="3"/>
  <c r="P138" i="43"/>
  <c r="O61" i="3"/>
  <c r="P153" i="30"/>
  <c r="O29" i="34"/>
  <c r="O45" i="3"/>
  <c r="O56" i="17"/>
  <c r="O52" i="17"/>
  <c r="O48" i="17"/>
  <c r="O53" i="22"/>
  <c r="O43" i="23"/>
  <c r="P146" i="26"/>
  <c r="O30" i="27"/>
  <c r="O66" i="29"/>
  <c r="O35" i="29"/>
  <c r="O31" i="29"/>
  <c r="O57" i="30"/>
  <c r="O53" i="30"/>
  <c r="O49" i="30"/>
  <c r="O35" i="45"/>
  <c r="O31" i="45"/>
  <c r="O31" i="61"/>
  <c r="O63" i="3"/>
  <c r="O53" i="19"/>
  <c r="O45" i="19"/>
  <c r="O51" i="20"/>
  <c r="O40" i="20"/>
  <c r="O36" i="20"/>
  <c r="P108" i="25"/>
  <c r="O27" i="25"/>
  <c r="P142" i="26"/>
  <c r="P115" i="26"/>
  <c r="P103" i="26"/>
  <c r="O49" i="26"/>
  <c r="O30" i="26"/>
  <c r="O26" i="26"/>
  <c r="O60" i="27"/>
  <c r="O53" i="27"/>
  <c r="O37" i="27"/>
  <c r="O69" i="28"/>
  <c r="O65" i="28"/>
  <c r="O52" i="31"/>
  <c r="O69" i="32"/>
  <c r="O61" i="32"/>
  <c r="P132" i="33"/>
  <c r="O65" i="33"/>
  <c r="O43" i="42"/>
  <c r="P123" i="54"/>
  <c r="P119" i="54"/>
  <c r="O70" i="54"/>
  <c r="O66" i="54"/>
  <c r="O43" i="54"/>
  <c r="O39" i="54"/>
  <c r="O35" i="54"/>
  <c r="O31" i="54"/>
  <c r="P119" i="65"/>
  <c r="P115" i="65"/>
  <c r="O47" i="65"/>
  <c r="O87" i="65"/>
  <c r="O72" i="18"/>
  <c r="O62" i="20"/>
  <c r="O71" i="21"/>
  <c r="O42" i="24"/>
  <c r="O32" i="78"/>
  <c r="O52" i="80"/>
  <c r="O44" i="80"/>
  <c r="O67" i="19"/>
  <c r="O63" i="19"/>
  <c r="O56" i="19"/>
  <c r="O22" i="25"/>
  <c r="O18" i="25"/>
  <c r="P148" i="26"/>
  <c r="O59" i="26"/>
  <c r="O21" i="26"/>
  <c r="O55" i="27"/>
  <c r="O51" i="27"/>
  <c r="O45" i="28"/>
  <c r="O57" i="41"/>
  <c r="O49" i="41"/>
  <c r="O45" i="41"/>
  <c r="O41" i="41"/>
  <c r="P142" i="42"/>
  <c r="O43" i="43"/>
  <c r="O39" i="43"/>
  <c r="O27" i="43"/>
  <c r="P150" i="44"/>
  <c r="P146" i="44"/>
  <c r="P130" i="44"/>
  <c r="P126" i="44"/>
  <c r="P122" i="44"/>
  <c r="P118" i="44"/>
  <c r="O69" i="44"/>
  <c r="O65" i="44"/>
  <c r="O71" i="53"/>
  <c r="O67" i="53"/>
  <c r="O70" i="60"/>
  <c r="O62" i="60"/>
  <c r="O39" i="60"/>
  <c r="O70" i="70"/>
  <c r="O66" i="70"/>
  <c r="O27" i="3"/>
  <c r="O61" i="17"/>
  <c r="O47" i="19"/>
  <c r="O36" i="19"/>
  <c r="O32" i="19"/>
  <c r="O57" i="20"/>
  <c r="O53" i="20"/>
  <c r="O49" i="20"/>
  <c r="O38" i="20"/>
  <c r="P110" i="25"/>
  <c r="O29" i="25"/>
  <c r="P117" i="26"/>
  <c r="P113" i="26"/>
  <c r="P109" i="26"/>
  <c r="O62" i="26"/>
  <c r="O32" i="26"/>
  <c r="O69" i="27"/>
  <c r="O39" i="27"/>
  <c r="O35" i="27"/>
  <c r="O31" i="27"/>
  <c r="O63" i="28"/>
  <c r="O59" i="28"/>
  <c r="O59" i="29"/>
  <c r="O66" i="30"/>
  <c r="O62" i="30"/>
  <c r="O64" i="35"/>
  <c r="P135" i="53"/>
  <c r="P119" i="53"/>
  <c r="O50" i="57"/>
  <c r="O25" i="62"/>
  <c r="O38" i="60"/>
  <c r="O55" i="34"/>
  <c r="O36" i="34"/>
  <c r="O41" i="35"/>
  <c r="O69" i="43"/>
  <c r="O57" i="44"/>
  <c r="O37" i="44"/>
  <c r="O68" i="45"/>
  <c r="O42" i="45"/>
  <c r="O38" i="45"/>
  <c r="O24" i="53"/>
  <c r="P147" i="56"/>
  <c r="P139" i="56"/>
  <c r="O54" i="56"/>
  <c r="O26" i="56"/>
  <c r="O42" i="57"/>
  <c r="O30" i="57"/>
  <c r="O52" i="59"/>
  <c r="O68" i="68"/>
  <c r="O72" i="73"/>
  <c r="O40" i="76"/>
  <c r="O57" i="77"/>
  <c r="O53" i="77"/>
  <c r="O41" i="77"/>
  <c r="O39" i="80"/>
  <c r="P108" i="84"/>
  <c r="O71" i="97"/>
  <c r="O63" i="97"/>
  <c r="O58" i="34"/>
  <c r="O54" i="34"/>
  <c r="O31" i="34"/>
  <c r="O37" i="35"/>
  <c r="O59" i="41"/>
  <c r="O28" i="41"/>
  <c r="P121" i="43"/>
  <c r="O64" i="43"/>
  <c r="O57" i="46"/>
  <c r="O30" i="46"/>
  <c r="O66" i="53"/>
  <c r="P141" i="54"/>
  <c r="P133" i="54"/>
  <c r="O25" i="55"/>
  <c r="P150" i="56"/>
  <c r="O53" i="56"/>
  <c r="O49" i="56"/>
  <c r="O37" i="56"/>
  <c r="O64" i="57"/>
  <c r="O25" i="59"/>
  <c r="O26" i="61"/>
  <c r="O52" i="63"/>
  <c r="O40" i="62"/>
  <c r="O57" i="60"/>
  <c r="O46" i="60"/>
  <c r="O36" i="64"/>
  <c r="O32" i="64"/>
  <c r="O43" i="65"/>
  <c r="O50" i="66"/>
  <c r="O40" i="66"/>
  <c r="O49" i="75"/>
  <c r="O41" i="75"/>
  <c r="O21" i="75"/>
  <c r="O54" i="79"/>
  <c r="O30" i="79"/>
  <c r="O26" i="79"/>
  <c r="O61" i="84"/>
  <c r="P130" i="88"/>
  <c r="P102" i="88"/>
  <c r="O55" i="90"/>
  <c r="O22" i="95"/>
  <c r="P109" i="96"/>
  <c r="O67" i="99"/>
  <c r="O19" i="100"/>
  <c r="P114" i="33"/>
  <c r="O29" i="33"/>
  <c r="O45" i="34"/>
  <c r="O38" i="34"/>
  <c r="O34" i="34"/>
  <c r="O66" i="35"/>
  <c r="P130" i="42"/>
  <c r="O49" i="42"/>
  <c r="O41" i="43"/>
  <c r="P151" i="45"/>
  <c r="P119" i="45"/>
  <c r="P110" i="56"/>
  <c r="O67" i="56"/>
  <c r="O45" i="61"/>
  <c r="O34" i="60"/>
  <c r="O23" i="60"/>
  <c r="O46" i="65"/>
  <c r="O28" i="65"/>
  <c r="O70" i="67"/>
  <c r="O47" i="67"/>
  <c r="O68" i="70"/>
  <c r="O38" i="72"/>
  <c r="O34" i="72"/>
  <c r="O31" i="74"/>
  <c r="O42" i="78"/>
  <c r="O41" i="32"/>
  <c r="O33" i="32"/>
  <c r="O43" i="39"/>
  <c r="P141" i="41"/>
  <c r="P125" i="41"/>
  <c r="P121" i="41"/>
  <c r="O34" i="41"/>
  <c r="P129" i="42"/>
  <c r="P125" i="42"/>
  <c r="P121" i="42"/>
  <c r="P115" i="43"/>
  <c r="P107" i="43"/>
  <c r="O51" i="43"/>
  <c r="O47" i="43"/>
  <c r="O44" i="43"/>
  <c r="O32" i="43"/>
  <c r="O66" i="44"/>
  <c r="O59" i="46"/>
  <c r="P120" i="53"/>
  <c r="O41" i="53"/>
  <c r="P151" i="54"/>
  <c r="O56" i="54"/>
  <c r="O44" i="54"/>
  <c r="O40" i="54"/>
  <c r="O51" i="55"/>
  <c r="O32" i="57"/>
  <c r="O57" i="62"/>
  <c r="O30" i="62"/>
  <c r="O26" i="62"/>
  <c r="O67" i="60"/>
  <c r="O40" i="60"/>
  <c r="O26" i="60"/>
  <c r="O43" i="85"/>
  <c r="P104" i="89"/>
  <c r="O29" i="89"/>
  <c r="O56" i="91"/>
  <c r="O52" i="32"/>
  <c r="O29" i="32"/>
  <c r="O56" i="34"/>
  <c r="O41" i="34"/>
  <c r="O33" i="34"/>
  <c r="O28" i="35"/>
  <c r="O68" i="41"/>
  <c r="O30" i="41"/>
  <c r="O70" i="43"/>
  <c r="O66" i="43"/>
  <c r="O58" i="44"/>
  <c r="O55" i="45"/>
  <c r="O51" i="45"/>
  <c r="O47" i="45"/>
  <c r="P147" i="53"/>
  <c r="P139" i="54"/>
  <c r="P135" i="54"/>
  <c r="O55" i="54"/>
  <c r="O28" i="54"/>
  <c r="O69" i="55"/>
  <c r="P144" i="56"/>
  <c r="O47" i="56"/>
  <c r="O27" i="57"/>
  <c r="O43" i="58"/>
  <c r="O25" i="58"/>
  <c r="O34" i="59"/>
  <c r="O27" i="59"/>
  <c r="O52" i="61"/>
  <c r="O48" i="61"/>
  <c r="O45" i="62"/>
  <c r="O55" i="60"/>
  <c r="O34" i="64"/>
  <c r="O26" i="64"/>
  <c r="O68" i="65"/>
  <c r="O38" i="65"/>
  <c r="O71" i="66"/>
  <c r="O69" i="67"/>
  <c r="O46" i="67"/>
  <c r="O38" i="67"/>
  <c r="O35" i="71"/>
  <c r="O27" i="75"/>
  <c r="O34" i="76"/>
  <c r="O59" i="81"/>
  <c r="O24" i="88"/>
  <c r="O69" i="90"/>
  <c r="O65" i="90"/>
  <c r="O32" i="91"/>
  <c r="O28" i="91"/>
  <c r="O24" i="91"/>
  <c r="P114" i="92"/>
  <c r="P110" i="92"/>
  <c r="P103" i="92"/>
  <c r="O67" i="92"/>
  <c r="O61" i="98"/>
  <c r="O57" i="98"/>
  <c r="O63" i="73"/>
  <c r="O36" i="73"/>
  <c r="O34" i="77"/>
  <c r="O45" i="78"/>
  <c r="O41" i="78"/>
  <c r="O59" i="80"/>
  <c r="O55" i="80"/>
  <c r="O42" i="85"/>
  <c r="P101" i="88"/>
  <c r="P122" i="89"/>
  <c r="O24" i="92"/>
  <c r="P107" i="95"/>
  <c r="P116" i="96"/>
  <c r="P128" i="98"/>
  <c r="O42" i="13"/>
  <c r="O24" i="99"/>
  <c r="O71" i="99"/>
  <c r="P117" i="99"/>
  <c r="P121" i="99"/>
  <c r="P125" i="99"/>
  <c r="O31" i="100"/>
  <c r="O47" i="100"/>
  <c r="O66" i="100"/>
  <c r="O62" i="67"/>
  <c r="O55" i="67"/>
  <c r="O44" i="67"/>
  <c r="O40" i="67"/>
  <c r="O29" i="67"/>
  <c r="O57" i="68"/>
  <c r="O30" i="71"/>
  <c r="O71" i="72"/>
  <c r="O66" i="73"/>
  <c r="O58" i="73"/>
  <c r="O51" i="73"/>
  <c r="O43" i="74"/>
  <c r="O35" i="74"/>
  <c r="O45" i="75"/>
  <c r="O56" i="76"/>
  <c r="O25" i="78"/>
  <c r="O35" i="80"/>
  <c r="O31" i="81"/>
  <c r="O28" i="82"/>
  <c r="P130" i="84"/>
  <c r="P114" i="84"/>
  <c r="O46" i="84"/>
  <c r="O34" i="84"/>
  <c r="O33" i="85"/>
  <c r="P112" i="86"/>
  <c r="O23" i="87"/>
  <c r="O72" i="88"/>
  <c r="O57" i="88"/>
  <c r="O45" i="88"/>
  <c r="O62" i="92"/>
  <c r="O50" i="92"/>
  <c r="O42" i="92"/>
  <c r="O23" i="92"/>
  <c r="O59" i="95"/>
  <c r="O28" i="95"/>
  <c r="O45" i="96"/>
  <c r="O37" i="96"/>
  <c r="O38" i="97"/>
  <c r="O45" i="13"/>
  <c r="O33" i="99"/>
  <c r="P114" i="99"/>
  <c r="P118" i="99"/>
  <c r="O52" i="79"/>
  <c r="O44" i="79"/>
  <c r="O36" i="79"/>
  <c r="P102" i="89"/>
  <c r="O41" i="99"/>
  <c r="P130" i="99"/>
  <c r="O17" i="100"/>
  <c r="P109" i="100"/>
  <c r="P117" i="100"/>
  <c r="O50" i="67"/>
  <c r="O23" i="67"/>
  <c r="O44" i="68"/>
  <c r="O40" i="68"/>
  <c r="O24" i="68"/>
  <c r="O31" i="70"/>
  <c r="O28" i="72"/>
  <c r="O47" i="79"/>
  <c r="O35" i="79"/>
  <c r="O72" i="80"/>
  <c r="O52" i="84"/>
  <c r="P115" i="88"/>
  <c r="O48" i="88"/>
  <c r="O29" i="88"/>
  <c r="P127" i="91"/>
  <c r="P107" i="91"/>
  <c r="O33" i="91"/>
  <c r="O46" i="95"/>
  <c r="P102" i="98"/>
  <c r="P115" i="99"/>
  <c r="P119" i="99"/>
  <c r="O33" i="100"/>
  <c r="O52" i="100"/>
  <c r="O71" i="69"/>
  <c r="O69" i="72"/>
  <c r="O45" i="73"/>
  <c r="O41" i="73"/>
  <c r="O41" i="74"/>
  <c r="O37" i="74"/>
  <c r="O43" i="75"/>
  <c r="O70" i="76"/>
  <c r="O66" i="78"/>
  <c r="O43" i="78"/>
  <c r="O27" i="78"/>
  <c r="O23" i="78"/>
  <c r="O57" i="80"/>
  <c r="O48" i="81"/>
  <c r="O67" i="83"/>
  <c r="P120" i="84"/>
  <c r="P116" i="84"/>
  <c r="P112" i="84"/>
  <c r="O44" i="84"/>
  <c r="O28" i="84"/>
  <c r="O20" i="84"/>
  <c r="P110" i="86"/>
  <c r="O55" i="88"/>
  <c r="O51" i="88"/>
  <c r="O47" i="88"/>
  <c r="O49" i="89"/>
  <c r="O47" i="90"/>
  <c r="O29" i="90"/>
  <c r="O21" i="90"/>
  <c r="O21" i="91"/>
  <c r="O52" i="92"/>
  <c r="P127" i="95"/>
  <c r="O72" i="95"/>
  <c r="P129" i="96"/>
  <c r="O43" i="96"/>
  <c r="P123" i="97"/>
  <c r="O72" i="97"/>
  <c r="O21" i="97"/>
  <c r="O46" i="98"/>
  <c r="O38" i="98"/>
  <c r="O34" i="98"/>
  <c r="O28" i="13"/>
  <c r="O54" i="99"/>
  <c r="O66" i="99"/>
  <c r="P110" i="100"/>
  <c r="O87" i="25"/>
  <c r="P123" i="100"/>
  <c r="O72" i="19"/>
  <c r="O66" i="20"/>
  <c r="C71" i="1"/>
  <c r="C37" i="1"/>
  <c r="C47" i="1"/>
  <c r="C55" i="1"/>
  <c r="C20" i="1"/>
  <c r="C12" i="1"/>
  <c r="C75" i="1"/>
  <c r="C26" i="1"/>
  <c r="D93" i="20"/>
  <c r="F12" i="1"/>
  <c r="E17" i="1" s="1"/>
  <c r="F17" i="1" s="1"/>
  <c r="O67" i="24"/>
  <c r="O59" i="24"/>
  <c r="O40" i="25"/>
  <c r="O87" i="81"/>
  <c r="O49" i="19"/>
  <c r="O68" i="21"/>
  <c r="O87" i="96"/>
  <c r="O39" i="23"/>
  <c r="O44" i="29"/>
  <c r="O49" i="43"/>
  <c r="O72" i="3"/>
  <c r="O70" i="18"/>
  <c r="O40" i="22"/>
  <c r="O48" i="32"/>
  <c r="P107" i="42"/>
  <c r="P99" i="92"/>
  <c r="O44" i="45"/>
  <c r="O40" i="45"/>
  <c r="O56" i="46"/>
  <c r="O44" i="3"/>
  <c r="O43" i="17"/>
  <c r="O46" i="18"/>
  <c r="O69" i="19"/>
  <c r="O50" i="21"/>
  <c r="O56" i="24"/>
  <c r="P102" i="26"/>
  <c r="O69" i="29"/>
  <c r="O64" i="3"/>
  <c r="O63" i="17"/>
  <c r="O55" i="19"/>
  <c r="O31" i="20"/>
  <c r="O31" i="23"/>
  <c r="O33" i="24"/>
  <c r="P138" i="26"/>
  <c r="P134" i="26"/>
  <c r="O56" i="26"/>
  <c r="O52" i="26"/>
  <c r="O24" i="26"/>
  <c r="O34" i="27"/>
  <c r="O71" i="28"/>
  <c r="O36" i="28"/>
  <c r="O68" i="29"/>
  <c r="O61" i="29"/>
  <c r="O43" i="29"/>
  <c r="P150" i="30"/>
  <c r="O68" i="30"/>
  <c r="O60" i="30"/>
  <c r="O37" i="30"/>
  <c r="O31" i="30"/>
  <c r="P121" i="31"/>
  <c r="O70" i="33"/>
  <c r="O66" i="33"/>
  <c r="O35" i="34"/>
  <c r="O39" i="35"/>
  <c r="P111" i="41"/>
  <c r="P107" i="41"/>
  <c r="P106" i="42"/>
  <c r="P112" i="43"/>
  <c r="O64" i="44"/>
  <c r="O47" i="46"/>
  <c r="O24" i="46"/>
  <c r="O69" i="57"/>
  <c r="O65" i="57"/>
  <c r="O42" i="64"/>
  <c r="O39" i="73"/>
  <c r="O57" i="3"/>
  <c r="O42" i="3"/>
  <c r="O59" i="17"/>
  <c r="O36" i="18"/>
  <c r="O28" i="18"/>
  <c r="O41" i="19"/>
  <c r="O60" i="21"/>
  <c r="O34" i="21"/>
  <c r="O60" i="22"/>
  <c r="O68" i="23"/>
  <c r="O64" i="23"/>
  <c r="O34" i="23"/>
  <c r="O58" i="24"/>
  <c r="O40" i="24"/>
  <c r="O36" i="24"/>
  <c r="P149" i="25"/>
  <c r="O54" i="25"/>
  <c r="O50" i="25"/>
  <c r="P127" i="26"/>
  <c r="P123" i="26"/>
  <c r="P116" i="26"/>
  <c r="O41" i="27"/>
  <c r="O66" i="28"/>
  <c r="O62" i="28"/>
  <c r="O71" i="29"/>
  <c r="O64" i="29"/>
  <c r="O50" i="29"/>
  <c r="P142" i="30"/>
  <c r="P127" i="30"/>
  <c r="O71" i="30"/>
  <c r="O56" i="30"/>
  <c r="O52" i="30"/>
  <c r="O40" i="30"/>
  <c r="O72" i="32"/>
  <c r="P128" i="33"/>
  <c r="P124" i="33"/>
  <c r="P116" i="33"/>
  <c r="O57" i="34"/>
  <c r="O56" i="35"/>
  <c r="O25" i="35"/>
  <c r="O66" i="41"/>
  <c r="P143" i="43"/>
  <c r="P139" i="43"/>
  <c r="O29" i="44"/>
  <c r="P124" i="45"/>
  <c r="P120" i="45"/>
  <c r="O50" i="45"/>
  <c r="O41" i="62"/>
  <c r="O37" i="69"/>
  <c r="O56" i="79"/>
  <c r="O40" i="79"/>
  <c r="P128" i="91"/>
  <c r="O40" i="19"/>
  <c r="O33" i="20"/>
  <c r="O27" i="22"/>
  <c r="O58" i="28"/>
  <c r="O54" i="28"/>
  <c r="O39" i="28"/>
  <c r="O35" i="28"/>
  <c r="O63" i="29"/>
  <c r="O53" i="29"/>
  <c r="O49" i="29"/>
  <c r="P141" i="30"/>
  <c r="O43" i="30"/>
  <c r="O72" i="31"/>
  <c r="O31" i="31"/>
  <c r="P100" i="33"/>
  <c r="O27" i="33"/>
  <c r="P149" i="41"/>
  <c r="P117" i="41"/>
  <c r="P154" i="42"/>
  <c r="P123" i="42"/>
  <c r="O28" i="43"/>
  <c r="P131" i="45"/>
  <c r="P127" i="45"/>
  <c r="O53" i="45"/>
  <c r="O72" i="17"/>
  <c r="O58" i="17"/>
  <c r="O54" i="17"/>
  <c r="O37" i="17"/>
  <c r="O33" i="17"/>
  <c r="O43" i="18"/>
  <c r="O35" i="18"/>
  <c r="O31" i="18"/>
  <c r="O46" i="24"/>
  <c r="O58" i="26"/>
  <c r="O34" i="70"/>
  <c r="O49" i="73"/>
  <c r="O69" i="3"/>
  <c r="O40" i="3"/>
  <c r="O34" i="18"/>
  <c r="O30" i="18"/>
  <c r="O42" i="20"/>
  <c r="O32" i="21"/>
  <c r="O65" i="22"/>
  <c r="O62" i="22"/>
  <c r="O33" i="22"/>
  <c r="O66" i="23"/>
  <c r="O63" i="24"/>
  <c r="P131" i="25"/>
  <c r="O48" i="25"/>
  <c r="O44" i="25"/>
  <c r="O23" i="25"/>
  <c r="P147" i="26"/>
  <c r="O50" i="26"/>
  <c r="O36" i="26"/>
  <c r="O22" i="26"/>
  <c r="O64" i="27"/>
  <c r="O68" i="28"/>
  <c r="O64" i="28"/>
  <c r="O60" i="28"/>
  <c r="O42" i="28"/>
  <c r="O30" i="28"/>
  <c r="O52" i="29"/>
  <c r="P140" i="30"/>
  <c r="P125" i="30"/>
  <c r="O58" i="30"/>
  <c r="O54" i="30"/>
  <c r="O50" i="30"/>
  <c r="O46" i="30"/>
  <c r="O32" i="30"/>
  <c r="P111" i="31"/>
  <c r="O41" i="31"/>
  <c r="P126" i="33"/>
  <c r="P118" i="33"/>
  <c r="O37" i="33"/>
  <c r="O69" i="35"/>
  <c r="P120" i="41"/>
  <c r="P122" i="42"/>
  <c r="P141" i="43"/>
  <c r="O65" i="43"/>
  <c r="O58" i="43"/>
  <c r="O31" i="43"/>
  <c r="O55" i="44"/>
  <c r="O35" i="44"/>
  <c r="O27" i="44"/>
  <c r="P122" i="45"/>
  <c r="P118" i="45"/>
  <c r="O33" i="45"/>
  <c r="O26" i="45"/>
  <c r="O44" i="56"/>
  <c r="O40" i="56"/>
  <c r="O51" i="77"/>
  <c r="O47" i="77"/>
  <c r="O46" i="78"/>
  <c r="O38" i="78"/>
  <c r="O57" i="33"/>
  <c r="O35" i="33"/>
  <c r="O69" i="34"/>
  <c r="O65" i="34"/>
  <c r="O61" i="34"/>
  <c r="O32" i="34"/>
  <c r="O49" i="39"/>
  <c r="P133" i="41"/>
  <c r="O50" i="41"/>
  <c r="O42" i="42"/>
  <c r="O29" i="43"/>
  <c r="P110" i="44"/>
  <c r="O49" i="45"/>
  <c r="O25" i="46"/>
  <c r="O72" i="57"/>
  <c r="O50" i="63"/>
  <c r="O34" i="62"/>
  <c r="O42" i="60"/>
  <c r="O45" i="64"/>
  <c r="O37" i="65"/>
  <c r="O58" i="76"/>
  <c r="O44" i="77"/>
  <c r="O35" i="78"/>
  <c r="O67" i="32"/>
  <c r="P143" i="33"/>
  <c r="P139" i="33"/>
  <c r="O63" i="33"/>
  <c r="O20" i="33"/>
  <c r="F17" i="33"/>
  <c r="O46" i="34"/>
  <c r="O31" i="41"/>
  <c r="P127" i="42"/>
  <c r="P116" i="42"/>
  <c r="O53" i="42"/>
  <c r="O45" i="42"/>
  <c r="O41" i="42"/>
  <c r="O34" i="42"/>
  <c r="P149" i="43"/>
  <c r="P130" i="43"/>
  <c r="P126" i="43"/>
  <c r="O67" i="43"/>
  <c r="O53" i="43"/>
  <c r="O35" i="43"/>
  <c r="P136" i="44"/>
  <c r="O60" i="44"/>
  <c r="P143" i="45"/>
  <c r="O62" i="45"/>
  <c r="O69" i="46"/>
  <c r="O61" i="46"/>
  <c r="O58" i="46"/>
  <c r="O40" i="46"/>
  <c r="P152" i="53"/>
  <c r="P129" i="53"/>
  <c r="P125" i="53"/>
  <c r="P117" i="53"/>
  <c r="O43" i="53"/>
  <c r="P114" i="56"/>
  <c r="O23" i="61"/>
  <c r="O52" i="64"/>
  <c r="O44" i="65"/>
  <c r="O40" i="65"/>
  <c r="O33" i="66"/>
  <c r="O30" i="69"/>
  <c r="O36" i="77"/>
  <c r="O31" i="78"/>
  <c r="O68" i="97"/>
  <c r="P106" i="99"/>
  <c r="P110" i="99"/>
  <c r="O55" i="39"/>
  <c r="P127" i="41"/>
  <c r="P119" i="41"/>
  <c r="O65" i="41"/>
  <c r="O55" i="41"/>
  <c r="O44" i="41"/>
  <c r="O37" i="41"/>
  <c r="O63" i="43"/>
  <c r="P115" i="44"/>
  <c r="O72" i="45"/>
  <c r="O29" i="45"/>
  <c r="O60" i="46"/>
  <c r="O43" i="46"/>
  <c r="P143" i="53"/>
  <c r="O49" i="54"/>
  <c r="O41" i="54"/>
  <c r="O54" i="68"/>
  <c r="O32" i="76"/>
  <c r="O49" i="78"/>
  <c r="O25" i="79"/>
  <c r="P115" i="84"/>
  <c r="O60" i="31"/>
  <c r="O54" i="32"/>
  <c r="P141" i="33"/>
  <c r="P137" i="33"/>
  <c r="O61" i="33"/>
  <c r="O18" i="33"/>
  <c r="O52" i="34"/>
  <c r="O44" i="34"/>
  <c r="O62" i="39"/>
  <c r="O51" i="41"/>
  <c r="P147" i="42"/>
  <c r="P118" i="42"/>
  <c r="O66" i="42"/>
  <c r="O47" i="42"/>
  <c r="P147" i="43"/>
  <c r="P136" i="43"/>
  <c r="P128" i="43"/>
  <c r="O62" i="43"/>
  <c r="O55" i="43"/>
  <c r="O37" i="43"/>
  <c r="O62" i="44"/>
  <c r="O48" i="44"/>
  <c r="O44" i="44"/>
  <c r="O40" i="44"/>
  <c r="P141" i="45"/>
  <c r="O60" i="45"/>
  <c r="O63" i="46"/>
  <c r="O42" i="46"/>
  <c r="O34" i="46"/>
  <c r="P142" i="53"/>
  <c r="O34" i="55"/>
  <c r="O30" i="55"/>
  <c r="O58" i="57"/>
  <c r="O57" i="59"/>
  <c r="O36" i="61"/>
  <c r="O55" i="62"/>
  <c r="O43" i="66"/>
  <c r="O47" i="71"/>
  <c r="O61" i="77"/>
  <c r="O64" i="78"/>
  <c r="O27" i="92"/>
  <c r="O70" i="95"/>
  <c r="O59" i="54"/>
  <c r="O60" i="55"/>
  <c r="O33" i="55"/>
  <c r="O29" i="55"/>
  <c r="O55" i="56"/>
  <c r="O51" i="56"/>
  <c r="O54" i="57"/>
  <c r="O67" i="59"/>
  <c r="O49" i="61"/>
  <c r="O63" i="66"/>
  <c r="O59" i="66"/>
  <c r="O25" i="66"/>
  <c r="O24" i="67"/>
  <c r="O63" i="69"/>
  <c r="O36" i="69"/>
  <c r="O29" i="69"/>
  <c r="O38" i="73"/>
  <c r="O28" i="73"/>
  <c r="O63" i="75"/>
  <c r="O55" i="75"/>
  <c r="O52" i="75"/>
  <c r="O29" i="75"/>
  <c r="O25" i="75"/>
  <c r="O65" i="76"/>
  <c r="O61" i="76"/>
  <c r="O72" i="77"/>
  <c r="O68" i="77"/>
  <c r="O31" i="77"/>
  <c r="O57" i="99"/>
  <c r="O61" i="99"/>
  <c r="P146" i="53"/>
  <c r="P152" i="54"/>
  <c r="P149" i="54"/>
  <c r="P110" i="54"/>
  <c r="P106" i="54"/>
  <c r="O69" i="54"/>
  <c r="O62" i="54"/>
  <c r="O51" i="54"/>
  <c r="P106" i="56"/>
  <c r="O65" i="56"/>
  <c r="O43" i="56"/>
  <c r="O31" i="56"/>
  <c r="O71" i="57"/>
  <c r="O46" i="59"/>
  <c r="O35" i="59"/>
  <c r="O56" i="61"/>
  <c r="O34" i="61"/>
  <c r="O25" i="61"/>
  <c r="O68" i="60"/>
  <c r="O44" i="60"/>
  <c r="O67" i="64"/>
  <c r="O26" i="65"/>
  <c r="O62" i="70"/>
  <c r="O72" i="71"/>
  <c r="O28" i="71"/>
  <c r="O69" i="78"/>
  <c r="O51" i="78"/>
  <c r="O37" i="78"/>
  <c r="O26" i="78"/>
  <c r="O55" i="79"/>
  <c r="O65" i="80"/>
  <c r="P113" i="88"/>
  <c r="O69" i="88"/>
  <c r="O25" i="90"/>
  <c r="O29" i="91"/>
  <c r="O68" i="92"/>
  <c r="O64" i="92"/>
  <c r="O31" i="95"/>
  <c r="O24" i="100"/>
  <c r="O32" i="100"/>
  <c r="O70" i="100"/>
  <c r="O70" i="64"/>
  <c r="O40" i="64"/>
  <c r="O29" i="64"/>
  <c r="O41" i="66"/>
  <c r="O22" i="68"/>
  <c r="O65" i="70"/>
  <c r="O54" i="73"/>
  <c r="O31" i="73"/>
  <c r="O62" i="75"/>
  <c r="O51" i="75"/>
  <c r="O32" i="75"/>
  <c r="O33" i="84"/>
  <c r="O27" i="88"/>
  <c r="O23" i="88"/>
  <c r="O39" i="90"/>
  <c r="O32" i="90"/>
  <c r="O40" i="91"/>
  <c r="O36" i="91"/>
  <c r="P107" i="92"/>
  <c r="P120" i="98"/>
  <c r="P148" i="53"/>
  <c r="P145" i="53"/>
  <c r="P141" i="53"/>
  <c r="P134" i="53"/>
  <c r="P123" i="53"/>
  <c r="P112" i="53"/>
  <c r="O63" i="53"/>
  <c r="O55" i="53"/>
  <c r="O48" i="53"/>
  <c r="O33" i="53"/>
  <c r="O29" i="53"/>
  <c r="O26" i="53"/>
  <c r="P129" i="54"/>
  <c r="O45" i="55"/>
  <c r="O35" i="55"/>
  <c r="O30" i="56"/>
  <c r="O70" i="57"/>
  <c r="O56" i="57"/>
  <c r="O24" i="61"/>
  <c r="O43" i="60"/>
  <c r="O53" i="65"/>
  <c r="O35" i="65"/>
  <c r="O54" i="66"/>
  <c r="O52" i="67"/>
  <c r="O30" i="67"/>
  <c r="O61" i="69"/>
  <c r="O57" i="70"/>
  <c r="O50" i="70"/>
  <c r="O46" i="70"/>
  <c r="O41" i="71"/>
  <c r="O43" i="72"/>
  <c r="O67" i="73"/>
  <c r="O64" i="73"/>
  <c r="O50" i="73"/>
  <c r="O44" i="73"/>
  <c r="O40" i="78"/>
  <c r="O38" i="79"/>
  <c r="P113" i="54"/>
  <c r="O56" i="62"/>
  <c r="O49" i="62"/>
  <c r="O49" i="64"/>
  <c r="O50" i="75"/>
  <c r="O66" i="77"/>
  <c r="O37" i="77"/>
  <c r="O65" i="79"/>
  <c r="O37" i="79"/>
  <c r="O67" i="80"/>
  <c r="O59" i="84"/>
  <c r="P111" i="53"/>
  <c r="O58" i="53"/>
  <c r="O54" i="53"/>
  <c r="O51" i="53"/>
  <c r="O28" i="53"/>
  <c r="O25" i="53"/>
  <c r="P143" i="54"/>
  <c r="P108" i="54"/>
  <c r="O71" i="54"/>
  <c r="O67" i="54"/>
  <c r="P142" i="56"/>
  <c r="P108" i="56"/>
  <c r="O70" i="56"/>
  <c r="O48" i="56"/>
  <c r="O33" i="56"/>
  <c r="O48" i="57"/>
  <c r="O51" i="59"/>
  <c r="O37" i="59"/>
  <c r="O54" i="61"/>
  <c r="O38" i="62"/>
  <c r="O49" i="60"/>
  <c r="O33" i="60"/>
  <c r="O24" i="64"/>
  <c r="O60" i="65"/>
  <c r="O56" i="65"/>
  <c r="O31" i="65"/>
  <c r="O57" i="66"/>
  <c r="O53" i="66"/>
  <c r="O58" i="67"/>
  <c r="O66" i="68"/>
  <c r="O28" i="68"/>
  <c r="O41" i="69"/>
  <c r="O71" i="70"/>
  <c r="O53" i="70"/>
  <c r="O49" i="70"/>
  <c r="O45" i="70"/>
  <c r="O70" i="73"/>
  <c r="O29" i="73"/>
  <c r="O45" i="74"/>
  <c r="O72" i="75"/>
  <c r="O68" i="75"/>
  <c r="O46" i="75"/>
  <c r="O42" i="75"/>
  <c r="O63" i="76"/>
  <c r="O24" i="76"/>
  <c r="O25" i="77"/>
  <c r="O53" i="78"/>
  <c r="O72" i="79"/>
  <c r="O68" i="79"/>
  <c r="O70" i="80"/>
  <c r="O63" i="80"/>
  <c r="O48" i="80"/>
  <c r="O25" i="81"/>
  <c r="O25" i="83"/>
  <c r="O66" i="84"/>
  <c r="O23" i="85"/>
  <c r="O20" i="86"/>
  <c r="O71" i="90"/>
  <c r="P101" i="91"/>
  <c r="O67" i="95"/>
  <c r="O18" i="95"/>
  <c r="O61" i="97"/>
  <c r="O57" i="83"/>
  <c r="O29" i="85"/>
  <c r="O45" i="95"/>
  <c r="P124" i="99"/>
  <c r="O53" i="100"/>
  <c r="O64" i="100"/>
  <c r="P108" i="100"/>
  <c r="P112" i="100"/>
  <c r="P116" i="100"/>
  <c r="P120" i="100"/>
  <c r="O27" i="81"/>
  <c r="O27" i="89"/>
  <c r="P111" i="91"/>
  <c r="P111" i="95"/>
  <c r="O59" i="96"/>
  <c r="O44" i="96"/>
  <c r="P107" i="99"/>
  <c r="O50" i="100"/>
  <c r="P124" i="100"/>
  <c r="P128" i="100"/>
  <c r="O71" i="81"/>
  <c r="O37" i="81"/>
  <c r="O20" i="81"/>
  <c r="P121" i="84"/>
  <c r="O40" i="85"/>
  <c r="P111" i="88"/>
  <c r="P107" i="88"/>
  <c r="P123" i="92"/>
  <c r="P112" i="92"/>
  <c r="O39" i="92"/>
  <c r="P124" i="95"/>
  <c r="P103" i="95"/>
  <c r="O51" i="95"/>
  <c r="P119" i="96"/>
  <c r="O47" i="96"/>
  <c r="O28" i="96"/>
  <c r="P121" i="97"/>
  <c r="O33" i="97"/>
  <c r="O59" i="99"/>
  <c r="P112" i="99"/>
  <c r="O31" i="85"/>
  <c r="O31" i="13"/>
  <c r="O55" i="82"/>
  <c r="O39" i="82"/>
  <c r="O30" i="84"/>
  <c r="O58" i="87"/>
  <c r="P119" i="92"/>
  <c r="O71" i="95"/>
  <c r="P116" i="99"/>
  <c r="P126" i="99"/>
  <c r="O60" i="80"/>
  <c r="O45" i="80"/>
  <c r="O66" i="82"/>
  <c r="O72" i="83"/>
  <c r="O70" i="84"/>
  <c r="O56" i="84"/>
  <c r="P118" i="86"/>
  <c r="O54" i="87"/>
  <c r="O42" i="87"/>
  <c r="P106" i="88"/>
  <c r="O70" i="89"/>
  <c r="O36" i="90"/>
  <c r="P125" i="91"/>
  <c r="O52" i="91"/>
  <c r="O41" i="91"/>
  <c r="P126" i="92"/>
  <c r="O53" i="92"/>
  <c r="O42" i="95"/>
  <c r="O68" i="96"/>
  <c r="O57" i="96"/>
  <c r="O49" i="96"/>
  <c r="O35" i="97"/>
  <c r="O46" i="13"/>
  <c r="O34" i="13"/>
  <c r="O30" i="13"/>
  <c r="O19" i="13"/>
  <c r="O68" i="99"/>
  <c r="P105" i="99"/>
  <c r="P123" i="99"/>
  <c r="P111" i="100"/>
  <c r="J95" i="33"/>
  <c r="J95" i="32"/>
  <c r="J95" i="100"/>
  <c r="E107" i="20"/>
  <c r="E101" i="78"/>
  <c r="E102" i="67"/>
  <c r="E101" i="75"/>
  <c r="D105" i="55"/>
  <c r="E99" i="99"/>
  <c r="F99" i="99" s="1"/>
  <c r="D100" i="99" s="1"/>
  <c r="M87" i="99"/>
  <c r="O87" i="99" s="1"/>
  <c r="N88" i="99"/>
  <c r="M88" i="99"/>
  <c r="N87" i="99"/>
  <c r="J95" i="42"/>
  <c r="E105" i="55"/>
  <c r="L86" i="99"/>
  <c r="L86" i="61"/>
  <c r="M87" i="61"/>
  <c r="C45" i="29"/>
  <c r="C46" i="29"/>
  <c r="C47" i="29" s="1"/>
  <c r="C48" i="29" s="1"/>
  <c r="C49" i="29" s="1"/>
  <c r="C50" i="29" s="1"/>
  <c r="C51" i="29" s="1"/>
  <c r="C52" i="29" s="1"/>
  <c r="C53" i="29" s="1"/>
  <c r="C54" i="29" s="1"/>
  <c r="C55" i="29" s="1"/>
  <c r="C56" i="29" s="1"/>
  <c r="C57" i="29" s="1"/>
  <c r="C58" i="29" s="1"/>
  <c r="C59" i="29" s="1"/>
  <c r="C60" i="29" s="1"/>
  <c r="C61" i="29" s="1"/>
  <c r="C62" i="29" s="1"/>
  <c r="C63" i="29" s="1"/>
  <c r="C64" i="29" s="1"/>
  <c r="C65" i="29" s="1"/>
  <c r="C66" i="29" s="1"/>
  <c r="C67" i="29" s="1"/>
  <c r="C68" i="29" s="1"/>
  <c r="C69" i="29" s="1"/>
  <c r="C70" i="29" s="1"/>
  <c r="C71" i="29" s="1"/>
  <c r="C72" i="29" s="1"/>
  <c r="M87" i="29"/>
  <c r="O87" i="29" s="1"/>
  <c r="D95" i="29"/>
  <c r="J96" i="29"/>
  <c r="D95" i="19"/>
  <c r="J96" i="19" s="1"/>
  <c r="D95" i="60"/>
  <c r="J96" i="60" s="1"/>
  <c r="D95" i="70"/>
  <c r="J96" i="70" s="1"/>
  <c r="D95" i="97"/>
  <c r="J96" i="97"/>
  <c r="D95" i="44"/>
  <c r="D95" i="62"/>
  <c r="J96" i="62"/>
  <c r="D95" i="17"/>
  <c r="J96" i="17" s="1"/>
  <c r="D95" i="42"/>
  <c r="D95" i="82"/>
  <c r="J96" i="82"/>
  <c r="D95" i="31"/>
  <c r="D95" i="87"/>
  <c r="J96" i="87" s="1"/>
  <c r="D94" i="35"/>
  <c r="D93" i="35"/>
  <c r="O87" i="45"/>
  <c r="C45" i="21"/>
  <c r="C46" i="21" s="1"/>
  <c r="C47" i="21" s="1"/>
  <c r="C48" i="21"/>
  <c r="C49" i="21" s="1"/>
  <c r="C50" i="21" s="1"/>
  <c r="C51" i="21" s="1"/>
  <c r="C52" i="21" s="1"/>
  <c r="C53" i="21" s="1"/>
  <c r="C54" i="21" s="1"/>
  <c r="C55" i="21" s="1"/>
  <c r="C56" i="21"/>
  <c r="C57" i="21" s="1"/>
  <c r="C58" i="21" s="1"/>
  <c r="C59" i="21" s="1"/>
  <c r="C60" i="21" s="1"/>
  <c r="C61" i="21" s="1"/>
  <c r="C62" i="21" s="1"/>
  <c r="C63" i="21" s="1"/>
  <c r="C64" i="21" s="1"/>
  <c r="C65" i="21" s="1"/>
  <c r="C66" i="21" s="1"/>
  <c r="C67" i="21" s="1"/>
  <c r="C68" i="21" s="1"/>
  <c r="C69" i="21" s="1"/>
  <c r="C70" i="21" s="1"/>
  <c r="C71" i="21" s="1"/>
  <c r="C72" i="21" s="1"/>
  <c r="N87" i="21"/>
  <c r="M87" i="21"/>
  <c r="L86" i="88"/>
  <c r="M87" i="88"/>
  <c r="O87" i="88" s="1"/>
  <c r="O70" i="3"/>
  <c r="O22" i="17"/>
  <c r="P118" i="19"/>
  <c r="O46" i="19"/>
  <c r="P140" i="3"/>
  <c r="O68" i="18"/>
  <c r="P103" i="19"/>
  <c r="O23" i="19"/>
  <c r="P111" i="3"/>
  <c r="P102" i="20"/>
  <c r="O18" i="18"/>
  <c r="O22" i="19"/>
  <c r="P132" i="17"/>
  <c r="O19" i="18"/>
  <c r="N87" i="19"/>
  <c r="P134" i="3"/>
  <c r="P102" i="3"/>
  <c r="P106" i="17"/>
  <c r="P106" i="18"/>
  <c r="P115" i="19"/>
  <c r="C45" i="32"/>
  <c r="C46" i="32" s="1"/>
  <c r="C47" i="32" s="1"/>
  <c r="C48" i="32" s="1"/>
  <c r="C49" i="32"/>
  <c r="C50" i="32" s="1"/>
  <c r="C51" i="32" s="1"/>
  <c r="C52" i="32" s="1"/>
  <c r="C53" i="32" s="1"/>
  <c r="C54" i="32" s="1"/>
  <c r="C55" i="32" s="1"/>
  <c r="C56" i="32" s="1"/>
  <c r="C57" i="32" s="1"/>
  <c r="C58" i="32" s="1"/>
  <c r="C59" i="32" s="1"/>
  <c r="C60" i="32" s="1"/>
  <c r="C61" i="32" s="1"/>
  <c r="C62" i="32" s="1"/>
  <c r="C63" i="32" s="1"/>
  <c r="C64" i="32" s="1"/>
  <c r="C65" i="32" s="1"/>
  <c r="C66" i="32" s="1"/>
  <c r="C67" i="32" s="1"/>
  <c r="C68" i="32" s="1"/>
  <c r="C69" i="32" s="1"/>
  <c r="C70" i="32" s="1"/>
  <c r="C71" i="32" s="1"/>
  <c r="C72" i="32" s="1"/>
  <c r="N87" i="32"/>
  <c r="O87" i="32" s="1"/>
  <c r="M87" i="32"/>
  <c r="O49" i="3"/>
  <c r="P101" i="22"/>
  <c r="O22" i="23"/>
  <c r="O25" i="24"/>
  <c r="O65" i="25"/>
  <c r="O34" i="25"/>
  <c r="P129" i="28"/>
  <c r="O70" i="28"/>
  <c r="P129" i="29"/>
  <c r="L86" i="56"/>
  <c r="P137" i="21"/>
  <c r="P106" i="21"/>
  <c r="O28" i="21"/>
  <c r="O69" i="22"/>
  <c r="O18" i="22"/>
  <c r="P150" i="23"/>
  <c r="P104" i="23"/>
  <c r="O33" i="23"/>
  <c r="P130" i="24"/>
  <c r="O20" i="26"/>
  <c r="P105" i="27"/>
  <c r="O32" i="27"/>
  <c r="O20" i="27"/>
  <c r="O32" i="28"/>
  <c r="P140" i="29"/>
  <c r="P121" i="22"/>
  <c r="O55" i="22"/>
  <c r="P142" i="23"/>
  <c r="P133" i="24"/>
  <c r="P154" i="27"/>
  <c r="O65" i="29"/>
  <c r="P104" i="32"/>
  <c r="P104" i="20"/>
  <c r="O60" i="20"/>
  <c r="O25" i="22"/>
  <c r="O21" i="22"/>
  <c r="P117" i="23"/>
  <c r="O63" i="20"/>
  <c r="P145" i="21"/>
  <c r="O66" i="21"/>
  <c r="P150" i="22"/>
  <c r="P147" i="22"/>
  <c r="P100" i="22"/>
  <c r="P112" i="25"/>
  <c r="O46" i="25"/>
  <c r="P105" i="29"/>
  <c r="P134" i="20"/>
  <c r="P119" i="20"/>
  <c r="O45" i="20"/>
  <c r="P135" i="22"/>
  <c r="O39" i="22"/>
  <c r="P147" i="24"/>
  <c r="P118" i="24"/>
  <c r="O28" i="25"/>
  <c r="O69" i="26"/>
  <c r="O25" i="26"/>
  <c r="P106" i="27"/>
  <c r="O38" i="27"/>
  <c r="P153" i="28"/>
  <c r="P115" i="28"/>
  <c r="P105" i="28"/>
  <c r="O56" i="28"/>
  <c r="P123" i="29"/>
  <c r="P100" i="29"/>
  <c r="O54" i="29"/>
  <c r="O33" i="29"/>
  <c r="O23" i="29"/>
  <c r="O21" i="41"/>
  <c r="O22" i="32"/>
  <c r="P104" i="39"/>
  <c r="P101" i="39"/>
  <c r="O72" i="30"/>
  <c r="P131" i="32"/>
  <c r="P107" i="32"/>
  <c r="O71" i="32"/>
  <c r="P134" i="32"/>
  <c r="P153" i="33"/>
  <c r="O53" i="31"/>
  <c r="P137" i="32"/>
  <c r="O22" i="34"/>
  <c r="P99" i="39"/>
  <c r="O17" i="39"/>
  <c r="O63" i="30"/>
  <c r="O22" i="30"/>
  <c r="P115" i="32"/>
  <c r="O26" i="33"/>
  <c r="P143" i="39"/>
  <c r="P152" i="42"/>
  <c r="O60" i="42"/>
  <c r="O19" i="44"/>
  <c r="P145" i="45"/>
  <c r="O22" i="45"/>
  <c r="P103" i="46"/>
  <c r="O21" i="55"/>
  <c r="O19" i="55"/>
  <c r="P103" i="56"/>
  <c r="O20" i="56"/>
  <c r="O17" i="41"/>
  <c r="P143" i="42"/>
  <c r="O19" i="42"/>
  <c r="O26" i="43"/>
  <c r="P107" i="45"/>
  <c r="P119" i="46"/>
  <c r="P115" i="54"/>
  <c r="O63" i="54"/>
  <c r="O20" i="54"/>
  <c r="P100" i="56"/>
  <c r="O64" i="56"/>
  <c r="O50" i="56"/>
  <c r="O68" i="43"/>
  <c r="P139" i="45"/>
  <c r="P114" i="45"/>
  <c r="O35" i="46"/>
  <c r="P139" i="53"/>
  <c r="P121" i="53"/>
  <c r="O45" i="54"/>
  <c r="P109" i="56"/>
  <c r="O39" i="56"/>
  <c r="P102" i="43"/>
  <c r="O71" i="43"/>
  <c r="O60" i="43"/>
  <c r="P104" i="44"/>
  <c r="P142" i="45"/>
  <c r="O49" i="46"/>
  <c r="O42" i="53"/>
  <c r="O31" i="53"/>
  <c r="O49" i="55"/>
  <c r="O32" i="55"/>
  <c r="O17" i="55"/>
  <c r="P112" i="56"/>
  <c r="P138" i="58"/>
  <c r="P108" i="59"/>
  <c r="O65" i="60"/>
  <c r="O38" i="64"/>
  <c r="O26" i="63"/>
  <c r="P126" i="59"/>
  <c r="O36" i="59"/>
  <c r="O71" i="61"/>
  <c r="O57" i="61"/>
  <c r="O72" i="62"/>
  <c r="P116" i="57"/>
  <c r="O41" i="58"/>
  <c r="O42" i="59"/>
  <c r="P115" i="61"/>
  <c r="O46" i="63"/>
  <c r="P116" i="62"/>
  <c r="P145" i="57"/>
  <c r="P102" i="57"/>
  <c r="P102" i="58"/>
  <c r="O45" i="59"/>
  <c r="O59" i="61"/>
  <c r="O41" i="61"/>
  <c r="P121" i="63"/>
  <c r="P116" i="60"/>
  <c r="P112" i="60"/>
  <c r="P119" i="67"/>
  <c r="P99" i="67"/>
  <c r="O20" i="67"/>
  <c r="P100" i="62"/>
  <c r="O48" i="63"/>
  <c r="O24" i="63"/>
  <c r="O36" i="62"/>
  <c r="P100" i="66"/>
  <c r="O20" i="66"/>
  <c r="P100" i="67"/>
  <c r="O17" i="67"/>
  <c r="P100" i="68"/>
  <c r="O24" i="70"/>
  <c r="O20" i="70"/>
  <c r="O72" i="63"/>
  <c r="O39" i="62"/>
  <c r="O18" i="65"/>
  <c r="P107" i="69"/>
  <c r="O59" i="69"/>
  <c r="P108" i="70"/>
  <c r="O43" i="63"/>
  <c r="P113" i="62"/>
  <c r="O42" i="62"/>
  <c r="P106" i="60"/>
  <c r="P109" i="67"/>
  <c r="C100" i="70"/>
  <c r="C101" i="70"/>
  <c r="C102" i="70" s="1"/>
  <c r="C103" i="70"/>
  <c r="C104" i="70" s="1"/>
  <c r="C105" i="70" s="1"/>
  <c r="C106" i="70" s="1"/>
  <c r="C107" i="70" s="1"/>
  <c r="C108" i="70" s="1"/>
  <c r="C109" i="70" s="1"/>
  <c r="C110" i="70" s="1"/>
  <c r="C111" i="70" s="1"/>
  <c r="C112" i="70"/>
  <c r="C113" i="70" s="1"/>
  <c r="C114" i="70" s="1"/>
  <c r="C115" i="70" s="1"/>
  <c r="C116" i="70" s="1"/>
  <c r="C117" i="70" s="1"/>
  <c r="C118" i="70" s="1"/>
  <c r="C119" i="70" s="1"/>
  <c r="C120" i="70" s="1"/>
  <c r="C121" i="70" s="1"/>
  <c r="C122" i="70" s="1"/>
  <c r="C123" i="70" s="1"/>
  <c r="C124" i="70" s="1"/>
  <c r="C125" i="70" s="1"/>
  <c r="C126" i="70" s="1"/>
  <c r="O28" i="75"/>
  <c r="P101" i="76"/>
  <c r="P110" i="72"/>
  <c r="O47" i="75"/>
  <c r="O53" i="71"/>
  <c r="P113" i="72"/>
  <c r="O20" i="73"/>
  <c r="O28" i="74"/>
  <c r="O19" i="74"/>
  <c r="O31" i="75"/>
  <c r="P105" i="75"/>
  <c r="P107" i="76"/>
  <c r="O55" i="76"/>
  <c r="O17" i="73"/>
  <c r="P106" i="74"/>
  <c r="P99" i="79"/>
  <c r="O69" i="77"/>
  <c r="O65" i="77"/>
  <c r="P128" i="79"/>
  <c r="P121" i="80"/>
  <c r="P124" i="80"/>
  <c r="O64" i="80"/>
  <c r="O28" i="81"/>
  <c r="O71" i="77"/>
  <c r="O42" i="77"/>
  <c r="O17" i="81"/>
  <c r="P109" i="77"/>
  <c r="O44" i="78"/>
  <c r="O33" i="78"/>
  <c r="O37" i="80"/>
  <c r="O49" i="83"/>
  <c r="O45" i="84"/>
  <c r="P120" i="85"/>
  <c r="O17" i="85"/>
  <c r="P111" i="82"/>
  <c r="O49" i="82"/>
  <c r="O52" i="83"/>
  <c r="P100" i="84"/>
  <c r="O72" i="84"/>
  <c r="O51" i="84"/>
  <c r="O71" i="82"/>
  <c r="P127" i="83"/>
  <c r="O23" i="83"/>
  <c r="P125" i="84"/>
  <c r="P103" i="84"/>
  <c r="O18" i="84"/>
  <c r="O63" i="85"/>
  <c r="O41" i="85"/>
  <c r="O29" i="83"/>
  <c r="O57" i="84"/>
  <c r="P129" i="85"/>
  <c r="P111" i="85"/>
  <c r="O47" i="85"/>
  <c r="P107" i="83"/>
  <c r="P128" i="84"/>
  <c r="O63" i="84"/>
  <c r="P112" i="91"/>
  <c r="O59" i="88"/>
  <c r="O17" i="88"/>
  <c r="O26" i="88"/>
  <c r="O33" i="90"/>
  <c r="O44" i="95"/>
  <c r="O27" i="96"/>
  <c r="P100" i="99"/>
  <c r="O45" i="92"/>
  <c r="P121" i="96"/>
  <c r="O30" i="96"/>
  <c r="P122" i="97"/>
  <c r="O53" i="97"/>
  <c r="O37" i="97"/>
  <c r="P127" i="13"/>
  <c r="P130" i="96"/>
  <c r="O70" i="96"/>
  <c r="P125" i="97"/>
  <c r="O29" i="97"/>
  <c r="O53" i="98"/>
  <c r="P130" i="13"/>
  <c r="O32" i="99"/>
  <c r="O22" i="92"/>
  <c r="P105" i="96"/>
  <c r="O55" i="96"/>
  <c r="O58" i="13"/>
  <c r="O36" i="92"/>
  <c r="O34" i="95"/>
  <c r="O65" i="97"/>
  <c r="P125" i="98"/>
  <c r="O28" i="30"/>
  <c r="O20" i="79"/>
  <c r="O38" i="99"/>
  <c r="P99" i="99"/>
  <c r="O57" i="100"/>
  <c r="O26" i="19"/>
  <c r="O29" i="28"/>
  <c r="O20" i="75"/>
  <c r="O25" i="74"/>
  <c r="O62" i="100"/>
  <c r="C129" i="13"/>
  <c r="C130" i="13" s="1"/>
  <c r="C131" i="13" s="1"/>
  <c r="C132" i="13" s="1"/>
  <c r="C133" i="13" s="1"/>
  <c r="C134" i="13" s="1"/>
  <c r="C135" i="13" s="1"/>
  <c r="C136" i="13" s="1"/>
  <c r="C137" i="13" s="1"/>
  <c r="C138" i="13" s="1"/>
  <c r="C139" i="13" s="1"/>
  <c r="C140" i="13" s="1"/>
  <c r="C141" i="13" s="1"/>
  <c r="C142" i="13" s="1"/>
  <c r="C143" i="13" s="1"/>
  <c r="C144" i="13" s="1"/>
  <c r="C145" i="13"/>
  <c r="C146" i="13" s="1"/>
  <c r="C147" i="13" s="1"/>
  <c r="C148" i="13" s="1"/>
  <c r="C149" i="13" s="1"/>
  <c r="C150" i="13" s="1"/>
  <c r="C151" i="13" s="1"/>
  <c r="C152" i="13" s="1"/>
  <c r="C153" i="13" s="1"/>
  <c r="C154" i="13" s="1"/>
  <c r="C100" i="13"/>
  <c r="C101" i="13"/>
  <c r="C102" i="13" s="1"/>
  <c r="C103" i="13" s="1"/>
  <c r="C104" i="13" s="1"/>
  <c r="C105" i="13" s="1"/>
  <c r="C106" i="13" s="1"/>
  <c r="C107" i="13" s="1"/>
  <c r="C108" i="13" s="1"/>
  <c r="C109" i="13" s="1"/>
  <c r="C110" i="13" s="1"/>
  <c r="C111" i="13" s="1"/>
  <c r="C112" i="13" s="1"/>
  <c r="C113" i="13" s="1"/>
  <c r="C114" i="13" s="1"/>
  <c r="C115" i="13" s="1"/>
  <c r="C116" i="13" s="1"/>
  <c r="C117" i="13" s="1"/>
  <c r="C118" i="13" s="1"/>
  <c r="C119" i="13" s="1"/>
  <c r="C120" i="13" s="1"/>
  <c r="C121" i="13" s="1"/>
  <c r="C122" i="13" s="1"/>
  <c r="C123" i="13" s="1"/>
  <c r="C124" i="13" s="1"/>
  <c r="C125" i="13" s="1"/>
  <c r="C126" i="13" s="1"/>
  <c r="C127" i="13" s="1"/>
  <c r="C128" i="13" s="1"/>
  <c r="O26" i="17"/>
  <c r="O27" i="34"/>
  <c r="O20" i="78"/>
  <c r="O48" i="99"/>
  <c r="O22" i="100"/>
  <c r="O36" i="100"/>
  <c r="O40" i="100"/>
  <c r="O63" i="100"/>
  <c r="O23" i="58"/>
  <c r="I13" i="25"/>
  <c r="H17" i="25" s="1"/>
  <c r="G17" i="25"/>
  <c r="C99" i="35"/>
  <c r="C100" i="35" s="1"/>
  <c r="C101" i="35" s="1"/>
  <c r="C102" i="35" s="1"/>
  <c r="C103" i="35" s="1"/>
  <c r="C104" i="35" s="1"/>
  <c r="C105" i="35" s="1"/>
  <c r="C106" i="35" s="1"/>
  <c r="C107" i="35" s="1"/>
  <c r="C108" i="35" s="1"/>
  <c r="C109" i="35" s="1"/>
  <c r="C110" i="35" s="1"/>
  <c r="C111" i="35" s="1"/>
  <c r="C112" i="35" s="1"/>
  <c r="C113" i="35" s="1"/>
  <c r="C114" i="35" s="1"/>
  <c r="C115" i="35" s="1"/>
  <c r="C116" i="35" s="1"/>
  <c r="C117" i="35" s="1"/>
  <c r="C118" i="35" s="1"/>
  <c r="C119" i="35" s="1"/>
  <c r="C120" i="35" s="1"/>
  <c r="C121" i="35" s="1"/>
  <c r="C122" i="35" s="1"/>
  <c r="C123" i="35" s="1"/>
  <c r="C124" i="35" s="1"/>
  <c r="C125" i="35" s="1"/>
  <c r="C126" i="35" s="1"/>
  <c r="C127" i="35" s="1"/>
  <c r="C128" i="35" s="1"/>
  <c r="C129" i="35" s="1"/>
  <c r="C130" i="35" s="1"/>
  <c r="C131" i="35" s="1"/>
  <c r="C132" i="35" s="1"/>
  <c r="C133" i="35" s="1"/>
  <c r="C134" i="35" s="1"/>
  <c r="C135" i="35" s="1"/>
  <c r="C136" i="35" s="1"/>
  <c r="C137" i="35" s="1"/>
  <c r="C138" i="35" s="1"/>
  <c r="C139" i="35" s="1"/>
  <c r="C140" i="35" s="1"/>
  <c r="C141" i="35" s="1"/>
  <c r="C142" i="35" s="1"/>
  <c r="C143" i="35" s="1"/>
  <c r="C144" i="35" s="1"/>
  <c r="C145" i="35" s="1"/>
  <c r="C146" i="35" s="1"/>
  <c r="C147" i="35" s="1"/>
  <c r="C148" i="35" s="1"/>
  <c r="C149" i="35" s="1"/>
  <c r="C150" i="35" s="1"/>
  <c r="C151" i="35" s="1"/>
  <c r="C152" i="35" s="1"/>
  <c r="C153" i="35" s="1"/>
  <c r="C154" i="35" s="1"/>
  <c r="E103" i="62"/>
  <c r="F103" i="62" s="1"/>
  <c r="H104" i="55"/>
  <c r="I104" i="55"/>
  <c r="F101" i="75"/>
  <c r="F101" i="78"/>
  <c r="E109" i="70"/>
  <c r="F107" i="20"/>
  <c r="E100" i="82"/>
  <c r="E109" i="29"/>
  <c r="F102" i="67"/>
  <c r="G102" i="67" s="1"/>
  <c r="E107" i="17"/>
  <c r="F107" i="17" s="1"/>
  <c r="G99" i="99"/>
  <c r="D103" i="67"/>
  <c r="F100" i="82"/>
  <c r="D102" i="75"/>
  <c r="G101" i="75"/>
  <c r="E102" i="75"/>
  <c r="D108" i="20"/>
  <c r="F108" i="20" s="1"/>
  <c r="G107" i="20"/>
  <c r="E108" i="20"/>
  <c r="F109" i="70"/>
  <c r="J104" i="55"/>
  <c r="F109" i="29"/>
  <c r="H107" i="20"/>
  <c r="I107" i="20"/>
  <c r="J107" i="20" s="1"/>
  <c r="H101" i="75"/>
  <c r="I101" i="75"/>
  <c r="J101" i="75" s="1"/>
  <c r="D110" i="70"/>
  <c r="G109" i="70"/>
  <c r="H109" i="70" s="1"/>
  <c r="M88" i="70" s="1"/>
  <c r="M89" i="70" s="1"/>
  <c r="E110" i="70"/>
  <c r="D108" i="17"/>
  <c r="G107" i="17"/>
  <c r="E108" i="17"/>
  <c r="F108" i="17" s="1"/>
  <c r="G103" i="62"/>
  <c r="D104" i="62"/>
  <c r="E104" i="62"/>
  <c r="D110" i="29"/>
  <c r="G109" i="29"/>
  <c r="E110" i="29"/>
  <c r="I102" i="67"/>
  <c r="H102" i="67"/>
  <c r="J102" i="67" s="1"/>
  <c r="G100" i="82"/>
  <c r="D101" i="82"/>
  <c r="E101" i="82"/>
  <c r="B103" i="67"/>
  <c r="H109" i="29"/>
  <c r="J109" i="29" s="1"/>
  <c r="I109" i="29"/>
  <c r="B110" i="29"/>
  <c r="H103" i="62"/>
  <c r="H107" i="17"/>
  <c r="I107" i="17"/>
  <c r="B108" i="17"/>
  <c r="I109" i="70"/>
  <c r="F110" i="70"/>
  <c r="D111" i="70" s="1"/>
  <c r="B110" i="70"/>
  <c r="I100" i="82"/>
  <c r="J100" i="82" s="1"/>
  <c r="H100" i="82"/>
  <c r="M89" i="13"/>
  <c r="O87" i="13"/>
  <c r="O87" i="98"/>
  <c r="M89" i="97"/>
  <c r="O88" i="97"/>
  <c r="D93" i="67"/>
  <c r="C99" i="67" s="1"/>
  <c r="C100" i="67" s="1"/>
  <c r="C101" i="67" s="1"/>
  <c r="C102" i="67" s="1"/>
  <c r="D94" i="67"/>
  <c r="G17" i="99"/>
  <c r="N5" i="99" s="1"/>
  <c r="H17" i="99"/>
  <c r="N6" i="99" s="1"/>
  <c r="D18" i="99"/>
  <c r="O87" i="68"/>
  <c r="O55" i="3"/>
  <c r="O33" i="19"/>
  <c r="O66" i="27"/>
  <c r="B18" i="13"/>
  <c r="E18" i="13"/>
  <c r="F18" i="13" s="1"/>
  <c r="C100" i="41"/>
  <c r="C101" i="41" s="1"/>
  <c r="C102" i="41" s="1"/>
  <c r="C103" i="41" s="1"/>
  <c r="C104" i="41" s="1"/>
  <c r="C105" i="41" s="1"/>
  <c r="C106" i="41" s="1"/>
  <c r="C107" i="41" s="1"/>
  <c r="C108" i="41" s="1"/>
  <c r="C109" i="41" s="1"/>
  <c r="C110" i="41" s="1"/>
  <c r="C111" i="41" s="1"/>
  <c r="C112" i="41" s="1"/>
  <c r="C113" i="41" s="1"/>
  <c r="C114" i="41" s="1"/>
  <c r="C115" i="41" s="1"/>
  <c r="C116" i="41" s="1"/>
  <c r="C117" i="41" s="1"/>
  <c r="C118" i="41" s="1"/>
  <c r="C119" i="41" s="1"/>
  <c r="C120" i="41" s="1"/>
  <c r="C121" i="41" s="1"/>
  <c r="C122" i="41" s="1"/>
  <c r="C123" i="41" s="1"/>
  <c r="C124" i="41" s="1"/>
  <c r="C125" i="41" s="1"/>
  <c r="C126" i="41" s="1"/>
  <c r="O58" i="21"/>
  <c r="P106" i="33"/>
  <c r="O68" i="54"/>
  <c r="O71" i="58"/>
  <c r="O39" i="64"/>
  <c r="P112" i="33"/>
  <c r="O55" i="33"/>
  <c r="O31" i="35"/>
  <c r="O36" i="39"/>
  <c r="O69" i="63"/>
  <c r="O28" i="63"/>
  <c r="P149" i="33"/>
  <c r="O71" i="60"/>
  <c r="O40" i="35"/>
  <c r="O70" i="61"/>
  <c r="P129" i="33"/>
  <c r="P123" i="41"/>
  <c r="O58" i="54"/>
  <c r="O32" i="69"/>
  <c r="O27" i="73"/>
  <c r="P123" i="90"/>
  <c r="O22" i="65"/>
  <c r="O66" i="66"/>
  <c r="O47" i="70"/>
  <c r="O48" i="83"/>
  <c r="P123" i="84"/>
  <c r="P100" i="88"/>
  <c r="P119" i="90"/>
  <c r="O26" i="90"/>
  <c r="O30" i="99"/>
  <c r="O50" i="69"/>
  <c r="O42" i="79"/>
  <c r="O21" i="85"/>
  <c r="O67" i="100"/>
  <c r="O36" i="65"/>
  <c r="O71" i="73"/>
  <c r="O21" i="76"/>
  <c r="O52" i="77"/>
  <c r="O51" i="81"/>
  <c r="O26" i="84"/>
  <c r="P125" i="90"/>
  <c r="P100" i="91"/>
  <c r="O42" i="100"/>
  <c r="O60" i="100"/>
  <c r="O62" i="88"/>
  <c r="O42" i="88"/>
  <c r="O68" i="100"/>
  <c r="P102" i="100"/>
  <c r="O26" i="82"/>
  <c r="O49" i="86"/>
  <c r="P104" i="87"/>
  <c r="O67" i="66"/>
  <c r="P120" i="90"/>
  <c r="O63" i="99"/>
  <c r="P108" i="99"/>
  <c r="O65" i="100"/>
  <c r="B18" i="99"/>
  <c r="C103" i="67"/>
  <c r="C104" i="67" s="1"/>
  <c r="C105" i="67" s="1"/>
  <c r="C106" i="67" s="1"/>
  <c r="C107" i="67" s="1"/>
  <c r="C108" i="67" s="1"/>
  <c r="C109" i="67" s="1"/>
  <c r="C110" i="67" s="1"/>
  <c r="C111" i="67" s="1"/>
  <c r="C112" i="67" s="1"/>
  <c r="C113" i="67" s="1"/>
  <c r="C114" i="67" s="1"/>
  <c r="C115" i="67" s="1"/>
  <c r="C116" i="67" s="1"/>
  <c r="C117" i="67" s="1"/>
  <c r="C118" i="67" s="1"/>
  <c r="C119" i="67" s="1"/>
  <c r="C120" i="67" s="1"/>
  <c r="C121" i="67" s="1"/>
  <c r="C122" i="67" s="1"/>
  <c r="C123" i="67" s="1"/>
  <c r="C124" i="67" s="1"/>
  <c r="C125" i="67" s="1"/>
  <c r="C126" i="67" s="1"/>
  <c r="N89" i="99"/>
  <c r="H99" i="99"/>
  <c r="C105" i="28"/>
  <c r="C106" i="28" s="1"/>
  <c r="C107" i="28" s="1"/>
  <c r="C108" i="28" s="1"/>
  <c r="C109" i="28" s="1"/>
  <c r="C110" i="28" s="1"/>
  <c r="C111" i="28" s="1"/>
  <c r="C112" i="28" s="1"/>
  <c r="C113" i="28" s="1"/>
  <c r="C114" i="28" s="1"/>
  <c r="C115" i="28" s="1"/>
  <c r="C116" i="28" s="1"/>
  <c r="C117" i="28" s="1"/>
  <c r="C118" i="28" s="1"/>
  <c r="C119" i="28" s="1"/>
  <c r="C120" i="28" s="1"/>
  <c r="C121" i="28" s="1"/>
  <c r="C122" i="28" s="1"/>
  <c r="C123" i="28" s="1"/>
  <c r="C124" i="28" s="1"/>
  <c r="C125" i="28" s="1"/>
  <c r="C126" i="28" s="1"/>
  <c r="C127" i="28" s="1"/>
  <c r="C128" i="28" s="1"/>
  <c r="C129" i="28" s="1"/>
  <c r="C130" i="28" s="1"/>
  <c r="C131" i="28" s="1"/>
  <c r="C132" i="28" s="1"/>
  <c r="C133" i="28" s="1"/>
  <c r="C134" i="28" s="1"/>
  <c r="C135" i="28" s="1"/>
  <c r="C136" i="28" s="1"/>
  <c r="C137" i="28" s="1"/>
  <c r="C138" i="28" s="1"/>
  <c r="C139" i="28" s="1"/>
  <c r="C140" i="28" s="1"/>
  <c r="C141" i="28" s="1"/>
  <c r="C142" i="28" s="1"/>
  <c r="C143" i="28" s="1"/>
  <c r="C144" i="28" s="1"/>
  <c r="C145" i="28" s="1"/>
  <c r="C146" i="28" s="1"/>
  <c r="C147" i="28" s="1"/>
  <c r="C148" i="28" s="1"/>
  <c r="C149" i="28" s="1"/>
  <c r="C150" i="28" s="1"/>
  <c r="C151" i="28" s="1"/>
  <c r="C152" i="28" s="1"/>
  <c r="C153" i="28" s="1"/>
  <c r="C154" i="28" s="1"/>
  <c r="E13" i="36"/>
  <c r="H3" i="36"/>
  <c r="D94" i="29"/>
  <c r="D93" i="29"/>
  <c r="D94" i="28"/>
  <c r="P99" i="96"/>
  <c r="C99" i="34"/>
  <c r="C100" i="34" s="1"/>
  <c r="C101" i="34" s="1"/>
  <c r="C102" i="34" s="1"/>
  <c r="C103" i="34" s="1"/>
  <c r="C104" i="34" s="1"/>
  <c r="C105" i="34" s="1"/>
  <c r="C106" i="34" s="1"/>
  <c r="C107" i="34" s="1"/>
  <c r="C108" i="34" s="1"/>
  <c r="C109" i="34" s="1"/>
  <c r="C110" i="34" s="1"/>
  <c r="C111" i="34" s="1"/>
  <c r="C112" i="34" s="1"/>
  <c r="C113" i="34" s="1"/>
  <c r="C114" i="34" s="1"/>
  <c r="C115" i="34" s="1"/>
  <c r="C116" i="34" s="1"/>
  <c r="C117" i="34" s="1"/>
  <c r="C118" i="34" s="1"/>
  <c r="C119" i="34" s="1"/>
  <c r="C120" i="34" s="1"/>
  <c r="C121" i="34" s="1"/>
  <c r="C122" i="34" s="1"/>
  <c r="C123" i="34" s="1"/>
  <c r="C124" i="34" s="1"/>
  <c r="C125" i="34" s="1"/>
  <c r="C126" i="34" s="1"/>
  <c r="I13" i="35"/>
  <c r="D93" i="88"/>
  <c r="C99" i="88" s="1"/>
  <c r="D99" i="88" s="1"/>
  <c r="O87" i="66"/>
  <c r="P99" i="88"/>
  <c r="O87" i="46"/>
  <c r="N89" i="95"/>
  <c r="O87" i="77"/>
  <c r="O87" i="41"/>
  <c r="O38" i="18"/>
  <c r="O59" i="19"/>
  <c r="O40" i="21"/>
  <c r="O72" i="23"/>
  <c r="P140" i="25"/>
  <c r="P129" i="26"/>
  <c r="O28" i="26"/>
  <c r="P118" i="30"/>
  <c r="O61" i="30"/>
  <c r="O36" i="30"/>
  <c r="O53" i="32"/>
  <c r="O32" i="32"/>
  <c r="O58" i="22"/>
  <c r="O28" i="24"/>
  <c r="P150" i="26"/>
  <c r="O38" i="26"/>
  <c r="O60" i="33"/>
  <c r="O66" i="34"/>
  <c r="O60" i="34"/>
  <c r="O30" i="35"/>
  <c r="P150" i="42"/>
  <c r="O57" i="43"/>
  <c r="O59" i="44"/>
  <c r="O67" i="58"/>
  <c r="O29" i="60"/>
  <c r="O69" i="64"/>
  <c r="O63" i="64"/>
  <c r="P108" i="33"/>
  <c r="O44" i="33"/>
  <c r="O63" i="34"/>
  <c r="O30" i="39"/>
  <c r="P153" i="42"/>
  <c r="O67" i="45"/>
  <c r="P136" i="53"/>
  <c r="O71" i="59"/>
  <c r="O66" i="64"/>
  <c r="O59" i="67"/>
  <c r="O43" i="70"/>
  <c r="O64" i="75"/>
  <c r="O52" i="78"/>
  <c r="O50" i="79"/>
  <c r="O28" i="67"/>
  <c r="O52" i="73"/>
  <c r="O37" i="73"/>
  <c r="O47" i="76"/>
  <c r="O43" i="76"/>
  <c r="O35" i="76"/>
  <c r="O62" i="81"/>
  <c r="O33" i="81"/>
  <c r="O65" i="83"/>
  <c r="O68" i="84"/>
  <c r="O32" i="84"/>
  <c r="P114" i="90"/>
  <c r="O67" i="96"/>
  <c r="O65" i="96"/>
  <c r="O18" i="97"/>
  <c r="O52" i="99"/>
  <c r="O58" i="99"/>
  <c r="P103" i="99"/>
  <c r="O47" i="81"/>
  <c r="O34" i="81"/>
  <c r="O66" i="83"/>
  <c r="P119" i="84"/>
  <c r="P113" i="84"/>
  <c r="O50" i="84"/>
  <c r="O53" i="85"/>
  <c r="P127" i="88"/>
  <c r="P118" i="91"/>
  <c r="O69" i="91"/>
  <c r="O65" i="91"/>
  <c r="O61" i="91"/>
  <c r="O57" i="91"/>
  <c r="P118" i="95"/>
  <c r="O60" i="95"/>
  <c r="O18" i="98"/>
  <c r="O22" i="99"/>
  <c r="O20" i="100"/>
  <c r="P114" i="87"/>
  <c r="P110" i="87"/>
  <c r="O60" i="88"/>
  <c r="P114" i="89"/>
  <c r="O69" i="89"/>
  <c r="O67" i="89"/>
  <c r="O58" i="89"/>
  <c r="O49" i="90"/>
  <c r="O45" i="90"/>
  <c r="O34" i="90"/>
  <c r="O19" i="90"/>
  <c r="P125" i="95"/>
  <c r="P101" i="95"/>
  <c r="P124" i="96"/>
  <c r="P114" i="96"/>
  <c r="O51" i="97"/>
  <c r="P124" i="98"/>
  <c r="P122" i="98"/>
  <c r="C99" i="29"/>
  <c r="C100" i="29" s="1"/>
  <c r="C101" i="29" s="1"/>
  <c r="C102" i="29" s="1"/>
  <c r="C103" i="29" s="1"/>
  <c r="C104" i="29" s="1"/>
  <c r="C105" i="29" s="1"/>
  <c r="C106" i="29" s="1"/>
  <c r="C107" i="29" s="1"/>
  <c r="C108" i="29" s="1"/>
  <c r="C109" i="29" s="1"/>
  <c r="C110" i="29" s="1"/>
  <c r="C111" i="29" s="1"/>
  <c r="C112" i="29" s="1"/>
  <c r="C113" i="29" s="1"/>
  <c r="C114" i="29" s="1"/>
  <c r="C115" i="29" s="1"/>
  <c r="C116" i="29" s="1"/>
  <c r="C117" i="29" s="1"/>
  <c r="C118" i="29" s="1"/>
  <c r="C119" i="29" s="1"/>
  <c r="C120" i="29" s="1"/>
  <c r="C121" i="29" s="1"/>
  <c r="C122" i="29" s="1"/>
  <c r="C123" i="29" s="1"/>
  <c r="C124" i="29" s="1"/>
  <c r="C125" i="29" s="1"/>
  <c r="C126" i="29" s="1"/>
  <c r="B100" i="99"/>
  <c r="D100" i="36"/>
  <c r="F100" i="36"/>
  <c r="E100" i="36"/>
  <c r="C100" i="36"/>
  <c r="O100" i="36"/>
  <c r="N100" i="36"/>
  <c r="I100" i="36"/>
  <c r="C99" i="46" l="1"/>
  <c r="C100" i="46" s="1"/>
  <c r="C101" i="46" s="1"/>
  <c r="C102" i="46" s="1"/>
  <c r="C103" i="46" s="1"/>
  <c r="C104" i="46" s="1"/>
  <c r="C105" i="46" s="1"/>
  <c r="C106" i="46" s="1"/>
  <c r="C107" i="46" s="1"/>
  <c r="C108" i="46" s="1"/>
  <c r="C109" i="46" s="1"/>
  <c r="C110" i="46" s="1"/>
  <c r="C111" i="46" s="1"/>
  <c r="C112" i="46" s="1"/>
  <c r="C113" i="46" s="1"/>
  <c r="C114" i="46" s="1"/>
  <c r="C115" i="46" s="1"/>
  <c r="C116" i="46" s="1"/>
  <c r="C117" i="46" s="1"/>
  <c r="C118" i="46" s="1"/>
  <c r="C119" i="46" s="1"/>
  <c r="C120" i="46" s="1"/>
  <c r="C121" i="46" s="1"/>
  <c r="C122" i="46" s="1"/>
  <c r="C123" i="46" s="1"/>
  <c r="C124" i="46" s="1"/>
  <c r="C125" i="46" s="1"/>
  <c r="C126" i="46" s="1"/>
  <c r="C127" i="46" s="1"/>
  <c r="C128" i="46" s="1"/>
  <c r="C129" i="46" s="1"/>
  <c r="C130" i="46" s="1"/>
  <c r="C131" i="46" s="1"/>
  <c r="C132" i="46" s="1"/>
  <c r="C133" i="46" s="1"/>
  <c r="C134" i="46" s="1"/>
  <c r="C135" i="46" s="1"/>
  <c r="C136" i="46" s="1"/>
  <c r="C137" i="46" s="1"/>
  <c r="C138" i="46" s="1"/>
  <c r="C139" i="46" s="1"/>
  <c r="C140" i="46" s="1"/>
  <c r="C141" i="46" s="1"/>
  <c r="C142" i="46" s="1"/>
  <c r="C143" i="46" s="1"/>
  <c r="C144" i="46" s="1"/>
  <c r="C145" i="46" s="1"/>
  <c r="C146" i="46" s="1"/>
  <c r="C147" i="46" s="1"/>
  <c r="C148" i="46" s="1"/>
  <c r="C149" i="46" s="1"/>
  <c r="C150" i="46" s="1"/>
  <c r="C151" i="46" s="1"/>
  <c r="C152" i="46" s="1"/>
  <c r="C153" i="46" s="1"/>
  <c r="C154" i="46" s="1"/>
  <c r="I17" i="25"/>
  <c r="O88" i="99"/>
  <c r="O89" i="99" s="1"/>
  <c r="E99" i="95"/>
  <c r="F99" i="95" s="1"/>
  <c r="I12" i="95"/>
  <c r="I13" i="95" s="1"/>
  <c r="I12" i="24"/>
  <c r="I13" i="24" s="1"/>
  <c r="I12" i="72"/>
  <c r="I13" i="72" s="1"/>
  <c r="I12" i="46"/>
  <c r="I13" i="46" s="1"/>
  <c r="I12" i="82"/>
  <c r="I13" i="82" s="1"/>
  <c r="I12" i="78"/>
  <c r="I13" i="78" s="1"/>
  <c r="I12" i="60"/>
  <c r="I13" i="60" s="1"/>
  <c r="I12" i="56"/>
  <c r="I13" i="56" s="1"/>
  <c r="I12" i="26"/>
  <c r="I13" i="26" s="1"/>
  <c r="I12" i="59"/>
  <c r="I13" i="59" s="1"/>
  <c r="I12" i="66"/>
  <c r="I13" i="66" s="1"/>
  <c r="I12" i="97"/>
  <c r="I13" i="97" s="1"/>
  <c r="I12" i="21"/>
  <c r="I13" i="21" s="1"/>
  <c r="I12" i="68"/>
  <c r="I13" i="68" s="1"/>
  <c r="I12" i="85"/>
  <c r="I13" i="85" s="1"/>
  <c r="I12" i="19"/>
  <c r="I13" i="19" s="1"/>
  <c r="I12" i="62"/>
  <c r="I13" i="62" s="1"/>
  <c r="I12" i="39"/>
  <c r="I13" i="39" s="1"/>
  <c r="I12" i="55"/>
  <c r="I13" i="55" s="1"/>
  <c r="I12" i="84"/>
  <c r="I13" i="84" s="1"/>
  <c r="I12" i="54"/>
  <c r="I13" i="54" s="1"/>
  <c r="I12" i="76"/>
  <c r="I13" i="76" s="1"/>
  <c r="I12" i="58"/>
  <c r="I13" i="58" s="1"/>
  <c r="I12" i="57"/>
  <c r="I13" i="57" s="1"/>
  <c r="I12" i="70"/>
  <c r="I13" i="70" s="1"/>
  <c r="I12" i="64"/>
  <c r="I13" i="64" s="1"/>
  <c r="I12" i="73"/>
  <c r="I13" i="73" s="1"/>
  <c r="I12" i="89"/>
  <c r="I13" i="89" s="1"/>
  <c r="I12" i="17"/>
  <c r="I13" i="17" s="1"/>
  <c r="O64" i="32"/>
  <c r="O87" i="53"/>
  <c r="O87" i="91"/>
  <c r="O87" i="34"/>
  <c r="O35" i="39"/>
  <c r="O87" i="80"/>
  <c r="O87" i="61"/>
  <c r="O45" i="32"/>
  <c r="O25" i="33"/>
  <c r="F16" i="1"/>
  <c r="O71" i="3"/>
  <c r="O70" i="17"/>
  <c r="O68" i="17"/>
  <c r="O66" i="17"/>
  <c r="O41" i="17"/>
  <c r="O39" i="17"/>
  <c r="O31" i="17"/>
  <c r="O29" i="17"/>
  <c r="O27" i="17"/>
  <c r="O56" i="18"/>
  <c r="O54" i="18"/>
  <c r="O50" i="18"/>
  <c r="O48" i="18"/>
  <c r="O70" i="19"/>
  <c r="O68" i="19"/>
  <c r="O62" i="19"/>
  <c r="O20" i="25"/>
  <c r="O71" i="27"/>
  <c r="O67" i="27"/>
  <c r="O61" i="27"/>
  <c r="O59" i="27"/>
  <c r="O43" i="28"/>
  <c r="P139" i="30"/>
  <c r="P131" i="30"/>
  <c r="O47" i="30"/>
  <c r="P151" i="31"/>
  <c r="P149" i="31"/>
  <c r="P129" i="31"/>
  <c r="P123" i="31"/>
  <c r="O30" i="33"/>
  <c r="O64" i="41"/>
  <c r="O52" i="45"/>
  <c r="O53" i="46"/>
  <c r="O51" i="46"/>
  <c r="O45" i="46"/>
  <c r="O37" i="46"/>
  <c r="O52" i="53"/>
  <c r="O50" i="53"/>
  <c r="O46" i="53"/>
  <c r="O44" i="53"/>
  <c r="O40" i="53"/>
  <c r="O65" i="55"/>
  <c r="O29" i="61"/>
  <c r="O43" i="73"/>
  <c r="O47" i="83"/>
  <c r="O68" i="3"/>
  <c r="O66" i="3"/>
  <c r="O71" i="19"/>
  <c r="O63" i="21"/>
  <c r="O70" i="22"/>
  <c r="O28" i="22"/>
  <c r="O58" i="23"/>
  <c r="O56" i="23"/>
  <c r="O50" i="23"/>
  <c r="O48" i="23"/>
  <c r="O32" i="24"/>
  <c r="O45" i="25"/>
  <c r="O43" i="25"/>
  <c r="O27" i="26"/>
  <c r="O23" i="26"/>
  <c r="O19" i="26"/>
  <c r="O49" i="27"/>
  <c r="O70" i="32"/>
  <c r="O68" i="32"/>
  <c r="O66" i="32"/>
  <c r="O57" i="32"/>
  <c r="O55" i="32"/>
  <c r="O51" i="32"/>
  <c r="O49" i="32"/>
  <c r="O47" i="32"/>
  <c r="O36" i="32"/>
  <c r="O34" i="32"/>
  <c r="P147" i="33"/>
  <c r="P127" i="33"/>
  <c r="P113" i="33"/>
  <c r="P111" i="33"/>
  <c r="P101" i="33"/>
  <c r="P99" i="33"/>
  <c r="O68" i="33"/>
  <c r="O64" i="33"/>
  <c r="O62" i="33"/>
  <c r="O45" i="33"/>
  <c r="O43" i="33"/>
  <c r="O41" i="33"/>
  <c r="O31" i="33"/>
  <c r="O18" i="100"/>
  <c r="O87" i="30"/>
  <c r="O87" i="43"/>
  <c r="O58" i="3"/>
  <c r="O56" i="3"/>
  <c r="O54" i="3"/>
  <c r="O52" i="3"/>
  <c r="O46" i="3"/>
  <c r="O40" i="17"/>
  <c r="O38" i="17"/>
  <c r="O36" i="17"/>
  <c r="O34" i="17"/>
  <c r="O32" i="17"/>
  <c r="O30" i="17"/>
  <c r="O28" i="17"/>
  <c r="O71" i="18"/>
  <c r="O69" i="18"/>
  <c r="O67" i="18"/>
  <c r="O65" i="18"/>
  <c r="O63" i="18"/>
  <c r="O53" i="18"/>
  <c r="O51" i="18"/>
  <c r="O47" i="18"/>
  <c r="O45" i="18"/>
  <c r="O39" i="18"/>
  <c r="O37" i="18"/>
  <c r="O29" i="18"/>
  <c r="O27" i="18"/>
  <c r="O57" i="19"/>
  <c r="O39" i="19"/>
  <c r="O35" i="19"/>
  <c r="O31" i="19"/>
  <c r="O27" i="19"/>
  <c r="O72" i="20"/>
  <c r="O58" i="20"/>
  <c r="O56" i="20"/>
  <c r="O57" i="21"/>
  <c r="O55" i="21"/>
  <c r="O53" i="21"/>
  <c r="O49" i="21"/>
  <c r="O47" i="21"/>
  <c r="O45" i="21"/>
  <c r="O43" i="21"/>
  <c r="O41" i="21"/>
  <c r="O39" i="21"/>
  <c r="O37" i="21"/>
  <c r="O35" i="21"/>
  <c r="O33" i="21"/>
  <c r="O31" i="21"/>
  <c r="O27" i="21"/>
  <c r="O71" i="22"/>
  <c r="O67" i="22"/>
  <c r="O63" i="22"/>
  <c r="O61" i="22"/>
  <c r="O71" i="23"/>
  <c r="O63" i="23"/>
  <c r="O61" i="23"/>
  <c r="O72" i="24"/>
  <c r="O70" i="24"/>
  <c r="O68" i="24"/>
  <c r="O66" i="24"/>
  <c r="O64" i="24"/>
  <c r="O62" i="24"/>
  <c r="O60" i="24"/>
  <c r="O31" i="24"/>
  <c r="O29" i="24"/>
  <c r="P101" i="25"/>
  <c r="O58" i="25"/>
  <c r="O56" i="25"/>
  <c r="O52" i="25"/>
  <c r="O50" i="28"/>
  <c r="O44" i="28"/>
  <c r="P151" i="30"/>
  <c r="P149" i="30"/>
  <c r="P145" i="30"/>
  <c r="O44" i="30"/>
  <c r="O30" i="30"/>
  <c r="P154" i="31"/>
  <c r="P150" i="31"/>
  <c r="P148" i="31"/>
  <c r="P146" i="31"/>
  <c r="P144" i="31"/>
  <c r="P142" i="31"/>
  <c r="P140" i="31"/>
  <c r="P138" i="31"/>
  <c r="P136" i="31"/>
  <c r="P134" i="31"/>
  <c r="P132" i="31"/>
  <c r="P130" i="31"/>
  <c r="P124" i="31"/>
  <c r="P122" i="31"/>
  <c r="P120" i="31"/>
  <c r="P116" i="31"/>
  <c r="O69" i="31"/>
  <c r="O67" i="31"/>
  <c r="O63" i="31"/>
  <c r="O61" i="31"/>
  <c r="O54" i="31"/>
  <c r="O50" i="31"/>
  <c r="O46" i="31"/>
  <c r="O44" i="31"/>
  <c r="O42" i="31"/>
  <c r="O34" i="31"/>
  <c r="O71" i="33"/>
  <c r="O58" i="33"/>
  <c r="O48" i="33"/>
  <c r="O46" i="33"/>
  <c r="O50" i="35"/>
  <c r="O24" i="35"/>
  <c r="O70" i="39"/>
  <c r="O63" i="39"/>
  <c r="O61" i="39"/>
  <c r="O59" i="39"/>
  <c r="O58" i="39"/>
  <c r="O54" i="39"/>
  <c r="O52" i="39"/>
  <c r="O50" i="39"/>
  <c r="O48" i="39"/>
  <c r="O44" i="39"/>
  <c r="O39" i="39"/>
  <c r="O33" i="39"/>
  <c r="O31" i="39"/>
  <c r="O29" i="39"/>
  <c r="O27" i="39"/>
  <c r="P150" i="41"/>
  <c r="P122" i="41"/>
  <c r="O69" i="41"/>
  <c r="O53" i="41"/>
  <c r="O52" i="42"/>
  <c r="O50" i="42"/>
  <c r="O48" i="42"/>
  <c r="O46" i="42"/>
  <c r="O44" i="42"/>
  <c r="O40" i="42"/>
  <c r="O38" i="42"/>
  <c r="O36" i="42"/>
  <c r="O70" i="45"/>
  <c r="O66" i="45"/>
  <c r="P132" i="53"/>
  <c r="O61" i="53"/>
  <c r="O59" i="53"/>
  <c r="P153" i="54"/>
  <c r="P147" i="54"/>
  <c r="O68" i="59"/>
  <c r="O60" i="57"/>
  <c r="O42" i="61"/>
  <c r="O40" i="61"/>
  <c r="O60" i="60"/>
  <c r="P103" i="65"/>
  <c r="O69" i="66"/>
  <c r="O65" i="66"/>
  <c r="O61" i="66"/>
  <c r="O37" i="66"/>
  <c r="O47" i="68"/>
  <c r="O38" i="69"/>
  <c r="O51" i="70"/>
  <c r="O35" i="70"/>
  <c r="O39" i="76"/>
  <c r="O33" i="76"/>
  <c r="O26" i="77"/>
  <c r="O23" i="13"/>
  <c r="O21" i="13"/>
  <c r="O17" i="13"/>
  <c r="O56" i="99"/>
  <c r="O39" i="100"/>
  <c r="O41" i="100"/>
  <c r="O43" i="100"/>
  <c r="O49" i="100"/>
  <c r="O51" i="100"/>
  <c r="O61" i="100"/>
  <c r="O69" i="100"/>
  <c r="O71" i="100"/>
  <c r="P101" i="100"/>
  <c r="O71" i="55"/>
  <c r="O60" i="61"/>
  <c r="O53" i="61"/>
  <c r="O51" i="61"/>
  <c r="O51" i="62"/>
  <c r="O47" i="62"/>
  <c r="O72" i="64"/>
  <c r="O43" i="64"/>
  <c r="O37" i="64"/>
  <c r="O35" i="64"/>
  <c r="O25" i="64"/>
  <c r="P130" i="65"/>
  <c r="P112" i="65"/>
  <c r="O49" i="65"/>
  <c r="O45" i="65"/>
  <c r="O36" i="66"/>
  <c r="O34" i="66"/>
  <c r="O30" i="66"/>
  <c r="O26" i="66"/>
  <c r="O22" i="66"/>
  <c r="O54" i="67"/>
  <c r="O60" i="68"/>
  <c r="O46" i="68"/>
  <c r="O39" i="69"/>
  <c r="O35" i="69"/>
  <c r="O61" i="73"/>
  <c r="O55" i="73"/>
  <c r="O53" i="73"/>
  <c r="O22" i="79"/>
  <c r="O61" i="82"/>
  <c r="O59" i="82"/>
  <c r="O69" i="83"/>
  <c r="O61" i="83"/>
  <c r="O53" i="83"/>
  <c r="O51" i="83"/>
  <c r="O30" i="83"/>
  <c r="P125" i="88"/>
  <c r="P123" i="88"/>
  <c r="P127" i="90"/>
  <c r="O55" i="91"/>
  <c r="P106" i="13"/>
  <c r="O26" i="100"/>
  <c r="O28" i="100"/>
  <c r="O34" i="100"/>
  <c r="P117" i="54"/>
  <c r="O64" i="54"/>
  <c r="O44" i="55"/>
  <c r="O57" i="58"/>
  <c r="O55" i="58"/>
  <c r="O47" i="58"/>
  <c r="O27" i="58"/>
  <c r="O66" i="59"/>
  <c r="O58" i="61"/>
  <c r="O27" i="61"/>
  <c r="O57" i="63"/>
  <c r="O55" i="63"/>
  <c r="O58" i="62"/>
  <c r="O54" i="62"/>
  <c r="O46" i="62"/>
  <c r="O44" i="62"/>
  <c r="O32" i="62"/>
  <c r="O44" i="64"/>
  <c r="O27" i="65"/>
  <c r="O57" i="67"/>
  <c r="O39" i="67"/>
  <c r="O38" i="70"/>
  <c r="O36" i="70"/>
  <c r="O33" i="73"/>
  <c r="O60" i="75"/>
  <c r="O37" i="75"/>
  <c r="O35" i="75"/>
  <c r="O23" i="75"/>
  <c r="O52" i="76"/>
  <c r="O50" i="76"/>
  <c r="O71" i="78"/>
  <c r="O54" i="78"/>
  <c r="O50" i="78"/>
  <c r="O36" i="78"/>
  <c r="O43" i="79"/>
  <c r="O33" i="79"/>
  <c r="O54" i="80"/>
  <c r="O46" i="80"/>
  <c r="O60" i="81"/>
  <c r="O45" i="82"/>
  <c r="O33" i="82"/>
  <c r="O31" i="82"/>
  <c r="O21" i="82"/>
  <c r="O45" i="83"/>
  <c r="O33" i="83"/>
  <c r="O21" i="83"/>
  <c r="O38" i="88"/>
  <c r="O38" i="90"/>
  <c r="O24" i="90"/>
  <c r="O64" i="91"/>
  <c r="O50" i="91"/>
  <c r="O44" i="91"/>
  <c r="O42" i="91"/>
  <c r="O30" i="91"/>
  <c r="O20" i="91"/>
  <c r="P128" i="95"/>
  <c r="P120" i="95"/>
  <c r="P110" i="95"/>
  <c r="P106" i="95"/>
  <c r="O50" i="95"/>
  <c r="O48" i="95"/>
  <c r="O30" i="95"/>
  <c r="O24" i="95"/>
  <c r="O64" i="97"/>
  <c r="O50" i="98"/>
  <c r="O28" i="98"/>
  <c r="O24" i="98"/>
  <c r="O20" i="98"/>
  <c r="O48" i="13"/>
  <c r="O32" i="13"/>
  <c r="O65" i="99"/>
  <c r="P109" i="99"/>
  <c r="O35" i="100"/>
  <c r="D93" i="76"/>
  <c r="D94" i="76"/>
  <c r="E21" i="35"/>
  <c r="F21" i="35" s="1"/>
  <c r="D94" i="57"/>
  <c r="D93" i="57"/>
  <c r="C99" i="57" s="1"/>
  <c r="C100" i="57" s="1"/>
  <c r="C101" i="57" s="1"/>
  <c r="C102" i="57" s="1"/>
  <c r="C103" i="57" s="1"/>
  <c r="C104" i="57" s="1"/>
  <c r="C105" i="57" s="1"/>
  <c r="C106" i="57" s="1"/>
  <c r="C107" i="57" s="1"/>
  <c r="C108" i="57" s="1"/>
  <c r="C109" i="57" s="1"/>
  <c r="C110" i="57" s="1"/>
  <c r="C111" i="57" s="1"/>
  <c r="C112" i="57" s="1"/>
  <c r="C113" i="57" s="1"/>
  <c r="C114" i="57" s="1"/>
  <c r="C115" i="57" s="1"/>
  <c r="C116" i="57" s="1"/>
  <c r="C117" i="57" s="1"/>
  <c r="C118" i="57" s="1"/>
  <c r="C119" i="57" s="1"/>
  <c r="C120" i="57" s="1"/>
  <c r="C121" i="57" s="1"/>
  <c r="C122" i="57" s="1"/>
  <c r="C123" i="57" s="1"/>
  <c r="C124" i="57" s="1"/>
  <c r="C125" i="57" s="1"/>
  <c r="C126" i="57" s="1"/>
  <c r="C127" i="57" s="1"/>
  <c r="C128" i="57" s="1"/>
  <c r="C129" i="57" s="1"/>
  <c r="C130" i="57" s="1"/>
  <c r="C131" i="57" s="1"/>
  <c r="C132" i="57" s="1"/>
  <c r="C133" i="57" s="1"/>
  <c r="C134" i="57" s="1"/>
  <c r="C135" i="57" s="1"/>
  <c r="C136" i="57" s="1"/>
  <c r="C137" i="57" s="1"/>
  <c r="C138" i="57" s="1"/>
  <c r="C139" i="57" s="1"/>
  <c r="C140" i="57" s="1"/>
  <c r="C141" i="57" s="1"/>
  <c r="C142" i="57" s="1"/>
  <c r="C143" i="57" s="1"/>
  <c r="C144" i="57" s="1"/>
  <c r="C145" i="57" s="1"/>
  <c r="C146" i="57" s="1"/>
  <c r="C147" i="57" s="1"/>
  <c r="C148" i="57" s="1"/>
  <c r="C149" i="57" s="1"/>
  <c r="C150" i="57" s="1"/>
  <c r="C151" i="57" s="1"/>
  <c r="C152" i="57" s="1"/>
  <c r="C153" i="57" s="1"/>
  <c r="C154" i="57" s="1"/>
  <c r="D94" i="23"/>
  <c r="D93" i="23"/>
  <c r="N89" i="96"/>
  <c r="O88" i="96"/>
  <c r="O89" i="96" s="1"/>
  <c r="O87" i="97"/>
  <c r="N89" i="97"/>
  <c r="O88" i="13"/>
  <c r="N89" i="13"/>
  <c r="D93" i="87"/>
  <c r="I13" i="13"/>
  <c r="H17" i="13" s="1"/>
  <c r="G17" i="13"/>
  <c r="D93" i="77"/>
  <c r="D94" i="77"/>
  <c r="O88" i="28"/>
  <c r="M89" i="28"/>
  <c r="N7" i="99"/>
  <c r="O89" i="13"/>
  <c r="I17" i="99"/>
  <c r="O55" i="25"/>
  <c r="O89" i="97"/>
  <c r="D93" i="21"/>
  <c r="C99" i="21" s="1"/>
  <c r="C100" i="21" s="1"/>
  <c r="C101" i="21" s="1"/>
  <c r="C102" i="21" s="1"/>
  <c r="C103" i="21" s="1"/>
  <c r="C104" i="21" s="1"/>
  <c r="C105" i="21" s="1"/>
  <c r="C106" i="21" s="1"/>
  <c r="C107" i="21" s="1"/>
  <c r="C108" i="21" s="1"/>
  <c r="C109" i="21" s="1"/>
  <c r="C110" i="21" s="1"/>
  <c r="C111" i="21" s="1"/>
  <c r="C112" i="21" s="1"/>
  <c r="C113" i="21" s="1"/>
  <c r="C114" i="21" s="1"/>
  <c r="C115" i="21" s="1"/>
  <c r="C116" i="21" s="1"/>
  <c r="C117" i="21" s="1"/>
  <c r="C118" i="21" s="1"/>
  <c r="C119" i="21" s="1"/>
  <c r="C120" i="21" s="1"/>
  <c r="C121" i="21" s="1"/>
  <c r="C122" i="21" s="1"/>
  <c r="C123" i="21" s="1"/>
  <c r="C124" i="21" s="1"/>
  <c r="C125" i="21" s="1"/>
  <c r="C126" i="21" s="1"/>
  <c r="D94" i="21"/>
  <c r="I10" i="58"/>
  <c r="I10" i="33"/>
  <c r="I10" i="80"/>
  <c r="I10" i="26"/>
  <c r="I10" i="18"/>
  <c r="I10" i="19"/>
  <c r="I10" i="54"/>
  <c r="I10" i="56"/>
  <c r="I10" i="60"/>
  <c r="I10" i="89"/>
  <c r="I10" i="64"/>
  <c r="I10" i="98"/>
  <c r="I10" i="3"/>
  <c r="I10" i="55"/>
  <c r="D93" i="55" s="1"/>
  <c r="I10" i="74"/>
  <c r="I10" i="92"/>
  <c r="I10" i="53"/>
  <c r="I10" i="45"/>
  <c r="I10" i="66"/>
  <c r="I10" i="84"/>
  <c r="I10" i="30"/>
  <c r="I10" i="70"/>
  <c r="I10" i="39"/>
  <c r="I10" i="44"/>
  <c r="I10" i="27"/>
  <c r="I10" i="81"/>
  <c r="I10" i="31"/>
  <c r="I10" i="69"/>
  <c r="I10" i="90"/>
  <c r="D93" i="90" s="1"/>
  <c r="I10" i="59"/>
  <c r="I10" i="97"/>
  <c r="I10" i="91"/>
  <c r="I10" i="43"/>
  <c r="I10" i="62"/>
  <c r="I10" i="82"/>
  <c r="I10" i="68"/>
  <c r="I10" i="13"/>
  <c r="E99" i="13" s="1"/>
  <c r="F99" i="13" s="1"/>
  <c r="I10" i="78"/>
  <c r="D93" i="78" s="1"/>
  <c r="I10" i="79"/>
  <c r="I10" i="72"/>
  <c r="I10" i="73"/>
  <c r="I10" i="61"/>
  <c r="I10" i="71"/>
  <c r="I10" i="24"/>
  <c r="I10" i="25"/>
  <c r="I10" i="83"/>
  <c r="D93" i="83" s="1"/>
  <c r="I10" i="85"/>
  <c r="I10" i="96"/>
  <c r="I10" i="17"/>
  <c r="I10" i="42"/>
  <c r="I10" i="65"/>
  <c r="I10" i="75"/>
  <c r="O40" i="23"/>
  <c r="O46" i="28"/>
  <c r="O87" i="86"/>
  <c r="O87" i="67"/>
  <c r="P99" i="95"/>
  <c r="O53" i="17"/>
  <c r="O51" i="17"/>
  <c r="O44" i="18"/>
  <c r="O40" i="18"/>
  <c r="O52" i="19"/>
  <c r="O60" i="26"/>
  <c r="O67" i="29"/>
  <c r="O57" i="29"/>
  <c r="O55" i="29"/>
  <c r="O47" i="29"/>
  <c r="O45" i="29"/>
  <c r="O29" i="29"/>
  <c r="O45" i="30"/>
  <c r="O59" i="31"/>
  <c r="O32" i="31"/>
  <c r="O27" i="64"/>
  <c r="N89" i="98"/>
  <c r="O87" i="55"/>
  <c r="O60" i="3"/>
  <c r="O62" i="17"/>
  <c r="O60" i="17"/>
  <c r="O43" i="20"/>
  <c r="O27" i="20"/>
  <c r="O34" i="22"/>
  <c r="O32" i="22"/>
  <c r="P136" i="26"/>
  <c r="P128" i="26"/>
  <c r="P122" i="26"/>
  <c r="O63" i="26"/>
  <c r="O18" i="26"/>
  <c r="O41" i="28"/>
  <c r="O33" i="28"/>
  <c r="O31" i="28"/>
  <c r="P129" i="30"/>
  <c r="O48" i="30"/>
  <c r="O29" i="30"/>
  <c r="O43" i="31"/>
  <c r="O52" i="33"/>
  <c r="O52" i="35"/>
  <c r="O48" i="35"/>
  <c r="O46" i="35"/>
  <c r="O36" i="35"/>
  <c r="M89" i="98"/>
  <c r="N89" i="28"/>
  <c r="F82" i="1"/>
  <c r="F83" i="1" s="1"/>
  <c r="F85" i="1" s="1"/>
  <c r="F86" i="1" s="1"/>
  <c r="F87" i="1" s="1"/>
  <c r="F45" i="1"/>
  <c r="F48" i="1" s="1"/>
  <c r="O36" i="3"/>
  <c r="O34" i="3"/>
  <c r="O32" i="3"/>
  <c r="O71" i="17"/>
  <c r="O69" i="17"/>
  <c r="O67" i="17"/>
  <c r="O35" i="17"/>
  <c r="O58" i="18"/>
  <c r="O60" i="19"/>
  <c r="O65" i="20"/>
  <c r="O44" i="20"/>
  <c r="O34" i="20"/>
  <c r="O68" i="22"/>
  <c r="O57" i="22"/>
  <c r="O51" i="22"/>
  <c r="O49" i="22"/>
  <c r="O45" i="22"/>
  <c r="O41" i="22"/>
  <c r="O31" i="22"/>
  <c r="O59" i="23"/>
  <c r="O36" i="23"/>
  <c r="O53" i="24"/>
  <c r="O49" i="24"/>
  <c r="O47" i="24"/>
  <c r="O45" i="24"/>
  <c r="P141" i="25"/>
  <c r="P121" i="25"/>
  <c r="O66" i="25"/>
  <c r="O53" i="25"/>
  <c r="O72" i="26"/>
  <c r="O66" i="26"/>
  <c r="O57" i="26"/>
  <c r="O55" i="26"/>
  <c r="O37" i="26"/>
  <c r="O33" i="26"/>
  <c r="O58" i="27"/>
  <c r="O56" i="27"/>
  <c r="O52" i="27"/>
  <c r="O50" i="27"/>
  <c r="O38" i="30"/>
  <c r="O71" i="31"/>
  <c r="O58" i="31"/>
  <c r="O56" i="31"/>
  <c r="O40" i="31"/>
  <c r="O38" i="31"/>
  <c r="O36" i="31"/>
  <c r="O31" i="32"/>
  <c r="O72" i="33"/>
  <c r="O67" i="33"/>
  <c r="O47" i="33"/>
  <c r="O23" i="33"/>
  <c r="O72" i="34"/>
  <c r="O70" i="34"/>
  <c r="O64" i="34"/>
  <c r="O53" i="34"/>
  <c r="O49" i="34"/>
  <c r="O47" i="34"/>
  <c r="O39" i="34"/>
  <c r="O37" i="34"/>
  <c r="O59" i="35"/>
  <c r="O54" i="42"/>
  <c r="O49" i="57"/>
  <c r="O58" i="35"/>
  <c r="O21" i="35"/>
  <c r="O72" i="39"/>
  <c r="O38" i="39"/>
  <c r="O36" i="41"/>
  <c r="O37" i="42"/>
  <c r="O30" i="42"/>
  <c r="O71" i="44"/>
  <c r="O49" i="44"/>
  <c r="O26" i="46"/>
  <c r="O52" i="58"/>
  <c r="O30" i="58"/>
  <c r="O44" i="63"/>
  <c r="O67" i="62"/>
  <c r="O47" i="60"/>
  <c r="O27" i="60"/>
  <c r="O70" i="66"/>
  <c r="O62" i="66"/>
  <c r="O52" i="66"/>
  <c r="O58" i="68"/>
  <c r="O45" i="68"/>
  <c r="O69" i="69"/>
  <c r="O65" i="69"/>
  <c r="O57" i="69"/>
  <c r="O55" i="69"/>
  <c r="O53" i="69"/>
  <c r="O46" i="69"/>
  <c r="O44" i="69"/>
  <c r="O42" i="69"/>
  <c r="O40" i="69"/>
  <c r="O39" i="70"/>
  <c r="O37" i="70"/>
  <c r="O58" i="71"/>
  <c r="O54" i="71"/>
  <c r="O66" i="72"/>
  <c r="P121" i="100"/>
  <c r="O32" i="35"/>
  <c r="O22" i="35"/>
  <c r="O62" i="41"/>
  <c r="O60" i="41"/>
  <c r="O33" i="41"/>
  <c r="O27" i="41"/>
  <c r="O56" i="42"/>
  <c r="P153" i="43"/>
  <c r="P151" i="43"/>
  <c r="P145" i="43"/>
  <c r="P127" i="43"/>
  <c r="P125" i="43"/>
  <c r="P119" i="43"/>
  <c r="P117" i="43"/>
  <c r="O48" i="43"/>
  <c r="O46" i="43"/>
  <c r="O72" i="44"/>
  <c r="P129" i="45"/>
  <c r="P115" i="45"/>
  <c r="O45" i="45"/>
  <c r="O27" i="45"/>
  <c r="O31" i="46"/>
  <c r="P154" i="53"/>
  <c r="P130" i="53"/>
  <c r="P124" i="53"/>
  <c r="P122" i="53"/>
  <c r="P118" i="53"/>
  <c r="P116" i="53"/>
  <c r="P104" i="53"/>
  <c r="O69" i="53"/>
  <c r="O38" i="53"/>
  <c r="O36" i="53"/>
  <c r="O47" i="55"/>
  <c r="O40" i="55"/>
  <c r="O26" i="55"/>
  <c r="P154" i="56"/>
  <c r="P138" i="56"/>
  <c r="P121" i="56"/>
  <c r="P107" i="56"/>
  <c r="O56" i="56"/>
  <c r="O46" i="56"/>
  <c r="O38" i="56"/>
  <c r="O36" i="56"/>
  <c r="O51" i="57"/>
  <c r="O39" i="58"/>
  <c r="O37" i="58"/>
  <c r="O31" i="58"/>
  <c r="O65" i="59"/>
  <c r="O59" i="59"/>
  <c r="O30" i="59"/>
  <c r="O30" i="63"/>
  <c r="O70" i="62"/>
  <c r="O68" i="62"/>
  <c r="O32" i="60"/>
  <c r="O54" i="64"/>
  <c r="O31" i="64"/>
  <c r="P111" i="65"/>
  <c r="P109" i="65"/>
  <c r="P107" i="65"/>
  <c r="O58" i="65"/>
  <c r="O33" i="65"/>
  <c r="O49" i="66"/>
  <c r="O47" i="66"/>
  <c r="O45" i="66"/>
  <c r="O39" i="66"/>
  <c r="O29" i="66"/>
  <c r="O61" i="67"/>
  <c r="O37" i="67"/>
  <c r="O42" i="68"/>
  <c r="O26" i="68"/>
  <c r="O49" i="69"/>
  <c r="O69" i="71"/>
  <c r="O65" i="71"/>
  <c r="O57" i="71"/>
  <c r="O55" i="71"/>
  <c r="O63" i="72"/>
  <c r="O49" i="72"/>
  <c r="O27" i="72"/>
  <c r="O30" i="92"/>
  <c r="O64" i="39"/>
  <c r="O60" i="39"/>
  <c r="O56" i="39"/>
  <c r="O26" i="39"/>
  <c r="P154" i="41"/>
  <c r="P152" i="41"/>
  <c r="P148" i="41"/>
  <c r="P146" i="41"/>
  <c r="P144" i="41"/>
  <c r="P142" i="41"/>
  <c r="P140" i="41"/>
  <c r="P138" i="41"/>
  <c r="P136" i="41"/>
  <c r="P134" i="41"/>
  <c r="P132" i="41"/>
  <c r="P130" i="41"/>
  <c r="P126" i="41"/>
  <c r="P124" i="41"/>
  <c r="P118" i="41"/>
  <c r="P116" i="41"/>
  <c r="P114" i="41"/>
  <c r="P112" i="41"/>
  <c r="P110" i="41"/>
  <c r="P108" i="41"/>
  <c r="P106" i="41"/>
  <c r="O71" i="41"/>
  <c r="O58" i="41"/>
  <c r="O71" i="42"/>
  <c r="O69" i="42"/>
  <c r="O67" i="42"/>
  <c r="O63" i="42"/>
  <c r="O59" i="42"/>
  <c r="O29" i="42"/>
  <c r="O61" i="43"/>
  <c r="O59" i="43"/>
  <c r="O34" i="43"/>
  <c r="P153" i="44"/>
  <c r="P145" i="44"/>
  <c r="P141" i="44"/>
  <c r="P131" i="44"/>
  <c r="P111" i="44"/>
  <c r="P107" i="44"/>
  <c r="O54" i="44"/>
  <c r="O42" i="44"/>
  <c r="O36" i="44"/>
  <c r="O34" i="44"/>
  <c r="O32" i="44"/>
  <c r="O30" i="44"/>
  <c r="O28" i="44"/>
  <c r="P154" i="45"/>
  <c r="P152" i="45"/>
  <c r="P150" i="45"/>
  <c r="P148" i="45"/>
  <c r="P146" i="45"/>
  <c r="P144" i="45"/>
  <c r="P138" i="45"/>
  <c r="P134" i="45"/>
  <c r="P132" i="45"/>
  <c r="O71" i="45"/>
  <c r="O69" i="45"/>
  <c r="O65" i="45"/>
  <c r="O63" i="45"/>
  <c r="O36" i="45"/>
  <c r="O32" i="45"/>
  <c r="O30" i="45"/>
  <c r="O28" i="45"/>
  <c r="O52" i="46"/>
  <c r="O50" i="46"/>
  <c r="O48" i="46"/>
  <c r="O46" i="46"/>
  <c r="O44" i="46"/>
  <c r="O38" i="46"/>
  <c r="O57" i="53"/>
  <c r="O53" i="53"/>
  <c r="O49" i="53"/>
  <c r="O47" i="53"/>
  <c r="O45" i="53"/>
  <c r="O39" i="53"/>
  <c r="O37" i="53"/>
  <c r="O35" i="53"/>
  <c r="O48" i="54"/>
  <c r="O26" i="54"/>
  <c r="O50" i="55"/>
  <c r="O46" i="55"/>
  <c r="O41" i="55"/>
  <c r="O39" i="55"/>
  <c r="O37" i="55"/>
  <c r="O31" i="55"/>
  <c r="O71" i="56"/>
  <c r="O63" i="56"/>
  <c r="O68" i="57"/>
  <c r="O66" i="57"/>
  <c r="O37" i="57"/>
  <c r="O72" i="59"/>
  <c r="O55" i="59"/>
  <c r="O53" i="59"/>
  <c r="O49" i="59"/>
  <c r="O41" i="59"/>
  <c r="O33" i="59"/>
  <c r="O31" i="59"/>
  <c r="O55" i="61"/>
  <c r="O60" i="62"/>
  <c r="O31" i="62"/>
  <c r="O27" i="62"/>
  <c r="O46" i="64"/>
  <c r="O23" i="64"/>
  <c r="O71" i="65"/>
  <c r="O69" i="65"/>
  <c r="O67" i="65"/>
  <c r="O65" i="65"/>
  <c r="O63" i="65"/>
  <c r="O61" i="65"/>
  <c r="O55" i="65"/>
  <c r="O24" i="65"/>
  <c r="O68" i="67"/>
  <c r="O66" i="67"/>
  <c r="O64" i="67"/>
  <c r="O60" i="67"/>
  <c r="O36" i="67"/>
  <c r="O32" i="67"/>
  <c r="O55" i="68"/>
  <c r="O53" i="68"/>
  <c r="O51" i="68"/>
  <c r="O49" i="68"/>
  <c r="O47" i="69"/>
  <c r="O45" i="69"/>
  <c r="O69" i="70"/>
  <c r="O67" i="70"/>
  <c r="O63" i="70"/>
  <c r="O61" i="70"/>
  <c r="O59" i="70"/>
  <c r="O55" i="70"/>
  <c r="O48" i="70"/>
  <c r="O44" i="70"/>
  <c r="O42" i="70"/>
  <c r="O30" i="70"/>
  <c r="O42" i="80"/>
  <c r="O39" i="83"/>
  <c r="O60" i="97"/>
  <c r="O41" i="79"/>
  <c r="O63" i="83"/>
  <c r="O53" i="84"/>
  <c r="O39" i="84"/>
  <c r="O21" i="84"/>
  <c r="O59" i="87"/>
  <c r="O57" i="87"/>
  <c r="O43" i="87"/>
  <c r="O41" i="87"/>
  <c r="O50" i="89"/>
  <c r="O28" i="90"/>
  <c r="O46" i="91"/>
  <c r="O54" i="95"/>
  <c r="O19" i="98"/>
  <c r="P125" i="100"/>
  <c r="O30" i="76"/>
  <c r="O23" i="77"/>
  <c r="O55" i="78"/>
  <c r="O66" i="81"/>
  <c r="O64" i="81"/>
  <c r="O62" i="84"/>
  <c r="O65" i="85"/>
  <c r="O61" i="85"/>
  <c r="O66" i="87"/>
  <c r="P116" i="88"/>
  <c r="O71" i="89"/>
  <c r="O65" i="89"/>
  <c r="O63" i="89"/>
  <c r="P115" i="90"/>
  <c r="P107" i="90"/>
  <c r="O35" i="90"/>
  <c r="O20" i="90"/>
  <c r="O67" i="91"/>
  <c r="O59" i="91"/>
  <c r="O53" i="91"/>
  <c r="P127" i="92"/>
  <c r="P117" i="92"/>
  <c r="O66" i="92"/>
  <c r="O47" i="92"/>
  <c r="O32" i="92"/>
  <c r="P123" i="95"/>
  <c r="P121" i="95"/>
  <c r="P119" i="95"/>
  <c r="P115" i="95"/>
  <c r="P113" i="95"/>
  <c r="O58" i="96"/>
  <c r="P130" i="97"/>
  <c r="O24" i="97"/>
  <c r="O22" i="97"/>
  <c r="O69" i="98"/>
  <c r="O51" i="98"/>
  <c r="O44" i="98"/>
  <c r="O20" i="99"/>
  <c r="O28" i="99"/>
  <c r="O40" i="99"/>
  <c r="O42" i="99"/>
  <c r="O44" i="99"/>
  <c r="O46" i="99"/>
  <c r="O50" i="99"/>
  <c r="O61" i="72"/>
  <c r="O55" i="72"/>
  <c r="O40" i="73"/>
  <c r="O30" i="73"/>
  <c r="O46" i="74"/>
  <c r="O30" i="74"/>
  <c r="O26" i="74"/>
  <c r="O71" i="75"/>
  <c r="O38" i="75"/>
  <c r="O30" i="75"/>
  <c r="O26" i="75"/>
  <c r="O24" i="75"/>
  <c r="O22" i="75"/>
  <c r="O45" i="76"/>
  <c r="O28" i="77"/>
  <c r="O22" i="77"/>
  <c r="O67" i="78"/>
  <c r="O63" i="78"/>
  <c r="O56" i="78"/>
  <c r="O61" i="79"/>
  <c r="O61" i="80"/>
  <c r="O24" i="80"/>
  <c r="O20" i="80"/>
  <c r="O56" i="81"/>
  <c r="O32" i="81"/>
  <c r="O26" i="81"/>
  <c r="O47" i="82"/>
  <c r="O62" i="83"/>
  <c r="O60" i="83"/>
  <c r="O56" i="83"/>
  <c r="O54" i="83"/>
  <c r="O37" i="83"/>
  <c r="O35" i="83"/>
  <c r="P110" i="84"/>
  <c r="O71" i="84"/>
  <c r="O69" i="84"/>
  <c r="O42" i="84"/>
  <c r="O64" i="85"/>
  <c r="O34" i="85"/>
  <c r="O32" i="85"/>
  <c r="O30" i="85"/>
  <c r="O28" i="85"/>
  <c r="O24" i="85"/>
  <c r="O65" i="86"/>
  <c r="O47" i="86"/>
  <c r="O20" i="87"/>
  <c r="O67" i="88"/>
  <c r="O44" i="90"/>
  <c r="O42" i="90"/>
  <c r="P129" i="91"/>
  <c r="P121" i="91"/>
  <c r="P117" i="91"/>
  <c r="P113" i="91"/>
  <c r="P101" i="92"/>
  <c r="O28" i="92"/>
  <c r="O26" i="92"/>
  <c r="O20" i="92"/>
  <c r="O68" i="95"/>
  <c r="O66" i="95"/>
  <c r="O39" i="95"/>
  <c r="O27" i="95"/>
  <c r="O23" i="97"/>
  <c r="P116" i="98"/>
  <c r="O31" i="98"/>
  <c r="O29" i="98"/>
  <c r="P105" i="13"/>
  <c r="P103" i="13"/>
  <c r="O20" i="13"/>
  <c r="O37" i="100"/>
  <c r="G18" i="13"/>
  <c r="N5" i="13" s="1"/>
  <c r="H18" i="13"/>
  <c r="D19" i="13"/>
  <c r="E19" i="13" s="1"/>
  <c r="D18" i="33"/>
  <c r="G17" i="33"/>
  <c r="H17" i="33"/>
  <c r="D93" i="79"/>
  <c r="D94" i="79"/>
  <c r="D94" i="78"/>
  <c r="G99" i="13"/>
  <c r="D100" i="13"/>
  <c r="B100" i="13" s="1"/>
  <c r="D94" i="68"/>
  <c r="D93" i="68"/>
  <c r="D93" i="82"/>
  <c r="D94" i="82"/>
  <c r="C99" i="20"/>
  <c r="C100" i="20"/>
  <c r="C101" i="20" s="1"/>
  <c r="C102" i="20" s="1"/>
  <c r="C103" i="20" s="1"/>
  <c r="C104" i="20" s="1"/>
  <c r="C105" i="20" s="1"/>
  <c r="C106" i="20" s="1"/>
  <c r="C107" i="20" s="1"/>
  <c r="C108" i="20" s="1"/>
  <c r="C109" i="20" s="1"/>
  <c r="C110" i="20" s="1"/>
  <c r="C111" i="20" s="1"/>
  <c r="C112" i="20" s="1"/>
  <c r="C113" i="20" s="1"/>
  <c r="C114" i="20" s="1"/>
  <c r="C115" i="20" s="1"/>
  <c r="C116" i="20" s="1"/>
  <c r="C117" i="20" s="1"/>
  <c r="C118" i="20" s="1"/>
  <c r="C119" i="20" s="1"/>
  <c r="C120" i="20" s="1"/>
  <c r="C121" i="20" s="1"/>
  <c r="C122" i="20" s="1"/>
  <c r="C123" i="20" s="1"/>
  <c r="C124" i="20" s="1"/>
  <c r="C125" i="20" s="1"/>
  <c r="C126" i="20" s="1"/>
  <c r="D99" i="29"/>
  <c r="D92" i="31"/>
  <c r="D94" i="31"/>
  <c r="D93" i="31"/>
  <c r="E18" i="25"/>
  <c r="C99" i="22"/>
  <c r="C100" i="22" s="1"/>
  <c r="C101" i="22" s="1"/>
  <c r="C102" i="22" s="1"/>
  <c r="C103" i="22" s="1"/>
  <c r="C104" i="22" s="1"/>
  <c r="C105" i="22" s="1"/>
  <c r="C106" i="22" s="1"/>
  <c r="C107" i="22" s="1"/>
  <c r="C108" i="22" s="1"/>
  <c r="C109" i="22" s="1"/>
  <c r="C110" i="22" s="1"/>
  <c r="C111" i="22" s="1"/>
  <c r="C112" i="22" s="1"/>
  <c r="C113" i="22" s="1"/>
  <c r="C114" i="22" s="1"/>
  <c r="C115" i="22" s="1"/>
  <c r="C116" i="22" s="1"/>
  <c r="C117" i="22" s="1"/>
  <c r="C118" i="22" s="1"/>
  <c r="C119" i="22" s="1"/>
  <c r="C120" i="22" s="1"/>
  <c r="C121" i="22" s="1"/>
  <c r="C122" i="22" s="1"/>
  <c r="C123" i="22" s="1"/>
  <c r="C124" i="22" s="1"/>
  <c r="C125" i="22" s="1"/>
  <c r="C126" i="22" s="1"/>
  <c r="C127" i="22" s="1"/>
  <c r="C128" i="22" s="1"/>
  <c r="C129" i="22" s="1"/>
  <c r="C130" i="22" s="1"/>
  <c r="C131" i="22" s="1"/>
  <c r="C132" i="22" s="1"/>
  <c r="C133" i="22" s="1"/>
  <c r="C134" i="22" s="1"/>
  <c r="C135" i="22" s="1"/>
  <c r="C136" i="22" s="1"/>
  <c r="C137" i="22" s="1"/>
  <c r="C138" i="22" s="1"/>
  <c r="C139" i="22" s="1"/>
  <c r="C140" i="22" s="1"/>
  <c r="C141" i="22" s="1"/>
  <c r="C142" i="22" s="1"/>
  <c r="C143" i="22" s="1"/>
  <c r="C144" i="22" s="1"/>
  <c r="C145" i="22" s="1"/>
  <c r="C146" i="22" s="1"/>
  <c r="C147" i="22" s="1"/>
  <c r="C148" i="22" s="1"/>
  <c r="C149" i="22" s="1"/>
  <c r="C150" i="22" s="1"/>
  <c r="C151" i="22" s="1"/>
  <c r="C152" i="22" s="1"/>
  <c r="C153" i="22" s="1"/>
  <c r="C154" i="22" s="1"/>
  <c r="D93" i="53"/>
  <c r="D94" i="53"/>
  <c r="D94" i="55"/>
  <c r="O87" i="19"/>
  <c r="M89" i="99"/>
  <c r="D13" i="100"/>
  <c r="I14" i="100" s="1"/>
  <c r="E18" i="100" s="1"/>
  <c r="D13" i="26"/>
  <c r="D13" i="88"/>
  <c r="I14" i="88" s="1"/>
  <c r="E19" i="88" s="1"/>
  <c r="F19" i="88" s="1"/>
  <c r="G19" i="88" s="1"/>
  <c r="C77" i="1"/>
  <c r="C74" i="1"/>
  <c r="C51" i="1"/>
  <c r="C69" i="1"/>
  <c r="C72" i="1"/>
  <c r="C52" i="1"/>
  <c r="C6" i="1"/>
  <c r="C8" i="1"/>
  <c r="C57" i="1"/>
  <c r="O44" i="17"/>
  <c r="I99" i="99"/>
  <c r="J99" i="99" s="1"/>
  <c r="O87" i="44"/>
  <c r="P99" i="84"/>
  <c r="O87" i="18"/>
  <c r="O87" i="28"/>
  <c r="O89" i="28" s="1"/>
  <c r="O87" i="54"/>
  <c r="O48" i="3"/>
  <c r="O43" i="3"/>
  <c r="O50" i="17"/>
  <c r="O49" i="18"/>
  <c r="O38" i="22"/>
  <c r="P99" i="87"/>
  <c r="D94" i="90"/>
  <c r="O87" i="82"/>
  <c r="O87" i="71"/>
  <c r="O57" i="18"/>
  <c r="O33" i="18"/>
  <c r="O67" i="23"/>
  <c r="O32" i="25"/>
  <c r="P121" i="30"/>
  <c r="O53" i="39"/>
  <c r="O26" i="42"/>
  <c r="O33" i="43"/>
  <c r="O62" i="3"/>
  <c r="O49" i="17"/>
  <c r="O47" i="17"/>
  <c r="O60" i="18"/>
  <c r="O55" i="18"/>
  <c r="O42" i="18"/>
  <c r="O52" i="20"/>
  <c r="O43" i="22"/>
  <c r="O55" i="24"/>
  <c r="O41" i="24"/>
  <c r="O49" i="25"/>
  <c r="O70" i="26"/>
  <c r="O56" i="29"/>
  <c r="O48" i="31"/>
  <c r="O67" i="35"/>
  <c r="O26" i="35"/>
  <c r="O41" i="18"/>
  <c r="O61" i="19"/>
  <c r="O51" i="19"/>
  <c r="O29" i="19"/>
  <c r="O37" i="22"/>
  <c r="O35" i="22"/>
  <c r="O51" i="24"/>
  <c r="O48" i="27"/>
  <c r="O59" i="30"/>
  <c r="P139" i="31"/>
  <c r="O62" i="32"/>
  <c r="O60" i="32"/>
  <c r="O39" i="32"/>
  <c r="O28" i="32"/>
  <c r="P145" i="33"/>
  <c r="P135" i="33"/>
  <c r="P133" i="33"/>
  <c r="P131" i="33"/>
  <c r="O49" i="33"/>
  <c r="O40" i="33"/>
  <c r="O32" i="33"/>
  <c r="O68" i="34"/>
  <c r="O71" i="35"/>
  <c r="O62" i="35"/>
  <c r="O60" i="35"/>
  <c r="O33" i="35"/>
  <c r="O26" i="41"/>
  <c r="O56" i="43"/>
  <c r="O52" i="43"/>
  <c r="O50" i="43"/>
  <c r="O56" i="44"/>
  <c r="O47" i="44"/>
  <c r="O45" i="44"/>
  <c r="O38" i="44"/>
  <c r="O26" i="44"/>
  <c r="O58" i="45"/>
  <c r="O54" i="45"/>
  <c r="O48" i="45"/>
  <c r="O62" i="46"/>
  <c r="O28" i="46"/>
  <c r="O31" i="60"/>
  <c r="O58" i="66"/>
  <c r="O28" i="66"/>
  <c r="O69" i="23"/>
  <c r="O62" i="23"/>
  <c r="O54" i="23"/>
  <c r="O46" i="23"/>
  <c r="O32" i="23"/>
  <c r="O61" i="24"/>
  <c r="P104" i="25"/>
  <c r="O51" i="25"/>
  <c r="O62" i="27"/>
  <c r="O47" i="27"/>
  <c r="O51" i="29"/>
  <c r="O42" i="30"/>
  <c r="O34" i="30"/>
  <c r="P128" i="31"/>
  <c r="P126" i="31"/>
  <c r="P118" i="31"/>
  <c r="P114" i="31"/>
  <c r="O64" i="31"/>
  <c r="P121" i="33"/>
  <c r="P119" i="33"/>
  <c r="P115" i="33"/>
  <c r="P107" i="33"/>
  <c r="O50" i="33"/>
  <c r="O69" i="39"/>
  <c r="O67" i="39"/>
  <c r="O57" i="39"/>
  <c r="O54" i="41"/>
  <c r="O43" i="41"/>
  <c r="O63" i="44"/>
  <c r="O52" i="44"/>
  <c r="O39" i="44"/>
  <c r="O33" i="44"/>
  <c r="O63" i="57"/>
  <c r="O66" i="19"/>
  <c r="O64" i="19"/>
  <c r="O50" i="19"/>
  <c r="O48" i="19"/>
  <c r="O44" i="19"/>
  <c r="O42" i="19"/>
  <c r="O37" i="19"/>
  <c r="O30" i="19"/>
  <c r="O28" i="19"/>
  <c r="O71" i="20"/>
  <c r="O46" i="20"/>
  <c r="O28" i="20"/>
  <c r="O65" i="21"/>
  <c r="O51" i="21"/>
  <c r="O29" i="21"/>
  <c r="O56" i="22"/>
  <c r="O52" i="22"/>
  <c r="O48" i="22"/>
  <c r="O46" i="22"/>
  <c r="O36" i="22"/>
  <c r="O65" i="23"/>
  <c r="O57" i="23"/>
  <c r="O29" i="23"/>
  <c r="O52" i="24"/>
  <c r="O30" i="24"/>
  <c r="P136" i="25"/>
  <c r="P105" i="25"/>
  <c r="O72" i="25"/>
  <c r="O59" i="25"/>
  <c r="O47" i="25"/>
  <c r="O25" i="25"/>
  <c r="P149" i="26"/>
  <c r="P141" i="26"/>
  <c r="P137" i="26"/>
  <c r="P135" i="26"/>
  <c r="P133" i="26"/>
  <c r="P131" i="26"/>
  <c r="P125" i="26"/>
  <c r="P121" i="26"/>
  <c r="P111" i="26"/>
  <c r="P105" i="26"/>
  <c r="P101" i="26"/>
  <c r="O68" i="26"/>
  <c r="O43" i="26"/>
  <c r="F17" i="26"/>
  <c r="O65" i="27"/>
  <c r="O63" i="27"/>
  <c r="O45" i="27"/>
  <c r="O48" i="28"/>
  <c r="O46" i="29"/>
  <c r="O42" i="29"/>
  <c r="O32" i="29"/>
  <c r="O30" i="29"/>
  <c r="P148" i="30"/>
  <c r="P115" i="30"/>
  <c r="P113" i="30"/>
  <c r="P111" i="30"/>
  <c r="O69" i="30"/>
  <c r="O67" i="30"/>
  <c r="O39" i="30"/>
  <c r="O35" i="30"/>
  <c r="O33" i="30"/>
  <c r="O37" i="31"/>
  <c r="O35" i="31"/>
  <c r="O30" i="31"/>
  <c r="O28" i="31"/>
  <c r="O59" i="32"/>
  <c r="O58" i="32"/>
  <c r="O44" i="32"/>
  <c r="P154" i="33"/>
  <c r="P150" i="33"/>
  <c r="P142" i="33"/>
  <c r="O33" i="33"/>
  <c r="O21" i="33"/>
  <c r="O19" i="33"/>
  <c r="O17" i="33"/>
  <c r="O71" i="34"/>
  <c r="O59" i="34"/>
  <c r="O28" i="34"/>
  <c r="O72" i="35"/>
  <c r="O63" i="35"/>
  <c r="O51" i="35"/>
  <c r="O49" i="35"/>
  <c r="O34" i="35"/>
  <c r="O41" i="39"/>
  <c r="O37" i="39"/>
  <c r="O28" i="39"/>
  <c r="O52" i="41"/>
  <c r="O40" i="41"/>
  <c r="O32" i="41"/>
  <c r="P149" i="42"/>
  <c r="P137" i="42"/>
  <c r="P135" i="42"/>
  <c r="P131" i="42"/>
  <c r="P113" i="42"/>
  <c r="O64" i="42"/>
  <c r="P110" i="43"/>
  <c r="O42" i="43"/>
  <c r="P148" i="44"/>
  <c r="P134" i="44"/>
  <c r="P132" i="44"/>
  <c r="P116" i="44"/>
  <c r="P106" i="44"/>
  <c r="P123" i="45"/>
  <c r="P117" i="45"/>
  <c r="P113" i="45"/>
  <c r="P109" i="45"/>
  <c r="P105" i="45"/>
  <c r="O43" i="45"/>
  <c r="O25" i="45"/>
  <c r="O65" i="53"/>
  <c r="O57" i="57"/>
  <c r="O44" i="61"/>
  <c r="O48" i="60"/>
  <c r="O35" i="66"/>
  <c r="O50" i="54"/>
  <c r="O37" i="54"/>
  <c r="O33" i="54"/>
  <c r="O29" i="54"/>
  <c r="O67" i="55"/>
  <c r="O55" i="55"/>
  <c r="O65" i="58"/>
  <c r="O29" i="58"/>
  <c r="O69" i="61"/>
  <c r="O39" i="61"/>
  <c r="O58" i="63"/>
  <c r="O53" i="63"/>
  <c r="O32" i="63"/>
  <c r="O25" i="63"/>
  <c r="O52" i="62"/>
  <c r="O50" i="62"/>
  <c r="O33" i="62"/>
  <c r="O69" i="60"/>
  <c r="O45" i="60"/>
  <c r="O35" i="60"/>
  <c r="O28" i="60"/>
  <c r="O24" i="60"/>
  <c r="O60" i="64"/>
  <c r="O39" i="65"/>
  <c r="O71" i="67"/>
  <c r="O49" i="67"/>
  <c r="O45" i="67"/>
  <c r="O27" i="53"/>
  <c r="O54" i="54"/>
  <c r="O52" i="54"/>
  <c r="O70" i="55"/>
  <c r="O68" i="55"/>
  <c r="O66" i="55"/>
  <c r="O42" i="55"/>
  <c r="O60" i="56"/>
  <c r="O62" i="57"/>
  <c r="O65" i="64"/>
  <c r="O28" i="64"/>
  <c r="O27" i="66"/>
  <c r="O56" i="68"/>
  <c r="O52" i="68"/>
  <c r="O60" i="70"/>
  <c r="O58" i="70"/>
  <c r="O41" i="46"/>
  <c r="O39" i="46"/>
  <c r="O30" i="53"/>
  <c r="O46" i="54"/>
  <c r="O25" i="54"/>
  <c r="O38" i="55"/>
  <c r="O28" i="55"/>
  <c r="P141" i="56"/>
  <c r="P137" i="56"/>
  <c r="P131" i="56"/>
  <c r="P129" i="56"/>
  <c r="P120" i="56"/>
  <c r="P104" i="56"/>
  <c r="O61" i="56"/>
  <c r="O59" i="56"/>
  <c r="O55" i="57"/>
  <c r="O51" i="58"/>
  <c r="O28" i="58"/>
  <c r="O61" i="59"/>
  <c r="O54" i="59"/>
  <c r="O50" i="59"/>
  <c r="O44" i="59"/>
  <c r="O28" i="59"/>
  <c r="O24" i="59"/>
  <c r="O66" i="61"/>
  <c r="O38" i="61"/>
  <c r="O33" i="61"/>
  <c r="O54" i="63"/>
  <c r="O41" i="63"/>
  <c r="O23" i="62"/>
  <c r="O50" i="60"/>
  <c r="O36" i="60"/>
  <c r="O25" i="60"/>
  <c r="O55" i="64"/>
  <c r="O48" i="64"/>
  <c r="O41" i="64"/>
  <c r="O33" i="64"/>
  <c r="O34" i="65"/>
  <c r="O30" i="65"/>
  <c r="O48" i="66"/>
  <c r="O46" i="66"/>
  <c r="O31" i="66"/>
  <c r="O48" i="67"/>
  <c r="O70" i="68"/>
  <c r="O48" i="68"/>
  <c r="O43" i="68"/>
  <c r="O66" i="69"/>
  <c r="O64" i="69"/>
  <c r="O62" i="69"/>
  <c r="O60" i="69"/>
  <c r="O52" i="69"/>
  <c r="O34" i="69"/>
  <c r="O40" i="70"/>
  <c r="O54" i="70"/>
  <c r="O52" i="70"/>
  <c r="O32" i="70"/>
  <c r="O62" i="72"/>
  <c r="O54" i="72"/>
  <c r="O65" i="73"/>
  <c r="O39" i="74"/>
  <c r="O33" i="74"/>
  <c r="O69" i="76"/>
  <c r="O62" i="76"/>
  <c r="O60" i="76"/>
  <c r="O32" i="77"/>
  <c r="O46" i="79"/>
  <c r="O27" i="79"/>
  <c r="O63" i="81"/>
  <c r="O58" i="81"/>
  <c r="O21" i="81"/>
  <c r="O71" i="83"/>
  <c r="O44" i="83"/>
  <c r="P106" i="84"/>
  <c r="O36" i="84"/>
  <c r="O61" i="87"/>
  <c r="O40" i="89"/>
  <c r="O20" i="89"/>
  <c r="O67" i="90"/>
  <c r="P104" i="91"/>
  <c r="O39" i="91"/>
  <c r="P122" i="92"/>
  <c r="P120" i="92"/>
  <c r="O43" i="92"/>
  <c r="P112" i="95"/>
  <c r="O58" i="95"/>
  <c r="O56" i="95"/>
  <c r="P123" i="96"/>
  <c r="P117" i="96"/>
  <c r="P115" i="96"/>
  <c r="O60" i="96"/>
  <c r="O54" i="96"/>
  <c r="O58" i="97"/>
  <c r="O41" i="97"/>
  <c r="O39" i="97"/>
  <c r="P106" i="98"/>
  <c r="O49" i="98"/>
  <c r="O40" i="98"/>
  <c r="O36" i="98"/>
  <c r="O32" i="98"/>
  <c r="O25" i="98"/>
  <c r="O29" i="13"/>
  <c r="O27" i="13"/>
  <c r="O31" i="99"/>
  <c r="O56" i="100"/>
  <c r="O70" i="71"/>
  <c r="O31" i="71"/>
  <c r="O29" i="71"/>
  <c r="O30" i="72"/>
  <c r="O61" i="78"/>
  <c r="O34" i="78"/>
  <c r="O50" i="80"/>
  <c r="O25" i="80"/>
  <c r="O43" i="82"/>
  <c r="O41" i="82"/>
  <c r="O36" i="83"/>
  <c r="O34" i="83"/>
  <c r="O27" i="83"/>
  <c r="P101" i="84"/>
  <c r="O64" i="84"/>
  <c r="O35" i="84"/>
  <c r="O31" i="84"/>
  <c r="O66" i="85"/>
  <c r="P129" i="86"/>
  <c r="P121" i="86"/>
  <c r="P117" i="86"/>
  <c r="P113" i="86"/>
  <c r="P109" i="86"/>
  <c r="P101" i="86"/>
  <c r="O33" i="86"/>
  <c r="O31" i="86"/>
  <c r="O26" i="86"/>
  <c r="P102" i="87"/>
  <c r="O70" i="87"/>
  <c r="O27" i="87"/>
  <c r="O19" i="87"/>
  <c r="O59" i="89"/>
  <c r="O43" i="89"/>
  <c r="O39" i="89"/>
  <c r="O37" i="89"/>
  <c r="O35" i="89"/>
  <c r="O23" i="100"/>
  <c r="O45" i="100"/>
  <c r="P106" i="100"/>
  <c r="O29" i="78"/>
  <c r="O68" i="81"/>
  <c r="O53" i="81"/>
  <c r="O24" i="81"/>
  <c r="O57" i="82"/>
  <c r="O51" i="82"/>
  <c r="O29" i="82"/>
  <c r="O25" i="82"/>
  <c r="O47" i="87"/>
  <c r="O62" i="90"/>
  <c r="O30" i="90"/>
  <c r="P105" i="91"/>
  <c r="O62" i="91"/>
  <c r="P106" i="92"/>
  <c r="O36" i="95"/>
  <c r="P126" i="96"/>
  <c r="P122" i="96"/>
  <c r="P112" i="96"/>
  <c r="P102" i="96"/>
  <c r="O61" i="96"/>
  <c r="O46" i="96"/>
  <c r="O42" i="96"/>
  <c r="O38" i="96"/>
  <c r="O36" i="96"/>
  <c r="O26" i="96"/>
  <c r="O24" i="96"/>
  <c r="P128" i="97"/>
  <c r="O44" i="97"/>
  <c r="O40" i="97"/>
  <c r="O45" i="98"/>
  <c r="O18" i="99"/>
  <c r="O69" i="99"/>
  <c r="P113" i="99"/>
  <c r="P129" i="99"/>
  <c r="O64" i="70"/>
  <c r="O41" i="70"/>
  <c r="O45" i="72"/>
  <c r="O37" i="72"/>
  <c r="O35" i="73"/>
  <c r="O67" i="75"/>
  <c r="O48" i="75"/>
  <c r="O44" i="75"/>
  <c r="O40" i="75"/>
  <c r="O34" i="75"/>
  <c r="O48" i="78"/>
  <c r="O71" i="79"/>
  <c r="O69" i="79"/>
  <c r="O67" i="79"/>
  <c r="O58" i="80"/>
  <c r="O22" i="80"/>
  <c r="O64" i="83"/>
  <c r="O67" i="85"/>
  <c r="O62" i="85"/>
  <c r="O52" i="85"/>
  <c r="P130" i="86"/>
  <c r="P126" i="86"/>
  <c r="P122" i="86"/>
  <c r="O70" i="86"/>
  <c r="O21" i="86"/>
  <c r="O62" i="87"/>
  <c r="O59" i="98"/>
  <c r="O55" i="98"/>
  <c r="R12" i="36"/>
  <c r="E104" i="60"/>
  <c r="E103" i="60"/>
  <c r="F103" i="60" s="1"/>
  <c r="B111" i="70"/>
  <c r="G108" i="17"/>
  <c r="E109" i="17"/>
  <c r="D109" i="17"/>
  <c r="E99" i="87"/>
  <c r="G108" i="20"/>
  <c r="D109" i="20"/>
  <c r="E109" i="20"/>
  <c r="G101" i="35"/>
  <c r="H101" i="35" s="1"/>
  <c r="B102" i="35"/>
  <c r="E102" i="35"/>
  <c r="F102" i="35" s="1"/>
  <c r="G104" i="35"/>
  <c r="H104" i="35" s="1"/>
  <c r="B105" i="35"/>
  <c r="E105" i="35"/>
  <c r="F105" i="35" s="1"/>
  <c r="E106" i="35" s="1"/>
  <c r="F106" i="35" s="1"/>
  <c r="J109" i="70"/>
  <c r="F110" i="29"/>
  <c r="D111" i="29" s="1"/>
  <c r="B108" i="20"/>
  <c r="P141" i="20"/>
  <c r="P130" i="20"/>
  <c r="P149" i="21"/>
  <c r="P138" i="21"/>
  <c r="P143" i="26"/>
  <c r="P120" i="26"/>
  <c r="P112" i="26"/>
  <c r="P108" i="26"/>
  <c r="P104" i="26"/>
  <c r="I104" i="35"/>
  <c r="J104" i="35" s="1"/>
  <c r="P136" i="17"/>
  <c r="P128" i="17"/>
  <c r="P117" i="17"/>
  <c r="P109" i="17"/>
  <c r="P123" i="18"/>
  <c r="P151" i="22"/>
  <c r="P140" i="22"/>
  <c r="P129" i="22"/>
  <c r="P112" i="22"/>
  <c r="P108" i="22"/>
  <c r="P139" i="23"/>
  <c r="P135" i="23"/>
  <c r="P153" i="25"/>
  <c r="P123" i="25"/>
  <c r="P136" i="30"/>
  <c r="P117" i="30"/>
  <c r="P145" i="32"/>
  <c r="P141" i="32"/>
  <c r="P154" i="3"/>
  <c r="P107" i="26"/>
  <c r="P119" i="27"/>
  <c r="P133" i="29"/>
  <c r="P125" i="29"/>
  <c r="P117" i="29"/>
  <c r="P113" i="29"/>
  <c r="J107" i="17"/>
  <c r="E103" i="67"/>
  <c r="F103" i="67" s="1"/>
  <c r="P99" i="89"/>
  <c r="P146" i="3"/>
  <c r="P154" i="17"/>
  <c r="P139" i="17"/>
  <c r="P120" i="17"/>
  <c r="P116" i="17"/>
  <c r="P112" i="17"/>
  <c r="P133" i="18"/>
  <c r="P129" i="18"/>
  <c r="P126" i="18"/>
  <c r="P154" i="19"/>
  <c r="P146" i="19"/>
  <c r="P142" i="19"/>
  <c r="P151" i="20"/>
  <c r="P147" i="20"/>
  <c r="P143" i="20"/>
  <c r="P136" i="20"/>
  <c r="P125" i="20"/>
  <c r="P151" i="21"/>
  <c r="P122" i="21"/>
  <c r="P103" i="25"/>
  <c r="P130" i="26"/>
  <c r="P126" i="26"/>
  <c r="P120" i="30"/>
  <c r="P143" i="31"/>
  <c r="P131" i="31"/>
  <c r="P127" i="63"/>
  <c r="P153" i="22"/>
  <c r="P129" i="25"/>
  <c r="P125" i="25"/>
  <c r="P106" i="25"/>
  <c r="P99" i="25"/>
  <c r="P145" i="26"/>
  <c r="P110" i="26"/>
  <c r="P106" i="26"/>
  <c r="P153" i="27"/>
  <c r="P126" i="27"/>
  <c r="P118" i="27"/>
  <c r="P114" i="27"/>
  <c r="P151" i="28"/>
  <c r="P135" i="28"/>
  <c r="P131" i="28"/>
  <c r="P144" i="29"/>
  <c r="P154" i="30"/>
  <c r="P146" i="30"/>
  <c r="P123" i="30"/>
  <c r="P109" i="30"/>
  <c r="P108" i="31"/>
  <c r="P151" i="32"/>
  <c r="P127" i="56"/>
  <c r="E111" i="70"/>
  <c r="F111" i="70" s="1"/>
  <c r="P141" i="3"/>
  <c r="P133" i="3"/>
  <c r="P138" i="17"/>
  <c r="P134" i="17"/>
  <c r="P130" i="17"/>
  <c r="P149" i="19"/>
  <c r="P135" i="20"/>
  <c r="P154" i="21"/>
  <c r="P143" i="21"/>
  <c r="P124" i="22"/>
  <c r="P110" i="22"/>
  <c r="P153" i="23"/>
  <c r="P149" i="23"/>
  <c r="P145" i="23"/>
  <c r="P141" i="23"/>
  <c r="P137" i="23"/>
  <c r="P129" i="23"/>
  <c r="P125" i="23"/>
  <c r="P121" i="23"/>
  <c r="P110" i="23"/>
  <c r="P126" i="24"/>
  <c r="P114" i="24"/>
  <c r="P110" i="24"/>
  <c r="G110" i="70"/>
  <c r="P143" i="18"/>
  <c r="P129" i="19"/>
  <c r="P145" i="31"/>
  <c r="P154" i="32"/>
  <c r="P99" i="91"/>
  <c r="P148" i="3"/>
  <c r="P113" i="18"/>
  <c r="P125" i="19"/>
  <c r="P121" i="19"/>
  <c r="P148" i="22"/>
  <c r="P148" i="23"/>
  <c r="P132" i="23"/>
  <c r="P120" i="23"/>
  <c r="P109" i="23"/>
  <c r="P129" i="24"/>
  <c r="P154" i="25"/>
  <c r="P150" i="25"/>
  <c r="P132" i="26"/>
  <c r="P124" i="26"/>
  <c r="P137" i="30"/>
  <c r="P133" i="30"/>
  <c r="P152" i="31"/>
  <c r="P137" i="31"/>
  <c r="P130" i="34"/>
  <c r="P124" i="56"/>
  <c r="P116" i="56"/>
  <c r="P133" i="32"/>
  <c r="P129" i="32"/>
  <c r="P130" i="33"/>
  <c r="P103" i="33"/>
  <c r="P153" i="34"/>
  <c r="P137" i="34"/>
  <c r="P118" i="34"/>
  <c r="P114" i="34"/>
  <c r="P118" i="35"/>
  <c r="P153" i="39"/>
  <c r="P149" i="39"/>
  <c r="P141" i="39"/>
  <c r="P151" i="42"/>
  <c r="P139" i="42"/>
  <c r="P154" i="43"/>
  <c r="P142" i="43"/>
  <c r="P118" i="43"/>
  <c r="P110" i="45"/>
  <c r="P106" i="45"/>
  <c r="P149" i="46"/>
  <c r="P145" i="46"/>
  <c r="P110" i="53"/>
  <c r="P154" i="54"/>
  <c r="P150" i="54"/>
  <c r="P146" i="54"/>
  <c r="P131" i="54"/>
  <c r="P127" i="54"/>
  <c r="P111" i="54"/>
  <c r="P107" i="54"/>
  <c r="P153" i="56"/>
  <c r="P130" i="56"/>
  <c r="P141" i="57"/>
  <c r="P127" i="61"/>
  <c r="P111" i="61"/>
  <c r="P111" i="63"/>
  <c r="P107" i="63"/>
  <c r="P124" i="62"/>
  <c r="P120" i="60"/>
  <c r="P104" i="60"/>
  <c r="P113" i="64"/>
  <c r="P109" i="64"/>
  <c r="P105" i="64"/>
  <c r="P104" i="65"/>
  <c r="P112" i="66"/>
  <c r="P128" i="67"/>
  <c r="P124" i="67"/>
  <c r="P124" i="68"/>
  <c r="P114" i="68"/>
  <c r="P110" i="68"/>
  <c r="P103" i="68"/>
  <c r="P120" i="70"/>
  <c r="P125" i="73"/>
  <c r="P122" i="75"/>
  <c r="P128" i="76"/>
  <c r="P103" i="78"/>
  <c r="P127" i="80"/>
  <c r="P119" i="80"/>
  <c r="P111" i="80"/>
  <c r="P102" i="84"/>
  <c r="P106" i="85"/>
  <c r="P116" i="87"/>
  <c r="P108" i="87"/>
  <c r="P113" i="89"/>
  <c r="P109" i="89"/>
  <c r="P121" i="90"/>
  <c r="P116" i="95"/>
  <c r="P108" i="95"/>
  <c r="P100" i="95"/>
  <c r="P106" i="96"/>
  <c r="P111" i="99"/>
  <c r="P127" i="99"/>
  <c r="P104" i="100"/>
  <c r="P117" i="32"/>
  <c r="P109" i="32"/>
  <c r="P110" i="33"/>
  <c r="P128" i="41"/>
  <c r="P138" i="54"/>
  <c r="P107" i="62"/>
  <c r="P111" i="66"/>
  <c r="P107" i="66"/>
  <c r="P103" i="66"/>
  <c r="P130" i="80"/>
  <c r="P114" i="80"/>
  <c r="P126" i="81"/>
  <c r="P122" i="81"/>
  <c r="P111" i="81"/>
  <c r="P107" i="81"/>
  <c r="P116" i="89"/>
  <c r="P130" i="95"/>
  <c r="P120" i="99"/>
  <c r="P128" i="99"/>
  <c r="P113" i="100"/>
  <c r="P136" i="33"/>
  <c r="P125" i="33"/>
  <c r="P132" i="34"/>
  <c r="P124" i="34"/>
  <c r="P147" i="41"/>
  <c r="P139" i="41"/>
  <c r="P140" i="46"/>
  <c r="P124" i="46"/>
  <c r="P140" i="53"/>
  <c r="P140" i="56"/>
  <c r="P136" i="56"/>
  <c r="P132" i="56"/>
  <c r="P147" i="57"/>
  <c r="P110" i="59"/>
  <c r="P119" i="64"/>
  <c r="P126" i="68"/>
  <c r="P123" i="76"/>
  <c r="P104" i="76"/>
  <c r="P123" i="77"/>
  <c r="P113" i="82"/>
  <c r="P127" i="85"/>
  <c r="P116" i="85"/>
  <c r="P112" i="85"/>
  <c r="P108" i="85"/>
  <c r="P100" i="85"/>
  <c r="P103" i="86"/>
  <c r="P120" i="91"/>
  <c r="P126" i="95"/>
  <c r="P114" i="95"/>
  <c r="P128" i="13"/>
  <c r="P108" i="13"/>
  <c r="P129" i="100"/>
  <c r="P139" i="34"/>
  <c r="P120" i="35"/>
  <c r="P116" i="35"/>
  <c r="P128" i="45"/>
  <c r="P116" i="45"/>
  <c r="P126" i="55"/>
  <c r="P126" i="67"/>
  <c r="P124" i="75"/>
  <c r="P111" i="77"/>
  <c r="P129" i="80"/>
  <c r="P107" i="89"/>
  <c r="P114" i="100"/>
  <c r="P123" i="32"/>
  <c r="P114" i="44"/>
  <c r="P143" i="46"/>
  <c r="P118" i="62"/>
  <c r="P129" i="70"/>
  <c r="P120" i="74"/>
  <c r="P116" i="75"/>
  <c r="P103" i="77"/>
  <c r="P112" i="82"/>
  <c r="P100" i="82"/>
  <c r="P127" i="84"/>
  <c r="P111" i="84"/>
  <c r="P104" i="84"/>
  <c r="P138" i="34"/>
  <c r="P140" i="42"/>
  <c r="P121" i="67"/>
  <c r="P108" i="78"/>
  <c r="P120" i="80"/>
  <c r="P112" i="80"/>
  <c r="P111" i="83"/>
  <c r="P103" i="83"/>
  <c r="P113" i="87"/>
  <c r="P130" i="89"/>
  <c r="P126" i="89"/>
  <c r="P111" i="92"/>
  <c r="P112" i="98"/>
  <c r="P108" i="98"/>
  <c r="P104" i="98"/>
  <c r="P122" i="99"/>
  <c r="P100" i="100"/>
  <c r="E29" i="2"/>
  <c r="F52" i="2"/>
  <c r="O87" i="62"/>
  <c r="N89" i="62"/>
  <c r="O87" i="31"/>
  <c r="P127" i="23"/>
  <c r="P132" i="30"/>
  <c r="P112" i="30"/>
  <c r="P142" i="46"/>
  <c r="P123" i="46"/>
  <c r="P118" i="54"/>
  <c r="P113" i="63"/>
  <c r="P130" i="81"/>
  <c r="P101" i="99"/>
  <c r="M89" i="96"/>
  <c r="C38" i="2"/>
  <c r="P141" i="21"/>
  <c r="P122" i="24"/>
  <c r="P125" i="28"/>
  <c r="P111" i="29"/>
  <c r="P110" i="31"/>
  <c r="P123" i="33"/>
  <c r="P110" i="70"/>
  <c r="P119" i="88"/>
  <c r="P109" i="91"/>
  <c r="O87" i="78"/>
  <c r="P135" i="30"/>
  <c r="P125" i="54"/>
  <c r="P112" i="55"/>
  <c r="P111" i="64"/>
  <c r="P112" i="69"/>
  <c r="P125" i="82"/>
  <c r="P107" i="82"/>
  <c r="P103" i="82"/>
  <c r="P102" i="99"/>
  <c r="O87" i="76"/>
  <c r="P115" i="22"/>
  <c r="P125" i="24"/>
  <c r="P135" i="31"/>
  <c r="P108" i="42"/>
  <c r="P150" i="43"/>
  <c r="P139" i="44"/>
  <c r="P118" i="75"/>
  <c r="P118" i="79"/>
  <c r="E32" i="2"/>
  <c r="E36" i="2" s="1"/>
  <c r="F53" i="2" s="1"/>
  <c r="F54" i="2" s="1"/>
  <c r="F61" i="2" s="1"/>
  <c r="F64" i="2" s="1"/>
  <c r="F66" i="2" s="1"/>
  <c r="F68" i="2" s="1"/>
  <c r="P99" i="90"/>
  <c r="O87" i="39"/>
  <c r="P109" i="24"/>
  <c r="P147" i="28"/>
  <c r="P153" i="29"/>
  <c r="P119" i="32"/>
  <c r="P122" i="55"/>
  <c r="P129" i="65"/>
  <c r="P106" i="82"/>
  <c r="O87" i="79"/>
  <c r="O87" i="74"/>
  <c r="O87" i="24"/>
  <c r="P132" i="20"/>
  <c r="P112" i="31"/>
  <c r="P129" i="43"/>
  <c r="P125" i="45"/>
  <c r="P102" i="65"/>
  <c r="P120" i="78"/>
  <c r="P120" i="81"/>
  <c r="P125" i="83"/>
  <c r="P115" i="86"/>
  <c r="P115" i="92"/>
  <c r="O87" i="92"/>
  <c r="P137" i="19"/>
  <c r="P152" i="29"/>
  <c r="P119" i="30"/>
  <c r="P139" i="46"/>
  <c r="P115" i="56"/>
  <c r="P132" i="58"/>
  <c r="P111" i="62"/>
  <c r="P108" i="60"/>
  <c r="P105" i="65"/>
  <c r="P123" i="68"/>
  <c r="P108" i="81"/>
  <c r="P130" i="82"/>
  <c r="P109" i="82"/>
  <c r="P105" i="82"/>
  <c r="P101" i="82"/>
  <c r="P102" i="95"/>
  <c r="P104" i="99"/>
  <c r="O87" i="21"/>
  <c r="O87" i="83"/>
  <c r="P147" i="30"/>
  <c r="P133" i="31"/>
  <c r="P115" i="31"/>
  <c r="P117" i="33"/>
  <c r="P144" i="43"/>
  <c r="P105" i="61"/>
  <c r="P125" i="69"/>
  <c r="P114" i="86"/>
  <c r="K58" i="36"/>
  <c r="L58" i="36" s="1"/>
  <c r="K52" i="36"/>
  <c r="L52" i="36" s="1"/>
  <c r="K27" i="36"/>
  <c r="L27" i="36" s="1"/>
  <c r="K69" i="36"/>
  <c r="L69" i="36" s="1"/>
  <c r="K20" i="36"/>
  <c r="L20" i="36" s="1"/>
  <c r="K86" i="36"/>
  <c r="L86" i="36" s="1"/>
  <c r="K39" i="36"/>
  <c r="L39" i="36" s="1"/>
  <c r="K56" i="36"/>
  <c r="L56" i="36" s="1"/>
  <c r="K49" i="36"/>
  <c r="L49" i="36" s="1"/>
  <c r="K90" i="36"/>
  <c r="L90" i="36" s="1"/>
  <c r="K60" i="36"/>
  <c r="L60" i="36" s="1"/>
  <c r="K83" i="36"/>
  <c r="L83" i="36" s="1"/>
  <c r="K77" i="36"/>
  <c r="L77" i="36" s="1"/>
  <c r="K30" i="36"/>
  <c r="L30" i="36" s="1"/>
  <c r="K40" i="36"/>
  <c r="L40" i="36" s="1"/>
  <c r="K47" i="36"/>
  <c r="L47" i="36" s="1"/>
  <c r="K64" i="36"/>
  <c r="L64" i="36" s="1"/>
  <c r="K57" i="36"/>
  <c r="L57" i="36" s="1"/>
  <c r="K51" i="36"/>
  <c r="L51" i="36" s="1"/>
  <c r="K68" i="36"/>
  <c r="L68" i="36" s="1"/>
  <c r="K19" i="36"/>
  <c r="L19" i="36" s="1"/>
  <c r="K85" i="36"/>
  <c r="L85" i="36" s="1"/>
  <c r="K38" i="36"/>
  <c r="L38" i="36" s="1"/>
  <c r="K42" i="36"/>
  <c r="L42" i="36" s="1"/>
  <c r="K55" i="36"/>
  <c r="L55" i="36" s="1"/>
  <c r="K72" i="36"/>
  <c r="L72" i="36" s="1"/>
  <c r="K65" i="36"/>
  <c r="L65" i="36" s="1"/>
  <c r="K53" i="36"/>
  <c r="L53" i="36" s="1"/>
  <c r="K22" i="36"/>
  <c r="L22" i="36" s="1"/>
  <c r="K59" i="36"/>
  <c r="L59" i="36" s="1"/>
  <c r="K76" i="36"/>
  <c r="L76" i="36" s="1"/>
  <c r="K29" i="36"/>
  <c r="L29" i="36" s="1"/>
  <c r="K26" i="36"/>
  <c r="L26" i="36" s="1"/>
  <c r="K46" i="36"/>
  <c r="L46" i="36" s="1"/>
  <c r="K82" i="36"/>
  <c r="L82" i="36" s="1"/>
  <c r="K63" i="36"/>
  <c r="L63" i="36" s="1"/>
  <c r="K80" i="36"/>
  <c r="L80" i="36" s="1"/>
  <c r="K73" i="36"/>
  <c r="L73" i="36" s="1"/>
  <c r="K35" i="36"/>
  <c r="L35" i="36" s="1"/>
  <c r="K32" i="36"/>
  <c r="L32" i="36" s="1"/>
  <c r="K67" i="36"/>
  <c r="L67" i="36" s="1"/>
  <c r="K23" i="36"/>
  <c r="L23" i="36" s="1"/>
  <c r="K18" i="36"/>
  <c r="K84" i="36"/>
  <c r="L84" i="36" s="1"/>
  <c r="K37" i="36"/>
  <c r="L37" i="36" s="1"/>
  <c r="K50" i="36"/>
  <c r="L50" i="36" s="1"/>
  <c r="K54" i="36"/>
  <c r="L54" i="36" s="1"/>
  <c r="K43" i="36"/>
  <c r="L43" i="36" s="1"/>
  <c r="K71" i="36"/>
  <c r="L71" i="36" s="1"/>
  <c r="K88" i="36"/>
  <c r="L88" i="36" s="1"/>
  <c r="K81" i="36"/>
  <c r="L81" i="36" s="1"/>
  <c r="K36" i="36"/>
  <c r="L36" i="36" s="1"/>
  <c r="K70" i="36"/>
  <c r="L70" i="36" s="1"/>
  <c r="K33" i="36"/>
  <c r="L33" i="36" s="1"/>
  <c r="K66" i="36"/>
  <c r="L66" i="36" s="1"/>
  <c r="K78" i="36"/>
  <c r="L78" i="36" s="1"/>
  <c r="K41" i="36"/>
  <c r="L41" i="36" s="1"/>
  <c r="K28" i="36"/>
  <c r="L28" i="36" s="1"/>
  <c r="K48" i="36"/>
  <c r="L48" i="36" s="1"/>
  <c r="K45" i="36"/>
  <c r="L45" i="36" s="1"/>
  <c r="K74" i="36"/>
  <c r="L74" i="36" s="1"/>
  <c r="K62" i="36"/>
  <c r="L62" i="36" s="1"/>
  <c r="K75" i="36"/>
  <c r="L75" i="36" s="1"/>
  <c r="K79" i="36"/>
  <c r="L79" i="36" s="1"/>
  <c r="K24" i="36"/>
  <c r="L24" i="36" s="1"/>
  <c r="K89" i="36"/>
  <c r="L89" i="36" s="1"/>
  <c r="K34" i="36"/>
  <c r="L34" i="36" s="1"/>
  <c r="K87" i="36"/>
  <c r="L87" i="36" s="1"/>
  <c r="K44" i="36"/>
  <c r="L44" i="36" s="1"/>
  <c r="K61" i="36"/>
  <c r="L61" i="36" s="1"/>
  <c r="K31" i="36"/>
  <c r="L31" i="36" s="1"/>
  <c r="K21" i="36"/>
  <c r="L21" i="36" s="1"/>
  <c r="K25" i="36"/>
  <c r="L25" i="36" s="1"/>
  <c r="O88" i="98"/>
  <c r="O89" i="98" s="1"/>
  <c r="C127" i="29"/>
  <c r="C128" i="29" s="1"/>
  <c r="C129" i="29" s="1"/>
  <c r="C130" i="29" s="1"/>
  <c r="C131" i="29" s="1"/>
  <c r="C132" i="29" s="1"/>
  <c r="C133" i="29" s="1"/>
  <c r="C134" i="29" s="1"/>
  <c r="C135" i="29" s="1"/>
  <c r="C136" i="29" s="1"/>
  <c r="C137" i="29" s="1"/>
  <c r="C138" i="29" s="1"/>
  <c r="C139" i="29" s="1"/>
  <c r="C140" i="29" s="1"/>
  <c r="C141" i="29" s="1"/>
  <c r="C142" i="29" s="1"/>
  <c r="C143" i="29" s="1"/>
  <c r="C144" i="29" s="1"/>
  <c r="C145" i="29" s="1"/>
  <c r="C146" i="29" s="1"/>
  <c r="C147" i="29" s="1"/>
  <c r="C148" i="29" s="1"/>
  <c r="C149" i="29" s="1"/>
  <c r="C150" i="29" s="1"/>
  <c r="C151" i="29" s="1"/>
  <c r="C152" i="29" s="1"/>
  <c r="C153" i="29" s="1"/>
  <c r="C154" i="29" s="1"/>
  <c r="N88" i="29"/>
  <c r="M88" i="29"/>
  <c r="M89" i="29" s="1"/>
  <c r="C127" i="21"/>
  <c r="C128" i="21" s="1"/>
  <c r="C129" i="21" s="1"/>
  <c r="C130" i="21" s="1"/>
  <c r="C131" i="21" s="1"/>
  <c r="C132" i="21" s="1"/>
  <c r="C133" i="21" s="1"/>
  <c r="C134" i="21" s="1"/>
  <c r="C135" i="21" s="1"/>
  <c r="C136" i="21" s="1"/>
  <c r="C137" i="21" s="1"/>
  <c r="C138" i="21" s="1"/>
  <c r="C139" i="21" s="1"/>
  <c r="C140" i="21" s="1"/>
  <c r="C141" i="21" s="1"/>
  <c r="C142" i="21" s="1"/>
  <c r="C143" i="21" s="1"/>
  <c r="C144" i="21" s="1"/>
  <c r="C145" i="21" s="1"/>
  <c r="C146" i="21" s="1"/>
  <c r="C147" i="21" s="1"/>
  <c r="C148" i="21" s="1"/>
  <c r="C149" i="21" s="1"/>
  <c r="C150" i="21" s="1"/>
  <c r="C151" i="21" s="1"/>
  <c r="C152" i="21" s="1"/>
  <c r="C153" i="21" s="1"/>
  <c r="C154" i="21" s="1"/>
  <c r="N88" i="67"/>
  <c r="C127" i="67"/>
  <c r="C128" i="67" s="1"/>
  <c r="C129" i="67" s="1"/>
  <c r="C130" i="67" s="1"/>
  <c r="C131" i="67" s="1"/>
  <c r="C132" i="67" s="1"/>
  <c r="C133" i="67" s="1"/>
  <c r="C134" i="67" s="1"/>
  <c r="C135" i="67" s="1"/>
  <c r="C136" i="67" s="1"/>
  <c r="C137" i="67" s="1"/>
  <c r="C138" i="67" s="1"/>
  <c r="C139" i="67" s="1"/>
  <c r="C140" i="67" s="1"/>
  <c r="C141" i="67" s="1"/>
  <c r="C142" i="67" s="1"/>
  <c r="C143" i="67" s="1"/>
  <c r="C144" i="67" s="1"/>
  <c r="C145" i="67" s="1"/>
  <c r="C146" i="67" s="1"/>
  <c r="C147" i="67" s="1"/>
  <c r="C148" i="67" s="1"/>
  <c r="C149" i="67" s="1"/>
  <c r="C150" i="67" s="1"/>
  <c r="C151" i="67" s="1"/>
  <c r="C152" i="67" s="1"/>
  <c r="C153" i="67" s="1"/>
  <c r="C154" i="67" s="1"/>
  <c r="M88" i="67"/>
  <c r="M89" i="67" s="1"/>
  <c r="C127" i="34"/>
  <c r="C128" i="34" s="1"/>
  <c r="C129" i="34" s="1"/>
  <c r="C130" i="34" s="1"/>
  <c r="C131" i="34" s="1"/>
  <c r="C132" i="34" s="1"/>
  <c r="C133" i="34" s="1"/>
  <c r="C134" i="34" s="1"/>
  <c r="C135" i="34" s="1"/>
  <c r="C136" i="34" s="1"/>
  <c r="C137" i="34" s="1"/>
  <c r="C138" i="34" s="1"/>
  <c r="C139" i="34" s="1"/>
  <c r="C140" i="34" s="1"/>
  <c r="C141" i="34" s="1"/>
  <c r="C142" i="34" s="1"/>
  <c r="C143" i="34" s="1"/>
  <c r="C144" i="34" s="1"/>
  <c r="C145" i="34" s="1"/>
  <c r="C146" i="34" s="1"/>
  <c r="C147" i="34" s="1"/>
  <c r="C148" i="34" s="1"/>
  <c r="C149" i="34" s="1"/>
  <c r="C150" i="34" s="1"/>
  <c r="C151" i="34" s="1"/>
  <c r="C152" i="34" s="1"/>
  <c r="C153" i="34" s="1"/>
  <c r="C154" i="34" s="1"/>
  <c r="C127" i="41"/>
  <c r="C128" i="41" s="1"/>
  <c r="C129" i="41" s="1"/>
  <c r="C130" i="41" s="1"/>
  <c r="C131" i="41" s="1"/>
  <c r="C132" i="41" s="1"/>
  <c r="C133" i="41" s="1"/>
  <c r="C134" i="41" s="1"/>
  <c r="C135" i="41" s="1"/>
  <c r="C136" i="41" s="1"/>
  <c r="C137" i="41" s="1"/>
  <c r="C138" i="41" s="1"/>
  <c r="C139" i="41" s="1"/>
  <c r="C140" i="41" s="1"/>
  <c r="C141" i="41" s="1"/>
  <c r="C142" i="41" s="1"/>
  <c r="C143" i="41" s="1"/>
  <c r="C144" i="41" s="1"/>
  <c r="C145" i="41" s="1"/>
  <c r="C146" i="41" s="1"/>
  <c r="C147" i="41" s="1"/>
  <c r="C148" i="41" s="1"/>
  <c r="C149" i="41" s="1"/>
  <c r="C150" i="41" s="1"/>
  <c r="C151" i="41" s="1"/>
  <c r="C152" i="41" s="1"/>
  <c r="C153" i="41" s="1"/>
  <c r="C154" i="41" s="1"/>
  <c r="N6" i="100"/>
  <c r="C100" i="88"/>
  <c r="C101" i="88" s="1"/>
  <c r="C102" i="88" s="1"/>
  <c r="C103" i="88" s="1"/>
  <c r="C104" i="88" s="1"/>
  <c r="C105" i="88" s="1"/>
  <c r="C106" i="88" s="1"/>
  <c r="C107" i="88" s="1"/>
  <c r="C108" i="88" s="1"/>
  <c r="C109" i="88" s="1"/>
  <c r="C110" i="88" s="1"/>
  <c r="C111" i="88" s="1"/>
  <c r="C112" i="88" s="1"/>
  <c r="C113" i="88" s="1"/>
  <c r="C114" i="88" s="1"/>
  <c r="C115" i="88" s="1"/>
  <c r="C116" i="88" s="1"/>
  <c r="C117" i="88" s="1"/>
  <c r="C118" i="88" s="1"/>
  <c r="C119" i="88" s="1"/>
  <c r="C120" i="88" s="1"/>
  <c r="C121" i="88" s="1"/>
  <c r="C122" i="88" s="1"/>
  <c r="C123" i="88" s="1"/>
  <c r="C124" i="88" s="1"/>
  <c r="C125" i="88" s="1"/>
  <c r="C126" i="88" s="1"/>
  <c r="G17" i="100"/>
  <c r="I17" i="100" s="1"/>
  <c r="D18" i="100"/>
  <c r="D102" i="78"/>
  <c r="G101" i="78"/>
  <c r="E102" i="78"/>
  <c r="J103" i="62"/>
  <c r="M88" i="62"/>
  <c r="M89" i="62" s="1"/>
  <c r="B109" i="20"/>
  <c r="F109" i="20"/>
  <c r="B104" i="62"/>
  <c r="F104" i="62"/>
  <c r="F102" i="75"/>
  <c r="B102" i="75"/>
  <c r="E103" i="63"/>
  <c r="B101" i="82"/>
  <c r="F101" i="82"/>
  <c r="E107" i="19"/>
  <c r="E111" i="29"/>
  <c r="G103" i="67"/>
  <c r="D104" i="67"/>
  <c r="E104" i="67"/>
  <c r="E20" i="88"/>
  <c r="C127" i="70"/>
  <c r="C128" i="70" s="1"/>
  <c r="C129" i="70" s="1"/>
  <c r="C130" i="70" s="1"/>
  <c r="C131" i="70" s="1"/>
  <c r="C132" i="70" s="1"/>
  <c r="C133" i="70" s="1"/>
  <c r="C134" i="70" s="1"/>
  <c r="C135" i="70" s="1"/>
  <c r="C136" i="70" s="1"/>
  <c r="C137" i="70" s="1"/>
  <c r="C138" i="70" s="1"/>
  <c r="C139" i="70" s="1"/>
  <c r="C140" i="70" s="1"/>
  <c r="C141" i="70" s="1"/>
  <c r="C142" i="70" s="1"/>
  <c r="C143" i="70" s="1"/>
  <c r="C144" i="70" s="1"/>
  <c r="C145" i="70" s="1"/>
  <c r="C146" i="70" s="1"/>
  <c r="C147" i="70" s="1"/>
  <c r="C148" i="70" s="1"/>
  <c r="C149" i="70" s="1"/>
  <c r="C150" i="70" s="1"/>
  <c r="C151" i="70" s="1"/>
  <c r="C152" i="70" s="1"/>
  <c r="C153" i="70" s="1"/>
  <c r="C154" i="70" s="1"/>
  <c r="N88" i="70"/>
  <c r="C127" i="71"/>
  <c r="C128" i="71" s="1"/>
  <c r="C129" i="71" s="1"/>
  <c r="C130" i="71" s="1"/>
  <c r="C131" i="71" s="1"/>
  <c r="C132" i="71" s="1"/>
  <c r="C133" i="71" s="1"/>
  <c r="C134" i="71" s="1"/>
  <c r="C135" i="71" s="1"/>
  <c r="C136" i="71" s="1"/>
  <c r="C137" i="71" s="1"/>
  <c r="C138" i="71" s="1"/>
  <c r="C139" i="71" s="1"/>
  <c r="C140" i="71" s="1"/>
  <c r="C141" i="71" s="1"/>
  <c r="C142" i="71" s="1"/>
  <c r="C143" i="71" s="1"/>
  <c r="C144" i="71" s="1"/>
  <c r="C145" i="71" s="1"/>
  <c r="C146" i="71" s="1"/>
  <c r="C147" i="71" s="1"/>
  <c r="C148" i="71" s="1"/>
  <c r="C149" i="71" s="1"/>
  <c r="C150" i="71" s="1"/>
  <c r="C151" i="71" s="1"/>
  <c r="C152" i="71" s="1"/>
  <c r="C153" i="71" s="1"/>
  <c r="C154" i="71" s="1"/>
  <c r="C127" i="61"/>
  <c r="C128" i="61" s="1"/>
  <c r="C129" i="61" s="1"/>
  <c r="C130" i="61" s="1"/>
  <c r="C131" i="61" s="1"/>
  <c r="C132" i="61" s="1"/>
  <c r="C133" i="61" s="1"/>
  <c r="C134" i="61" s="1"/>
  <c r="C135" i="61" s="1"/>
  <c r="C136" i="61" s="1"/>
  <c r="C137" i="61" s="1"/>
  <c r="C138" i="61" s="1"/>
  <c r="C139" i="61" s="1"/>
  <c r="C140" i="61" s="1"/>
  <c r="C141" i="61" s="1"/>
  <c r="C142" i="61" s="1"/>
  <c r="C143" i="61" s="1"/>
  <c r="C144" i="61" s="1"/>
  <c r="C145" i="61" s="1"/>
  <c r="C146" i="61" s="1"/>
  <c r="C147" i="61" s="1"/>
  <c r="C148" i="61" s="1"/>
  <c r="C149" i="61" s="1"/>
  <c r="C150" i="61" s="1"/>
  <c r="C151" i="61" s="1"/>
  <c r="C152" i="61" s="1"/>
  <c r="C153" i="61" s="1"/>
  <c r="C154" i="61" s="1"/>
  <c r="J95" i="27"/>
  <c r="B105" i="55"/>
  <c r="F105" i="55"/>
  <c r="C127" i="72"/>
  <c r="C128" i="72" s="1"/>
  <c r="C129" i="72" s="1"/>
  <c r="C130" i="72" s="1"/>
  <c r="C131" i="72" s="1"/>
  <c r="C132" i="72" s="1"/>
  <c r="C133" i="72" s="1"/>
  <c r="C134" i="72" s="1"/>
  <c r="C135" i="72" s="1"/>
  <c r="C136" i="72" s="1"/>
  <c r="C137" i="72" s="1"/>
  <c r="C138" i="72" s="1"/>
  <c r="C139" i="72" s="1"/>
  <c r="C140" i="72" s="1"/>
  <c r="C141" i="72" s="1"/>
  <c r="C142" i="72" s="1"/>
  <c r="C143" i="72" s="1"/>
  <c r="C144" i="72" s="1"/>
  <c r="C145" i="72" s="1"/>
  <c r="C146" i="72" s="1"/>
  <c r="C147" i="72" s="1"/>
  <c r="C148" i="72" s="1"/>
  <c r="C149" i="72" s="1"/>
  <c r="C150" i="72" s="1"/>
  <c r="C151" i="72" s="1"/>
  <c r="C152" i="72" s="1"/>
  <c r="C153" i="72" s="1"/>
  <c r="C154" i="72" s="1"/>
  <c r="D94" i="92"/>
  <c r="E99" i="92" s="1"/>
  <c r="D93" i="92"/>
  <c r="M87" i="3"/>
  <c r="C45" i="3"/>
  <c r="C46" i="3" s="1"/>
  <c r="C47" i="3" s="1"/>
  <c r="C48" i="3" s="1"/>
  <c r="C49" i="3" s="1"/>
  <c r="C50" i="3" s="1"/>
  <c r="C51" i="3" s="1"/>
  <c r="C52" i="3" s="1"/>
  <c r="C53" i="3" s="1"/>
  <c r="C54" i="3" s="1"/>
  <c r="C55" i="3" s="1"/>
  <c r="C56" i="3" s="1"/>
  <c r="C57" i="3" s="1"/>
  <c r="C58" i="3" s="1"/>
  <c r="C59" i="3" s="1"/>
  <c r="C60" i="3" s="1"/>
  <c r="C61" i="3" s="1"/>
  <c r="C62" i="3" s="1"/>
  <c r="C63" i="3" s="1"/>
  <c r="C64" i="3" s="1"/>
  <c r="C65" i="3" s="1"/>
  <c r="C66" i="3" s="1"/>
  <c r="C67" i="3" s="1"/>
  <c r="C68" i="3" s="1"/>
  <c r="C69" i="3" s="1"/>
  <c r="C70" i="3" s="1"/>
  <c r="C71" i="3" s="1"/>
  <c r="C72" i="3" s="1"/>
  <c r="N87" i="3"/>
  <c r="C45" i="26"/>
  <c r="C46" i="26" s="1"/>
  <c r="C47" i="26" s="1"/>
  <c r="C48" i="26" s="1"/>
  <c r="C49" i="26" s="1"/>
  <c r="C50" i="26" s="1"/>
  <c r="C51" i="26" s="1"/>
  <c r="C52" i="26" s="1"/>
  <c r="C53" i="26" s="1"/>
  <c r="C54" i="26" s="1"/>
  <c r="C55" i="26" s="1"/>
  <c r="C56" i="26" s="1"/>
  <c r="C57" i="26" s="1"/>
  <c r="C58" i="26" s="1"/>
  <c r="C59" i="26" s="1"/>
  <c r="C60" i="26" s="1"/>
  <c r="C61" i="26" s="1"/>
  <c r="C62" i="26" s="1"/>
  <c r="C63" i="26" s="1"/>
  <c r="C64" i="26" s="1"/>
  <c r="C65" i="26" s="1"/>
  <c r="C66" i="26" s="1"/>
  <c r="C67" i="26" s="1"/>
  <c r="C68" i="26" s="1"/>
  <c r="C69" i="26" s="1"/>
  <c r="C70" i="26" s="1"/>
  <c r="C71" i="26" s="1"/>
  <c r="C72" i="26" s="1"/>
  <c r="N87" i="26"/>
  <c r="M87" i="26"/>
  <c r="G108" i="23"/>
  <c r="D109" i="23"/>
  <c r="E109" i="23"/>
  <c r="M89" i="95"/>
  <c r="O88" i="95"/>
  <c r="O89" i="95" s="1"/>
  <c r="E102" i="66"/>
  <c r="M88" i="100"/>
  <c r="N87" i="100"/>
  <c r="M87" i="100"/>
  <c r="N88" i="100"/>
  <c r="L86" i="20"/>
  <c r="M87" i="20"/>
  <c r="N87" i="20"/>
  <c r="F18" i="1"/>
  <c r="G100" i="85"/>
  <c r="E101" i="85"/>
  <c r="F101" i="85" s="1"/>
  <c r="O87" i="69"/>
  <c r="F18" i="25"/>
  <c r="O87" i="85"/>
  <c r="D95" i="46"/>
  <c r="J96" i="46" s="1"/>
  <c r="D95" i="24"/>
  <c r="J96" i="24" s="1"/>
  <c r="D95" i="77"/>
  <c r="J96" i="77" s="1"/>
  <c r="D95" i="34"/>
  <c r="J96" i="34" s="1"/>
  <c r="D95" i="32"/>
  <c r="J96" i="32" s="1"/>
  <c r="D95" i="89"/>
  <c r="J96" i="89" s="1"/>
  <c r="D95" i="3"/>
  <c r="J96" i="3" s="1"/>
  <c r="D95" i="27"/>
  <c r="J96" i="27" s="1"/>
  <c r="D95" i="71"/>
  <c r="J96" i="71" s="1"/>
  <c r="D95" i="99"/>
  <c r="J96" i="99" s="1"/>
  <c r="D95" i="76"/>
  <c r="J96" i="76" s="1"/>
  <c r="D95" i="53"/>
  <c r="D95" i="45"/>
  <c r="D95" i="30"/>
  <c r="D95" i="91"/>
  <c r="J96" i="91" s="1"/>
  <c r="D95" i="74"/>
  <c r="J96" i="74" s="1"/>
  <c r="D95" i="86"/>
  <c r="J96" i="86" s="1"/>
  <c r="D95" i="54"/>
  <c r="D95" i="69"/>
  <c r="J96" i="69" s="1"/>
  <c r="D95" i="73"/>
  <c r="J96" i="73" s="1"/>
  <c r="D95" i="26"/>
  <c r="D95" i="41"/>
  <c r="J96" i="41" s="1"/>
  <c r="D95" i="72"/>
  <c r="J96" i="72" s="1"/>
  <c r="D95" i="64"/>
  <c r="J96" i="64" s="1"/>
  <c r="D95" i="65"/>
  <c r="D95" i="58"/>
  <c r="J96" i="58" s="1"/>
  <c r="D95" i="98"/>
  <c r="J96" i="98" s="1"/>
  <c r="D95" i="80"/>
  <c r="J96" i="80" s="1"/>
  <c r="D95" i="84"/>
  <c r="J96" i="84" s="1"/>
  <c r="D95" i="56"/>
  <c r="D95" i="22"/>
  <c r="J96" i="22" s="1"/>
  <c r="D95" i="28"/>
  <c r="J96" i="28" s="1"/>
  <c r="D95" i="81"/>
  <c r="J96" i="81" s="1"/>
  <c r="D95" i="83"/>
  <c r="J96" i="83" s="1"/>
  <c r="D95" i="79"/>
  <c r="J96" i="79" s="1"/>
  <c r="D95" i="25"/>
  <c r="D95" i="90"/>
  <c r="J96" i="90" s="1"/>
  <c r="D95" i="13"/>
  <c r="D95" i="88"/>
  <c r="J96" i="88" s="1"/>
  <c r="D95" i="39"/>
  <c r="J96" i="39" s="1"/>
  <c r="D95" i="18"/>
  <c r="J96" i="18" s="1"/>
  <c r="D95" i="57"/>
  <c r="J96" i="57" s="1"/>
  <c r="D95" i="61"/>
  <c r="J96" i="61" s="1"/>
  <c r="D95" i="59"/>
  <c r="J96" i="59" s="1"/>
  <c r="D95" i="96"/>
  <c r="J96" i="96" s="1"/>
  <c r="D95" i="68"/>
  <c r="J96" i="68" s="1"/>
  <c r="D95" i="21"/>
  <c r="J96" i="21" s="1"/>
  <c r="L86" i="59"/>
  <c r="N87" i="59"/>
  <c r="M87" i="59"/>
  <c r="F99" i="100"/>
  <c r="D93" i="75"/>
  <c r="D94" i="75"/>
  <c r="L86" i="42"/>
  <c r="M87" i="42"/>
  <c r="N87" i="42"/>
  <c r="O87" i="42" s="1"/>
  <c r="O87" i="56"/>
  <c r="D94" i="83"/>
  <c r="D93" i="32"/>
  <c r="M87" i="84"/>
  <c r="O87" i="84" s="1"/>
  <c r="L86" i="84"/>
  <c r="P104" i="17"/>
  <c r="P106" i="23"/>
  <c r="A9" i="36"/>
  <c r="T12" i="36"/>
  <c r="P105" i="18"/>
  <c r="P105" i="22"/>
  <c r="D93" i="65"/>
  <c r="O22" i="21"/>
  <c r="P100" i="24"/>
  <c r="P129" i="3"/>
  <c r="P100" i="17"/>
  <c r="P99" i="20"/>
  <c r="P99" i="22"/>
  <c r="O19" i="22"/>
  <c r="O24" i="27"/>
  <c r="P150" i="28"/>
  <c r="O21" i="28"/>
  <c r="P104" i="29"/>
  <c r="O26" i="29"/>
  <c r="O24" i="29"/>
  <c r="P106" i="29"/>
  <c r="P112" i="27"/>
  <c r="O54" i="27"/>
  <c r="P148" i="29"/>
  <c r="P101" i="29"/>
  <c r="O22" i="29"/>
  <c r="O26" i="32"/>
  <c r="P146" i="33"/>
  <c r="P151" i="34"/>
  <c r="O51" i="34"/>
  <c r="O43" i="34"/>
  <c r="O54" i="35"/>
  <c r="O68" i="39"/>
  <c r="O21" i="39"/>
  <c r="O19" i="45"/>
  <c r="P124" i="39"/>
  <c r="P100" i="39"/>
  <c r="O40" i="39"/>
  <c r="P100" i="41"/>
  <c r="O23" i="41"/>
  <c r="P101" i="43"/>
  <c r="P103" i="45"/>
  <c r="P103" i="41"/>
  <c r="O20" i="32"/>
  <c r="P105" i="33"/>
  <c r="P116" i="34"/>
  <c r="P131" i="39"/>
  <c r="O46" i="39"/>
  <c r="P131" i="41"/>
  <c r="O27" i="42"/>
  <c r="O18" i="45"/>
  <c r="O65" i="32"/>
  <c r="O43" i="32"/>
  <c r="P110" i="35"/>
  <c r="O23" i="35"/>
  <c r="O33" i="42"/>
  <c r="O35" i="32"/>
  <c r="O17" i="32"/>
  <c r="P151" i="33"/>
  <c r="O36" i="33"/>
  <c r="O22" i="33"/>
  <c r="O48" i="34"/>
  <c r="O40" i="34"/>
  <c r="P145" i="39"/>
  <c r="O34" i="39"/>
  <c r="O24" i="41"/>
  <c r="O61" i="45"/>
  <c r="P136" i="46"/>
  <c r="P149" i="53"/>
  <c r="O66" i="56"/>
  <c r="O19" i="59"/>
  <c r="P123" i="62"/>
  <c r="P125" i="64"/>
  <c r="O17" i="58"/>
  <c r="O20" i="59"/>
  <c r="P126" i="62"/>
  <c r="O28" i="62"/>
  <c r="P120" i="55"/>
  <c r="P113" i="65"/>
  <c r="P150" i="53"/>
  <c r="P99" i="53"/>
  <c r="O34" i="53"/>
  <c r="P101" i="55"/>
  <c r="O46" i="61"/>
  <c r="O72" i="60"/>
  <c r="P122" i="64"/>
  <c r="O68" i="64"/>
  <c r="P99" i="65"/>
  <c r="O18" i="67"/>
  <c r="P108" i="65"/>
  <c r="O23" i="69"/>
  <c r="O19" i="66"/>
  <c r="P101" i="68"/>
  <c r="P121" i="70"/>
  <c r="O22" i="70"/>
  <c r="O57" i="73"/>
  <c r="O21" i="70"/>
  <c r="O19" i="70"/>
  <c r="O18" i="72"/>
  <c r="P99" i="75"/>
  <c r="O65" i="75"/>
  <c r="O54" i="75"/>
  <c r="O59" i="76"/>
  <c r="P116" i="77"/>
  <c r="P112" i="75"/>
  <c r="P119" i="77"/>
  <c r="O18" i="77"/>
  <c r="O72" i="76"/>
  <c r="O30" i="78"/>
  <c r="O45" i="79"/>
  <c r="P104" i="80"/>
  <c r="O67" i="81"/>
  <c r="O54" i="81"/>
  <c r="O23" i="81"/>
  <c r="O36" i="82"/>
  <c r="P101" i="83"/>
  <c r="O55" i="83"/>
  <c r="O53" i="82"/>
  <c r="O58" i="83"/>
  <c r="O51" i="85"/>
  <c r="O27" i="82"/>
  <c r="O43" i="83"/>
  <c r="O18" i="83"/>
  <c r="O20" i="82"/>
  <c r="O32" i="83"/>
  <c r="O55" i="81"/>
  <c r="O29" i="87"/>
  <c r="O71" i="88"/>
  <c r="P125" i="89"/>
  <c r="O59" i="92"/>
  <c r="P128" i="96"/>
  <c r="O72" i="89"/>
  <c r="O69" i="95"/>
  <c r="O45" i="87"/>
  <c r="O22" i="88"/>
  <c r="P111" i="89"/>
  <c r="P104" i="90"/>
  <c r="O40" i="90"/>
  <c r="P104" i="95"/>
  <c r="O63" i="87"/>
  <c r="O22" i="87"/>
  <c r="O64" i="88"/>
  <c r="O52" i="89"/>
  <c r="O33" i="89"/>
  <c r="O38" i="91"/>
  <c r="P100" i="98"/>
  <c r="O28" i="27"/>
  <c r="O23" i="46"/>
  <c r="O21" i="100"/>
  <c r="O48" i="98"/>
  <c r="O23" i="53"/>
  <c r="P110" i="98"/>
  <c r="P105" i="100"/>
  <c r="O19" i="85"/>
  <c r="I30" i="36"/>
  <c r="I86" i="36"/>
  <c r="I59" i="36"/>
  <c r="I85" i="36"/>
  <c r="I89" i="36"/>
  <c r="I54" i="36"/>
  <c r="I31" i="36"/>
  <c r="I88" i="36"/>
  <c r="I62" i="36"/>
  <c r="I87" i="36"/>
  <c r="I17" i="33" l="1"/>
  <c r="D100" i="95"/>
  <c r="G99" i="95"/>
  <c r="E100" i="95"/>
  <c r="C99" i="78"/>
  <c r="C100" i="78" s="1"/>
  <c r="C101" i="78" s="1"/>
  <c r="C102" i="78" s="1"/>
  <c r="C103" i="78" s="1"/>
  <c r="C104" i="78" s="1"/>
  <c r="C105" i="78" s="1"/>
  <c r="C106" i="78" s="1"/>
  <c r="C107" i="78" s="1"/>
  <c r="C108" i="78" s="1"/>
  <c r="C109" i="78" s="1"/>
  <c r="C110" i="78" s="1"/>
  <c r="C111" i="78" s="1"/>
  <c r="C112" i="78" s="1"/>
  <c r="C113" i="78" s="1"/>
  <c r="C114" i="78" s="1"/>
  <c r="C115" i="78" s="1"/>
  <c r="C116" i="78" s="1"/>
  <c r="C117" i="78" s="1"/>
  <c r="C118" i="78" s="1"/>
  <c r="C119" i="78" s="1"/>
  <c r="C120" i="78" s="1"/>
  <c r="C121" i="78" s="1"/>
  <c r="C122" i="78" s="1"/>
  <c r="C123" i="78" s="1"/>
  <c r="C124" i="78" s="1"/>
  <c r="C125" i="78" s="1"/>
  <c r="C126" i="78" s="1"/>
  <c r="C127" i="78" s="1"/>
  <c r="C128" i="78" s="1"/>
  <c r="C129" i="78" s="1"/>
  <c r="C130" i="78" s="1"/>
  <c r="C131" i="78" s="1"/>
  <c r="C132" i="78" s="1"/>
  <c r="C133" i="78" s="1"/>
  <c r="C134" i="78" s="1"/>
  <c r="C135" i="78" s="1"/>
  <c r="C136" i="78" s="1"/>
  <c r="C137" i="78" s="1"/>
  <c r="C138" i="78" s="1"/>
  <c r="C139" i="78" s="1"/>
  <c r="C140" i="78" s="1"/>
  <c r="C141" i="78" s="1"/>
  <c r="C142" i="78" s="1"/>
  <c r="C143" i="78" s="1"/>
  <c r="C144" i="78" s="1"/>
  <c r="C145" i="78" s="1"/>
  <c r="C146" i="78" s="1"/>
  <c r="C147" i="78" s="1"/>
  <c r="C148" i="78" s="1"/>
  <c r="C149" i="78" s="1"/>
  <c r="C150" i="78" s="1"/>
  <c r="C151" i="78" s="1"/>
  <c r="C152" i="78" s="1"/>
  <c r="C153" i="78" s="1"/>
  <c r="C154" i="78" s="1"/>
  <c r="D13" i="77"/>
  <c r="I14" i="77" s="1"/>
  <c r="D13" i="92"/>
  <c r="I14" i="92" s="1"/>
  <c r="D13" i="18"/>
  <c r="I14" i="18" s="1"/>
  <c r="E27" i="18" s="1"/>
  <c r="D13" i="90"/>
  <c r="I14" i="90" s="1"/>
  <c r="E19" i="90" s="1"/>
  <c r="D13" i="72"/>
  <c r="I14" i="72" s="1"/>
  <c r="D13" i="71"/>
  <c r="I14" i="71" s="1"/>
  <c r="E28" i="71" s="1"/>
  <c r="F28" i="71" s="1"/>
  <c r="E29" i="71" s="1"/>
  <c r="D13" i="67"/>
  <c r="I14" i="67" s="1"/>
  <c r="D13" i="13"/>
  <c r="D13" i="96"/>
  <c r="I14" i="96" s="1"/>
  <c r="E18" i="96" s="1"/>
  <c r="D13" i="54"/>
  <c r="I14" i="54" s="1"/>
  <c r="E24" i="54" s="1"/>
  <c r="F24" i="54" s="1"/>
  <c r="D13" i="74"/>
  <c r="I14" i="74" s="1"/>
  <c r="D13" i="44"/>
  <c r="I14" i="44" s="1"/>
  <c r="D13" i="56"/>
  <c r="I14" i="56" s="1"/>
  <c r="D13" i="58"/>
  <c r="I14" i="58" s="1"/>
  <c r="D13" i="82"/>
  <c r="I14" i="82" s="1"/>
  <c r="D13" i="27"/>
  <c r="I14" i="27" s="1"/>
  <c r="D13" i="61"/>
  <c r="I14" i="61" s="1"/>
  <c r="E23" i="61" s="1"/>
  <c r="F23" i="61" s="1"/>
  <c r="E24" i="61" s="1"/>
  <c r="D13" i="75"/>
  <c r="I14" i="75" s="1"/>
  <c r="E21" i="75" s="1"/>
  <c r="D13" i="57"/>
  <c r="I14" i="57" s="1"/>
  <c r="D13" i="81"/>
  <c r="I14" i="81" s="1"/>
  <c r="D13" i="87"/>
  <c r="I14" i="87" s="1"/>
  <c r="E19" i="87" s="1"/>
  <c r="D13" i="65"/>
  <c r="I14" i="65" s="1"/>
  <c r="D13" i="42"/>
  <c r="I14" i="42" s="1"/>
  <c r="D13" i="22"/>
  <c r="I14" i="22" s="1"/>
  <c r="E27" i="22" s="1"/>
  <c r="D13" i="78"/>
  <c r="I14" i="78" s="1"/>
  <c r="E21" i="78" s="1"/>
  <c r="D13" i="39"/>
  <c r="I14" i="39" s="1"/>
  <c r="E26" i="39" s="1"/>
  <c r="D13" i="85"/>
  <c r="I14" i="85" s="1"/>
  <c r="D13" i="66"/>
  <c r="I14" i="66" s="1"/>
  <c r="D13" i="84"/>
  <c r="I14" i="84" s="1"/>
  <c r="D13" i="95"/>
  <c r="I14" i="95" s="1"/>
  <c r="D13" i="73"/>
  <c r="I14" i="73" s="1"/>
  <c r="D13" i="68"/>
  <c r="I14" i="68" s="1"/>
  <c r="D13" i="31"/>
  <c r="I14" i="31" s="1"/>
  <c r="D13" i="46"/>
  <c r="I14" i="46" s="1"/>
  <c r="D13" i="35"/>
  <c r="D13" i="99"/>
  <c r="I14" i="99" s="1"/>
  <c r="D13" i="76"/>
  <c r="I14" i="76" s="1"/>
  <c r="D13" i="21"/>
  <c r="I14" i="21" s="1"/>
  <c r="E27" i="21" s="1"/>
  <c r="D13" i="30"/>
  <c r="I14" i="30" s="1"/>
  <c r="E29" i="30" s="1"/>
  <c r="D13" i="32"/>
  <c r="I14" i="32" s="1"/>
  <c r="E28" i="32" s="1"/>
  <c r="D13" i="69"/>
  <c r="I14" i="69" s="1"/>
  <c r="D13" i="79"/>
  <c r="I14" i="79" s="1"/>
  <c r="D13" i="97"/>
  <c r="I14" i="97" s="1"/>
  <c r="D13" i="23"/>
  <c r="I14" i="23" s="1"/>
  <c r="D13" i="24"/>
  <c r="I14" i="24" s="1"/>
  <c r="D13" i="28"/>
  <c r="I14" i="28" s="1"/>
  <c r="D13" i="53"/>
  <c r="I14" i="53" s="1"/>
  <c r="D13" i="62"/>
  <c r="I14" i="62" s="1"/>
  <c r="E23" i="62" s="1"/>
  <c r="D13" i="20"/>
  <c r="I14" i="20" s="1"/>
  <c r="D13" i="91"/>
  <c r="I14" i="91" s="1"/>
  <c r="E19" i="91" s="1"/>
  <c r="F19" i="91" s="1"/>
  <c r="E20" i="91" s="1"/>
  <c r="D13" i="63"/>
  <c r="I14" i="63" s="1"/>
  <c r="D13" i="29"/>
  <c r="I14" i="29" s="1"/>
  <c r="E29" i="29" s="1"/>
  <c r="D13" i="45"/>
  <c r="I14" i="45" s="1"/>
  <c r="D13" i="98"/>
  <c r="I14" i="98" s="1"/>
  <c r="D13" i="3"/>
  <c r="I14" i="3" s="1"/>
  <c r="D13" i="83"/>
  <c r="I14" i="83" s="1"/>
  <c r="D13" i="89"/>
  <c r="I14" i="89" s="1"/>
  <c r="E19" i="89" s="1"/>
  <c r="D13" i="33"/>
  <c r="D13" i="41"/>
  <c r="I14" i="41" s="1"/>
  <c r="D13" i="34"/>
  <c r="I14" i="34" s="1"/>
  <c r="D92" i="42"/>
  <c r="D93" i="42"/>
  <c r="D94" i="42"/>
  <c r="D94" i="81"/>
  <c r="D93" i="81"/>
  <c r="D92" i="45"/>
  <c r="D105" i="45" s="1"/>
  <c r="B105" i="45" s="1"/>
  <c r="D94" i="45"/>
  <c r="D93" i="45"/>
  <c r="D93" i="19"/>
  <c r="D94" i="19"/>
  <c r="H19" i="88"/>
  <c r="D13" i="59"/>
  <c r="I14" i="59" s="1"/>
  <c r="D13" i="17"/>
  <c r="D13" i="43"/>
  <c r="I14" i="43" s="1"/>
  <c r="D13" i="80"/>
  <c r="I14" i="80" s="1"/>
  <c r="D93" i="17"/>
  <c r="D94" i="17"/>
  <c r="D94" i="25"/>
  <c r="D92" i="25"/>
  <c r="J96" i="25" s="1"/>
  <c r="D93" i="25"/>
  <c r="D93" i="43"/>
  <c r="D92" i="43"/>
  <c r="D94" i="43"/>
  <c r="C99" i="90"/>
  <c r="C100" i="90" s="1"/>
  <c r="C101" i="90" s="1"/>
  <c r="C102" i="90" s="1"/>
  <c r="C103" i="90" s="1"/>
  <c r="C104" i="90" s="1"/>
  <c r="C105" i="90" s="1"/>
  <c r="C106" i="90" s="1"/>
  <c r="C107" i="90" s="1"/>
  <c r="C108" i="90" s="1"/>
  <c r="C109" i="90" s="1"/>
  <c r="C110" i="90" s="1"/>
  <c r="C111" i="90" s="1"/>
  <c r="C112" i="90" s="1"/>
  <c r="C113" i="90" s="1"/>
  <c r="C114" i="90" s="1"/>
  <c r="C115" i="90" s="1"/>
  <c r="C116" i="90" s="1"/>
  <c r="C117" i="90" s="1"/>
  <c r="C118" i="90" s="1"/>
  <c r="C119" i="90" s="1"/>
  <c r="C120" i="90" s="1"/>
  <c r="C121" i="90" s="1"/>
  <c r="C122" i="90" s="1"/>
  <c r="C123" i="90" s="1"/>
  <c r="C124" i="90" s="1"/>
  <c r="C125" i="90" s="1"/>
  <c r="C126" i="90" s="1"/>
  <c r="C127" i="90" s="1"/>
  <c r="C128" i="90" s="1"/>
  <c r="C129" i="90" s="1"/>
  <c r="C130" i="90" s="1"/>
  <c r="C131" i="90" s="1"/>
  <c r="C132" i="90" s="1"/>
  <c r="C133" i="90" s="1"/>
  <c r="C134" i="90" s="1"/>
  <c r="C135" i="90" s="1"/>
  <c r="C136" i="90" s="1"/>
  <c r="C137" i="90" s="1"/>
  <c r="C138" i="90" s="1"/>
  <c r="C139" i="90" s="1"/>
  <c r="C140" i="90" s="1"/>
  <c r="C141" i="90" s="1"/>
  <c r="C142" i="90" s="1"/>
  <c r="C143" i="90" s="1"/>
  <c r="C144" i="90" s="1"/>
  <c r="C145" i="90" s="1"/>
  <c r="C146" i="90" s="1"/>
  <c r="C147" i="90" s="1"/>
  <c r="C148" i="90" s="1"/>
  <c r="C149" i="90" s="1"/>
  <c r="C150" i="90" s="1"/>
  <c r="C151" i="90" s="1"/>
  <c r="C152" i="90" s="1"/>
  <c r="C153" i="90" s="1"/>
  <c r="C154" i="90" s="1"/>
  <c r="D93" i="27"/>
  <c r="D94" i="27"/>
  <c r="D94" i="30"/>
  <c r="D93" i="30"/>
  <c r="D92" i="30"/>
  <c r="D109" i="30" s="1"/>
  <c r="B109" i="30" s="1"/>
  <c r="D92" i="53"/>
  <c r="D104" i="53" s="1"/>
  <c r="B104" i="53" s="1"/>
  <c r="D93" i="3"/>
  <c r="D94" i="3"/>
  <c r="D94" i="18"/>
  <c r="D93" i="18"/>
  <c r="D93" i="58"/>
  <c r="D94" i="58"/>
  <c r="C99" i="77"/>
  <c r="C100" i="77"/>
  <c r="C101" i="77" s="1"/>
  <c r="C102" i="77" s="1"/>
  <c r="C103" i="77" s="1"/>
  <c r="C104" i="77" s="1"/>
  <c r="C105" i="77" s="1"/>
  <c r="C106" i="77" s="1"/>
  <c r="C107" i="77" s="1"/>
  <c r="C108" i="77" s="1"/>
  <c r="C109" i="77" s="1"/>
  <c r="C110" i="77" s="1"/>
  <c r="C111" i="77" s="1"/>
  <c r="C112" i="77" s="1"/>
  <c r="C113" i="77" s="1"/>
  <c r="C114" i="77" s="1"/>
  <c r="C115" i="77" s="1"/>
  <c r="C116" i="77" s="1"/>
  <c r="C117" i="77" s="1"/>
  <c r="C118" i="77" s="1"/>
  <c r="C119" i="77" s="1"/>
  <c r="C120" i="77" s="1"/>
  <c r="C121" i="77" s="1"/>
  <c r="C122" i="77" s="1"/>
  <c r="C123" i="77" s="1"/>
  <c r="C124" i="77" s="1"/>
  <c r="C125" i="77" s="1"/>
  <c r="C126" i="77" s="1"/>
  <c r="C127" i="77" s="1"/>
  <c r="C128" i="77" s="1"/>
  <c r="C129" i="77" s="1"/>
  <c r="C130" i="77" s="1"/>
  <c r="C131" i="77" s="1"/>
  <c r="C132" i="77" s="1"/>
  <c r="C133" i="77" s="1"/>
  <c r="C134" i="77" s="1"/>
  <c r="C135" i="77" s="1"/>
  <c r="C136" i="77" s="1"/>
  <c r="C137" i="77" s="1"/>
  <c r="C138" i="77" s="1"/>
  <c r="C139" i="77" s="1"/>
  <c r="C140" i="77" s="1"/>
  <c r="C141" i="77" s="1"/>
  <c r="C142" i="77" s="1"/>
  <c r="C143" i="77" s="1"/>
  <c r="C144" i="77" s="1"/>
  <c r="C145" i="77" s="1"/>
  <c r="C146" i="77" s="1"/>
  <c r="C147" i="77" s="1"/>
  <c r="C148" i="77" s="1"/>
  <c r="C149" i="77" s="1"/>
  <c r="C150" i="77" s="1"/>
  <c r="C151" i="77" s="1"/>
  <c r="C152" i="77" s="1"/>
  <c r="C153" i="77" s="1"/>
  <c r="C154" i="77" s="1"/>
  <c r="I17" i="13"/>
  <c r="J96" i="30"/>
  <c r="C99" i="83"/>
  <c r="C100" i="83" s="1"/>
  <c r="C101" i="83" s="1"/>
  <c r="C102" i="83" s="1"/>
  <c r="C103" i="83" s="1"/>
  <c r="C104" i="83" s="1"/>
  <c r="C105" i="83" s="1"/>
  <c r="C106" i="83" s="1"/>
  <c r="C107" i="83" s="1"/>
  <c r="C108" i="83" s="1"/>
  <c r="C109" i="83" s="1"/>
  <c r="C110" i="83" s="1"/>
  <c r="C111" i="83" s="1"/>
  <c r="C112" i="83" s="1"/>
  <c r="C113" i="83" s="1"/>
  <c r="C114" i="83" s="1"/>
  <c r="C115" i="83" s="1"/>
  <c r="C116" i="83" s="1"/>
  <c r="C117" i="83" s="1"/>
  <c r="C118" i="83" s="1"/>
  <c r="C119" i="83" s="1"/>
  <c r="C120" i="83" s="1"/>
  <c r="C121" i="83" s="1"/>
  <c r="C122" i="83" s="1"/>
  <c r="C123" i="83" s="1"/>
  <c r="C124" i="83" s="1"/>
  <c r="C125" i="83" s="1"/>
  <c r="C126" i="83" s="1"/>
  <c r="C127" i="83"/>
  <c r="C128" i="83" s="1"/>
  <c r="C129" i="83" s="1"/>
  <c r="C130" i="83" s="1"/>
  <c r="C131" i="83" s="1"/>
  <c r="C132" i="83" s="1"/>
  <c r="C133" i="83" s="1"/>
  <c r="C134" i="83" s="1"/>
  <c r="C135" i="83" s="1"/>
  <c r="C136" i="83" s="1"/>
  <c r="C137" i="83" s="1"/>
  <c r="C138" i="83" s="1"/>
  <c r="C139" i="83" s="1"/>
  <c r="C140" i="83" s="1"/>
  <c r="C141" i="83" s="1"/>
  <c r="C142" i="83" s="1"/>
  <c r="C143" i="83" s="1"/>
  <c r="C144" i="83" s="1"/>
  <c r="C145" i="83" s="1"/>
  <c r="C146" i="83" s="1"/>
  <c r="C147" i="83" s="1"/>
  <c r="C148" i="83" s="1"/>
  <c r="C149" i="83" s="1"/>
  <c r="C150" i="83" s="1"/>
  <c r="C151" i="83" s="1"/>
  <c r="C152" i="83" s="1"/>
  <c r="C153" i="83" s="1"/>
  <c r="C154" i="83" s="1"/>
  <c r="D93" i="89"/>
  <c r="D94" i="89"/>
  <c r="D94" i="33"/>
  <c r="D92" i="33"/>
  <c r="J96" i="33" s="1"/>
  <c r="D93" i="33"/>
  <c r="B22" i="35"/>
  <c r="G21" i="35"/>
  <c r="H21" i="35"/>
  <c r="D20" i="88"/>
  <c r="D13" i="86"/>
  <c r="I14" i="86" s="1"/>
  <c r="D13" i="55"/>
  <c r="I14" i="55" s="1"/>
  <c r="E24" i="55" s="1"/>
  <c r="F24" i="55" s="1"/>
  <c r="E25" i="55" s="1"/>
  <c r="D13" i="19"/>
  <c r="I14" i="19" s="1"/>
  <c r="D13" i="70"/>
  <c r="I14" i="70" s="1"/>
  <c r="D94" i="24"/>
  <c r="D93" i="24"/>
  <c r="D93" i="91"/>
  <c r="D94" i="91"/>
  <c r="D94" i="44"/>
  <c r="D93" i="44"/>
  <c r="D92" i="44"/>
  <c r="D92" i="56"/>
  <c r="D104" i="56" s="1"/>
  <c r="B104" i="56" s="1"/>
  <c r="D93" i="56"/>
  <c r="D94" i="56"/>
  <c r="D94" i="26"/>
  <c r="D93" i="26"/>
  <c r="D92" i="26"/>
  <c r="J96" i="26" s="1"/>
  <c r="E99" i="26" s="1"/>
  <c r="C99" i="87"/>
  <c r="C100" i="87" s="1"/>
  <c r="C101" i="87" s="1"/>
  <c r="C102" i="87" s="1"/>
  <c r="C103" i="87" s="1"/>
  <c r="C104" i="87" s="1"/>
  <c r="C105" i="87" s="1"/>
  <c r="C106" i="87" s="1"/>
  <c r="C107" i="87" s="1"/>
  <c r="C108" i="87" s="1"/>
  <c r="C109" i="87" s="1"/>
  <c r="C110" i="87" s="1"/>
  <c r="C111" i="87" s="1"/>
  <c r="C112" i="87" s="1"/>
  <c r="C113" i="87" s="1"/>
  <c r="C114" i="87" s="1"/>
  <c r="C115" i="87" s="1"/>
  <c r="C116" i="87" s="1"/>
  <c r="C117" i="87" s="1"/>
  <c r="C118" i="87" s="1"/>
  <c r="C119" i="87" s="1"/>
  <c r="C120" i="87" s="1"/>
  <c r="C121" i="87" s="1"/>
  <c r="C122" i="87" s="1"/>
  <c r="C123" i="87" s="1"/>
  <c r="C124" i="87" s="1"/>
  <c r="C125" i="87" s="1"/>
  <c r="C126" i="87" s="1"/>
  <c r="C127" i="87" s="1"/>
  <c r="C128" i="87" s="1"/>
  <c r="C129" i="87" s="1"/>
  <c r="C130" i="87" s="1"/>
  <c r="C131" i="87" s="1"/>
  <c r="C132" i="87" s="1"/>
  <c r="C133" i="87" s="1"/>
  <c r="C134" i="87" s="1"/>
  <c r="C135" i="87" s="1"/>
  <c r="C136" i="87" s="1"/>
  <c r="C137" i="87" s="1"/>
  <c r="C138" i="87" s="1"/>
  <c r="C139" i="87" s="1"/>
  <c r="C140" i="87" s="1"/>
  <c r="C141" i="87" s="1"/>
  <c r="C142" i="87" s="1"/>
  <c r="C143" i="87" s="1"/>
  <c r="C144" i="87" s="1"/>
  <c r="C145" i="87" s="1"/>
  <c r="C146" i="87" s="1"/>
  <c r="C147" i="87" s="1"/>
  <c r="C148" i="87" s="1"/>
  <c r="C149" i="87" s="1"/>
  <c r="C150" i="87" s="1"/>
  <c r="C151" i="87" s="1"/>
  <c r="C152" i="87" s="1"/>
  <c r="C153" i="87" s="1"/>
  <c r="C154" i="87" s="1"/>
  <c r="C99" i="23"/>
  <c r="C100" i="23"/>
  <c r="C101" i="23" s="1"/>
  <c r="C102" i="23" s="1"/>
  <c r="C103" i="23" s="1"/>
  <c r="C104" i="23" s="1"/>
  <c r="C105" i="23" s="1"/>
  <c r="C106" i="23" s="1"/>
  <c r="C107" i="23" s="1"/>
  <c r="C108" i="23" s="1"/>
  <c r="C109" i="23" s="1"/>
  <c r="C110" i="23" s="1"/>
  <c r="C111" i="23" s="1"/>
  <c r="C112" i="23" s="1"/>
  <c r="C113" i="23" s="1"/>
  <c r="C114" i="23" s="1"/>
  <c r="C115" i="23" s="1"/>
  <c r="C116" i="23" s="1"/>
  <c r="C117" i="23" s="1"/>
  <c r="C118" i="23" s="1"/>
  <c r="C119" i="23" s="1"/>
  <c r="C120" i="23" s="1"/>
  <c r="C121" i="23" s="1"/>
  <c r="C122" i="23" s="1"/>
  <c r="C123" i="23" s="1"/>
  <c r="C124" i="23" s="1"/>
  <c r="C125" i="23" s="1"/>
  <c r="C126" i="23" s="1"/>
  <c r="C127" i="23" s="1"/>
  <c r="C128" i="23" s="1"/>
  <c r="C129" i="23" s="1"/>
  <c r="C130" i="23" s="1"/>
  <c r="C131" i="23" s="1"/>
  <c r="C132" i="23" s="1"/>
  <c r="C133" i="23" s="1"/>
  <c r="C134" i="23" s="1"/>
  <c r="C135" i="23" s="1"/>
  <c r="C136" i="23" s="1"/>
  <c r="C137" i="23" s="1"/>
  <c r="C138" i="23" s="1"/>
  <c r="C139" i="23" s="1"/>
  <c r="C140" i="23" s="1"/>
  <c r="C141" i="23" s="1"/>
  <c r="C142" i="23" s="1"/>
  <c r="C143" i="23" s="1"/>
  <c r="C144" i="23" s="1"/>
  <c r="C145" i="23" s="1"/>
  <c r="C146" i="23" s="1"/>
  <c r="C147" i="23" s="1"/>
  <c r="C148" i="23" s="1"/>
  <c r="C149" i="23" s="1"/>
  <c r="C150" i="23" s="1"/>
  <c r="C151" i="23" s="1"/>
  <c r="C152" i="23" s="1"/>
  <c r="C153" i="23" s="1"/>
  <c r="C154" i="23" s="1"/>
  <c r="C99" i="76"/>
  <c r="C100" i="76" s="1"/>
  <c r="C101" i="76" s="1"/>
  <c r="C102" i="76" s="1"/>
  <c r="C103" i="76" s="1"/>
  <c r="C104" i="76" s="1"/>
  <c r="C105" i="76" s="1"/>
  <c r="C106" i="76" s="1"/>
  <c r="C107" i="76" s="1"/>
  <c r="C108" i="76" s="1"/>
  <c r="C109" i="76" s="1"/>
  <c r="C110" i="76" s="1"/>
  <c r="C111" i="76" s="1"/>
  <c r="C112" i="76" s="1"/>
  <c r="C113" i="76" s="1"/>
  <c r="C114" i="76" s="1"/>
  <c r="C115" i="76" s="1"/>
  <c r="C116" i="76" s="1"/>
  <c r="C117" i="76" s="1"/>
  <c r="C118" i="76" s="1"/>
  <c r="C119" i="76" s="1"/>
  <c r="C120" i="76" s="1"/>
  <c r="C121" i="76" s="1"/>
  <c r="C122" i="76" s="1"/>
  <c r="C123" i="76" s="1"/>
  <c r="C124" i="76" s="1"/>
  <c r="C125" i="76" s="1"/>
  <c r="C126" i="76" s="1"/>
  <c r="C127" i="76" s="1"/>
  <c r="C128" i="76" s="1"/>
  <c r="C129" i="76" s="1"/>
  <c r="C130" i="76" s="1"/>
  <c r="C131" i="76" s="1"/>
  <c r="C132" i="76" s="1"/>
  <c r="C133" i="76" s="1"/>
  <c r="C134" i="76" s="1"/>
  <c r="C135" i="76" s="1"/>
  <c r="C136" i="76" s="1"/>
  <c r="C137" i="76" s="1"/>
  <c r="C138" i="76" s="1"/>
  <c r="C139" i="76" s="1"/>
  <c r="C140" i="76" s="1"/>
  <c r="C141" i="76" s="1"/>
  <c r="C142" i="76" s="1"/>
  <c r="C143" i="76" s="1"/>
  <c r="C144" i="76" s="1"/>
  <c r="C145" i="76" s="1"/>
  <c r="C146" i="76" s="1"/>
  <c r="C147" i="76" s="1"/>
  <c r="C148" i="76" s="1"/>
  <c r="C149" i="76" s="1"/>
  <c r="C150" i="76" s="1"/>
  <c r="C151" i="76" s="1"/>
  <c r="C152" i="76" s="1"/>
  <c r="C153" i="76" s="1"/>
  <c r="C154" i="76" s="1"/>
  <c r="J96" i="54"/>
  <c r="E104" i="54" s="1"/>
  <c r="D13" i="64"/>
  <c r="I14" i="64" s="1"/>
  <c r="D13" i="60"/>
  <c r="I14" i="60" s="1"/>
  <c r="D13" i="25"/>
  <c r="D94" i="65"/>
  <c r="D92" i="65"/>
  <c r="D102" i="65" s="1"/>
  <c r="B102" i="65" s="1"/>
  <c r="D93" i="85"/>
  <c r="D94" i="85"/>
  <c r="E99" i="97"/>
  <c r="F99" i="97" s="1"/>
  <c r="D94" i="39"/>
  <c r="D93" i="39"/>
  <c r="D94" i="66"/>
  <c r="D93" i="66"/>
  <c r="D94" i="64"/>
  <c r="D93" i="64"/>
  <c r="D93" i="54"/>
  <c r="D94" i="54"/>
  <c r="D92" i="54"/>
  <c r="D104" i="54" s="1"/>
  <c r="B104" i="54" s="1"/>
  <c r="D94" i="80"/>
  <c r="D93" i="80"/>
  <c r="C99" i="80" s="1"/>
  <c r="C100" i="80" s="1"/>
  <c r="C101" i="80" s="1"/>
  <c r="C102" i="80" s="1"/>
  <c r="C103" i="80" s="1"/>
  <c r="C104" i="80" s="1"/>
  <c r="C105" i="80" s="1"/>
  <c r="C106" i="80" s="1"/>
  <c r="C107" i="80" s="1"/>
  <c r="C108" i="80" s="1"/>
  <c r="C109" i="80" s="1"/>
  <c r="C110" i="80" s="1"/>
  <c r="C111" i="80" s="1"/>
  <c r="C112" i="80" s="1"/>
  <c r="C113" i="80" s="1"/>
  <c r="C114" i="80" s="1"/>
  <c r="C115" i="80" s="1"/>
  <c r="C116" i="80" s="1"/>
  <c r="C117" i="80" s="1"/>
  <c r="C118" i="80" s="1"/>
  <c r="C119" i="80" s="1"/>
  <c r="C120" i="80" s="1"/>
  <c r="C121" i="80" s="1"/>
  <c r="C122" i="80" s="1"/>
  <c r="C123" i="80" s="1"/>
  <c r="C124" i="80" s="1"/>
  <c r="C125" i="80" s="1"/>
  <c r="C126" i="80" s="1"/>
  <c r="E22" i="35"/>
  <c r="F22" i="35" s="1"/>
  <c r="E23" i="64"/>
  <c r="F23" i="64" s="1"/>
  <c r="E24" i="64" s="1"/>
  <c r="B18" i="33"/>
  <c r="E18" i="33"/>
  <c r="F18" i="33" s="1"/>
  <c r="N6" i="13"/>
  <c r="N7" i="13" s="1"/>
  <c r="I18" i="13"/>
  <c r="C99" i="53"/>
  <c r="C100" i="53" s="1"/>
  <c r="C101" i="53" s="1"/>
  <c r="C102" i="53" s="1"/>
  <c r="C103" i="53" s="1"/>
  <c r="C104" i="53" s="1"/>
  <c r="C105" i="53" s="1"/>
  <c r="C106" i="53" s="1"/>
  <c r="C107" i="53" s="1"/>
  <c r="C108" i="53" s="1"/>
  <c r="C109" i="53" s="1"/>
  <c r="C110" i="53" s="1"/>
  <c r="C111" i="53" s="1"/>
  <c r="C112" i="53" s="1"/>
  <c r="C113" i="53" s="1"/>
  <c r="C114" i="53" s="1"/>
  <c r="C115" i="53" s="1"/>
  <c r="C116" i="53" s="1"/>
  <c r="C117" i="53" s="1"/>
  <c r="C118" i="53" s="1"/>
  <c r="C119" i="53" s="1"/>
  <c r="C120" i="53" s="1"/>
  <c r="C121" i="53" s="1"/>
  <c r="C122" i="53" s="1"/>
  <c r="C123" i="53" s="1"/>
  <c r="C124" i="53" s="1"/>
  <c r="C125" i="53" s="1"/>
  <c r="C126" i="53" s="1"/>
  <c r="C127" i="53" s="1"/>
  <c r="C128" i="53" s="1"/>
  <c r="C129" i="53" s="1"/>
  <c r="C130" i="53" s="1"/>
  <c r="C131" i="53" s="1"/>
  <c r="C132" i="53" s="1"/>
  <c r="C133" i="53" s="1"/>
  <c r="C134" i="53" s="1"/>
  <c r="C135" i="53" s="1"/>
  <c r="C136" i="53" s="1"/>
  <c r="C137" i="53" s="1"/>
  <c r="C138" i="53" s="1"/>
  <c r="C139" i="53" s="1"/>
  <c r="C140" i="53" s="1"/>
  <c r="C141" i="53" s="1"/>
  <c r="C142" i="53" s="1"/>
  <c r="C143" i="53" s="1"/>
  <c r="C144" i="53" s="1"/>
  <c r="C145" i="53" s="1"/>
  <c r="C146" i="53" s="1"/>
  <c r="C147" i="53" s="1"/>
  <c r="C148" i="53" s="1"/>
  <c r="C149" i="53" s="1"/>
  <c r="C150" i="53" s="1"/>
  <c r="C151" i="53" s="1"/>
  <c r="C152" i="53" s="1"/>
  <c r="C153" i="53" s="1"/>
  <c r="C154" i="53" s="1"/>
  <c r="C99" i="31"/>
  <c r="C100" i="31" s="1"/>
  <c r="C101" i="31" s="1"/>
  <c r="C102" i="31" s="1"/>
  <c r="C103" i="31" s="1"/>
  <c r="C104" i="31" s="1"/>
  <c r="C105" i="31" s="1"/>
  <c r="C106" i="31" s="1"/>
  <c r="C107" i="31" s="1"/>
  <c r="C108" i="31" s="1"/>
  <c r="C109" i="31" s="1"/>
  <c r="C110" i="31" s="1"/>
  <c r="C111" i="31" s="1"/>
  <c r="C112" i="31" s="1"/>
  <c r="C113" i="31" s="1"/>
  <c r="C114" i="31" s="1"/>
  <c r="C115" i="31" s="1"/>
  <c r="C116" i="31" s="1"/>
  <c r="C117" i="31" s="1"/>
  <c r="C118" i="31" s="1"/>
  <c r="C119" i="31" s="1"/>
  <c r="C120" i="31" s="1"/>
  <c r="C121" i="31" s="1"/>
  <c r="C122" i="31" s="1"/>
  <c r="C123" i="31" s="1"/>
  <c r="C124" i="31" s="1"/>
  <c r="C125" i="31" s="1"/>
  <c r="C126" i="31" s="1"/>
  <c r="H19" i="91"/>
  <c r="C99" i="82"/>
  <c r="C100" i="82" s="1"/>
  <c r="C101" i="82" s="1"/>
  <c r="C102" i="82" s="1"/>
  <c r="C103" i="82" s="1"/>
  <c r="C104" i="82" s="1"/>
  <c r="C105" i="82" s="1"/>
  <c r="C106" i="82" s="1"/>
  <c r="C107" i="82" s="1"/>
  <c r="C108" i="82" s="1"/>
  <c r="C109" i="82" s="1"/>
  <c r="C110" i="82" s="1"/>
  <c r="C111" i="82" s="1"/>
  <c r="C112" i="82" s="1"/>
  <c r="C113" i="82" s="1"/>
  <c r="C114" i="82" s="1"/>
  <c r="C115" i="82" s="1"/>
  <c r="C116" i="82" s="1"/>
  <c r="C117" i="82" s="1"/>
  <c r="C118" i="82" s="1"/>
  <c r="C119" i="82" s="1"/>
  <c r="C120" i="82" s="1"/>
  <c r="C121" i="82" s="1"/>
  <c r="C122" i="82" s="1"/>
  <c r="C123" i="82" s="1"/>
  <c r="C124" i="82" s="1"/>
  <c r="C125" i="82" s="1"/>
  <c r="C126" i="82" s="1"/>
  <c r="E100" i="13"/>
  <c r="F100" i="13" s="1"/>
  <c r="E23" i="59"/>
  <c r="F23" i="59" s="1"/>
  <c r="I14" i="17"/>
  <c r="C22" i="17"/>
  <c r="C23" i="17" s="1"/>
  <c r="C24" i="17" s="1"/>
  <c r="C25" i="17" s="1"/>
  <c r="C26" i="17" s="1"/>
  <c r="C27" i="17" s="1"/>
  <c r="C28" i="17" s="1"/>
  <c r="C29" i="17" s="1"/>
  <c r="C30" i="17" s="1"/>
  <c r="C31" i="17" s="1"/>
  <c r="C32" i="17" s="1"/>
  <c r="C33" i="17" s="1"/>
  <c r="C34" i="17" s="1"/>
  <c r="C35" i="17" s="1"/>
  <c r="C36" i="17" s="1"/>
  <c r="E26" i="43"/>
  <c r="F26" i="43" s="1"/>
  <c r="E20" i="80"/>
  <c r="F20" i="80" s="1"/>
  <c r="E21" i="80" s="1"/>
  <c r="C99" i="55"/>
  <c r="C100" i="55" s="1"/>
  <c r="C101" i="55" s="1"/>
  <c r="C102" i="55" s="1"/>
  <c r="C103" i="55" s="1"/>
  <c r="C104" i="55" s="1"/>
  <c r="C105" i="55" s="1"/>
  <c r="C106" i="55" s="1"/>
  <c r="C107" i="55" s="1"/>
  <c r="C108" i="55" s="1"/>
  <c r="C109" i="55" s="1"/>
  <c r="C110" i="55" s="1"/>
  <c r="C111" i="55" s="1"/>
  <c r="C112" i="55" s="1"/>
  <c r="C113" i="55" s="1"/>
  <c r="C114" i="55" s="1"/>
  <c r="C115" i="55" s="1"/>
  <c r="C116" i="55" s="1"/>
  <c r="C117" i="55" s="1"/>
  <c r="C118" i="55" s="1"/>
  <c r="C119" i="55" s="1"/>
  <c r="C120" i="55" s="1"/>
  <c r="C121" i="55" s="1"/>
  <c r="C122" i="55" s="1"/>
  <c r="C123" i="55" s="1"/>
  <c r="C124" i="55" s="1"/>
  <c r="C125" i="55" s="1"/>
  <c r="C126" i="55" s="1"/>
  <c r="C99" i="68"/>
  <c r="C100" i="68" s="1"/>
  <c r="C101" i="68" s="1"/>
  <c r="C102" i="68" s="1"/>
  <c r="C103" i="68" s="1"/>
  <c r="C104" i="68" s="1"/>
  <c r="C105" i="68" s="1"/>
  <c r="C106" i="68" s="1"/>
  <c r="C107" i="68" s="1"/>
  <c r="C108" i="68" s="1"/>
  <c r="C109" i="68" s="1"/>
  <c r="C110" i="68" s="1"/>
  <c r="C111" i="68" s="1"/>
  <c r="C112" i="68" s="1"/>
  <c r="C113" i="68" s="1"/>
  <c r="C114" i="68" s="1"/>
  <c r="C115" i="68" s="1"/>
  <c r="C116" i="68" s="1"/>
  <c r="C117" i="68" s="1"/>
  <c r="C118" i="68" s="1"/>
  <c r="C119" i="68" s="1"/>
  <c r="C120" i="68" s="1"/>
  <c r="C121" i="68" s="1"/>
  <c r="C122" i="68" s="1"/>
  <c r="C123" i="68" s="1"/>
  <c r="C124" i="68" s="1"/>
  <c r="C125" i="68" s="1"/>
  <c r="C126" i="68" s="1"/>
  <c r="C127" i="68" s="1"/>
  <c r="C128" i="68" s="1"/>
  <c r="C129" i="68" s="1"/>
  <c r="C130" i="68" s="1"/>
  <c r="C131" i="68" s="1"/>
  <c r="C132" i="68" s="1"/>
  <c r="C133" i="68" s="1"/>
  <c r="C134" i="68" s="1"/>
  <c r="C135" i="68" s="1"/>
  <c r="C136" i="68" s="1"/>
  <c r="C137" i="68" s="1"/>
  <c r="C138" i="68" s="1"/>
  <c r="C139" i="68" s="1"/>
  <c r="C140" i="68" s="1"/>
  <c r="C141" i="68" s="1"/>
  <c r="C142" i="68" s="1"/>
  <c r="C143" i="68" s="1"/>
  <c r="C144" i="68" s="1"/>
  <c r="C145" i="68" s="1"/>
  <c r="C146" i="68" s="1"/>
  <c r="C147" i="68" s="1"/>
  <c r="C148" i="68" s="1"/>
  <c r="C149" i="68" s="1"/>
  <c r="C150" i="68" s="1"/>
  <c r="C151" i="68" s="1"/>
  <c r="C152" i="68" s="1"/>
  <c r="C153" i="68" s="1"/>
  <c r="C154" i="68" s="1"/>
  <c r="I99" i="13"/>
  <c r="H99" i="13"/>
  <c r="C99" i="79"/>
  <c r="C100" i="79" s="1"/>
  <c r="C101" i="79" s="1"/>
  <c r="C102" i="79" s="1"/>
  <c r="C103" i="79" s="1"/>
  <c r="C104" i="79" s="1"/>
  <c r="C105" i="79" s="1"/>
  <c r="C106" i="79" s="1"/>
  <c r="C107" i="79" s="1"/>
  <c r="C108" i="79" s="1"/>
  <c r="C109" i="79" s="1"/>
  <c r="C110" i="79" s="1"/>
  <c r="C111" i="79" s="1"/>
  <c r="C112" i="79" s="1"/>
  <c r="C113" i="79" s="1"/>
  <c r="C114" i="79" s="1"/>
  <c r="C115" i="79" s="1"/>
  <c r="C116" i="79" s="1"/>
  <c r="C117" i="79" s="1"/>
  <c r="C118" i="79" s="1"/>
  <c r="C119" i="79" s="1"/>
  <c r="C120" i="79" s="1"/>
  <c r="C121" i="79" s="1"/>
  <c r="C122" i="79" s="1"/>
  <c r="C123" i="79" s="1"/>
  <c r="C124" i="79" s="1"/>
  <c r="C125" i="79" s="1"/>
  <c r="C126" i="79" s="1"/>
  <c r="C127" i="79" s="1"/>
  <c r="C128" i="79" s="1"/>
  <c r="C129" i="79" s="1"/>
  <c r="C130" i="79" s="1"/>
  <c r="C131" i="79" s="1"/>
  <c r="C132" i="79" s="1"/>
  <c r="C133" i="79" s="1"/>
  <c r="C134" i="79" s="1"/>
  <c r="C135" i="79" s="1"/>
  <c r="C136" i="79" s="1"/>
  <c r="C137" i="79" s="1"/>
  <c r="C138" i="79" s="1"/>
  <c r="C139" i="79" s="1"/>
  <c r="C140" i="79" s="1"/>
  <c r="C141" i="79" s="1"/>
  <c r="C142" i="79" s="1"/>
  <c r="C143" i="79" s="1"/>
  <c r="C144" i="79" s="1"/>
  <c r="C145" i="79" s="1"/>
  <c r="C146" i="79" s="1"/>
  <c r="C147" i="79" s="1"/>
  <c r="C148" i="79" s="1"/>
  <c r="C149" i="79" s="1"/>
  <c r="C150" i="79" s="1"/>
  <c r="C151" i="79" s="1"/>
  <c r="C152" i="79" s="1"/>
  <c r="C153" i="79" s="1"/>
  <c r="C154" i="79" s="1"/>
  <c r="D29" i="71"/>
  <c r="H17" i="26"/>
  <c r="G17" i="26"/>
  <c r="L17" i="26" s="1"/>
  <c r="D18" i="26"/>
  <c r="E18" i="26" s="1"/>
  <c r="E20" i="86"/>
  <c r="F20" i="86" s="1"/>
  <c r="E27" i="19"/>
  <c r="F27" i="19" s="1"/>
  <c r="E28" i="19" s="1"/>
  <c r="E29" i="70"/>
  <c r="F29" i="70" s="1"/>
  <c r="D108" i="31"/>
  <c r="J96" i="31"/>
  <c r="D20" i="91"/>
  <c r="G23" i="61"/>
  <c r="H23" i="61"/>
  <c r="N6" i="61" s="1"/>
  <c r="D24" i="61"/>
  <c r="M88" i="20"/>
  <c r="M89" i="20" s="1"/>
  <c r="N88" i="20"/>
  <c r="C127" i="20"/>
  <c r="C128" i="20" s="1"/>
  <c r="C129" i="20" s="1"/>
  <c r="C130" i="20" s="1"/>
  <c r="C131" i="20" s="1"/>
  <c r="C132" i="20" s="1"/>
  <c r="C133" i="20" s="1"/>
  <c r="C134" i="20" s="1"/>
  <c r="C135" i="20" s="1"/>
  <c r="C136" i="20" s="1"/>
  <c r="C137" i="20" s="1"/>
  <c r="C138" i="20" s="1"/>
  <c r="C139" i="20" s="1"/>
  <c r="C140" i="20" s="1"/>
  <c r="C141" i="20" s="1"/>
  <c r="C142" i="20" s="1"/>
  <c r="C143" i="20" s="1"/>
  <c r="C144" i="20" s="1"/>
  <c r="C145" i="20" s="1"/>
  <c r="C146" i="20" s="1"/>
  <c r="C147" i="20" s="1"/>
  <c r="C148" i="20" s="1"/>
  <c r="C149" i="20" s="1"/>
  <c r="C150" i="20" s="1"/>
  <c r="C151" i="20" s="1"/>
  <c r="C152" i="20" s="1"/>
  <c r="C153" i="20" s="1"/>
  <c r="C154" i="20" s="1"/>
  <c r="B19" i="13"/>
  <c r="F19" i="13"/>
  <c r="G19" i="13" s="1"/>
  <c r="D112" i="70"/>
  <c r="G111" i="70"/>
  <c r="E112" i="70"/>
  <c r="G110" i="29"/>
  <c r="H108" i="20"/>
  <c r="I108" i="20"/>
  <c r="J108" i="20" s="1"/>
  <c r="I101" i="35"/>
  <c r="J101" i="35" s="1"/>
  <c r="B106" i="35"/>
  <c r="G105" i="35"/>
  <c r="B109" i="17"/>
  <c r="F109" i="17"/>
  <c r="D104" i="60"/>
  <c r="G103" i="60"/>
  <c r="B103" i="35"/>
  <c r="G102" i="35"/>
  <c r="H108" i="17"/>
  <c r="I108" i="17"/>
  <c r="I110" i="70"/>
  <c r="J110" i="70" s="1"/>
  <c r="H110" i="70"/>
  <c r="G101" i="85"/>
  <c r="E102" i="85"/>
  <c r="D102" i="85"/>
  <c r="E103" i="61"/>
  <c r="E101" i="79"/>
  <c r="E99" i="98"/>
  <c r="E109" i="69"/>
  <c r="E101" i="76"/>
  <c r="E101" i="77"/>
  <c r="E30" i="1"/>
  <c r="E23" i="1"/>
  <c r="E24" i="1" s="1"/>
  <c r="M89" i="100"/>
  <c r="N5" i="88"/>
  <c r="H110" i="29"/>
  <c r="I110" i="29"/>
  <c r="F27" i="18"/>
  <c r="E104" i="57"/>
  <c r="E100" i="83"/>
  <c r="E104" i="58"/>
  <c r="E100" i="99"/>
  <c r="E108" i="24"/>
  <c r="F102" i="66"/>
  <c r="F111" i="29"/>
  <c r="B111" i="29"/>
  <c r="F69" i="2"/>
  <c r="F70" i="2" s="1"/>
  <c r="F55" i="2" s="1"/>
  <c r="F56" i="2" s="1"/>
  <c r="F19" i="89"/>
  <c r="F29" i="30"/>
  <c r="O87" i="59"/>
  <c r="E107" i="18"/>
  <c r="E100" i="81"/>
  <c r="E99" i="86"/>
  <c r="E108" i="71"/>
  <c r="E104" i="46"/>
  <c r="O87" i="26"/>
  <c r="I19" i="88"/>
  <c r="N6" i="88"/>
  <c r="D105" i="62"/>
  <c r="G104" i="62"/>
  <c r="E105" i="62"/>
  <c r="C127" i="88"/>
  <c r="C128" i="88" s="1"/>
  <c r="C129" i="88" s="1"/>
  <c r="C130" i="88" s="1"/>
  <c r="C131" i="88" s="1"/>
  <c r="C132" i="88" s="1"/>
  <c r="C133" i="88" s="1"/>
  <c r="C134" i="88" s="1"/>
  <c r="C135" i="88" s="1"/>
  <c r="C136" i="88" s="1"/>
  <c r="C137" i="88" s="1"/>
  <c r="C138" i="88" s="1"/>
  <c r="C139" i="88" s="1"/>
  <c r="C140" i="88" s="1"/>
  <c r="C141" i="88" s="1"/>
  <c r="C142" i="88" s="1"/>
  <c r="C143" i="88" s="1"/>
  <c r="C144" i="88" s="1"/>
  <c r="C145" i="88" s="1"/>
  <c r="C146" i="88" s="1"/>
  <c r="C147" i="88" s="1"/>
  <c r="C148" i="88" s="1"/>
  <c r="C149" i="88" s="1"/>
  <c r="C150" i="88" s="1"/>
  <c r="C151" i="88" s="1"/>
  <c r="C152" i="88" s="1"/>
  <c r="C153" i="88" s="1"/>
  <c r="C154" i="88" s="1"/>
  <c r="O88" i="67"/>
  <c r="O89" i="67" s="1"/>
  <c r="N89" i="67"/>
  <c r="F27" i="22"/>
  <c r="F21" i="78"/>
  <c r="E106" i="39"/>
  <c r="E110" i="28"/>
  <c r="E103" i="64"/>
  <c r="E106" i="74"/>
  <c r="E109" i="27"/>
  <c r="B20" i="88"/>
  <c r="F20" i="88"/>
  <c r="H20" i="88" s="1"/>
  <c r="O88" i="62"/>
  <c r="O89" i="62" s="1"/>
  <c r="H101" i="78"/>
  <c r="I101" i="78"/>
  <c r="F19" i="90"/>
  <c r="F27" i="21"/>
  <c r="E107" i="21"/>
  <c r="E99" i="88"/>
  <c r="E107" i="22"/>
  <c r="E104" i="72"/>
  <c r="E99" i="91"/>
  <c r="E107" i="3"/>
  <c r="G18" i="25"/>
  <c r="H18" i="25"/>
  <c r="D19" i="25"/>
  <c r="E19" i="25" s="1"/>
  <c r="G106" i="35"/>
  <c r="B107" i="35"/>
  <c r="E107" i="35"/>
  <c r="F107" i="35" s="1"/>
  <c r="O87" i="3"/>
  <c r="F107" i="19"/>
  <c r="F103" i="63"/>
  <c r="B102" i="78"/>
  <c r="F102" i="78"/>
  <c r="B18" i="100"/>
  <c r="F18" i="100"/>
  <c r="G18" i="100" s="1"/>
  <c r="F19" i="87"/>
  <c r="F26" i="39"/>
  <c r="E102" i="68"/>
  <c r="E106" i="41"/>
  <c r="E109" i="30"/>
  <c r="E99" i="89"/>
  <c r="O88" i="100"/>
  <c r="N89" i="100"/>
  <c r="I105" i="35"/>
  <c r="J105" i="35" s="1"/>
  <c r="H105" i="35"/>
  <c r="F21" i="75"/>
  <c r="F104" i="67"/>
  <c r="B104" i="67"/>
  <c r="D102" i="82"/>
  <c r="E102" i="82"/>
  <c r="G101" i="82"/>
  <c r="G109" i="20"/>
  <c r="D110" i="20"/>
  <c r="E110" i="20"/>
  <c r="N5" i="100"/>
  <c r="F28" i="32"/>
  <c r="F23" i="62"/>
  <c r="F18" i="96"/>
  <c r="N89" i="29"/>
  <c r="O88" i="29"/>
  <c r="O89" i="29" s="1"/>
  <c r="C99" i="65"/>
  <c r="C100" i="65" s="1"/>
  <c r="C101" i="65" s="1"/>
  <c r="C102" i="65" s="1"/>
  <c r="C103" i="65" s="1"/>
  <c r="C104" i="65" s="1"/>
  <c r="C105" i="65" s="1"/>
  <c r="C106" i="65" s="1"/>
  <c r="C107" i="65" s="1"/>
  <c r="C108" i="65" s="1"/>
  <c r="C109" i="65" s="1"/>
  <c r="C110" i="65" s="1"/>
  <c r="C111" i="65" s="1"/>
  <c r="C112" i="65" s="1"/>
  <c r="C113" i="65" s="1"/>
  <c r="C114" i="65" s="1"/>
  <c r="C115" i="65" s="1"/>
  <c r="C116" i="65" s="1"/>
  <c r="C117" i="65" s="1"/>
  <c r="C118" i="65" s="1"/>
  <c r="C119" i="65" s="1"/>
  <c r="C120" i="65" s="1"/>
  <c r="C121" i="65" s="1"/>
  <c r="C122" i="65" s="1"/>
  <c r="C123" i="65" s="1"/>
  <c r="C124" i="65" s="1"/>
  <c r="C125" i="65" s="1"/>
  <c r="C126" i="65" s="1"/>
  <c r="C99" i="75"/>
  <c r="C100" i="75" s="1"/>
  <c r="C101" i="75" s="1"/>
  <c r="C102" i="75" s="1"/>
  <c r="C103" i="75" s="1"/>
  <c r="C104" i="75" s="1"/>
  <c r="C105" i="75" s="1"/>
  <c r="C106" i="75" s="1"/>
  <c r="C107" i="75" s="1"/>
  <c r="C108" i="75" s="1"/>
  <c r="C109" i="75" s="1"/>
  <c r="C110" i="75" s="1"/>
  <c r="C111" i="75" s="1"/>
  <c r="C112" i="75" s="1"/>
  <c r="C113" i="75" s="1"/>
  <c r="C114" i="75" s="1"/>
  <c r="C115" i="75" s="1"/>
  <c r="C116" i="75" s="1"/>
  <c r="C117" i="75" s="1"/>
  <c r="C118" i="75" s="1"/>
  <c r="C119" i="75" s="1"/>
  <c r="C120" i="75" s="1"/>
  <c r="C121" i="75" s="1"/>
  <c r="C122" i="75" s="1"/>
  <c r="C123" i="75" s="1"/>
  <c r="C124" i="75" s="1"/>
  <c r="C125" i="75" s="1"/>
  <c r="C126" i="75" s="1"/>
  <c r="E99" i="96"/>
  <c r="E99" i="90"/>
  <c r="E99" i="84"/>
  <c r="E108" i="32"/>
  <c r="F109" i="23"/>
  <c r="B109" i="23"/>
  <c r="O88" i="70"/>
  <c r="O89" i="70" s="1"/>
  <c r="N89" i="70"/>
  <c r="H103" i="67"/>
  <c r="I103" i="67"/>
  <c r="D103" i="75"/>
  <c r="G102" i="75"/>
  <c r="E103" i="75"/>
  <c r="C99" i="32"/>
  <c r="C100" i="32" s="1"/>
  <c r="C101" i="32" s="1"/>
  <c r="C102" i="32" s="1"/>
  <c r="C103" i="32" s="1"/>
  <c r="C104" i="32" s="1"/>
  <c r="C105" i="32" s="1"/>
  <c r="C106" i="32" s="1"/>
  <c r="C107" i="32" s="1"/>
  <c r="C108" i="32" s="1"/>
  <c r="C109" i="32" s="1"/>
  <c r="C110" i="32" s="1"/>
  <c r="C111" i="32" s="1"/>
  <c r="C112" i="32" s="1"/>
  <c r="C113" i="32" s="1"/>
  <c r="C114" i="32" s="1"/>
  <c r="C115" i="32" s="1"/>
  <c r="C116" i="32" s="1"/>
  <c r="C117" i="32" s="1"/>
  <c r="C118" i="32" s="1"/>
  <c r="C119" i="32" s="1"/>
  <c r="C120" i="32" s="1"/>
  <c r="C121" i="32" s="1"/>
  <c r="C122" i="32" s="1"/>
  <c r="C123" i="32" s="1"/>
  <c r="C124" i="32" s="1"/>
  <c r="C125" i="32" s="1"/>
  <c r="C126" i="32" s="1"/>
  <c r="E100" i="100"/>
  <c r="G99" i="100"/>
  <c r="D100" i="100"/>
  <c r="E103" i="59"/>
  <c r="E100" i="80"/>
  <c r="E106" i="73"/>
  <c r="E108" i="34"/>
  <c r="E104" i="34"/>
  <c r="H100" i="85"/>
  <c r="I100" i="85"/>
  <c r="O87" i="20"/>
  <c r="N89" i="20"/>
  <c r="O87" i="100"/>
  <c r="H108" i="23"/>
  <c r="I108" i="23"/>
  <c r="C99" i="92"/>
  <c r="D99" i="92" s="1"/>
  <c r="E106" i="55"/>
  <c r="G105" i="55"/>
  <c r="D106" i="55"/>
  <c r="N7" i="100"/>
  <c r="F29" i="29"/>
  <c r="I22" i="36"/>
  <c r="I90" i="36"/>
  <c r="J96" i="45" l="1"/>
  <c r="E105" i="45" s="1"/>
  <c r="H99" i="95"/>
  <c r="I99" i="95"/>
  <c r="J99" i="95" s="1"/>
  <c r="N7" i="88"/>
  <c r="F99" i="87"/>
  <c r="I21" i="35"/>
  <c r="B100" i="95"/>
  <c r="F100" i="95"/>
  <c r="C99" i="54"/>
  <c r="C100" i="54" s="1"/>
  <c r="C101" i="54" s="1"/>
  <c r="C102" i="54" s="1"/>
  <c r="C103" i="54" s="1"/>
  <c r="C104" i="54" s="1"/>
  <c r="C105" i="54" s="1"/>
  <c r="C106" i="54" s="1"/>
  <c r="C107" i="54" s="1"/>
  <c r="C108" i="54" s="1"/>
  <c r="C109" i="54" s="1"/>
  <c r="C110" i="54" s="1"/>
  <c r="C111" i="54" s="1"/>
  <c r="C112" i="54" s="1"/>
  <c r="C113" i="54" s="1"/>
  <c r="C114" i="54" s="1"/>
  <c r="C115" i="54" s="1"/>
  <c r="C116" i="54" s="1"/>
  <c r="C117" i="54" s="1"/>
  <c r="C118" i="54" s="1"/>
  <c r="C119" i="54" s="1"/>
  <c r="C120" i="54" s="1"/>
  <c r="C121" i="54" s="1"/>
  <c r="C122" i="54" s="1"/>
  <c r="C123" i="54" s="1"/>
  <c r="C124" i="54" s="1"/>
  <c r="C125" i="54" s="1"/>
  <c r="C126" i="54" s="1"/>
  <c r="C127" i="54" s="1"/>
  <c r="C128" i="54" s="1"/>
  <c r="C129" i="54" s="1"/>
  <c r="C130" i="54" s="1"/>
  <c r="C131" i="54" s="1"/>
  <c r="C132" i="54" s="1"/>
  <c r="C133" i="54" s="1"/>
  <c r="C134" i="54" s="1"/>
  <c r="C135" i="54" s="1"/>
  <c r="C136" i="54" s="1"/>
  <c r="C137" i="54" s="1"/>
  <c r="C138" i="54" s="1"/>
  <c r="C139" i="54" s="1"/>
  <c r="C140" i="54" s="1"/>
  <c r="C141" i="54" s="1"/>
  <c r="C142" i="54" s="1"/>
  <c r="C143" i="54" s="1"/>
  <c r="C144" i="54" s="1"/>
  <c r="C145" i="54" s="1"/>
  <c r="C146" i="54" s="1"/>
  <c r="C147" i="54" s="1"/>
  <c r="C148" i="54" s="1"/>
  <c r="C149" i="54" s="1"/>
  <c r="C150" i="54" s="1"/>
  <c r="C151" i="54" s="1"/>
  <c r="C152" i="54" s="1"/>
  <c r="C153" i="54" s="1"/>
  <c r="C154" i="54" s="1"/>
  <c r="C99" i="24"/>
  <c r="C100" i="24" s="1"/>
  <c r="C101" i="24" s="1"/>
  <c r="C102" i="24" s="1"/>
  <c r="C103" i="24" s="1"/>
  <c r="C104" i="24" s="1"/>
  <c r="C105" i="24" s="1"/>
  <c r="C106" i="24" s="1"/>
  <c r="C107" i="24" s="1"/>
  <c r="C108" i="24" s="1"/>
  <c r="C109" i="24" s="1"/>
  <c r="C110" i="24" s="1"/>
  <c r="C111" i="24" s="1"/>
  <c r="C112" i="24" s="1"/>
  <c r="C113" i="24" s="1"/>
  <c r="C114" i="24" s="1"/>
  <c r="C115" i="24" s="1"/>
  <c r="C116" i="24" s="1"/>
  <c r="C117" i="24" s="1"/>
  <c r="C118" i="24" s="1"/>
  <c r="C119" i="24" s="1"/>
  <c r="C120" i="24" s="1"/>
  <c r="C121" i="24" s="1"/>
  <c r="C122" i="24" s="1"/>
  <c r="C123" i="24" s="1"/>
  <c r="C124" i="24" s="1"/>
  <c r="C125" i="24" s="1"/>
  <c r="C126" i="24" s="1"/>
  <c r="C127" i="24" s="1"/>
  <c r="C128" i="24" s="1"/>
  <c r="C129" i="24" s="1"/>
  <c r="C130" i="24" s="1"/>
  <c r="C131" i="24" s="1"/>
  <c r="C132" i="24" s="1"/>
  <c r="C133" i="24" s="1"/>
  <c r="C134" i="24" s="1"/>
  <c r="C135" i="24" s="1"/>
  <c r="C136" i="24" s="1"/>
  <c r="C137" i="24" s="1"/>
  <c r="C138" i="24" s="1"/>
  <c r="C139" i="24" s="1"/>
  <c r="C140" i="24" s="1"/>
  <c r="C141" i="24" s="1"/>
  <c r="C142" i="24" s="1"/>
  <c r="C143" i="24" s="1"/>
  <c r="C144" i="24" s="1"/>
  <c r="C145" i="24" s="1"/>
  <c r="C146" i="24" s="1"/>
  <c r="C147" i="24" s="1"/>
  <c r="C148" i="24" s="1"/>
  <c r="C149" i="24" s="1"/>
  <c r="C150" i="24" s="1"/>
  <c r="C151" i="24" s="1"/>
  <c r="C152" i="24" s="1"/>
  <c r="C153" i="24" s="1"/>
  <c r="C154" i="24" s="1"/>
  <c r="E99" i="33"/>
  <c r="C99" i="43"/>
  <c r="C100" i="43" s="1"/>
  <c r="C101" i="43" s="1"/>
  <c r="C102" i="43" s="1"/>
  <c r="C103" i="43" s="1"/>
  <c r="C104" i="43" s="1"/>
  <c r="C105" i="43" s="1"/>
  <c r="C106" i="43" s="1"/>
  <c r="C107" i="43" s="1"/>
  <c r="C108" i="43" s="1"/>
  <c r="C109" i="43" s="1"/>
  <c r="C110" i="43" s="1"/>
  <c r="C111" i="43" s="1"/>
  <c r="C112" i="43" s="1"/>
  <c r="C113" i="43" s="1"/>
  <c r="C114" i="43" s="1"/>
  <c r="C115" i="43" s="1"/>
  <c r="C116" i="43" s="1"/>
  <c r="C117" i="43" s="1"/>
  <c r="C118" i="43" s="1"/>
  <c r="C119" i="43" s="1"/>
  <c r="C120" i="43" s="1"/>
  <c r="C121" i="43" s="1"/>
  <c r="C122" i="43" s="1"/>
  <c r="C123" i="43" s="1"/>
  <c r="C124" i="43" s="1"/>
  <c r="C125" i="43" s="1"/>
  <c r="C126" i="43" s="1"/>
  <c r="C127" i="43" s="1"/>
  <c r="C128" i="43" s="1"/>
  <c r="C129" i="43" s="1"/>
  <c r="C130" i="43" s="1"/>
  <c r="C131" i="43" s="1"/>
  <c r="C132" i="43" s="1"/>
  <c r="C133" i="43" s="1"/>
  <c r="C134" i="43" s="1"/>
  <c r="C135" i="43" s="1"/>
  <c r="C136" i="43" s="1"/>
  <c r="C137" i="43" s="1"/>
  <c r="C138" i="43" s="1"/>
  <c r="C139" i="43" s="1"/>
  <c r="C140" i="43" s="1"/>
  <c r="C141" i="43" s="1"/>
  <c r="C142" i="43" s="1"/>
  <c r="C143" i="43" s="1"/>
  <c r="C144" i="43" s="1"/>
  <c r="C145" i="43" s="1"/>
  <c r="C146" i="43" s="1"/>
  <c r="C147" i="43" s="1"/>
  <c r="C148" i="43" s="1"/>
  <c r="C149" i="43" s="1"/>
  <c r="C150" i="43" s="1"/>
  <c r="C151" i="43" s="1"/>
  <c r="C152" i="43" s="1"/>
  <c r="C153" i="43" s="1"/>
  <c r="C154" i="43" s="1"/>
  <c r="C99" i="45"/>
  <c r="C100" i="45" s="1"/>
  <c r="C101" i="45" s="1"/>
  <c r="C102" i="45" s="1"/>
  <c r="C103" i="45" s="1"/>
  <c r="C104" i="45" s="1"/>
  <c r="C105" i="45" s="1"/>
  <c r="C106" i="45" s="1"/>
  <c r="C107" i="45" s="1"/>
  <c r="C108" i="45" s="1"/>
  <c r="C109" i="45" s="1"/>
  <c r="C110" i="45" s="1"/>
  <c r="C111" i="45" s="1"/>
  <c r="C112" i="45" s="1"/>
  <c r="C113" i="45" s="1"/>
  <c r="C114" i="45" s="1"/>
  <c r="C115" i="45" s="1"/>
  <c r="C116" i="45" s="1"/>
  <c r="C117" i="45" s="1"/>
  <c r="C118" i="45" s="1"/>
  <c r="C119" i="45" s="1"/>
  <c r="C120" i="45" s="1"/>
  <c r="C121" i="45" s="1"/>
  <c r="C122" i="45" s="1"/>
  <c r="C123" i="45" s="1"/>
  <c r="C124" i="45" s="1"/>
  <c r="C125" i="45" s="1"/>
  <c r="C126" i="45" s="1"/>
  <c r="C127" i="45" s="1"/>
  <c r="C128" i="45" s="1"/>
  <c r="C129" i="45" s="1"/>
  <c r="C130" i="45" s="1"/>
  <c r="C131" i="45" s="1"/>
  <c r="C132" i="45" s="1"/>
  <c r="C133" i="45" s="1"/>
  <c r="C134" i="45" s="1"/>
  <c r="C135" i="45" s="1"/>
  <c r="C136" i="45" s="1"/>
  <c r="C137" i="45" s="1"/>
  <c r="C138" i="45" s="1"/>
  <c r="C139" i="45" s="1"/>
  <c r="C140" i="45" s="1"/>
  <c r="C141" i="45" s="1"/>
  <c r="C142" i="45" s="1"/>
  <c r="C143" i="45" s="1"/>
  <c r="C144" i="45" s="1"/>
  <c r="C145" i="45" s="1"/>
  <c r="C146" i="45" s="1"/>
  <c r="C147" i="45" s="1"/>
  <c r="C148" i="45" s="1"/>
  <c r="C149" i="45" s="1"/>
  <c r="C150" i="45" s="1"/>
  <c r="C151" i="45" s="1"/>
  <c r="C152" i="45" s="1"/>
  <c r="C153" i="45" s="1"/>
  <c r="C154" i="45" s="1"/>
  <c r="E21" i="79"/>
  <c r="F21" i="79" s="1"/>
  <c r="E22" i="79" s="1"/>
  <c r="E24" i="46"/>
  <c r="F24" i="46" s="1"/>
  <c r="E25" i="46" s="1"/>
  <c r="E18" i="95"/>
  <c r="F18" i="95" s="1"/>
  <c r="E24" i="58"/>
  <c r="F24" i="58" s="1"/>
  <c r="O88" i="20"/>
  <c r="G19" i="91"/>
  <c r="N5" i="91" s="1"/>
  <c r="C99" i="64"/>
  <c r="C100" i="64" s="1"/>
  <c r="C101" i="64" s="1"/>
  <c r="C102" i="64" s="1"/>
  <c r="C103" i="64" s="1"/>
  <c r="C104" i="64" s="1"/>
  <c r="C105" i="64" s="1"/>
  <c r="C106" i="64" s="1"/>
  <c r="C107" i="64" s="1"/>
  <c r="C108" i="64" s="1"/>
  <c r="C109" i="64" s="1"/>
  <c r="C110" i="64" s="1"/>
  <c r="C111" i="64" s="1"/>
  <c r="C112" i="64" s="1"/>
  <c r="C113" i="64" s="1"/>
  <c r="C114" i="64" s="1"/>
  <c r="C115" i="64" s="1"/>
  <c r="C116" i="64" s="1"/>
  <c r="C117" i="64" s="1"/>
  <c r="C118" i="64" s="1"/>
  <c r="C119" i="64" s="1"/>
  <c r="C120" i="64" s="1"/>
  <c r="C121" i="64" s="1"/>
  <c r="C122" i="64" s="1"/>
  <c r="C123" i="64" s="1"/>
  <c r="C124" i="64" s="1"/>
  <c r="C125" i="64" s="1"/>
  <c r="C126" i="64" s="1"/>
  <c r="C127" i="64" s="1"/>
  <c r="C128" i="64" s="1"/>
  <c r="C129" i="64" s="1"/>
  <c r="C130" i="64" s="1"/>
  <c r="C131" i="64" s="1"/>
  <c r="C132" i="64" s="1"/>
  <c r="C133" i="64" s="1"/>
  <c r="C134" i="64" s="1"/>
  <c r="C135" i="64" s="1"/>
  <c r="C136" i="64" s="1"/>
  <c r="C137" i="64" s="1"/>
  <c r="C138" i="64" s="1"/>
  <c r="C139" i="64" s="1"/>
  <c r="C140" i="64" s="1"/>
  <c r="C141" i="64" s="1"/>
  <c r="C142" i="64" s="1"/>
  <c r="C143" i="64" s="1"/>
  <c r="C144" i="64" s="1"/>
  <c r="C145" i="64" s="1"/>
  <c r="C146" i="64" s="1"/>
  <c r="C147" i="64" s="1"/>
  <c r="C148" i="64" s="1"/>
  <c r="C149" i="64" s="1"/>
  <c r="C150" i="64" s="1"/>
  <c r="C151" i="64" s="1"/>
  <c r="C152" i="64" s="1"/>
  <c r="C153" i="64" s="1"/>
  <c r="C154" i="64" s="1"/>
  <c r="C99" i="85"/>
  <c r="C100" i="85" s="1"/>
  <c r="C101" i="85" s="1"/>
  <c r="C102" i="85" s="1"/>
  <c r="C103" i="85" s="1"/>
  <c r="C104" i="85" s="1"/>
  <c r="C105" i="85" s="1"/>
  <c r="C106" i="85" s="1"/>
  <c r="C107" i="85" s="1"/>
  <c r="C108" i="85" s="1"/>
  <c r="C109" i="85" s="1"/>
  <c r="C110" i="85" s="1"/>
  <c r="C111" i="85" s="1"/>
  <c r="C112" i="85" s="1"/>
  <c r="C113" i="85" s="1"/>
  <c r="C114" i="85" s="1"/>
  <c r="C115" i="85" s="1"/>
  <c r="C116" i="85" s="1"/>
  <c r="C117" i="85" s="1"/>
  <c r="C118" i="85" s="1"/>
  <c r="C119" i="85" s="1"/>
  <c r="C120" i="85" s="1"/>
  <c r="C121" i="85" s="1"/>
  <c r="C122" i="85" s="1"/>
  <c r="C123" i="85" s="1"/>
  <c r="C124" i="85" s="1"/>
  <c r="C125" i="85" s="1"/>
  <c r="C126" i="85" s="1"/>
  <c r="E23" i="60"/>
  <c r="F23" i="60" s="1"/>
  <c r="E24" i="60"/>
  <c r="J96" i="56"/>
  <c r="E104" i="56" s="1"/>
  <c r="D106" i="44"/>
  <c r="J96" i="44"/>
  <c r="C99" i="58"/>
  <c r="C100" i="58" s="1"/>
  <c r="C101" i="58" s="1"/>
  <c r="C102" i="58" s="1"/>
  <c r="C103" i="58" s="1"/>
  <c r="C104" i="58" s="1"/>
  <c r="C105" i="58" s="1"/>
  <c r="C106" i="58" s="1"/>
  <c r="C107" i="58" s="1"/>
  <c r="C108" i="58" s="1"/>
  <c r="C109" i="58" s="1"/>
  <c r="C110" i="58" s="1"/>
  <c r="C111" i="58" s="1"/>
  <c r="C112" i="58" s="1"/>
  <c r="C113" i="58" s="1"/>
  <c r="C114" i="58" s="1"/>
  <c r="C115" i="58" s="1"/>
  <c r="C116" i="58" s="1"/>
  <c r="C117" i="58" s="1"/>
  <c r="C118" i="58" s="1"/>
  <c r="C119" i="58" s="1"/>
  <c r="C120" i="58" s="1"/>
  <c r="C121" i="58" s="1"/>
  <c r="C122" i="58" s="1"/>
  <c r="C123" i="58" s="1"/>
  <c r="C124" i="58" s="1"/>
  <c r="C125" i="58" s="1"/>
  <c r="C126" i="58" s="1"/>
  <c r="C127" i="58" s="1"/>
  <c r="C128" i="58" s="1"/>
  <c r="C129" i="58" s="1"/>
  <c r="C130" i="58" s="1"/>
  <c r="C131" i="58" s="1"/>
  <c r="C132" i="58" s="1"/>
  <c r="C133" i="58" s="1"/>
  <c r="C134" i="58" s="1"/>
  <c r="C135" i="58" s="1"/>
  <c r="C136" i="58" s="1"/>
  <c r="C137" i="58" s="1"/>
  <c r="C138" i="58" s="1"/>
  <c r="C139" i="58" s="1"/>
  <c r="C140" i="58" s="1"/>
  <c r="C141" i="58" s="1"/>
  <c r="C142" i="58" s="1"/>
  <c r="C143" i="58" s="1"/>
  <c r="C144" i="58" s="1"/>
  <c r="C145" i="58" s="1"/>
  <c r="C146" i="58" s="1"/>
  <c r="C147" i="58" s="1"/>
  <c r="C148" i="58" s="1"/>
  <c r="C149" i="58" s="1"/>
  <c r="C150" i="58" s="1"/>
  <c r="C151" i="58" s="1"/>
  <c r="C152" i="58" s="1"/>
  <c r="C153" i="58" s="1"/>
  <c r="C154" i="58" s="1"/>
  <c r="D99" i="90"/>
  <c r="J96" i="65"/>
  <c r="E102" i="65" s="1"/>
  <c r="D106" i="42"/>
  <c r="J96" i="42"/>
  <c r="E25" i="45"/>
  <c r="F25" i="45" s="1"/>
  <c r="E26" i="45" s="1"/>
  <c r="E27" i="20"/>
  <c r="F27" i="20" s="1"/>
  <c r="E28" i="20" s="1"/>
  <c r="E28" i="24"/>
  <c r="F28" i="24" s="1"/>
  <c r="E29" i="69"/>
  <c r="F29" i="69" s="1"/>
  <c r="E30" i="69" s="1"/>
  <c r="E21" i="76"/>
  <c r="F21" i="76" s="1"/>
  <c r="E22" i="76" s="1"/>
  <c r="E28" i="31"/>
  <c r="F28" i="31" s="1"/>
  <c r="E20" i="84"/>
  <c r="F20" i="84" s="1"/>
  <c r="E24" i="56"/>
  <c r="F24" i="56" s="1"/>
  <c r="E25" i="56"/>
  <c r="E24" i="72"/>
  <c r="F24" i="72" s="1"/>
  <c r="E25" i="72" s="1"/>
  <c r="E21" i="77"/>
  <c r="F21" i="77" s="1"/>
  <c r="C99" i="66"/>
  <c r="C100" i="66"/>
  <c r="C101" i="66" s="1"/>
  <c r="C102" i="66" s="1"/>
  <c r="C103" i="66" s="1"/>
  <c r="C104" i="66"/>
  <c r="C105" i="66" s="1"/>
  <c r="C106" i="66" s="1"/>
  <c r="C107" i="66" s="1"/>
  <c r="C108" i="66" s="1"/>
  <c r="C109" i="66" s="1"/>
  <c r="C110" i="66" s="1"/>
  <c r="C111" i="66" s="1"/>
  <c r="C112" i="66" s="1"/>
  <c r="C113" i="66" s="1"/>
  <c r="C114" i="66" s="1"/>
  <c r="C115" i="66" s="1"/>
  <c r="C116" i="66" s="1"/>
  <c r="C117" i="66" s="1"/>
  <c r="C118" i="66" s="1"/>
  <c r="C119" i="66" s="1"/>
  <c r="C120" i="66" s="1"/>
  <c r="C121" i="66" s="1"/>
  <c r="C122" i="66" s="1"/>
  <c r="C123" i="66" s="1"/>
  <c r="C124" i="66" s="1"/>
  <c r="C125" i="66" s="1"/>
  <c r="C126" i="66" s="1"/>
  <c r="C127" i="66" s="1"/>
  <c r="C128" i="66" s="1"/>
  <c r="C129" i="66" s="1"/>
  <c r="C130" i="66" s="1"/>
  <c r="C131" i="66" s="1"/>
  <c r="C132" i="66" s="1"/>
  <c r="C133" i="66" s="1"/>
  <c r="C134" i="66" s="1"/>
  <c r="C135" i="66" s="1"/>
  <c r="C136" i="66" s="1"/>
  <c r="C137" i="66" s="1"/>
  <c r="C138" i="66" s="1"/>
  <c r="C139" i="66" s="1"/>
  <c r="C140" i="66" s="1"/>
  <c r="C141" i="66" s="1"/>
  <c r="C142" i="66" s="1"/>
  <c r="C143" i="66" s="1"/>
  <c r="C144" i="66" s="1"/>
  <c r="C145" i="66" s="1"/>
  <c r="C146" i="66" s="1"/>
  <c r="C147" i="66" s="1"/>
  <c r="C148" i="66" s="1"/>
  <c r="C149" i="66" s="1"/>
  <c r="C150" i="66" s="1"/>
  <c r="C151" i="66" s="1"/>
  <c r="C152" i="66" s="1"/>
  <c r="C153" i="66" s="1"/>
  <c r="C154" i="66" s="1"/>
  <c r="C99" i="42"/>
  <c r="C100" i="42" s="1"/>
  <c r="C101" i="42" s="1"/>
  <c r="C102" i="42" s="1"/>
  <c r="C103" i="42" s="1"/>
  <c r="C104" i="42" s="1"/>
  <c r="C105" i="42" s="1"/>
  <c r="C106" i="42" s="1"/>
  <c r="C107" i="42" s="1"/>
  <c r="C108" i="42" s="1"/>
  <c r="C109" i="42" s="1"/>
  <c r="C110" i="42" s="1"/>
  <c r="C111" i="42" s="1"/>
  <c r="C112" i="42" s="1"/>
  <c r="C113" i="42" s="1"/>
  <c r="C114" i="42" s="1"/>
  <c r="C115" i="42" s="1"/>
  <c r="C116" i="42" s="1"/>
  <c r="C117" i="42" s="1"/>
  <c r="C118" i="42" s="1"/>
  <c r="C119" i="42" s="1"/>
  <c r="C120" i="42" s="1"/>
  <c r="C121" i="42" s="1"/>
  <c r="C122" i="42" s="1"/>
  <c r="C123" i="42" s="1"/>
  <c r="C124" i="42" s="1"/>
  <c r="C125" i="42" s="1"/>
  <c r="C126" i="42" s="1"/>
  <c r="C127" i="42" s="1"/>
  <c r="C128" i="42" s="1"/>
  <c r="C129" i="42" s="1"/>
  <c r="C130" i="42" s="1"/>
  <c r="C131" i="42" s="1"/>
  <c r="C132" i="42" s="1"/>
  <c r="C133" i="42" s="1"/>
  <c r="C134" i="42" s="1"/>
  <c r="C135" i="42" s="1"/>
  <c r="C136" i="42" s="1"/>
  <c r="C137" i="42" s="1"/>
  <c r="C138" i="42" s="1"/>
  <c r="C139" i="42" s="1"/>
  <c r="C140" i="42" s="1"/>
  <c r="C141" i="42" s="1"/>
  <c r="C142" i="42" s="1"/>
  <c r="C143" i="42" s="1"/>
  <c r="C144" i="42" s="1"/>
  <c r="C145" i="42" s="1"/>
  <c r="C146" i="42" s="1"/>
  <c r="C147" i="42" s="1"/>
  <c r="C148" i="42" s="1"/>
  <c r="C149" i="42" s="1"/>
  <c r="C150" i="42" s="1"/>
  <c r="C151" i="42" s="1"/>
  <c r="C152" i="42" s="1"/>
  <c r="C153" i="42" s="1"/>
  <c r="C154" i="42" s="1"/>
  <c r="E18" i="98"/>
  <c r="F18" i="98" s="1"/>
  <c r="E19" i="98" s="1"/>
  <c r="E30" i="28"/>
  <c r="F30" i="28" s="1"/>
  <c r="E22" i="65"/>
  <c r="F22" i="65" s="1"/>
  <c r="E23" i="65" s="1"/>
  <c r="E19" i="92"/>
  <c r="F19" i="92" s="1"/>
  <c r="E20" i="92" s="1"/>
  <c r="H19" i="13"/>
  <c r="I19" i="13" s="1"/>
  <c r="G28" i="71"/>
  <c r="N5" i="71" s="1"/>
  <c r="C99" i="39"/>
  <c r="C100" i="39" s="1"/>
  <c r="C101" i="39" s="1"/>
  <c r="C102" i="39" s="1"/>
  <c r="C103" i="39" s="1"/>
  <c r="C104" i="39" s="1"/>
  <c r="C105" i="39" s="1"/>
  <c r="C106" i="39" s="1"/>
  <c r="C107" i="39" s="1"/>
  <c r="C108" i="39" s="1"/>
  <c r="C109" i="39" s="1"/>
  <c r="C110" i="39" s="1"/>
  <c r="C111" i="39" s="1"/>
  <c r="C112" i="39" s="1"/>
  <c r="C113" i="39" s="1"/>
  <c r="C114" i="39" s="1"/>
  <c r="C115" i="39" s="1"/>
  <c r="C116" i="39" s="1"/>
  <c r="C117" i="39" s="1"/>
  <c r="C118" i="39" s="1"/>
  <c r="C119" i="39" s="1"/>
  <c r="C120" i="39" s="1"/>
  <c r="C121" i="39" s="1"/>
  <c r="C122" i="39" s="1"/>
  <c r="C123" i="39" s="1"/>
  <c r="C124" i="39" s="1"/>
  <c r="C125" i="39" s="1"/>
  <c r="C126" i="39" s="1"/>
  <c r="C127" i="39" s="1"/>
  <c r="C128" i="39" s="1"/>
  <c r="C129" i="39" s="1"/>
  <c r="C130" i="39" s="1"/>
  <c r="C131" i="39" s="1"/>
  <c r="C132" i="39" s="1"/>
  <c r="C133" i="39" s="1"/>
  <c r="C134" i="39" s="1"/>
  <c r="C135" i="39" s="1"/>
  <c r="C136" i="39" s="1"/>
  <c r="C137" i="39" s="1"/>
  <c r="C138" i="39" s="1"/>
  <c r="C139" i="39" s="1"/>
  <c r="C140" i="39" s="1"/>
  <c r="C141" i="39" s="1"/>
  <c r="C142" i="39" s="1"/>
  <c r="C143" i="39" s="1"/>
  <c r="C144" i="39" s="1"/>
  <c r="C145" i="39" s="1"/>
  <c r="C146" i="39" s="1"/>
  <c r="C147" i="39" s="1"/>
  <c r="C148" i="39" s="1"/>
  <c r="C149" i="39" s="1"/>
  <c r="C150" i="39" s="1"/>
  <c r="C151" i="39" s="1"/>
  <c r="C152" i="39" s="1"/>
  <c r="C153" i="39" s="1"/>
  <c r="C154" i="39" s="1"/>
  <c r="D100" i="97"/>
  <c r="G99" i="97"/>
  <c r="E100" i="97"/>
  <c r="D99" i="87"/>
  <c r="G99" i="87" s="1"/>
  <c r="C99" i="26"/>
  <c r="D99" i="26" s="1"/>
  <c r="C99" i="44"/>
  <c r="C100" i="44" s="1"/>
  <c r="C101" i="44" s="1"/>
  <c r="C102" i="44" s="1"/>
  <c r="C103" i="44" s="1"/>
  <c r="C104" i="44" s="1"/>
  <c r="C105" i="44" s="1"/>
  <c r="C106" i="44" s="1"/>
  <c r="C107" i="44" s="1"/>
  <c r="C108" i="44" s="1"/>
  <c r="C109" i="44" s="1"/>
  <c r="C110" i="44" s="1"/>
  <c r="C111" i="44" s="1"/>
  <c r="C112" i="44" s="1"/>
  <c r="C113" i="44" s="1"/>
  <c r="C114" i="44" s="1"/>
  <c r="C115" i="44" s="1"/>
  <c r="C116" i="44" s="1"/>
  <c r="C117" i="44" s="1"/>
  <c r="C118" i="44" s="1"/>
  <c r="C119" i="44" s="1"/>
  <c r="C120" i="44" s="1"/>
  <c r="C121" i="44" s="1"/>
  <c r="C122" i="44" s="1"/>
  <c r="C123" i="44" s="1"/>
  <c r="C124" i="44" s="1"/>
  <c r="C125" i="44" s="1"/>
  <c r="C126" i="44" s="1"/>
  <c r="C127" i="44" s="1"/>
  <c r="C128" i="44" s="1"/>
  <c r="C129" i="44" s="1"/>
  <c r="C130" i="44" s="1"/>
  <c r="C131" i="44" s="1"/>
  <c r="C132" i="44" s="1"/>
  <c r="C133" i="44" s="1"/>
  <c r="C134" i="44" s="1"/>
  <c r="C135" i="44" s="1"/>
  <c r="C136" i="44" s="1"/>
  <c r="C137" i="44" s="1"/>
  <c r="C138" i="44" s="1"/>
  <c r="C139" i="44" s="1"/>
  <c r="C140" i="44" s="1"/>
  <c r="C141" i="44" s="1"/>
  <c r="C142" i="44" s="1"/>
  <c r="C143" i="44" s="1"/>
  <c r="C144" i="44" s="1"/>
  <c r="C145" i="44" s="1"/>
  <c r="C146" i="44" s="1"/>
  <c r="C147" i="44" s="1"/>
  <c r="C148" i="44" s="1"/>
  <c r="C149" i="44" s="1"/>
  <c r="C150" i="44" s="1"/>
  <c r="C151" i="44" s="1"/>
  <c r="C152" i="44" s="1"/>
  <c r="C153" i="44" s="1"/>
  <c r="C154" i="44" s="1"/>
  <c r="C100" i="18"/>
  <c r="C101" i="18" s="1"/>
  <c r="C102" i="18" s="1"/>
  <c r="C103" i="18" s="1"/>
  <c r="C104" i="18" s="1"/>
  <c r="C105" i="18" s="1"/>
  <c r="C106" i="18" s="1"/>
  <c r="C107" i="18" s="1"/>
  <c r="C108" i="18" s="1"/>
  <c r="C109" i="18" s="1"/>
  <c r="C110" i="18" s="1"/>
  <c r="C111" i="18" s="1"/>
  <c r="C112" i="18" s="1"/>
  <c r="C113" i="18" s="1"/>
  <c r="C114" i="18" s="1"/>
  <c r="C115" i="18" s="1"/>
  <c r="C116" i="18" s="1"/>
  <c r="C117" i="18" s="1"/>
  <c r="C118" i="18" s="1"/>
  <c r="C119" i="18" s="1"/>
  <c r="C120" i="18" s="1"/>
  <c r="C121" i="18" s="1"/>
  <c r="C122" i="18" s="1"/>
  <c r="C123" i="18" s="1"/>
  <c r="C124" i="18" s="1"/>
  <c r="C125" i="18" s="1"/>
  <c r="C126" i="18" s="1"/>
  <c r="C127" i="18" s="1"/>
  <c r="C128" i="18" s="1"/>
  <c r="C129" i="18" s="1"/>
  <c r="C130" i="18" s="1"/>
  <c r="C131" i="18" s="1"/>
  <c r="C132" i="18" s="1"/>
  <c r="C133" i="18" s="1"/>
  <c r="C134" i="18" s="1"/>
  <c r="C135" i="18" s="1"/>
  <c r="C136" i="18" s="1"/>
  <c r="C137" i="18" s="1"/>
  <c r="C138" i="18" s="1"/>
  <c r="C139" i="18" s="1"/>
  <c r="C140" i="18" s="1"/>
  <c r="C141" i="18" s="1"/>
  <c r="C142" i="18" s="1"/>
  <c r="C143" i="18" s="1"/>
  <c r="C144" i="18" s="1"/>
  <c r="C145" i="18" s="1"/>
  <c r="C146" i="18" s="1"/>
  <c r="C147" i="18" s="1"/>
  <c r="C148" i="18" s="1"/>
  <c r="C149" i="18" s="1"/>
  <c r="C150" i="18" s="1"/>
  <c r="C151" i="18" s="1"/>
  <c r="C152" i="18" s="1"/>
  <c r="C153" i="18" s="1"/>
  <c r="C154" i="18" s="1"/>
  <c r="C99" i="18"/>
  <c r="C99" i="3"/>
  <c r="C100" i="3"/>
  <c r="C101" i="3" s="1"/>
  <c r="C102" i="3" s="1"/>
  <c r="C103" i="3" s="1"/>
  <c r="C104" i="3" s="1"/>
  <c r="C105" i="3" s="1"/>
  <c r="C106" i="3" s="1"/>
  <c r="C107" i="3" s="1"/>
  <c r="C108" i="3" s="1"/>
  <c r="C109" i="3" s="1"/>
  <c r="C110" i="3" s="1"/>
  <c r="C111" i="3" s="1"/>
  <c r="C112" i="3" s="1"/>
  <c r="C113" i="3" s="1"/>
  <c r="C114" i="3" s="1"/>
  <c r="C115" i="3" s="1"/>
  <c r="C116" i="3" s="1"/>
  <c r="C117" i="3" s="1"/>
  <c r="C118" i="3" s="1"/>
  <c r="C119" i="3" s="1"/>
  <c r="C120" i="3" s="1"/>
  <c r="C121" i="3" s="1"/>
  <c r="C122" i="3" s="1"/>
  <c r="C123" i="3" s="1"/>
  <c r="C124" i="3" s="1"/>
  <c r="C125" i="3" s="1"/>
  <c r="C126" i="3" s="1"/>
  <c r="C127" i="3" s="1"/>
  <c r="C128" i="3" s="1"/>
  <c r="C129" i="3" s="1"/>
  <c r="C130" i="3" s="1"/>
  <c r="C131" i="3" s="1"/>
  <c r="C132" i="3" s="1"/>
  <c r="C133" i="3" s="1"/>
  <c r="C134" i="3" s="1"/>
  <c r="C135" i="3" s="1"/>
  <c r="C136" i="3" s="1"/>
  <c r="C137" i="3" s="1"/>
  <c r="C138" i="3" s="1"/>
  <c r="C139" i="3" s="1"/>
  <c r="C140" i="3" s="1"/>
  <c r="C141" i="3" s="1"/>
  <c r="C142" i="3" s="1"/>
  <c r="C143" i="3" s="1"/>
  <c r="C144" i="3" s="1"/>
  <c r="C145" i="3" s="1"/>
  <c r="C146" i="3" s="1"/>
  <c r="C147" i="3" s="1"/>
  <c r="C148" i="3" s="1"/>
  <c r="C149" i="3" s="1"/>
  <c r="C150" i="3" s="1"/>
  <c r="C151" i="3" s="1"/>
  <c r="C152" i="3" s="1"/>
  <c r="C153" i="3" s="1"/>
  <c r="C154" i="3" s="1"/>
  <c r="C99" i="30"/>
  <c r="C100" i="30" s="1"/>
  <c r="C101" i="30" s="1"/>
  <c r="C102" i="30" s="1"/>
  <c r="C103" i="30" s="1"/>
  <c r="C104" i="30" s="1"/>
  <c r="C105" i="30" s="1"/>
  <c r="C106" i="30" s="1"/>
  <c r="C107" i="30" s="1"/>
  <c r="C108" i="30" s="1"/>
  <c r="C109" i="30" s="1"/>
  <c r="C110" i="30" s="1"/>
  <c r="C111" i="30" s="1"/>
  <c r="C112" i="30" s="1"/>
  <c r="C113" i="30" s="1"/>
  <c r="C114" i="30" s="1"/>
  <c r="C115" i="30" s="1"/>
  <c r="C116" i="30" s="1"/>
  <c r="C117" i="30" s="1"/>
  <c r="C118" i="30" s="1"/>
  <c r="C119" i="30" s="1"/>
  <c r="C120" i="30" s="1"/>
  <c r="C121" i="30" s="1"/>
  <c r="C122" i="30" s="1"/>
  <c r="C123" i="30" s="1"/>
  <c r="C124" i="30" s="1"/>
  <c r="C125" i="30" s="1"/>
  <c r="C126" i="30" s="1"/>
  <c r="C127" i="30" s="1"/>
  <c r="C128" i="30" s="1"/>
  <c r="C129" i="30" s="1"/>
  <c r="C130" i="30" s="1"/>
  <c r="C131" i="30" s="1"/>
  <c r="C132" i="30" s="1"/>
  <c r="C133" i="30" s="1"/>
  <c r="C134" i="30" s="1"/>
  <c r="C135" i="30" s="1"/>
  <c r="C136" i="30" s="1"/>
  <c r="C137" i="30" s="1"/>
  <c r="C138" i="30" s="1"/>
  <c r="C139" i="30" s="1"/>
  <c r="C140" i="30" s="1"/>
  <c r="C141" i="30" s="1"/>
  <c r="C142" i="30" s="1"/>
  <c r="C143" i="30" s="1"/>
  <c r="C144" i="30" s="1"/>
  <c r="C145" i="30" s="1"/>
  <c r="C146" i="30" s="1"/>
  <c r="C147" i="30" s="1"/>
  <c r="C148" i="30" s="1"/>
  <c r="C149" i="30" s="1"/>
  <c r="C150" i="30" s="1"/>
  <c r="C151" i="30" s="1"/>
  <c r="C152" i="30" s="1"/>
  <c r="C153" i="30" s="1"/>
  <c r="C154" i="30" s="1"/>
  <c r="C99" i="27"/>
  <c r="C100" i="27" s="1"/>
  <c r="C101" i="27" s="1"/>
  <c r="C102" i="27" s="1"/>
  <c r="C103" i="27" s="1"/>
  <c r="C104" i="27" s="1"/>
  <c r="C105" i="27" s="1"/>
  <c r="C106" i="27" s="1"/>
  <c r="C107" i="27" s="1"/>
  <c r="C108" i="27" s="1"/>
  <c r="C109" i="27" s="1"/>
  <c r="C110" i="27" s="1"/>
  <c r="C111" i="27" s="1"/>
  <c r="C112" i="27" s="1"/>
  <c r="C113" i="27" s="1"/>
  <c r="C114" i="27" s="1"/>
  <c r="C115" i="27" s="1"/>
  <c r="C116" i="27" s="1"/>
  <c r="C117" i="27" s="1"/>
  <c r="C118" i="27" s="1"/>
  <c r="C119" i="27" s="1"/>
  <c r="C120" i="27" s="1"/>
  <c r="C121" i="27" s="1"/>
  <c r="C122" i="27" s="1"/>
  <c r="C123" i="27" s="1"/>
  <c r="C124" i="27" s="1"/>
  <c r="C125" i="27" s="1"/>
  <c r="C126" i="27" s="1"/>
  <c r="C127" i="27" s="1"/>
  <c r="C128" i="27" s="1"/>
  <c r="C129" i="27" s="1"/>
  <c r="C130" i="27" s="1"/>
  <c r="C131" i="27" s="1"/>
  <c r="C132" i="27" s="1"/>
  <c r="C133" i="27" s="1"/>
  <c r="C134" i="27" s="1"/>
  <c r="C135" i="27" s="1"/>
  <c r="C136" i="27" s="1"/>
  <c r="C137" i="27" s="1"/>
  <c r="C138" i="27" s="1"/>
  <c r="C139" i="27" s="1"/>
  <c r="C140" i="27" s="1"/>
  <c r="C141" i="27" s="1"/>
  <c r="C142" i="27" s="1"/>
  <c r="C143" i="27" s="1"/>
  <c r="C144" i="27" s="1"/>
  <c r="C145" i="27" s="1"/>
  <c r="C146" i="27" s="1"/>
  <c r="C147" i="27" s="1"/>
  <c r="C148" i="27" s="1"/>
  <c r="C149" i="27" s="1"/>
  <c r="C150" i="27" s="1"/>
  <c r="C151" i="27" s="1"/>
  <c r="C152" i="27" s="1"/>
  <c r="C153" i="27" s="1"/>
  <c r="C154" i="27" s="1"/>
  <c r="D99" i="27"/>
  <c r="C99" i="25"/>
  <c r="D99" i="25"/>
  <c r="C100" i="25"/>
  <c r="C101" i="25" s="1"/>
  <c r="C102" i="25" s="1"/>
  <c r="C103" i="25" s="1"/>
  <c r="C104" i="25" s="1"/>
  <c r="C105" i="25" s="1"/>
  <c r="C106" i="25" s="1"/>
  <c r="C107" i="25" s="1"/>
  <c r="C108" i="25" s="1"/>
  <c r="C109" i="25" s="1"/>
  <c r="C110" i="25" s="1"/>
  <c r="C111" i="25" s="1"/>
  <c r="C112" i="25" s="1"/>
  <c r="C113" i="25" s="1"/>
  <c r="C114" i="25" s="1"/>
  <c r="C115" i="25" s="1"/>
  <c r="C116" i="25" s="1"/>
  <c r="C117" i="25" s="1"/>
  <c r="C118" i="25" s="1"/>
  <c r="C119" i="25" s="1"/>
  <c r="C120" i="25" s="1"/>
  <c r="C121" i="25" s="1"/>
  <c r="C122" i="25" s="1"/>
  <c r="C123" i="25" s="1"/>
  <c r="C124" i="25" s="1"/>
  <c r="C125" i="25" s="1"/>
  <c r="C126" i="25" s="1"/>
  <c r="C127" i="25" s="1"/>
  <c r="C128" i="25" s="1"/>
  <c r="C129" i="25" s="1"/>
  <c r="C130" i="25" s="1"/>
  <c r="C131" i="25" s="1"/>
  <c r="C132" i="25" s="1"/>
  <c r="C133" i="25" s="1"/>
  <c r="C134" i="25" s="1"/>
  <c r="C135" i="25" s="1"/>
  <c r="C136" i="25" s="1"/>
  <c r="C137" i="25" s="1"/>
  <c r="C138" i="25" s="1"/>
  <c r="C139" i="25" s="1"/>
  <c r="C140" i="25" s="1"/>
  <c r="C141" i="25" s="1"/>
  <c r="C142" i="25" s="1"/>
  <c r="C143" i="25" s="1"/>
  <c r="C144" i="25" s="1"/>
  <c r="C145" i="25" s="1"/>
  <c r="C146" i="25" s="1"/>
  <c r="C147" i="25" s="1"/>
  <c r="C148" i="25" s="1"/>
  <c r="C149" i="25" s="1"/>
  <c r="C150" i="25" s="1"/>
  <c r="C151" i="25" s="1"/>
  <c r="C152" i="25" s="1"/>
  <c r="C153" i="25" s="1"/>
  <c r="C154" i="25" s="1"/>
  <c r="C99" i="17"/>
  <c r="C100" i="17"/>
  <c r="C101" i="17" s="1"/>
  <c r="C102" i="17" s="1"/>
  <c r="C103" i="17" s="1"/>
  <c r="C104" i="17" s="1"/>
  <c r="C105" i="17" s="1"/>
  <c r="C106" i="17" s="1"/>
  <c r="C107" i="17" s="1"/>
  <c r="C108" i="17" s="1"/>
  <c r="C109" i="17" s="1"/>
  <c r="C110" i="17" s="1"/>
  <c r="C111" i="17" s="1"/>
  <c r="C112" i="17" s="1"/>
  <c r="C113" i="17" s="1"/>
  <c r="C114" i="17" s="1"/>
  <c r="C115" i="17" s="1"/>
  <c r="C116" i="17" s="1"/>
  <c r="C117" i="17" s="1"/>
  <c r="C118" i="17" s="1"/>
  <c r="C119" i="17" s="1"/>
  <c r="C120" i="17" s="1"/>
  <c r="C121" i="17" s="1"/>
  <c r="C122" i="17" s="1"/>
  <c r="C123" i="17" s="1"/>
  <c r="C124" i="17" s="1"/>
  <c r="C125" i="17" s="1"/>
  <c r="C126" i="17" s="1"/>
  <c r="E28" i="34"/>
  <c r="F28" i="34" s="1"/>
  <c r="E29" i="34"/>
  <c r="E20" i="83"/>
  <c r="F20" i="83" s="1"/>
  <c r="E21" i="83" s="1"/>
  <c r="E28" i="23"/>
  <c r="F28" i="23" s="1"/>
  <c r="E29" i="23"/>
  <c r="E18" i="99"/>
  <c r="F18" i="99" s="1"/>
  <c r="E19" i="99" s="1"/>
  <c r="E22" i="68"/>
  <c r="F22" i="68" s="1"/>
  <c r="E22" i="66"/>
  <c r="F22" i="66" s="1"/>
  <c r="E23" i="66"/>
  <c r="E20" i="81"/>
  <c r="F20" i="81" s="1"/>
  <c r="E29" i="27"/>
  <c r="F29" i="27" s="1"/>
  <c r="E26" i="44"/>
  <c r="F26" i="44" s="1"/>
  <c r="E27" i="44" s="1"/>
  <c r="O89" i="20"/>
  <c r="C127" i="80"/>
  <c r="C128" i="80" s="1"/>
  <c r="C129" i="80" s="1"/>
  <c r="C130" i="80" s="1"/>
  <c r="C131" i="80" s="1"/>
  <c r="C132" i="80" s="1"/>
  <c r="C133" i="80" s="1"/>
  <c r="C134" i="80" s="1"/>
  <c r="C135" i="80" s="1"/>
  <c r="C136" i="80" s="1"/>
  <c r="C137" i="80" s="1"/>
  <c r="C138" i="80" s="1"/>
  <c r="C139" i="80" s="1"/>
  <c r="C140" i="80" s="1"/>
  <c r="C141" i="80" s="1"/>
  <c r="C142" i="80" s="1"/>
  <c r="C143" i="80" s="1"/>
  <c r="C144" i="80" s="1"/>
  <c r="C145" i="80" s="1"/>
  <c r="C146" i="80" s="1"/>
  <c r="C147" i="80" s="1"/>
  <c r="C148" i="80" s="1"/>
  <c r="C149" i="80" s="1"/>
  <c r="C150" i="80" s="1"/>
  <c r="C151" i="80" s="1"/>
  <c r="C152" i="80" s="1"/>
  <c r="C153" i="80" s="1"/>
  <c r="C154" i="80" s="1"/>
  <c r="H28" i="71"/>
  <c r="G22" i="35"/>
  <c r="H22" i="35"/>
  <c r="I22" i="35" s="1"/>
  <c r="B23" i="35"/>
  <c r="E23" i="35"/>
  <c r="F23" i="35" s="1"/>
  <c r="C99" i="56"/>
  <c r="C100" i="56" s="1"/>
  <c r="C101" i="56" s="1"/>
  <c r="C102" i="56" s="1"/>
  <c r="C103" i="56" s="1"/>
  <c r="C104" i="56" s="1"/>
  <c r="C105" i="56" s="1"/>
  <c r="C106" i="56" s="1"/>
  <c r="C107" i="56" s="1"/>
  <c r="C108" i="56" s="1"/>
  <c r="C109" i="56" s="1"/>
  <c r="C110" i="56" s="1"/>
  <c r="C111" i="56" s="1"/>
  <c r="C112" i="56" s="1"/>
  <c r="C113" i="56" s="1"/>
  <c r="C114" i="56" s="1"/>
  <c r="C115" i="56" s="1"/>
  <c r="C116" i="56" s="1"/>
  <c r="C117" i="56" s="1"/>
  <c r="C118" i="56" s="1"/>
  <c r="C119" i="56" s="1"/>
  <c r="C120" i="56" s="1"/>
  <c r="C121" i="56" s="1"/>
  <c r="C122" i="56" s="1"/>
  <c r="C123" i="56" s="1"/>
  <c r="C124" i="56" s="1"/>
  <c r="C125" i="56" s="1"/>
  <c r="C126" i="56" s="1"/>
  <c r="C127" i="56" s="1"/>
  <c r="C128" i="56" s="1"/>
  <c r="C129" i="56" s="1"/>
  <c r="C130" i="56" s="1"/>
  <c r="C131" i="56" s="1"/>
  <c r="C132" i="56" s="1"/>
  <c r="C133" i="56" s="1"/>
  <c r="C134" i="56" s="1"/>
  <c r="C135" i="56" s="1"/>
  <c r="C136" i="56" s="1"/>
  <c r="C137" i="56" s="1"/>
  <c r="C138" i="56" s="1"/>
  <c r="C139" i="56" s="1"/>
  <c r="C140" i="56" s="1"/>
  <c r="C141" i="56" s="1"/>
  <c r="C142" i="56" s="1"/>
  <c r="C143" i="56" s="1"/>
  <c r="C144" i="56" s="1"/>
  <c r="C145" i="56" s="1"/>
  <c r="C146" i="56" s="1"/>
  <c r="C147" i="56" s="1"/>
  <c r="C148" i="56" s="1"/>
  <c r="C149" i="56" s="1"/>
  <c r="C150" i="56" s="1"/>
  <c r="C151" i="56" s="1"/>
  <c r="C152" i="56" s="1"/>
  <c r="C153" i="56" s="1"/>
  <c r="C154" i="56" s="1"/>
  <c r="C100" i="91"/>
  <c r="C101" i="91" s="1"/>
  <c r="C102" i="91" s="1"/>
  <c r="C103" i="91" s="1"/>
  <c r="C104" i="91" s="1"/>
  <c r="C105" i="91" s="1"/>
  <c r="C106" i="91" s="1"/>
  <c r="C107" i="91" s="1"/>
  <c r="C108" i="91" s="1"/>
  <c r="C109" i="91" s="1"/>
  <c r="C110" i="91" s="1"/>
  <c r="C111" i="91" s="1"/>
  <c r="C112" i="91" s="1"/>
  <c r="C113" i="91" s="1"/>
  <c r="C114" i="91" s="1"/>
  <c r="C115" i="91" s="1"/>
  <c r="C116" i="91" s="1"/>
  <c r="C117" i="91" s="1"/>
  <c r="C118" i="91" s="1"/>
  <c r="C119" i="91" s="1"/>
  <c r="C120" i="91" s="1"/>
  <c r="C121" i="91" s="1"/>
  <c r="C122" i="91" s="1"/>
  <c r="C123" i="91" s="1"/>
  <c r="C124" i="91" s="1"/>
  <c r="C125" i="91" s="1"/>
  <c r="C126" i="91" s="1"/>
  <c r="C127" i="91" s="1"/>
  <c r="C128" i="91" s="1"/>
  <c r="C129" i="91" s="1"/>
  <c r="C130" i="91" s="1"/>
  <c r="C131" i="91" s="1"/>
  <c r="C132" i="91" s="1"/>
  <c r="C133" i="91" s="1"/>
  <c r="C134" i="91" s="1"/>
  <c r="C135" i="91" s="1"/>
  <c r="C136" i="91" s="1"/>
  <c r="C137" i="91" s="1"/>
  <c r="C138" i="91" s="1"/>
  <c r="C139" i="91" s="1"/>
  <c r="C140" i="91" s="1"/>
  <c r="C141" i="91" s="1"/>
  <c r="C142" i="91" s="1"/>
  <c r="C143" i="91" s="1"/>
  <c r="C144" i="91" s="1"/>
  <c r="C145" i="91" s="1"/>
  <c r="C146" i="91" s="1"/>
  <c r="C147" i="91" s="1"/>
  <c r="C148" i="91" s="1"/>
  <c r="C149" i="91" s="1"/>
  <c r="C150" i="91" s="1"/>
  <c r="C151" i="91" s="1"/>
  <c r="C152" i="91" s="1"/>
  <c r="C153" i="91" s="1"/>
  <c r="C154" i="91" s="1"/>
  <c r="C99" i="91"/>
  <c r="D99" i="91" s="1"/>
  <c r="J96" i="53"/>
  <c r="E104" i="53" s="1"/>
  <c r="F99" i="33"/>
  <c r="D99" i="33"/>
  <c r="C99" i="33"/>
  <c r="C100" i="33" s="1"/>
  <c r="C101" i="33" s="1"/>
  <c r="C102" i="33" s="1"/>
  <c r="C103" i="33" s="1"/>
  <c r="C104" i="33" s="1"/>
  <c r="C105" i="33" s="1"/>
  <c r="C106" i="33" s="1"/>
  <c r="C107" i="33" s="1"/>
  <c r="C108" i="33" s="1"/>
  <c r="C109" i="33" s="1"/>
  <c r="C110" i="33" s="1"/>
  <c r="C111" i="33" s="1"/>
  <c r="C112" i="33" s="1"/>
  <c r="C113" i="33" s="1"/>
  <c r="C114" i="33" s="1"/>
  <c r="C115" i="33" s="1"/>
  <c r="C116" i="33" s="1"/>
  <c r="C117" i="33" s="1"/>
  <c r="C118" i="33" s="1"/>
  <c r="C119" i="33" s="1"/>
  <c r="C120" i="33" s="1"/>
  <c r="C121" i="33" s="1"/>
  <c r="C122" i="33" s="1"/>
  <c r="C123" i="33" s="1"/>
  <c r="C124" i="33" s="1"/>
  <c r="C125" i="33" s="1"/>
  <c r="C126" i="33" s="1"/>
  <c r="C127" i="33" s="1"/>
  <c r="C128" i="33" s="1"/>
  <c r="C129" i="33" s="1"/>
  <c r="C130" i="33" s="1"/>
  <c r="C131" i="33" s="1"/>
  <c r="C132" i="33" s="1"/>
  <c r="C133" i="33" s="1"/>
  <c r="C134" i="33" s="1"/>
  <c r="C135" i="33" s="1"/>
  <c r="C136" i="33" s="1"/>
  <c r="C137" i="33" s="1"/>
  <c r="C138" i="33" s="1"/>
  <c r="C139" i="33" s="1"/>
  <c r="C140" i="33" s="1"/>
  <c r="C141" i="33" s="1"/>
  <c r="C142" i="33" s="1"/>
  <c r="C143" i="33" s="1"/>
  <c r="C144" i="33" s="1"/>
  <c r="C145" i="33" s="1"/>
  <c r="C146" i="33" s="1"/>
  <c r="C147" i="33" s="1"/>
  <c r="C148" i="33" s="1"/>
  <c r="C149" i="33" s="1"/>
  <c r="C150" i="33" s="1"/>
  <c r="C151" i="33" s="1"/>
  <c r="C152" i="33" s="1"/>
  <c r="C153" i="33" s="1"/>
  <c r="C154" i="33" s="1"/>
  <c r="C99" i="89"/>
  <c r="C100" i="89"/>
  <c r="C101" i="89" s="1"/>
  <c r="C102" i="89" s="1"/>
  <c r="C103" i="89" s="1"/>
  <c r="C104" i="89" s="1"/>
  <c r="C105" i="89" s="1"/>
  <c r="C106" i="89" s="1"/>
  <c r="C107" i="89" s="1"/>
  <c r="C108" i="89" s="1"/>
  <c r="C109" i="89" s="1"/>
  <c r="C110" i="89" s="1"/>
  <c r="C111" i="89" s="1"/>
  <c r="C112" i="89" s="1"/>
  <c r="C113" i="89" s="1"/>
  <c r="C114" i="89" s="1"/>
  <c r="C115" i="89" s="1"/>
  <c r="C116" i="89" s="1"/>
  <c r="C117" i="89" s="1"/>
  <c r="C118" i="89" s="1"/>
  <c r="C119" i="89" s="1"/>
  <c r="C120" i="89" s="1"/>
  <c r="C121" i="89" s="1"/>
  <c r="C122" i="89" s="1"/>
  <c r="C123" i="89" s="1"/>
  <c r="C124" i="89" s="1"/>
  <c r="C125" i="89" s="1"/>
  <c r="C126" i="89" s="1"/>
  <c r="C127" i="89" s="1"/>
  <c r="C128" i="89" s="1"/>
  <c r="C129" i="89" s="1"/>
  <c r="C130" i="89" s="1"/>
  <c r="C131" i="89" s="1"/>
  <c r="C132" i="89" s="1"/>
  <c r="C133" i="89" s="1"/>
  <c r="C134" i="89" s="1"/>
  <c r="C135" i="89" s="1"/>
  <c r="C136" i="89" s="1"/>
  <c r="C137" i="89" s="1"/>
  <c r="C138" i="89" s="1"/>
  <c r="C139" i="89" s="1"/>
  <c r="C140" i="89" s="1"/>
  <c r="C141" i="89" s="1"/>
  <c r="C142" i="89" s="1"/>
  <c r="C143" i="89" s="1"/>
  <c r="C144" i="89" s="1"/>
  <c r="C145" i="89" s="1"/>
  <c r="C146" i="89" s="1"/>
  <c r="C147" i="89" s="1"/>
  <c r="C148" i="89" s="1"/>
  <c r="C149" i="89" s="1"/>
  <c r="C150" i="89" s="1"/>
  <c r="C151" i="89" s="1"/>
  <c r="C152" i="89" s="1"/>
  <c r="C153" i="89" s="1"/>
  <c r="C154" i="89" s="1"/>
  <c r="D99" i="89"/>
  <c r="D106" i="43"/>
  <c r="B106" i="43" s="1"/>
  <c r="J96" i="43"/>
  <c r="E99" i="25"/>
  <c r="F99" i="25" s="1"/>
  <c r="C99" i="19"/>
  <c r="C100" i="19" s="1"/>
  <c r="C101" i="19" s="1"/>
  <c r="C102" i="19" s="1"/>
  <c r="C103" i="19" s="1"/>
  <c r="C104" i="19" s="1"/>
  <c r="C105" i="19" s="1"/>
  <c r="C106" i="19" s="1"/>
  <c r="C107" i="19" s="1"/>
  <c r="C108" i="19" s="1"/>
  <c r="C109" i="19" s="1"/>
  <c r="C110" i="19" s="1"/>
  <c r="C111" i="19" s="1"/>
  <c r="C112" i="19" s="1"/>
  <c r="C113" i="19" s="1"/>
  <c r="C114" i="19" s="1"/>
  <c r="C115" i="19" s="1"/>
  <c r="C116" i="19" s="1"/>
  <c r="C117" i="19" s="1"/>
  <c r="C118" i="19" s="1"/>
  <c r="C119" i="19" s="1"/>
  <c r="C120" i="19" s="1"/>
  <c r="C121" i="19" s="1"/>
  <c r="C122" i="19" s="1"/>
  <c r="C123" i="19" s="1"/>
  <c r="C124" i="19" s="1"/>
  <c r="C125" i="19" s="1"/>
  <c r="C126" i="19" s="1"/>
  <c r="C127" i="19" s="1"/>
  <c r="C128" i="19" s="1"/>
  <c r="C129" i="19" s="1"/>
  <c r="C130" i="19" s="1"/>
  <c r="C131" i="19" s="1"/>
  <c r="C132" i="19" s="1"/>
  <c r="C133" i="19" s="1"/>
  <c r="C134" i="19" s="1"/>
  <c r="C135" i="19" s="1"/>
  <c r="C136" i="19" s="1"/>
  <c r="C137" i="19" s="1"/>
  <c r="C138" i="19" s="1"/>
  <c r="C139" i="19" s="1"/>
  <c r="C140" i="19" s="1"/>
  <c r="C141" i="19" s="1"/>
  <c r="C142" i="19" s="1"/>
  <c r="C143" i="19" s="1"/>
  <c r="C144" i="19" s="1"/>
  <c r="C145" i="19" s="1"/>
  <c r="C146" i="19" s="1"/>
  <c r="C147" i="19" s="1"/>
  <c r="C148" i="19" s="1"/>
  <c r="C149" i="19" s="1"/>
  <c r="C150" i="19" s="1"/>
  <c r="C151" i="19" s="1"/>
  <c r="C152" i="19" s="1"/>
  <c r="C153" i="19" s="1"/>
  <c r="C154" i="19" s="1"/>
  <c r="C99" i="81"/>
  <c r="C100" i="81" s="1"/>
  <c r="C101" i="81" s="1"/>
  <c r="C102" i="81" s="1"/>
  <c r="C103" i="81" s="1"/>
  <c r="C104" i="81" s="1"/>
  <c r="C105" i="81" s="1"/>
  <c r="C106" i="81" s="1"/>
  <c r="C107" i="81" s="1"/>
  <c r="C108" i="81" s="1"/>
  <c r="C109" i="81" s="1"/>
  <c r="C110" i="81" s="1"/>
  <c r="C111" i="81" s="1"/>
  <c r="C112" i="81" s="1"/>
  <c r="C113" i="81" s="1"/>
  <c r="C114" i="81" s="1"/>
  <c r="C115" i="81" s="1"/>
  <c r="C116" i="81" s="1"/>
  <c r="C117" i="81" s="1"/>
  <c r="C118" i="81" s="1"/>
  <c r="C119" i="81" s="1"/>
  <c r="C120" i="81" s="1"/>
  <c r="C121" i="81" s="1"/>
  <c r="C122" i="81" s="1"/>
  <c r="C123" i="81" s="1"/>
  <c r="C124" i="81" s="1"/>
  <c r="C125" i="81" s="1"/>
  <c r="C126" i="81" s="1"/>
  <c r="C127" i="81"/>
  <c r="C128" i="81" s="1"/>
  <c r="C129" i="81" s="1"/>
  <c r="C130" i="81" s="1"/>
  <c r="C131" i="81" s="1"/>
  <c r="C132" i="81" s="1"/>
  <c r="C133" i="81" s="1"/>
  <c r="C134" i="81" s="1"/>
  <c r="C135" i="81" s="1"/>
  <c r="C136" i="81" s="1"/>
  <c r="C137" i="81" s="1"/>
  <c r="C138" i="81" s="1"/>
  <c r="C139" i="81" s="1"/>
  <c r="C140" i="81" s="1"/>
  <c r="C141" i="81" s="1"/>
  <c r="C142" i="81" s="1"/>
  <c r="C143" i="81" s="1"/>
  <c r="C144" i="81" s="1"/>
  <c r="C145" i="81" s="1"/>
  <c r="C146" i="81" s="1"/>
  <c r="C147" i="81" s="1"/>
  <c r="C148" i="81" s="1"/>
  <c r="C149" i="81" s="1"/>
  <c r="C150" i="81" s="1"/>
  <c r="C151" i="81" s="1"/>
  <c r="C152" i="81" s="1"/>
  <c r="C153" i="81" s="1"/>
  <c r="C154" i="81" s="1"/>
  <c r="E26" i="41"/>
  <c r="F26" i="41" s="1"/>
  <c r="E27" i="41" s="1"/>
  <c r="E27" i="3"/>
  <c r="F27" i="3" s="1"/>
  <c r="E28" i="3" s="1"/>
  <c r="E23" i="63"/>
  <c r="F23" i="63" s="1"/>
  <c r="E24" i="63" s="1"/>
  <c r="E24" i="53"/>
  <c r="F24" i="53" s="1"/>
  <c r="E25" i="53"/>
  <c r="E18" i="97"/>
  <c r="F18" i="97" s="1"/>
  <c r="E19" i="97" s="1"/>
  <c r="E26" i="73"/>
  <c r="F26" i="73" s="1"/>
  <c r="E27" i="73" s="1"/>
  <c r="E20" i="85"/>
  <c r="F20" i="85" s="1"/>
  <c r="E21" i="85"/>
  <c r="E27" i="42"/>
  <c r="E26" i="42"/>
  <c r="F26" i="42" s="1"/>
  <c r="E24" i="57"/>
  <c r="F24" i="57" s="1"/>
  <c r="E20" i="82"/>
  <c r="F20" i="82" s="1"/>
  <c r="E21" i="82" s="1"/>
  <c r="E26" i="74"/>
  <c r="F26" i="74" s="1"/>
  <c r="E27" i="74" s="1"/>
  <c r="E22" i="67"/>
  <c r="F22" i="67" s="1"/>
  <c r="M88" i="55"/>
  <c r="M89" i="55" s="1"/>
  <c r="N88" i="55"/>
  <c r="C127" i="55"/>
  <c r="C128" i="55" s="1"/>
  <c r="C129" i="55" s="1"/>
  <c r="C130" i="55" s="1"/>
  <c r="C131" i="55" s="1"/>
  <c r="C132" i="55" s="1"/>
  <c r="C133" i="55" s="1"/>
  <c r="C134" i="55" s="1"/>
  <c r="C135" i="55" s="1"/>
  <c r="C136" i="55" s="1"/>
  <c r="C137" i="55" s="1"/>
  <c r="C138" i="55" s="1"/>
  <c r="C139" i="55" s="1"/>
  <c r="C140" i="55" s="1"/>
  <c r="C141" i="55" s="1"/>
  <c r="C142" i="55" s="1"/>
  <c r="C143" i="55" s="1"/>
  <c r="C144" i="55" s="1"/>
  <c r="C145" i="55" s="1"/>
  <c r="C146" i="55" s="1"/>
  <c r="C147" i="55" s="1"/>
  <c r="C148" i="55" s="1"/>
  <c r="C149" i="55" s="1"/>
  <c r="C150" i="55" s="1"/>
  <c r="C151" i="55" s="1"/>
  <c r="C152" i="55" s="1"/>
  <c r="C153" i="55" s="1"/>
  <c r="C154" i="55" s="1"/>
  <c r="N88" i="82"/>
  <c r="M88" i="82"/>
  <c r="M89" i="82" s="1"/>
  <c r="C127" i="82"/>
  <c r="C128" i="82" s="1"/>
  <c r="C129" i="82" s="1"/>
  <c r="C130" i="82" s="1"/>
  <c r="C131" i="82" s="1"/>
  <c r="C132" i="82" s="1"/>
  <c r="C133" i="82" s="1"/>
  <c r="C134" i="82" s="1"/>
  <c r="C135" i="82" s="1"/>
  <c r="C136" i="82" s="1"/>
  <c r="C137" i="82" s="1"/>
  <c r="C138" i="82" s="1"/>
  <c r="C139" i="82" s="1"/>
  <c r="C140" i="82" s="1"/>
  <c r="C141" i="82" s="1"/>
  <c r="C142" i="82" s="1"/>
  <c r="C143" i="82" s="1"/>
  <c r="C144" i="82" s="1"/>
  <c r="C145" i="82" s="1"/>
  <c r="C146" i="82" s="1"/>
  <c r="C147" i="82" s="1"/>
  <c r="C148" i="82" s="1"/>
  <c r="C149" i="82" s="1"/>
  <c r="C150" i="82" s="1"/>
  <c r="C151" i="82" s="1"/>
  <c r="C152" i="82" s="1"/>
  <c r="C153" i="82" s="1"/>
  <c r="C154" i="82" s="1"/>
  <c r="I23" i="61"/>
  <c r="N5" i="61"/>
  <c r="G29" i="70"/>
  <c r="N5" i="70" s="1"/>
  <c r="D30" i="70"/>
  <c r="H29" i="70"/>
  <c r="G20" i="86"/>
  <c r="N5" i="86" s="1"/>
  <c r="D21" i="86"/>
  <c r="H20" i="86"/>
  <c r="F29" i="71"/>
  <c r="B29" i="71"/>
  <c r="D27" i="43"/>
  <c r="H26" i="43"/>
  <c r="G26" i="43"/>
  <c r="N5" i="43" s="1"/>
  <c r="H23" i="59"/>
  <c r="D24" i="59"/>
  <c r="G23" i="59"/>
  <c r="N5" i="59" s="1"/>
  <c r="G100" i="13"/>
  <c r="D101" i="13"/>
  <c r="C127" i="31"/>
  <c r="C128" i="31" s="1"/>
  <c r="C129" i="31" s="1"/>
  <c r="C130" i="31" s="1"/>
  <c r="C131" i="31" s="1"/>
  <c r="C132" i="31" s="1"/>
  <c r="C133" i="31" s="1"/>
  <c r="C134" i="31" s="1"/>
  <c r="C135" i="31" s="1"/>
  <c r="C136" i="31" s="1"/>
  <c r="C137" i="31" s="1"/>
  <c r="C138" i="31" s="1"/>
  <c r="C139" i="31" s="1"/>
  <c r="C140" i="31" s="1"/>
  <c r="C141" i="31" s="1"/>
  <c r="C142" i="31" s="1"/>
  <c r="C143" i="31" s="1"/>
  <c r="C144" i="31" s="1"/>
  <c r="C145" i="31" s="1"/>
  <c r="C146" i="31" s="1"/>
  <c r="C147" i="31" s="1"/>
  <c r="C148" i="31" s="1"/>
  <c r="C149" i="31" s="1"/>
  <c r="C150" i="31" s="1"/>
  <c r="C151" i="31" s="1"/>
  <c r="C152" i="31" s="1"/>
  <c r="C153" i="31" s="1"/>
  <c r="C154" i="31" s="1"/>
  <c r="D19" i="33"/>
  <c r="E19" i="33" s="1"/>
  <c r="E108" i="31"/>
  <c r="F108" i="31" s="1"/>
  <c r="E109" i="31" s="1"/>
  <c r="E21" i="86"/>
  <c r="F18" i="26"/>
  <c r="B18" i="26"/>
  <c r="H18" i="33"/>
  <c r="D20" i="13"/>
  <c r="B24" i="61"/>
  <c r="F24" i="61"/>
  <c r="B108" i="31"/>
  <c r="D28" i="19"/>
  <c r="F28" i="19" s="1"/>
  <c r="G27" i="19"/>
  <c r="N5" i="19" s="1"/>
  <c r="H27" i="19"/>
  <c r="J99" i="13"/>
  <c r="E27" i="17"/>
  <c r="F27" i="17" s="1"/>
  <c r="E28" i="17" s="1"/>
  <c r="G23" i="64"/>
  <c r="N5" i="64" s="1"/>
  <c r="D24" i="64"/>
  <c r="H23" i="64"/>
  <c r="N7" i="61"/>
  <c r="F20" i="91"/>
  <c r="G20" i="91" s="1"/>
  <c r="B20" i="91"/>
  <c r="E30" i="70"/>
  <c r="D25" i="55"/>
  <c r="G24" i="55"/>
  <c r="N5" i="55" s="1"/>
  <c r="H24" i="55"/>
  <c r="I17" i="26"/>
  <c r="N17" i="26"/>
  <c r="O17" i="26" s="1"/>
  <c r="N6" i="71"/>
  <c r="N7" i="71" s="1"/>
  <c r="I28" i="71"/>
  <c r="G20" i="80"/>
  <c r="N5" i="80" s="1"/>
  <c r="D21" i="80"/>
  <c r="H20" i="80"/>
  <c r="E27" i="43"/>
  <c r="E24" i="59"/>
  <c r="N6" i="91"/>
  <c r="N7" i="91" s="1"/>
  <c r="I19" i="91"/>
  <c r="G18" i="33"/>
  <c r="J108" i="17"/>
  <c r="H102" i="35"/>
  <c r="I102" i="35"/>
  <c r="J102" i="35" s="1"/>
  <c r="H103" i="60"/>
  <c r="I103" i="60"/>
  <c r="N88" i="60" s="1"/>
  <c r="B104" i="60"/>
  <c r="F104" i="60"/>
  <c r="I99" i="87"/>
  <c r="H99" i="87"/>
  <c r="M88" i="87" s="1"/>
  <c r="M89" i="87" s="1"/>
  <c r="H111" i="70"/>
  <c r="I111" i="70"/>
  <c r="D110" i="17"/>
  <c r="G109" i="17"/>
  <c r="E110" i="17"/>
  <c r="F112" i="70"/>
  <c r="B112" i="70"/>
  <c r="V86" i="36"/>
  <c r="V22" i="36"/>
  <c r="V31" i="36"/>
  <c r="V54" i="36"/>
  <c r="V30" i="36"/>
  <c r="V88" i="36"/>
  <c r="V62" i="36"/>
  <c r="V59" i="36"/>
  <c r="V85" i="36"/>
  <c r="V89" i="36"/>
  <c r="V87" i="36"/>
  <c r="V90" i="36"/>
  <c r="C127" i="32"/>
  <c r="C128" i="32" s="1"/>
  <c r="C129" i="32" s="1"/>
  <c r="C130" i="32" s="1"/>
  <c r="C131" i="32" s="1"/>
  <c r="C132" i="32" s="1"/>
  <c r="C133" i="32" s="1"/>
  <c r="C134" i="32" s="1"/>
  <c r="C135" i="32" s="1"/>
  <c r="C136" i="32" s="1"/>
  <c r="C137" i="32" s="1"/>
  <c r="C138" i="32" s="1"/>
  <c r="C139" i="32" s="1"/>
  <c r="C140" i="32" s="1"/>
  <c r="C141" i="32" s="1"/>
  <c r="C142" i="32" s="1"/>
  <c r="C143" i="32" s="1"/>
  <c r="C144" i="32" s="1"/>
  <c r="C145" i="32" s="1"/>
  <c r="C146" i="32" s="1"/>
  <c r="C147" i="32" s="1"/>
  <c r="C148" i="32" s="1"/>
  <c r="C149" i="32" s="1"/>
  <c r="C150" i="32" s="1"/>
  <c r="C151" i="32" s="1"/>
  <c r="C152" i="32" s="1"/>
  <c r="C153" i="32" s="1"/>
  <c r="C154" i="32" s="1"/>
  <c r="M88" i="75"/>
  <c r="M89" i="75" s="1"/>
  <c r="N88" i="75"/>
  <c r="C127" i="75"/>
  <c r="C128" i="75" s="1"/>
  <c r="C129" i="75" s="1"/>
  <c r="C130" i="75" s="1"/>
  <c r="C131" i="75" s="1"/>
  <c r="C132" i="75" s="1"/>
  <c r="C133" i="75" s="1"/>
  <c r="C134" i="75" s="1"/>
  <c r="C135" i="75" s="1"/>
  <c r="C136" i="75" s="1"/>
  <c r="C137" i="75" s="1"/>
  <c r="C138" i="75" s="1"/>
  <c r="C139" i="75" s="1"/>
  <c r="C140" i="75" s="1"/>
  <c r="C141" i="75" s="1"/>
  <c r="C142" i="75" s="1"/>
  <c r="C143" i="75" s="1"/>
  <c r="C144" i="75" s="1"/>
  <c r="C145" i="75" s="1"/>
  <c r="C146" i="75" s="1"/>
  <c r="C147" i="75" s="1"/>
  <c r="C148" i="75" s="1"/>
  <c r="C149" i="75" s="1"/>
  <c r="C150" i="75" s="1"/>
  <c r="C151" i="75" s="1"/>
  <c r="C152" i="75" s="1"/>
  <c r="C153" i="75" s="1"/>
  <c r="C154" i="75" s="1"/>
  <c r="C127" i="65"/>
  <c r="C128" i="65" s="1"/>
  <c r="C129" i="65" s="1"/>
  <c r="C130" i="65" s="1"/>
  <c r="C131" i="65" s="1"/>
  <c r="C132" i="65" s="1"/>
  <c r="C133" i="65" s="1"/>
  <c r="C134" i="65" s="1"/>
  <c r="C135" i="65" s="1"/>
  <c r="C136" i="65" s="1"/>
  <c r="C137" i="65" s="1"/>
  <c r="C138" i="65" s="1"/>
  <c r="C139" i="65" s="1"/>
  <c r="C140" i="65" s="1"/>
  <c r="C141" i="65" s="1"/>
  <c r="C142" i="65" s="1"/>
  <c r="C143" i="65" s="1"/>
  <c r="C144" i="65" s="1"/>
  <c r="C145" i="65" s="1"/>
  <c r="C146" i="65" s="1"/>
  <c r="C147" i="65" s="1"/>
  <c r="C148" i="65" s="1"/>
  <c r="C149" i="65" s="1"/>
  <c r="C150" i="65" s="1"/>
  <c r="C151" i="65" s="1"/>
  <c r="C152" i="65" s="1"/>
  <c r="C153" i="65" s="1"/>
  <c r="C154" i="65" s="1"/>
  <c r="F75" i="2"/>
  <c r="F76" i="2" s="1"/>
  <c r="F58" i="2"/>
  <c r="F78" i="2" s="1"/>
  <c r="F79" i="2" s="1"/>
  <c r="F81" i="2" s="1"/>
  <c r="F99" i="92"/>
  <c r="J108" i="23"/>
  <c r="N88" i="23"/>
  <c r="F104" i="53"/>
  <c r="M88" i="23"/>
  <c r="M89" i="23" s="1"/>
  <c r="F100" i="80"/>
  <c r="H23" i="62"/>
  <c r="G23" i="62"/>
  <c r="D24" i="62"/>
  <c r="E24" i="62"/>
  <c r="B110" i="20"/>
  <c r="F110" i="20"/>
  <c r="H21" i="75"/>
  <c r="G21" i="75"/>
  <c r="D22" i="75"/>
  <c r="E22" i="75"/>
  <c r="O89" i="100"/>
  <c r="F99" i="89"/>
  <c r="F106" i="41"/>
  <c r="E19" i="100"/>
  <c r="D19" i="100"/>
  <c r="J101" i="78"/>
  <c r="N88" i="78"/>
  <c r="F108" i="24"/>
  <c r="F100" i="83"/>
  <c r="F101" i="79"/>
  <c r="F99" i="90"/>
  <c r="F106" i="73"/>
  <c r="G18" i="96"/>
  <c r="D19" i="96"/>
  <c r="H18" i="96"/>
  <c r="E19" i="96"/>
  <c r="H109" i="20"/>
  <c r="I109" i="20"/>
  <c r="H18" i="100"/>
  <c r="G107" i="35"/>
  <c r="E108" i="35"/>
  <c r="F108" i="35" s="1"/>
  <c r="B108" i="35"/>
  <c r="F107" i="21"/>
  <c r="M88" i="78"/>
  <c r="M89" i="78" s="1"/>
  <c r="F106" i="39"/>
  <c r="H21" i="78"/>
  <c r="G21" i="78"/>
  <c r="D22" i="78"/>
  <c r="E22" i="78"/>
  <c r="D30" i="30"/>
  <c r="H29" i="30"/>
  <c r="G29" i="30"/>
  <c r="E30" i="30"/>
  <c r="G102" i="66"/>
  <c r="D103" i="66"/>
  <c r="E103" i="66"/>
  <c r="F109" i="69"/>
  <c r="B102" i="85"/>
  <c r="F102" i="85"/>
  <c r="F106" i="55"/>
  <c r="B106" i="55"/>
  <c r="H101" i="82"/>
  <c r="I101" i="82"/>
  <c r="F104" i="56"/>
  <c r="F104" i="72"/>
  <c r="F107" i="22"/>
  <c r="F109" i="27"/>
  <c r="F100" i="81"/>
  <c r="F107" i="18"/>
  <c r="J110" i="29"/>
  <c r="F99" i="98"/>
  <c r="I105" i="55"/>
  <c r="H105" i="55"/>
  <c r="F103" i="59"/>
  <c r="H102" i="75"/>
  <c r="I102" i="75"/>
  <c r="G103" i="63"/>
  <c r="D104" i="63"/>
  <c r="E104" i="63"/>
  <c r="I106" i="35"/>
  <c r="H106" i="35"/>
  <c r="F106" i="74"/>
  <c r="G27" i="22"/>
  <c r="H27" i="22"/>
  <c r="D28" i="22"/>
  <c r="E28" i="22"/>
  <c r="I101" i="85"/>
  <c r="H101" i="85"/>
  <c r="J100" i="85"/>
  <c r="D108" i="34"/>
  <c r="F104" i="34"/>
  <c r="F103" i="75"/>
  <c r="B103" i="75"/>
  <c r="H28" i="32"/>
  <c r="D29" i="32"/>
  <c r="G28" i="32"/>
  <c r="E29" i="32"/>
  <c r="B102" i="82"/>
  <c r="F102" i="82"/>
  <c r="F99" i="88"/>
  <c r="D28" i="21"/>
  <c r="G27" i="21"/>
  <c r="H27" i="21"/>
  <c r="E28" i="21"/>
  <c r="D21" i="88"/>
  <c r="E21" i="88"/>
  <c r="F110" i="28"/>
  <c r="I104" i="62"/>
  <c r="H104" i="62"/>
  <c r="F102" i="65"/>
  <c r="H19" i="89"/>
  <c r="D20" i="89"/>
  <c r="G19" i="89"/>
  <c r="E20" i="89"/>
  <c r="G27" i="18"/>
  <c r="H27" i="18"/>
  <c r="D28" i="18"/>
  <c r="E28" i="18"/>
  <c r="F101" i="76"/>
  <c r="F103" i="61"/>
  <c r="D30" i="29"/>
  <c r="G29" i="29"/>
  <c r="H29" i="29"/>
  <c r="E30" i="29"/>
  <c r="B100" i="100"/>
  <c r="F100" i="100"/>
  <c r="J103" i="67"/>
  <c r="G109" i="23"/>
  <c r="D110" i="23"/>
  <c r="E110" i="23"/>
  <c r="F108" i="32"/>
  <c r="F109" i="30"/>
  <c r="F102" i="68"/>
  <c r="D27" i="39"/>
  <c r="H26" i="39"/>
  <c r="G26" i="39"/>
  <c r="E27" i="39"/>
  <c r="E103" i="78"/>
  <c r="G102" i="78"/>
  <c r="D103" i="78"/>
  <c r="G107" i="19"/>
  <c r="D108" i="19"/>
  <c r="E108" i="19"/>
  <c r="B19" i="25"/>
  <c r="F19" i="25"/>
  <c r="H19" i="25" s="1"/>
  <c r="F105" i="62"/>
  <c r="B105" i="62"/>
  <c r="D112" i="29"/>
  <c r="G111" i="29"/>
  <c r="E112" i="29"/>
  <c r="F104" i="58"/>
  <c r="C100" i="92"/>
  <c r="C101" i="92" s="1"/>
  <c r="C102" i="92" s="1"/>
  <c r="C103" i="92" s="1"/>
  <c r="C104" i="92" s="1"/>
  <c r="C105" i="92" s="1"/>
  <c r="C106" i="92" s="1"/>
  <c r="C107" i="92" s="1"/>
  <c r="C108" i="92" s="1"/>
  <c r="C109" i="92" s="1"/>
  <c r="C110" i="92" s="1"/>
  <c r="C111" i="92" s="1"/>
  <c r="C112" i="92" s="1"/>
  <c r="C113" i="92" s="1"/>
  <c r="C114" i="92" s="1"/>
  <c r="C115" i="92" s="1"/>
  <c r="C116" i="92" s="1"/>
  <c r="C117" i="92" s="1"/>
  <c r="C118" i="92" s="1"/>
  <c r="C119" i="92" s="1"/>
  <c r="C120" i="92" s="1"/>
  <c r="C121" i="92" s="1"/>
  <c r="C122" i="92" s="1"/>
  <c r="C123" i="92" s="1"/>
  <c r="C124" i="92" s="1"/>
  <c r="C125" i="92" s="1"/>
  <c r="C126" i="92" s="1"/>
  <c r="I99" i="100"/>
  <c r="H99" i="100"/>
  <c r="F105" i="45"/>
  <c r="D105" i="67"/>
  <c r="E105" i="67"/>
  <c r="G104" i="67"/>
  <c r="D20" i="87"/>
  <c r="H19" i="87"/>
  <c r="G19" i="87"/>
  <c r="E20" i="87"/>
  <c r="I18" i="25"/>
  <c r="G19" i="90"/>
  <c r="D20" i="90"/>
  <c r="H19" i="90"/>
  <c r="E20" i="90"/>
  <c r="G20" i="88"/>
  <c r="I20" i="88" s="1"/>
  <c r="F108" i="71"/>
  <c r="F99" i="86"/>
  <c r="F104" i="54"/>
  <c r="F101" i="77"/>
  <c r="F99" i="84"/>
  <c r="F99" i="96"/>
  <c r="F107" i="3"/>
  <c r="F99" i="91"/>
  <c r="G24" i="54"/>
  <c r="D25" i="54"/>
  <c r="H24" i="54"/>
  <c r="E25" i="54"/>
  <c r="F103" i="64"/>
  <c r="F104" i="46"/>
  <c r="F100" i="99"/>
  <c r="F104" i="57"/>
  <c r="F49" i="1"/>
  <c r="E28" i="1"/>
  <c r="E31" i="1" s="1"/>
  <c r="E35" i="1" s="1"/>
  <c r="F50" i="1" s="1"/>
  <c r="I74" i="36"/>
  <c r="I47" i="36"/>
  <c r="C127" i="85" l="1"/>
  <c r="C128" i="85" s="1"/>
  <c r="C129" i="85" s="1"/>
  <c r="C130" i="85" s="1"/>
  <c r="C131" i="85" s="1"/>
  <c r="C132" i="85" s="1"/>
  <c r="C133" i="85" s="1"/>
  <c r="C134" i="85" s="1"/>
  <c r="C135" i="85" s="1"/>
  <c r="C136" i="85" s="1"/>
  <c r="C137" i="85" s="1"/>
  <c r="C138" i="85" s="1"/>
  <c r="C139" i="85" s="1"/>
  <c r="C140" i="85" s="1"/>
  <c r="C141" i="85" s="1"/>
  <c r="C142" i="85" s="1"/>
  <c r="C143" i="85" s="1"/>
  <c r="C144" i="85" s="1"/>
  <c r="C145" i="85" s="1"/>
  <c r="C146" i="85" s="1"/>
  <c r="C147" i="85" s="1"/>
  <c r="C148" i="85" s="1"/>
  <c r="C149" i="85" s="1"/>
  <c r="C150" i="85" s="1"/>
  <c r="C151" i="85" s="1"/>
  <c r="C152" i="85" s="1"/>
  <c r="C153" i="85" s="1"/>
  <c r="C154" i="85" s="1"/>
  <c r="N88" i="85"/>
  <c r="M88" i="85"/>
  <c r="M89" i="85" s="1"/>
  <c r="F24" i="59"/>
  <c r="D25" i="59" s="1"/>
  <c r="G100" i="95"/>
  <c r="E101" i="95"/>
  <c r="D101" i="95"/>
  <c r="B101" i="95" s="1"/>
  <c r="E100" i="87"/>
  <c r="D100" i="87"/>
  <c r="N88" i="17"/>
  <c r="M88" i="17"/>
  <c r="C127" i="17"/>
  <c r="C128" i="17" s="1"/>
  <c r="C129" i="17" s="1"/>
  <c r="C130" i="17" s="1"/>
  <c r="C131" i="17" s="1"/>
  <c r="C132" i="17" s="1"/>
  <c r="C133" i="17" s="1"/>
  <c r="C134" i="17" s="1"/>
  <c r="C135" i="17" s="1"/>
  <c r="C136" i="17" s="1"/>
  <c r="C137" i="17" s="1"/>
  <c r="C138" i="17" s="1"/>
  <c r="C139" i="17" s="1"/>
  <c r="C140" i="17" s="1"/>
  <c r="C141" i="17" s="1"/>
  <c r="C142" i="17" s="1"/>
  <c r="C143" i="17" s="1"/>
  <c r="C144" i="17" s="1"/>
  <c r="C145" i="17" s="1"/>
  <c r="C146" i="17" s="1"/>
  <c r="C147" i="17" s="1"/>
  <c r="C148" i="17" s="1"/>
  <c r="C149" i="17" s="1"/>
  <c r="C150" i="17" s="1"/>
  <c r="C151" i="17" s="1"/>
  <c r="C152" i="17" s="1"/>
  <c r="C153" i="17" s="1"/>
  <c r="C154" i="17" s="1"/>
  <c r="H20" i="91"/>
  <c r="I20" i="91" s="1"/>
  <c r="D23" i="67"/>
  <c r="H22" i="67"/>
  <c r="G22" i="67"/>
  <c r="N5" i="67" s="1"/>
  <c r="G24" i="57"/>
  <c r="N5" i="57" s="1"/>
  <c r="H24" i="57"/>
  <c r="D25" i="57"/>
  <c r="D28" i="3"/>
  <c r="G27" i="3"/>
  <c r="N5" i="3" s="1"/>
  <c r="H27" i="3"/>
  <c r="D100" i="25"/>
  <c r="G99" i="25"/>
  <c r="G29" i="27"/>
  <c r="N5" i="27" s="1"/>
  <c r="H29" i="27"/>
  <c r="D30" i="27"/>
  <c r="D19" i="99"/>
  <c r="G18" i="99"/>
  <c r="H18" i="99"/>
  <c r="C100" i="26"/>
  <c r="C101" i="26" s="1"/>
  <c r="C102" i="26" s="1"/>
  <c r="C103" i="26" s="1"/>
  <c r="C104" i="26" s="1"/>
  <c r="C105" i="26" s="1"/>
  <c r="C106" i="26" s="1"/>
  <c r="C107" i="26" s="1"/>
  <c r="C108" i="26" s="1"/>
  <c r="C109" i="26" s="1"/>
  <c r="C110" i="26" s="1"/>
  <c r="C111" i="26" s="1"/>
  <c r="C112" i="26" s="1"/>
  <c r="C113" i="26" s="1"/>
  <c r="C114" i="26" s="1"/>
  <c r="C115" i="26" s="1"/>
  <c r="C116" i="26" s="1"/>
  <c r="C117" i="26" s="1"/>
  <c r="C118" i="26" s="1"/>
  <c r="C119" i="26" s="1"/>
  <c r="C120" i="26" s="1"/>
  <c r="C121" i="26" s="1"/>
  <c r="C122" i="26" s="1"/>
  <c r="C123" i="26" s="1"/>
  <c r="C124" i="26" s="1"/>
  <c r="C125" i="26" s="1"/>
  <c r="C126" i="26" s="1"/>
  <c r="C127" i="26" s="1"/>
  <c r="C128" i="26" s="1"/>
  <c r="C129" i="26" s="1"/>
  <c r="C130" i="26" s="1"/>
  <c r="C131" i="26" s="1"/>
  <c r="C132" i="26" s="1"/>
  <c r="C133" i="26" s="1"/>
  <c r="C134" i="26" s="1"/>
  <c r="C135" i="26" s="1"/>
  <c r="C136" i="26" s="1"/>
  <c r="C137" i="26" s="1"/>
  <c r="C138" i="26" s="1"/>
  <c r="C139" i="26" s="1"/>
  <c r="C140" i="26" s="1"/>
  <c r="C141" i="26" s="1"/>
  <c r="C142" i="26" s="1"/>
  <c r="C143" i="26" s="1"/>
  <c r="C144" i="26" s="1"/>
  <c r="C145" i="26" s="1"/>
  <c r="C146" i="26" s="1"/>
  <c r="C147" i="26" s="1"/>
  <c r="C148" i="26" s="1"/>
  <c r="C149" i="26" s="1"/>
  <c r="C150" i="26" s="1"/>
  <c r="C151" i="26" s="1"/>
  <c r="C152" i="26" s="1"/>
  <c r="C153" i="26" s="1"/>
  <c r="C154" i="26" s="1"/>
  <c r="F100" i="97"/>
  <c r="B100" i="97"/>
  <c r="D23" i="65"/>
  <c r="H22" i="65"/>
  <c r="G22" i="65"/>
  <c r="N5" i="65" s="1"/>
  <c r="E29" i="24"/>
  <c r="H28" i="24"/>
  <c r="D29" i="24"/>
  <c r="G28" i="24"/>
  <c r="N5" i="24" s="1"/>
  <c r="B106" i="42"/>
  <c r="B106" i="44"/>
  <c r="G20" i="82"/>
  <c r="N5" i="82" s="1"/>
  <c r="H20" i="82"/>
  <c r="D21" i="82"/>
  <c r="H26" i="73"/>
  <c r="D27" i="73"/>
  <c r="G26" i="73"/>
  <c r="N5" i="73" s="1"/>
  <c r="G18" i="97"/>
  <c r="N5" i="97" s="1"/>
  <c r="D19" i="97"/>
  <c r="H18" i="97"/>
  <c r="D27" i="41"/>
  <c r="H26" i="41"/>
  <c r="G26" i="41"/>
  <c r="N5" i="41" s="1"/>
  <c r="E106" i="43"/>
  <c r="F106" i="43" s="1"/>
  <c r="E107" i="43" s="1"/>
  <c r="B24" i="35"/>
  <c r="G23" i="35"/>
  <c r="H23" i="35"/>
  <c r="E24" i="35"/>
  <c r="F24" i="35" s="1"/>
  <c r="D21" i="81"/>
  <c r="G20" i="81"/>
  <c r="H20" i="81"/>
  <c r="N6" i="81" s="1"/>
  <c r="H20" i="83"/>
  <c r="D21" i="83"/>
  <c r="G20" i="83"/>
  <c r="N5" i="83" s="1"/>
  <c r="E31" i="28"/>
  <c r="H30" i="28"/>
  <c r="G30" i="28"/>
  <c r="N5" i="28" s="1"/>
  <c r="D31" i="28"/>
  <c r="E21" i="84"/>
  <c r="D21" i="84"/>
  <c r="H20" i="84"/>
  <c r="G20" i="84"/>
  <c r="N5" i="84" s="1"/>
  <c r="D29" i="31"/>
  <c r="H28" i="31"/>
  <c r="N6" i="31" s="1"/>
  <c r="G28" i="31"/>
  <c r="E25" i="58"/>
  <c r="D25" i="58"/>
  <c r="G24" i="58"/>
  <c r="N5" i="58" s="1"/>
  <c r="H24" i="58"/>
  <c r="H18" i="95"/>
  <c r="D19" i="95"/>
  <c r="G18" i="95"/>
  <c r="N5" i="95" s="1"/>
  <c r="D22" i="79"/>
  <c r="H21" i="79"/>
  <c r="G21" i="79"/>
  <c r="N5" i="79" s="1"/>
  <c r="D27" i="74"/>
  <c r="H26" i="74"/>
  <c r="G26" i="74"/>
  <c r="N5" i="74" s="1"/>
  <c r="G99" i="33"/>
  <c r="D100" i="33"/>
  <c r="B100" i="33" s="1"/>
  <c r="H26" i="44"/>
  <c r="G26" i="44"/>
  <c r="N5" i="44" s="1"/>
  <c r="D27" i="44"/>
  <c r="E23" i="68"/>
  <c r="D23" i="68"/>
  <c r="G22" i="68"/>
  <c r="N5" i="68" s="1"/>
  <c r="H22" i="68"/>
  <c r="D22" i="77"/>
  <c r="H21" i="77"/>
  <c r="G21" i="77"/>
  <c r="N5" i="77" s="1"/>
  <c r="G29" i="69"/>
  <c r="N5" i="69" s="1"/>
  <c r="D30" i="69"/>
  <c r="H29" i="69"/>
  <c r="G25" i="45"/>
  <c r="N5" i="45" s="1"/>
  <c r="D26" i="45"/>
  <c r="H25" i="45"/>
  <c r="E23" i="67"/>
  <c r="E25" i="57"/>
  <c r="D27" i="42"/>
  <c r="G26" i="42"/>
  <c r="N5" i="42" s="1"/>
  <c r="H26" i="42"/>
  <c r="G20" i="85"/>
  <c r="N5" i="85" s="1"/>
  <c r="H20" i="85"/>
  <c r="D21" i="85"/>
  <c r="F21" i="85" s="1"/>
  <c r="H24" i="53"/>
  <c r="G24" i="53"/>
  <c r="N5" i="53" s="1"/>
  <c r="D25" i="53"/>
  <c r="G23" i="63"/>
  <c r="N5" i="63" s="1"/>
  <c r="D24" i="63"/>
  <c r="H23" i="63"/>
  <c r="E30" i="27"/>
  <c r="E21" i="81"/>
  <c r="G22" i="66"/>
  <c r="N5" i="66" s="1"/>
  <c r="H22" i="66"/>
  <c r="D23" i="66"/>
  <c r="G28" i="23"/>
  <c r="N5" i="23" s="1"/>
  <c r="D29" i="23"/>
  <c r="H28" i="23"/>
  <c r="H28" i="34"/>
  <c r="G28" i="34"/>
  <c r="N5" i="34" s="1"/>
  <c r="D29" i="34"/>
  <c r="F99" i="26"/>
  <c r="I99" i="97"/>
  <c r="H99" i="97"/>
  <c r="G19" i="92"/>
  <c r="N5" i="92" s="1"/>
  <c r="D20" i="92"/>
  <c r="H19" i="92"/>
  <c r="D19" i="98"/>
  <c r="H18" i="98"/>
  <c r="G18" i="98"/>
  <c r="N5" i="98" s="1"/>
  <c r="E22" i="77"/>
  <c r="H24" i="72"/>
  <c r="G24" i="72"/>
  <c r="N5" i="72" s="1"/>
  <c r="D25" i="72"/>
  <c r="F25" i="72" s="1"/>
  <c r="H24" i="56"/>
  <c r="D25" i="56"/>
  <c r="G24" i="56"/>
  <c r="N5" i="56" s="1"/>
  <c r="E29" i="31"/>
  <c r="D22" i="76"/>
  <c r="G21" i="76"/>
  <c r="N5" i="76" s="1"/>
  <c r="H21" i="76"/>
  <c r="H27" i="20"/>
  <c r="G27" i="20"/>
  <c r="N5" i="20" s="1"/>
  <c r="D28" i="20"/>
  <c r="E106" i="42"/>
  <c r="F106" i="42" s="1"/>
  <c r="E106" i="44"/>
  <c r="F106" i="44" s="1"/>
  <c r="H23" i="60"/>
  <c r="G23" i="60"/>
  <c r="N5" i="60" s="1"/>
  <c r="D24" i="60"/>
  <c r="E19" i="95"/>
  <c r="G24" i="46"/>
  <c r="N5" i="46" s="1"/>
  <c r="H24" i="46"/>
  <c r="D25" i="46"/>
  <c r="E100" i="33"/>
  <c r="F100" i="33" s="1"/>
  <c r="V74" i="36"/>
  <c r="V47" i="36"/>
  <c r="D29" i="19"/>
  <c r="E29" i="19"/>
  <c r="G19" i="25"/>
  <c r="I19" i="25" s="1"/>
  <c r="I20" i="80"/>
  <c r="N6" i="80"/>
  <c r="N7" i="80" s="1"/>
  <c r="I27" i="19"/>
  <c r="N6" i="19"/>
  <c r="N7" i="19" s="1"/>
  <c r="B20" i="13"/>
  <c r="E101" i="13"/>
  <c r="F101" i="13" s="1"/>
  <c r="B101" i="13"/>
  <c r="N6" i="86"/>
  <c r="N7" i="86" s="1"/>
  <c r="I20" i="86"/>
  <c r="F30" i="70"/>
  <c r="H30" i="70" s="1"/>
  <c r="B30" i="70"/>
  <c r="B21" i="80"/>
  <c r="F21" i="80"/>
  <c r="G21" i="80" s="1"/>
  <c r="F25" i="55"/>
  <c r="H25" i="55" s="1"/>
  <c r="B25" i="55"/>
  <c r="N6" i="64"/>
  <c r="N7" i="64" s="1"/>
  <c r="I23" i="64"/>
  <c r="D28" i="17"/>
  <c r="G27" i="17"/>
  <c r="H27" i="17"/>
  <c r="I27" i="17" s="1"/>
  <c r="D25" i="61"/>
  <c r="E25" i="61"/>
  <c r="D19" i="26"/>
  <c r="H100" i="13"/>
  <c r="I100" i="13"/>
  <c r="N6" i="43"/>
  <c r="N7" i="43" s="1"/>
  <c r="I26" i="43"/>
  <c r="H29" i="71"/>
  <c r="D30" i="71"/>
  <c r="E30" i="71"/>
  <c r="F21" i="86"/>
  <c r="H21" i="86" s="1"/>
  <c r="B21" i="86"/>
  <c r="N89" i="55"/>
  <c r="O88" i="55"/>
  <c r="O89" i="55" s="1"/>
  <c r="E21" i="91"/>
  <c r="D21" i="91"/>
  <c r="F24" i="64"/>
  <c r="H24" i="64" s="1"/>
  <c r="B24" i="64"/>
  <c r="B28" i="19"/>
  <c r="H28" i="19"/>
  <c r="I28" i="19" s="1"/>
  <c r="G28" i="19"/>
  <c r="H24" i="61"/>
  <c r="I18" i="33"/>
  <c r="G18" i="26"/>
  <c r="B24" i="59"/>
  <c r="F27" i="43"/>
  <c r="G27" i="43" s="1"/>
  <c r="B27" i="43"/>
  <c r="I24" i="55"/>
  <c r="N6" i="55"/>
  <c r="N7" i="55" s="1"/>
  <c r="D109" i="31"/>
  <c r="G108" i="31"/>
  <c r="G24" i="61"/>
  <c r="E20" i="13"/>
  <c r="F20" i="13" s="1"/>
  <c r="H18" i="26"/>
  <c r="B19" i="33"/>
  <c r="F19" i="33"/>
  <c r="G19" i="33" s="1"/>
  <c r="I23" i="59"/>
  <c r="N6" i="59"/>
  <c r="N7" i="59" s="1"/>
  <c r="G29" i="71"/>
  <c r="N6" i="70"/>
  <c r="N7" i="70" s="1"/>
  <c r="I29" i="70"/>
  <c r="O88" i="82"/>
  <c r="O89" i="82" s="1"/>
  <c r="N89" i="82"/>
  <c r="J99" i="87"/>
  <c r="N88" i="87"/>
  <c r="N89" i="60"/>
  <c r="G104" i="60"/>
  <c r="E105" i="60"/>
  <c r="D105" i="60"/>
  <c r="J103" i="60"/>
  <c r="M88" i="60"/>
  <c r="M89" i="60" s="1"/>
  <c r="J106" i="35"/>
  <c r="D113" i="70"/>
  <c r="G112" i="70"/>
  <c r="E113" i="70"/>
  <c r="H109" i="17"/>
  <c r="I109" i="17"/>
  <c r="B110" i="17"/>
  <c r="F110" i="17"/>
  <c r="J111" i="70"/>
  <c r="G108" i="71"/>
  <c r="D109" i="71"/>
  <c r="E109" i="71"/>
  <c r="H104" i="67"/>
  <c r="I104" i="67"/>
  <c r="B20" i="90"/>
  <c r="F20" i="90"/>
  <c r="G20" i="90" s="1"/>
  <c r="E106" i="62"/>
  <c r="G105" i="62"/>
  <c r="D106" i="62"/>
  <c r="B27" i="39"/>
  <c r="F27" i="39"/>
  <c r="I28" i="32"/>
  <c r="N6" i="32"/>
  <c r="N5" i="90"/>
  <c r="N5" i="87"/>
  <c r="I29" i="29"/>
  <c r="N6" i="29"/>
  <c r="F21" i="88"/>
  <c r="H21" i="88" s="1"/>
  <c r="B21" i="88"/>
  <c r="N6" i="22"/>
  <c r="I27" i="22"/>
  <c r="B104" i="63"/>
  <c r="F104" i="63"/>
  <c r="G104" i="54"/>
  <c r="D105" i="54"/>
  <c r="E105" i="54"/>
  <c r="I19" i="87"/>
  <c r="N6" i="87"/>
  <c r="F103" i="78"/>
  <c r="B103" i="78"/>
  <c r="I109" i="23"/>
  <c r="H109" i="23"/>
  <c r="N5" i="29"/>
  <c r="G101" i="76"/>
  <c r="D102" i="76"/>
  <c r="E102" i="76"/>
  <c r="D100" i="88"/>
  <c r="G99" i="88"/>
  <c r="E100" i="88"/>
  <c r="N5" i="22"/>
  <c r="H103" i="63"/>
  <c r="I103" i="63"/>
  <c r="D105" i="72"/>
  <c r="G104" i="72"/>
  <c r="E105" i="72"/>
  <c r="I102" i="66"/>
  <c r="H102" i="66"/>
  <c r="D108" i="21"/>
  <c r="G107" i="21"/>
  <c r="E108" i="21"/>
  <c r="I21" i="75"/>
  <c r="N6" i="75"/>
  <c r="D101" i="80"/>
  <c r="G100" i="80"/>
  <c r="E101" i="80"/>
  <c r="N89" i="23"/>
  <c r="O88" i="23"/>
  <c r="O89" i="23" s="1"/>
  <c r="D101" i="99"/>
  <c r="G100" i="99"/>
  <c r="E101" i="99"/>
  <c r="D101" i="100"/>
  <c r="E101" i="100"/>
  <c r="G100" i="100"/>
  <c r="J104" i="62"/>
  <c r="J105" i="55"/>
  <c r="G107" i="18"/>
  <c r="D108" i="18"/>
  <c r="E108" i="18"/>
  <c r="D107" i="39"/>
  <c r="G106" i="39"/>
  <c r="E107" i="39"/>
  <c r="G100" i="83"/>
  <c r="D101" i="83"/>
  <c r="E101" i="83"/>
  <c r="G106" i="41"/>
  <c r="D107" i="41"/>
  <c r="E107" i="41"/>
  <c r="E111" i="20"/>
  <c r="D111" i="20"/>
  <c r="G110" i="20"/>
  <c r="G99" i="91"/>
  <c r="D100" i="91"/>
  <c r="E100" i="91"/>
  <c r="B20" i="87"/>
  <c r="F20" i="87"/>
  <c r="G20" i="87" s="1"/>
  <c r="I27" i="21"/>
  <c r="N6" i="21"/>
  <c r="G101" i="77"/>
  <c r="D102" i="77"/>
  <c r="E102" i="77"/>
  <c r="G102" i="68"/>
  <c r="D103" i="68"/>
  <c r="E103" i="68"/>
  <c r="E104" i="75"/>
  <c r="G103" i="75"/>
  <c r="D104" i="75"/>
  <c r="E107" i="55"/>
  <c r="G106" i="55"/>
  <c r="D107" i="55"/>
  <c r="N5" i="30"/>
  <c r="G108" i="35"/>
  <c r="B109" i="35"/>
  <c r="E109" i="35"/>
  <c r="F109" i="35" s="1"/>
  <c r="G103" i="64"/>
  <c r="D104" i="64"/>
  <c r="E104" i="64"/>
  <c r="G99" i="84"/>
  <c r="D100" i="84"/>
  <c r="E100" i="84"/>
  <c r="I102" i="78"/>
  <c r="H102" i="78"/>
  <c r="F30" i="29"/>
  <c r="H30" i="29" s="1"/>
  <c r="B30" i="29"/>
  <c r="B28" i="18"/>
  <c r="F28" i="18"/>
  <c r="H28" i="18" s="1"/>
  <c r="G28" i="18"/>
  <c r="N5" i="21"/>
  <c r="G104" i="57"/>
  <c r="D105" i="57"/>
  <c r="E105" i="57"/>
  <c r="G104" i="46"/>
  <c r="D105" i="46"/>
  <c r="E105" i="46"/>
  <c r="D108" i="3"/>
  <c r="G107" i="3"/>
  <c r="E108" i="3"/>
  <c r="D100" i="86"/>
  <c r="G99" i="86"/>
  <c r="E100" i="86"/>
  <c r="G105" i="45"/>
  <c r="D106" i="45"/>
  <c r="E106" i="45"/>
  <c r="D20" i="25"/>
  <c r="E20" i="25" s="1"/>
  <c r="I27" i="18"/>
  <c r="N6" i="18"/>
  <c r="N5" i="89"/>
  <c r="F28" i="21"/>
  <c r="H28" i="21" s="1"/>
  <c r="B28" i="21"/>
  <c r="D101" i="81"/>
  <c r="G100" i="81"/>
  <c r="E101" i="81"/>
  <c r="G109" i="27"/>
  <c r="D110" i="27"/>
  <c r="E110" i="27"/>
  <c r="D103" i="85"/>
  <c r="G102" i="85"/>
  <c r="E103" i="85"/>
  <c r="I29" i="30"/>
  <c r="N6" i="30"/>
  <c r="H107" i="35"/>
  <c r="I107" i="35"/>
  <c r="I18" i="96"/>
  <c r="N6" i="96"/>
  <c r="D100" i="90"/>
  <c r="G99" i="90"/>
  <c r="E100" i="90"/>
  <c r="G101" i="79"/>
  <c r="D102" i="79"/>
  <c r="E102" i="79"/>
  <c r="G108" i="24"/>
  <c r="D109" i="24"/>
  <c r="E109" i="24"/>
  <c r="D100" i="89"/>
  <c r="G99" i="89"/>
  <c r="E100" i="89"/>
  <c r="D100" i="92"/>
  <c r="E100" i="92"/>
  <c r="G99" i="92"/>
  <c r="N89" i="75"/>
  <c r="O88" i="75"/>
  <c r="O89" i="75" s="1"/>
  <c r="J99" i="100"/>
  <c r="D105" i="58"/>
  <c r="G104" i="58"/>
  <c r="E105" i="58"/>
  <c r="N5" i="39"/>
  <c r="G109" i="30"/>
  <c r="D110" i="30"/>
  <c r="E110" i="30"/>
  <c r="N5" i="18"/>
  <c r="F20" i="89"/>
  <c r="H20" i="89" s="1"/>
  <c r="B20" i="89"/>
  <c r="N5" i="32"/>
  <c r="G106" i="74"/>
  <c r="D107" i="74"/>
  <c r="E107" i="74"/>
  <c r="J102" i="75"/>
  <c r="F30" i="30"/>
  <c r="H30" i="30" s="1"/>
  <c r="B30" i="30"/>
  <c r="B22" i="78"/>
  <c r="F22" i="78"/>
  <c r="H22" i="78" s="1"/>
  <c r="B19" i="96"/>
  <c r="F19" i="96"/>
  <c r="G19" i="96" s="1"/>
  <c r="C127" i="92"/>
  <c r="C128" i="92" s="1"/>
  <c r="C129" i="92" s="1"/>
  <c r="C130" i="92" s="1"/>
  <c r="C131" i="92" s="1"/>
  <c r="C132" i="92" s="1"/>
  <c r="C133" i="92" s="1"/>
  <c r="C134" i="92" s="1"/>
  <c r="C135" i="92" s="1"/>
  <c r="C136" i="92" s="1"/>
  <c r="C137" i="92" s="1"/>
  <c r="C138" i="92" s="1"/>
  <c r="C139" i="92" s="1"/>
  <c r="C140" i="92" s="1"/>
  <c r="C141" i="92" s="1"/>
  <c r="C142" i="92" s="1"/>
  <c r="C143" i="92" s="1"/>
  <c r="C144" i="92" s="1"/>
  <c r="C145" i="92" s="1"/>
  <c r="C146" i="92" s="1"/>
  <c r="C147" i="92" s="1"/>
  <c r="C148" i="92" s="1"/>
  <c r="C149" i="92" s="1"/>
  <c r="C150" i="92" s="1"/>
  <c r="C151" i="92" s="1"/>
  <c r="C152" i="92" s="1"/>
  <c r="C153" i="92" s="1"/>
  <c r="C154" i="92" s="1"/>
  <c r="N6" i="39"/>
  <c r="I26" i="39"/>
  <c r="G108" i="32"/>
  <c r="D109" i="32"/>
  <c r="E109" i="32"/>
  <c r="N6" i="89"/>
  <c r="I19" i="89"/>
  <c r="D111" i="28"/>
  <c r="G110" i="28"/>
  <c r="E111" i="28"/>
  <c r="E103" i="82"/>
  <c r="G102" i="82"/>
  <c r="D103" i="82"/>
  <c r="B29" i="32"/>
  <c r="F29" i="32"/>
  <c r="G29" i="32" s="1"/>
  <c r="G104" i="34"/>
  <c r="B105" i="34"/>
  <c r="G99" i="98"/>
  <c r="D100" i="98"/>
  <c r="E100" i="98"/>
  <c r="G104" i="56"/>
  <c r="D105" i="56"/>
  <c r="E105" i="56"/>
  <c r="N5" i="78"/>
  <c r="N5" i="96"/>
  <c r="F24" i="62"/>
  <c r="H24" i="62" s="1"/>
  <c r="B24" i="62"/>
  <c r="I24" i="54"/>
  <c r="N6" i="54"/>
  <c r="B25" i="54"/>
  <c r="F25" i="54"/>
  <c r="G25" i="54" s="1"/>
  <c r="N6" i="90"/>
  <c r="N7" i="90" s="1"/>
  <c r="I19" i="90"/>
  <c r="B108" i="19"/>
  <c r="F108" i="19"/>
  <c r="G103" i="61"/>
  <c r="D104" i="61"/>
  <c r="E104" i="61"/>
  <c r="F108" i="34"/>
  <c r="B108" i="34"/>
  <c r="J101" i="85"/>
  <c r="F28" i="22"/>
  <c r="H28" i="22" s="1"/>
  <c r="B28" i="22"/>
  <c r="G107" i="22"/>
  <c r="D108" i="22"/>
  <c r="E108" i="22"/>
  <c r="D110" i="69"/>
  <c r="G109" i="69"/>
  <c r="E110" i="69"/>
  <c r="N6" i="78"/>
  <c r="I21" i="78"/>
  <c r="I18" i="100"/>
  <c r="G106" i="73"/>
  <c r="D107" i="73"/>
  <c r="E107" i="73"/>
  <c r="B22" i="75"/>
  <c r="F22" i="75"/>
  <c r="G22" i="75" s="1"/>
  <c r="N5" i="62"/>
  <c r="N5" i="54"/>
  <c r="H111" i="29"/>
  <c r="I111" i="29"/>
  <c r="F51" i="1"/>
  <c r="G99" i="96"/>
  <c r="D100" i="96"/>
  <c r="E100" i="96"/>
  <c r="B105" i="67"/>
  <c r="F105" i="67"/>
  <c r="B112" i="29"/>
  <c r="F112" i="29"/>
  <c r="I107" i="19"/>
  <c r="H107" i="19"/>
  <c r="B110" i="23"/>
  <c r="F110" i="23"/>
  <c r="G102" i="65"/>
  <c r="D103" i="65"/>
  <c r="E103" i="65"/>
  <c r="O88" i="85"/>
  <c r="O89" i="85" s="1"/>
  <c r="N89" i="85"/>
  <c r="G103" i="59"/>
  <c r="D104" i="59"/>
  <c r="E104" i="59"/>
  <c r="J101" i="82"/>
  <c r="B103" i="66"/>
  <c r="F103" i="66"/>
  <c r="J109" i="20"/>
  <c r="O88" i="78"/>
  <c r="O89" i="78" s="1"/>
  <c r="N89" i="78"/>
  <c r="F19" i="100"/>
  <c r="G19" i="100" s="1"/>
  <c r="B19" i="100"/>
  <c r="N5" i="75"/>
  <c r="N6" i="62"/>
  <c r="I23" i="62"/>
  <c r="G104" i="53"/>
  <c r="D105" i="53"/>
  <c r="E105" i="53"/>
  <c r="I28" i="18" l="1"/>
  <c r="G24" i="59"/>
  <c r="F21" i="81"/>
  <c r="H24" i="59"/>
  <c r="I24" i="59" s="1"/>
  <c r="E25" i="59"/>
  <c r="F22" i="77"/>
  <c r="J99" i="97"/>
  <c r="F101" i="95"/>
  <c r="N7" i="62"/>
  <c r="G24" i="62"/>
  <c r="N7" i="89"/>
  <c r="H20" i="87"/>
  <c r="I20" i="87" s="1"/>
  <c r="I18" i="26"/>
  <c r="B100" i="87"/>
  <c r="F100" i="87"/>
  <c r="I100" i="95"/>
  <c r="J100" i="95" s="1"/>
  <c r="H100" i="95"/>
  <c r="D107" i="44"/>
  <c r="G106" i="44"/>
  <c r="E107" i="44"/>
  <c r="G106" i="42"/>
  <c r="D107" i="42"/>
  <c r="E107" i="42"/>
  <c r="H25" i="72"/>
  <c r="D26" i="72"/>
  <c r="E26" i="72"/>
  <c r="D22" i="85"/>
  <c r="E22" i="85"/>
  <c r="I24" i="46"/>
  <c r="N6" i="46"/>
  <c r="N7" i="46" s="1"/>
  <c r="B22" i="76"/>
  <c r="F22" i="76"/>
  <c r="I24" i="56"/>
  <c r="N6" i="56"/>
  <c r="N7" i="56" s="1"/>
  <c r="G22" i="77"/>
  <c r="D23" i="77"/>
  <c r="E23" i="77"/>
  <c r="I19" i="92"/>
  <c r="N6" i="92"/>
  <c r="N7" i="92" s="1"/>
  <c r="N6" i="34"/>
  <c r="N7" i="34" s="1"/>
  <c r="I28" i="34"/>
  <c r="F23" i="66"/>
  <c r="H23" i="66" s="1"/>
  <c r="B23" i="66"/>
  <c r="F25" i="53"/>
  <c r="G25" i="53" s="1"/>
  <c r="B25" i="53"/>
  <c r="H25" i="53"/>
  <c r="I20" i="85"/>
  <c r="N6" i="85"/>
  <c r="B27" i="42"/>
  <c r="F27" i="42"/>
  <c r="H27" i="42" s="1"/>
  <c r="B26" i="45"/>
  <c r="F26" i="45"/>
  <c r="G26" i="45" s="1"/>
  <c r="N6" i="68"/>
  <c r="N7" i="68" s="1"/>
  <c r="I22" i="68"/>
  <c r="F27" i="44"/>
  <c r="G27" i="44" s="1"/>
  <c r="H27" i="44"/>
  <c r="B27" i="44"/>
  <c r="H99" i="33"/>
  <c r="J99" i="33" s="1"/>
  <c r="I99" i="33"/>
  <c r="B27" i="74"/>
  <c r="F27" i="74"/>
  <c r="G27" i="74" s="1"/>
  <c r="F21" i="84"/>
  <c r="B21" i="84"/>
  <c r="B31" i="28"/>
  <c r="F31" i="28"/>
  <c r="I20" i="81"/>
  <c r="N5" i="81"/>
  <c r="N7" i="81" s="1"/>
  <c r="B19" i="97"/>
  <c r="F19" i="97"/>
  <c r="H19" i="97" s="1"/>
  <c r="I26" i="73"/>
  <c r="N6" i="73"/>
  <c r="N7" i="73" s="1"/>
  <c r="E101" i="97"/>
  <c r="G100" i="97"/>
  <c r="D101" i="97"/>
  <c r="F19" i="99"/>
  <c r="B19" i="99"/>
  <c r="G19" i="99"/>
  <c r="H99" i="25"/>
  <c r="I99" i="25"/>
  <c r="B28" i="3"/>
  <c r="F28" i="3"/>
  <c r="G28" i="3" s="1"/>
  <c r="G28" i="21"/>
  <c r="I24" i="61"/>
  <c r="H21" i="80"/>
  <c r="N6" i="60"/>
  <c r="N7" i="60" s="1"/>
  <c r="I23" i="60"/>
  <c r="I27" i="20"/>
  <c r="N6" i="20"/>
  <c r="N7" i="20" s="1"/>
  <c r="G25" i="72"/>
  <c r="B25" i="72"/>
  <c r="F20" i="92"/>
  <c r="B20" i="92"/>
  <c r="H20" i="92"/>
  <c r="D100" i="26"/>
  <c r="G99" i="26"/>
  <c r="N6" i="23"/>
  <c r="I28" i="23"/>
  <c r="I22" i="66"/>
  <c r="N6" i="66"/>
  <c r="N7" i="66" s="1"/>
  <c r="N6" i="63"/>
  <c r="N7" i="63" s="1"/>
  <c r="I23" i="63"/>
  <c r="N7" i="85"/>
  <c r="F19" i="95"/>
  <c r="G19" i="95"/>
  <c r="B19" i="95"/>
  <c r="H19" i="95"/>
  <c r="I19" i="95" s="1"/>
  <c r="B25" i="58"/>
  <c r="B29" i="31"/>
  <c r="F29" i="31"/>
  <c r="N7" i="28"/>
  <c r="B21" i="83"/>
  <c r="F21" i="83"/>
  <c r="H21" i="83" s="1"/>
  <c r="G21" i="83"/>
  <c r="B21" i="81"/>
  <c r="H21" i="81"/>
  <c r="G21" i="81"/>
  <c r="I26" i="41"/>
  <c r="N6" i="41"/>
  <c r="N7" i="41" s="1"/>
  <c r="F21" i="82"/>
  <c r="H21" i="82" s="1"/>
  <c r="G21" i="82"/>
  <c r="B21" i="82"/>
  <c r="F29" i="24"/>
  <c r="B29" i="24"/>
  <c r="I22" i="65"/>
  <c r="N6" i="65"/>
  <c r="N7" i="65" s="1"/>
  <c r="F30" i="27"/>
  <c r="H30" i="27" s="1"/>
  <c r="B30" i="27"/>
  <c r="B100" i="25"/>
  <c r="E100" i="25"/>
  <c r="F100" i="25" s="1"/>
  <c r="F25" i="57"/>
  <c r="H25" i="57" s="1"/>
  <c r="B25" i="57"/>
  <c r="G25" i="57"/>
  <c r="N6" i="67"/>
  <c r="N7" i="67" s="1"/>
  <c r="I22" i="67"/>
  <c r="H20" i="90"/>
  <c r="I20" i="90" s="1"/>
  <c r="D101" i="33"/>
  <c r="B101" i="33" s="1"/>
  <c r="G100" i="33"/>
  <c r="I21" i="76"/>
  <c r="N6" i="76"/>
  <c r="N7" i="76" s="1"/>
  <c r="N6" i="98"/>
  <c r="N7" i="98" s="1"/>
  <c r="I18" i="98"/>
  <c r="B29" i="34"/>
  <c r="F29" i="34"/>
  <c r="B29" i="23"/>
  <c r="F29" i="23"/>
  <c r="G29" i="23" s="1"/>
  <c r="F24" i="63"/>
  <c r="G24" i="63" s="1"/>
  <c r="B24" i="63"/>
  <c r="I24" i="53"/>
  <c r="N6" i="53"/>
  <c r="N7" i="53" s="1"/>
  <c r="I26" i="42"/>
  <c r="N6" i="42"/>
  <c r="N7" i="42" s="1"/>
  <c r="I29" i="69"/>
  <c r="N6" i="69"/>
  <c r="N7" i="69" s="1"/>
  <c r="I21" i="77"/>
  <c r="N6" i="77"/>
  <c r="N7" i="77" s="1"/>
  <c r="F23" i="68"/>
  <c r="B23" i="68"/>
  <c r="I26" i="44"/>
  <c r="N6" i="44"/>
  <c r="N7" i="44" s="1"/>
  <c r="I21" i="79"/>
  <c r="N6" i="79"/>
  <c r="N7" i="79" s="1"/>
  <c r="N6" i="95"/>
  <c r="N7" i="95" s="1"/>
  <c r="I18" i="95"/>
  <c r="F25" i="58"/>
  <c r="H25" i="58" s="1"/>
  <c r="N6" i="28"/>
  <c r="I30" i="28"/>
  <c r="N6" i="83"/>
  <c r="N7" i="83" s="1"/>
  <c r="I20" i="83"/>
  <c r="H24" i="35"/>
  <c r="G24" i="35"/>
  <c r="E25" i="35"/>
  <c r="F25" i="35" s="1"/>
  <c r="B25" i="35"/>
  <c r="F27" i="41"/>
  <c r="B27" i="41"/>
  <c r="H27" i="41"/>
  <c r="I20" i="82"/>
  <c r="N6" i="82"/>
  <c r="N7" i="82" s="1"/>
  <c r="N6" i="24"/>
  <c r="N7" i="24" s="1"/>
  <c r="I28" i="24"/>
  <c r="F23" i="65"/>
  <c r="H23" i="65" s="1"/>
  <c r="B23" i="65"/>
  <c r="I18" i="99"/>
  <c r="I29" i="27"/>
  <c r="N6" i="27"/>
  <c r="N7" i="27" s="1"/>
  <c r="N6" i="3"/>
  <c r="N7" i="3" s="1"/>
  <c r="I27" i="3"/>
  <c r="N6" i="57"/>
  <c r="N7" i="57" s="1"/>
  <c r="I24" i="57"/>
  <c r="B23" i="67"/>
  <c r="F23" i="67"/>
  <c r="N7" i="29"/>
  <c r="B25" i="46"/>
  <c r="F25" i="46"/>
  <c r="H25" i="46" s="1"/>
  <c r="B24" i="60"/>
  <c r="F24" i="60"/>
  <c r="B28" i="20"/>
  <c r="H28" i="20"/>
  <c r="F28" i="20"/>
  <c r="G28" i="20" s="1"/>
  <c r="F25" i="56"/>
  <c r="B25" i="56"/>
  <c r="I24" i="72"/>
  <c r="N6" i="72"/>
  <c r="N7" i="72" s="1"/>
  <c r="F19" i="98"/>
  <c r="G19" i="98" s="1"/>
  <c r="B19" i="98"/>
  <c r="H19" i="98"/>
  <c r="N7" i="23"/>
  <c r="D22" i="81"/>
  <c r="E22" i="81"/>
  <c r="B21" i="85"/>
  <c r="H21" i="85"/>
  <c r="I21" i="85" s="1"/>
  <c r="G21" i="85"/>
  <c r="I25" i="45"/>
  <c r="N6" i="45"/>
  <c r="N7" i="45" s="1"/>
  <c r="B30" i="69"/>
  <c r="F30" i="69"/>
  <c r="G30" i="69"/>
  <c r="H30" i="69"/>
  <c r="I30" i="69" s="1"/>
  <c r="B22" i="77"/>
  <c r="H22" i="77"/>
  <c r="I22" i="77" s="1"/>
  <c r="I26" i="74"/>
  <c r="N6" i="74"/>
  <c r="N7" i="74" s="1"/>
  <c r="B22" i="79"/>
  <c r="F22" i="79"/>
  <c r="H22" i="79"/>
  <c r="I24" i="58"/>
  <c r="N6" i="58"/>
  <c r="N7" i="58" s="1"/>
  <c r="I28" i="31"/>
  <c r="N5" i="31"/>
  <c r="N7" i="31" s="1"/>
  <c r="I20" i="84"/>
  <c r="N6" i="84"/>
  <c r="N7" i="84" s="1"/>
  <c r="I23" i="35"/>
  <c r="D107" i="43"/>
  <c r="G106" i="43"/>
  <c r="I18" i="97"/>
  <c r="N6" i="97"/>
  <c r="N7" i="97" s="1"/>
  <c r="B27" i="73"/>
  <c r="F27" i="73"/>
  <c r="G27" i="73" s="1"/>
  <c r="O88" i="17"/>
  <c r="D102" i="13"/>
  <c r="G101" i="13"/>
  <c r="D21" i="13"/>
  <c r="H20" i="13"/>
  <c r="G20" i="13"/>
  <c r="B109" i="31"/>
  <c r="F109" i="31"/>
  <c r="D25" i="64"/>
  <c r="E25" i="64"/>
  <c r="F30" i="71"/>
  <c r="H30" i="71" s="1"/>
  <c r="B30" i="71"/>
  <c r="B19" i="26"/>
  <c r="B28" i="17"/>
  <c r="F28" i="17"/>
  <c r="H28" i="17"/>
  <c r="C37" i="17"/>
  <c r="F29" i="19"/>
  <c r="H29" i="19" s="1"/>
  <c r="B29" i="19"/>
  <c r="H22" i="75"/>
  <c r="N7" i="96"/>
  <c r="D28" i="43"/>
  <c r="E28" i="43"/>
  <c r="B21" i="91"/>
  <c r="F21" i="91"/>
  <c r="H21" i="91" s="1"/>
  <c r="I29" i="71"/>
  <c r="J100" i="13"/>
  <c r="B25" i="61"/>
  <c r="F25" i="61"/>
  <c r="I21" i="80"/>
  <c r="H19" i="33"/>
  <c r="I19" i="33" s="1"/>
  <c r="D20" i="33"/>
  <c r="E20" i="33" s="1"/>
  <c r="G21" i="86"/>
  <c r="I21" i="86" s="1"/>
  <c r="D22" i="86"/>
  <c r="E22" i="86"/>
  <c r="D26" i="55"/>
  <c r="E26" i="55"/>
  <c r="G30" i="70"/>
  <c r="I30" i="70" s="1"/>
  <c r="D31" i="70"/>
  <c r="E31" i="70"/>
  <c r="N7" i="54"/>
  <c r="I108" i="31"/>
  <c r="H108" i="31"/>
  <c r="M88" i="31" s="1"/>
  <c r="M89" i="31" s="1"/>
  <c r="H27" i="43"/>
  <c r="I27" i="43" s="1"/>
  <c r="G24" i="64"/>
  <c r="I24" i="64" s="1"/>
  <c r="F25" i="59"/>
  <c r="H25" i="59" s="1"/>
  <c r="B25" i="59"/>
  <c r="E19" i="26"/>
  <c r="F19" i="26" s="1"/>
  <c r="G25" i="55"/>
  <c r="I25" i="55" s="1"/>
  <c r="D22" i="80"/>
  <c r="E22" i="80"/>
  <c r="H112" i="70"/>
  <c r="I112" i="70"/>
  <c r="B113" i="70"/>
  <c r="F113" i="70"/>
  <c r="H104" i="60"/>
  <c r="I104" i="60"/>
  <c r="D111" i="17"/>
  <c r="E111" i="17"/>
  <c r="G110" i="17"/>
  <c r="B105" i="60"/>
  <c r="F105" i="60"/>
  <c r="J109" i="17"/>
  <c r="O88" i="60"/>
  <c r="O89" i="60" s="1"/>
  <c r="N89" i="87"/>
  <c r="O88" i="87"/>
  <c r="O89" i="87" s="1"/>
  <c r="I99" i="96"/>
  <c r="H99" i="96"/>
  <c r="H109" i="69"/>
  <c r="I109" i="69"/>
  <c r="I99" i="92"/>
  <c r="H99" i="92"/>
  <c r="B108" i="22"/>
  <c r="F108" i="22"/>
  <c r="I103" i="61"/>
  <c r="H103" i="61"/>
  <c r="D25" i="62"/>
  <c r="E25" i="62"/>
  <c r="B105" i="53"/>
  <c r="F105" i="53"/>
  <c r="M88" i="19"/>
  <c r="M89" i="19" s="1"/>
  <c r="B107" i="73"/>
  <c r="F107" i="73"/>
  <c r="H107" i="22"/>
  <c r="I107" i="22"/>
  <c r="N7" i="39"/>
  <c r="B105" i="58"/>
  <c r="F105" i="58"/>
  <c r="B100" i="92"/>
  <c r="F100" i="92"/>
  <c r="F109" i="24"/>
  <c r="B109" i="24"/>
  <c r="H109" i="27"/>
  <c r="I109" i="27"/>
  <c r="I100" i="83"/>
  <c r="H100" i="83"/>
  <c r="I107" i="18"/>
  <c r="H107" i="18"/>
  <c r="B101" i="100"/>
  <c r="F101" i="100"/>
  <c r="H100" i="99"/>
  <c r="I100" i="99"/>
  <c r="J102" i="66"/>
  <c r="N88" i="66"/>
  <c r="M88" i="63"/>
  <c r="M89" i="63" s="1"/>
  <c r="F100" i="88"/>
  <c r="B100" i="88"/>
  <c r="F106" i="62"/>
  <c r="B106" i="62"/>
  <c r="H102" i="65"/>
  <c r="I102" i="65"/>
  <c r="J107" i="19"/>
  <c r="N88" i="19"/>
  <c r="D109" i="19"/>
  <c r="G108" i="19"/>
  <c r="E109" i="19"/>
  <c r="D30" i="32"/>
  <c r="E30" i="32"/>
  <c r="F110" i="30"/>
  <c r="B110" i="30"/>
  <c r="B105" i="57"/>
  <c r="F105" i="57"/>
  <c r="J102" i="78"/>
  <c r="H108" i="35"/>
  <c r="M88" i="35" s="1"/>
  <c r="M89" i="35" s="1"/>
  <c r="I108" i="35"/>
  <c r="N7" i="21"/>
  <c r="F101" i="99"/>
  <c r="B101" i="99"/>
  <c r="I100" i="80"/>
  <c r="H100" i="80"/>
  <c r="J109" i="23"/>
  <c r="H105" i="62"/>
  <c r="I105" i="62"/>
  <c r="D104" i="66"/>
  <c r="G103" i="66"/>
  <c r="E104" i="66"/>
  <c r="G105" i="67"/>
  <c r="D106" i="67"/>
  <c r="E106" i="67"/>
  <c r="E20" i="100"/>
  <c r="D20" i="100"/>
  <c r="D29" i="22"/>
  <c r="E29" i="22"/>
  <c r="D26" i="54"/>
  <c r="E26" i="54"/>
  <c r="H110" i="28"/>
  <c r="I110" i="28"/>
  <c r="H19" i="100"/>
  <c r="F104" i="59"/>
  <c r="B104" i="59"/>
  <c r="D113" i="29"/>
  <c r="E113" i="29"/>
  <c r="G112" i="29"/>
  <c r="N7" i="78"/>
  <c r="G28" i="22"/>
  <c r="I28" i="22" s="1"/>
  <c r="D109" i="34"/>
  <c r="G108" i="34"/>
  <c r="E109" i="34"/>
  <c r="F100" i="98"/>
  <c r="B100" i="98"/>
  <c r="B111" i="28"/>
  <c r="F111" i="28"/>
  <c r="G22" i="78"/>
  <c r="I22" i="78" s="1"/>
  <c r="I109" i="30"/>
  <c r="H109" i="30"/>
  <c r="I102" i="85"/>
  <c r="H102" i="85"/>
  <c r="H100" i="81"/>
  <c r="I100" i="81"/>
  <c r="D29" i="21"/>
  <c r="E29" i="21"/>
  <c r="I107" i="3"/>
  <c r="H107" i="3"/>
  <c r="H104" i="57"/>
  <c r="I104" i="57"/>
  <c r="F100" i="84"/>
  <c r="B100" i="84"/>
  <c r="F104" i="75"/>
  <c r="B104" i="75"/>
  <c r="F107" i="41"/>
  <c r="B107" i="41"/>
  <c r="H106" i="39"/>
  <c r="I106" i="39"/>
  <c r="F101" i="80"/>
  <c r="B101" i="80"/>
  <c r="J104" i="67"/>
  <c r="I22" i="75"/>
  <c r="J111" i="29"/>
  <c r="I104" i="53"/>
  <c r="H104" i="53"/>
  <c r="I106" i="73"/>
  <c r="H106" i="73"/>
  <c r="D31" i="30"/>
  <c r="E31" i="30"/>
  <c r="H108" i="24"/>
  <c r="I108" i="24"/>
  <c r="E21" i="89"/>
  <c r="D21" i="89"/>
  <c r="H103" i="59"/>
  <c r="I103" i="59"/>
  <c r="F100" i="96"/>
  <c r="B100" i="96"/>
  <c r="H25" i="54"/>
  <c r="F105" i="56"/>
  <c r="B105" i="56"/>
  <c r="H99" i="98"/>
  <c r="I99" i="98"/>
  <c r="H29" i="32"/>
  <c r="G20" i="89"/>
  <c r="H99" i="89"/>
  <c r="I99" i="89"/>
  <c r="F102" i="79"/>
  <c r="B102" i="79"/>
  <c r="J107" i="35"/>
  <c r="B103" i="85"/>
  <c r="F103" i="85"/>
  <c r="F101" i="81"/>
  <c r="B101" i="81"/>
  <c r="F108" i="3"/>
  <c r="B108" i="3"/>
  <c r="E29" i="18"/>
  <c r="D29" i="18"/>
  <c r="H99" i="84"/>
  <c r="I99" i="84"/>
  <c r="H103" i="75"/>
  <c r="I103" i="75"/>
  <c r="B100" i="91"/>
  <c r="F100" i="91"/>
  <c r="I106" i="41"/>
  <c r="H106" i="41"/>
  <c r="F107" i="39"/>
  <c r="B107" i="39"/>
  <c r="I107" i="21"/>
  <c r="H107" i="21"/>
  <c r="G104" i="63"/>
  <c r="D105" i="63"/>
  <c r="E105" i="63"/>
  <c r="G21" i="88"/>
  <c r="I21" i="88" s="1"/>
  <c r="F103" i="65"/>
  <c r="B103" i="65"/>
  <c r="H104" i="56"/>
  <c r="I104" i="56"/>
  <c r="F103" i="82"/>
  <c r="B103" i="82"/>
  <c r="B109" i="32"/>
  <c r="F109" i="32"/>
  <c r="D20" i="96"/>
  <c r="E20" i="96"/>
  <c r="D23" i="78"/>
  <c r="E23" i="78"/>
  <c r="F100" i="89"/>
  <c r="B100" i="89"/>
  <c r="I101" i="79"/>
  <c r="H101" i="79"/>
  <c r="F20" i="25"/>
  <c r="H20" i="25" s="1"/>
  <c r="B20" i="25"/>
  <c r="I99" i="91"/>
  <c r="H99" i="91"/>
  <c r="N7" i="75"/>
  <c r="B108" i="21"/>
  <c r="F108" i="21"/>
  <c r="H104" i="72"/>
  <c r="I104" i="72"/>
  <c r="F102" i="76"/>
  <c r="B102" i="76"/>
  <c r="F105" i="54"/>
  <c r="B105" i="54"/>
  <c r="D28" i="39"/>
  <c r="E28" i="39"/>
  <c r="E23" i="75"/>
  <c r="D23" i="75"/>
  <c r="H104" i="34"/>
  <c r="I104" i="34"/>
  <c r="H102" i="82"/>
  <c r="I102" i="82"/>
  <c r="H108" i="32"/>
  <c r="I108" i="32"/>
  <c r="B107" i="74"/>
  <c r="F107" i="74"/>
  <c r="I99" i="86"/>
  <c r="H99" i="86"/>
  <c r="F104" i="64"/>
  <c r="B104" i="64"/>
  <c r="B103" i="68"/>
  <c r="F103" i="68"/>
  <c r="B105" i="72"/>
  <c r="F105" i="72"/>
  <c r="H101" i="76"/>
  <c r="I101" i="76"/>
  <c r="I104" i="54"/>
  <c r="H104" i="54"/>
  <c r="G27" i="39"/>
  <c r="B109" i="71"/>
  <c r="F109" i="71"/>
  <c r="F58" i="1"/>
  <c r="F61" i="1" s="1"/>
  <c r="F63" i="1" s="1"/>
  <c r="F65" i="1" s="1"/>
  <c r="F71" i="1"/>
  <c r="F72" i="1" s="1"/>
  <c r="G30" i="30"/>
  <c r="I30" i="30" s="1"/>
  <c r="I106" i="74"/>
  <c r="H106" i="74"/>
  <c r="I99" i="90"/>
  <c r="H99" i="90"/>
  <c r="F106" i="45"/>
  <c r="B106" i="45"/>
  <c r="B100" i="86"/>
  <c r="F100" i="86"/>
  <c r="F105" i="46"/>
  <c r="B105" i="46"/>
  <c r="D31" i="29"/>
  <c r="E31" i="29"/>
  <c r="I103" i="64"/>
  <c r="H103" i="64"/>
  <c r="F107" i="55"/>
  <c r="B107" i="55"/>
  <c r="I102" i="68"/>
  <c r="H102" i="68"/>
  <c r="B102" i="77"/>
  <c r="F102" i="77"/>
  <c r="D21" i="87"/>
  <c r="E21" i="87"/>
  <c r="H110" i="20"/>
  <c r="I110" i="20"/>
  <c r="H100" i="100"/>
  <c r="I100" i="100"/>
  <c r="E22" i="88"/>
  <c r="D22" i="88"/>
  <c r="N7" i="32"/>
  <c r="D21" i="90"/>
  <c r="E21" i="90"/>
  <c r="H108" i="71"/>
  <c r="I108" i="71"/>
  <c r="D111" i="23"/>
  <c r="E111" i="23"/>
  <c r="G110" i="23"/>
  <c r="F104" i="61"/>
  <c r="B104" i="61"/>
  <c r="I24" i="62"/>
  <c r="H19" i="96"/>
  <c r="F110" i="69"/>
  <c r="B110" i="69"/>
  <c r="H104" i="58"/>
  <c r="I104" i="58"/>
  <c r="B100" i="90"/>
  <c r="F100" i="90"/>
  <c r="N7" i="30"/>
  <c r="F110" i="27"/>
  <c r="B110" i="27"/>
  <c r="I28" i="21"/>
  <c r="N7" i="18"/>
  <c r="H105" i="45"/>
  <c r="I105" i="45"/>
  <c r="H104" i="46"/>
  <c r="I104" i="46"/>
  <c r="G30" i="29"/>
  <c r="G109" i="35"/>
  <c r="E110" i="35"/>
  <c r="F110" i="35" s="1"/>
  <c r="B110" i="35"/>
  <c r="I106" i="55"/>
  <c r="H106" i="55"/>
  <c r="I101" i="77"/>
  <c r="H101" i="77"/>
  <c r="B111" i="20"/>
  <c r="F111" i="20"/>
  <c r="F101" i="83"/>
  <c r="B101" i="83"/>
  <c r="B108" i="18"/>
  <c r="F108" i="18"/>
  <c r="M88" i="66"/>
  <c r="M89" i="66" s="1"/>
  <c r="J103" i="63"/>
  <c r="N88" i="63"/>
  <c r="H99" i="88"/>
  <c r="I99" i="88"/>
  <c r="D104" i="78"/>
  <c r="G103" i="78"/>
  <c r="E104" i="78"/>
  <c r="N7" i="87"/>
  <c r="N7" i="22"/>
  <c r="H27" i="39"/>
  <c r="D102" i="95" l="1"/>
  <c r="G101" i="95"/>
  <c r="E102" i="95"/>
  <c r="H27" i="73"/>
  <c r="I27" i="73" s="1"/>
  <c r="I25" i="57"/>
  <c r="H26" i="45"/>
  <c r="G23" i="66"/>
  <c r="I23" i="66" s="1"/>
  <c r="E101" i="87"/>
  <c r="G100" i="87"/>
  <c r="D101" i="87"/>
  <c r="I28" i="20"/>
  <c r="I27" i="74"/>
  <c r="J99" i="25"/>
  <c r="H27" i="74"/>
  <c r="I25" i="46"/>
  <c r="I27" i="42"/>
  <c r="I19" i="98"/>
  <c r="D26" i="56"/>
  <c r="E26" i="56"/>
  <c r="E25" i="60"/>
  <c r="D25" i="60"/>
  <c r="D24" i="67"/>
  <c r="E24" i="67"/>
  <c r="B26" i="35"/>
  <c r="E26" i="35"/>
  <c r="F26" i="35" s="1"/>
  <c r="H25" i="35"/>
  <c r="G25" i="35"/>
  <c r="H23" i="68"/>
  <c r="I23" i="68" s="1"/>
  <c r="D24" i="68"/>
  <c r="E24" i="68"/>
  <c r="H29" i="34"/>
  <c r="D30" i="34"/>
  <c r="E30" i="34"/>
  <c r="G100" i="25"/>
  <c r="D101" i="25"/>
  <c r="E100" i="26"/>
  <c r="F100" i="26" s="1"/>
  <c r="B100" i="26"/>
  <c r="D32" i="28"/>
  <c r="E32" i="28"/>
  <c r="H21" i="84"/>
  <c r="D22" i="84"/>
  <c r="E22" i="84"/>
  <c r="I26" i="45"/>
  <c r="F23" i="77"/>
  <c r="H23" i="77" s="1"/>
  <c r="B23" i="77"/>
  <c r="H22" i="76"/>
  <c r="D23" i="76"/>
  <c r="E23" i="76"/>
  <c r="F26" i="72"/>
  <c r="B26" i="72"/>
  <c r="H106" i="42"/>
  <c r="M88" i="42" s="1"/>
  <c r="M89" i="42" s="1"/>
  <c r="I106" i="42"/>
  <c r="E23" i="79"/>
  <c r="D23" i="79"/>
  <c r="G25" i="56"/>
  <c r="H29" i="23"/>
  <c r="I29" i="23" s="1"/>
  <c r="D30" i="23"/>
  <c r="E30" i="23"/>
  <c r="F30" i="23" s="1"/>
  <c r="E31" i="27"/>
  <c r="D31" i="27"/>
  <c r="G29" i="24"/>
  <c r="D30" i="24"/>
  <c r="E30" i="24"/>
  <c r="I21" i="82"/>
  <c r="I21" i="83"/>
  <c r="H29" i="31"/>
  <c r="I29" i="31" s="1"/>
  <c r="D30" i="31"/>
  <c r="E30" i="31"/>
  <c r="G25" i="58"/>
  <c r="I25" i="58" s="1"/>
  <c r="H28" i="3"/>
  <c r="I28" i="3" s="1"/>
  <c r="H19" i="99"/>
  <c r="I19" i="99" s="1"/>
  <c r="D20" i="99"/>
  <c r="E20" i="99"/>
  <c r="G19" i="97"/>
  <c r="I19" i="97" s="1"/>
  <c r="D20" i="97"/>
  <c r="E20" i="97"/>
  <c r="F20" i="97" s="1"/>
  <c r="I27" i="44"/>
  <c r="G22" i="76"/>
  <c r="I25" i="72"/>
  <c r="G21" i="91"/>
  <c r="I21" i="91" s="1"/>
  <c r="E28" i="73"/>
  <c r="D28" i="73"/>
  <c r="H106" i="43"/>
  <c r="M88" i="43" s="1"/>
  <c r="M89" i="43" s="1"/>
  <c r="I106" i="43"/>
  <c r="G22" i="79"/>
  <c r="I22" i="79" s="1"/>
  <c r="D31" i="69"/>
  <c r="E31" i="69"/>
  <c r="B22" i="81"/>
  <c r="F22" i="81"/>
  <c r="G22" i="81"/>
  <c r="D29" i="20"/>
  <c r="E29" i="20"/>
  <c r="H24" i="60"/>
  <c r="G23" i="67"/>
  <c r="G27" i="41"/>
  <c r="I27" i="41" s="1"/>
  <c r="D28" i="41"/>
  <c r="E28" i="41"/>
  <c r="I24" i="35"/>
  <c r="G23" i="68"/>
  <c r="E101" i="33"/>
  <c r="F101" i="33" s="1"/>
  <c r="G30" i="27"/>
  <c r="I30" i="27" s="1"/>
  <c r="H29" i="24"/>
  <c r="I29" i="24" s="1"/>
  <c r="D22" i="82"/>
  <c r="E22" i="82"/>
  <c r="I21" i="81"/>
  <c r="D22" i="83"/>
  <c r="E22" i="83"/>
  <c r="G29" i="31"/>
  <c r="D20" i="95"/>
  <c r="E20" i="95"/>
  <c r="B101" i="97"/>
  <c r="F101" i="97"/>
  <c r="H31" i="28"/>
  <c r="G21" i="84"/>
  <c r="E26" i="53"/>
  <c r="D26" i="53"/>
  <c r="E24" i="66"/>
  <c r="D24" i="66"/>
  <c r="F22" i="85"/>
  <c r="B22" i="85"/>
  <c r="G22" i="85"/>
  <c r="H22" i="85"/>
  <c r="I22" i="85" s="1"/>
  <c r="I106" i="44"/>
  <c r="H106" i="44"/>
  <c r="M88" i="44" s="1"/>
  <c r="M89" i="44" s="1"/>
  <c r="F107" i="43"/>
  <c r="B107" i="43"/>
  <c r="D20" i="98"/>
  <c r="E20" i="98"/>
  <c r="F20" i="98" s="1"/>
  <c r="H25" i="56"/>
  <c r="G24" i="60"/>
  <c r="G25" i="46"/>
  <c r="D26" i="46"/>
  <c r="E26" i="46"/>
  <c r="H23" i="67"/>
  <c r="I23" i="67" s="1"/>
  <c r="G23" i="65"/>
  <c r="I23" i="65" s="1"/>
  <c r="E24" i="65"/>
  <c r="D24" i="65"/>
  <c r="D26" i="58"/>
  <c r="E26" i="58"/>
  <c r="H24" i="63"/>
  <c r="I24" i="63" s="1"/>
  <c r="D25" i="63"/>
  <c r="E25" i="63"/>
  <c r="G29" i="34"/>
  <c r="H100" i="33"/>
  <c r="I100" i="33"/>
  <c r="D26" i="57"/>
  <c r="E26" i="57"/>
  <c r="I99" i="26"/>
  <c r="H99" i="26"/>
  <c r="M99" i="26" s="1"/>
  <c r="G20" i="92"/>
  <c r="I20" i="92" s="1"/>
  <c r="D21" i="92"/>
  <c r="E21" i="92"/>
  <c r="D29" i="3"/>
  <c r="E29" i="3"/>
  <c r="I100" i="97"/>
  <c r="H100" i="97"/>
  <c r="G31" i="28"/>
  <c r="D28" i="74"/>
  <c r="E28" i="74"/>
  <c r="D28" i="44"/>
  <c r="E28" i="44"/>
  <c r="D27" i="45"/>
  <c r="E27" i="45"/>
  <c r="G27" i="42"/>
  <c r="D28" i="42"/>
  <c r="E28" i="42"/>
  <c r="F28" i="42" s="1"/>
  <c r="I25" i="53"/>
  <c r="F107" i="42"/>
  <c r="B107" i="42"/>
  <c r="B107" i="44"/>
  <c r="F107" i="44"/>
  <c r="F22" i="80"/>
  <c r="B22" i="80"/>
  <c r="D20" i="26"/>
  <c r="E20" i="26"/>
  <c r="J108" i="31"/>
  <c r="N88" i="31"/>
  <c r="G25" i="61"/>
  <c r="E26" i="61"/>
  <c r="D26" i="61"/>
  <c r="E21" i="13"/>
  <c r="F21" i="13" s="1"/>
  <c r="B21" i="13"/>
  <c r="G21" i="13"/>
  <c r="F31" i="70"/>
  <c r="H31" i="70" s="1"/>
  <c r="B31" i="70"/>
  <c r="F26" i="55"/>
  <c r="G26" i="55"/>
  <c r="H26" i="55"/>
  <c r="B26" i="55"/>
  <c r="F22" i="86"/>
  <c r="H22" i="86" s="1"/>
  <c r="B22" i="86"/>
  <c r="B20" i="33"/>
  <c r="F20" i="33"/>
  <c r="H20" i="33"/>
  <c r="D29" i="17"/>
  <c r="C38" i="17" s="1"/>
  <c r="E29" i="17"/>
  <c r="G19" i="26"/>
  <c r="G109" i="31"/>
  <c r="E110" i="31"/>
  <c r="D110" i="31"/>
  <c r="H101" i="13"/>
  <c r="I101" i="13"/>
  <c r="D26" i="59"/>
  <c r="E26" i="59"/>
  <c r="B28" i="43"/>
  <c r="F28" i="43"/>
  <c r="G28" i="43" s="1"/>
  <c r="E30" i="19"/>
  <c r="D30" i="19"/>
  <c r="H19" i="26"/>
  <c r="I19" i="26" s="1"/>
  <c r="G30" i="71"/>
  <c r="I30" i="71" s="1"/>
  <c r="D31" i="71"/>
  <c r="E31" i="71"/>
  <c r="E102" i="13"/>
  <c r="F102" i="13" s="1"/>
  <c r="B102" i="13"/>
  <c r="G25" i="59"/>
  <c r="I25" i="59" s="1"/>
  <c r="H25" i="61"/>
  <c r="I25" i="61" s="1"/>
  <c r="E22" i="91"/>
  <c r="D22" i="91"/>
  <c r="G29" i="19"/>
  <c r="I29" i="19" s="1"/>
  <c r="G28" i="17"/>
  <c r="I28" i="17" s="1"/>
  <c r="F25" i="64"/>
  <c r="G25" i="64" s="1"/>
  <c r="B25" i="64"/>
  <c r="I20" i="13"/>
  <c r="H110" i="17"/>
  <c r="I110" i="17"/>
  <c r="J110" i="17" s="1"/>
  <c r="J104" i="60"/>
  <c r="F111" i="17"/>
  <c r="B111" i="17"/>
  <c r="G113" i="70"/>
  <c r="E114" i="70"/>
  <c r="D114" i="70"/>
  <c r="J112" i="70"/>
  <c r="G105" i="60"/>
  <c r="E106" i="60"/>
  <c r="D106" i="60"/>
  <c r="I110" i="23"/>
  <c r="H110" i="23"/>
  <c r="M88" i="77"/>
  <c r="M89" i="77" s="1"/>
  <c r="D111" i="27"/>
  <c r="G110" i="27"/>
  <c r="E111" i="27"/>
  <c r="D103" i="77"/>
  <c r="G102" i="77"/>
  <c r="E103" i="77"/>
  <c r="G101" i="83"/>
  <c r="D102" i="83"/>
  <c r="E102" i="83"/>
  <c r="G110" i="35"/>
  <c r="B111" i="35"/>
  <c r="E111" i="35"/>
  <c r="F111" i="35" s="1"/>
  <c r="I19" i="96"/>
  <c r="D112" i="20"/>
  <c r="G111" i="20"/>
  <c r="E112" i="20"/>
  <c r="H109" i="35"/>
  <c r="I109" i="35"/>
  <c r="G100" i="90"/>
  <c r="D101" i="90"/>
  <c r="E101" i="90"/>
  <c r="F22" i="88"/>
  <c r="G22" i="88" s="1"/>
  <c r="B22" i="88"/>
  <c r="M88" i="68"/>
  <c r="M89" i="68" s="1"/>
  <c r="J101" i="76"/>
  <c r="N88" i="76"/>
  <c r="D109" i="21"/>
  <c r="G108" i="21"/>
  <c r="E109" i="21"/>
  <c r="J99" i="91"/>
  <c r="N88" i="91"/>
  <c r="J106" i="41"/>
  <c r="N88" i="41"/>
  <c r="D101" i="84"/>
  <c r="G100" i="84"/>
  <c r="E101" i="84"/>
  <c r="D111" i="69"/>
  <c r="G110" i="69"/>
  <c r="E111" i="69"/>
  <c r="J110" i="20"/>
  <c r="J102" i="68"/>
  <c r="N88" i="68"/>
  <c r="J104" i="54"/>
  <c r="N88" i="54"/>
  <c r="M88" i="76"/>
  <c r="M89" i="76" s="1"/>
  <c r="L99" i="86"/>
  <c r="M99" i="86" s="1"/>
  <c r="F23" i="75"/>
  <c r="H23" i="75" s="1"/>
  <c r="B23" i="75"/>
  <c r="D106" i="54"/>
  <c r="G105" i="54"/>
  <c r="E106" i="54"/>
  <c r="J107" i="21"/>
  <c r="N88" i="21"/>
  <c r="D101" i="91"/>
  <c r="G100" i="91"/>
  <c r="E101" i="91"/>
  <c r="N88" i="84"/>
  <c r="J99" i="84"/>
  <c r="D102" i="81"/>
  <c r="G101" i="81"/>
  <c r="E102" i="81"/>
  <c r="J99" i="89"/>
  <c r="N88" i="89"/>
  <c r="J108" i="24"/>
  <c r="N88" i="24"/>
  <c r="M88" i="53"/>
  <c r="M89" i="53" s="1"/>
  <c r="D102" i="80"/>
  <c r="G101" i="80"/>
  <c r="E102" i="80"/>
  <c r="J104" i="57"/>
  <c r="N88" i="57"/>
  <c r="I19" i="100"/>
  <c r="F109" i="19"/>
  <c r="B109" i="19"/>
  <c r="M88" i="22"/>
  <c r="M89" i="22" s="1"/>
  <c r="F25" i="62"/>
  <c r="G25" i="62" s="1"/>
  <c r="B25" i="62"/>
  <c r="I27" i="39"/>
  <c r="J100" i="100"/>
  <c r="D106" i="46"/>
  <c r="G105" i="46"/>
  <c r="E106" i="46"/>
  <c r="M88" i="74"/>
  <c r="M89" i="74" s="1"/>
  <c r="G105" i="72"/>
  <c r="D106" i="72"/>
  <c r="E106" i="72"/>
  <c r="J99" i="86"/>
  <c r="N99" i="86"/>
  <c r="O99" i="86" s="1"/>
  <c r="G107" i="74"/>
  <c r="D108" i="74"/>
  <c r="E108" i="74"/>
  <c r="J102" i="82"/>
  <c r="F28" i="39"/>
  <c r="H28" i="39" s="1"/>
  <c r="B28" i="39"/>
  <c r="D21" i="25"/>
  <c r="E21" i="25" s="1"/>
  <c r="M88" i="84"/>
  <c r="M89" i="84" s="1"/>
  <c r="D109" i="3"/>
  <c r="G108" i="3"/>
  <c r="E109" i="3"/>
  <c r="G103" i="85"/>
  <c r="D104" i="85"/>
  <c r="E104" i="85"/>
  <c r="M88" i="89"/>
  <c r="M89" i="89" s="1"/>
  <c r="M88" i="24"/>
  <c r="M89" i="24" s="1"/>
  <c r="M88" i="73"/>
  <c r="M89" i="73" s="1"/>
  <c r="J104" i="53"/>
  <c r="N88" i="53"/>
  <c r="M88" i="57"/>
  <c r="M89" i="57" s="1"/>
  <c r="B29" i="21"/>
  <c r="F29" i="21"/>
  <c r="G29" i="21" s="1"/>
  <c r="H108" i="34"/>
  <c r="M88" i="34" s="1"/>
  <c r="M89" i="34" s="1"/>
  <c r="I108" i="34"/>
  <c r="H112" i="29"/>
  <c r="I112" i="29"/>
  <c r="F29" i="22"/>
  <c r="H29" i="22" s="1"/>
  <c r="B29" i="22"/>
  <c r="F20" i="100"/>
  <c r="G20" i="100" s="1"/>
  <c r="B20" i="100"/>
  <c r="M88" i="80"/>
  <c r="M89" i="80" s="1"/>
  <c r="N89" i="19"/>
  <c r="O88" i="19"/>
  <c r="O89" i="19" s="1"/>
  <c r="J102" i="65"/>
  <c r="N88" i="65"/>
  <c r="E102" i="100"/>
  <c r="D102" i="100"/>
  <c r="G101" i="100"/>
  <c r="J109" i="27"/>
  <c r="N88" i="27"/>
  <c r="E101" i="92"/>
  <c r="D101" i="92"/>
  <c r="G100" i="92"/>
  <c r="D108" i="73"/>
  <c r="G107" i="73"/>
  <c r="E108" i="73"/>
  <c r="J104" i="46"/>
  <c r="N88" i="46"/>
  <c r="J108" i="71"/>
  <c r="N88" i="71"/>
  <c r="G107" i="55"/>
  <c r="E108" i="55"/>
  <c r="D108" i="55"/>
  <c r="D105" i="64"/>
  <c r="G104" i="64"/>
  <c r="E105" i="64"/>
  <c r="M88" i="79"/>
  <c r="M89" i="79" s="1"/>
  <c r="B105" i="63"/>
  <c r="F105" i="63"/>
  <c r="I29" i="32"/>
  <c r="D101" i="96"/>
  <c r="G100" i="96"/>
  <c r="E101" i="96"/>
  <c r="B21" i="89"/>
  <c r="F21" i="89"/>
  <c r="H21" i="89" s="1"/>
  <c r="N88" i="73"/>
  <c r="J106" i="73"/>
  <c r="J106" i="39"/>
  <c r="N88" i="39"/>
  <c r="D105" i="75"/>
  <c r="G104" i="75"/>
  <c r="E105" i="75"/>
  <c r="M88" i="3"/>
  <c r="J100" i="81"/>
  <c r="N88" i="81"/>
  <c r="F109" i="34"/>
  <c r="B109" i="34"/>
  <c r="I103" i="66"/>
  <c r="H103" i="66"/>
  <c r="J100" i="80"/>
  <c r="N88" i="80"/>
  <c r="M88" i="65"/>
  <c r="M89" i="65" s="1"/>
  <c r="G100" i="88"/>
  <c r="D101" i="88"/>
  <c r="E101" i="88"/>
  <c r="M88" i="27"/>
  <c r="M89" i="27" s="1"/>
  <c r="M88" i="61"/>
  <c r="M89" i="61" s="1"/>
  <c r="B104" i="78"/>
  <c r="F104" i="78"/>
  <c r="N89" i="63"/>
  <c r="O88" i="63"/>
  <c r="O89" i="63" s="1"/>
  <c r="D109" i="18"/>
  <c r="G108" i="18"/>
  <c r="E109" i="18"/>
  <c r="J104" i="58"/>
  <c r="N88" i="58"/>
  <c r="D105" i="61"/>
  <c r="G104" i="61"/>
  <c r="E105" i="61"/>
  <c r="D101" i="86"/>
  <c r="G100" i="86"/>
  <c r="E101" i="86"/>
  <c r="J106" i="74"/>
  <c r="N88" i="74"/>
  <c r="I103" i="78"/>
  <c r="H103" i="78"/>
  <c r="M88" i="46"/>
  <c r="M89" i="46" s="1"/>
  <c r="M88" i="58"/>
  <c r="M89" i="58" s="1"/>
  <c r="M88" i="71"/>
  <c r="M89" i="71" s="1"/>
  <c r="M88" i="64"/>
  <c r="M89" i="64" s="1"/>
  <c r="M88" i="90"/>
  <c r="M89" i="90" s="1"/>
  <c r="D110" i="71"/>
  <c r="G109" i="71"/>
  <c r="E110" i="71"/>
  <c r="D104" i="68"/>
  <c r="G103" i="68"/>
  <c r="E104" i="68"/>
  <c r="J104" i="34"/>
  <c r="N104" i="34"/>
  <c r="O104" i="34" s="1"/>
  <c r="G102" i="76"/>
  <c r="D103" i="76"/>
  <c r="E103" i="76"/>
  <c r="J101" i="79"/>
  <c r="N88" i="79"/>
  <c r="I104" i="63"/>
  <c r="H104" i="63"/>
  <c r="J103" i="75"/>
  <c r="J99" i="98"/>
  <c r="F31" i="30"/>
  <c r="G31" i="30" s="1"/>
  <c r="B31" i="30"/>
  <c r="M88" i="39"/>
  <c r="M89" i="39" s="1"/>
  <c r="J107" i="3"/>
  <c r="N88" i="3"/>
  <c r="M88" i="81"/>
  <c r="M89" i="81" s="1"/>
  <c r="M88" i="30"/>
  <c r="M89" i="30" s="1"/>
  <c r="B113" i="29"/>
  <c r="F113" i="29"/>
  <c r="J110" i="28"/>
  <c r="F104" i="66"/>
  <c r="B104" i="66"/>
  <c r="N89" i="66"/>
  <c r="O88" i="66"/>
  <c r="O89" i="66" s="1"/>
  <c r="M88" i="18"/>
  <c r="M89" i="18" s="1"/>
  <c r="G105" i="58"/>
  <c r="D106" i="58"/>
  <c r="E106" i="58"/>
  <c r="D106" i="53"/>
  <c r="G105" i="53"/>
  <c r="E106" i="53"/>
  <c r="J103" i="61"/>
  <c r="N88" i="61"/>
  <c r="J99" i="96"/>
  <c r="J105" i="45"/>
  <c r="N88" i="45"/>
  <c r="F21" i="87"/>
  <c r="H21" i="87" s="1"/>
  <c r="B21" i="87"/>
  <c r="J103" i="64"/>
  <c r="N88" i="64"/>
  <c r="J99" i="90"/>
  <c r="N88" i="90"/>
  <c r="L104" i="34"/>
  <c r="M104" i="34" s="1"/>
  <c r="F23" i="78"/>
  <c r="H23" i="78" s="1"/>
  <c r="B23" i="78"/>
  <c r="G103" i="82"/>
  <c r="E104" i="82"/>
  <c r="D104" i="82"/>
  <c r="G103" i="65"/>
  <c r="D104" i="65"/>
  <c r="E104" i="65"/>
  <c r="F29" i="18"/>
  <c r="G29" i="18" s="1"/>
  <c r="B29" i="18"/>
  <c r="N88" i="59"/>
  <c r="J103" i="59"/>
  <c r="J109" i="30"/>
  <c r="N88" i="30"/>
  <c r="D102" i="99"/>
  <c r="G101" i="99"/>
  <c r="E102" i="99"/>
  <c r="J108" i="35"/>
  <c r="N88" i="35"/>
  <c r="D106" i="57"/>
  <c r="G105" i="57"/>
  <c r="E106" i="57"/>
  <c r="G106" i="62"/>
  <c r="D107" i="62"/>
  <c r="E107" i="62"/>
  <c r="J107" i="18"/>
  <c r="N88" i="18"/>
  <c r="D109" i="22"/>
  <c r="G108" i="22"/>
  <c r="E109" i="22"/>
  <c r="J99" i="88"/>
  <c r="N88" i="88"/>
  <c r="M88" i="45"/>
  <c r="M89" i="45" s="1"/>
  <c r="B21" i="90"/>
  <c r="F21" i="90"/>
  <c r="D107" i="45"/>
  <c r="G106" i="45"/>
  <c r="E107" i="45"/>
  <c r="I30" i="29"/>
  <c r="J104" i="72"/>
  <c r="N88" i="72"/>
  <c r="D101" i="89"/>
  <c r="G100" i="89"/>
  <c r="E101" i="89"/>
  <c r="J104" i="56"/>
  <c r="N88" i="56"/>
  <c r="D108" i="39"/>
  <c r="G107" i="39"/>
  <c r="E108" i="39"/>
  <c r="G102" i="79"/>
  <c r="D103" i="79"/>
  <c r="E103" i="79"/>
  <c r="I25" i="54"/>
  <c r="M88" i="59"/>
  <c r="M89" i="59" s="1"/>
  <c r="J102" i="85"/>
  <c r="D101" i="98"/>
  <c r="G100" i="98"/>
  <c r="E101" i="98"/>
  <c r="D105" i="59"/>
  <c r="G104" i="59"/>
  <c r="E105" i="59"/>
  <c r="F106" i="67"/>
  <c r="B106" i="67"/>
  <c r="G110" i="30"/>
  <c r="D111" i="30"/>
  <c r="E111" i="30"/>
  <c r="H30" i="32"/>
  <c r="B30" i="32"/>
  <c r="F30" i="32"/>
  <c r="G30" i="32"/>
  <c r="M88" i="83"/>
  <c r="M89" i="83" s="1"/>
  <c r="G109" i="24"/>
  <c r="D110" i="24"/>
  <c r="E110" i="24"/>
  <c r="J106" i="55"/>
  <c r="M88" i="88"/>
  <c r="M89" i="88" s="1"/>
  <c r="J108" i="32"/>
  <c r="N88" i="32"/>
  <c r="M88" i="72"/>
  <c r="M89" i="72" s="1"/>
  <c r="M88" i="91"/>
  <c r="M89" i="91" s="1"/>
  <c r="F20" i="96"/>
  <c r="G20" i="96" s="1"/>
  <c r="B20" i="96"/>
  <c r="M88" i="56"/>
  <c r="M89" i="56" s="1"/>
  <c r="M88" i="41"/>
  <c r="M89" i="41" s="1"/>
  <c r="D106" i="56"/>
  <c r="G105" i="56"/>
  <c r="E106" i="56"/>
  <c r="D108" i="41"/>
  <c r="G107" i="41"/>
  <c r="E108" i="41"/>
  <c r="I105" i="67"/>
  <c r="H105" i="67"/>
  <c r="J105" i="62"/>
  <c r="I20" i="89"/>
  <c r="J100" i="83"/>
  <c r="N88" i="83"/>
  <c r="M88" i="92"/>
  <c r="M89" i="92" s="1"/>
  <c r="N88" i="69"/>
  <c r="J109" i="69"/>
  <c r="J101" i="77"/>
  <c r="N88" i="77"/>
  <c r="B111" i="23"/>
  <c r="F111" i="23"/>
  <c r="F66" i="1"/>
  <c r="F67" i="1" s="1"/>
  <c r="F52" i="1" s="1"/>
  <c r="F53" i="1" s="1"/>
  <c r="F55" i="1" s="1"/>
  <c r="F74" i="1" s="1"/>
  <c r="F75" i="1" s="1"/>
  <c r="F77" i="1" s="1"/>
  <c r="B31" i="29"/>
  <c r="F31" i="29"/>
  <c r="G31" i="29"/>
  <c r="M88" i="54"/>
  <c r="M89" i="54" s="1"/>
  <c r="M88" i="32"/>
  <c r="M89" i="32" s="1"/>
  <c r="G20" i="25"/>
  <c r="I20" i="25" s="1"/>
  <c r="G109" i="32"/>
  <c r="D110" i="32"/>
  <c r="E110" i="32"/>
  <c r="M88" i="21"/>
  <c r="M89" i="21" s="1"/>
  <c r="G111" i="28"/>
  <c r="D112" i="28"/>
  <c r="E112" i="28"/>
  <c r="B26" i="54"/>
  <c r="F26" i="54"/>
  <c r="G26" i="54" s="1"/>
  <c r="I108" i="19"/>
  <c r="H108" i="19"/>
  <c r="J100" i="99"/>
  <c r="J107" i="22"/>
  <c r="N88" i="22"/>
  <c r="J99" i="92"/>
  <c r="N88" i="92"/>
  <c r="M88" i="69"/>
  <c r="M89" i="69" s="1"/>
  <c r="D26" i="36"/>
  <c r="E51" i="36"/>
  <c r="C19" i="36"/>
  <c r="D41" i="36"/>
  <c r="C59" i="36"/>
  <c r="E48" i="36"/>
  <c r="C34" i="36"/>
  <c r="F66" i="36"/>
  <c r="C71" i="36"/>
  <c r="C50" i="36"/>
  <c r="F81" i="36"/>
  <c r="F50" i="36"/>
  <c r="C54" i="36"/>
  <c r="F77" i="36"/>
  <c r="I79" i="36"/>
  <c r="E66" i="36"/>
  <c r="D54" i="36"/>
  <c r="F79" i="36"/>
  <c r="D77" i="36"/>
  <c r="F23" i="36"/>
  <c r="C65" i="36"/>
  <c r="C44" i="36"/>
  <c r="D60" i="36"/>
  <c r="E60" i="36"/>
  <c r="C86" i="36"/>
  <c r="D82" i="36"/>
  <c r="F75" i="36"/>
  <c r="D31" i="36"/>
  <c r="F68" i="36"/>
  <c r="F88" i="36"/>
  <c r="D73" i="36"/>
  <c r="E59" i="36"/>
  <c r="E22" i="36"/>
  <c r="E18" i="36"/>
  <c r="F18" i="36"/>
  <c r="E68" i="36"/>
  <c r="F41" i="36"/>
  <c r="F83" i="36"/>
  <c r="E65" i="36"/>
  <c r="F38" i="36"/>
  <c r="D71" i="36"/>
  <c r="C52" i="36"/>
  <c r="I77" i="36"/>
  <c r="E21" i="36"/>
  <c r="D88" i="36"/>
  <c r="C61" i="36"/>
  <c r="E81" i="36"/>
  <c r="F29" i="36"/>
  <c r="C45" i="36"/>
  <c r="C18" i="36"/>
  <c r="E87" i="36"/>
  <c r="F61" i="36"/>
  <c r="F20" i="36"/>
  <c r="F46" i="36"/>
  <c r="I58" i="36"/>
  <c r="E75" i="36"/>
  <c r="C87" i="36"/>
  <c r="C27" i="36"/>
  <c r="C33" i="36"/>
  <c r="C84" i="36"/>
  <c r="F26" i="36"/>
  <c r="C36" i="36"/>
  <c r="E47" i="36"/>
  <c r="D62" i="36"/>
  <c r="D45" i="36"/>
  <c r="F90" i="36"/>
  <c r="C51" i="36"/>
  <c r="D39" i="36"/>
  <c r="D23" i="36"/>
  <c r="F24" i="36"/>
  <c r="E53" i="36"/>
  <c r="C76" i="36"/>
  <c r="C83" i="36"/>
  <c r="C30" i="36"/>
  <c r="D79" i="36"/>
  <c r="D28" i="36"/>
  <c r="E80" i="36"/>
  <c r="E39" i="36"/>
  <c r="E86" i="36"/>
  <c r="C32" i="36"/>
  <c r="D33" i="36"/>
  <c r="F22" i="36"/>
  <c r="C63" i="36"/>
  <c r="E30" i="36"/>
  <c r="C75" i="36"/>
  <c r="F52" i="36"/>
  <c r="C28" i="36"/>
  <c r="C81" i="36"/>
  <c r="C25" i="36"/>
  <c r="C29" i="36"/>
  <c r="F71" i="36"/>
  <c r="I53" i="36"/>
  <c r="C77" i="36"/>
  <c r="C70" i="36"/>
  <c r="C35" i="36"/>
  <c r="E57" i="36"/>
  <c r="F64" i="36"/>
  <c r="D83" i="36"/>
  <c r="E73" i="36"/>
  <c r="F25" i="36"/>
  <c r="E45" i="36"/>
  <c r="D21" i="36"/>
  <c r="D69" i="36"/>
  <c r="C38" i="36"/>
  <c r="F67" i="36"/>
  <c r="F53" i="36"/>
  <c r="D35" i="36"/>
  <c r="F31" i="36"/>
  <c r="D36" i="36"/>
  <c r="D59" i="36"/>
  <c r="E46" i="36"/>
  <c r="F59" i="36"/>
  <c r="E74" i="36"/>
  <c r="E55" i="36"/>
  <c r="F42" i="36"/>
  <c r="C26" i="36"/>
  <c r="C69" i="36"/>
  <c r="F58" i="36"/>
  <c r="F60" i="36"/>
  <c r="E29" i="36"/>
  <c r="E23" i="36"/>
  <c r="F82" i="36"/>
  <c r="C85" i="36"/>
  <c r="C48" i="36"/>
  <c r="F84" i="36"/>
  <c r="F70" i="36"/>
  <c r="I70" i="36"/>
  <c r="C43" i="36"/>
  <c r="F47" i="36"/>
  <c r="F48" i="36"/>
  <c r="D30" i="36"/>
  <c r="E40" i="36"/>
  <c r="F49" i="36"/>
  <c r="C24" i="36"/>
  <c r="E78" i="36"/>
  <c r="E25" i="36"/>
  <c r="I67" i="36"/>
  <c r="C79" i="36"/>
  <c r="D56" i="36"/>
  <c r="D76" i="36"/>
  <c r="D22" i="36"/>
  <c r="E67" i="36"/>
  <c r="C55" i="36"/>
  <c r="F44" i="36"/>
  <c r="C64" i="36"/>
  <c r="D37" i="36"/>
  <c r="D89" i="36"/>
  <c r="F87" i="36"/>
  <c r="E31" i="36"/>
  <c r="E54" i="36"/>
  <c r="D78" i="36"/>
  <c r="F65" i="36"/>
  <c r="F30" i="36"/>
  <c r="D53" i="36"/>
  <c r="C67" i="36"/>
  <c r="D64" i="36"/>
  <c r="C88" i="36"/>
  <c r="D85" i="36"/>
  <c r="I33" i="36"/>
  <c r="E49" i="36"/>
  <c r="D65" i="36"/>
  <c r="C73" i="36"/>
  <c r="C56" i="36"/>
  <c r="D57" i="36"/>
  <c r="D84" i="36"/>
  <c r="D68" i="36"/>
  <c r="C62" i="36"/>
  <c r="D48" i="36"/>
  <c r="F54" i="36"/>
  <c r="E56" i="36"/>
  <c r="D90" i="36"/>
  <c r="C40" i="36"/>
  <c r="F21" i="36"/>
  <c r="F72" i="36"/>
  <c r="D75" i="36"/>
  <c r="D49" i="36"/>
  <c r="F73" i="36"/>
  <c r="D43" i="36"/>
  <c r="C47" i="36"/>
  <c r="D55" i="36"/>
  <c r="F57" i="36"/>
  <c r="F40" i="36"/>
  <c r="C31" i="36"/>
  <c r="E41" i="36"/>
  <c r="C58" i="36"/>
  <c r="E20" i="36"/>
  <c r="F78" i="36"/>
  <c r="E82" i="36"/>
  <c r="E38" i="36"/>
  <c r="F74" i="36"/>
  <c r="C82" i="36"/>
  <c r="F39" i="36"/>
  <c r="F43" i="36"/>
  <c r="D51" i="36"/>
  <c r="E61" i="36"/>
  <c r="E34" i="36"/>
  <c r="E85" i="36"/>
  <c r="E77" i="36"/>
  <c r="F56" i="36"/>
  <c r="E76" i="36"/>
  <c r="D80" i="36"/>
  <c r="F34" i="36"/>
  <c r="E43" i="36"/>
  <c r="F69" i="36"/>
  <c r="D25" i="36"/>
  <c r="E26" i="36"/>
  <c r="C74" i="36"/>
  <c r="E33" i="36"/>
  <c r="E50" i="36"/>
  <c r="C23" i="36"/>
  <c r="D86" i="36"/>
  <c r="D18" i="36"/>
  <c r="E83" i="36"/>
  <c r="D74" i="36"/>
  <c r="C49" i="36"/>
  <c r="D44" i="36"/>
  <c r="F36" i="36"/>
  <c r="F63" i="36"/>
  <c r="D50" i="36"/>
  <c r="D34" i="36"/>
  <c r="D27" i="36"/>
  <c r="D29" i="36"/>
  <c r="C39" i="36"/>
  <c r="C42" i="36"/>
  <c r="C72" i="36"/>
  <c r="E24" i="36"/>
  <c r="D67" i="36"/>
  <c r="E64" i="36"/>
  <c r="E42" i="36"/>
  <c r="E79" i="36"/>
  <c r="I55" i="36"/>
  <c r="E72" i="36"/>
  <c r="E88" i="36"/>
  <c r="E70" i="36"/>
  <c r="F89" i="36"/>
  <c r="F80" i="36"/>
  <c r="E62" i="36"/>
  <c r="E84" i="36"/>
  <c r="C90" i="36"/>
  <c r="C66" i="36"/>
  <c r="E89" i="36"/>
  <c r="D38" i="36"/>
  <c r="D47" i="36"/>
  <c r="D46" i="36"/>
  <c r="D32" i="36"/>
  <c r="D87" i="36"/>
  <c r="E32" i="36"/>
  <c r="F62" i="36"/>
  <c r="D63" i="36"/>
  <c r="C20" i="36"/>
  <c r="D20" i="36"/>
  <c r="C80" i="36"/>
  <c r="F33" i="36"/>
  <c r="D81" i="36"/>
  <c r="E90" i="36"/>
  <c r="E63" i="36"/>
  <c r="C68" i="36"/>
  <c r="F32" i="36"/>
  <c r="D72" i="36"/>
  <c r="D19" i="36"/>
  <c r="D52" i="36"/>
  <c r="E52" i="36"/>
  <c r="F85" i="36"/>
  <c r="E44" i="36"/>
  <c r="C21" i="36"/>
  <c r="F76" i="36"/>
  <c r="E36" i="36"/>
  <c r="C22" i="36"/>
  <c r="D61" i="36"/>
  <c r="I21" i="36"/>
  <c r="C57" i="36"/>
  <c r="I25" i="36"/>
  <c r="E71" i="36"/>
  <c r="C37" i="36"/>
  <c r="C41" i="36"/>
  <c r="F55" i="36"/>
  <c r="C53" i="36"/>
  <c r="C46" i="36"/>
  <c r="D40" i="36"/>
  <c r="D42" i="36"/>
  <c r="D70" i="36"/>
  <c r="E58" i="36"/>
  <c r="F51" i="36"/>
  <c r="F86" i="36"/>
  <c r="E69" i="36"/>
  <c r="D24" i="36"/>
  <c r="F45" i="36"/>
  <c r="D58" i="36"/>
  <c r="I37" i="36"/>
  <c r="D66" i="36"/>
  <c r="C60" i="36"/>
  <c r="C89" i="36"/>
  <c r="C78" i="36"/>
  <c r="I49" i="36"/>
  <c r="I82" i="36"/>
  <c r="I29" i="36"/>
  <c r="I51" i="36"/>
  <c r="I23" i="36"/>
  <c r="I45" i="36"/>
  <c r="I32" i="36"/>
  <c r="I43" i="36"/>
  <c r="I64" i="36"/>
  <c r="I69" i="36"/>
  <c r="I80" i="36"/>
  <c r="I63" i="36"/>
  <c r="I50" i="36"/>
  <c r="I20" i="36"/>
  <c r="I76" i="36"/>
  <c r="I46" i="36"/>
  <c r="I34" i="36"/>
  <c r="I36" i="36"/>
  <c r="I60" i="36"/>
  <c r="I68" i="36"/>
  <c r="I52" i="36"/>
  <c r="I38" i="36"/>
  <c r="I66" i="36"/>
  <c r="I48" i="36"/>
  <c r="I41" i="36"/>
  <c r="I72" i="36"/>
  <c r="I83" i="36"/>
  <c r="I40" i="36"/>
  <c r="I44" i="36"/>
  <c r="I26" i="36"/>
  <c r="I42" i="36"/>
  <c r="I65" i="36"/>
  <c r="I39" i="36"/>
  <c r="I61" i="36"/>
  <c r="I24" i="36"/>
  <c r="I71" i="36"/>
  <c r="I84" i="36"/>
  <c r="I81" i="36"/>
  <c r="I56" i="36"/>
  <c r="I73" i="36"/>
  <c r="I57" i="36"/>
  <c r="I75" i="36"/>
  <c r="V37" i="36" l="1"/>
  <c r="G69" i="36"/>
  <c r="G58" i="36"/>
  <c r="G71" i="36"/>
  <c r="V25" i="36"/>
  <c r="V21" i="36"/>
  <c r="G36" i="36"/>
  <c r="G44" i="36"/>
  <c r="G52" i="36"/>
  <c r="G63" i="36"/>
  <c r="G90" i="36"/>
  <c r="G32" i="36"/>
  <c r="G89" i="36"/>
  <c r="G84" i="36"/>
  <c r="G62" i="36"/>
  <c r="G70" i="36"/>
  <c r="G88" i="36"/>
  <c r="G72" i="36"/>
  <c r="V55" i="36"/>
  <c r="G79" i="36"/>
  <c r="G42" i="36"/>
  <c r="G64" i="36"/>
  <c r="G24" i="36"/>
  <c r="G83" i="36"/>
  <c r="G50" i="36"/>
  <c r="G33" i="36"/>
  <c r="G26" i="36"/>
  <c r="G43" i="36"/>
  <c r="G76" i="36"/>
  <c r="G77" i="36"/>
  <c r="G85" i="36"/>
  <c r="G34" i="36"/>
  <c r="G61" i="36"/>
  <c r="G38" i="36"/>
  <c r="G82" i="36"/>
  <c r="G20" i="36"/>
  <c r="G41" i="36"/>
  <c r="G56" i="36"/>
  <c r="G49" i="36"/>
  <c r="V33" i="36"/>
  <c r="G54" i="36"/>
  <c r="G31" i="36"/>
  <c r="G67" i="36"/>
  <c r="V67" i="36"/>
  <c r="G25" i="36"/>
  <c r="G78" i="36"/>
  <c r="G40" i="36"/>
  <c r="V70" i="36"/>
  <c r="G23" i="36"/>
  <c r="G29" i="36"/>
  <c r="G55" i="36"/>
  <c r="G74" i="36"/>
  <c r="G46" i="36"/>
  <c r="G45" i="36"/>
  <c r="G73" i="36"/>
  <c r="G57" i="36"/>
  <c r="V53" i="36"/>
  <c r="G30" i="36"/>
  <c r="G86" i="36"/>
  <c r="G39" i="36"/>
  <c r="G80" i="36"/>
  <c r="G53" i="36"/>
  <c r="G47" i="36"/>
  <c r="G75" i="36"/>
  <c r="V58" i="36"/>
  <c r="G87" i="36"/>
  <c r="G81" i="36"/>
  <c r="G21" i="36"/>
  <c r="V77" i="36"/>
  <c r="G65" i="36"/>
  <c r="G68" i="36"/>
  <c r="G18" i="36"/>
  <c r="G22" i="36"/>
  <c r="G59" i="36"/>
  <c r="G60" i="36"/>
  <c r="G66" i="36"/>
  <c r="V79" i="36"/>
  <c r="G48" i="36"/>
  <c r="G51" i="36"/>
  <c r="F101" i="87"/>
  <c r="B101" i="87"/>
  <c r="I101" i="95"/>
  <c r="H101" i="95"/>
  <c r="H20" i="100"/>
  <c r="J100" i="97"/>
  <c r="I29" i="34"/>
  <c r="I25" i="56"/>
  <c r="F23" i="76"/>
  <c r="I100" i="87"/>
  <c r="H100" i="87"/>
  <c r="B102" i="95"/>
  <c r="F102" i="95"/>
  <c r="V40" i="36"/>
  <c r="V42" i="36"/>
  <c r="V41" i="36"/>
  <c r="D29" i="42"/>
  <c r="E29" i="42"/>
  <c r="B27" i="45"/>
  <c r="F27" i="45"/>
  <c r="G27" i="45" s="1"/>
  <c r="B28" i="74"/>
  <c r="F28" i="74"/>
  <c r="G28" i="74"/>
  <c r="B26" i="57"/>
  <c r="B26" i="58"/>
  <c r="F26" i="58"/>
  <c r="H26" i="58" s="1"/>
  <c r="B24" i="66"/>
  <c r="F24" i="66"/>
  <c r="G24" i="66" s="1"/>
  <c r="F22" i="83"/>
  <c r="G22" i="83" s="1"/>
  <c r="B22" i="83"/>
  <c r="F31" i="69"/>
  <c r="B31" i="69"/>
  <c r="B28" i="73"/>
  <c r="F28" i="73"/>
  <c r="H28" i="73" s="1"/>
  <c r="F30" i="31"/>
  <c r="B30" i="31"/>
  <c r="J106" i="42"/>
  <c r="N88" i="42"/>
  <c r="I22" i="76"/>
  <c r="G100" i="26"/>
  <c r="D101" i="26"/>
  <c r="B24" i="68"/>
  <c r="G26" i="35"/>
  <c r="E27" i="35"/>
  <c r="F27" i="35" s="1"/>
  <c r="H26" i="35"/>
  <c r="B27" i="35"/>
  <c r="F24" i="67"/>
  <c r="B24" i="67"/>
  <c r="F26" i="56"/>
  <c r="B26" i="56"/>
  <c r="H26" i="56"/>
  <c r="D108" i="42"/>
  <c r="G107" i="42"/>
  <c r="E108" i="42"/>
  <c r="B28" i="42"/>
  <c r="H28" i="42"/>
  <c r="G28" i="42"/>
  <c r="B29" i="3"/>
  <c r="F29" i="3"/>
  <c r="G29" i="3" s="1"/>
  <c r="F25" i="63"/>
  <c r="H25" i="63" s="1"/>
  <c r="B25" i="63"/>
  <c r="F24" i="65"/>
  <c r="G24" i="65" s="1"/>
  <c r="B24" i="65"/>
  <c r="D108" i="43"/>
  <c r="E108" i="43"/>
  <c r="G107" i="43"/>
  <c r="I31" i="28"/>
  <c r="B20" i="95"/>
  <c r="F20" i="95"/>
  <c r="H20" i="95" s="1"/>
  <c r="I24" i="60"/>
  <c r="H22" i="81"/>
  <c r="I22" i="81" s="1"/>
  <c r="D23" i="81"/>
  <c r="E23" i="81"/>
  <c r="B30" i="24"/>
  <c r="F30" i="24"/>
  <c r="H30" i="24" s="1"/>
  <c r="E31" i="23"/>
  <c r="D31" i="23"/>
  <c r="B23" i="79"/>
  <c r="F23" i="79"/>
  <c r="E27" i="72"/>
  <c r="D27" i="72"/>
  <c r="F32" i="28"/>
  <c r="B32" i="28"/>
  <c r="G32" i="28"/>
  <c r="F30" i="34"/>
  <c r="G30" i="34" s="1"/>
  <c r="B30" i="34"/>
  <c r="H30" i="34"/>
  <c r="B25" i="60"/>
  <c r="F25" i="60"/>
  <c r="G25" i="60"/>
  <c r="D108" i="44"/>
  <c r="G107" i="44"/>
  <c r="E108" i="44"/>
  <c r="F28" i="44"/>
  <c r="B28" i="44"/>
  <c r="G28" i="44"/>
  <c r="F21" i="92"/>
  <c r="O99" i="26"/>
  <c r="P99" i="26" s="1"/>
  <c r="J99" i="26"/>
  <c r="J100" i="33"/>
  <c r="F26" i="46"/>
  <c r="B26" i="46"/>
  <c r="H26" i="46"/>
  <c r="D21" i="98"/>
  <c r="E21" i="98"/>
  <c r="B26" i="53"/>
  <c r="F26" i="53"/>
  <c r="H26" i="53" s="1"/>
  <c r="E102" i="97"/>
  <c r="G101" i="97"/>
  <c r="D102" i="97"/>
  <c r="D102" i="33"/>
  <c r="E102" i="33" s="1"/>
  <c r="G101" i="33"/>
  <c r="B28" i="41"/>
  <c r="F28" i="41"/>
  <c r="H28" i="41" s="1"/>
  <c r="G28" i="41"/>
  <c r="J106" i="43"/>
  <c r="N88" i="43"/>
  <c r="D21" i="97"/>
  <c r="E21" i="97"/>
  <c r="B20" i="99"/>
  <c r="F20" i="99"/>
  <c r="H20" i="99"/>
  <c r="B30" i="23"/>
  <c r="H30" i="23"/>
  <c r="G30" i="23"/>
  <c r="H26" i="72"/>
  <c r="D24" i="76"/>
  <c r="E24" i="76"/>
  <c r="B22" i="84"/>
  <c r="F22" i="84"/>
  <c r="E101" i="25"/>
  <c r="F101" i="25" s="1"/>
  <c r="B101" i="25"/>
  <c r="H26" i="54"/>
  <c r="I26" i="54" s="1"/>
  <c r="G23" i="78"/>
  <c r="I23" i="78" s="1"/>
  <c r="B21" i="92"/>
  <c r="H21" i="92"/>
  <c r="G21" i="92"/>
  <c r="F26" i="57"/>
  <c r="H26" i="57" s="1"/>
  <c r="B20" i="98"/>
  <c r="G20" i="98"/>
  <c r="H20" i="98"/>
  <c r="N88" i="44"/>
  <c r="J106" i="44"/>
  <c r="D23" i="85"/>
  <c r="E23" i="85"/>
  <c r="F22" i="82"/>
  <c r="H22" i="82" s="1"/>
  <c r="B22" i="82"/>
  <c r="F29" i="20"/>
  <c r="H29" i="20" s="1"/>
  <c r="B29" i="20"/>
  <c r="B20" i="97"/>
  <c r="G20" i="97"/>
  <c r="H20" i="97"/>
  <c r="F31" i="27"/>
  <c r="H31" i="27" s="1"/>
  <c r="B31" i="27"/>
  <c r="G26" i="72"/>
  <c r="B23" i="76"/>
  <c r="H23" i="76"/>
  <c r="G23" i="76"/>
  <c r="G23" i="77"/>
  <c r="I23" i="77" s="1"/>
  <c r="D24" i="77"/>
  <c r="E24" i="77"/>
  <c r="I21" i="84"/>
  <c r="H100" i="25"/>
  <c r="I100" i="25"/>
  <c r="F24" i="68"/>
  <c r="H24" i="68" s="1"/>
  <c r="I25" i="35"/>
  <c r="G21" i="87"/>
  <c r="H22" i="88"/>
  <c r="B22" i="91"/>
  <c r="F22" i="91"/>
  <c r="G22" i="91"/>
  <c r="B31" i="71"/>
  <c r="G31" i="71"/>
  <c r="F31" i="71"/>
  <c r="H31" i="71" s="1"/>
  <c r="J101" i="13"/>
  <c r="H109" i="31"/>
  <c r="I109" i="31"/>
  <c r="G20" i="33"/>
  <c r="I20" i="33" s="1"/>
  <c r="D21" i="33"/>
  <c r="E21" i="33" s="1"/>
  <c r="D23" i="86"/>
  <c r="E23" i="86"/>
  <c r="G22" i="80"/>
  <c r="D23" i="80"/>
  <c r="E23" i="80"/>
  <c r="I30" i="32"/>
  <c r="H25" i="64"/>
  <c r="I25" i="64" s="1"/>
  <c r="H28" i="43"/>
  <c r="I28" i="43" s="1"/>
  <c r="D29" i="43"/>
  <c r="E29" i="43"/>
  <c r="I26" i="55"/>
  <c r="D32" i="70"/>
  <c r="E32" i="70"/>
  <c r="D22" i="13"/>
  <c r="B20" i="26"/>
  <c r="F20" i="26"/>
  <c r="G20" i="26" s="1"/>
  <c r="B110" i="31"/>
  <c r="F110" i="31"/>
  <c r="F29" i="17"/>
  <c r="B29" i="17"/>
  <c r="H29" i="17"/>
  <c r="F26" i="61"/>
  <c r="G26" i="61" s="1"/>
  <c r="B26" i="61"/>
  <c r="O88" i="31"/>
  <c r="O89" i="31" s="1"/>
  <c r="N89" i="31"/>
  <c r="H31" i="30"/>
  <c r="D26" i="64"/>
  <c r="E26" i="64"/>
  <c r="G102" i="13"/>
  <c r="D103" i="13"/>
  <c r="B30" i="19"/>
  <c r="F30" i="19"/>
  <c r="G30" i="19"/>
  <c r="F26" i="59"/>
  <c r="G26" i="59" s="1"/>
  <c r="B26" i="59"/>
  <c r="G22" i="86"/>
  <c r="I22" i="86" s="1"/>
  <c r="D27" i="55"/>
  <c r="E27" i="55"/>
  <c r="G31" i="70"/>
  <c r="I31" i="70" s="1"/>
  <c r="H21" i="13"/>
  <c r="I21" i="13" s="1"/>
  <c r="H22" i="80"/>
  <c r="H113" i="70"/>
  <c r="I113" i="70"/>
  <c r="J113" i="70" s="1"/>
  <c r="F106" i="60"/>
  <c r="B106" i="60"/>
  <c r="F114" i="70"/>
  <c r="B114" i="70"/>
  <c r="E112" i="17"/>
  <c r="D112" i="17"/>
  <c r="F112" i="17" s="1"/>
  <c r="G111" i="17"/>
  <c r="J109" i="35"/>
  <c r="I105" i="60"/>
  <c r="J105" i="60" s="1"/>
  <c r="H105" i="60"/>
  <c r="V64" i="36"/>
  <c r="V34" i="36"/>
  <c r="V73" i="36"/>
  <c r="V76" i="36"/>
  <c r="V83" i="36"/>
  <c r="V61" i="36"/>
  <c r="V46" i="36"/>
  <c r="V20" i="36"/>
  <c r="V50" i="36"/>
  <c r="V60" i="36"/>
  <c r="V48" i="36"/>
  <c r="V84" i="36"/>
  <c r="V65" i="36"/>
  <c r="V68" i="36"/>
  <c r="V43" i="36"/>
  <c r="V80" i="36"/>
  <c r="V63" i="36"/>
  <c r="V26" i="36"/>
  <c r="V44" i="36"/>
  <c r="V49" i="36"/>
  <c r="V69" i="36"/>
  <c r="V38" i="36"/>
  <c r="V82" i="36"/>
  <c r="V29" i="36"/>
  <c r="V57" i="36"/>
  <c r="V36" i="36"/>
  <c r="V75" i="36"/>
  <c r="V56" i="36"/>
  <c r="V45" i="36"/>
  <c r="V23" i="36"/>
  <c r="V39" i="36"/>
  <c r="V51" i="36"/>
  <c r="V32" i="36"/>
  <c r="V52" i="36"/>
  <c r="V71" i="36"/>
  <c r="V72" i="36"/>
  <c r="V81" i="36"/>
  <c r="V66" i="36"/>
  <c r="V24" i="36"/>
  <c r="J105" i="67"/>
  <c r="N89" i="56"/>
  <c r="O88" i="56"/>
  <c r="O89" i="56" s="1"/>
  <c r="N89" i="83"/>
  <c r="O88" i="83"/>
  <c r="O89" i="83" s="1"/>
  <c r="I107" i="41"/>
  <c r="H107" i="41"/>
  <c r="H110" i="30"/>
  <c r="I110" i="30"/>
  <c r="H105" i="53"/>
  <c r="I105" i="53"/>
  <c r="N89" i="22"/>
  <c r="O88" i="22"/>
  <c r="O89" i="22" s="1"/>
  <c r="B108" i="41"/>
  <c r="F108" i="41"/>
  <c r="N89" i="35"/>
  <c r="O88" i="35"/>
  <c r="O89" i="35" s="1"/>
  <c r="B104" i="65"/>
  <c r="F104" i="65"/>
  <c r="D24" i="78"/>
  <c r="E24" i="78"/>
  <c r="O88" i="90"/>
  <c r="O89" i="90" s="1"/>
  <c r="N89" i="90"/>
  <c r="D22" i="87"/>
  <c r="E22" i="87"/>
  <c r="F106" i="53"/>
  <c r="B106" i="53"/>
  <c r="F103" i="76"/>
  <c r="B103" i="76"/>
  <c r="N89" i="58"/>
  <c r="O88" i="58"/>
  <c r="O89" i="58" s="1"/>
  <c r="G105" i="63"/>
  <c r="D106" i="63"/>
  <c r="E106" i="63"/>
  <c r="O88" i="65"/>
  <c r="O89" i="65" s="1"/>
  <c r="N89" i="65"/>
  <c r="P99" i="86"/>
  <c r="B106" i="54"/>
  <c r="F106" i="54"/>
  <c r="N89" i="68"/>
  <c r="O88" i="68"/>
  <c r="O89" i="68" s="1"/>
  <c r="F112" i="20"/>
  <c r="B112" i="20"/>
  <c r="F103" i="77"/>
  <c r="B103" i="77"/>
  <c r="D32" i="29"/>
  <c r="E32" i="29"/>
  <c r="O88" i="77"/>
  <c r="O89" i="77" s="1"/>
  <c r="N89" i="77"/>
  <c r="D21" i="96"/>
  <c r="E21" i="96"/>
  <c r="I100" i="98"/>
  <c r="H100" i="98"/>
  <c r="N89" i="59"/>
  <c r="O88" i="59"/>
  <c r="O89" i="59" s="1"/>
  <c r="H103" i="65"/>
  <c r="I103" i="65"/>
  <c r="D114" i="29"/>
  <c r="G113" i="29"/>
  <c r="E114" i="29"/>
  <c r="I102" i="76"/>
  <c r="H102" i="76"/>
  <c r="F101" i="88"/>
  <c r="B101" i="88"/>
  <c r="O88" i="80"/>
  <c r="O89" i="80" s="1"/>
  <c r="N89" i="80"/>
  <c r="D110" i="34"/>
  <c r="G109" i="34"/>
  <c r="E110" i="34"/>
  <c r="H107" i="55"/>
  <c r="I107" i="55"/>
  <c r="H107" i="73"/>
  <c r="I107" i="73"/>
  <c r="D30" i="22"/>
  <c r="E30" i="22"/>
  <c r="D30" i="21"/>
  <c r="E30" i="21"/>
  <c r="H101" i="80"/>
  <c r="I101" i="80"/>
  <c r="I110" i="69"/>
  <c r="H110" i="69"/>
  <c r="N89" i="41"/>
  <c r="O88" i="41"/>
  <c r="O89" i="41" s="1"/>
  <c r="H110" i="35"/>
  <c r="I110" i="35"/>
  <c r="J110" i="35" s="1"/>
  <c r="H109" i="24"/>
  <c r="I109" i="24"/>
  <c r="H106" i="45"/>
  <c r="I106" i="45"/>
  <c r="I108" i="22"/>
  <c r="H108" i="22"/>
  <c r="E30" i="18"/>
  <c r="D30" i="18"/>
  <c r="N89" i="92"/>
  <c r="O88" i="92"/>
  <c r="O89" i="92" s="1"/>
  <c r="I105" i="56"/>
  <c r="H105" i="56"/>
  <c r="D31" i="32"/>
  <c r="E31" i="32"/>
  <c r="F101" i="98"/>
  <c r="B101" i="98"/>
  <c r="F107" i="45"/>
  <c r="B107" i="45"/>
  <c r="B107" i="62"/>
  <c r="F107" i="62"/>
  <c r="B104" i="82"/>
  <c r="F104" i="82"/>
  <c r="O88" i="64"/>
  <c r="O89" i="64" s="1"/>
  <c r="N89" i="64"/>
  <c r="B106" i="58"/>
  <c r="F106" i="58"/>
  <c r="N89" i="3"/>
  <c r="O88" i="3"/>
  <c r="O89" i="3" s="1"/>
  <c r="J104" i="63"/>
  <c r="I100" i="86"/>
  <c r="H100" i="86"/>
  <c r="H108" i="18"/>
  <c r="I108" i="18"/>
  <c r="H100" i="88"/>
  <c r="I100" i="88"/>
  <c r="H104" i="75"/>
  <c r="I104" i="75"/>
  <c r="I100" i="96"/>
  <c r="H100" i="96"/>
  <c r="F108" i="73"/>
  <c r="B108" i="73"/>
  <c r="I101" i="100"/>
  <c r="H101" i="100"/>
  <c r="J112" i="29"/>
  <c r="F104" i="85"/>
  <c r="B104" i="85"/>
  <c r="H105" i="46"/>
  <c r="I105" i="46"/>
  <c r="F102" i="80"/>
  <c r="B102" i="80"/>
  <c r="N89" i="24"/>
  <c r="O88" i="24"/>
  <c r="O89" i="24" s="1"/>
  <c r="N89" i="89"/>
  <c r="O88" i="89"/>
  <c r="O89" i="89" s="1"/>
  <c r="O88" i="84"/>
  <c r="O89" i="84" s="1"/>
  <c r="N89" i="84"/>
  <c r="B111" i="69"/>
  <c r="F111" i="69"/>
  <c r="N89" i="91"/>
  <c r="O88" i="91"/>
  <c r="O89" i="91" s="1"/>
  <c r="O88" i="76"/>
  <c r="O89" i="76" s="1"/>
  <c r="N89" i="76"/>
  <c r="B101" i="90"/>
  <c r="F101" i="90"/>
  <c r="H110" i="27"/>
  <c r="I110" i="27"/>
  <c r="H111" i="28"/>
  <c r="I111" i="28"/>
  <c r="O88" i="32"/>
  <c r="O89" i="32" s="1"/>
  <c r="N89" i="32"/>
  <c r="B110" i="32"/>
  <c r="F110" i="32"/>
  <c r="I104" i="59"/>
  <c r="H104" i="59"/>
  <c r="B109" i="22"/>
  <c r="F109" i="22"/>
  <c r="B112" i="28"/>
  <c r="F112" i="28"/>
  <c r="H109" i="32"/>
  <c r="I109" i="32"/>
  <c r="F106" i="56"/>
  <c r="B106" i="56"/>
  <c r="B105" i="59"/>
  <c r="F105" i="59"/>
  <c r="B103" i="79"/>
  <c r="F103" i="79"/>
  <c r="H107" i="39"/>
  <c r="I107" i="39"/>
  <c r="I100" i="89"/>
  <c r="H100" i="89"/>
  <c r="O88" i="72"/>
  <c r="O89" i="72" s="1"/>
  <c r="N89" i="72"/>
  <c r="O88" i="88"/>
  <c r="O89" i="88" s="1"/>
  <c r="N89" i="88"/>
  <c r="I106" i="62"/>
  <c r="H106" i="62"/>
  <c r="I101" i="99"/>
  <c r="H101" i="99"/>
  <c r="O88" i="30"/>
  <c r="O89" i="30" s="1"/>
  <c r="N89" i="30"/>
  <c r="O88" i="61"/>
  <c r="O89" i="61" s="1"/>
  <c r="N89" i="61"/>
  <c r="H105" i="58"/>
  <c r="I105" i="58"/>
  <c r="I103" i="68"/>
  <c r="H103" i="68"/>
  <c r="B101" i="86"/>
  <c r="F101" i="86"/>
  <c r="F109" i="18"/>
  <c r="B109" i="18"/>
  <c r="F105" i="75"/>
  <c r="B105" i="75"/>
  <c r="N89" i="73"/>
  <c r="O88" i="73"/>
  <c r="O89" i="73" s="1"/>
  <c r="F101" i="96"/>
  <c r="B101" i="96"/>
  <c r="N89" i="71"/>
  <c r="O88" i="71"/>
  <c r="O89" i="71" s="1"/>
  <c r="H100" i="92"/>
  <c r="I100" i="92"/>
  <c r="F102" i="100"/>
  <c r="B102" i="100"/>
  <c r="I103" i="85"/>
  <c r="H103" i="85"/>
  <c r="B106" i="72"/>
  <c r="F106" i="72"/>
  <c r="F106" i="46"/>
  <c r="B106" i="46"/>
  <c r="I100" i="84"/>
  <c r="H100" i="84"/>
  <c r="I100" i="90"/>
  <c r="H100" i="90"/>
  <c r="F102" i="83"/>
  <c r="B102" i="83"/>
  <c r="B111" i="27"/>
  <c r="F111" i="27"/>
  <c r="B110" i="24"/>
  <c r="F110" i="24"/>
  <c r="D107" i="67"/>
  <c r="G106" i="67"/>
  <c r="E107" i="67"/>
  <c r="H102" i="79"/>
  <c r="I102" i="79"/>
  <c r="B108" i="39"/>
  <c r="F108" i="39"/>
  <c r="F101" i="89"/>
  <c r="B101" i="89"/>
  <c r="B102" i="99"/>
  <c r="F102" i="99"/>
  <c r="I103" i="82"/>
  <c r="H103" i="82"/>
  <c r="I31" i="30"/>
  <c r="O88" i="79"/>
  <c r="O89" i="79" s="1"/>
  <c r="N89" i="79"/>
  <c r="B104" i="68"/>
  <c r="F104" i="68"/>
  <c r="J103" i="78"/>
  <c r="O88" i="81"/>
  <c r="O89" i="81" s="1"/>
  <c r="N89" i="81"/>
  <c r="N89" i="39"/>
  <c r="O88" i="39"/>
  <c r="O89" i="39" s="1"/>
  <c r="H104" i="64"/>
  <c r="I104" i="64"/>
  <c r="F101" i="92"/>
  <c r="B101" i="92"/>
  <c r="I20" i="100"/>
  <c r="J108" i="34"/>
  <c r="N88" i="34"/>
  <c r="B21" i="25"/>
  <c r="F21" i="25"/>
  <c r="H21" i="25" s="1"/>
  <c r="H105" i="72"/>
  <c r="I105" i="72"/>
  <c r="D110" i="19"/>
  <c r="G109" i="19"/>
  <c r="E110" i="19"/>
  <c r="H100" i="91"/>
  <c r="I100" i="91"/>
  <c r="E24" i="75"/>
  <c r="D24" i="75"/>
  <c r="N89" i="54"/>
  <c r="O88" i="54"/>
  <c r="O89" i="54" s="1"/>
  <c r="F101" i="84"/>
  <c r="B101" i="84"/>
  <c r="I22" i="88"/>
  <c r="H101" i="83"/>
  <c r="I101" i="83"/>
  <c r="D22" i="90"/>
  <c r="E22" i="90"/>
  <c r="O88" i="18"/>
  <c r="O89" i="18" s="1"/>
  <c r="N89" i="18"/>
  <c r="N89" i="45"/>
  <c r="O88" i="45"/>
  <c r="O89" i="45" s="1"/>
  <c r="D105" i="66"/>
  <c r="G104" i="66"/>
  <c r="E105" i="66"/>
  <c r="H104" i="61"/>
  <c r="I104" i="61"/>
  <c r="J103" i="66"/>
  <c r="E22" i="89"/>
  <c r="D22" i="89"/>
  <c r="F105" i="64"/>
  <c r="B105" i="64"/>
  <c r="E21" i="100"/>
  <c r="D21" i="100"/>
  <c r="I108" i="3"/>
  <c r="H108" i="3"/>
  <c r="B108" i="74"/>
  <c r="F108" i="74"/>
  <c r="D26" i="62"/>
  <c r="E26" i="62"/>
  <c r="N89" i="57"/>
  <c r="O88" i="57"/>
  <c r="O89" i="57" s="1"/>
  <c r="B101" i="91"/>
  <c r="F101" i="91"/>
  <c r="G23" i="75"/>
  <c r="H108" i="21"/>
  <c r="I108" i="21"/>
  <c r="O88" i="69"/>
  <c r="O89" i="69" s="1"/>
  <c r="N89" i="69"/>
  <c r="G111" i="23"/>
  <c r="D112" i="23"/>
  <c r="E112" i="23"/>
  <c r="H20" i="96"/>
  <c r="I105" i="57"/>
  <c r="H105" i="57"/>
  <c r="H29" i="18"/>
  <c r="D32" i="30"/>
  <c r="E32" i="30"/>
  <c r="P104" i="34"/>
  <c r="I109" i="71"/>
  <c r="H109" i="71"/>
  <c r="B105" i="61"/>
  <c r="F105" i="61"/>
  <c r="D105" i="78"/>
  <c r="E105" i="78"/>
  <c r="G104" i="78"/>
  <c r="O88" i="27"/>
  <c r="O89" i="27" s="1"/>
  <c r="N89" i="27"/>
  <c r="G29" i="22"/>
  <c r="O88" i="53"/>
  <c r="O89" i="53" s="1"/>
  <c r="N89" i="53"/>
  <c r="B109" i="3"/>
  <c r="F109" i="3"/>
  <c r="D29" i="39"/>
  <c r="E29" i="39"/>
  <c r="I107" i="74"/>
  <c r="H107" i="74"/>
  <c r="H25" i="62"/>
  <c r="I101" i="81"/>
  <c r="H101" i="81"/>
  <c r="O88" i="21"/>
  <c r="O89" i="21" s="1"/>
  <c r="N89" i="21"/>
  <c r="F109" i="21"/>
  <c r="B109" i="21"/>
  <c r="D23" i="88"/>
  <c r="E23" i="88"/>
  <c r="D27" i="54"/>
  <c r="E27" i="54"/>
  <c r="B111" i="30"/>
  <c r="F111" i="30"/>
  <c r="G21" i="90"/>
  <c r="J108" i="19"/>
  <c r="H31" i="29"/>
  <c r="H21" i="90"/>
  <c r="B106" i="57"/>
  <c r="F106" i="57"/>
  <c r="I21" i="87"/>
  <c r="B110" i="71"/>
  <c r="F110" i="71"/>
  <c r="O88" i="74"/>
  <c r="O89" i="74" s="1"/>
  <c r="N89" i="74"/>
  <c r="M89" i="3"/>
  <c r="G21" i="89"/>
  <c r="I21" i="89" s="1"/>
  <c r="F108" i="55"/>
  <c r="B108" i="55"/>
  <c r="N89" i="46"/>
  <c r="O88" i="46"/>
  <c r="O89" i="46" s="1"/>
  <c r="H29" i="21"/>
  <c r="G28" i="39"/>
  <c r="F102" i="81"/>
  <c r="B102" i="81"/>
  <c r="I105" i="54"/>
  <c r="H105" i="54"/>
  <c r="H111" i="20"/>
  <c r="I111" i="20"/>
  <c r="E112" i="35"/>
  <c r="F112" i="35" s="1"/>
  <c r="G111" i="35"/>
  <c r="B112" i="35"/>
  <c r="I102" i="77"/>
  <c r="H102" i="77"/>
  <c r="J110" i="23"/>
  <c r="I18" i="36"/>
  <c r="G22" i="82" l="1"/>
  <c r="I22" i="82" s="1"/>
  <c r="J101" i="95"/>
  <c r="G31" i="27"/>
  <c r="I21" i="92"/>
  <c r="I30" i="23"/>
  <c r="H29" i="3"/>
  <c r="I29" i="3" s="1"/>
  <c r="G28" i="73"/>
  <c r="I28" i="73" s="1"/>
  <c r="G26" i="57"/>
  <c r="I26" i="57" s="1"/>
  <c r="J100" i="87"/>
  <c r="H26" i="59"/>
  <c r="I20" i="97"/>
  <c r="G25" i="63"/>
  <c r="G26" i="58"/>
  <c r="I26" i="58" s="1"/>
  <c r="E103" i="95"/>
  <c r="G102" i="95"/>
  <c r="D103" i="95"/>
  <c r="E102" i="87"/>
  <c r="D102" i="87"/>
  <c r="G101" i="87"/>
  <c r="D23" i="84"/>
  <c r="E23" i="84"/>
  <c r="H101" i="97"/>
  <c r="I101" i="97"/>
  <c r="B31" i="23"/>
  <c r="F31" i="23"/>
  <c r="B108" i="43"/>
  <c r="F108" i="43"/>
  <c r="E101" i="26"/>
  <c r="F101" i="26" s="1"/>
  <c r="B101" i="26"/>
  <c r="D31" i="31"/>
  <c r="E31" i="31"/>
  <c r="D32" i="69"/>
  <c r="E32" i="69"/>
  <c r="I31" i="27"/>
  <c r="D102" i="25"/>
  <c r="G101" i="25"/>
  <c r="I26" i="72"/>
  <c r="B21" i="97"/>
  <c r="F21" i="97"/>
  <c r="G21" i="97" s="1"/>
  <c r="I28" i="41"/>
  <c r="H101" i="33"/>
  <c r="I101" i="33"/>
  <c r="H28" i="44"/>
  <c r="D29" i="44"/>
  <c r="E29" i="44"/>
  <c r="G23" i="79"/>
  <c r="D24" i="79"/>
  <c r="E24" i="79"/>
  <c r="I28" i="42"/>
  <c r="F108" i="42"/>
  <c r="B108" i="42"/>
  <c r="D27" i="56"/>
  <c r="E27" i="56"/>
  <c r="H100" i="26"/>
  <c r="I100" i="26"/>
  <c r="G30" i="31"/>
  <c r="E29" i="73"/>
  <c r="D29" i="73"/>
  <c r="H31" i="69"/>
  <c r="D29" i="74"/>
  <c r="E29" i="74"/>
  <c r="E28" i="45"/>
  <c r="D28" i="45"/>
  <c r="F24" i="76"/>
  <c r="B24" i="76"/>
  <c r="B108" i="44"/>
  <c r="F108" i="44"/>
  <c r="I25" i="63"/>
  <c r="H24" i="67"/>
  <c r="E25" i="67"/>
  <c r="D25" i="67"/>
  <c r="D25" i="66"/>
  <c r="E25" i="66"/>
  <c r="D25" i="68"/>
  <c r="E25" i="68"/>
  <c r="I23" i="76"/>
  <c r="G29" i="20"/>
  <c r="I29" i="20" s="1"/>
  <c r="D30" i="20"/>
  <c r="E30" i="20"/>
  <c r="D23" i="82"/>
  <c r="E23" i="82"/>
  <c r="N89" i="44"/>
  <c r="O88" i="44"/>
  <c r="O89" i="44" s="1"/>
  <c r="D27" i="57"/>
  <c r="E27" i="57"/>
  <c r="H22" i="84"/>
  <c r="G20" i="99"/>
  <c r="I20" i="99" s="1"/>
  <c r="D21" i="99"/>
  <c r="E21" i="99"/>
  <c r="O88" i="43"/>
  <c r="O89" i="43" s="1"/>
  <c r="N89" i="43"/>
  <c r="D29" i="41"/>
  <c r="E29" i="41"/>
  <c r="B102" i="33"/>
  <c r="F102" i="33"/>
  <c r="G26" i="46"/>
  <c r="I26" i="46" s="1"/>
  <c r="D27" i="46"/>
  <c r="E27" i="46"/>
  <c r="D22" i="92"/>
  <c r="E22" i="92"/>
  <c r="H25" i="60"/>
  <c r="I25" i="60" s="1"/>
  <c r="D26" i="60"/>
  <c r="E26" i="60"/>
  <c r="H32" i="28"/>
  <c r="I32" i="28" s="1"/>
  <c r="D33" i="28"/>
  <c r="E33" i="28"/>
  <c r="H23" i="79"/>
  <c r="I23" i="79" s="1"/>
  <c r="F23" i="81"/>
  <c r="I107" i="43"/>
  <c r="H107" i="43"/>
  <c r="D30" i="3"/>
  <c r="E30" i="3"/>
  <c r="G26" i="56"/>
  <c r="G24" i="67"/>
  <c r="I26" i="35"/>
  <c r="G24" i="68"/>
  <c r="I24" i="68" s="1"/>
  <c r="H30" i="31"/>
  <c r="G31" i="69"/>
  <c r="H24" i="66"/>
  <c r="I24" i="66" s="1"/>
  <c r="E27" i="58"/>
  <c r="D27" i="58"/>
  <c r="B23" i="85"/>
  <c r="F23" i="85"/>
  <c r="H23" i="85"/>
  <c r="D27" i="53"/>
  <c r="E27" i="53"/>
  <c r="I30" i="34"/>
  <c r="D31" i="24"/>
  <c r="E31" i="24"/>
  <c r="I107" i="42"/>
  <c r="H107" i="42"/>
  <c r="B29" i="42"/>
  <c r="I22" i="80"/>
  <c r="I31" i="71"/>
  <c r="J100" i="25"/>
  <c r="F24" i="77"/>
  <c r="G24" i="77" s="1"/>
  <c r="B24" i="77"/>
  <c r="D32" i="27"/>
  <c r="E32" i="27"/>
  <c r="I20" i="98"/>
  <c r="G22" i="84"/>
  <c r="B102" i="97"/>
  <c r="F102" i="97"/>
  <c r="G26" i="53"/>
  <c r="I26" i="53" s="1"/>
  <c r="B21" i="98"/>
  <c r="F21" i="98"/>
  <c r="G21" i="98"/>
  <c r="H21" i="98"/>
  <c r="I28" i="44"/>
  <c r="I107" i="44"/>
  <c r="H107" i="44"/>
  <c r="D31" i="34"/>
  <c r="E31" i="34"/>
  <c r="B27" i="72"/>
  <c r="F27" i="72"/>
  <c r="H27" i="72" s="1"/>
  <c r="G30" i="24"/>
  <c r="I30" i="24" s="1"/>
  <c r="B23" i="81"/>
  <c r="H23" i="81"/>
  <c r="G20" i="95"/>
  <c r="I20" i="95" s="1"/>
  <c r="D21" i="95"/>
  <c r="E21" i="95"/>
  <c r="E25" i="65"/>
  <c r="D25" i="65"/>
  <c r="H24" i="65"/>
  <c r="I24" i="65" s="1"/>
  <c r="D26" i="63"/>
  <c r="E26" i="63"/>
  <c r="I26" i="56"/>
  <c r="G27" i="35"/>
  <c r="E28" i="35"/>
  <c r="F28" i="35" s="1"/>
  <c r="B28" i="35"/>
  <c r="H27" i="35"/>
  <c r="O88" i="42"/>
  <c r="O89" i="42" s="1"/>
  <c r="N89" i="42"/>
  <c r="H22" i="83"/>
  <c r="I22" i="83" s="1"/>
  <c r="E23" i="83"/>
  <c r="D23" i="83"/>
  <c r="H28" i="74"/>
  <c r="I28" i="74" s="1"/>
  <c r="H27" i="45"/>
  <c r="I27" i="45" s="1"/>
  <c r="F29" i="42"/>
  <c r="D111" i="31"/>
  <c r="G110" i="31"/>
  <c r="E111" i="31"/>
  <c r="B22" i="13"/>
  <c r="F23" i="86"/>
  <c r="H23" i="86" s="1"/>
  <c r="B23" i="86"/>
  <c r="G21" i="25"/>
  <c r="I21" i="25" s="1"/>
  <c r="E103" i="13"/>
  <c r="F103" i="13" s="1"/>
  <c r="B103" i="13"/>
  <c r="H20" i="26"/>
  <c r="I20" i="26" s="1"/>
  <c r="E22" i="13"/>
  <c r="F22" i="13" s="1"/>
  <c r="I26" i="59"/>
  <c r="F26" i="64"/>
  <c r="B26" i="64"/>
  <c r="H26" i="64"/>
  <c r="H30" i="19"/>
  <c r="I30" i="19" s="1"/>
  <c r="E31" i="19"/>
  <c r="D31" i="19"/>
  <c r="I102" i="13"/>
  <c r="H102" i="13"/>
  <c r="G29" i="17"/>
  <c r="I29" i="17" s="1"/>
  <c r="D30" i="17"/>
  <c r="E30" i="17"/>
  <c r="B29" i="43"/>
  <c r="F29" i="43"/>
  <c r="G29" i="43" s="1"/>
  <c r="H22" i="91"/>
  <c r="I22" i="91" s="1"/>
  <c r="E23" i="91"/>
  <c r="D23" i="91"/>
  <c r="B27" i="55"/>
  <c r="F27" i="55"/>
  <c r="H27" i="55"/>
  <c r="D27" i="59"/>
  <c r="E27" i="59"/>
  <c r="H26" i="61"/>
  <c r="I26" i="61" s="1"/>
  <c r="D27" i="61"/>
  <c r="E27" i="61"/>
  <c r="D21" i="26"/>
  <c r="E21" i="26" s="1"/>
  <c r="B32" i="70"/>
  <c r="F32" i="70"/>
  <c r="G32" i="70" s="1"/>
  <c r="F23" i="80"/>
  <c r="H23" i="80" s="1"/>
  <c r="B23" i="80"/>
  <c r="B21" i="33"/>
  <c r="F21" i="33"/>
  <c r="D22" i="33" s="1"/>
  <c r="G21" i="33"/>
  <c r="J109" i="31"/>
  <c r="E32" i="71"/>
  <c r="D32" i="71"/>
  <c r="E107" i="60"/>
  <c r="D107" i="60"/>
  <c r="G106" i="60"/>
  <c r="G114" i="70"/>
  <c r="E115" i="70"/>
  <c r="D115" i="70"/>
  <c r="G112" i="17"/>
  <c r="D113" i="17"/>
  <c r="E113" i="17"/>
  <c r="H111" i="17"/>
  <c r="I111" i="17"/>
  <c r="J105" i="54"/>
  <c r="G111" i="30"/>
  <c r="D112" i="30"/>
  <c r="E112" i="30"/>
  <c r="I25" i="62"/>
  <c r="J108" i="21"/>
  <c r="J104" i="61"/>
  <c r="J101" i="83"/>
  <c r="J100" i="91"/>
  <c r="J107" i="39"/>
  <c r="G112" i="28"/>
  <c r="D113" i="28"/>
  <c r="E113" i="28"/>
  <c r="D111" i="32"/>
  <c r="G110" i="32"/>
  <c r="E111" i="32"/>
  <c r="M88" i="86"/>
  <c r="M89" i="86" s="1"/>
  <c r="J107" i="73"/>
  <c r="J102" i="76"/>
  <c r="D104" i="77"/>
  <c r="G103" i="77"/>
  <c r="E104" i="77"/>
  <c r="I29" i="21"/>
  <c r="F32" i="30"/>
  <c r="G32" i="30" s="1"/>
  <c r="B32" i="30"/>
  <c r="I29" i="18"/>
  <c r="I20" i="96"/>
  <c r="G101" i="91"/>
  <c r="D102" i="91"/>
  <c r="E102" i="91"/>
  <c r="F22" i="90"/>
  <c r="G22" i="90" s="1"/>
  <c r="B22" i="90"/>
  <c r="G101" i="84"/>
  <c r="D102" i="84"/>
  <c r="E102" i="84"/>
  <c r="D103" i="99"/>
  <c r="G102" i="99"/>
  <c r="E103" i="99"/>
  <c r="J100" i="90"/>
  <c r="D110" i="18"/>
  <c r="G109" i="18"/>
  <c r="E110" i="18"/>
  <c r="J105" i="58"/>
  <c r="D109" i="73"/>
  <c r="G108" i="73"/>
  <c r="E109" i="73"/>
  <c r="J100" i="88"/>
  <c r="J100" i="86"/>
  <c r="N88" i="86"/>
  <c r="D105" i="82"/>
  <c r="E105" i="82"/>
  <c r="G104" i="82"/>
  <c r="G101" i="98"/>
  <c r="D102" i="98"/>
  <c r="E102" i="98"/>
  <c r="I109" i="34"/>
  <c r="H109" i="34"/>
  <c r="J103" i="65"/>
  <c r="J100" i="98"/>
  <c r="F32" i="29"/>
  <c r="H32" i="29" s="1"/>
  <c r="B32" i="29"/>
  <c r="J105" i="53"/>
  <c r="I28" i="39"/>
  <c r="G102" i="81"/>
  <c r="D103" i="81"/>
  <c r="E103" i="81"/>
  <c r="I21" i="90"/>
  <c r="G27" i="54"/>
  <c r="H27" i="54"/>
  <c r="F27" i="54"/>
  <c r="B27" i="54"/>
  <c r="B23" i="88"/>
  <c r="F23" i="88"/>
  <c r="G23" i="88" s="1"/>
  <c r="G108" i="74"/>
  <c r="D109" i="74"/>
  <c r="E109" i="74"/>
  <c r="D22" i="25"/>
  <c r="E22" i="25" s="1"/>
  <c r="E102" i="92"/>
  <c r="D102" i="92"/>
  <c r="G101" i="92"/>
  <c r="D107" i="46"/>
  <c r="G106" i="46"/>
  <c r="E107" i="46"/>
  <c r="G102" i="100"/>
  <c r="D103" i="100"/>
  <c r="E103" i="100"/>
  <c r="G101" i="96"/>
  <c r="D102" i="96"/>
  <c r="E102" i="96"/>
  <c r="D102" i="86"/>
  <c r="G101" i="86"/>
  <c r="E102" i="86"/>
  <c r="G103" i="79"/>
  <c r="D104" i="79"/>
  <c r="E104" i="79"/>
  <c r="J111" i="28"/>
  <c r="D112" i="69"/>
  <c r="G111" i="69"/>
  <c r="E112" i="69"/>
  <c r="G104" i="85"/>
  <c r="E105" i="85"/>
  <c r="D105" i="85"/>
  <c r="B30" i="18"/>
  <c r="F30" i="18"/>
  <c r="H30" i="18" s="1"/>
  <c r="J101" i="80"/>
  <c r="J107" i="55"/>
  <c r="F110" i="34"/>
  <c r="B110" i="34"/>
  <c r="D113" i="20"/>
  <c r="G112" i="20"/>
  <c r="E113" i="20"/>
  <c r="J102" i="77"/>
  <c r="J107" i="74"/>
  <c r="I104" i="78"/>
  <c r="H104" i="78"/>
  <c r="J109" i="71"/>
  <c r="F22" i="89"/>
  <c r="H22" i="89" s="1"/>
  <c r="B22" i="89"/>
  <c r="H104" i="66"/>
  <c r="I104" i="66"/>
  <c r="J104" i="64"/>
  <c r="G101" i="89"/>
  <c r="D102" i="89"/>
  <c r="E102" i="89"/>
  <c r="G106" i="72"/>
  <c r="D107" i="72"/>
  <c r="E107" i="72"/>
  <c r="J100" i="92"/>
  <c r="G106" i="56"/>
  <c r="D107" i="56"/>
  <c r="E107" i="56"/>
  <c r="D102" i="90"/>
  <c r="G101" i="90"/>
  <c r="E102" i="90"/>
  <c r="E108" i="62"/>
  <c r="D108" i="62"/>
  <c r="G107" i="62"/>
  <c r="F31" i="32"/>
  <c r="G31" i="32" s="1"/>
  <c r="B31" i="32"/>
  <c r="J110" i="69"/>
  <c r="D107" i="54"/>
  <c r="G106" i="54"/>
  <c r="E107" i="54"/>
  <c r="F106" i="63"/>
  <c r="B106" i="63"/>
  <c r="G103" i="76"/>
  <c r="D104" i="76"/>
  <c r="E104" i="76"/>
  <c r="J110" i="30"/>
  <c r="J107" i="41"/>
  <c r="D110" i="21"/>
  <c r="G109" i="21"/>
  <c r="E110" i="21"/>
  <c r="B112" i="23"/>
  <c r="F112" i="23"/>
  <c r="B105" i="66"/>
  <c r="F105" i="66"/>
  <c r="D105" i="68"/>
  <c r="G104" i="68"/>
  <c r="E105" i="68"/>
  <c r="G108" i="39"/>
  <c r="D109" i="39"/>
  <c r="E109" i="39"/>
  <c r="H106" i="67"/>
  <c r="I106" i="67"/>
  <c r="D112" i="27"/>
  <c r="G111" i="27"/>
  <c r="E112" i="27"/>
  <c r="J101" i="99"/>
  <c r="J109" i="32"/>
  <c r="J104" i="59"/>
  <c r="H113" i="29"/>
  <c r="I113" i="29"/>
  <c r="F21" i="96"/>
  <c r="G21" i="96" s="1"/>
  <c r="B21" i="96"/>
  <c r="H105" i="63"/>
  <c r="I105" i="63"/>
  <c r="D107" i="53"/>
  <c r="G106" i="53"/>
  <c r="E107" i="53"/>
  <c r="B24" i="78"/>
  <c r="H24" i="78"/>
  <c r="F24" i="78"/>
  <c r="I29" i="22"/>
  <c r="I111" i="35"/>
  <c r="H111" i="35"/>
  <c r="G106" i="57"/>
  <c r="D107" i="57"/>
  <c r="E107" i="57"/>
  <c r="J101" i="81"/>
  <c r="F29" i="39"/>
  <c r="G29" i="39" s="1"/>
  <c r="B29" i="39"/>
  <c r="F105" i="78"/>
  <c r="B105" i="78"/>
  <c r="H111" i="23"/>
  <c r="I111" i="23"/>
  <c r="J108" i="3"/>
  <c r="B24" i="75"/>
  <c r="F24" i="75"/>
  <c r="G24" i="75" s="1"/>
  <c r="H24" i="75"/>
  <c r="J105" i="72"/>
  <c r="N89" i="34"/>
  <c r="O88" i="34"/>
  <c r="O89" i="34" s="1"/>
  <c r="F107" i="67"/>
  <c r="B107" i="67"/>
  <c r="J100" i="84"/>
  <c r="D106" i="59"/>
  <c r="G105" i="59"/>
  <c r="E106" i="59"/>
  <c r="J110" i="27"/>
  <c r="J100" i="96"/>
  <c r="J108" i="18"/>
  <c r="D107" i="58"/>
  <c r="G106" i="58"/>
  <c r="E107" i="58"/>
  <c r="J108" i="22"/>
  <c r="F30" i="21"/>
  <c r="H30" i="21"/>
  <c r="G30" i="21"/>
  <c r="B30" i="21"/>
  <c r="B114" i="29"/>
  <c r="F114" i="29"/>
  <c r="D105" i="65"/>
  <c r="G104" i="65"/>
  <c r="E105" i="65"/>
  <c r="G112" i="35"/>
  <c r="E113" i="35"/>
  <c r="F113" i="35" s="1"/>
  <c r="B113" i="35"/>
  <c r="D111" i="71"/>
  <c r="G110" i="71"/>
  <c r="E111" i="71"/>
  <c r="I31" i="29"/>
  <c r="G109" i="3"/>
  <c r="D110" i="3"/>
  <c r="E110" i="3"/>
  <c r="G105" i="61"/>
  <c r="D106" i="61"/>
  <c r="E106" i="61"/>
  <c r="B21" i="100"/>
  <c r="F21" i="100"/>
  <c r="H21" i="100" s="1"/>
  <c r="G105" i="64"/>
  <c r="D106" i="64"/>
  <c r="E106" i="64"/>
  <c r="I109" i="19"/>
  <c r="H109" i="19"/>
  <c r="J102" i="79"/>
  <c r="D111" i="24"/>
  <c r="G110" i="24"/>
  <c r="E111" i="24"/>
  <c r="D106" i="75"/>
  <c r="E106" i="75"/>
  <c r="G105" i="75"/>
  <c r="J103" i="68"/>
  <c r="J106" i="62"/>
  <c r="G109" i="22"/>
  <c r="D110" i="22"/>
  <c r="E110" i="22"/>
  <c r="G102" i="80"/>
  <c r="D103" i="80"/>
  <c r="E103" i="80"/>
  <c r="J105" i="46"/>
  <c r="G107" i="45"/>
  <c r="D108" i="45"/>
  <c r="E108" i="45"/>
  <c r="J105" i="56"/>
  <c r="J106" i="45"/>
  <c r="G101" i="88"/>
  <c r="D102" i="88"/>
  <c r="E102" i="88"/>
  <c r="F22" i="87"/>
  <c r="B22" i="87"/>
  <c r="J111" i="20"/>
  <c r="E109" i="55"/>
  <c r="G108" i="55"/>
  <c r="D109" i="55"/>
  <c r="J105" i="57"/>
  <c r="B26" i="62"/>
  <c r="F26" i="62"/>
  <c r="G26" i="62" s="1"/>
  <c r="F110" i="19"/>
  <c r="B110" i="19"/>
  <c r="J103" i="82"/>
  <c r="D103" i="83"/>
  <c r="G102" i="83"/>
  <c r="E103" i="83"/>
  <c r="J103" i="85"/>
  <c r="J100" i="89"/>
  <c r="J101" i="100"/>
  <c r="J104" i="75"/>
  <c r="J109" i="24"/>
  <c r="B30" i="22"/>
  <c r="F30" i="22"/>
  <c r="G30" i="22" s="1"/>
  <c r="D109" i="41"/>
  <c r="G108" i="41"/>
  <c r="E109" i="41"/>
  <c r="I23" i="75"/>
  <c r="I78" i="36"/>
  <c r="H26" i="62" l="1"/>
  <c r="H32" i="70"/>
  <c r="I27" i="35"/>
  <c r="I21" i="98"/>
  <c r="J107" i="43"/>
  <c r="F103" i="95"/>
  <c r="B103" i="95"/>
  <c r="H101" i="87"/>
  <c r="I101" i="87"/>
  <c r="H102" i="95"/>
  <c r="I102" i="95"/>
  <c r="J102" i="95" s="1"/>
  <c r="G23" i="80"/>
  <c r="I31" i="69"/>
  <c r="J100" i="26"/>
  <c r="F102" i="87"/>
  <c r="B102" i="87"/>
  <c r="G22" i="89"/>
  <c r="D102" i="26"/>
  <c r="G101" i="26"/>
  <c r="D32" i="23"/>
  <c r="E32" i="23"/>
  <c r="B25" i="65"/>
  <c r="F25" i="65"/>
  <c r="B31" i="24"/>
  <c r="F27" i="58"/>
  <c r="G27" i="58"/>
  <c r="B27" i="58"/>
  <c r="F33" i="28"/>
  <c r="G33" i="28" s="1"/>
  <c r="B33" i="28"/>
  <c r="H30" i="22"/>
  <c r="I32" i="70"/>
  <c r="J102" i="13"/>
  <c r="D30" i="42"/>
  <c r="E30" i="42"/>
  <c r="B27" i="46"/>
  <c r="F27" i="46"/>
  <c r="G27" i="46" s="1"/>
  <c r="B102" i="25"/>
  <c r="E102" i="25"/>
  <c r="F102" i="25" s="1"/>
  <c r="B31" i="34"/>
  <c r="F31" i="34"/>
  <c r="H31" i="34" s="1"/>
  <c r="G31" i="34"/>
  <c r="E24" i="85"/>
  <c r="D24" i="85"/>
  <c r="D24" i="81"/>
  <c r="E24" i="81"/>
  <c r="F29" i="41"/>
  <c r="B29" i="41"/>
  <c r="H29" i="41"/>
  <c r="F21" i="99"/>
  <c r="B21" i="99"/>
  <c r="F27" i="57"/>
  <c r="B27" i="57"/>
  <c r="F23" i="82"/>
  <c r="B23" i="82"/>
  <c r="F25" i="66"/>
  <c r="B25" i="66"/>
  <c r="D25" i="76"/>
  <c r="E25" i="76"/>
  <c r="B29" i="74"/>
  <c r="F29" i="74"/>
  <c r="H29" i="74"/>
  <c r="I30" i="31"/>
  <c r="B27" i="56"/>
  <c r="F27" i="56"/>
  <c r="H27" i="56" s="1"/>
  <c r="G27" i="56"/>
  <c r="F29" i="44"/>
  <c r="G29" i="44" s="1"/>
  <c r="B29" i="44"/>
  <c r="B31" i="31"/>
  <c r="F31" i="31"/>
  <c r="G31" i="31" s="1"/>
  <c r="H31" i="31"/>
  <c r="E109" i="43"/>
  <c r="D109" i="43"/>
  <c r="G108" i="43"/>
  <c r="E29" i="35"/>
  <c r="F29" i="35" s="1"/>
  <c r="B29" i="35"/>
  <c r="H28" i="35"/>
  <c r="G28" i="35"/>
  <c r="N5" i="35" s="1"/>
  <c r="F26" i="63"/>
  <c r="B26" i="63"/>
  <c r="G26" i="63"/>
  <c r="G23" i="81"/>
  <c r="I23" i="81" s="1"/>
  <c r="G27" i="72"/>
  <c r="I27" i="72" s="1"/>
  <c r="D28" i="72"/>
  <c r="E28" i="72"/>
  <c r="D103" i="97"/>
  <c r="G102" i="97"/>
  <c r="E103" i="97"/>
  <c r="H24" i="77"/>
  <c r="I24" i="77" s="1"/>
  <c r="E25" i="77"/>
  <c r="D25" i="77"/>
  <c r="G29" i="42"/>
  <c r="J107" i="42"/>
  <c r="G23" i="85"/>
  <c r="I23" i="85" s="1"/>
  <c r="B30" i="3"/>
  <c r="F30" i="3"/>
  <c r="B22" i="92"/>
  <c r="G22" i="92"/>
  <c r="F22" i="92"/>
  <c r="D103" i="33"/>
  <c r="E103" i="33" s="1"/>
  <c r="G102" i="33"/>
  <c r="F25" i="67"/>
  <c r="G25" i="67" s="1"/>
  <c r="B25" i="67"/>
  <c r="G24" i="76"/>
  <c r="B28" i="45"/>
  <c r="F28" i="45"/>
  <c r="G28" i="45" s="1"/>
  <c r="F24" i="79"/>
  <c r="G24" i="79" s="1"/>
  <c r="B24" i="79"/>
  <c r="H24" i="79"/>
  <c r="G31" i="23"/>
  <c r="B23" i="84"/>
  <c r="F23" i="84"/>
  <c r="G23" i="84" s="1"/>
  <c r="H21" i="33"/>
  <c r="F23" i="83"/>
  <c r="H23" i="83"/>
  <c r="B23" i="83"/>
  <c r="F21" i="95"/>
  <c r="B21" i="95"/>
  <c r="G21" i="95"/>
  <c r="J107" i="44"/>
  <c r="E22" i="98"/>
  <c r="D22" i="98"/>
  <c r="F32" i="27"/>
  <c r="B32" i="27"/>
  <c r="H29" i="42"/>
  <c r="I29" i="42" s="1"/>
  <c r="F31" i="24"/>
  <c r="H31" i="24" s="1"/>
  <c r="B27" i="53"/>
  <c r="F27" i="53"/>
  <c r="I24" i="67"/>
  <c r="B26" i="60"/>
  <c r="F26" i="60"/>
  <c r="H26" i="60"/>
  <c r="I22" i="84"/>
  <c r="H30" i="20"/>
  <c r="F30" i="20"/>
  <c r="G30" i="20" s="1"/>
  <c r="I30" i="20" s="1"/>
  <c r="B30" i="20"/>
  <c r="F25" i="68"/>
  <c r="B25" i="68"/>
  <c r="G25" i="68"/>
  <c r="G108" i="44"/>
  <c r="E109" i="44"/>
  <c r="D109" i="44"/>
  <c r="H24" i="76"/>
  <c r="I24" i="76" s="1"/>
  <c r="B29" i="73"/>
  <c r="F29" i="73"/>
  <c r="H29" i="73" s="1"/>
  <c r="G108" i="42"/>
  <c r="D109" i="42"/>
  <c r="B109" i="42" s="1"/>
  <c r="E109" i="42"/>
  <c r="J101" i="33"/>
  <c r="H21" i="97"/>
  <c r="I21" i="97" s="1"/>
  <c r="D22" i="97"/>
  <c r="E22" i="97"/>
  <c r="H101" i="25"/>
  <c r="I101" i="25"/>
  <c r="J101" i="25" s="1"/>
  <c r="F32" i="69"/>
  <c r="B32" i="69"/>
  <c r="H31" i="23"/>
  <c r="I31" i="23" s="1"/>
  <c r="J101" i="97"/>
  <c r="H22" i="13"/>
  <c r="D23" i="13"/>
  <c r="G22" i="13"/>
  <c r="I27" i="55"/>
  <c r="F31" i="19"/>
  <c r="B31" i="19"/>
  <c r="I30" i="21"/>
  <c r="G32" i="29"/>
  <c r="I32" i="29" s="1"/>
  <c r="H32" i="30"/>
  <c r="I23" i="80"/>
  <c r="G27" i="55"/>
  <c r="D28" i="55"/>
  <c r="E28" i="55"/>
  <c r="B23" i="91"/>
  <c r="F23" i="91"/>
  <c r="H23" i="91" s="1"/>
  <c r="I23" i="91" s="1"/>
  <c r="G23" i="91"/>
  <c r="F111" i="31"/>
  <c r="B111" i="31"/>
  <c r="G103" i="13"/>
  <c r="D104" i="13"/>
  <c r="B104" i="13" s="1"/>
  <c r="H110" i="31"/>
  <c r="I110" i="31"/>
  <c r="G21" i="100"/>
  <c r="F32" i="71"/>
  <c r="B32" i="71"/>
  <c r="E22" i="33"/>
  <c r="F22" i="33" s="1"/>
  <c r="D23" i="33" s="1"/>
  <c r="B22" i="33"/>
  <c r="D33" i="70"/>
  <c r="E33" i="70"/>
  <c r="B27" i="61"/>
  <c r="F27" i="61"/>
  <c r="H27" i="61" s="1"/>
  <c r="G26" i="64"/>
  <c r="I26" i="64" s="1"/>
  <c r="D27" i="64"/>
  <c r="E27" i="64"/>
  <c r="H21" i="96"/>
  <c r="H31" i="32"/>
  <c r="I21" i="33"/>
  <c r="D24" i="80"/>
  <c r="E24" i="80"/>
  <c r="F21" i="26"/>
  <c r="B21" i="26"/>
  <c r="B27" i="59"/>
  <c r="F27" i="59"/>
  <c r="G27" i="59"/>
  <c r="H27" i="59"/>
  <c r="I27" i="59" s="1"/>
  <c r="H29" i="43"/>
  <c r="I29" i="43" s="1"/>
  <c r="D30" i="43"/>
  <c r="E30" i="43"/>
  <c r="F30" i="17"/>
  <c r="H30" i="17" s="1"/>
  <c r="B30" i="17"/>
  <c r="C39" i="17"/>
  <c r="G23" i="86"/>
  <c r="I23" i="86" s="1"/>
  <c r="D24" i="86"/>
  <c r="E24" i="86"/>
  <c r="H112" i="17"/>
  <c r="I112" i="17"/>
  <c r="J112" i="17" s="1"/>
  <c r="I106" i="60"/>
  <c r="H106" i="60"/>
  <c r="J111" i="17"/>
  <c r="B107" i="60"/>
  <c r="F107" i="60"/>
  <c r="F115" i="70"/>
  <c r="B115" i="70"/>
  <c r="H114" i="70"/>
  <c r="I114" i="70"/>
  <c r="J114" i="70" s="1"/>
  <c r="F113" i="17"/>
  <c r="B113" i="17"/>
  <c r="V78" i="36"/>
  <c r="D23" i="87"/>
  <c r="E23" i="87"/>
  <c r="F103" i="80"/>
  <c r="B103" i="80"/>
  <c r="F106" i="64"/>
  <c r="B106" i="64"/>
  <c r="G113" i="35"/>
  <c r="B114" i="35"/>
  <c r="E114" i="35"/>
  <c r="F114" i="35" s="1"/>
  <c r="B105" i="65"/>
  <c r="F105" i="65"/>
  <c r="J105" i="63"/>
  <c r="H108" i="39"/>
  <c r="I108" i="39"/>
  <c r="H109" i="21"/>
  <c r="I109" i="21"/>
  <c r="B107" i="56"/>
  <c r="F107" i="56"/>
  <c r="J104" i="66"/>
  <c r="H106" i="46"/>
  <c r="I106" i="46"/>
  <c r="H108" i="41"/>
  <c r="I108" i="41"/>
  <c r="G22" i="87"/>
  <c r="B108" i="45"/>
  <c r="F108" i="45"/>
  <c r="I102" i="80"/>
  <c r="H102" i="80"/>
  <c r="H105" i="75"/>
  <c r="I105" i="75"/>
  <c r="H105" i="64"/>
  <c r="I105" i="64"/>
  <c r="I105" i="61"/>
  <c r="H105" i="61"/>
  <c r="H112" i="35"/>
  <c r="I112" i="35"/>
  <c r="J112" i="35" s="1"/>
  <c r="G114" i="29"/>
  <c r="D115" i="29"/>
  <c r="E115" i="29"/>
  <c r="D25" i="78"/>
  <c r="E25" i="78"/>
  <c r="D106" i="66"/>
  <c r="E106" i="66"/>
  <c r="G105" i="66"/>
  <c r="B110" i="21"/>
  <c r="F110" i="21"/>
  <c r="I106" i="54"/>
  <c r="H106" i="54"/>
  <c r="I101" i="90"/>
  <c r="H101" i="90"/>
  <c r="I106" i="56"/>
  <c r="H106" i="56"/>
  <c r="B113" i="20"/>
  <c r="F113" i="20"/>
  <c r="F112" i="69"/>
  <c r="B112" i="69"/>
  <c r="H103" i="79"/>
  <c r="I103" i="79"/>
  <c r="F107" i="46"/>
  <c r="B107" i="46"/>
  <c r="H108" i="74"/>
  <c r="I108" i="74"/>
  <c r="D28" i="54"/>
  <c r="E28" i="54"/>
  <c r="N89" i="86"/>
  <c r="O88" i="86"/>
  <c r="O89" i="86" s="1"/>
  <c r="B110" i="18"/>
  <c r="F110" i="18"/>
  <c r="F102" i="84"/>
  <c r="B102" i="84"/>
  <c r="D33" i="30"/>
  <c r="E33" i="30"/>
  <c r="B113" i="28"/>
  <c r="F113" i="28"/>
  <c r="B112" i="30"/>
  <c r="F112" i="30"/>
  <c r="H107" i="45"/>
  <c r="I107" i="45"/>
  <c r="H105" i="59"/>
  <c r="I105" i="59"/>
  <c r="D30" i="39"/>
  <c r="E30" i="39"/>
  <c r="H111" i="27"/>
  <c r="I111" i="27"/>
  <c r="F107" i="54"/>
  <c r="B107" i="54"/>
  <c r="D32" i="32"/>
  <c r="E32" i="32"/>
  <c r="B102" i="90"/>
  <c r="F102" i="90"/>
  <c r="B102" i="89"/>
  <c r="F102" i="89"/>
  <c r="F105" i="85"/>
  <c r="B105" i="85"/>
  <c r="F102" i="96"/>
  <c r="B102" i="96"/>
  <c r="B22" i="25"/>
  <c r="F22" i="25"/>
  <c r="H22" i="25" s="1"/>
  <c r="I27" i="54"/>
  <c r="H101" i="84"/>
  <c r="I101" i="84"/>
  <c r="I103" i="77"/>
  <c r="H103" i="77"/>
  <c r="H112" i="28"/>
  <c r="I112" i="28"/>
  <c r="H111" i="30"/>
  <c r="I111" i="30"/>
  <c r="F109" i="41"/>
  <c r="B109" i="41"/>
  <c r="I21" i="100"/>
  <c r="B107" i="57"/>
  <c r="F107" i="57"/>
  <c r="H107" i="62"/>
  <c r="I107" i="62"/>
  <c r="D31" i="18"/>
  <c r="E31" i="18"/>
  <c r="H101" i="96"/>
  <c r="I101" i="96"/>
  <c r="B102" i="98"/>
  <c r="F102" i="98"/>
  <c r="B104" i="77"/>
  <c r="F104" i="77"/>
  <c r="G110" i="19"/>
  <c r="D111" i="19"/>
  <c r="E111" i="19"/>
  <c r="I26" i="62"/>
  <c r="B109" i="55"/>
  <c r="F109" i="55"/>
  <c r="B106" i="75"/>
  <c r="F106" i="75"/>
  <c r="E22" i="100"/>
  <c r="D22" i="100"/>
  <c r="B106" i="59"/>
  <c r="F106" i="59"/>
  <c r="H29" i="39"/>
  <c r="B112" i="27"/>
  <c r="F112" i="27"/>
  <c r="I101" i="89"/>
  <c r="H101" i="89"/>
  <c r="D31" i="22"/>
  <c r="E31" i="22"/>
  <c r="D27" i="62"/>
  <c r="E27" i="62"/>
  <c r="I108" i="55"/>
  <c r="H108" i="55"/>
  <c r="F110" i="22"/>
  <c r="B110" i="22"/>
  <c r="I106" i="57"/>
  <c r="H106" i="57"/>
  <c r="G24" i="78"/>
  <c r="J106" i="67"/>
  <c r="F104" i="76"/>
  <c r="B104" i="76"/>
  <c r="B108" i="62"/>
  <c r="F108" i="62"/>
  <c r="J104" i="78"/>
  <c r="D111" i="34"/>
  <c r="G110" i="34"/>
  <c r="E111" i="34"/>
  <c r="G30" i="18"/>
  <c r="H104" i="85"/>
  <c r="I104" i="85"/>
  <c r="J104" i="85" s="1"/>
  <c r="H23" i="88"/>
  <c r="I23" i="88" s="1"/>
  <c r="J109" i="34"/>
  <c r="H101" i="98"/>
  <c r="I101" i="98"/>
  <c r="H22" i="90"/>
  <c r="I30" i="22"/>
  <c r="I102" i="83"/>
  <c r="H102" i="83"/>
  <c r="F102" i="88"/>
  <c r="B102" i="88"/>
  <c r="H109" i="22"/>
  <c r="I109" i="22"/>
  <c r="J109" i="19"/>
  <c r="F110" i="3"/>
  <c r="B110" i="3"/>
  <c r="I106" i="58"/>
  <c r="H106" i="58"/>
  <c r="I24" i="75"/>
  <c r="I21" i="96"/>
  <c r="I103" i="76"/>
  <c r="H103" i="76"/>
  <c r="D23" i="89"/>
  <c r="E23" i="89"/>
  <c r="I101" i="86"/>
  <c r="H101" i="86"/>
  <c r="F103" i="100"/>
  <c r="B103" i="100"/>
  <c r="D33" i="29"/>
  <c r="E33" i="29"/>
  <c r="I104" i="82"/>
  <c r="H104" i="82"/>
  <c r="I102" i="99"/>
  <c r="H102" i="99"/>
  <c r="B102" i="91"/>
  <c r="F102" i="91"/>
  <c r="F103" i="83"/>
  <c r="B103" i="83"/>
  <c r="I101" i="88"/>
  <c r="H101" i="88"/>
  <c r="I110" i="24"/>
  <c r="H110" i="24"/>
  <c r="H109" i="3"/>
  <c r="I109" i="3"/>
  <c r="I110" i="71"/>
  <c r="H110" i="71"/>
  <c r="F107" i="58"/>
  <c r="B107" i="58"/>
  <c r="D108" i="67"/>
  <c r="E108" i="67"/>
  <c r="G107" i="67"/>
  <c r="E25" i="75"/>
  <c r="D25" i="75"/>
  <c r="E106" i="78"/>
  <c r="G105" i="78"/>
  <c r="D106" i="78"/>
  <c r="H106" i="53"/>
  <c r="I106" i="53"/>
  <c r="D22" i="96"/>
  <c r="E22" i="96"/>
  <c r="I104" i="68"/>
  <c r="H104" i="68"/>
  <c r="E113" i="23"/>
  <c r="G112" i="23"/>
  <c r="D113" i="23"/>
  <c r="B107" i="72"/>
  <c r="F107" i="72"/>
  <c r="I22" i="89"/>
  <c r="F102" i="86"/>
  <c r="B102" i="86"/>
  <c r="H102" i="100"/>
  <c r="I102" i="100"/>
  <c r="I101" i="92"/>
  <c r="H101" i="92"/>
  <c r="D24" i="88"/>
  <c r="E24" i="88"/>
  <c r="H108" i="73"/>
  <c r="I108" i="73"/>
  <c r="B103" i="99"/>
  <c r="F103" i="99"/>
  <c r="H101" i="91"/>
  <c r="I101" i="91"/>
  <c r="I32" i="30"/>
  <c r="I110" i="32"/>
  <c r="H110" i="32"/>
  <c r="F111" i="24"/>
  <c r="B111" i="24"/>
  <c r="F111" i="71"/>
  <c r="B111" i="71"/>
  <c r="I104" i="65"/>
  <c r="H104" i="65"/>
  <c r="J111" i="23"/>
  <c r="B107" i="53"/>
  <c r="F107" i="53"/>
  <c r="J113" i="29"/>
  <c r="F109" i="39"/>
  <c r="B109" i="39"/>
  <c r="F105" i="68"/>
  <c r="B105" i="68"/>
  <c r="G106" i="63"/>
  <c r="D107" i="63"/>
  <c r="E107" i="63"/>
  <c r="I31" i="32"/>
  <c r="H106" i="72"/>
  <c r="I106" i="72"/>
  <c r="F102" i="92"/>
  <c r="B102" i="92"/>
  <c r="B103" i="81"/>
  <c r="F103" i="81"/>
  <c r="B105" i="82"/>
  <c r="F105" i="82"/>
  <c r="F109" i="73"/>
  <c r="B109" i="73"/>
  <c r="E23" i="90"/>
  <c r="D23" i="90"/>
  <c r="F111" i="32"/>
  <c r="B111" i="32"/>
  <c r="H22" i="87"/>
  <c r="B106" i="61"/>
  <c r="F106" i="61"/>
  <c r="D31" i="21"/>
  <c r="E31" i="21"/>
  <c r="J111" i="35"/>
  <c r="I112" i="20"/>
  <c r="H112" i="20"/>
  <c r="I111" i="69"/>
  <c r="H111" i="69"/>
  <c r="B104" i="79"/>
  <c r="F104" i="79"/>
  <c r="F109" i="74"/>
  <c r="B109" i="74"/>
  <c r="H102" i="81"/>
  <c r="I102" i="81"/>
  <c r="I109" i="18"/>
  <c r="H109" i="18"/>
  <c r="E37" i="36"/>
  <c r="I24" i="79" l="1"/>
  <c r="I31" i="31"/>
  <c r="J110" i="31"/>
  <c r="D103" i="87"/>
  <c r="E103" i="87"/>
  <c r="G102" i="87"/>
  <c r="H29" i="44"/>
  <c r="I29" i="44" s="1"/>
  <c r="E104" i="95"/>
  <c r="G103" i="95"/>
  <c r="D104" i="95"/>
  <c r="J101" i="87"/>
  <c r="G32" i="69"/>
  <c r="D33" i="69"/>
  <c r="E33" i="69"/>
  <c r="B22" i="97"/>
  <c r="F22" i="97"/>
  <c r="I108" i="44"/>
  <c r="H108" i="44"/>
  <c r="E26" i="68"/>
  <c r="D26" i="68"/>
  <c r="E28" i="53"/>
  <c r="D28" i="53"/>
  <c r="B22" i="98"/>
  <c r="F22" i="98"/>
  <c r="G22" i="98" s="1"/>
  <c r="D26" i="67"/>
  <c r="E26" i="67"/>
  <c r="D23" i="92"/>
  <c r="E23" i="92"/>
  <c r="E31" i="3"/>
  <c r="D31" i="3"/>
  <c r="F103" i="97"/>
  <c r="B103" i="97"/>
  <c r="D27" i="63"/>
  <c r="E27" i="63"/>
  <c r="H29" i="35"/>
  <c r="G29" i="35"/>
  <c r="B30" i="35"/>
  <c r="E30" i="35"/>
  <c r="F30" i="35" s="1"/>
  <c r="I27" i="56"/>
  <c r="E24" i="82"/>
  <c r="D24" i="82"/>
  <c r="H21" i="99"/>
  <c r="E22" i="99"/>
  <c r="D22" i="99"/>
  <c r="I31" i="34"/>
  <c r="H27" i="46"/>
  <c r="I27" i="46" s="1"/>
  <c r="E28" i="46"/>
  <c r="D28" i="46"/>
  <c r="D34" i="28"/>
  <c r="E34" i="28"/>
  <c r="G31" i="24"/>
  <c r="I31" i="24" s="1"/>
  <c r="G25" i="65"/>
  <c r="E26" i="65"/>
  <c r="D26" i="65"/>
  <c r="B32" i="23"/>
  <c r="F32" i="23"/>
  <c r="G32" i="23"/>
  <c r="H108" i="42"/>
  <c r="I108" i="42"/>
  <c r="J108" i="42" s="1"/>
  <c r="D33" i="27"/>
  <c r="E33" i="27"/>
  <c r="H23" i="84"/>
  <c r="I23" i="84" s="1"/>
  <c r="D24" i="84"/>
  <c r="E24" i="84"/>
  <c r="E29" i="45"/>
  <c r="D29" i="45"/>
  <c r="I102" i="33"/>
  <c r="J102" i="33" s="1"/>
  <c r="H102" i="33"/>
  <c r="I108" i="43"/>
  <c r="H108" i="43"/>
  <c r="F25" i="76"/>
  <c r="H25" i="76" s="1"/>
  <c r="B25" i="76"/>
  <c r="D26" i="66"/>
  <c r="E26" i="66"/>
  <c r="H23" i="82"/>
  <c r="D28" i="57"/>
  <c r="E28" i="57"/>
  <c r="F24" i="81"/>
  <c r="H24" i="81" s="1"/>
  <c r="B24" i="81"/>
  <c r="B30" i="42"/>
  <c r="F30" i="42"/>
  <c r="H30" i="42" s="1"/>
  <c r="H25" i="65"/>
  <c r="I101" i="26"/>
  <c r="J101" i="26" s="1"/>
  <c r="H101" i="26"/>
  <c r="H32" i="69"/>
  <c r="I32" i="69" s="1"/>
  <c r="B109" i="44"/>
  <c r="F109" i="44"/>
  <c r="G27" i="53"/>
  <c r="D32" i="24"/>
  <c r="E32" i="24"/>
  <c r="H32" i="27"/>
  <c r="E22" i="95"/>
  <c r="D22" i="95"/>
  <c r="D24" i="83"/>
  <c r="E24" i="83"/>
  <c r="H25" i="67"/>
  <c r="I25" i="67" s="1"/>
  <c r="H22" i="92"/>
  <c r="I22" i="92" s="1"/>
  <c r="G30" i="3"/>
  <c r="F28" i="72"/>
  <c r="B28" i="72"/>
  <c r="H28" i="72"/>
  <c r="H26" i="63"/>
  <c r="I26" i="63" s="1"/>
  <c r="N6" i="35"/>
  <c r="N7" i="35" s="1"/>
  <c r="I28" i="35"/>
  <c r="B109" i="43"/>
  <c r="F109" i="43"/>
  <c r="D32" i="31"/>
  <c r="E32" i="31"/>
  <c r="D30" i="44"/>
  <c r="E30" i="44"/>
  <c r="D28" i="56"/>
  <c r="E28" i="56"/>
  <c r="G29" i="74"/>
  <c r="I29" i="74" s="1"/>
  <c r="D30" i="74"/>
  <c r="E30" i="74"/>
  <c r="G25" i="66"/>
  <c r="G23" i="82"/>
  <c r="I23" i="82" s="1"/>
  <c r="H27" i="57"/>
  <c r="G21" i="99"/>
  <c r="I21" i="99" s="1"/>
  <c r="F24" i="85"/>
  <c r="H24" i="85" s="1"/>
  <c r="I24" i="85" s="1"/>
  <c r="B24" i="85"/>
  <c r="G24" i="85"/>
  <c r="D32" i="34"/>
  <c r="E32" i="34"/>
  <c r="D103" i="25"/>
  <c r="G102" i="25"/>
  <c r="H33" i="28"/>
  <c r="I33" i="28" s="1"/>
  <c r="B102" i="26"/>
  <c r="F109" i="42"/>
  <c r="G29" i="73"/>
  <c r="I29" i="73" s="1"/>
  <c r="E30" i="73"/>
  <c r="D30" i="73"/>
  <c r="H25" i="68"/>
  <c r="I25" i="68" s="1"/>
  <c r="E31" i="20"/>
  <c r="D31" i="20"/>
  <c r="G26" i="60"/>
  <c r="I26" i="60" s="1"/>
  <c r="D27" i="60"/>
  <c r="E27" i="60"/>
  <c r="H27" i="53"/>
  <c r="I27" i="53" s="1"/>
  <c r="G32" i="27"/>
  <c r="H21" i="95"/>
  <c r="I21" i="95" s="1"/>
  <c r="G23" i="83"/>
  <c r="I23" i="83" s="1"/>
  <c r="D25" i="79"/>
  <c r="E25" i="79"/>
  <c r="H28" i="45"/>
  <c r="I28" i="45" s="1"/>
  <c r="B103" i="33"/>
  <c r="F103" i="33"/>
  <c r="H30" i="3"/>
  <c r="I30" i="3" s="1"/>
  <c r="F25" i="77"/>
  <c r="G25" i="77" s="1"/>
  <c r="B25" i="77"/>
  <c r="I102" i="97"/>
  <c r="H102" i="97"/>
  <c r="H25" i="66"/>
  <c r="G27" i="57"/>
  <c r="G29" i="41"/>
  <c r="I29" i="41" s="1"/>
  <c r="E30" i="41"/>
  <c r="D30" i="41"/>
  <c r="H27" i="58"/>
  <c r="I27" i="58" s="1"/>
  <c r="D28" i="58"/>
  <c r="E28" i="58"/>
  <c r="E102" i="26"/>
  <c r="F102" i="26" s="1"/>
  <c r="D22" i="26"/>
  <c r="D33" i="71"/>
  <c r="E33" i="71"/>
  <c r="D31" i="17"/>
  <c r="E31" i="17"/>
  <c r="G21" i="26"/>
  <c r="F33" i="70"/>
  <c r="G33" i="70" s="1"/>
  <c r="B33" i="70"/>
  <c r="H33" i="70"/>
  <c r="E23" i="33"/>
  <c r="F23" i="33" s="1"/>
  <c r="B23" i="33"/>
  <c r="G32" i="71"/>
  <c r="G111" i="31"/>
  <c r="D112" i="31"/>
  <c r="E112" i="31"/>
  <c r="E104" i="13"/>
  <c r="F104" i="13" s="1"/>
  <c r="F28" i="55"/>
  <c r="B28" i="55"/>
  <c r="B23" i="13"/>
  <c r="G22" i="25"/>
  <c r="B30" i="43"/>
  <c r="F30" i="43"/>
  <c r="B24" i="80"/>
  <c r="F24" i="80"/>
  <c r="G24" i="80" s="1"/>
  <c r="G27" i="61"/>
  <c r="I27" i="61" s="1"/>
  <c r="D28" i="61"/>
  <c r="E28" i="61"/>
  <c r="H22" i="33"/>
  <c r="D24" i="91"/>
  <c r="E24" i="91"/>
  <c r="I22" i="13"/>
  <c r="G31" i="19"/>
  <c r="E32" i="19"/>
  <c r="D32" i="19"/>
  <c r="F24" i="86"/>
  <c r="B24" i="86"/>
  <c r="G30" i="17"/>
  <c r="I30" i="17" s="1"/>
  <c r="D28" i="59"/>
  <c r="E28" i="59"/>
  <c r="H21" i="26"/>
  <c r="I21" i="26" s="1"/>
  <c r="B27" i="64"/>
  <c r="F27" i="64"/>
  <c r="H27" i="64" s="1"/>
  <c r="G22" i="33"/>
  <c r="H32" i="71"/>
  <c r="I32" i="71" s="1"/>
  <c r="I103" i="13"/>
  <c r="H103" i="13"/>
  <c r="H31" i="19"/>
  <c r="I31" i="19" s="1"/>
  <c r="E23" i="13"/>
  <c r="F23" i="13" s="1"/>
  <c r="J106" i="60"/>
  <c r="E114" i="17"/>
  <c r="G113" i="17"/>
  <c r="D114" i="17"/>
  <c r="E116" i="70"/>
  <c r="D116" i="70"/>
  <c r="G115" i="70"/>
  <c r="D108" i="60"/>
  <c r="G107" i="60"/>
  <c r="E108" i="60"/>
  <c r="I22" i="25"/>
  <c r="J109" i="18"/>
  <c r="F31" i="21"/>
  <c r="G31" i="21" s="1"/>
  <c r="B31" i="21"/>
  <c r="H31" i="21"/>
  <c r="G111" i="32"/>
  <c r="D112" i="32"/>
  <c r="E112" i="32"/>
  <c r="D104" i="99"/>
  <c r="G103" i="99"/>
  <c r="E104" i="99"/>
  <c r="J101" i="92"/>
  <c r="J104" i="68"/>
  <c r="I105" i="78"/>
  <c r="H105" i="78"/>
  <c r="D104" i="100"/>
  <c r="G103" i="100"/>
  <c r="E104" i="100"/>
  <c r="D106" i="68"/>
  <c r="G105" i="68"/>
  <c r="E106" i="68"/>
  <c r="J102" i="100"/>
  <c r="G109" i="74"/>
  <c r="D110" i="74"/>
  <c r="E110" i="74"/>
  <c r="D103" i="92"/>
  <c r="E103" i="92"/>
  <c r="G102" i="92"/>
  <c r="F22" i="96"/>
  <c r="H22" i="96" s="1"/>
  <c r="B22" i="96"/>
  <c r="F25" i="75"/>
  <c r="G25" i="75" s="1"/>
  <c r="B25" i="75"/>
  <c r="J101" i="88"/>
  <c r="J101" i="86"/>
  <c r="D103" i="88"/>
  <c r="G102" i="88"/>
  <c r="E103" i="88"/>
  <c r="J102" i="83"/>
  <c r="J112" i="28"/>
  <c r="J107" i="45"/>
  <c r="B33" i="30"/>
  <c r="G33" i="30"/>
  <c r="F33" i="30"/>
  <c r="H33" i="30"/>
  <c r="D103" i="84"/>
  <c r="G102" i="84"/>
  <c r="E103" i="84"/>
  <c r="D114" i="20"/>
  <c r="G113" i="20"/>
  <c r="E114" i="20"/>
  <c r="H113" i="35"/>
  <c r="I113" i="35"/>
  <c r="J111" i="69"/>
  <c r="J108" i="73"/>
  <c r="J112" i="20"/>
  <c r="J106" i="53"/>
  <c r="G104" i="76"/>
  <c r="D105" i="76"/>
  <c r="E105" i="76"/>
  <c r="F22" i="100"/>
  <c r="H22" i="100" s="1"/>
  <c r="B22" i="100"/>
  <c r="F32" i="32"/>
  <c r="G32" i="32" s="1"/>
  <c r="B32" i="32"/>
  <c r="G110" i="18"/>
  <c r="D111" i="18"/>
  <c r="E111" i="18"/>
  <c r="G107" i="46"/>
  <c r="D108" i="46"/>
  <c r="E108" i="46"/>
  <c r="J101" i="90"/>
  <c r="J108" i="41"/>
  <c r="J109" i="21"/>
  <c r="I22" i="87"/>
  <c r="D105" i="79"/>
  <c r="G104" i="79"/>
  <c r="E105" i="79"/>
  <c r="D110" i="39"/>
  <c r="G109" i="39"/>
  <c r="E110" i="39"/>
  <c r="J110" i="24"/>
  <c r="D111" i="3"/>
  <c r="G110" i="3"/>
  <c r="E111" i="3"/>
  <c r="G108" i="62"/>
  <c r="D109" i="62"/>
  <c r="E109" i="62"/>
  <c r="I107" i="67"/>
  <c r="H107" i="67"/>
  <c r="I22" i="90"/>
  <c r="J108" i="55"/>
  <c r="B31" i="22"/>
  <c r="F31" i="22"/>
  <c r="H31" i="22" s="1"/>
  <c r="J107" i="62"/>
  <c r="J111" i="30"/>
  <c r="D106" i="85"/>
  <c r="G105" i="85"/>
  <c r="E106" i="85"/>
  <c r="J111" i="27"/>
  <c r="F30" i="39"/>
  <c r="H30" i="39" s="1"/>
  <c r="B30" i="39"/>
  <c r="G112" i="30"/>
  <c r="D113" i="30"/>
  <c r="E113" i="30"/>
  <c r="J103" i="79"/>
  <c r="J102" i="80"/>
  <c r="B23" i="90"/>
  <c r="F23" i="90"/>
  <c r="H23" i="90" s="1"/>
  <c r="J102" i="99"/>
  <c r="J103" i="76"/>
  <c r="G111" i="24"/>
  <c r="D112" i="24"/>
  <c r="E112" i="24"/>
  <c r="G102" i="86"/>
  <c r="D103" i="86"/>
  <c r="E103" i="86"/>
  <c r="B113" i="23"/>
  <c r="F113" i="23"/>
  <c r="J102" i="81"/>
  <c r="G106" i="61"/>
  <c r="D107" i="61"/>
  <c r="E107" i="61"/>
  <c r="D104" i="81"/>
  <c r="G103" i="81"/>
  <c r="E104" i="81"/>
  <c r="B107" i="63"/>
  <c r="F107" i="63"/>
  <c r="J104" i="65"/>
  <c r="D108" i="72"/>
  <c r="G107" i="72"/>
  <c r="E108" i="72"/>
  <c r="H112" i="23"/>
  <c r="I112" i="23"/>
  <c r="G107" i="58"/>
  <c r="D108" i="58"/>
  <c r="E108" i="58"/>
  <c r="G112" i="27"/>
  <c r="D113" i="27"/>
  <c r="E113" i="27"/>
  <c r="D107" i="59"/>
  <c r="G106" i="59"/>
  <c r="E107" i="59"/>
  <c r="D107" i="75"/>
  <c r="G106" i="75"/>
  <c r="E107" i="75"/>
  <c r="J101" i="96"/>
  <c r="J103" i="77"/>
  <c r="J105" i="59"/>
  <c r="J106" i="54"/>
  <c r="H105" i="66"/>
  <c r="I105" i="66"/>
  <c r="J105" i="61"/>
  <c r="D109" i="45"/>
  <c r="G108" i="45"/>
  <c r="E109" i="45"/>
  <c r="J106" i="46"/>
  <c r="J108" i="39"/>
  <c r="I106" i="63"/>
  <c r="H106" i="63"/>
  <c r="J110" i="32"/>
  <c r="J101" i="91"/>
  <c r="B24" i="88"/>
  <c r="F24" i="88"/>
  <c r="G24" i="88" s="1"/>
  <c r="B108" i="67"/>
  <c r="F108" i="67"/>
  <c r="B23" i="89"/>
  <c r="F23" i="89"/>
  <c r="G23" i="89" s="1"/>
  <c r="J101" i="98"/>
  <c r="B111" i="19"/>
  <c r="F111" i="19"/>
  <c r="G107" i="57"/>
  <c r="D108" i="57"/>
  <c r="E108" i="57"/>
  <c r="J101" i="84"/>
  <c r="D103" i="89"/>
  <c r="G102" i="89"/>
  <c r="E103" i="89"/>
  <c r="D108" i="54"/>
  <c r="G107" i="54"/>
  <c r="E108" i="54"/>
  <c r="D114" i="28"/>
  <c r="G113" i="28"/>
  <c r="E114" i="28"/>
  <c r="B115" i="29"/>
  <c r="F115" i="29"/>
  <c r="J105" i="64"/>
  <c r="G105" i="65"/>
  <c r="D106" i="65"/>
  <c r="E106" i="65"/>
  <c r="D107" i="64"/>
  <c r="G106" i="64"/>
  <c r="E107" i="64"/>
  <c r="B23" i="87"/>
  <c r="F23" i="87"/>
  <c r="H23" i="87" s="1"/>
  <c r="I30" i="18"/>
  <c r="E106" i="82"/>
  <c r="G105" i="82"/>
  <c r="D106" i="82"/>
  <c r="J110" i="71"/>
  <c r="J104" i="82"/>
  <c r="J109" i="22"/>
  <c r="D111" i="22"/>
  <c r="G110" i="22"/>
  <c r="E111" i="22"/>
  <c r="F27" i="62"/>
  <c r="H27" i="62" s="1"/>
  <c r="B27" i="62"/>
  <c r="G109" i="55"/>
  <c r="D110" i="55"/>
  <c r="E110" i="55"/>
  <c r="I110" i="19"/>
  <c r="H110" i="19"/>
  <c r="D103" i="98"/>
  <c r="G102" i="98"/>
  <c r="E103" i="98"/>
  <c r="F28" i="54"/>
  <c r="G28" i="54" s="1"/>
  <c r="B28" i="54"/>
  <c r="D113" i="69"/>
  <c r="G112" i="69"/>
  <c r="E113" i="69"/>
  <c r="B106" i="66"/>
  <c r="F106" i="66"/>
  <c r="F25" i="78"/>
  <c r="G25" i="78" s="1"/>
  <c r="B25" i="78"/>
  <c r="I114" i="29"/>
  <c r="H114" i="29"/>
  <c r="G109" i="73"/>
  <c r="D110" i="73"/>
  <c r="E110" i="73"/>
  <c r="J106" i="72"/>
  <c r="I29" i="39"/>
  <c r="D105" i="77"/>
  <c r="G104" i="77"/>
  <c r="E105" i="77"/>
  <c r="D23" i="25"/>
  <c r="E23" i="25" s="1"/>
  <c r="D103" i="96"/>
  <c r="G102" i="96"/>
  <c r="E103" i="96"/>
  <c r="G102" i="90"/>
  <c r="D103" i="90"/>
  <c r="E103" i="90"/>
  <c r="J108" i="74"/>
  <c r="D111" i="21"/>
  <c r="G110" i="21"/>
  <c r="E111" i="21"/>
  <c r="E115" i="35"/>
  <c r="F115" i="35" s="1"/>
  <c r="G114" i="35"/>
  <c r="B115" i="35"/>
  <c r="G103" i="80"/>
  <c r="D104" i="80"/>
  <c r="E104" i="80"/>
  <c r="B106" i="78"/>
  <c r="F106" i="78"/>
  <c r="G107" i="53"/>
  <c r="D108" i="53"/>
  <c r="E108" i="53"/>
  <c r="D112" i="71"/>
  <c r="G111" i="71"/>
  <c r="E112" i="71"/>
  <c r="J109" i="3"/>
  <c r="D104" i="83"/>
  <c r="G103" i="83"/>
  <c r="E104" i="83"/>
  <c r="D103" i="91"/>
  <c r="G102" i="91"/>
  <c r="E103" i="91"/>
  <c r="H110" i="34"/>
  <c r="I110" i="34"/>
  <c r="F33" i="29"/>
  <c r="G33" i="29" s="1"/>
  <c r="B33" i="29"/>
  <c r="J106" i="58"/>
  <c r="B111" i="34"/>
  <c r="F111" i="34"/>
  <c r="J106" i="57"/>
  <c r="J101" i="89"/>
  <c r="B31" i="18"/>
  <c r="F31" i="18"/>
  <c r="H31" i="18" s="1"/>
  <c r="D110" i="41"/>
  <c r="G109" i="41"/>
  <c r="E110" i="41"/>
  <c r="I24" i="78"/>
  <c r="J106" i="56"/>
  <c r="J105" i="75"/>
  <c r="G107" i="56"/>
  <c r="D108" i="56"/>
  <c r="E108" i="56"/>
  <c r="F37" i="36"/>
  <c r="I25" i="66" l="1"/>
  <c r="B104" i="95"/>
  <c r="F104" i="95"/>
  <c r="H102" i="87"/>
  <c r="I102" i="87"/>
  <c r="H103" i="95"/>
  <c r="I103" i="95"/>
  <c r="J103" i="95" s="1"/>
  <c r="F23" i="92"/>
  <c r="D24" i="92" s="1"/>
  <c r="B103" i="87"/>
  <c r="F103" i="87"/>
  <c r="G37" i="36"/>
  <c r="G102" i="26"/>
  <c r="D103" i="26"/>
  <c r="E103" i="26" s="1"/>
  <c r="H33" i="29"/>
  <c r="H32" i="32"/>
  <c r="F28" i="58"/>
  <c r="B28" i="58"/>
  <c r="J102" i="97"/>
  <c r="H25" i="77"/>
  <c r="I25" i="77" s="1"/>
  <c r="F27" i="60"/>
  <c r="H27" i="60" s="1"/>
  <c r="B27" i="60"/>
  <c r="D110" i="42"/>
  <c r="G109" i="42"/>
  <c r="E110" i="42"/>
  <c r="I102" i="25"/>
  <c r="H102" i="25"/>
  <c r="F28" i="56"/>
  <c r="H28" i="56" s="1"/>
  <c r="B28" i="56"/>
  <c r="G28" i="56"/>
  <c r="B32" i="31"/>
  <c r="F32" i="31"/>
  <c r="H32" i="31"/>
  <c r="D31" i="42"/>
  <c r="E31" i="42"/>
  <c r="F28" i="57"/>
  <c r="B28" i="57"/>
  <c r="H29" i="45"/>
  <c r="I29" i="45" s="1"/>
  <c r="B29" i="45"/>
  <c r="F29" i="45"/>
  <c r="G29" i="45"/>
  <c r="E33" i="23"/>
  <c r="D33" i="23"/>
  <c r="B34" i="28"/>
  <c r="F34" i="28"/>
  <c r="G34" i="28" s="1"/>
  <c r="B24" i="82"/>
  <c r="F24" i="82"/>
  <c r="G24" i="82"/>
  <c r="B27" i="63"/>
  <c r="F27" i="63"/>
  <c r="B26" i="67"/>
  <c r="F26" i="67"/>
  <c r="H26" i="67"/>
  <c r="G26" i="67"/>
  <c r="G22" i="97"/>
  <c r="D23" i="97"/>
  <c r="E23" i="97"/>
  <c r="H30" i="73"/>
  <c r="F30" i="73"/>
  <c r="B30" i="73"/>
  <c r="G30" i="73"/>
  <c r="B103" i="25"/>
  <c r="E103" i="25"/>
  <c r="F103" i="25" s="1"/>
  <c r="I27" i="57"/>
  <c r="B30" i="74"/>
  <c r="H30" i="74"/>
  <c r="F30" i="74"/>
  <c r="G30" i="74" s="1"/>
  <c r="E110" i="43"/>
  <c r="D110" i="43"/>
  <c r="G109" i="43"/>
  <c r="D29" i="72"/>
  <c r="E29" i="72"/>
  <c r="I32" i="27"/>
  <c r="E25" i="81"/>
  <c r="D25" i="81"/>
  <c r="J108" i="43"/>
  <c r="I25" i="65"/>
  <c r="F28" i="46"/>
  <c r="G28" i="46" s="1"/>
  <c r="B28" i="46"/>
  <c r="F22" i="99"/>
  <c r="B22" i="99"/>
  <c r="E23" i="98"/>
  <c r="D23" i="98"/>
  <c r="B28" i="53"/>
  <c r="F28" i="53"/>
  <c r="G28" i="53" s="1"/>
  <c r="G22" i="96"/>
  <c r="J103" i="13"/>
  <c r="H24" i="80"/>
  <c r="F30" i="41"/>
  <c r="G30" i="41" s="1"/>
  <c r="B30" i="41"/>
  <c r="G103" i="33"/>
  <c r="D104" i="33"/>
  <c r="B104" i="33" s="1"/>
  <c r="B25" i="79"/>
  <c r="F25" i="79"/>
  <c r="G25" i="79" s="1"/>
  <c r="F31" i="20"/>
  <c r="G31" i="20" s="1"/>
  <c r="B31" i="20"/>
  <c r="D25" i="85"/>
  <c r="E25" i="85"/>
  <c r="F30" i="44"/>
  <c r="B30" i="44"/>
  <c r="G28" i="72"/>
  <c r="F24" i="83"/>
  <c r="B24" i="83"/>
  <c r="E110" i="44"/>
  <c r="D110" i="44"/>
  <c r="G109" i="44"/>
  <c r="G30" i="42"/>
  <c r="I30" i="42" s="1"/>
  <c r="G24" i="81"/>
  <c r="I24" i="81" s="1"/>
  <c r="G25" i="76"/>
  <c r="I25" i="76" s="1"/>
  <c r="D26" i="76"/>
  <c r="E26" i="76"/>
  <c r="H32" i="23"/>
  <c r="I29" i="35"/>
  <c r="D104" i="97"/>
  <c r="E104" i="97"/>
  <c r="G103" i="97"/>
  <c r="B23" i="92"/>
  <c r="G23" i="92"/>
  <c r="H23" i="92"/>
  <c r="H22" i="98"/>
  <c r="I22" i="98" s="1"/>
  <c r="J108" i="44"/>
  <c r="I22" i="96"/>
  <c r="E26" i="77"/>
  <c r="D26" i="77"/>
  <c r="G32" i="34"/>
  <c r="H32" i="34"/>
  <c r="F32" i="34"/>
  <c r="B32" i="34"/>
  <c r="I28" i="72"/>
  <c r="F22" i="95"/>
  <c r="H22" i="95" s="1"/>
  <c r="B22" i="95"/>
  <c r="B32" i="24"/>
  <c r="F32" i="24"/>
  <c r="G32" i="24" s="1"/>
  <c r="B26" i="66"/>
  <c r="F26" i="66"/>
  <c r="G26" i="66" s="1"/>
  <c r="B24" i="84"/>
  <c r="F24" i="84"/>
  <c r="H24" i="84" s="1"/>
  <c r="F33" i="27"/>
  <c r="G33" i="27" s="1"/>
  <c r="I33" i="27" s="1"/>
  <c r="B33" i="27"/>
  <c r="H33" i="27"/>
  <c r="I32" i="23"/>
  <c r="B26" i="65"/>
  <c r="F26" i="65"/>
  <c r="E31" i="35"/>
  <c r="F31" i="35" s="1"/>
  <c r="B31" i="35"/>
  <c r="H30" i="35"/>
  <c r="G30" i="35"/>
  <c r="F31" i="3"/>
  <c r="G31" i="3" s="1"/>
  <c r="B31" i="3"/>
  <c r="F26" i="68"/>
  <c r="H26" i="68" s="1"/>
  <c r="B26" i="68"/>
  <c r="H22" i="97"/>
  <c r="I22" i="97" s="1"/>
  <c r="F33" i="69"/>
  <c r="G33" i="69" s="1"/>
  <c r="B33" i="69"/>
  <c r="D24" i="33"/>
  <c r="G23" i="33"/>
  <c r="H23" i="33"/>
  <c r="F28" i="59"/>
  <c r="H28" i="59"/>
  <c r="B28" i="59"/>
  <c r="H24" i="86"/>
  <c r="E25" i="86"/>
  <c r="D25" i="86"/>
  <c r="F28" i="61"/>
  <c r="H28" i="61" s="1"/>
  <c r="B28" i="61"/>
  <c r="H28" i="55"/>
  <c r="D29" i="55"/>
  <c r="E29" i="55"/>
  <c r="F33" i="71"/>
  <c r="B33" i="71"/>
  <c r="G31" i="18"/>
  <c r="I31" i="18" s="1"/>
  <c r="H23" i="89"/>
  <c r="I23" i="89" s="1"/>
  <c r="G23" i="90"/>
  <c r="H25" i="75"/>
  <c r="G24" i="86"/>
  <c r="I33" i="70"/>
  <c r="F31" i="17"/>
  <c r="H31" i="17" s="1"/>
  <c r="C40" i="17"/>
  <c r="B32" i="19"/>
  <c r="F32" i="19"/>
  <c r="H32" i="19" s="1"/>
  <c r="I24" i="80"/>
  <c r="G30" i="43"/>
  <c r="D31" i="43"/>
  <c r="E31" i="43"/>
  <c r="B22" i="26"/>
  <c r="G27" i="62"/>
  <c r="I27" i="62" s="1"/>
  <c r="H24" i="88"/>
  <c r="I24" i="88" s="1"/>
  <c r="G30" i="39"/>
  <c r="G31" i="22"/>
  <c r="I31" i="22" s="1"/>
  <c r="I22" i="33"/>
  <c r="G28" i="55"/>
  <c r="G104" i="13"/>
  <c r="D105" i="13"/>
  <c r="B112" i="31"/>
  <c r="F112" i="31"/>
  <c r="G23" i="13"/>
  <c r="D24" i="13"/>
  <c r="E24" i="13" s="1"/>
  <c r="F24" i="13" s="1"/>
  <c r="D25" i="13" s="1"/>
  <c r="H28" i="54"/>
  <c r="G27" i="64"/>
  <c r="I27" i="64" s="1"/>
  <c r="D28" i="64"/>
  <c r="E28" i="64"/>
  <c r="B24" i="91"/>
  <c r="F24" i="91"/>
  <c r="H24" i="91" s="1"/>
  <c r="D25" i="80"/>
  <c r="E25" i="80"/>
  <c r="H30" i="43"/>
  <c r="H23" i="13"/>
  <c r="H111" i="31"/>
  <c r="I111" i="31"/>
  <c r="D34" i="70"/>
  <c r="E34" i="70"/>
  <c r="E22" i="26"/>
  <c r="F22" i="26" s="1"/>
  <c r="B108" i="60"/>
  <c r="F108" i="60"/>
  <c r="I113" i="17"/>
  <c r="H113" i="17"/>
  <c r="I115" i="70"/>
  <c r="H115" i="70"/>
  <c r="J113" i="35"/>
  <c r="B116" i="70"/>
  <c r="F116" i="70"/>
  <c r="I107" i="60"/>
  <c r="J107" i="60" s="1"/>
  <c r="H107" i="60"/>
  <c r="F114" i="17"/>
  <c r="B114" i="17"/>
  <c r="F110" i="41"/>
  <c r="B110" i="41"/>
  <c r="H25" i="78"/>
  <c r="D107" i="66"/>
  <c r="G106" i="66"/>
  <c r="E107" i="66"/>
  <c r="G23" i="87"/>
  <c r="I23" i="87" s="1"/>
  <c r="B113" i="27"/>
  <c r="F113" i="27"/>
  <c r="B107" i="61"/>
  <c r="F107" i="61"/>
  <c r="E32" i="18"/>
  <c r="D32" i="18"/>
  <c r="H103" i="83"/>
  <c r="I103" i="83"/>
  <c r="F23" i="25"/>
  <c r="H23" i="25" s="1"/>
  <c r="B23" i="25"/>
  <c r="I23" i="90"/>
  <c r="F108" i="56"/>
  <c r="B108" i="56"/>
  <c r="D34" i="29"/>
  <c r="E34" i="29"/>
  <c r="J110" i="34"/>
  <c r="B104" i="83"/>
  <c r="F104" i="83"/>
  <c r="F108" i="53"/>
  <c r="B108" i="53"/>
  <c r="F105" i="77"/>
  <c r="B105" i="77"/>
  <c r="H110" i="22"/>
  <c r="I110" i="22"/>
  <c r="I102" i="89"/>
  <c r="H102" i="89"/>
  <c r="D112" i="19"/>
  <c r="G111" i="19"/>
  <c r="E112" i="19"/>
  <c r="D24" i="89"/>
  <c r="E24" i="89"/>
  <c r="J105" i="66"/>
  <c r="H106" i="75"/>
  <c r="I106" i="75"/>
  <c r="I107" i="58"/>
  <c r="H107" i="58"/>
  <c r="G113" i="23"/>
  <c r="D114" i="23"/>
  <c r="E114" i="23"/>
  <c r="D24" i="90"/>
  <c r="E24" i="90"/>
  <c r="B106" i="85"/>
  <c r="F106" i="85"/>
  <c r="J107" i="67"/>
  <c r="B111" i="3"/>
  <c r="F111" i="3"/>
  <c r="D33" i="32"/>
  <c r="E33" i="32"/>
  <c r="D34" i="30"/>
  <c r="E34" i="30"/>
  <c r="H102" i="88"/>
  <c r="I102" i="88"/>
  <c r="H105" i="68"/>
  <c r="I105" i="68"/>
  <c r="H103" i="100"/>
  <c r="I103" i="100"/>
  <c r="H111" i="32"/>
  <c r="I111" i="32"/>
  <c r="H102" i="96"/>
  <c r="I102" i="96"/>
  <c r="G115" i="35"/>
  <c r="E116" i="35"/>
  <c r="F116" i="35" s="1"/>
  <c r="B116" i="35"/>
  <c r="B103" i="90"/>
  <c r="F103" i="90"/>
  <c r="F111" i="22"/>
  <c r="B111" i="22"/>
  <c r="J112" i="23"/>
  <c r="H103" i="81"/>
  <c r="I103" i="81"/>
  <c r="B111" i="18"/>
  <c r="F111" i="18"/>
  <c r="F103" i="88"/>
  <c r="B103" i="88"/>
  <c r="F103" i="92"/>
  <c r="B103" i="92"/>
  <c r="F106" i="68"/>
  <c r="B106" i="68"/>
  <c r="B104" i="100"/>
  <c r="F104" i="100"/>
  <c r="I103" i="99"/>
  <c r="H103" i="99"/>
  <c r="I31" i="21"/>
  <c r="F103" i="91"/>
  <c r="B103" i="91"/>
  <c r="I107" i="56"/>
  <c r="H107" i="56"/>
  <c r="B104" i="80"/>
  <c r="F104" i="80"/>
  <c r="H112" i="69"/>
  <c r="I112" i="69"/>
  <c r="B103" i="89"/>
  <c r="F103" i="89"/>
  <c r="F111" i="21"/>
  <c r="B111" i="21"/>
  <c r="F113" i="69"/>
  <c r="B113" i="69"/>
  <c r="H109" i="55"/>
  <c r="I109" i="55"/>
  <c r="I105" i="82"/>
  <c r="H105" i="82"/>
  <c r="B104" i="81"/>
  <c r="F104" i="81"/>
  <c r="I30" i="39"/>
  <c r="H104" i="79"/>
  <c r="I104" i="79"/>
  <c r="H110" i="18"/>
  <c r="I110" i="18"/>
  <c r="I113" i="20"/>
  <c r="H113" i="20"/>
  <c r="F104" i="99"/>
  <c r="B104" i="99"/>
  <c r="H114" i="35"/>
  <c r="I114" i="35"/>
  <c r="J114" i="35" s="1"/>
  <c r="B103" i="96"/>
  <c r="F103" i="96"/>
  <c r="E24" i="87"/>
  <c r="D24" i="87"/>
  <c r="I107" i="53"/>
  <c r="H107" i="53"/>
  <c r="H110" i="21"/>
  <c r="I110" i="21"/>
  <c r="J114" i="29"/>
  <c r="F110" i="55"/>
  <c r="B110" i="55"/>
  <c r="B106" i="82"/>
  <c r="F106" i="82"/>
  <c r="I113" i="28"/>
  <c r="H113" i="28"/>
  <c r="F107" i="75"/>
  <c r="B107" i="75"/>
  <c r="D112" i="34"/>
  <c r="G111" i="34"/>
  <c r="E112" i="34"/>
  <c r="E107" i="78"/>
  <c r="G106" i="78"/>
  <c r="D107" i="78"/>
  <c r="I103" i="80"/>
  <c r="H103" i="80"/>
  <c r="I102" i="90"/>
  <c r="H102" i="90"/>
  <c r="F110" i="73"/>
  <c r="B110" i="73"/>
  <c r="H106" i="64"/>
  <c r="I106" i="64"/>
  <c r="F114" i="28"/>
  <c r="B114" i="28"/>
  <c r="H109" i="73"/>
  <c r="I109" i="73"/>
  <c r="B107" i="64"/>
  <c r="F107" i="64"/>
  <c r="E116" i="29"/>
  <c r="G115" i="29"/>
  <c r="D116" i="29"/>
  <c r="E25" i="88"/>
  <c r="D25" i="88"/>
  <c r="H106" i="59"/>
  <c r="I106" i="59"/>
  <c r="B103" i="86"/>
  <c r="F103" i="86"/>
  <c r="D31" i="39"/>
  <c r="E31" i="39"/>
  <c r="F105" i="79"/>
  <c r="B105" i="79"/>
  <c r="F105" i="76"/>
  <c r="B105" i="76"/>
  <c r="B114" i="20"/>
  <c r="F114" i="20"/>
  <c r="D23" i="96"/>
  <c r="E23" i="96"/>
  <c r="J105" i="78"/>
  <c r="D32" i="21"/>
  <c r="E32" i="21"/>
  <c r="I109" i="41"/>
  <c r="H109" i="41"/>
  <c r="H102" i="91"/>
  <c r="I102" i="91"/>
  <c r="D26" i="78"/>
  <c r="E26" i="78"/>
  <c r="I28" i="54"/>
  <c r="I102" i="98"/>
  <c r="H102" i="98"/>
  <c r="E109" i="67"/>
  <c r="G108" i="67"/>
  <c r="D109" i="67"/>
  <c r="I108" i="45"/>
  <c r="H108" i="45"/>
  <c r="F107" i="59"/>
  <c r="B107" i="59"/>
  <c r="H107" i="72"/>
  <c r="I107" i="72"/>
  <c r="H102" i="86"/>
  <c r="I102" i="86"/>
  <c r="B109" i="62"/>
  <c r="F109" i="62"/>
  <c r="B108" i="46"/>
  <c r="F108" i="46"/>
  <c r="H104" i="76"/>
  <c r="I104" i="76"/>
  <c r="B110" i="74"/>
  <c r="F110" i="74"/>
  <c r="D29" i="54"/>
  <c r="E29" i="54"/>
  <c r="B106" i="65"/>
  <c r="F106" i="65"/>
  <c r="I107" i="54"/>
  <c r="H107" i="54"/>
  <c r="B108" i="57"/>
  <c r="F108" i="57"/>
  <c r="F109" i="45"/>
  <c r="B109" i="45"/>
  <c r="B108" i="72"/>
  <c r="F108" i="72"/>
  <c r="I108" i="62"/>
  <c r="H108" i="62"/>
  <c r="H107" i="46"/>
  <c r="I107" i="46"/>
  <c r="I32" i="32"/>
  <c r="H102" i="84"/>
  <c r="I102" i="84"/>
  <c r="I109" i="74"/>
  <c r="H109" i="74"/>
  <c r="D28" i="62"/>
  <c r="E28" i="62"/>
  <c r="H105" i="65"/>
  <c r="I105" i="65"/>
  <c r="I107" i="57"/>
  <c r="H107" i="57"/>
  <c r="D108" i="63"/>
  <c r="E108" i="63"/>
  <c r="G107" i="63"/>
  <c r="B112" i="24"/>
  <c r="F112" i="24"/>
  <c r="B113" i="30"/>
  <c r="F113" i="30"/>
  <c r="I109" i="39"/>
  <c r="H109" i="39"/>
  <c r="E23" i="100"/>
  <c r="D23" i="100"/>
  <c r="B103" i="84"/>
  <c r="F103" i="84"/>
  <c r="I25" i="75"/>
  <c r="I33" i="29"/>
  <c r="I111" i="71"/>
  <c r="H111" i="71"/>
  <c r="B103" i="98"/>
  <c r="F103" i="98"/>
  <c r="B112" i="71"/>
  <c r="F112" i="71"/>
  <c r="F108" i="54"/>
  <c r="B108" i="54"/>
  <c r="H104" i="77"/>
  <c r="I104" i="77"/>
  <c r="J110" i="19"/>
  <c r="J106" i="63"/>
  <c r="H112" i="27"/>
  <c r="I112" i="27"/>
  <c r="B108" i="58"/>
  <c r="F108" i="58"/>
  <c r="H106" i="61"/>
  <c r="I106" i="61"/>
  <c r="I111" i="24"/>
  <c r="H111" i="24"/>
  <c r="I112" i="30"/>
  <c r="H112" i="30"/>
  <c r="I105" i="85"/>
  <c r="H105" i="85"/>
  <c r="D32" i="22"/>
  <c r="E32" i="22"/>
  <c r="I110" i="3"/>
  <c r="H110" i="3"/>
  <c r="B110" i="39"/>
  <c r="F110" i="39"/>
  <c r="G22" i="100"/>
  <c r="I22" i="100" s="1"/>
  <c r="I33" i="30"/>
  <c r="D26" i="75"/>
  <c r="E26" i="75"/>
  <c r="H102" i="92"/>
  <c r="I102" i="92"/>
  <c r="F112" i="32"/>
  <c r="B112" i="32"/>
  <c r="I28" i="56" l="1"/>
  <c r="H31" i="20"/>
  <c r="I31" i="20" s="1"/>
  <c r="H30" i="41"/>
  <c r="H28" i="53"/>
  <c r="E24" i="92"/>
  <c r="F24" i="92" s="1"/>
  <c r="D105" i="95"/>
  <c r="G104" i="95"/>
  <c r="E105" i="95"/>
  <c r="J111" i="31"/>
  <c r="I30" i="74"/>
  <c r="H34" i="28"/>
  <c r="G103" i="87"/>
  <c r="D104" i="87"/>
  <c r="E104" i="87"/>
  <c r="I26" i="67"/>
  <c r="J102" i="87"/>
  <c r="G24" i="91"/>
  <c r="E34" i="69"/>
  <c r="D34" i="69"/>
  <c r="I30" i="35"/>
  <c r="G24" i="84"/>
  <c r="I24" i="84" s="1"/>
  <c r="D23" i="95"/>
  <c r="E23" i="95"/>
  <c r="I32" i="34"/>
  <c r="F104" i="97"/>
  <c r="B104" i="97"/>
  <c r="B26" i="76"/>
  <c r="F26" i="76"/>
  <c r="G26" i="76" s="1"/>
  <c r="H109" i="44"/>
  <c r="I109" i="44"/>
  <c r="J109" i="44" s="1"/>
  <c r="E104" i="33"/>
  <c r="F104" i="33" s="1"/>
  <c r="I28" i="53"/>
  <c r="D25" i="92"/>
  <c r="E25" i="92"/>
  <c r="H22" i="99"/>
  <c r="E23" i="99"/>
  <c r="D23" i="99"/>
  <c r="F110" i="43"/>
  <c r="B110" i="43"/>
  <c r="G27" i="63"/>
  <c r="D28" i="63"/>
  <c r="E28" i="63"/>
  <c r="F31" i="42"/>
  <c r="H31" i="42" s="1"/>
  <c r="B31" i="42"/>
  <c r="B110" i="42"/>
  <c r="F110" i="42"/>
  <c r="H28" i="58"/>
  <c r="D29" i="58"/>
  <c r="E29" i="58"/>
  <c r="I24" i="86"/>
  <c r="H33" i="69"/>
  <c r="I33" i="69" s="1"/>
  <c r="E34" i="27"/>
  <c r="D34" i="27"/>
  <c r="F110" i="44"/>
  <c r="B110" i="44"/>
  <c r="H24" i="83"/>
  <c r="E25" i="83"/>
  <c r="D25" i="83"/>
  <c r="G30" i="44"/>
  <c r="D31" i="44"/>
  <c r="E31" i="44"/>
  <c r="D26" i="79"/>
  <c r="E26" i="79"/>
  <c r="B24" i="92"/>
  <c r="H24" i="92"/>
  <c r="G24" i="92"/>
  <c r="I30" i="73"/>
  <c r="D25" i="82"/>
  <c r="E25" i="82"/>
  <c r="I34" i="28"/>
  <c r="E29" i="57"/>
  <c r="D29" i="57"/>
  <c r="J102" i="25"/>
  <c r="B103" i="26"/>
  <c r="F103" i="26"/>
  <c r="E27" i="68"/>
  <c r="D27" i="68"/>
  <c r="E32" i="3"/>
  <c r="D32" i="3"/>
  <c r="G31" i="35"/>
  <c r="H31" i="35"/>
  <c r="E32" i="35"/>
  <c r="F32" i="35" s="1"/>
  <c r="B32" i="35"/>
  <c r="D25" i="84"/>
  <c r="E25" i="84"/>
  <c r="D27" i="66"/>
  <c r="E27" i="66"/>
  <c r="G22" i="95"/>
  <c r="I22" i="95" s="1"/>
  <c r="F26" i="77"/>
  <c r="B26" i="77"/>
  <c r="G26" i="77"/>
  <c r="I103" i="97"/>
  <c r="J103" i="97" s="1"/>
  <c r="H103" i="97"/>
  <c r="I103" i="33"/>
  <c r="H103" i="33"/>
  <c r="D31" i="41"/>
  <c r="E31" i="41"/>
  <c r="B23" i="98"/>
  <c r="F23" i="98"/>
  <c r="H23" i="98" s="1"/>
  <c r="G22" i="99"/>
  <c r="F25" i="81"/>
  <c r="H25" i="81" s="1"/>
  <c r="B25" i="81"/>
  <c r="B29" i="72"/>
  <c r="F29" i="72"/>
  <c r="H29" i="72" s="1"/>
  <c r="F23" i="97"/>
  <c r="H23" i="97" s="1"/>
  <c r="B23" i="97"/>
  <c r="D27" i="67"/>
  <c r="E27" i="67"/>
  <c r="H27" i="63"/>
  <c r="I27" i="63" s="1"/>
  <c r="D30" i="45"/>
  <c r="E30" i="45"/>
  <c r="G28" i="57"/>
  <c r="G32" i="31"/>
  <c r="I32" i="31" s="1"/>
  <c r="E33" i="31"/>
  <c r="D33" i="31"/>
  <c r="G28" i="58"/>
  <c r="I102" i="26"/>
  <c r="J102" i="26" s="1"/>
  <c r="H102" i="26"/>
  <c r="G26" i="68"/>
  <c r="I26" i="68" s="1"/>
  <c r="H31" i="3"/>
  <c r="I31" i="3" s="1"/>
  <c r="D27" i="65"/>
  <c r="H26" i="65"/>
  <c r="G26" i="65"/>
  <c r="E27" i="65"/>
  <c r="H26" i="66"/>
  <c r="I26" i="66" s="1"/>
  <c r="H32" i="24"/>
  <c r="I32" i="24" s="1"/>
  <c r="E33" i="24"/>
  <c r="D33" i="24"/>
  <c r="D33" i="34"/>
  <c r="E33" i="34"/>
  <c r="I23" i="92"/>
  <c r="G24" i="83"/>
  <c r="H30" i="44"/>
  <c r="I30" i="44" s="1"/>
  <c r="B25" i="85"/>
  <c r="F25" i="85"/>
  <c r="H25" i="85" s="1"/>
  <c r="D32" i="20"/>
  <c r="E32" i="20"/>
  <c r="H25" i="79"/>
  <c r="I25" i="79" s="1"/>
  <c r="I30" i="41"/>
  <c r="E29" i="53"/>
  <c r="D29" i="53"/>
  <c r="H28" i="46"/>
  <c r="I28" i="46" s="1"/>
  <c r="D29" i="46"/>
  <c r="E29" i="46"/>
  <c r="I109" i="43"/>
  <c r="H109" i="43"/>
  <c r="E31" i="74"/>
  <c r="D31" i="74"/>
  <c r="D104" i="25"/>
  <c r="G103" i="25"/>
  <c r="E31" i="73"/>
  <c r="D31" i="73"/>
  <c r="H24" i="82"/>
  <c r="I24" i="82" s="1"/>
  <c r="D35" i="28"/>
  <c r="E35" i="28"/>
  <c r="B33" i="23"/>
  <c r="F33" i="23"/>
  <c r="H33" i="23" s="1"/>
  <c r="H28" i="57"/>
  <c r="I28" i="57" s="1"/>
  <c r="D29" i="56"/>
  <c r="E29" i="56"/>
  <c r="I109" i="42"/>
  <c r="J109" i="42" s="1"/>
  <c r="H109" i="42"/>
  <c r="G27" i="60"/>
  <c r="I27" i="60" s="1"/>
  <c r="E28" i="60"/>
  <c r="D28" i="60"/>
  <c r="G22" i="26"/>
  <c r="D23" i="26"/>
  <c r="H22" i="26"/>
  <c r="I22" i="26" s="1"/>
  <c r="E25" i="13"/>
  <c r="F25" i="13" s="1"/>
  <c r="D26" i="13" s="1"/>
  <c r="B25" i="13"/>
  <c r="E105" i="13"/>
  <c r="F105" i="13" s="1"/>
  <c r="B105" i="13"/>
  <c r="H33" i="71"/>
  <c r="E34" i="71"/>
  <c r="D34" i="71"/>
  <c r="B25" i="80"/>
  <c r="F25" i="80"/>
  <c r="G25" i="80" s="1"/>
  <c r="I24" i="91"/>
  <c r="H104" i="13"/>
  <c r="I104" i="13"/>
  <c r="I30" i="43"/>
  <c r="D33" i="19"/>
  <c r="E33" i="19"/>
  <c r="B29" i="55"/>
  <c r="F29" i="55"/>
  <c r="H29" i="55" s="1"/>
  <c r="D29" i="59"/>
  <c r="E29" i="59"/>
  <c r="I23" i="33"/>
  <c r="F31" i="43"/>
  <c r="B31" i="43"/>
  <c r="F34" i="70"/>
  <c r="G34" i="70" s="1"/>
  <c r="B34" i="70"/>
  <c r="I23" i="13"/>
  <c r="E25" i="91"/>
  <c r="D25" i="91"/>
  <c r="F28" i="64"/>
  <c r="H28" i="64" s="1"/>
  <c r="B28" i="64"/>
  <c r="D113" i="31"/>
  <c r="G112" i="31"/>
  <c r="E113" i="31"/>
  <c r="G32" i="19"/>
  <c r="I32" i="19" s="1"/>
  <c r="G31" i="17"/>
  <c r="I31" i="17" s="1"/>
  <c r="D32" i="17"/>
  <c r="E32" i="17"/>
  <c r="I28" i="55"/>
  <c r="G28" i="61"/>
  <c r="I28" i="61" s="1"/>
  <c r="D29" i="61"/>
  <c r="E29" i="61"/>
  <c r="F25" i="86"/>
  <c r="B25" i="86"/>
  <c r="E24" i="33"/>
  <c r="F24" i="33" s="1"/>
  <c r="B24" i="33"/>
  <c r="B24" i="13"/>
  <c r="G24" i="13"/>
  <c r="H24" i="13"/>
  <c r="G33" i="71"/>
  <c r="G28" i="59"/>
  <c r="I28" i="59" s="1"/>
  <c r="J115" i="70"/>
  <c r="G114" i="17"/>
  <c r="D115" i="17"/>
  <c r="E115" i="17"/>
  <c r="G116" i="70"/>
  <c r="D117" i="70"/>
  <c r="E117" i="70"/>
  <c r="J113" i="17"/>
  <c r="D109" i="60"/>
  <c r="G108" i="60"/>
  <c r="E109" i="60"/>
  <c r="J105" i="85"/>
  <c r="G108" i="54"/>
  <c r="D109" i="54"/>
  <c r="E109" i="54"/>
  <c r="F23" i="100"/>
  <c r="G23" i="100" s="1"/>
  <c r="B23" i="100"/>
  <c r="D113" i="71"/>
  <c r="G112" i="71"/>
  <c r="E113" i="71"/>
  <c r="G103" i="84"/>
  <c r="D104" i="84"/>
  <c r="E104" i="84"/>
  <c r="G112" i="24"/>
  <c r="D113" i="24"/>
  <c r="E113" i="24"/>
  <c r="G110" i="74"/>
  <c r="D111" i="74"/>
  <c r="E111" i="74"/>
  <c r="G114" i="20"/>
  <c r="E115" i="20"/>
  <c r="D115" i="20"/>
  <c r="B26" i="75"/>
  <c r="F26" i="75"/>
  <c r="J112" i="30"/>
  <c r="J112" i="27"/>
  <c r="J104" i="77"/>
  <c r="J111" i="71"/>
  <c r="J108" i="62"/>
  <c r="J107" i="54"/>
  <c r="G107" i="59"/>
  <c r="D108" i="59"/>
  <c r="E108" i="59"/>
  <c r="I108" i="67"/>
  <c r="H108" i="67"/>
  <c r="F26" i="78"/>
  <c r="G26" i="78" s="1"/>
  <c r="B26" i="78"/>
  <c r="F32" i="21"/>
  <c r="H32" i="21" s="1"/>
  <c r="B32" i="21"/>
  <c r="H106" i="78"/>
  <c r="I106" i="78"/>
  <c r="J107" i="53"/>
  <c r="J111" i="32"/>
  <c r="J102" i="88"/>
  <c r="J107" i="58"/>
  <c r="F112" i="19"/>
  <c r="B112" i="19"/>
  <c r="G108" i="53"/>
  <c r="D109" i="53"/>
  <c r="E109" i="53"/>
  <c r="G107" i="61"/>
  <c r="D108" i="61"/>
  <c r="E108" i="61"/>
  <c r="F32" i="22"/>
  <c r="G32" i="22" s="1"/>
  <c r="B32" i="22"/>
  <c r="G112" i="32"/>
  <c r="D113" i="32"/>
  <c r="E113" i="32"/>
  <c r="D106" i="79"/>
  <c r="G105" i="79"/>
  <c r="E106" i="79"/>
  <c r="F24" i="87"/>
  <c r="G24" i="87" s="1"/>
  <c r="B24" i="87"/>
  <c r="G104" i="81"/>
  <c r="D105" i="81"/>
  <c r="E105" i="81"/>
  <c r="J107" i="56"/>
  <c r="D104" i="92"/>
  <c r="E104" i="92"/>
  <c r="G103" i="92"/>
  <c r="D112" i="18"/>
  <c r="G111" i="18"/>
  <c r="E112" i="18"/>
  <c r="D112" i="22"/>
  <c r="G111" i="22"/>
  <c r="E112" i="22"/>
  <c r="G116" i="35"/>
  <c r="B117" i="35"/>
  <c r="E117" i="35"/>
  <c r="F117" i="35" s="1"/>
  <c r="F24" i="90"/>
  <c r="H24" i="90" s="1"/>
  <c r="B24" i="90"/>
  <c r="G104" i="83"/>
  <c r="D105" i="83"/>
  <c r="E105" i="83"/>
  <c r="D24" i="25"/>
  <c r="E24" i="25" s="1"/>
  <c r="D111" i="41"/>
  <c r="G110" i="41"/>
  <c r="E111" i="41"/>
  <c r="D110" i="62"/>
  <c r="E110" i="62"/>
  <c r="G109" i="62"/>
  <c r="G110" i="39"/>
  <c r="D111" i="39"/>
  <c r="E111" i="39"/>
  <c r="J108" i="45"/>
  <c r="F116" i="29"/>
  <c r="B116" i="29"/>
  <c r="G110" i="73"/>
  <c r="D111" i="73"/>
  <c r="E111" i="73"/>
  <c r="E111" i="55"/>
  <c r="D111" i="55"/>
  <c r="G110" i="55"/>
  <c r="G113" i="69"/>
  <c r="D114" i="69"/>
  <c r="E114" i="69"/>
  <c r="D104" i="89"/>
  <c r="G103" i="89"/>
  <c r="E104" i="89"/>
  <c r="G103" i="90"/>
  <c r="D104" i="90"/>
  <c r="E104" i="90"/>
  <c r="H115" i="35"/>
  <c r="I115" i="35"/>
  <c r="J103" i="100"/>
  <c r="D112" i="3"/>
  <c r="G111" i="3"/>
  <c r="E112" i="3"/>
  <c r="J102" i="89"/>
  <c r="G108" i="56"/>
  <c r="D109" i="56"/>
  <c r="E109" i="56"/>
  <c r="G23" i="25"/>
  <c r="I23" i="25" s="1"/>
  <c r="G113" i="27"/>
  <c r="D114" i="27"/>
  <c r="E114" i="27"/>
  <c r="J102" i="92"/>
  <c r="D104" i="98"/>
  <c r="G103" i="98"/>
  <c r="E104" i="98"/>
  <c r="H107" i="63"/>
  <c r="I107" i="63"/>
  <c r="G106" i="65"/>
  <c r="D107" i="65"/>
  <c r="E107" i="65"/>
  <c r="G113" i="30"/>
  <c r="D114" i="30"/>
  <c r="E114" i="30"/>
  <c r="D110" i="45"/>
  <c r="G109" i="45"/>
  <c r="E110" i="45"/>
  <c r="J111" i="24"/>
  <c r="F108" i="63"/>
  <c r="B108" i="63"/>
  <c r="J107" i="57"/>
  <c r="J109" i="74"/>
  <c r="J107" i="46"/>
  <c r="J107" i="72"/>
  <c r="J102" i="91"/>
  <c r="D106" i="76"/>
  <c r="G105" i="76"/>
  <c r="E106" i="76"/>
  <c r="B31" i="39"/>
  <c r="F31" i="39"/>
  <c r="H31" i="39" s="1"/>
  <c r="J106" i="59"/>
  <c r="H115" i="29"/>
  <c r="I115" i="29"/>
  <c r="G107" i="75"/>
  <c r="E108" i="75"/>
  <c r="D108" i="75"/>
  <c r="J103" i="99"/>
  <c r="J102" i="96"/>
  <c r="J110" i="22"/>
  <c r="J103" i="83"/>
  <c r="J106" i="61"/>
  <c r="J109" i="39"/>
  <c r="J105" i="65"/>
  <c r="B29" i="54"/>
  <c r="F29" i="54"/>
  <c r="G29" i="54" s="1"/>
  <c r="J104" i="76"/>
  <c r="J102" i="98"/>
  <c r="G23" i="96"/>
  <c r="B23" i="96"/>
  <c r="F23" i="96"/>
  <c r="H23" i="96" s="1"/>
  <c r="J109" i="73"/>
  <c r="J102" i="90"/>
  <c r="H111" i="34"/>
  <c r="I111" i="34"/>
  <c r="G104" i="99"/>
  <c r="D105" i="99"/>
  <c r="E105" i="99"/>
  <c r="J104" i="79"/>
  <c r="E105" i="100"/>
  <c r="D105" i="100"/>
  <c r="G104" i="100"/>
  <c r="J105" i="68"/>
  <c r="D109" i="57"/>
  <c r="G108" i="57"/>
  <c r="E109" i="57"/>
  <c r="J102" i="86"/>
  <c r="D104" i="86"/>
  <c r="G103" i="86"/>
  <c r="E104" i="86"/>
  <c r="G107" i="64"/>
  <c r="D108" i="64"/>
  <c r="E108" i="64"/>
  <c r="B112" i="34"/>
  <c r="F112" i="34"/>
  <c r="J110" i="21"/>
  <c r="D104" i="96"/>
  <c r="G103" i="96"/>
  <c r="E104" i="96"/>
  <c r="J113" i="20"/>
  <c r="J110" i="18"/>
  <c r="G104" i="80"/>
  <c r="D105" i="80"/>
  <c r="E105" i="80"/>
  <c r="D104" i="91"/>
  <c r="G103" i="91"/>
  <c r="E104" i="91"/>
  <c r="G103" i="88"/>
  <c r="D104" i="88"/>
  <c r="E104" i="88"/>
  <c r="B34" i="30"/>
  <c r="F34" i="30"/>
  <c r="G34" i="30" s="1"/>
  <c r="B114" i="23"/>
  <c r="F114" i="23"/>
  <c r="J106" i="75"/>
  <c r="B24" i="89"/>
  <c r="F24" i="89"/>
  <c r="H24" i="89" s="1"/>
  <c r="G108" i="58"/>
  <c r="D109" i="58"/>
  <c r="E109" i="58"/>
  <c r="G108" i="72"/>
  <c r="D109" i="72"/>
  <c r="E109" i="72"/>
  <c r="D109" i="46"/>
  <c r="G108" i="46"/>
  <c r="E109" i="46"/>
  <c r="J109" i="41"/>
  <c r="D115" i="28"/>
  <c r="G114" i="28"/>
  <c r="E115" i="28"/>
  <c r="J103" i="80"/>
  <c r="J113" i="28"/>
  <c r="J105" i="82"/>
  <c r="J112" i="69"/>
  <c r="J103" i="81"/>
  <c r="G106" i="85"/>
  <c r="E107" i="85"/>
  <c r="D107" i="85"/>
  <c r="H113" i="23"/>
  <c r="I113" i="23"/>
  <c r="G105" i="77"/>
  <c r="D106" i="77"/>
  <c r="E106" i="77"/>
  <c r="B34" i="29"/>
  <c r="F34" i="29"/>
  <c r="G34" i="29" s="1"/>
  <c r="B32" i="18"/>
  <c r="F32" i="18"/>
  <c r="H32" i="18" s="1"/>
  <c r="G32" i="18"/>
  <c r="H106" i="66"/>
  <c r="I106" i="66"/>
  <c r="I25" i="78"/>
  <c r="J102" i="84"/>
  <c r="J110" i="3"/>
  <c r="F28" i="62"/>
  <c r="G28" i="62" s="1"/>
  <c r="B28" i="62"/>
  <c r="F109" i="67"/>
  <c r="B109" i="67"/>
  <c r="F25" i="88"/>
  <c r="B25" i="88"/>
  <c r="J106" i="64"/>
  <c r="B107" i="78"/>
  <c r="F107" i="78"/>
  <c r="D107" i="82"/>
  <c r="G106" i="82"/>
  <c r="E107" i="82"/>
  <c r="J109" i="55"/>
  <c r="G111" i="21"/>
  <c r="D112" i="21"/>
  <c r="E112" i="21"/>
  <c r="D107" i="68"/>
  <c r="G106" i="68"/>
  <c r="E107" i="68"/>
  <c r="B33" i="32"/>
  <c r="F33" i="32"/>
  <c r="H33" i="32" s="1"/>
  <c r="I111" i="19"/>
  <c r="H111" i="19"/>
  <c r="F107" i="66"/>
  <c r="B107" i="66"/>
  <c r="H103" i="87" l="1"/>
  <c r="I103" i="87"/>
  <c r="J103" i="87" s="1"/>
  <c r="G33" i="32"/>
  <c r="G25" i="85"/>
  <c r="I31" i="35"/>
  <c r="G31" i="42"/>
  <c r="I31" i="42" s="1"/>
  <c r="H104" i="95"/>
  <c r="I104" i="95"/>
  <c r="I25" i="85"/>
  <c r="G23" i="98"/>
  <c r="I23" i="98" s="1"/>
  <c r="B105" i="95"/>
  <c r="F105" i="95"/>
  <c r="F104" i="87"/>
  <c r="B104" i="87"/>
  <c r="H29" i="54"/>
  <c r="H32" i="22"/>
  <c r="B31" i="73"/>
  <c r="F31" i="73"/>
  <c r="B31" i="74"/>
  <c r="F31" i="74"/>
  <c r="G31" i="74" s="1"/>
  <c r="F32" i="20"/>
  <c r="B32" i="20"/>
  <c r="I26" i="65"/>
  <c r="F30" i="45"/>
  <c r="B30" i="45"/>
  <c r="H26" i="77"/>
  <c r="E27" i="77"/>
  <c r="D27" i="77"/>
  <c r="B27" i="66"/>
  <c r="F27" i="66"/>
  <c r="H27" i="66" s="1"/>
  <c r="G27" i="66"/>
  <c r="H32" i="35"/>
  <c r="I32" i="35" s="1"/>
  <c r="G32" i="35"/>
  <c r="B33" i="35"/>
  <c r="E33" i="35"/>
  <c r="F33" i="35" s="1"/>
  <c r="H29" i="57"/>
  <c r="F29" i="57"/>
  <c r="G29" i="57" s="1"/>
  <c r="I29" i="57" s="1"/>
  <c r="B29" i="57"/>
  <c r="B25" i="82"/>
  <c r="F25" i="82"/>
  <c r="G25" i="82" s="1"/>
  <c r="H25" i="82"/>
  <c r="I24" i="92"/>
  <c r="E111" i="42"/>
  <c r="G110" i="42"/>
  <c r="D111" i="42"/>
  <c r="E32" i="42"/>
  <c r="D32" i="42"/>
  <c r="E105" i="97"/>
  <c r="G104" i="97"/>
  <c r="D105" i="97"/>
  <c r="B28" i="60"/>
  <c r="F28" i="60"/>
  <c r="F29" i="46"/>
  <c r="H29" i="46"/>
  <c r="B29" i="46"/>
  <c r="G29" i="46"/>
  <c r="B33" i="34"/>
  <c r="F33" i="34"/>
  <c r="B27" i="65"/>
  <c r="F27" i="65"/>
  <c r="H27" i="65" s="1"/>
  <c r="E30" i="72"/>
  <c r="D30" i="72"/>
  <c r="F31" i="41"/>
  <c r="H31" i="41" s="1"/>
  <c r="B31" i="41"/>
  <c r="B27" i="68"/>
  <c r="F27" i="68"/>
  <c r="G27" i="68" s="1"/>
  <c r="I27" i="68" s="1"/>
  <c r="H27" i="68"/>
  <c r="F31" i="44"/>
  <c r="G31" i="44" s="1"/>
  <c r="B31" i="44"/>
  <c r="I24" i="83"/>
  <c r="B34" i="27"/>
  <c r="F34" i="27"/>
  <c r="G34" i="27" s="1"/>
  <c r="I22" i="99"/>
  <c r="G104" i="33"/>
  <c r="D105" i="33"/>
  <c r="H26" i="76"/>
  <c r="I26" i="76" s="1"/>
  <c r="E27" i="76"/>
  <c r="D27" i="76"/>
  <c r="D34" i="23"/>
  <c r="E34" i="23"/>
  <c r="F35" i="28"/>
  <c r="H35" i="28" s="1"/>
  <c r="B35" i="28"/>
  <c r="I103" i="25"/>
  <c r="J103" i="25" s="1"/>
  <c r="H103" i="25"/>
  <c r="E26" i="85"/>
  <c r="D26" i="85"/>
  <c r="F33" i="24"/>
  <c r="H33" i="24" s="1"/>
  <c r="B33" i="24"/>
  <c r="G23" i="97"/>
  <c r="I23" i="97" s="1"/>
  <c r="D24" i="97"/>
  <c r="E24" i="97"/>
  <c r="D26" i="81"/>
  <c r="E26" i="81"/>
  <c r="D24" i="98"/>
  <c r="E24" i="98"/>
  <c r="I26" i="77"/>
  <c r="F25" i="84"/>
  <c r="G25" i="84" s="1"/>
  <c r="B25" i="84"/>
  <c r="F29" i="58"/>
  <c r="B29" i="58"/>
  <c r="E111" i="43"/>
  <c r="D111" i="43"/>
  <c r="G110" i="43"/>
  <c r="B29" i="56"/>
  <c r="F29" i="56"/>
  <c r="H29" i="56" s="1"/>
  <c r="G33" i="23"/>
  <c r="I33" i="23" s="1"/>
  <c r="B104" i="25"/>
  <c r="E104" i="25"/>
  <c r="F104" i="25" s="1"/>
  <c r="J109" i="43"/>
  <c r="F29" i="53"/>
  <c r="H29" i="53" s="1"/>
  <c r="B29" i="53"/>
  <c r="F33" i="31"/>
  <c r="H33" i="31" s="1"/>
  <c r="B33" i="31"/>
  <c r="B27" i="67"/>
  <c r="F27" i="67"/>
  <c r="G27" i="67" s="1"/>
  <c r="G29" i="72"/>
  <c r="I29" i="72" s="1"/>
  <c r="G25" i="81"/>
  <c r="I25" i="81" s="1"/>
  <c r="J103" i="33"/>
  <c r="F32" i="3"/>
  <c r="H32" i="3" s="1"/>
  <c r="B32" i="3"/>
  <c r="D104" i="26"/>
  <c r="E104" i="26" s="1"/>
  <c r="G103" i="26"/>
  <c r="F26" i="79"/>
  <c r="H26" i="79" s="1"/>
  <c r="B26" i="79"/>
  <c r="G26" i="79"/>
  <c r="B25" i="83"/>
  <c r="F25" i="83"/>
  <c r="H25" i="83" s="1"/>
  <c r="G110" i="44"/>
  <c r="E111" i="44"/>
  <c r="D111" i="44"/>
  <c r="I28" i="58"/>
  <c r="B28" i="63"/>
  <c r="F28" i="63"/>
  <c r="G28" i="63" s="1"/>
  <c r="B23" i="99"/>
  <c r="F23" i="99"/>
  <c r="B25" i="92"/>
  <c r="F25" i="92"/>
  <c r="G25" i="92" s="1"/>
  <c r="H25" i="92"/>
  <c r="B23" i="95"/>
  <c r="F23" i="95"/>
  <c r="H23" i="95" s="1"/>
  <c r="G23" i="95"/>
  <c r="B34" i="69"/>
  <c r="F34" i="69"/>
  <c r="H34" i="69" s="1"/>
  <c r="D106" i="13"/>
  <c r="G105" i="13"/>
  <c r="B113" i="31"/>
  <c r="F113" i="31"/>
  <c r="B25" i="91"/>
  <c r="F25" i="91"/>
  <c r="D32" i="43"/>
  <c r="E32" i="43"/>
  <c r="E26" i="13"/>
  <c r="F26" i="13" s="1"/>
  <c r="B26" i="13"/>
  <c r="H24" i="33"/>
  <c r="D25" i="33"/>
  <c r="G25" i="86"/>
  <c r="D26" i="86"/>
  <c r="E26" i="86"/>
  <c r="D29" i="64"/>
  <c r="E29" i="64"/>
  <c r="H31" i="43"/>
  <c r="D30" i="55"/>
  <c r="E30" i="55"/>
  <c r="F33" i="19"/>
  <c r="B33" i="19"/>
  <c r="I33" i="71"/>
  <c r="B23" i="26"/>
  <c r="G31" i="39"/>
  <c r="H26" i="78"/>
  <c r="I24" i="13"/>
  <c r="B32" i="17"/>
  <c r="C41" i="17"/>
  <c r="H32" i="17"/>
  <c r="F32" i="17"/>
  <c r="G28" i="64"/>
  <c r="I28" i="64" s="1"/>
  <c r="D35" i="70"/>
  <c r="E35" i="70"/>
  <c r="B29" i="59"/>
  <c r="F29" i="59"/>
  <c r="G29" i="59" s="1"/>
  <c r="H25" i="13"/>
  <c r="E23" i="26"/>
  <c r="F23" i="26" s="1"/>
  <c r="I29" i="54"/>
  <c r="G24" i="33"/>
  <c r="H25" i="86"/>
  <c r="I25" i="86" s="1"/>
  <c r="F29" i="61"/>
  <c r="G29" i="61" s="1"/>
  <c r="B29" i="61"/>
  <c r="I112" i="31"/>
  <c r="H112" i="31"/>
  <c r="H34" i="70"/>
  <c r="I34" i="70" s="1"/>
  <c r="G31" i="43"/>
  <c r="G29" i="55"/>
  <c r="I29" i="55" s="1"/>
  <c r="J104" i="13"/>
  <c r="H25" i="80"/>
  <c r="I25" i="80" s="1"/>
  <c r="D26" i="80"/>
  <c r="E26" i="80"/>
  <c r="F34" i="71"/>
  <c r="B34" i="71"/>
  <c r="G34" i="71"/>
  <c r="G25" i="13"/>
  <c r="I114" i="17"/>
  <c r="H114" i="17"/>
  <c r="F109" i="60"/>
  <c r="B109" i="60"/>
  <c r="J115" i="29"/>
  <c r="B117" i="70"/>
  <c r="F117" i="70"/>
  <c r="J113" i="23"/>
  <c r="I108" i="60"/>
  <c r="H108" i="60"/>
  <c r="I116" i="70"/>
  <c r="H116" i="70"/>
  <c r="F115" i="17"/>
  <c r="B115" i="17"/>
  <c r="I32" i="18"/>
  <c r="I111" i="21"/>
  <c r="H111" i="21"/>
  <c r="I106" i="68"/>
  <c r="H106" i="68"/>
  <c r="D108" i="78"/>
  <c r="E108" i="78"/>
  <c r="G107" i="78"/>
  <c r="D29" i="62"/>
  <c r="E29" i="62"/>
  <c r="F105" i="100"/>
  <c r="B105" i="100"/>
  <c r="D30" i="54"/>
  <c r="E30" i="54"/>
  <c r="B104" i="90"/>
  <c r="F104" i="90"/>
  <c r="B107" i="68"/>
  <c r="F107" i="68"/>
  <c r="B115" i="28"/>
  <c r="F115" i="28"/>
  <c r="B109" i="72"/>
  <c r="F109" i="72"/>
  <c r="B105" i="80"/>
  <c r="F105" i="80"/>
  <c r="J111" i="19"/>
  <c r="D110" i="67"/>
  <c r="E110" i="67"/>
  <c r="G109" i="67"/>
  <c r="B106" i="77"/>
  <c r="F106" i="77"/>
  <c r="I108" i="72"/>
  <c r="H108" i="72"/>
  <c r="D35" i="30"/>
  <c r="E35" i="30"/>
  <c r="H104" i="80"/>
  <c r="I104" i="80"/>
  <c r="I103" i="96"/>
  <c r="H103" i="96"/>
  <c r="B106" i="76"/>
  <c r="F106" i="76"/>
  <c r="E109" i="63"/>
  <c r="D109" i="63"/>
  <c r="G108" i="63"/>
  <c r="B107" i="65"/>
  <c r="F107" i="65"/>
  <c r="B109" i="56"/>
  <c r="F109" i="56"/>
  <c r="B112" i="3"/>
  <c r="F112" i="3"/>
  <c r="H110" i="55"/>
  <c r="I110" i="55"/>
  <c r="I109" i="62"/>
  <c r="H109" i="62"/>
  <c r="H104" i="83"/>
  <c r="I104" i="83"/>
  <c r="H107" i="61"/>
  <c r="I107" i="61"/>
  <c r="G112" i="19"/>
  <c r="E113" i="19"/>
  <c r="D113" i="19"/>
  <c r="B115" i="20"/>
  <c r="F115" i="20"/>
  <c r="F113" i="71"/>
  <c r="B113" i="71"/>
  <c r="B107" i="85"/>
  <c r="F107" i="85"/>
  <c r="I33" i="32"/>
  <c r="B105" i="99"/>
  <c r="F105" i="99"/>
  <c r="I108" i="56"/>
  <c r="H108" i="56"/>
  <c r="I103" i="89"/>
  <c r="H103" i="89"/>
  <c r="B111" i="55"/>
  <c r="F111" i="55"/>
  <c r="H111" i="22"/>
  <c r="I111" i="22"/>
  <c r="H105" i="79"/>
  <c r="I105" i="79"/>
  <c r="D27" i="78"/>
  <c r="E27" i="78"/>
  <c r="B113" i="24"/>
  <c r="F113" i="24"/>
  <c r="H23" i="100"/>
  <c r="I23" i="100" s="1"/>
  <c r="E26" i="88"/>
  <c r="D26" i="88"/>
  <c r="F104" i="96"/>
  <c r="B104" i="96"/>
  <c r="H106" i="65"/>
  <c r="I106" i="65"/>
  <c r="D34" i="32"/>
  <c r="E34" i="32"/>
  <c r="H106" i="82"/>
  <c r="I106" i="82"/>
  <c r="I103" i="88"/>
  <c r="H103" i="88"/>
  <c r="I23" i="96"/>
  <c r="I31" i="39"/>
  <c r="J107" i="63"/>
  <c r="B104" i="89"/>
  <c r="F104" i="89"/>
  <c r="F110" i="62"/>
  <c r="B110" i="62"/>
  <c r="I110" i="41"/>
  <c r="H110" i="41"/>
  <c r="D25" i="90"/>
  <c r="E25" i="90"/>
  <c r="B112" i="22"/>
  <c r="F112" i="22"/>
  <c r="B106" i="79"/>
  <c r="F106" i="79"/>
  <c r="I32" i="22"/>
  <c r="G32" i="21"/>
  <c r="I32" i="21" s="1"/>
  <c r="H114" i="20"/>
  <c r="I114" i="20"/>
  <c r="H112" i="24"/>
  <c r="I112" i="24"/>
  <c r="I105" i="77"/>
  <c r="H105" i="77"/>
  <c r="D25" i="89"/>
  <c r="E25" i="89"/>
  <c r="B104" i="88"/>
  <c r="F104" i="88"/>
  <c r="B108" i="64"/>
  <c r="F108" i="64"/>
  <c r="I107" i="64"/>
  <c r="H107" i="64"/>
  <c r="I104" i="99"/>
  <c r="H104" i="99"/>
  <c r="F112" i="21"/>
  <c r="B112" i="21"/>
  <c r="B107" i="82"/>
  <c r="F107" i="82"/>
  <c r="H25" i="88"/>
  <c r="H28" i="62"/>
  <c r="I28" i="62" s="1"/>
  <c r="J106" i="66"/>
  <c r="I108" i="46"/>
  <c r="H108" i="46"/>
  <c r="G24" i="89"/>
  <c r="I24" i="89" s="1"/>
  <c r="H34" i="30"/>
  <c r="I34" i="30" s="1"/>
  <c r="J111" i="34"/>
  <c r="D24" i="96"/>
  <c r="E24" i="96"/>
  <c r="D32" i="39"/>
  <c r="E32" i="39"/>
  <c r="I109" i="45"/>
  <c r="H109" i="45"/>
  <c r="J115" i="35"/>
  <c r="G116" i="29"/>
  <c r="D117" i="29"/>
  <c r="E117" i="29"/>
  <c r="F111" i="41"/>
  <c r="B111" i="41"/>
  <c r="G24" i="90"/>
  <c r="I24" i="90" s="1"/>
  <c r="I103" i="92"/>
  <c r="H103" i="92"/>
  <c r="D33" i="22"/>
  <c r="E33" i="22"/>
  <c r="J106" i="78"/>
  <c r="J108" i="67"/>
  <c r="F109" i="46"/>
  <c r="B109" i="46"/>
  <c r="B109" i="58"/>
  <c r="F109" i="58"/>
  <c r="H103" i="91"/>
  <c r="I103" i="91"/>
  <c r="D113" i="34"/>
  <c r="G112" i="34"/>
  <c r="E113" i="34"/>
  <c r="H103" i="86"/>
  <c r="I103" i="86"/>
  <c r="B110" i="45"/>
  <c r="F110" i="45"/>
  <c r="F114" i="27"/>
  <c r="B114" i="27"/>
  <c r="F114" i="69"/>
  <c r="B114" i="69"/>
  <c r="F111" i="73"/>
  <c r="B111" i="73"/>
  <c r="F24" i="25"/>
  <c r="B24" i="25"/>
  <c r="D27" i="75"/>
  <c r="E27" i="75"/>
  <c r="B111" i="74"/>
  <c r="F111" i="74"/>
  <c r="B104" i="84"/>
  <c r="F104" i="84"/>
  <c r="D24" i="100"/>
  <c r="E24" i="100"/>
  <c r="H108" i="58"/>
  <c r="I108" i="58"/>
  <c r="F104" i="91"/>
  <c r="B104" i="91"/>
  <c r="F104" i="86"/>
  <c r="B104" i="86"/>
  <c r="H108" i="57"/>
  <c r="I108" i="57"/>
  <c r="H104" i="100"/>
  <c r="I104" i="100"/>
  <c r="F108" i="75"/>
  <c r="B108" i="75"/>
  <c r="I103" i="98"/>
  <c r="H103" i="98"/>
  <c r="H113" i="27"/>
  <c r="I113" i="27"/>
  <c r="I113" i="69"/>
  <c r="H113" i="69"/>
  <c r="H110" i="73"/>
  <c r="I110" i="73"/>
  <c r="E118" i="35"/>
  <c r="F118" i="35" s="1"/>
  <c r="B118" i="35"/>
  <c r="G117" i="35"/>
  <c r="H111" i="18"/>
  <c r="I111" i="18"/>
  <c r="F104" i="92"/>
  <c r="B104" i="92"/>
  <c r="F109" i="53"/>
  <c r="B109" i="53"/>
  <c r="D33" i="21"/>
  <c r="E33" i="21"/>
  <c r="F108" i="59"/>
  <c r="B108" i="59"/>
  <c r="I110" i="74"/>
  <c r="H110" i="74"/>
  <c r="H103" i="84"/>
  <c r="I103" i="84"/>
  <c r="D35" i="29"/>
  <c r="E35" i="29"/>
  <c r="I106" i="85"/>
  <c r="J106" i="85" s="1"/>
  <c r="H106" i="85"/>
  <c r="E115" i="23"/>
  <c r="D115" i="23"/>
  <c r="G114" i="23"/>
  <c r="B114" i="30"/>
  <c r="F114" i="30"/>
  <c r="B104" i="98"/>
  <c r="F104" i="98"/>
  <c r="B111" i="39"/>
  <c r="F111" i="39"/>
  <c r="B112" i="18"/>
  <c r="F112" i="18"/>
  <c r="F105" i="81"/>
  <c r="B105" i="81"/>
  <c r="E25" i="87"/>
  <c r="D25" i="87"/>
  <c r="F113" i="32"/>
  <c r="B113" i="32"/>
  <c r="H108" i="53"/>
  <c r="I108" i="53"/>
  <c r="I26" i="78"/>
  <c r="H107" i="59"/>
  <c r="I107" i="59"/>
  <c r="H26" i="75"/>
  <c r="B109" i="54"/>
  <c r="F109" i="54"/>
  <c r="E108" i="66"/>
  <c r="D108" i="66"/>
  <c r="G107" i="66"/>
  <c r="H34" i="29"/>
  <c r="I34" i="29" s="1"/>
  <c r="G25" i="88"/>
  <c r="D33" i="18"/>
  <c r="E33" i="18"/>
  <c r="I114" i="28"/>
  <c r="H114" i="28"/>
  <c r="B109" i="57"/>
  <c r="F109" i="57"/>
  <c r="I107" i="75"/>
  <c r="H107" i="75"/>
  <c r="I105" i="76"/>
  <c r="H105" i="76"/>
  <c r="H113" i="30"/>
  <c r="I113" i="30"/>
  <c r="H111" i="3"/>
  <c r="I111" i="3"/>
  <c r="I103" i="90"/>
  <c r="H103" i="90"/>
  <c r="H110" i="39"/>
  <c r="I110" i="39"/>
  <c r="B105" i="83"/>
  <c r="F105" i="83"/>
  <c r="H116" i="35"/>
  <c r="I116" i="35"/>
  <c r="J116" i="35" s="1"/>
  <c r="I104" i="81"/>
  <c r="H104" i="81"/>
  <c r="H24" i="87"/>
  <c r="I24" i="87" s="1"/>
  <c r="H112" i="32"/>
  <c r="I112" i="32"/>
  <c r="B108" i="61"/>
  <c r="F108" i="61"/>
  <c r="G26" i="75"/>
  <c r="H112" i="71"/>
  <c r="I112" i="71"/>
  <c r="H108" i="54"/>
  <c r="I108" i="54"/>
  <c r="G33" i="31" l="1"/>
  <c r="I25" i="82"/>
  <c r="G29" i="53"/>
  <c r="H34" i="27"/>
  <c r="H31" i="74"/>
  <c r="E105" i="87"/>
  <c r="G104" i="87"/>
  <c r="D105" i="87"/>
  <c r="I26" i="79"/>
  <c r="G32" i="3"/>
  <c r="G31" i="41"/>
  <c r="E106" i="95"/>
  <c r="D106" i="95"/>
  <c r="G105" i="95"/>
  <c r="J104" i="95"/>
  <c r="G104" i="25"/>
  <c r="D105" i="25"/>
  <c r="B105" i="25" s="1"/>
  <c r="E105" i="25"/>
  <c r="F105" i="25" s="1"/>
  <c r="F111" i="43"/>
  <c r="B111" i="43"/>
  <c r="F26" i="81"/>
  <c r="H26" i="81" s="1"/>
  <c r="B26" i="81"/>
  <c r="F34" i="23"/>
  <c r="G34" i="23" s="1"/>
  <c r="B34" i="23"/>
  <c r="B105" i="33"/>
  <c r="B30" i="72"/>
  <c r="F30" i="72"/>
  <c r="H30" i="72" s="1"/>
  <c r="G30" i="72"/>
  <c r="G28" i="60"/>
  <c r="D29" i="60"/>
  <c r="E29" i="60"/>
  <c r="H110" i="42"/>
  <c r="I110" i="42"/>
  <c r="J110" i="42" s="1"/>
  <c r="J112" i="31"/>
  <c r="H29" i="61"/>
  <c r="I29" i="61" s="1"/>
  <c r="G34" i="69"/>
  <c r="I34" i="69" s="1"/>
  <c r="D24" i="95"/>
  <c r="E24" i="95"/>
  <c r="D26" i="92"/>
  <c r="E26" i="92"/>
  <c r="G25" i="83"/>
  <c r="I25" i="83" s="1"/>
  <c r="E26" i="83"/>
  <c r="D26" i="83"/>
  <c r="D34" i="31"/>
  <c r="E34" i="31"/>
  <c r="E30" i="53"/>
  <c r="D30" i="53"/>
  <c r="G33" i="24"/>
  <c r="I33" i="24" s="1"/>
  <c r="B27" i="76"/>
  <c r="F27" i="76"/>
  <c r="G27" i="76" s="1"/>
  <c r="I104" i="33"/>
  <c r="H104" i="33"/>
  <c r="G27" i="65"/>
  <c r="I27" i="65" s="1"/>
  <c r="E30" i="46"/>
  <c r="D30" i="46"/>
  <c r="F32" i="42"/>
  <c r="H32" i="42" s="1"/>
  <c r="G32" i="42"/>
  <c r="B32" i="42"/>
  <c r="E26" i="82"/>
  <c r="D26" i="82"/>
  <c r="D30" i="57"/>
  <c r="E30" i="57"/>
  <c r="E28" i="66"/>
  <c r="D28" i="66"/>
  <c r="D33" i="20"/>
  <c r="E33" i="20"/>
  <c r="H23" i="99"/>
  <c r="E24" i="99"/>
  <c r="D24" i="99"/>
  <c r="I110" i="44"/>
  <c r="H110" i="44"/>
  <c r="I103" i="26"/>
  <c r="H103" i="26"/>
  <c r="G29" i="58"/>
  <c r="D30" i="58"/>
  <c r="E30" i="58"/>
  <c r="F26" i="85"/>
  <c r="B26" i="85"/>
  <c r="I34" i="27"/>
  <c r="I31" i="41"/>
  <c r="D34" i="34"/>
  <c r="E34" i="34"/>
  <c r="H30" i="45"/>
  <c r="E31" i="45"/>
  <c r="D31" i="45"/>
  <c r="D32" i="73"/>
  <c r="E32" i="73"/>
  <c r="F111" i="44"/>
  <c r="B111" i="44"/>
  <c r="F104" i="26"/>
  <c r="B104" i="26"/>
  <c r="E33" i="3"/>
  <c r="D33" i="3"/>
  <c r="I33" i="31"/>
  <c r="I29" i="53"/>
  <c r="H29" i="58"/>
  <c r="I29" i="58" s="1"/>
  <c r="F24" i="98"/>
  <c r="H24" i="98" s="1"/>
  <c r="B24" i="98"/>
  <c r="F24" i="97"/>
  <c r="B24" i="97"/>
  <c r="G35" i="28"/>
  <c r="I35" i="28" s="1"/>
  <c r="D36" i="28"/>
  <c r="E36" i="28"/>
  <c r="E105" i="33"/>
  <c r="F105" i="33" s="1"/>
  <c r="E35" i="27"/>
  <c r="D35" i="27"/>
  <c r="E28" i="68"/>
  <c r="D28" i="68"/>
  <c r="H33" i="34"/>
  <c r="I29" i="46"/>
  <c r="F105" i="97"/>
  <c r="B105" i="97"/>
  <c r="G30" i="45"/>
  <c r="H32" i="20"/>
  <c r="I31" i="74"/>
  <c r="G31" i="73"/>
  <c r="D28" i="67"/>
  <c r="E28" i="67"/>
  <c r="E30" i="56"/>
  <c r="D30" i="56"/>
  <c r="D35" i="69"/>
  <c r="E35" i="69"/>
  <c r="I23" i="95"/>
  <c r="I25" i="92"/>
  <c r="G23" i="99"/>
  <c r="I23" i="99" s="1"/>
  <c r="H28" i="63"/>
  <c r="I28" i="63" s="1"/>
  <c r="E29" i="63"/>
  <c r="D29" i="63"/>
  <c r="D27" i="79"/>
  <c r="E27" i="79"/>
  <c r="I32" i="3"/>
  <c r="H27" i="67"/>
  <c r="I27" i="67" s="1"/>
  <c r="G29" i="56"/>
  <c r="I29" i="56" s="1"/>
  <c r="I110" i="43"/>
  <c r="H110" i="43"/>
  <c r="H25" i="84"/>
  <c r="I25" i="84" s="1"/>
  <c r="D26" i="84"/>
  <c r="E26" i="84"/>
  <c r="E34" i="24"/>
  <c r="D34" i="24"/>
  <c r="H31" i="44"/>
  <c r="I31" i="44" s="1"/>
  <c r="D32" i="44"/>
  <c r="E32" i="44"/>
  <c r="D32" i="41"/>
  <c r="E32" i="41"/>
  <c r="E28" i="65"/>
  <c r="D28" i="65"/>
  <c r="G33" i="34"/>
  <c r="H28" i="60"/>
  <c r="H104" i="97"/>
  <c r="I104" i="97"/>
  <c r="J104" i="97" s="1"/>
  <c r="F111" i="42"/>
  <c r="B111" i="42"/>
  <c r="G33" i="35"/>
  <c r="B34" i="35"/>
  <c r="E34" i="35"/>
  <c r="F34" i="35" s="1"/>
  <c r="H33" i="35"/>
  <c r="I33" i="35" s="1"/>
  <c r="I27" i="66"/>
  <c r="B27" i="77"/>
  <c r="F27" i="77"/>
  <c r="G27" i="77" s="1"/>
  <c r="H27" i="77"/>
  <c r="G32" i="20"/>
  <c r="D32" i="74"/>
  <c r="E32" i="74"/>
  <c r="H31" i="73"/>
  <c r="I31" i="73" s="1"/>
  <c r="H23" i="26"/>
  <c r="D24" i="26"/>
  <c r="E24" i="26"/>
  <c r="G23" i="26"/>
  <c r="G105" i="25"/>
  <c r="D106" i="25"/>
  <c r="I25" i="88"/>
  <c r="D35" i="71"/>
  <c r="E35" i="71"/>
  <c r="H33" i="19"/>
  <c r="D34" i="19"/>
  <c r="E34" i="19"/>
  <c r="B25" i="33"/>
  <c r="G26" i="13"/>
  <c r="D27" i="13"/>
  <c r="E27" i="13" s="1"/>
  <c r="D26" i="91"/>
  <c r="E26" i="91"/>
  <c r="H34" i="71"/>
  <c r="I34" i="71" s="1"/>
  <c r="B29" i="64"/>
  <c r="F29" i="64"/>
  <c r="H29" i="64" s="1"/>
  <c r="E25" i="33"/>
  <c r="F25" i="33" s="1"/>
  <c r="G113" i="31"/>
  <c r="D114" i="31"/>
  <c r="E114" i="31"/>
  <c r="H105" i="13"/>
  <c r="I105" i="13"/>
  <c r="I26" i="75"/>
  <c r="B26" i="80"/>
  <c r="G26" i="80"/>
  <c r="F26" i="80"/>
  <c r="H26" i="80"/>
  <c r="I25" i="13"/>
  <c r="H29" i="59"/>
  <c r="I29" i="59" s="1"/>
  <c r="D30" i="59"/>
  <c r="E30" i="59"/>
  <c r="F26" i="86"/>
  <c r="B26" i="86"/>
  <c r="G26" i="86"/>
  <c r="I24" i="33"/>
  <c r="G25" i="91"/>
  <c r="B106" i="13"/>
  <c r="E30" i="61"/>
  <c r="D30" i="61"/>
  <c r="F35" i="70"/>
  <c r="G35" i="70" s="1"/>
  <c r="B35" i="70"/>
  <c r="G32" i="17"/>
  <c r="I32" i="17" s="1"/>
  <c r="D33" i="17"/>
  <c r="E33" i="17"/>
  <c r="G33" i="19"/>
  <c r="H30" i="55"/>
  <c r="B30" i="55"/>
  <c r="F30" i="55"/>
  <c r="G30" i="55" s="1"/>
  <c r="I31" i="43"/>
  <c r="H26" i="13"/>
  <c r="I26" i="13" s="1"/>
  <c r="B32" i="43"/>
  <c r="F32" i="43"/>
  <c r="G32" i="43" s="1"/>
  <c r="H25" i="91"/>
  <c r="I25" i="91" s="1"/>
  <c r="E106" i="13"/>
  <c r="F106" i="13" s="1"/>
  <c r="J107" i="75"/>
  <c r="J109" i="62"/>
  <c r="J116" i="70"/>
  <c r="J108" i="60"/>
  <c r="J106" i="82"/>
  <c r="J110" i="55"/>
  <c r="G109" i="60"/>
  <c r="D110" i="60"/>
  <c r="E110" i="60"/>
  <c r="J114" i="17"/>
  <c r="E116" i="17"/>
  <c r="D116" i="17"/>
  <c r="G115" i="17"/>
  <c r="G117" i="70"/>
  <c r="E118" i="70"/>
  <c r="D118" i="70"/>
  <c r="G109" i="57"/>
  <c r="D110" i="57"/>
  <c r="E110" i="57"/>
  <c r="D25" i="25"/>
  <c r="E25" i="25" s="1"/>
  <c r="J108" i="54"/>
  <c r="F25" i="87"/>
  <c r="G25" i="87" s="1"/>
  <c r="B25" i="87"/>
  <c r="H25" i="87"/>
  <c r="D115" i="30"/>
  <c r="G114" i="30"/>
  <c r="E115" i="30"/>
  <c r="G114" i="27"/>
  <c r="D115" i="27"/>
  <c r="E115" i="27"/>
  <c r="J112" i="71"/>
  <c r="J112" i="32"/>
  <c r="J114" i="28"/>
  <c r="I114" i="23"/>
  <c r="H114" i="23"/>
  <c r="J110" i="74"/>
  <c r="G118" i="35"/>
  <c r="B119" i="35"/>
  <c r="E119" i="35"/>
  <c r="F119" i="35" s="1"/>
  <c r="G108" i="75"/>
  <c r="D109" i="75"/>
  <c r="E109" i="75"/>
  <c r="D105" i="84"/>
  <c r="G104" i="84"/>
  <c r="E105" i="84"/>
  <c r="I112" i="34"/>
  <c r="H112" i="34"/>
  <c r="G111" i="41"/>
  <c r="D112" i="41"/>
  <c r="E112" i="41"/>
  <c r="G104" i="89"/>
  <c r="D105" i="89"/>
  <c r="E105" i="89"/>
  <c r="J108" i="56"/>
  <c r="F35" i="30"/>
  <c r="B35" i="30"/>
  <c r="H107" i="78"/>
  <c r="I107" i="78"/>
  <c r="J111" i="21"/>
  <c r="J104" i="81"/>
  <c r="D111" i="45"/>
  <c r="G110" i="45"/>
  <c r="E111" i="45"/>
  <c r="J107" i="64"/>
  <c r="J112" i="24"/>
  <c r="D112" i="55"/>
  <c r="G111" i="55"/>
  <c r="E112" i="55"/>
  <c r="E108" i="85"/>
  <c r="G107" i="85"/>
  <c r="D108" i="85"/>
  <c r="H108" i="63"/>
  <c r="I108" i="63"/>
  <c r="D110" i="72"/>
  <c r="G109" i="72"/>
  <c r="E110" i="72"/>
  <c r="G111" i="39"/>
  <c r="D112" i="39"/>
  <c r="E112" i="39"/>
  <c r="J108" i="57"/>
  <c r="G105" i="83"/>
  <c r="D106" i="83"/>
  <c r="E106" i="83"/>
  <c r="G105" i="81"/>
  <c r="D106" i="81"/>
  <c r="E106" i="81"/>
  <c r="B113" i="34"/>
  <c r="F113" i="34"/>
  <c r="F32" i="39"/>
  <c r="G32" i="39" s="1"/>
  <c r="B32" i="39"/>
  <c r="B108" i="66"/>
  <c r="F108" i="66"/>
  <c r="G112" i="18"/>
  <c r="D113" i="18"/>
  <c r="E113" i="18"/>
  <c r="G112" i="21"/>
  <c r="D113" i="21"/>
  <c r="E113" i="21"/>
  <c r="B25" i="89"/>
  <c r="F25" i="89"/>
  <c r="H25" i="89" s="1"/>
  <c r="G106" i="79"/>
  <c r="D107" i="79"/>
  <c r="E107" i="79"/>
  <c r="J103" i="88"/>
  <c r="F109" i="63"/>
  <c r="B109" i="63"/>
  <c r="D107" i="76"/>
  <c r="G106" i="76"/>
  <c r="E107" i="76"/>
  <c r="J108" i="72"/>
  <c r="F30" i="54"/>
  <c r="H30" i="54" s="1"/>
  <c r="B30" i="54"/>
  <c r="B108" i="78"/>
  <c r="F108" i="78"/>
  <c r="J113" i="30"/>
  <c r="D114" i="32"/>
  <c r="G113" i="32"/>
  <c r="E114" i="32"/>
  <c r="J103" i="90"/>
  <c r="H107" i="66"/>
  <c r="I107" i="66"/>
  <c r="F115" i="23"/>
  <c r="B115" i="23"/>
  <c r="D110" i="53"/>
  <c r="G109" i="53"/>
  <c r="E110" i="53"/>
  <c r="J110" i="73"/>
  <c r="D105" i="86"/>
  <c r="G104" i="86"/>
  <c r="E105" i="86"/>
  <c r="J110" i="41"/>
  <c r="J111" i="3"/>
  <c r="F33" i="18"/>
  <c r="G33" i="18" s="1"/>
  <c r="B33" i="18"/>
  <c r="J107" i="59"/>
  <c r="J108" i="53"/>
  <c r="G104" i="98"/>
  <c r="D105" i="98"/>
  <c r="E105" i="98"/>
  <c r="F35" i="29"/>
  <c r="G35" i="29" s="1"/>
  <c r="B35" i="29"/>
  <c r="H35" i="29"/>
  <c r="D109" i="59"/>
  <c r="G108" i="59"/>
  <c r="E109" i="59"/>
  <c r="J103" i="98"/>
  <c r="D112" i="74"/>
  <c r="G111" i="74"/>
  <c r="E112" i="74"/>
  <c r="J103" i="91"/>
  <c r="J110" i="39"/>
  <c r="D105" i="92"/>
  <c r="G104" i="92"/>
  <c r="E105" i="92"/>
  <c r="J104" i="100"/>
  <c r="D105" i="91"/>
  <c r="G104" i="91"/>
  <c r="E105" i="91"/>
  <c r="D112" i="73"/>
  <c r="G111" i="73"/>
  <c r="E112" i="73"/>
  <c r="B33" i="22"/>
  <c r="G33" i="22"/>
  <c r="F33" i="22"/>
  <c r="F117" i="29"/>
  <c r="B117" i="29"/>
  <c r="B24" i="96"/>
  <c r="F24" i="96"/>
  <c r="H24" i="96" s="1"/>
  <c r="J114" i="20"/>
  <c r="D111" i="62"/>
  <c r="G110" i="62"/>
  <c r="E111" i="62"/>
  <c r="D105" i="96"/>
  <c r="G104" i="96"/>
  <c r="E105" i="96"/>
  <c r="J104" i="83"/>
  <c r="D113" i="3"/>
  <c r="G112" i="3"/>
  <c r="E113" i="3"/>
  <c r="G106" i="77"/>
  <c r="D107" i="77"/>
  <c r="E107" i="77"/>
  <c r="D116" i="28"/>
  <c r="G115" i="28"/>
  <c r="E116" i="28"/>
  <c r="B33" i="21"/>
  <c r="F33" i="21"/>
  <c r="J111" i="18"/>
  <c r="J108" i="58"/>
  <c r="D110" i="58"/>
  <c r="G109" i="58"/>
  <c r="E110" i="58"/>
  <c r="H116" i="29"/>
  <c r="I116" i="29"/>
  <c r="J116" i="29" s="1"/>
  <c r="J105" i="77"/>
  <c r="D113" i="22"/>
  <c r="G112" i="22"/>
  <c r="E113" i="22"/>
  <c r="B27" i="78"/>
  <c r="F27" i="78"/>
  <c r="H27" i="78" s="1"/>
  <c r="F113" i="19"/>
  <c r="B113" i="19"/>
  <c r="J103" i="96"/>
  <c r="D106" i="100"/>
  <c r="E106" i="100"/>
  <c r="G105" i="100"/>
  <c r="J106" i="68"/>
  <c r="F27" i="75"/>
  <c r="G27" i="75" s="1"/>
  <c r="H27" i="75"/>
  <c r="B27" i="75"/>
  <c r="D115" i="69"/>
  <c r="G114" i="69"/>
  <c r="E115" i="69"/>
  <c r="J103" i="86"/>
  <c r="J103" i="92"/>
  <c r="J108" i="46"/>
  <c r="D109" i="64"/>
  <c r="G108" i="64"/>
  <c r="E109" i="64"/>
  <c r="B34" i="32"/>
  <c r="F34" i="32"/>
  <c r="H34" i="32" s="1"/>
  <c r="J111" i="22"/>
  <c r="D114" i="71"/>
  <c r="G113" i="71"/>
  <c r="E114" i="71"/>
  <c r="G109" i="56"/>
  <c r="D110" i="56"/>
  <c r="E110" i="56"/>
  <c r="J104" i="80"/>
  <c r="H109" i="67"/>
  <c r="I109" i="67"/>
  <c r="J109" i="67" s="1"/>
  <c r="D108" i="68"/>
  <c r="G107" i="68"/>
  <c r="E108" i="68"/>
  <c r="J103" i="84"/>
  <c r="H117" i="35"/>
  <c r="I117" i="35"/>
  <c r="G24" i="25"/>
  <c r="J104" i="99"/>
  <c r="J106" i="65"/>
  <c r="J105" i="79"/>
  <c r="J103" i="89"/>
  <c r="D106" i="99"/>
  <c r="G105" i="99"/>
  <c r="E106" i="99"/>
  <c r="D116" i="20"/>
  <c r="G115" i="20"/>
  <c r="E116" i="20"/>
  <c r="I112" i="19"/>
  <c r="J112" i="19" s="1"/>
  <c r="H112" i="19"/>
  <c r="G108" i="61"/>
  <c r="D109" i="61"/>
  <c r="E109" i="61"/>
  <c r="J113" i="69"/>
  <c r="J105" i="76"/>
  <c r="D110" i="54"/>
  <c r="G109" i="54"/>
  <c r="E110" i="54"/>
  <c r="J113" i="27"/>
  <c r="B24" i="100"/>
  <c r="F24" i="100"/>
  <c r="H24" i="100" s="1"/>
  <c r="H24" i="25"/>
  <c r="G109" i="46"/>
  <c r="D110" i="46"/>
  <c r="E110" i="46"/>
  <c r="J109" i="45"/>
  <c r="D108" i="82"/>
  <c r="E108" i="82"/>
  <c r="G107" i="82"/>
  <c r="G104" i="88"/>
  <c r="D105" i="88"/>
  <c r="E105" i="88"/>
  <c r="F25" i="90"/>
  <c r="G25" i="90" s="1"/>
  <c r="B25" i="90"/>
  <c r="F26" i="88"/>
  <c r="G26" i="88" s="1"/>
  <c r="B26" i="88"/>
  <c r="G113" i="24"/>
  <c r="D114" i="24"/>
  <c r="E114" i="24"/>
  <c r="J107" i="61"/>
  <c r="D108" i="65"/>
  <c r="G107" i="65"/>
  <c r="E108" i="65"/>
  <c r="F110" i="67"/>
  <c r="B110" i="67"/>
  <c r="G105" i="80"/>
  <c r="D106" i="80"/>
  <c r="E106" i="80"/>
  <c r="G104" i="90"/>
  <c r="D105" i="90"/>
  <c r="E105" i="90"/>
  <c r="F29" i="62"/>
  <c r="G29" i="62" s="1"/>
  <c r="H29" i="62"/>
  <c r="B29" i="62"/>
  <c r="I27" i="77" l="1"/>
  <c r="I33" i="34"/>
  <c r="F105" i="87"/>
  <c r="B105" i="87"/>
  <c r="G24" i="100"/>
  <c r="G24" i="98"/>
  <c r="H27" i="76"/>
  <c r="I104" i="87"/>
  <c r="J104" i="87" s="1"/>
  <c r="H104" i="87"/>
  <c r="H105" i="95"/>
  <c r="I105" i="95"/>
  <c r="J105" i="95" s="1"/>
  <c r="G25" i="89"/>
  <c r="I32" i="42"/>
  <c r="B106" i="95"/>
  <c r="F106" i="95"/>
  <c r="D106" i="33"/>
  <c r="G105" i="33"/>
  <c r="B28" i="65"/>
  <c r="F28" i="65"/>
  <c r="G28" i="65" s="1"/>
  <c r="G105" i="97"/>
  <c r="E106" i="97"/>
  <c r="D106" i="97"/>
  <c r="G104" i="26"/>
  <c r="D105" i="26"/>
  <c r="E27" i="85"/>
  <c r="D27" i="85"/>
  <c r="B24" i="99"/>
  <c r="F24" i="99"/>
  <c r="B33" i="20"/>
  <c r="F33" i="20"/>
  <c r="H33" i="20"/>
  <c r="F30" i="57"/>
  <c r="B30" i="57"/>
  <c r="G30" i="57"/>
  <c r="I27" i="76"/>
  <c r="B24" i="95"/>
  <c r="F24" i="95"/>
  <c r="H24" i="95" s="1"/>
  <c r="G111" i="43"/>
  <c r="D112" i="43"/>
  <c r="E112" i="43"/>
  <c r="I24" i="25"/>
  <c r="B32" i="44"/>
  <c r="F32" i="44"/>
  <c r="H32" i="44" s="1"/>
  <c r="J110" i="43"/>
  <c r="I32" i="20"/>
  <c r="F35" i="27"/>
  <c r="H35" i="27" s="1"/>
  <c r="B35" i="27"/>
  <c r="F36" i="28"/>
  <c r="H36" i="28" s="1"/>
  <c r="B36" i="28"/>
  <c r="H24" i="97"/>
  <c r="D25" i="97"/>
  <c r="E25" i="97"/>
  <c r="D25" i="98"/>
  <c r="E25" i="98"/>
  <c r="B33" i="3"/>
  <c r="F33" i="3"/>
  <c r="H33" i="3" s="1"/>
  <c r="B32" i="73"/>
  <c r="F32" i="73"/>
  <c r="H32" i="73" s="1"/>
  <c r="G32" i="73"/>
  <c r="G26" i="85"/>
  <c r="J103" i="26"/>
  <c r="B28" i="66"/>
  <c r="F28" i="66"/>
  <c r="G28" i="66" s="1"/>
  <c r="F26" i="82"/>
  <c r="H26" i="82" s="1"/>
  <c r="B26" i="82"/>
  <c r="B34" i="31"/>
  <c r="F34" i="31"/>
  <c r="G34" i="31" s="1"/>
  <c r="I30" i="72"/>
  <c r="I26" i="80"/>
  <c r="I28" i="60"/>
  <c r="B26" i="84"/>
  <c r="F26" i="84"/>
  <c r="H26" i="84"/>
  <c r="G26" i="84"/>
  <c r="F27" i="79"/>
  <c r="G27" i="79" s="1"/>
  <c r="B27" i="79"/>
  <c r="H27" i="79"/>
  <c r="B35" i="69"/>
  <c r="F35" i="69"/>
  <c r="G35" i="69"/>
  <c r="H35" i="69"/>
  <c r="B28" i="67"/>
  <c r="F28" i="67"/>
  <c r="G28" i="67" s="1"/>
  <c r="I30" i="45"/>
  <c r="I24" i="98"/>
  <c r="B31" i="45"/>
  <c r="F31" i="45"/>
  <c r="B34" i="34"/>
  <c r="F34" i="34"/>
  <c r="H34" i="34" s="1"/>
  <c r="H26" i="85"/>
  <c r="B30" i="58"/>
  <c r="G30" i="58"/>
  <c r="F30" i="58"/>
  <c r="E33" i="42"/>
  <c r="D33" i="42"/>
  <c r="E28" i="76"/>
  <c r="D28" i="76"/>
  <c r="F30" i="53"/>
  <c r="B30" i="53"/>
  <c r="G30" i="53"/>
  <c r="H30" i="53"/>
  <c r="B26" i="83"/>
  <c r="F26" i="83"/>
  <c r="G26" i="83" s="1"/>
  <c r="F26" i="92"/>
  <c r="H26" i="92"/>
  <c r="B26" i="92"/>
  <c r="G26" i="92"/>
  <c r="D35" i="23"/>
  <c r="E35" i="23"/>
  <c r="D27" i="81"/>
  <c r="E27" i="81"/>
  <c r="I29" i="62"/>
  <c r="I24" i="100"/>
  <c r="F32" i="74"/>
  <c r="G32" i="74" s="1"/>
  <c r="B32" i="74"/>
  <c r="D28" i="77"/>
  <c r="E28" i="77"/>
  <c r="G34" i="35"/>
  <c r="E35" i="35"/>
  <c r="F35" i="35" s="1"/>
  <c r="H34" i="35"/>
  <c r="B35" i="35"/>
  <c r="D112" i="42"/>
  <c r="G111" i="42"/>
  <c r="E112" i="42"/>
  <c r="F32" i="41"/>
  <c r="G32" i="41" s="1"/>
  <c r="B32" i="41"/>
  <c r="B34" i="24"/>
  <c r="F34" i="24"/>
  <c r="F29" i="63"/>
  <c r="H29" i="63" s="1"/>
  <c r="B29" i="63"/>
  <c r="B30" i="56"/>
  <c r="F30" i="56"/>
  <c r="H30" i="56" s="1"/>
  <c r="B28" i="68"/>
  <c r="F28" i="68"/>
  <c r="G28" i="68" s="1"/>
  <c r="G24" i="97"/>
  <c r="I24" i="97" s="1"/>
  <c r="G111" i="44"/>
  <c r="D112" i="44"/>
  <c r="E112" i="44"/>
  <c r="J110" i="44"/>
  <c r="F30" i="46"/>
  <c r="G30" i="46" s="1"/>
  <c r="B30" i="46"/>
  <c r="H30" i="46"/>
  <c r="J104" i="33"/>
  <c r="F29" i="60"/>
  <c r="B29" i="60"/>
  <c r="G29" i="60"/>
  <c r="D31" i="72"/>
  <c r="E31" i="72"/>
  <c r="H34" i="23"/>
  <c r="I34" i="23" s="1"/>
  <c r="G26" i="81"/>
  <c r="I26" i="81" s="1"/>
  <c r="H104" i="25"/>
  <c r="I104" i="25"/>
  <c r="D107" i="13"/>
  <c r="G106" i="13"/>
  <c r="D26" i="33"/>
  <c r="E26" i="33" s="1"/>
  <c r="G25" i="33"/>
  <c r="H25" i="33"/>
  <c r="I27" i="75"/>
  <c r="B33" i="17"/>
  <c r="F33" i="17"/>
  <c r="C42" i="17"/>
  <c r="B30" i="59"/>
  <c r="F30" i="59"/>
  <c r="F114" i="31"/>
  <c r="B114" i="31"/>
  <c r="F26" i="91"/>
  <c r="G26" i="91" s="1"/>
  <c r="B26" i="91"/>
  <c r="H26" i="91"/>
  <c r="H32" i="39"/>
  <c r="D31" i="55"/>
  <c r="E31" i="55"/>
  <c r="E27" i="86"/>
  <c r="D27" i="86"/>
  <c r="D27" i="80"/>
  <c r="E27" i="80"/>
  <c r="J105" i="13"/>
  <c r="H113" i="31"/>
  <c r="I113" i="31"/>
  <c r="B27" i="13"/>
  <c r="F27" i="13"/>
  <c r="G27" i="13" s="1"/>
  <c r="E106" i="25"/>
  <c r="F106" i="25" s="1"/>
  <c r="B106" i="25"/>
  <c r="G24" i="96"/>
  <c r="I24" i="96" s="1"/>
  <c r="B34" i="19"/>
  <c r="F34" i="19"/>
  <c r="H34" i="19" s="1"/>
  <c r="B35" i="71"/>
  <c r="F35" i="71"/>
  <c r="H35" i="71" s="1"/>
  <c r="G35" i="71"/>
  <c r="H105" i="25"/>
  <c r="I105" i="25"/>
  <c r="F24" i="26"/>
  <c r="D25" i="26" s="1"/>
  <c r="B24" i="26"/>
  <c r="H32" i="43"/>
  <c r="I32" i="43" s="1"/>
  <c r="D33" i="43"/>
  <c r="E33" i="43"/>
  <c r="I30" i="55"/>
  <c r="H35" i="70"/>
  <c r="I35" i="70" s="1"/>
  <c r="D36" i="70"/>
  <c r="E36" i="70"/>
  <c r="F30" i="61"/>
  <c r="G30" i="61" s="1"/>
  <c r="B30" i="61"/>
  <c r="H26" i="86"/>
  <c r="I26" i="86" s="1"/>
  <c r="G29" i="64"/>
  <c r="I29" i="64" s="1"/>
  <c r="D30" i="64"/>
  <c r="E30" i="64"/>
  <c r="I33" i="19"/>
  <c r="I23" i="26"/>
  <c r="J107" i="66"/>
  <c r="H117" i="70"/>
  <c r="I117" i="70"/>
  <c r="H115" i="17"/>
  <c r="I115" i="17"/>
  <c r="J115" i="17" s="1"/>
  <c r="B110" i="60"/>
  <c r="F110" i="60"/>
  <c r="J108" i="63"/>
  <c r="F116" i="17"/>
  <c r="B116" i="17"/>
  <c r="I109" i="60"/>
  <c r="J109" i="60" s="1"/>
  <c r="H109" i="60"/>
  <c r="J107" i="78"/>
  <c r="B118" i="70"/>
  <c r="F118" i="70"/>
  <c r="D30" i="62"/>
  <c r="E30" i="62"/>
  <c r="D111" i="67"/>
  <c r="E111" i="67"/>
  <c r="G110" i="67"/>
  <c r="E25" i="100"/>
  <c r="D25" i="100"/>
  <c r="F114" i="71"/>
  <c r="B114" i="71"/>
  <c r="E28" i="75"/>
  <c r="D28" i="75"/>
  <c r="D28" i="78"/>
  <c r="E28" i="78"/>
  <c r="H112" i="3"/>
  <c r="I112" i="3"/>
  <c r="I104" i="96"/>
  <c r="H104" i="96"/>
  <c r="F111" i="62"/>
  <c r="B111" i="62"/>
  <c r="D34" i="22"/>
  <c r="E34" i="22"/>
  <c r="F105" i="91"/>
  <c r="B105" i="91"/>
  <c r="B105" i="92"/>
  <c r="F105" i="92"/>
  <c r="I35" i="29"/>
  <c r="H104" i="86"/>
  <c r="I104" i="86"/>
  <c r="G115" i="23"/>
  <c r="D116" i="23"/>
  <c r="E116" i="23"/>
  <c r="H113" i="32"/>
  <c r="I113" i="32"/>
  <c r="B107" i="76"/>
  <c r="F107" i="76"/>
  <c r="I112" i="18"/>
  <c r="J112" i="18" s="1"/>
  <c r="H112" i="18"/>
  <c r="B110" i="72"/>
  <c r="F110" i="72"/>
  <c r="I111" i="55"/>
  <c r="H111" i="55"/>
  <c r="J112" i="34"/>
  <c r="F110" i="57"/>
  <c r="B110" i="57"/>
  <c r="H105" i="99"/>
  <c r="I105" i="99"/>
  <c r="J105" i="99" s="1"/>
  <c r="D35" i="32"/>
  <c r="E35" i="32"/>
  <c r="I108" i="64"/>
  <c r="H108" i="64"/>
  <c r="E114" i="19"/>
  <c r="D114" i="19"/>
  <c r="G113" i="19"/>
  <c r="I115" i="28"/>
  <c r="J115" i="28" s="1"/>
  <c r="H115" i="28"/>
  <c r="F113" i="3"/>
  <c r="B113" i="3"/>
  <c r="B105" i="96"/>
  <c r="F105" i="96"/>
  <c r="H111" i="74"/>
  <c r="I111" i="74"/>
  <c r="B105" i="86"/>
  <c r="F105" i="86"/>
  <c r="F114" i="32"/>
  <c r="B114" i="32"/>
  <c r="D31" i="54"/>
  <c r="E31" i="54"/>
  <c r="E109" i="66"/>
  <c r="G108" i="66"/>
  <c r="D109" i="66"/>
  <c r="D33" i="39"/>
  <c r="E33" i="39"/>
  <c r="F112" i="55"/>
  <c r="B112" i="55"/>
  <c r="H110" i="45"/>
  <c r="I110" i="45"/>
  <c r="D36" i="30"/>
  <c r="E36" i="30"/>
  <c r="D26" i="87"/>
  <c r="E26" i="87"/>
  <c r="H109" i="57"/>
  <c r="I109" i="57"/>
  <c r="J109" i="57" s="1"/>
  <c r="F105" i="90"/>
  <c r="B105" i="90"/>
  <c r="H25" i="90"/>
  <c r="F105" i="88"/>
  <c r="B105" i="88"/>
  <c r="B110" i="46"/>
  <c r="F110" i="46"/>
  <c r="F106" i="99"/>
  <c r="B106" i="99"/>
  <c r="B109" i="64"/>
  <c r="F109" i="64"/>
  <c r="I109" i="58"/>
  <c r="H109" i="58"/>
  <c r="F116" i="28"/>
  <c r="B116" i="28"/>
  <c r="F112" i="74"/>
  <c r="B112" i="74"/>
  <c r="G109" i="63"/>
  <c r="E110" i="63"/>
  <c r="D110" i="63"/>
  <c r="F113" i="21"/>
  <c r="B113" i="21"/>
  <c r="D114" i="34"/>
  <c r="G113" i="34"/>
  <c r="E114" i="34"/>
  <c r="B111" i="45"/>
  <c r="F111" i="45"/>
  <c r="G35" i="30"/>
  <c r="G119" i="35"/>
  <c r="E120" i="35"/>
  <c r="F120" i="35" s="1"/>
  <c r="B120" i="35"/>
  <c r="J114" i="23"/>
  <c r="H104" i="90"/>
  <c r="I104" i="90"/>
  <c r="B114" i="24"/>
  <c r="F114" i="24"/>
  <c r="I104" i="88"/>
  <c r="J104" i="88" s="1"/>
  <c r="H104" i="88"/>
  <c r="H109" i="46"/>
  <c r="I109" i="46"/>
  <c r="J117" i="35"/>
  <c r="G34" i="32"/>
  <c r="I34" i="32" s="1"/>
  <c r="I114" i="69"/>
  <c r="J114" i="69" s="1"/>
  <c r="H114" i="69"/>
  <c r="G27" i="78"/>
  <c r="I27" i="78" s="1"/>
  <c r="I112" i="22"/>
  <c r="J112" i="22" s="1"/>
  <c r="H112" i="22"/>
  <c r="F110" i="58"/>
  <c r="B110" i="58"/>
  <c r="H33" i="22"/>
  <c r="I33" i="22" s="1"/>
  <c r="D36" i="29"/>
  <c r="E36" i="29"/>
  <c r="F107" i="79"/>
  <c r="B107" i="79"/>
  <c r="H112" i="21"/>
  <c r="I112" i="21"/>
  <c r="F106" i="81"/>
  <c r="B106" i="81"/>
  <c r="F112" i="39"/>
  <c r="B112" i="39"/>
  <c r="B108" i="85"/>
  <c r="F108" i="85"/>
  <c r="H104" i="84"/>
  <c r="I104" i="84"/>
  <c r="I107" i="65"/>
  <c r="H107" i="65"/>
  <c r="H113" i="24"/>
  <c r="I113" i="24"/>
  <c r="J113" i="24" s="1"/>
  <c r="I107" i="82"/>
  <c r="J107" i="82" s="1"/>
  <c r="H107" i="82"/>
  <c r="H107" i="68"/>
  <c r="I107" i="68"/>
  <c r="J107" i="68" s="1"/>
  <c r="F110" i="56"/>
  <c r="B110" i="56"/>
  <c r="F115" i="69"/>
  <c r="B115" i="69"/>
  <c r="F113" i="22"/>
  <c r="B113" i="22"/>
  <c r="B107" i="77"/>
  <c r="F107" i="77"/>
  <c r="H111" i="73"/>
  <c r="I111" i="73"/>
  <c r="G108" i="78"/>
  <c r="D109" i="78"/>
  <c r="E109" i="78"/>
  <c r="H106" i="79"/>
  <c r="I106" i="79"/>
  <c r="H105" i="81"/>
  <c r="I105" i="81"/>
  <c r="H111" i="39"/>
  <c r="I111" i="39"/>
  <c r="J111" i="39" s="1"/>
  <c r="I107" i="85"/>
  <c r="H107" i="85"/>
  <c r="B105" i="84"/>
  <c r="F105" i="84"/>
  <c r="H118" i="35"/>
  <c r="I118" i="35"/>
  <c r="I114" i="30"/>
  <c r="H114" i="30"/>
  <c r="B106" i="80"/>
  <c r="F106" i="80"/>
  <c r="B108" i="65"/>
  <c r="F108" i="65"/>
  <c r="D26" i="90"/>
  <c r="E26" i="90"/>
  <c r="F109" i="61"/>
  <c r="B109" i="61"/>
  <c r="F108" i="68"/>
  <c r="B108" i="68"/>
  <c r="H109" i="56"/>
  <c r="I109" i="56"/>
  <c r="H105" i="100"/>
  <c r="I105" i="100"/>
  <c r="D34" i="21"/>
  <c r="E34" i="21"/>
  <c r="I106" i="77"/>
  <c r="H106" i="77"/>
  <c r="F112" i="73"/>
  <c r="B112" i="73"/>
  <c r="F105" i="98"/>
  <c r="B105" i="98"/>
  <c r="E34" i="18"/>
  <c r="D34" i="18"/>
  <c r="I109" i="53"/>
  <c r="H109" i="53"/>
  <c r="F105" i="89"/>
  <c r="B105" i="89"/>
  <c r="B112" i="41"/>
  <c r="F112" i="41"/>
  <c r="F115" i="30"/>
  <c r="B115" i="30"/>
  <c r="F25" i="25"/>
  <c r="H25" i="25" s="1"/>
  <c r="B25" i="25"/>
  <c r="H105" i="80"/>
  <c r="I105" i="80"/>
  <c r="E27" i="88"/>
  <c r="D27" i="88"/>
  <c r="B108" i="82"/>
  <c r="F108" i="82"/>
  <c r="I109" i="54"/>
  <c r="H109" i="54"/>
  <c r="I108" i="61"/>
  <c r="H108" i="61"/>
  <c r="I115" i="20"/>
  <c r="H115" i="20"/>
  <c r="H33" i="21"/>
  <c r="I108" i="59"/>
  <c r="H108" i="59"/>
  <c r="H104" i="98"/>
  <c r="I104" i="98"/>
  <c r="H33" i="18"/>
  <c r="I33" i="18" s="1"/>
  <c r="B110" i="53"/>
  <c r="F110" i="53"/>
  <c r="I25" i="89"/>
  <c r="I32" i="39"/>
  <c r="F106" i="83"/>
  <c r="B106" i="83"/>
  <c r="I104" i="89"/>
  <c r="H104" i="89"/>
  <c r="I111" i="41"/>
  <c r="H111" i="41"/>
  <c r="B109" i="75"/>
  <c r="F109" i="75"/>
  <c r="B115" i="27"/>
  <c r="F115" i="27"/>
  <c r="I25" i="87"/>
  <c r="H26" i="88"/>
  <c r="I26" i="88" s="1"/>
  <c r="F110" i="54"/>
  <c r="B110" i="54"/>
  <c r="B116" i="20"/>
  <c r="F116" i="20"/>
  <c r="H113" i="71"/>
  <c r="I113" i="71"/>
  <c r="B106" i="100"/>
  <c r="F106" i="100"/>
  <c r="G33" i="21"/>
  <c r="H110" i="62"/>
  <c r="I110" i="62"/>
  <c r="D25" i="96"/>
  <c r="E25" i="96"/>
  <c r="G117" i="29"/>
  <c r="D118" i="29"/>
  <c r="E118" i="29"/>
  <c r="H104" i="91"/>
  <c r="I104" i="91"/>
  <c r="I104" i="92"/>
  <c r="H104" i="92"/>
  <c r="F109" i="59"/>
  <c r="B109" i="59"/>
  <c r="G30" i="54"/>
  <c r="I30" i="54" s="1"/>
  <c r="I106" i="76"/>
  <c r="H106" i="76"/>
  <c r="D26" i="89"/>
  <c r="E26" i="89"/>
  <c r="F113" i="18"/>
  <c r="B113" i="18"/>
  <c r="I105" i="83"/>
  <c r="J105" i="83" s="1"/>
  <c r="H105" i="83"/>
  <c r="I109" i="72"/>
  <c r="H109" i="72"/>
  <c r="H35" i="30"/>
  <c r="I35" i="30" s="1"/>
  <c r="H108" i="75"/>
  <c r="I108" i="75"/>
  <c r="H114" i="27"/>
  <c r="I114" i="27"/>
  <c r="J114" i="27" s="1"/>
  <c r="J113" i="31" l="1"/>
  <c r="J104" i="25"/>
  <c r="H28" i="68"/>
  <c r="I28" i="68" s="1"/>
  <c r="G30" i="56"/>
  <c r="I30" i="56" s="1"/>
  <c r="H32" i="74"/>
  <c r="I32" i="74" s="1"/>
  <c r="I27" i="79"/>
  <c r="I26" i="84"/>
  <c r="E107" i="95"/>
  <c r="G106" i="95"/>
  <c r="D107" i="95"/>
  <c r="D106" i="87"/>
  <c r="G105" i="87"/>
  <c r="E106" i="87"/>
  <c r="I26" i="91"/>
  <c r="J109" i="53"/>
  <c r="I34" i="35"/>
  <c r="H24" i="26"/>
  <c r="I25" i="33"/>
  <c r="I30" i="46"/>
  <c r="E30" i="63"/>
  <c r="D30" i="63"/>
  <c r="F28" i="77"/>
  <c r="G28" i="77" s="1"/>
  <c r="B28" i="77"/>
  <c r="F27" i="81"/>
  <c r="G27" i="81"/>
  <c r="B27" i="81"/>
  <c r="D31" i="58"/>
  <c r="E31" i="58"/>
  <c r="G31" i="45"/>
  <c r="D32" i="45"/>
  <c r="E32" i="45"/>
  <c r="I35" i="69"/>
  <c r="D27" i="82"/>
  <c r="E27" i="82"/>
  <c r="D37" i="28"/>
  <c r="E37" i="28"/>
  <c r="D36" i="27"/>
  <c r="E36" i="27"/>
  <c r="D25" i="99"/>
  <c r="E25" i="99"/>
  <c r="I35" i="71"/>
  <c r="H34" i="24"/>
  <c r="D35" i="24"/>
  <c r="E35" i="24"/>
  <c r="I111" i="42"/>
  <c r="H111" i="42"/>
  <c r="E36" i="35"/>
  <c r="F36" i="35" s="1"/>
  <c r="B36" i="35"/>
  <c r="G35" i="35"/>
  <c r="H35" i="35"/>
  <c r="D27" i="83"/>
  <c r="E27" i="83"/>
  <c r="B33" i="42"/>
  <c r="F33" i="42"/>
  <c r="G33" i="42" s="1"/>
  <c r="G34" i="34"/>
  <c r="I34" i="34" s="1"/>
  <c r="E35" i="34"/>
  <c r="D35" i="34"/>
  <c r="D29" i="67"/>
  <c r="E29" i="67"/>
  <c r="E35" i="31"/>
  <c r="D35" i="31"/>
  <c r="D29" i="66"/>
  <c r="E29" i="66"/>
  <c r="I32" i="73"/>
  <c r="B25" i="98"/>
  <c r="F25" i="98"/>
  <c r="G25" i="98" s="1"/>
  <c r="D33" i="44"/>
  <c r="E33" i="44"/>
  <c r="F112" i="43"/>
  <c r="B112" i="43"/>
  <c r="E34" i="20"/>
  <c r="D34" i="20"/>
  <c r="E105" i="26"/>
  <c r="F105" i="26" s="1"/>
  <c r="B105" i="26"/>
  <c r="I105" i="97"/>
  <c r="H105" i="97"/>
  <c r="I33" i="21"/>
  <c r="J105" i="25"/>
  <c r="H29" i="60"/>
  <c r="I29" i="60" s="1"/>
  <c r="D30" i="60"/>
  <c r="E30" i="60"/>
  <c r="B112" i="44"/>
  <c r="F112" i="44"/>
  <c r="G29" i="63"/>
  <c r="I29" i="63" s="1"/>
  <c r="E33" i="41"/>
  <c r="D33" i="41"/>
  <c r="F112" i="42"/>
  <c r="B112" i="42"/>
  <c r="F35" i="23"/>
  <c r="G35" i="23" s="1"/>
  <c r="B35" i="23"/>
  <c r="E27" i="92"/>
  <c r="D27" i="92"/>
  <c r="D31" i="53"/>
  <c r="E31" i="53"/>
  <c r="E36" i="69"/>
  <c r="D36" i="69"/>
  <c r="D28" i="79"/>
  <c r="E28" i="79"/>
  <c r="E27" i="84"/>
  <c r="D27" i="84"/>
  <c r="G26" i="82"/>
  <c r="I26" i="82" s="1"/>
  <c r="G33" i="3"/>
  <c r="I33" i="3" s="1"/>
  <c r="D34" i="3"/>
  <c r="E34" i="3"/>
  <c r="G36" i="28"/>
  <c r="I36" i="28" s="1"/>
  <c r="G35" i="27"/>
  <c r="I35" i="27" s="1"/>
  <c r="I111" i="43"/>
  <c r="H111" i="43"/>
  <c r="D31" i="57"/>
  <c r="E31" i="57"/>
  <c r="H24" i="99"/>
  <c r="H104" i="26"/>
  <c r="I104" i="26"/>
  <c r="D29" i="65"/>
  <c r="E29" i="65"/>
  <c r="H105" i="33"/>
  <c r="I105" i="33"/>
  <c r="B31" i="72"/>
  <c r="F31" i="72"/>
  <c r="H31" i="72" s="1"/>
  <c r="D31" i="46"/>
  <c r="E31" i="46"/>
  <c r="I111" i="44"/>
  <c r="H111" i="44"/>
  <c r="D29" i="68"/>
  <c r="E29" i="68"/>
  <c r="E31" i="56"/>
  <c r="D31" i="56"/>
  <c r="G34" i="24"/>
  <c r="H32" i="41"/>
  <c r="I32" i="41" s="1"/>
  <c r="E33" i="74"/>
  <c r="D33" i="74"/>
  <c r="I26" i="92"/>
  <c r="H26" i="83"/>
  <c r="I26" i="83" s="1"/>
  <c r="I30" i="53"/>
  <c r="G28" i="76"/>
  <c r="H28" i="76"/>
  <c r="B28" i="76"/>
  <c r="F28" i="76"/>
  <c r="H30" i="58"/>
  <c r="I30" i="58" s="1"/>
  <c r="I26" i="85"/>
  <c r="H31" i="45"/>
  <c r="I31" i="45" s="1"/>
  <c r="H28" i="67"/>
  <c r="I28" i="67" s="1"/>
  <c r="H34" i="31"/>
  <c r="I34" i="31" s="1"/>
  <c r="H28" i="66"/>
  <c r="I28" i="66" s="1"/>
  <c r="E33" i="73"/>
  <c r="D33" i="73"/>
  <c r="B25" i="97"/>
  <c r="F25" i="97"/>
  <c r="G25" i="97" s="1"/>
  <c r="G32" i="44"/>
  <c r="I32" i="44" s="1"/>
  <c r="G24" i="95"/>
  <c r="I24" i="95" s="1"/>
  <c r="D25" i="95"/>
  <c r="E25" i="95"/>
  <c r="H30" i="57"/>
  <c r="I30" i="57" s="1"/>
  <c r="G33" i="20"/>
  <c r="I33" i="20" s="1"/>
  <c r="G24" i="99"/>
  <c r="F27" i="85"/>
  <c r="G27" i="85" s="1"/>
  <c r="B27" i="85"/>
  <c r="F106" i="97"/>
  <c r="B106" i="97"/>
  <c r="H28" i="65"/>
  <c r="I28" i="65" s="1"/>
  <c r="E106" i="33"/>
  <c r="F106" i="33" s="1"/>
  <c r="B106" i="33"/>
  <c r="G106" i="25"/>
  <c r="D107" i="25"/>
  <c r="J111" i="41"/>
  <c r="H27" i="86"/>
  <c r="B27" i="86"/>
  <c r="F27" i="86"/>
  <c r="G27" i="86" s="1"/>
  <c r="E27" i="91"/>
  <c r="D27" i="91"/>
  <c r="G30" i="59"/>
  <c r="D31" i="59"/>
  <c r="E31" i="59"/>
  <c r="G33" i="17"/>
  <c r="E34" i="17"/>
  <c r="D34" i="17"/>
  <c r="H30" i="61"/>
  <c r="I30" i="61" s="1"/>
  <c r="H36" i="70"/>
  <c r="F36" i="70"/>
  <c r="G36" i="70" s="1"/>
  <c r="B36" i="70"/>
  <c r="G24" i="26"/>
  <c r="H27" i="13"/>
  <c r="I27" i="13" s="1"/>
  <c r="D28" i="13"/>
  <c r="E28" i="13" s="1"/>
  <c r="F28" i="13" s="1"/>
  <c r="B31" i="55"/>
  <c r="F31" i="55"/>
  <c r="H31" i="55" s="1"/>
  <c r="H33" i="17"/>
  <c r="I33" i="17" s="1"/>
  <c r="B26" i="33"/>
  <c r="F26" i="33"/>
  <c r="H26" i="33" s="1"/>
  <c r="I24" i="26"/>
  <c r="G34" i="19"/>
  <c r="I34" i="19" s="1"/>
  <c r="E35" i="19"/>
  <c r="D35" i="19"/>
  <c r="B27" i="80"/>
  <c r="F27" i="80"/>
  <c r="G27" i="80" s="1"/>
  <c r="D115" i="31"/>
  <c r="G114" i="31"/>
  <c r="E115" i="31"/>
  <c r="I106" i="13"/>
  <c r="H106" i="13"/>
  <c r="B30" i="64"/>
  <c r="F30" i="64"/>
  <c r="G30" i="64" s="1"/>
  <c r="E31" i="61"/>
  <c r="D31" i="61"/>
  <c r="F33" i="43"/>
  <c r="H33" i="43" s="1"/>
  <c r="B33" i="43"/>
  <c r="E25" i="26"/>
  <c r="F25" i="26" s="1"/>
  <c r="D26" i="26" s="1"/>
  <c r="B25" i="26"/>
  <c r="E36" i="71"/>
  <c r="D36" i="71"/>
  <c r="H30" i="59"/>
  <c r="I30" i="59" s="1"/>
  <c r="E107" i="13"/>
  <c r="F107" i="13" s="1"/>
  <c r="B107" i="13"/>
  <c r="J107" i="65"/>
  <c r="E119" i="70"/>
  <c r="D119" i="70"/>
  <c r="G118" i="70"/>
  <c r="E117" i="17"/>
  <c r="D117" i="17"/>
  <c r="G116" i="17"/>
  <c r="J105" i="100"/>
  <c r="J112" i="21"/>
  <c r="J111" i="55"/>
  <c r="E111" i="60"/>
  <c r="G110" i="60"/>
  <c r="D111" i="60"/>
  <c r="J109" i="54"/>
  <c r="J117" i="70"/>
  <c r="J114" i="30"/>
  <c r="J104" i="89"/>
  <c r="J106" i="77"/>
  <c r="J107" i="85"/>
  <c r="J104" i="90"/>
  <c r="J104" i="86"/>
  <c r="I117" i="29"/>
  <c r="H117" i="29"/>
  <c r="D110" i="59"/>
  <c r="G109" i="59"/>
  <c r="E110" i="59"/>
  <c r="D117" i="20"/>
  <c r="G116" i="20"/>
  <c r="E117" i="20"/>
  <c r="F26" i="89"/>
  <c r="G26" i="89" s="1"/>
  <c r="B26" i="89"/>
  <c r="D110" i="75"/>
  <c r="E110" i="75"/>
  <c r="G109" i="75"/>
  <c r="J108" i="61"/>
  <c r="J104" i="91"/>
  <c r="J105" i="81"/>
  <c r="H108" i="78"/>
  <c r="I108" i="78"/>
  <c r="J108" i="78" s="1"/>
  <c r="J111" i="73"/>
  <c r="G105" i="90"/>
  <c r="D106" i="90"/>
  <c r="E106" i="90"/>
  <c r="E113" i="55"/>
  <c r="G112" i="55"/>
  <c r="D113" i="55"/>
  <c r="J111" i="74"/>
  <c r="J113" i="32"/>
  <c r="G105" i="92"/>
  <c r="E106" i="92"/>
  <c r="D106" i="92"/>
  <c r="J112" i="3"/>
  <c r="F28" i="78"/>
  <c r="G28" i="78"/>
  <c r="B28" i="78"/>
  <c r="B30" i="62"/>
  <c r="F30" i="62"/>
  <c r="H30" i="62" s="1"/>
  <c r="G30" i="62"/>
  <c r="H109" i="63"/>
  <c r="I109" i="63"/>
  <c r="D111" i="72"/>
  <c r="G110" i="72"/>
  <c r="E111" i="72"/>
  <c r="D112" i="62"/>
  <c r="G111" i="62"/>
  <c r="E112" i="62"/>
  <c r="B28" i="75"/>
  <c r="F28" i="75"/>
  <c r="H28" i="75" s="1"/>
  <c r="G113" i="18"/>
  <c r="D114" i="18"/>
  <c r="E114" i="18"/>
  <c r="G106" i="83"/>
  <c r="D107" i="83"/>
  <c r="E107" i="83"/>
  <c r="D109" i="82"/>
  <c r="G108" i="82"/>
  <c r="E109" i="82"/>
  <c r="G25" i="25"/>
  <c r="I25" i="25" s="1"/>
  <c r="B34" i="18"/>
  <c r="F34" i="18"/>
  <c r="G109" i="61"/>
  <c r="D110" i="61"/>
  <c r="E110" i="61"/>
  <c r="D107" i="81"/>
  <c r="G106" i="81"/>
  <c r="E107" i="81"/>
  <c r="J108" i="75"/>
  <c r="J106" i="76"/>
  <c r="J113" i="71"/>
  <c r="J115" i="20"/>
  <c r="D106" i="89"/>
  <c r="G105" i="89"/>
  <c r="E106" i="89"/>
  <c r="J118" i="35"/>
  <c r="J106" i="79"/>
  <c r="G113" i="22"/>
  <c r="D114" i="22"/>
  <c r="E114" i="22"/>
  <c r="B36" i="29"/>
  <c r="F36" i="29"/>
  <c r="D117" i="28"/>
  <c r="G116" i="28"/>
  <c r="E117" i="28"/>
  <c r="D111" i="46"/>
  <c r="G110" i="46"/>
  <c r="E111" i="46"/>
  <c r="B36" i="30"/>
  <c r="F36" i="30"/>
  <c r="H36" i="30" s="1"/>
  <c r="G105" i="96"/>
  <c r="D106" i="96"/>
  <c r="E106" i="96"/>
  <c r="H113" i="19"/>
  <c r="I113" i="19"/>
  <c r="J108" i="64"/>
  <c r="G110" i="54"/>
  <c r="D111" i="54"/>
  <c r="E111" i="54"/>
  <c r="B27" i="88"/>
  <c r="F27" i="88"/>
  <c r="H27" i="88" s="1"/>
  <c r="F118" i="29"/>
  <c r="B118" i="29"/>
  <c r="F26" i="90"/>
  <c r="H26" i="90" s="1"/>
  <c r="B26" i="90"/>
  <c r="G110" i="56"/>
  <c r="D111" i="56"/>
  <c r="E111" i="56"/>
  <c r="D109" i="85"/>
  <c r="E109" i="85"/>
  <c r="G108" i="85"/>
  <c r="D111" i="58"/>
  <c r="G110" i="58"/>
  <c r="E111" i="58"/>
  <c r="J109" i="46"/>
  <c r="H113" i="34"/>
  <c r="I113" i="34"/>
  <c r="J113" i="34" s="1"/>
  <c r="D113" i="74"/>
  <c r="G112" i="74"/>
  <c r="E113" i="74"/>
  <c r="D110" i="64"/>
  <c r="G109" i="64"/>
  <c r="E110" i="64"/>
  <c r="D107" i="99"/>
  <c r="G106" i="99"/>
  <c r="E107" i="99"/>
  <c r="J110" i="45"/>
  <c r="G31" i="54"/>
  <c r="B31" i="54"/>
  <c r="F31" i="54"/>
  <c r="H31" i="54" s="1"/>
  <c r="F114" i="19"/>
  <c r="B114" i="19"/>
  <c r="G110" i="57"/>
  <c r="D111" i="57"/>
  <c r="E111" i="57"/>
  <c r="B116" i="23"/>
  <c r="F116" i="23"/>
  <c r="G105" i="91"/>
  <c r="D106" i="91"/>
  <c r="E106" i="91"/>
  <c r="J104" i="96"/>
  <c r="G106" i="100"/>
  <c r="E107" i="100"/>
  <c r="D107" i="100"/>
  <c r="G115" i="27"/>
  <c r="D116" i="27"/>
  <c r="E116" i="27"/>
  <c r="J104" i="98"/>
  <c r="D26" i="25"/>
  <c r="E26" i="25" s="1"/>
  <c r="G105" i="98"/>
  <c r="D106" i="98"/>
  <c r="E106" i="98"/>
  <c r="J109" i="56"/>
  <c r="D109" i="65"/>
  <c r="G108" i="65"/>
  <c r="E109" i="65"/>
  <c r="D106" i="84"/>
  <c r="G105" i="84"/>
  <c r="E106" i="84"/>
  <c r="J104" i="84"/>
  <c r="B114" i="34"/>
  <c r="F114" i="34"/>
  <c r="F26" i="87"/>
  <c r="G26" i="87" s="1"/>
  <c r="B26" i="87"/>
  <c r="F33" i="39"/>
  <c r="G33" i="39" s="1"/>
  <c r="B33" i="39"/>
  <c r="B35" i="32"/>
  <c r="F35" i="32"/>
  <c r="H35" i="32" s="1"/>
  <c r="I115" i="23"/>
  <c r="H115" i="23"/>
  <c r="D115" i="71"/>
  <c r="G114" i="71"/>
  <c r="E115" i="71"/>
  <c r="H110" i="67"/>
  <c r="I110" i="67"/>
  <c r="F34" i="21"/>
  <c r="G34" i="21" s="1"/>
  <c r="B34" i="21"/>
  <c r="D108" i="79"/>
  <c r="G107" i="79"/>
  <c r="E108" i="79"/>
  <c r="G105" i="88"/>
  <c r="D106" i="88"/>
  <c r="E106" i="88"/>
  <c r="B109" i="66"/>
  <c r="F109" i="66"/>
  <c r="D115" i="32"/>
  <c r="G114" i="32"/>
  <c r="E115" i="32"/>
  <c r="E121" i="35"/>
  <c r="F121" i="35" s="1"/>
  <c r="G120" i="35"/>
  <c r="B121" i="35"/>
  <c r="D114" i="21"/>
  <c r="G113" i="21"/>
  <c r="E114" i="21"/>
  <c r="J109" i="58"/>
  <c r="I25" i="90"/>
  <c r="H108" i="66"/>
  <c r="I108" i="66"/>
  <c r="D106" i="86"/>
  <c r="G105" i="86"/>
  <c r="E106" i="86"/>
  <c r="G113" i="3"/>
  <c r="D114" i="3"/>
  <c r="E114" i="3"/>
  <c r="G107" i="76"/>
  <c r="D108" i="76"/>
  <c r="E108" i="76"/>
  <c r="B111" i="67"/>
  <c r="F111" i="67"/>
  <c r="J109" i="72"/>
  <c r="F25" i="96"/>
  <c r="H25" i="96" s="1"/>
  <c r="B25" i="96"/>
  <c r="G115" i="30"/>
  <c r="D116" i="30"/>
  <c r="E116" i="30"/>
  <c r="G106" i="80"/>
  <c r="D107" i="80"/>
  <c r="E107" i="80"/>
  <c r="D116" i="69"/>
  <c r="G115" i="69"/>
  <c r="E116" i="69"/>
  <c r="J104" i="92"/>
  <c r="J110" i="62"/>
  <c r="G110" i="53"/>
  <c r="D111" i="53"/>
  <c r="E111" i="53"/>
  <c r="J108" i="59"/>
  <c r="J105" i="80"/>
  <c r="D113" i="41"/>
  <c r="G112" i="41"/>
  <c r="E113" i="41"/>
  <c r="G112" i="73"/>
  <c r="D113" i="73"/>
  <c r="E113" i="73"/>
  <c r="G108" i="68"/>
  <c r="D109" i="68"/>
  <c r="E109" i="68"/>
  <c r="B109" i="78"/>
  <c r="F109" i="78"/>
  <c r="G107" i="77"/>
  <c r="D108" i="77"/>
  <c r="E108" i="77"/>
  <c r="G112" i="39"/>
  <c r="D113" i="39"/>
  <c r="E113" i="39"/>
  <c r="G114" i="24"/>
  <c r="D115" i="24"/>
  <c r="E115" i="24"/>
  <c r="H119" i="35"/>
  <c r="I119" i="35"/>
  <c r="J119" i="35" s="1"/>
  <c r="D112" i="45"/>
  <c r="G111" i="45"/>
  <c r="E112" i="45"/>
  <c r="B110" i="63"/>
  <c r="F110" i="63"/>
  <c r="F34" i="22"/>
  <c r="H34" i="22" s="1"/>
  <c r="B34" i="22"/>
  <c r="B25" i="100"/>
  <c r="F25" i="100"/>
  <c r="G25" i="100" s="1"/>
  <c r="G33" i="43" l="1"/>
  <c r="F107" i="95"/>
  <c r="B107" i="95"/>
  <c r="G25" i="26"/>
  <c r="J111" i="44"/>
  <c r="I106" i="95"/>
  <c r="H106" i="95"/>
  <c r="I33" i="43"/>
  <c r="J105" i="33"/>
  <c r="J104" i="26"/>
  <c r="I105" i="87"/>
  <c r="H105" i="87"/>
  <c r="I28" i="76"/>
  <c r="I35" i="35"/>
  <c r="B106" i="87"/>
  <c r="F106" i="87"/>
  <c r="G106" i="33"/>
  <c r="D107" i="33"/>
  <c r="E107" i="33"/>
  <c r="H26" i="87"/>
  <c r="H25" i="26"/>
  <c r="F33" i="74"/>
  <c r="H33" i="74" s="1"/>
  <c r="I33" i="74" s="1"/>
  <c r="B33" i="74"/>
  <c r="G33" i="74"/>
  <c r="F31" i="56"/>
  <c r="B31" i="56"/>
  <c r="H31" i="56"/>
  <c r="F27" i="84"/>
  <c r="B27" i="84"/>
  <c r="H27" i="84"/>
  <c r="F36" i="69"/>
  <c r="G36" i="69" s="1"/>
  <c r="B36" i="69"/>
  <c r="F27" i="92"/>
  <c r="G27" i="92" s="1"/>
  <c r="B27" i="92"/>
  <c r="F33" i="44"/>
  <c r="H33" i="44"/>
  <c r="H25" i="98"/>
  <c r="D26" i="98"/>
  <c r="E26" i="98"/>
  <c r="H33" i="42"/>
  <c r="I33" i="42" s="1"/>
  <c r="I34" i="24"/>
  <c r="B25" i="99"/>
  <c r="F25" i="99"/>
  <c r="H33" i="39"/>
  <c r="E28" i="85"/>
  <c r="D28" i="85"/>
  <c r="F33" i="73"/>
  <c r="B33" i="73"/>
  <c r="G33" i="73"/>
  <c r="E29" i="76"/>
  <c r="D29" i="76"/>
  <c r="G31" i="72"/>
  <c r="I31" i="72" s="1"/>
  <c r="D32" i="72"/>
  <c r="E32" i="72"/>
  <c r="I24" i="99"/>
  <c r="J111" i="43"/>
  <c r="B34" i="3"/>
  <c r="F34" i="3"/>
  <c r="H34" i="3" s="1"/>
  <c r="F30" i="60"/>
  <c r="G30" i="60" s="1"/>
  <c r="B30" i="60"/>
  <c r="F29" i="66"/>
  <c r="B29" i="66"/>
  <c r="J111" i="42"/>
  <c r="B37" i="28"/>
  <c r="F37" i="28"/>
  <c r="G37" i="28" s="1"/>
  <c r="F31" i="58"/>
  <c r="G31" i="58" s="1"/>
  <c r="B31" i="58"/>
  <c r="D28" i="81"/>
  <c r="E28" i="81"/>
  <c r="E29" i="77"/>
  <c r="D29" i="77"/>
  <c r="D107" i="97"/>
  <c r="G106" i="97"/>
  <c r="E107" i="97"/>
  <c r="H27" i="85"/>
  <c r="B29" i="65"/>
  <c r="F29" i="65"/>
  <c r="G112" i="42"/>
  <c r="E113" i="42"/>
  <c r="D113" i="42"/>
  <c r="G112" i="44"/>
  <c r="D113" i="44"/>
  <c r="E113" i="44"/>
  <c r="J105" i="97"/>
  <c r="F34" i="20"/>
  <c r="H34" i="20" s="1"/>
  <c r="B34" i="20"/>
  <c r="G34" i="20"/>
  <c r="E113" i="43"/>
  <c r="G112" i="43"/>
  <c r="D113" i="43"/>
  <c r="B29" i="67"/>
  <c r="F29" i="67"/>
  <c r="H29" i="67"/>
  <c r="B32" i="45"/>
  <c r="F32" i="45"/>
  <c r="H27" i="81"/>
  <c r="I27" i="81" s="1"/>
  <c r="H28" i="77"/>
  <c r="I28" i="77" s="1"/>
  <c r="I27" i="85"/>
  <c r="F25" i="95"/>
  <c r="G25" i="95" s="1"/>
  <c r="B25" i="95"/>
  <c r="H25" i="97"/>
  <c r="I25" i="97" s="1"/>
  <c r="D26" i="97"/>
  <c r="E26" i="97"/>
  <c r="B29" i="68"/>
  <c r="F29" i="68"/>
  <c r="H29" i="68" s="1"/>
  <c r="B31" i="46"/>
  <c r="F31" i="46"/>
  <c r="H31" i="46" s="1"/>
  <c r="H31" i="57"/>
  <c r="F31" i="57"/>
  <c r="B31" i="57"/>
  <c r="G31" i="57"/>
  <c r="B28" i="79"/>
  <c r="F28" i="79"/>
  <c r="H28" i="79"/>
  <c r="B31" i="53"/>
  <c r="F31" i="53"/>
  <c r="H35" i="23"/>
  <c r="I35" i="23" s="1"/>
  <c r="D36" i="23"/>
  <c r="E36" i="23"/>
  <c r="F33" i="41"/>
  <c r="H33" i="41" s="1"/>
  <c r="B33" i="41"/>
  <c r="G105" i="26"/>
  <c r="D106" i="26"/>
  <c r="I25" i="98"/>
  <c r="F35" i="31"/>
  <c r="H35" i="31" s="1"/>
  <c r="I35" i="31" s="1"/>
  <c r="B35" i="31"/>
  <c r="G35" i="31"/>
  <c r="B35" i="34"/>
  <c r="F35" i="34"/>
  <c r="H35" i="34" s="1"/>
  <c r="D34" i="42"/>
  <c r="E34" i="42"/>
  <c r="F27" i="83"/>
  <c r="H27" i="83" s="1"/>
  <c r="B27" i="83"/>
  <c r="G36" i="35"/>
  <c r="B37" i="35"/>
  <c r="H36" i="35"/>
  <c r="E37" i="35"/>
  <c r="F37" i="35" s="1"/>
  <c r="F35" i="24"/>
  <c r="G35" i="24" s="1"/>
  <c r="B35" i="24"/>
  <c r="F36" i="27"/>
  <c r="G36" i="27" s="1"/>
  <c r="B36" i="27"/>
  <c r="F27" i="82"/>
  <c r="G27" i="82" s="1"/>
  <c r="B27" i="82"/>
  <c r="F30" i="63"/>
  <c r="B30" i="63"/>
  <c r="H30" i="63"/>
  <c r="D29" i="13"/>
  <c r="B29" i="13" s="1"/>
  <c r="D108" i="13"/>
  <c r="B108" i="13" s="1"/>
  <c r="G107" i="13"/>
  <c r="G34" i="22"/>
  <c r="I34" i="22" s="1"/>
  <c r="I30" i="62"/>
  <c r="F115" i="31"/>
  <c r="B115" i="31"/>
  <c r="F35" i="19"/>
  <c r="G35" i="19" s="1"/>
  <c r="H35" i="19"/>
  <c r="B35" i="19"/>
  <c r="I36" i="70"/>
  <c r="C43" i="17"/>
  <c r="B34" i="17"/>
  <c r="F34" i="17"/>
  <c r="H34" i="17"/>
  <c r="D28" i="86"/>
  <c r="E28" i="86"/>
  <c r="B107" i="25"/>
  <c r="H25" i="100"/>
  <c r="G25" i="96"/>
  <c r="I25" i="96" s="1"/>
  <c r="H34" i="21"/>
  <c r="I34" i="21" s="1"/>
  <c r="G35" i="32"/>
  <c r="B36" i="71"/>
  <c r="F36" i="71"/>
  <c r="H36" i="71" s="1"/>
  <c r="J106" i="13"/>
  <c r="G31" i="55"/>
  <c r="I31" i="55" s="1"/>
  <c r="I106" i="25"/>
  <c r="H106" i="25"/>
  <c r="I35" i="32"/>
  <c r="E26" i="26"/>
  <c r="F26" i="26" s="1"/>
  <c r="B26" i="26"/>
  <c r="D34" i="43"/>
  <c r="E34" i="43"/>
  <c r="H30" i="64"/>
  <c r="I30" i="64" s="1"/>
  <c r="D31" i="64"/>
  <c r="E31" i="64"/>
  <c r="G26" i="33"/>
  <c r="I26" i="33" s="1"/>
  <c r="D27" i="33"/>
  <c r="E27" i="33" s="1"/>
  <c r="F31" i="59"/>
  <c r="H31" i="59" s="1"/>
  <c r="B31" i="59"/>
  <c r="B31" i="61"/>
  <c r="F31" i="61"/>
  <c r="H31" i="61" s="1"/>
  <c r="H114" i="31"/>
  <c r="I114" i="31"/>
  <c r="J114" i="31" s="1"/>
  <c r="H27" i="80"/>
  <c r="I27" i="80" s="1"/>
  <c r="D28" i="80"/>
  <c r="E28" i="80"/>
  <c r="D32" i="55"/>
  <c r="E32" i="55"/>
  <c r="B28" i="13"/>
  <c r="H28" i="13"/>
  <c r="G28" i="13"/>
  <c r="D37" i="70"/>
  <c r="E37" i="70"/>
  <c r="F27" i="91"/>
  <c r="H27" i="91" s="1"/>
  <c r="B27" i="91"/>
  <c r="I27" i="86"/>
  <c r="E107" i="25"/>
  <c r="F107" i="25" s="1"/>
  <c r="F119" i="70"/>
  <c r="B119" i="70"/>
  <c r="I116" i="17"/>
  <c r="H116" i="17"/>
  <c r="J113" i="19"/>
  <c r="F111" i="60"/>
  <c r="B111" i="60"/>
  <c r="F117" i="17"/>
  <c r="B117" i="17"/>
  <c r="H110" i="60"/>
  <c r="I110" i="60"/>
  <c r="J110" i="60" s="1"/>
  <c r="J108" i="66"/>
  <c r="H118" i="70"/>
  <c r="I118" i="70"/>
  <c r="J118" i="70" s="1"/>
  <c r="F108" i="76"/>
  <c r="B108" i="76"/>
  <c r="I25" i="100"/>
  <c r="E111" i="63"/>
  <c r="G110" i="63"/>
  <c r="D111" i="63"/>
  <c r="I107" i="76"/>
  <c r="H107" i="76"/>
  <c r="H114" i="24"/>
  <c r="I114" i="24"/>
  <c r="J114" i="24" s="1"/>
  <c r="D110" i="78"/>
  <c r="G109" i="78"/>
  <c r="E110" i="78"/>
  <c r="H115" i="69"/>
  <c r="I115" i="69"/>
  <c r="J115" i="69" s="1"/>
  <c r="B114" i="21"/>
  <c r="F114" i="21"/>
  <c r="J110" i="67"/>
  <c r="D27" i="87"/>
  <c r="E27" i="87"/>
  <c r="F106" i="84"/>
  <c r="B106" i="84"/>
  <c r="H115" i="27"/>
  <c r="I115" i="27"/>
  <c r="I109" i="64"/>
  <c r="H109" i="64"/>
  <c r="D27" i="90"/>
  <c r="E27" i="90"/>
  <c r="I105" i="96"/>
  <c r="H105" i="96"/>
  <c r="F117" i="28"/>
  <c r="B117" i="28"/>
  <c r="F114" i="22"/>
  <c r="B114" i="22"/>
  <c r="F106" i="89"/>
  <c r="B106" i="89"/>
  <c r="F110" i="61"/>
  <c r="B110" i="61"/>
  <c r="I108" i="82"/>
  <c r="H108" i="82"/>
  <c r="I111" i="62"/>
  <c r="H111" i="62"/>
  <c r="F110" i="75"/>
  <c r="B110" i="75"/>
  <c r="H26" i="89"/>
  <c r="I26" i="89" s="1"/>
  <c r="J117" i="29"/>
  <c r="F113" i="73"/>
  <c r="B113" i="73"/>
  <c r="B107" i="100"/>
  <c r="F107" i="100"/>
  <c r="F106" i="91"/>
  <c r="B106" i="91"/>
  <c r="B110" i="64"/>
  <c r="F110" i="64"/>
  <c r="H113" i="22"/>
  <c r="I113" i="22"/>
  <c r="I109" i="61"/>
  <c r="H109" i="61"/>
  <c r="F109" i="82"/>
  <c r="B109" i="82"/>
  <c r="F114" i="18"/>
  <c r="B114" i="18"/>
  <c r="B112" i="62"/>
  <c r="F112" i="62"/>
  <c r="H105" i="92"/>
  <c r="I105" i="92"/>
  <c r="F113" i="55"/>
  <c r="B113" i="55"/>
  <c r="H111" i="45"/>
  <c r="I111" i="45"/>
  <c r="F114" i="3"/>
  <c r="B114" i="3"/>
  <c r="H108" i="65"/>
  <c r="I108" i="65"/>
  <c r="I105" i="91"/>
  <c r="H105" i="91"/>
  <c r="E115" i="19"/>
  <c r="G114" i="19"/>
  <c r="D115" i="19"/>
  <c r="H110" i="58"/>
  <c r="I110" i="58"/>
  <c r="J110" i="58" s="1"/>
  <c r="D119" i="29"/>
  <c r="G118" i="29"/>
  <c r="E119" i="29"/>
  <c r="H110" i="46"/>
  <c r="I110" i="46"/>
  <c r="J110" i="46" s="1"/>
  <c r="I106" i="81"/>
  <c r="H106" i="81"/>
  <c r="D35" i="18"/>
  <c r="E35" i="18"/>
  <c r="I113" i="18"/>
  <c r="H113" i="18"/>
  <c r="H112" i="55"/>
  <c r="I112" i="55"/>
  <c r="J112" i="55" s="1"/>
  <c r="H116" i="20"/>
  <c r="I116" i="20"/>
  <c r="J116" i="20" s="1"/>
  <c r="F116" i="69"/>
  <c r="B116" i="69"/>
  <c r="I112" i="73"/>
  <c r="H112" i="73"/>
  <c r="I120" i="35"/>
  <c r="H120" i="35"/>
  <c r="B112" i="45"/>
  <c r="F112" i="45"/>
  <c r="H113" i="3"/>
  <c r="I113" i="3"/>
  <c r="J113" i="3" s="1"/>
  <c r="B122" i="35"/>
  <c r="G121" i="35"/>
  <c r="E122" i="35"/>
  <c r="F122" i="35" s="1"/>
  <c r="B106" i="88"/>
  <c r="F106" i="88"/>
  <c r="I107" i="79"/>
  <c r="H107" i="79"/>
  <c r="D35" i="21"/>
  <c r="E35" i="21"/>
  <c r="I114" i="71"/>
  <c r="J114" i="71" s="1"/>
  <c r="H114" i="71"/>
  <c r="I33" i="39"/>
  <c r="G114" i="34"/>
  <c r="D115" i="34"/>
  <c r="E115" i="34"/>
  <c r="B109" i="65"/>
  <c r="F109" i="65"/>
  <c r="I106" i="100"/>
  <c r="H106" i="100"/>
  <c r="G116" i="23"/>
  <c r="E117" i="23"/>
  <c r="D117" i="23"/>
  <c r="I31" i="54"/>
  <c r="F111" i="58"/>
  <c r="B111" i="58"/>
  <c r="B111" i="46"/>
  <c r="F111" i="46"/>
  <c r="D37" i="29"/>
  <c r="E37" i="29"/>
  <c r="B107" i="81"/>
  <c r="F107" i="81"/>
  <c r="F107" i="83"/>
  <c r="B107" i="83"/>
  <c r="H110" i="72"/>
  <c r="I110" i="72"/>
  <c r="F117" i="20"/>
  <c r="B117" i="20"/>
  <c r="H107" i="77"/>
  <c r="I107" i="77"/>
  <c r="D35" i="22"/>
  <c r="E35" i="22"/>
  <c r="B113" i="39"/>
  <c r="F113" i="39"/>
  <c r="B109" i="68"/>
  <c r="F109" i="68"/>
  <c r="H112" i="41"/>
  <c r="I112" i="41"/>
  <c r="F111" i="53"/>
  <c r="B111" i="53"/>
  <c r="H114" i="32"/>
  <c r="I114" i="32"/>
  <c r="J114" i="32" s="1"/>
  <c r="I105" i="88"/>
  <c r="H105" i="88"/>
  <c r="B108" i="79"/>
  <c r="F108" i="79"/>
  <c r="F115" i="71"/>
  <c r="B115" i="71"/>
  <c r="J115" i="23"/>
  <c r="D34" i="39"/>
  <c r="E34" i="39"/>
  <c r="D32" i="54"/>
  <c r="E32" i="54"/>
  <c r="H112" i="74"/>
  <c r="I112" i="74"/>
  <c r="I108" i="85"/>
  <c r="H108" i="85"/>
  <c r="F111" i="56"/>
  <c r="B111" i="56"/>
  <c r="G27" i="88"/>
  <c r="I27" i="88" s="1"/>
  <c r="H36" i="29"/>
  <c r="H34" i="18"/>
  <c r="H106" i="83"/>
  <c r="I106" i="83"/>
  <c r="J106" i="83" s="1"/>
  <c r="E29" i="75"/>
  <c r="D29" i="75"/>
  <c r="B111" i="72"/>
  <c r="F111" i="72"/>
  <c r="D29" i="78"/>
  <c r="E29" i="78"/>
  <c r="F108" i="77"/>
  <c r="B108" i="77"/>
  <c r="F116" i="30"/>
  <c r="B116" i="30"/>
  <c r="I115" i="30"/>
  <c r="H115" i="30"/>
  <c r="D26" i="100"/>
  <c r="E26" i="100"/>
  <c r="I112" i="39"/>
  <c r="H112" i="39"/>
  <c r="I108" i="68"/>
  <c r="H108" i="68"/>
  <c r="B113" i="41"/>
  <c r="F113" i="41"/>
  <c r="H110" i="53"/>
  <c r="I110" i="53"/>
  <c r="B107" i="80"/>
  <c r="F107" i="80"/>
  <c r="D112" i="67"/>
  <c r="G111" i="67"/>
  <c r="E112" i="67"/>
  <c r="H105" i="86"/>
  <c r="I105" i="86"/>
  <c r="F115" i="32"/>
  <c r="B115" i="32"/>
  <c r="B26" i="25"/>
  <c r="F26" i="25"/>
  <c r="G26" i="25" s="1"/>
  <c r="I106" i="99"/>
  <c r="H106" i="99"/>
  <c r="B113" i="74"/>
  <c r="F113" i="74"/>
  <c r="I110" i="56"/>
  <c r="H110" i="56"/>
  <c r="G26" i="90"/>
  <c r="F111" i="54"/>
  <c r="B111" i="54"/>
  <c r="G36" i="29"/>
  <c r="G34" i="18"/>
  <c r="G28" i="75"/>
  <c r="I28" i="75" s="1"/>
  <c r="J109" i="63"/>
  <c r="H28" i="78"/>
  <c r="I28" i="78" s="1"/>
  <c r="B106" i="90"/>
  <c r="F106" i="90"/>
  <c r="H109" i="59"/>
  <c r="I109" i="59"/>
  <c r="F106" i="86"/>
  <c r="B106" i="86"/>
  <c r="G109" i="66"/>
  <c r="D110" i="66"/>
  <c r="E110" i="66"/>
  <c r="B106" i="98"/>
  <c r="F106" i="98"/>
  <c r="B111" i="57"/>
  <c r="F111" i="57"/>
  <c r="F107" i="99"/>
  <c r="B107" i="99"/>
  <c r="B109" i="85"/>
  <c r="F109" i="85"/>
  <c r="I26" i="90"/>
  <c r="E28" i="88"/>
  <c r="D28" i="88"/>
  <c r="I110" i="54"/>
  <c r="H110" i="54"/>
  <c r="D37" i="30"/>
  <c r="E37" i="30"/>
  <c r="I105" i="90"/>
  <c r="H105" i="90"/>
  <c r="H109" i="75"/>
  <c r="I109" i="75"/>
  <c r="J109" i="75" s="1"/>
  <c r="F110" i="59"/>
  <c r="B110" i="59"/>
  <c r="H106" i="80"/>
  <c r="I106" i="80"/>
  <c r="B115" i="24"/>
  <c r="F115" i="24"/>
  <c r="D26" i="96"/>
  <c r="E26" i="96"/>
  <c r="I113" i="21"/>
  <c r="H113" i="21"/>
  <c r="D36" i="32"/>
  <c r="E36" i="32"/>
  <c r="I26" i="87"/>
  <c r="H105" i="84"/>
  <c r="I105" i="84"/>
  <c r="H105" i="98"/>
  <c r="I105" i="98"/>
  <c r="F116" i="27"/>
  <c r="B116" i="27"/>
  <c r="H110" i="57"/>
  <c r="I110" i="57"/>
  <c r="F106" i="96"/>
  <c r="B106" i="96"/>
  <c r="G36" i="30"/>
  <c r="I36" i="30" s="1"/>
  <c r="H116" i="28"/>
  <c r="I116" i="28"/>
  <c r="J116" i="28" s="1"/>
  <c r="I105" i="89"/>
  <c r="H105" i="89"/>
  <c r="D31" i="62"/>
  <c r="E31" i="62"/>
  <c r="B106" i="92"/>
  <c r="F106" i="92"/>
  <c r="E27" i="89"/>
  <c r="D27" i="89"/>
  <c r="H26" i="26" l="1"/>
  <c r="G26" i="26"/>
  <c r="G31" i="59"/>
  <c r="H27" i="82"/>
  <c r="G33" i="41"/>
  <c r="I33" i="41" s="1"/>
  <c r="I31" i="57"/>
  <c r="G29" i="68"/>
  <c r="H25" i="95"/>
  <c r="D107" i="87"/>
  <c r="G106" i="87"/>
  <c r="E107" i="87"/>
  <c r="J105" i="87"/>
  <c r="I28" i="13"/>
  <c r="H35" i="24"/>
  <c r="G34" i="3"/>
  <c r="J106" i="95"/>
  <c r="G107" i="95"/>
  <c r="D108" i="95"/>
  <c r="E108" i="95"/>
  <c r="I36" i="35"/>
  <c r="I25" i="26"/>
  <c r="I26" i="26"/>
  <c r="E108" i="13"/>
  <c r="F108" i="13" s="1"/>
  <c r="I27" i="82"/>
  <c r="I35" i="24"/>
  <c r="H37" i="35"/>
  <c r="B38" i="35"/>
  <c r="G37" i="35"/>
  <c r="E38" i="35"/>
  <c r="F38" i="35" s="1"/>
  <c r="E36" i="31"/>
  <c r="D36" i="31"/>
  <c r="G31" i="53"/>
  <c r="E32" i="53"/>
  <c r="D32" i="53"/>
  <c r="E29" i="79"/>
  <c r="D29" i="79"/>
  <c r="D32" i="57"/>
  <c r="E32" i="57"/>
  <c r="I25" i="95"/>
  <c r="H32" i="45"/>
  <c r="E33" i="45"/>
  <c r="D33" i="45"/>
  <c r="E30" i="67"/>
  <c r="D30" i="67"/>
  <c r="E35" i="20"/>
  <c r="D35" i="20"/>
  <c r="H112" i="44"/>
  <c r="I112" i="44"/>
  <c r="D30" i="65"/>
  <c r="E30" i="65"/>
  <c r="G29" i="65"/>
  <c r="H29" i="65"/>
  <c r="I106" i="97"/>
  <c r="H106" i="97"/>
  <c r="H31" i="58"/>
  <c r="I31" i="58" s="1"/>
  <c r="E32" i="58"/>
  <c r="D32" i="58"/>
  <c r="D30" i="66"/>
  <c r="E30" i="66"/>
  <c r="I34" i="3"/>
  <c r="D26" i="99"/>
  <c r="E26" i="99"/>
  <c r="H36" i="69"/>
  <c r="D37" i="69"/>
  <c r="E37" i="69"/>
  <c r="E28" i="84"/>
  <c r="D28" i="84"/>
  <c r="I106" i="33"/>
  <c r="H106" i="33"/>
  <c r="J105" i="98"/>
  <c r="J105" i="92"/>
  <c r="B34" i="42"/>
  <c r="F34" i="42"/>
  <c r="F36" i="23"/>
  <c r="G36" i="23" s="1"/>
  <c r="B36" i="23"/>
  <c r="I29" i="68"/>
  <c r="I34" i="20"/>
  <c r="B113" i="42"/>
  <c r="F113" i="42"/>
  <c r="F107" i="97"/>
  <c r="B107" i="97"/>
  <c r="B28" i="81"/>
  <c r="F28" i="81"/>
  <c r="H28" i="81" s="1"/>
  <c r="H37" i="28"/>
  <c r="I37" i="28" s="1"/>
  <c r="E38" i="28"/>
  <c r="D38" i="28"/>
  <c r="G29" i="66"/>
  <c r="F29" i="76"/>
  <c r="H29" i="76" s="1"/>
  <c r="B29" i="76"/>
  <c r="G29" i="76"/>
  <c r="B26" i="98"/>
  <c r="F26" i="98"/>
  <c r="G26" i="98"/>
  <c r="E34" i="44"/>
  <c r="D34" i="44"/>
  <c r="D28" i="92"/>
  <c r="E28" i="92"/>
  <c r="G27" i="84"/>
  <c r="I27" i="84" s="1"/>
  <c r="I35" i="19"/>
  <c r="D37" i="27"/>
  <c r="E37" i="27"/>
  <c r="D28" i="83"/>
  <c r="E28" i="83"/>
  <c r="E106" i="26"/>
  <c r="F106" i="26" s="1"/>
  <c r="B106" i="26"/>
  <c r="F26" i="97"/>
  <c r="B26" i="97"/>
  <c r="G26" i="97"/>
  <c r="H26" i="97"/>
  <c r="F113" i="43"/>
  <c r="B113" i="43"/>
  <c r="F29" i="77"/>
  <c r="G29" i="77" s="1"/>
  <c r="B29" i="77"/>
  <c r="E35" i="3"/>
  <c r="D35" i="3"/>
  <c r="D34" i="73"/>
  <c r="E34" i="73"/>
  <c r="G25" i="99"/>
  <c r="I36" i="69"/>
  <c r="G30" i="63"/>
  <c r="I30" i="63" s="1"/>
  <c r="D31" i="63"/>
  <c r="E31" i="63"/>
  <c r="E28" i="82"/>
  <c r="D28" i="82"/>
  <c r="H36" i="27"/>
  <c r="I36" i="27" s="1"/>
  <c r="E36" i="24"/>
  <c r="D36" i="24"/>
  <c r="G27" i="83"/>
  <c r="I27" i="83" s="1"/>
  <c r="G35" i="34"/>
  <c r="I35" i="34" s="1"/>
  <c r="E36" i="34"/>
  <c r="D36" i="34"/>
  <c r="I105" i="26"/>
  <c r="H105" i="26"/>
  <c r="E34" i="41"/>
  <c r="D34" i="41"/>
  <c r="H31" i="53"/>
  <c r="I31" i="53" s="1"/>
  <c r="G28" i="79"/>
  <c r="I28" i="79" s="1"/>
  <c r="G31" i="46"/>
  <c r="I31" i="46" s="1"/>
  <c r="D32" i="46"/>
  <c r="E32" i="46"/>
  <c r="D30" i="68"/>
  <c r="E30" i="68"/>
  <c r="E26" i="95"/>
  <c r="D26" i="95"/>
  <c r="G32" i="45"/>
  <c r="I32" i="45" s="1"/>
  <c r="G29" i="67"/>
  <c r="I29" i="67" s="1"/>
  <c r="I112" i="43"/>
  <c r="H112" i="43"/>
  <c r="F113" i="44"/>
  <c r="B113" i="44"/>
  <c r="H112" i="42"/>
  <c r="I112" i="42"/>
  <c r="H29" i="66"/>
  <c r="H30" i="60"/>
  <c r="I30" i="60" s="1"/>
  <c r="E31" i="60"/>
  <c r="D31" i="60"/>
  <c r="B32" i="72"/>
  <c r="F32" i="72"/>
  <c r="H32" i="72" s="1"/>
  <c r="H33" i="73"/>
  <c r="I33" i="73" s="1"/>
  <c r="B28" i="85"/>
  <c r="F28" i="85"/>
  <c r="G28" i="85" s="1"/>
  <c r="H25" i="99"/>
  <c r="I25" i="99" s="1"/>
  <c r="G33" i="44"/>
  <c r="I33" i="44" s="1"/>
  <c r="H27" i="92"/>
  <c r="I27" i="92" s="1"/>
  <c r="G31" i="56"/>
  <c r="I31" i="56" s="1"/>
  <c r="D32" i="56"/>
  <c r="E32" i="56"/>
  <c r="D34" i="74"/>
  <c r="E34" i="74"/>
  <c r="B107" i="33"/>
  <c r="F107" i="33"/>
  <c r="D108" i="25"/>
  <c r="G107" i="25"/>
  <c r="D28" i="91"/>
  <c r="E28" i="91"/>
  <c r="B37" i="70"/>
  <c r="F37" i="70"/>
  <c r="H37" i="70" s="1"/>
  <c r="B31" i="64"/>
  <c r="F31" i="64"/>
  <c r="H31" i="64" s="1"/>
  <c r="J106" i="25"/>
  <c r="E37" i="71"/>
  <c r="D37" i="71"/>
  <c r="G34" i="17"/>
  <c r="D35" i="17"/>
  <c r="E35" i="17"/>
  <c r="D116" i="31"/>
  <c r="G115" i="31"/>
  <c r="E116" i="31"/>
  <c r="I107" i="13"/>
  <c r="H107" i="13"/>
  <c r="F28" i="86"/>
  <c r="B28" i="86"/>
  <c r="H28" i="86"/>
  <c r="H26" i="25"/>
  <c r="G27" i="91"/>
  <c r="I27" i="91" s="1"/>
  <c r="D32" i="59"/>
  <c r="E32" i="59"/>
  <c r="B27" i="33"/>
  <c r="F27" i="33"/>
  <c r="H27" i="33" s="1"/>
  <c r="F34" i="43"/>
  <c r="B34" i="43"/>
  <c r="E32" i="61"/>
  <c r="D32" i="61"/>
  <c r="I34" i="17"/>
  <c r="J105" i="86"/>
  <c r="F32" i="55"/>
  <c r="B32" i="55"/>
  <c r="F28" i="80"/>
  <c r="G28" i="80" s="1"/>
  <c r="B28" i="80"/>
  <c r="G31" i="61"/>
  <c r="I31" i="61" s="1"/>
  <c r="I31" i="59"/>
  <c r="D27" i="26"/>
  <c r="G36" i="71"/>
  <c r="I36" i="71" s="1"/>
  <c r="D36" i="19"/>
  <c r="E36" i="19"/>
  <c r="E29" i="13"/>
  <c r="F29" i="13" s="1"/>
  <c r="G111" i="60"/>
  <c r="D112" i="60"/>
  <c r="E112" i="60"/>
  <c r="G117" i="17"/>
  <c r="E118" i="17"/>
  <c r="D118" i="17"/>
  <c r="J106" i="100"/>
  <c r="J110" i="54"/>
  <c r="J110" i="56"/>
  <c r="J108" i="68"/>
  <c r="J107" i="79"/>
  <c r="J105" i="96"/>
  <c r="J116" i="17"/>
  <c r="G119" i="70"/>
  <c r="D120" i="70"/>
  <c r="E120" i="70"/>
  <c r="J107" i="76"/>
  <c r="J105" i="89"/>
  <c r="J113" i="18"/>
  <c r="J115" i="30"/>
  <c r="J105" i="91"/>
  <c r="J105" i="90"/>
  <c r="J108" i="65"/>
  <c r="J113" i="22"/>
  <c r="G107" i="80"/>
  <c r="D108" i="80"/>
  <c r="E108" i="80"/>
  <c r="B36" i="32"/>
  <c r="F36" i="32"/>
  <c r="H36" i="32" s="1"/>
  <c r="J113" i="21"/>
  <c r="G115" i="24"/>
  <c r="D116" i="24"/>
  <c r="E116" i="24"/>
  <c r="B28" i="88"/>
  <c r="F28" i="88"/>
  <c r="D112" i="57"/>
  <c r="G111" i="57"/>
  <c r="E112" i="57"/>
  <c r="G106" i="86"/>
  <c r="D107" i="86"/>
  <c r="E107" i="86"/>
  <c r="J112" i="39"/>
  <c r="D117" i="30"/>
  <c r="G116" i="30"/>
  <c r="E117" i="30"/>
  <c r="D112" i="72"/>
  <c r="G111" i="72"/>
  <c r="E112" i="72"/>
  <c r="I36" i="29"/>
  <c r="F32" i="54"/>
  <c r="B32" i="54"/>
  <c r="D109" i="79"/>
  <c r="G108" i="79"/>
  <c r="E109" i="79"/>
  <c r="J112" i="41"/>
  <c r="G35" i="22"/>
  <c r="F35" i="22"/>
  <c r="B35" i="22"/>
  <c r="H35" i="22"/>
  <c r="J110" i="72"/>
  <c r="B37" i="29"/>
  <c r="F37" i="29"/>
  <c r="G37" i="29" s="1"/>
  <c r="D107" i="88"/>
  <c r="G106" i="88"/>
  <c r="E107" i="88"/>
  <c r="J112" i="73"/>
  <c r="D115" i="3"/>
  <c r="G114" i="3"/>
  <c r="E115" i="3"/>
  <c r="J115" i="27"/>
  <c r="H109" i="78"/>
  <c r="I109" i="78"/>
  <c r="J109" i="78" s="1"/>
  <c r="H110" i="63"/>
  <c r="I110" i="63"/>
  <c r="G107" i="99"/>
  <c r="D108" i="99"/>
  <c r="E108" i="99"/>
  <c r="D107" i="92"/>
  <c r="E107" i="92"/>
  <c r="G106" i="92"/>
  <c r="G110" i="59"/>
  <c r="D111" i="59"/>
  <c r="E111" i="59"/>
  <c r="J109" i="59"/>
  <c r="D27" i="25"/>
  <c r="J110" i="53"/>
  <c r="J107" i="77"/>
  <c r="G111" i="46"/>
  <c r="D112" i="46"/>
  <c r="E112" i="46"/>
  <c r="G112" i="45"/>
  <c r="D113" i="45"/>
  <c r="E113" i="45"/>
  <c r="F35" i="18"/>
  <c r="H35" i="18" s="1"/>
  <c r="B35" i="18"/>
  <c r="J111" i="45"/>
  <c r="D115" i="18"/>
  <c r="G114" i="18"/>
  <c r="E115" i="18"/>
  <c r="D107" i="91"/>
  <c r="G106" i="91"/>
  <c r="E107" i="91"/>
  <c r="D107" i="89"/>
  <c r="G106" i="89"/>
  <c r="E107" i="89"/>
  <c r="B110" i="78"/>
  <c r="F110" i="78"/>
  <c r="F34" i="39"/>
  <c r="H34" i="39" s="1"/>
  <c r="B34" i="39"/>
  <c r="G109" i="68"/>
  <c r="D110" i="68"/>
  <c r="E110" i="68"/>
  <c r="B117" i="23"/>
  <c r="F117" i="23"/>
  <c r="D110" i="65"/>
  <c r="G109" i="65"/>
  <c r="E110" i="65"/>
  <c r="B123" i="35"/>
  <c r="G122" i="35"/>
  <c r="E123" i="35"/>
  <c r="F123" i="35" s="1"/>
  <c r="D117" i="69"/>
  <c r="G116" i="69"/>
  <c r="E117" i="69"/>
  <c r="G113" i="55"/>
  <c r="D114" i="55"/>
  <c r="E114" i="55"/>
  <c r="G107" i="100"/>
  <c r="D108" i="100"/>
  <c r="E108" i="100"/>
  <c r="E111" i="75"/>
  <c r="D111" i="75"/>
  <c r="G110" i="75"/>
  <c r="G116" i="27"/>
  <c r="D117" i="27"/>
  <c r="E117" i="27"/>
  <c r="I26" i="25"/>
  <c r="G111" i="56"/>
  <c r="D112" i="56"/>
  <c r="E112" i="56"/>
  <c r="D107" i="98"/>
  <c r="G106" i="98"/>
  <c r="E107" i="98"/>
  <c r="D114" i="41"/>
  <c r="G113" i="41"/>
  <c r="E114" i="41"/>
  <c r="B26" i="100"/>
  <c r="F26" i="100"/>
  <c r="G26" i="100" s="1"/>
  <c r="J105" i="88"/>
  <c r="H121" i="35"/>
  <c r="I121" i="35"/>
  <c r="J121" i="35" s="1"/>
  <c r="J106" i="81"/>
  <c r="D110" i="82"/>
  <c r="G109" i="82"/>
  <c r="E110" i="82"/>
  <c r="J111" i="62"/>
  <c r="G114" i="22"/>
  <c r="D115" i="22"/>
  <c r="E115" i="22"/>
  <c r="D107" i="84"/>
  <c r="G106" i="84"/>
  <c r="E107" i="84"/>
  <c r="G115" i="32"/>
  <c r="D116" i="32"/>
  <c r="E116" i="32"/>
  <c r="G108" i="77"/>
  <c r="D109" i="77"/>
  <c r="E109" i="77"/>
  <c r="F31" i="62"/>
  <c r="H31" i="62" s="1"/>
  <c r="B31" i="62"/>
  <c r="J110" i="57"/>
  <c r="J105" i="84"/>
  <c r="F26" i="96"/>
  <c r="B26" i="96"/>
  <c r="E110" i="85"/>
  <c r="G109" i="85"/>
  <c r="D110" i="85"/>
  <c r="J108" i="85"/>
  <c r="D118" i="20"/>
  <c r="G117" i="20"/>
  <c r="E118" i="20"/>
  <c r="G107" i="83"/>
  <c r="D108" i="83"/>
  <c r="E108" i="83"/>
  <c r="D112" i="58"/>
  <c r="G111" i="58"/>
  <c r="E112" i="58"/>
  <c r="H116" i="23"/>
  <c r="I116" i="23"/>
  <c r="B35" i="21"/>
  <c r="F35" i="21"/>
  <c r="H35" i="21" s="1"/>
  <c r="B27" i="90"/>
  <c r="F27" i="90"/>
  <c r="H27" i="90" s="1"/>
  <c r="B29" i="75"/>
  <c r="F29" i="75"/>
  <c r="G29" i="75" s="1"/>
  <c r="B27" i="89"/>
  <c r="F27" i="89"/>
  <c r="G27" i="89" s="1"/>
  <c r="B37" i="30"/>
  <c r="F37" i="30"/>
  <c r="H37" i="30" s="1"/>
  <c r="F110" i="66"/>
  <c r="B110" i="66"/>
  <c r="J106" i="99"/>
  <c r="H111" i="67"/>
  <c r="I111" i="67"/>
  <c r="J111" i="67" s="1"/>
  <c r="J112" i="74"/>
  <c r="D116" i="71"/>
  <c r="G115" i="71"/>
  <c r="E116" i="71"/>
  <c r="G113" i="39"/>
  <c r="D114" i="39"/>
  <c r="E114" i="39"/>
  <c r="G107" i="81"/>
  <c r="D108" i="81"/>
  <c r="E108" i="81"/>
  <c r="H118" i="29"/>
  <c r="I118" i="29"/>
  <c r="F115" i="19"/>
  <c r="B115" i="19"/>
  <c r="J109" i="61"/>
  <c r="J108" i="82"/>
  <c r="D118" i="28"/>
  <c r="G117" i="28"/>
  <c r="E118" i="28"/>
  <c r="B27" i="87"/>
  <c r="F27" i="87"/>
  <c r="G27" i="87" s="1"/>
  <c r="D115" i="21"/>
  <c r="G114" i="21"/>
  <c r="E115" i="21"/>
  <c r="G113" i="74"/>
  <c r="D114" i="74"/>
  <c r="E114" i="74"/>
  <c r="D107" i="96"/>
  <c r="G106" i="96"/>
  <c r="E107" i="96"/>
  <c r="J106" i="80"/>
  <c r="H109" i="66"/>
  <c r="I109" i="66"/>
  <c r="D107" i="90"/>
  <c r="G106" i="90"/>
  <c r="E107" i="90"/>
  <c r="D112" i="54"/>
  <c r="G111" i="54"/>
  <c r="E112" i="54"/>
  <c r="F112" i="67"/>
  <c r="B112" i="67"/>
  <c r="I34" i="18"/>
  <c r="F115" i="34"/>
  <c r="B115" i="34"/>
  <c r="J120" i="35"/>
  <c r="F119" i="29"/>
  <c r="B119" i="29"/>
  <c r="H114" i="19"/>
  <c r="I114" i="19"/>
  <c r="J114" i="19" s="1"/>
  <c r="E113" i="62"/>
  <c r="D113" i="62"/>
  <c r="G112" i="62"/>
  <c r="G110" i="64"/>
  <c r="D111" i="64"/>
  <c r="E111" i="64"/>
  <c r="G113" i="73"/>
  <c r="D114" i="73"/>
  <c r="E114" i="73"/>
  <c r="J109" i="64"/>
  <c r="D109" i="76"/>
  <c r="G108" i="76"/>
  <c r="E109" i="76"/>
  <c r="F29" i="78"/>
  <c r="G29" i="78"/>
  <c r="B29" i="78"/>
  <c r="G111" i="53"/>
  <c r="D112" i="53"/>
  <c r="E112" i="53"/>
  <c r="I114" i="34"/>
  <c r="H114" i="34"/>
  <c r="D111" i="61"/>
  <c r="G110" i="61"/>
  <c r="E111" i="61"/>
  <c r="B111" i="63"/>
  <c r="F111" i="63"/>
  <c r="H27" i="89" l="1"/>
  <c r="I29" i="76"/>
  <c r="G37" i="70"/>
  <c r="J112" i="43"/>
  <c r="B108" i="95"/>
  <c r="F108" i="95"/>
  <c r="H106" i="87"/>
  <c r="I106" i="87"/>
  <c r="J106" i="87" s="1"/>
  <c r="G35" i="18"/>
  <c r="I107" i="95"/>
  <c r="H107" i="95"/>
  <c r="F107" i="87"/>
  <c r="B107" i="87"/>
  <c r="H29" i="77"/>
  <c r="J106" i="33"/>
  <c r="I29" i="65"/>
  <c r="J112" i="44"/>
  <c r="D107" i="26"/>
  <c r="B107" i="26" s="1"/>
  <c r="G106" i="26"/>
  <c r="E107" i="26"/>
  <c r="F107" i="26" s="1"/>
  <c r="G31" i="62"/>
  <c r="H37" i="29"/>
  <c r="G107" i="33"/>
  <c r="D108" i="33"/>
  <c r="B108" i="33" s="1"/>
  <c r="E114" i="44"/>
  <c r="G113" i="44"/>
  <c r="D114" i="44"/>
  <c r="F30" i="68"/>
  <c r="H30" i="68" s="1"/>
  <c r="B30" i="68"/>
  <c r="B31" i="63"/>
  <c r="F31" i="63"/>
  <c r="H31" i="63" s="1"/>
  <c r="I29" i="77"/>
  <c r="B37" i="27"/>
  <c r="F37" i="27"/>
  <c r="H37" i="27" s="1"/>
  <c r="B38" i="28"/>
  <c r="F38" i="28"/>
  <c r="E108" i="97"/>
  <c r="D108" i="97"/>
  <c r="G107" i="97"/>
  <c r="G34" i="42"/>
  <c r="D35" i="42"/>
  <c r="E35" i="42"/>
  <c r="F28" i="84"/>
  <c r="H28" i="84" s="1"/>
  <c r="B28" i="84"/>
  <c r="G28" i="84"/>
  <c r="F30" i="67"/>
  <c r="H30" i="67" s="1"/>
  <c r="B30" i="67"/>
  <c r="B29" i="79"/>
  <c r="F29" i="79"/>
  <c r="H29" i="79"/>
  <c r="F32" i="56"/>
  <c r="B32" i="56"/>
  <c r="B31" i="60"/>
  <c r="F31" i="60"/>
  <c r="H31" i="60" s="1"/>
  <c r="J112" i="42"/>
  <c r="B26" i="95"/>
  <c r="F26" i="95"/>
  <c r="G26" i="95" s="1"/>
  <c r="J105" i="26"/>
  <c r="B28" i="82"/>
  <c r="F28" i="82"/>
  <c r="H28" i="82"/>
  <c r="B34" i="73"/>
  <c r="F34" i="73"/>
  <c r="H34" i="73" s="1"/>
  <c r="E114" i="43"/>
  <c r="D114" i="43"/>
  <c r="G113" i="43"/>
  <c r="F28" i="92"/>
  <c r="B28" i="92"/>
  <c r="G28" i="92"/>
  <c r="H26" i="98"/>
  <c r="I26" i="98" s="1"/>
  <c r="E27" i="98"/>
  <c r="D27" i="98"/>
  <c r="G28" i="81"/>
  <c r="I28" i="81" s="1"/>
  <c r="E114" i="42"/>
  <c r="G113" i="42"/>
  <c r="D114" i="42"/>
  <c r="H34" i="42"/>
  <c r="I34" i="42" s="1"/>
  <c r="B36" i="31"/>
  <c r="F36" i="31"/>
  <c r="D109" i="13"/>
  <c r="G108" i="13"/>
  <c r="G31" i="64"/>
  <c r="I31" i="64" s="1"/>
  <c r="F32" i="46"/>
  <c r="B32" i="46"/>
  <c r="B34" i="41"/>
  <c r="F34" i="41"/>
  <c r="H34" i="41" s="1"/>
  <c r="B36" i="34"/>
  <c r="F36" i="34"/>
  <c r="G36" i="34"/>
  <c r="F36" i="24"/>
  <c r="B36" i="24"/>
  <c r="G36" i="24"/>
  <c r="B35" i="3"/>
  <c r="F35" i="3"/>
  <c r="G35" i="3"/>
  <c r="E27" i="97"/>
  <c r="D27" i="97"/>
  <c r="F28" i="83"/>
  <c r="B28" i="83"/>
  <c r="B34" i="44"/>
  <c r="F34" i="44"/>
  <c r="H34" i="44" s="1"/>
  <c r="G34" i="44"/>
  <c r="E30" i="76"/>
  <c r="D30" i="76"/>
  <c r="H36" i="23"/>
  <c r="I36" i="23" s="1"/>
  <c r="D37" i="23"/>
  <c r="E37" i="23"/>
  <c r="F30" i="66"/>
  <c r="G30" i="66" s="1"/>
  <c r="B30" i="66"/>
  <c r="B35" i="20"/>
  <c r="F35" i="20"/>
  <c r="B33" i="45"/>
  <c r="F33" i="45"/>
  <c r="G33" i="45" s="1"/>
  <c r="F32" i="53"/>
  <c r="B32" i="53"/>
  <c r="I37" i="35"/>
  <c r="H29" i="75"/>
  <c r="J107" i="13"/>
  <c r="F34" i="74"/>
  <c r="B34" i="74"/>
  <c r="H34" i="74"/>
  <c r="H28" i="85"/>
  <c r="I28" i="85" s="1"/>
  <c r="D29" i="85"/>
  <c r="E29" i="85"/>
  <c r="G32" i="72"/>
  <c r="I32" i="72" s="1"/>
  <c r="E33" i="72"/>
  <c r="D33" i="72"/>
  <c r="E30" i="77"/>
  <c r="D30" i="77"/>
  <c r="I26" i="97"/>
  <c r="I29" i="66"/>
  <c r="D29" i="81"/>
  <c r="E29" i="81"/>
  <c r="F37" i="69"/>
  <c r="H37" i="69" s="1"/>
  <c r="I37" i="69" s="1"/>
  <c r="B37" i="69"/>
  <c r="G37" i="69"/>
  <c r="B26" i="99"/>
  <c r="F26" i="99"/>
  <c r="H26" i="99"/>
  <c r="G26" i="99"/>
  <c r="B32" i="58"/>
  <c r="F32" i="58"/>
  <c r="H32" i="58"/>
  <c r="J106" i="97"/>
  <c r="F30" i="65"/>
  <c r="B30" i="65"/>
  <c r="H30" i="65"/>
  <c r="F32" i="57"/>
  <c r="G32" i="57" s="1"/>
  <c r="B32" i="57"/>
  <c r="H32" i="57"/>
  <c r="E39" i="35"/>
  <c r="F39" i="35" s="1"/>
  <c r="G38" i="35"/>
  <c r="H38" i="35"/>
  <c r="B39" i="35"/>
  <c r="N6" i="33"/>
  <c r="G27" i="90"/>
  <c r="G34" i="39"/>
  <c r="I35" i="22"/>
  <c r="B27" i="26"/>
  <c r="D29" i="80"/>
  <c r="E29" i="80"/>
  <c r="E33" i="55"/>
  <c r="D33" i="55"/>
  <c r="E35" i="43"/>
  <c r="D35" i="43"/>
  <c r="G27" i="33"/>
  <c r="N5" i="33" s="1"/>
  <c r="D28" i="33"/>
  <c r="E28" i="33" s="1"/>
  <c r="F28" i="33" s="1"/>
  <c r="D29" i="33" s="1"/>
  <c r="F32" i="59"/>
  <c r="G32" i="59" s="1"/>
  <c r="B32" i="59"/>
  <c r="F28" i="91"/>
  <c r="B28" i="91"/>
  <c r="I31" i="62"/>
  <c r="H26" i="100"/>
  <c r="E27" i="26"/>
  <c r="F27" i="26" s="1"/>
  <c r="H32" i="55"/>
  <c r="H34" i="43"/>
  <c r="G28" i="86"/>
  <c r="I28" i="86" s="1"/>
  <c r="D29" i="86"/>
  <c r="E29" i="86"/>
  <c r="I115" i="31"/>
  <c r="H115" i="31"/>
  <c r="F35" i="17"/>
  <c r="G35" i="17" s="1"/>
  <c r="C44" i="17"/>
  <c r="B35" i="17"/>
  <c r="F37" i="71"/>
  <c r="G37" i="71" s="1"/>
  <c r="B37" i="71"/>
  <c r="H107" i="25"/>
  <c r="I107" i="25"/>
  <c r="I37" i="70"/>
  <c r="G37" i="30"/>
  <c r="I37" i="30" s="1"/>
  <c r="H29" i="13"/>
  <c r="D30" i="13"/>
  <c r="F36" i="19"/>
  <c r="G36" i="19" s="1"/>
  <c r="B36" i="19"/>
  <c r="H28" i="80"/>
  <c r="I28" i="80" s="1"/>
  <c r="G32" i="55"/>
  <c r="G29" i="13"/>
  <c r="B32" i="61"/>
  <c r="F32" i="61"/>
  <c r="G32" i="61" s="1"/>
  <c r="G34" i="43"/>
  <c r="B116" i="31"/>
  <c r="F116" i="31"/>
  <c r="D32" i="64"/>
  <c r="E32" i="64"/>
  <c r="F32" i="64" s="1"/>
  <c r="D38" i="70"/>
  <c r="E38" i="70"/>
  <c r="E108" i="25"/>
  <c r="F108" i="25" s="1"/>
  <c r="B108" i="25"/>
  <c r="H111" i="60"/>
  <c r="I111" i="60"/>
  <c r="J111" i="60" s="1"/>
  <c r="F118" i="17"/>
  <c r="B118" i="17"/>
  <c r="F120" i="70"/>
  <c r="B120" i="70"/>
  <c r="I117" i="17"/>
  <c r="H117" i="17"/>
  <c r="F112" i="60"/>
  <c r="B112" i="60"/>
  <c r="H119" i="70"/>
  <c r="I119" i="70"/>
  <c r="J119" i="70" s="1"/>
  <c r="F112" i="53"/>
  <c r="B112" i="53"/>
  <c r="H113" i="73"/>
  <c r="I113" i="73"/>
  <c r="J113" i="73" s="1"/>
  <c r="E120" i="29"/>
  <c r="G119" i="29"/>
  <c r="D120" i="29"/>
  <c r="G115" i="34"/>
  <c r="D116" i="34"/>
  <c r="E116" i="34"/>
  <c r="H106" i="90"/>
  <c r="I106" i="90"/>
  <c r="I106" i="96"/>
  <c r="H106" i="96"/>
  <c r="B116" i="71"/>
  <c r="F116" i="71"/>
  <c r="F108" i="83"/>
  <c r="B108" i="83"/>
  <c r="B116" i="32"/>
  <c r="F116" i="32"/>
  <c r="I107" i="100"/>
  <c r="H107" i="100"/>
  <c r="B117" i="69"/>
  <c r="F117" i="69"/>
  <c r="H114" i="18"/>
  <c r="I114" i="18"/>
  <c r="J114" i="18" s="1"/>
  <c r="H111" i="46"/>
  <c r="I111" i="46"/>
  <c r="B27" i="25"/>
  <c r="H111" i="53"/>
  <c r="I111" i="53"/>
  <c r="E30" i="78"/>
  <c r="D30" i="78"/>
  <c r="F107" i="90"/>
  <c r="B107" i="90"/>
  <c r="B107" i="96"/>
  <c r="F107" i="96"/>
  <c r="H117" i="28"/>
  <c r="I117" i="28"/>
  <c r="G115" i="19"/>
  <c r="E116" i="19"/>
  <c r="D116" i="19"/>
  <c r="G110" i="66"/>
  <c r="E111" i="66"/>
  <c r="D111" i="66"/>
  <c r="I29" i="75"/>
  <c r="I27" i="90"/>
  <c r="H111" i="58"/>
  <c r="I111" i="58"/>
  <c r="J111" i="58" s="1"/>
  <c r="I107" i="83"/>
  <c r="H107" i="83"/>
  <c r="D27" i="96"/>
  <c r="E27" i="96"/>
  <c r="H115" i="32"/>
  <c r="I115" i="32"/>
  <c r="J115" i="32" s="1"/>
  <c r="I109" i="82"/>
  <c r="H109" i="82"/>
  <c r="I26" i="100"/>
  <c r="B117" i="27"/>
  <c r="F117" i="27"/>
  <c r="G123" i="35"/>
  <c r="B124" i="35"/>
  <c r="E124" i="35"/>
  <c r="F124" i="35" s="1"/>
  <c r="H106" i="91"/>
  <c r="I106" i="91"/>
  <c r="B115" i="18"/>
  <c r="F115" i="18"/>
  <c r="H108" i="79"/>
  <c r="I108" i="79"/>
  <c r="H111" i="57"/>
  <c r="I111" i="57"/>
  <c r="F116" i="24"/>
  <c r="B116" i="24"/>
  <c r="H108" i="76"/>
  <c r="I108" i="76"/>
  <c r="B111" i="64"/>
  <c r="F111" i="64"/>
  <c r="G112" i="67"/>
  <c r="D113" i="67"/>
  <c r="E113" i="67"/>
  <c r="J109" i="66"/>
  <c r="I114" i="21"/>
  <c r="H114" i="21"/>
  <c r="F118" i="28"/>
  <c r="B118" i="28"/>
  <c r="J118" i="29"/>
  <c r="F114" i="39"/>
  <c r="B114" i="39"/>
  <c r="E30" i="75"/>
  <c r="D30" i="75"/>
  <c r="F112" i="58"/>
  <c r="B112" i="58"/>
  <c r="I106" i="84"/>
  <c r="H106" i="84"/>
  <c r="B110" i="82"/>
  <c r="F110" i="82"/>
  <c r="I106" i="98"/>
  <c r="H106" i="98"/>
  <c r="H116" i="27"/>
  <c r="I116" i="27"/>
  <c r="J116" i="27" s="1"/>
  <c r="F114" i="55"/>
  <c r="B114" i="55"/>
  <c r="H122" i="35"/>
  <c r="I122" i="35"/>
  <c r="B110" i="68"/>
  <c r="F110" i="68"/>
  <c r="H106" i="89"/>
  <c r="I106" i="89"/>
  <c r="B107" i="91"/>
  <c r="F107" i="91"/>
  <c r="I106" i="88"/>
  <c r="H106" i="88"/>
  <c r="F109" i="79"/>
  <c r="B109" i="79"/>
  <c r="F112" i="57"/>
  <c r="B112" i="57"/>
  <c r="I115" i="24"/>
  <c r="H115" i="24"/>
  <c r="B109" i="76"/>
  <c r="F109" i="76"/>
  <c r="H110" i="64"/>
  <c r="I110" i="64"/>
  <c r="B115" i="21"/>
  <c r="F115" i="21"/>
  <c r="B108" i="81"/>
  <c r="F108" i="81"/>
  <c r="H113" i="39"/>
  <c r="I113" i="39"/>
  <c r="J113" i="39" s="1"/>
  <c r="D36" i="21"/>
  <c r="E36" i="21"/>
  <c r="I117" i="20"/>
  <c r="H117" i="20"/>
  <c r="B110" i="85"/>
  <c r="F110" i="85"/>
  <c r="B107" i="84"/>
  <c r="F107" i="84"/>
  <c r="H113" i="41"/>
  <c r="I113" i="41"/>
  <c r="B107" i="98"/>
  <c r="F107" i="98"/>
  <c r="H110" i="75"/>
  <c r="I110" i="75"/>
  <c r="J110" i="75" s="1"/>
  <c r="H113" i="55"/>
  <c r="I113" i="55"/>
  <c r="J113" i="55" s="1"/>
  <c r="H109" i="68"/>
  <c r="I109" i="68"/>
  <c r="B107" i="89"/>
  <c r="F107" i="89"/>
  <c r="F107" i="88"/>
  <c r="B107" i="88"/>
  <c r="I111" i="72"/>
  <c r="H111" i="72"/>
  <c r="D29" i="88"/>
  <c r="E29" i="88"/>
  <c r="J114" i="34"/>
  <c r="I112" i="62"/>
  <c r="H112" i="62"/>
  <c r="B114" i="74"/>
  <c r="F114" i="74"/>
  <c r="H107" i="81"/>
  <c r="I107" i="81"/>
  <c r="E28" i="89"/>
  <c r="D28" i="89"/>
  <c r="F118" i="20"/>
  <c r="B118" i="20"/>
  <c r="H109" i="85"/>
  <c r="I109" i="85"/>
  <c r="J109" i="85" s="1"/>
  <c r="F114" i="41"/>
  <c r="B114" i="41"/>
  <c r="B111" i="75"/>
  <c r="F111" i="75"/>
  <c r="F113" i="45"/>
  <c r="B113" i="45"/>
  <c r="H106" i="92"/>
  <c r="I106" i="92"/>
  <c r="B108" i="99"/>
  <c r="F108" i="99"/>
  <c r="E33" i="54"/>
  <c r="D33" i="54"/>
  <c r="B112" i="72"/>
  <c r="F112" i="72"/>
  <c r="G28" i="88"/>
  <c r="F113" i="62"/>
  <c r="B113" i="62"/>
  <c r="I111" i="54"/>
  <c r="H111" i="54"/>
  <c r="I113" i="74"/>
  <c r="H113" i="74"/>
  <c r="D28" i="87"/>
  <c r="E28" i="87"/>
  <c r="I27" i="89"/>
  <c r="G35" i="21"/>
  <c r="I35" i="21" s="1"/>
  <c r="F109" i="77"/>
  <c r="B109" i="77"/>
  <c r="F115" i="22"/>
  <c r="B115" i="22"/>
  <c r="F112" i="56"/>
  <c r="B112" i="56"/>
  <c r="H109" i="65"/>
  <c r="I109" i="65"/>
  <c r="I34" i="39"/>
  <c r="D111" i="78"/>
  <c r="E111" i="78"/>
  <c r="G110" i="78"/>
  <c r="I112" i="45"/>
  <c r="H112" i="45"/>
  <c r="B111" i="59"/>
  <c r="F111" i="59"/>
  <c r="H107" i="99"/>
  <c r="I107" i="99"/>
  <c r="D38" i="29"/>
  <c r="E38" i="29"/>
  <c r="D36" i="22"/>
  <c r="E36" i="22"/>
  <c r="G32" i="54"/>
  <c r="H28" i="88"/>
  <c r="D37" i="32"/>
  <c r="E37" i="32"/>
  <c r="B108" i="80"/>
  <c r="F108" i="80"/>
  <c r="I110" i="61"/>
  <c r="H110" i="61"/>
  <c r="F112" i="54"/>
  <c r="B112" i="54"/>
  <c r="J116" i="23"/>
  <c r="H26" i="96"/>
  <c r="I108" i="77"/>
  <c r="H108" i="77"/>
  <c r="I114" i="22"/>
  <c r="J114" i="22" s="1"/>
  <c r="H114" i="22"/>
  <c r="H111" i="56"/>
  <c r="I111" i="56"/>
  <c r="B110" i="65"/>
  <c r="F110" i="65"/>
  <c r="D35" i="39"/>
  <c r="E35" i="39"/>
  <c r="E36" i="18"/>
  <c r="D36" i="18"/>
  <c r="H110" i="59"/>
  <c r="I110" i="59"/>
  <c r="B107" i="92"/>
  <c r="F107" i="92"/>
  <c r="J110" i="63"/>
  <c r="H114" i="3"/>
  <c r="I114" i="3"/>
  <c r="J114" i="3" s="1"/>
  <c r="H32" i="54"/>
  <c r="H116" i="30"/>
  <c r="I116" i="30"/>
  <c r="B107" i="86"/>
  <c r="F107" i="86"/>
  <c r="G36" i="32"/>
  <c r="I36" i="32" s="1"/>
  <c r="H107" i="80"/>
  <c r="I107" i="80"/>
  <c r="J107" i="80" s="1"/>
  <c r="E112" i="63"/>
  <c r="G111" i="63"/>
  <c r="D112" i="63"/>
  <c r="B111" i="61"/>
  <c r="F111" i="61"/>
  <c r="H29" i="78"/>
  <c r="I29" i="78" s="1"/>
  <c r="F114" i="73"/>
  <c r="B114" i="73"/>
  <c r="H27" i="87"/>
  <c r="I27" i="87" s="1"/>
  <c r="H115" i="71"/>
  <c r="I115" i="71"/>
  <c r="E38" i="30"/>
  <c r="D38" i="30"/>
  <c r="D28" i="90"/>
  <c r="E28" i="90"/>
  <c r="G26" i="96"/>
  <c r="D32" i="62"/>
  <c r="E32" i="62"/>
  <c r="E27" i="100"/>
  <c r="D27" i="100"/>
  <c r="B108" i="100"/>
  <c r="F108" i="100"/>
  <c r="H116" i="69"/>
  <c r="I116" i="69"/>
  <c r="E118" i="23"/>
  <c r="G117" i="23"/>
  <c r="D118" i="23"/>
  <c r="I35" i="18"/>
  <c r="B112" i="46"/>
  <c r="F112" i="46"/>
  <c r="E27" i="25"/>
  <c r="F27" i="25" s="1"/>
  <c r="F115" i="3"/>
  <c r="B115" i="3"/>
  <c r="I37" i="29"/>
  <c r="F117" i="30"/>
  <c r="B117" i="30"/>
  <c r="H106" i="86"/>
  <c r="I106" i="86"/>
  <c r="E35" i="36"/>
  <c r="D108" i="87" l="1"/>
  <c r="G107" i="87"/>
  <c r="E108" i="87"/>
  <c r="G31" i="63"/>
  <c r="I31" i="63" s="1"/>
  <c r="I32" i="57"/>
  <c r="I34" i="44"/>
  <c r="H26" i="95"/>
  <c r="I26" i="95" s="1"/>
  <c r="G37" i="27"/>
  <c r="I37" i="27" s="1"/>
  <c r="J107" i="95"/>
  <c r="E109" i="95"/>
  <c r="D109" i="95"/>
  <c r="G108" i="95"/>
  <c r="J107" i="25"/>
  <c r="I38" i="35"/>
  <c r="B30" i="77"/>
  <c r="F30" i="77"/>
  <c r="D29" i="83"/>
  <c r="E29" i="83"/>
  <c r="D37" i="31"/>
  <c r="E37" i="31"/>
  <c r="F114" i="42"/>
  <c r="B114" i="42"/>
  <c r="B27" i="98"/>
  <c r="F27" i="98"/>
  <c r="H27" i="98" s="1"/>
  <c r="B114" i="43"/>
  <c r="F114" i="43"/>
  <c r="D33" i="56"/>
  <c r="E33" i="56"/>
  <c r="B108" i="97"/>
  <c r="F108" i="97"/>
  <c r="E39" i="28"/>
  <c r="D39" i="28"/>
  <c r="F114" i="44"/>
  <c r="B114" i="44"/>
  <c r="D108" i="26"/>
  <c r="G107" i="26"/>
  <c r="H35" i="17"/>
  <c r="I26" i="99"/>
  <c r="F29" i="81"/>
  <c r="G29" i="81" s="1"/>
  <c r="H29" i="81"/>
  <c r="B29" i="81"/>
  <c r="G32" i="53"/>
  <c r="D33" i="53"/>
  <c r="E33" i="53"/>
  <c r="D36" i="20"/>
  <c r="E36" i="20"/>
  <c r="F37" i="23"/>
  <c r="H37" i="23" s="1"/>
  <c r="B37" i="23"/>
  <c r="G28" i="83"/>
  <c r="B27" i="97"/>
  <c r="F27" i="97"/>
  <c r="G27" i="97" s="1"/>
  <c r="D36" i="3"/>
  <c r="E36" i="3"/>
  <c r="E37" i="34"/>
  <c r="D37" i="34"/>
  <c r="D35" i="41"/>
  <c r="E35" i="41"/>
  <c r="H32" i="46"/>
  <c r="D33" i="46"/>
  <c r="E33" i="46"/>
  <c r="I108" i="13"/>
  <c r="H108" i="13"/>
  <c r="H113" i="42"/>
  <c r="I113" i="42"/>
  <c r="G32" i="56"/>
  <c r="I28" i="84"/>
  <c r="F35" i="42"/>
  <c r="G35" i="42" s="1"/>
  <c r="B35" i="42"/>
  <c r="E38" i="27"/>
  <c r="D38" i="27"/>
  <c r="E32" i="63"/>
  <c r="D32" i="63"/>
  <c r="I113" i="44"/>
  <c r="J113" i="44" s="1"/>
  <c r="H113" i="44"/>
  <c r="H107" i="33"/>
  <c r="M88" i="33" s="1"/>
  <c r="M89" i="33" s="1"/>
  <c r="I107" i="33"/>
  <c r="I106" i="26"/>
  <c r="J106" i="26" s="1"/>
  <c r="H106" i="26"/>
  <c r="I32" i="54"/>
  <c r="H37" i="71"/>
  <c r="I37" i="71" s="1"/>
  <c r="J115" i="31"/>
  <c r="D31" i="65"/>
  <c r="E31" i="65"/>
  <c r="G32" i="58"/>
  <c r="I32" i="58" s="1"/>
  <c r="D33" i="58"/>
  <c r="E33" i="58"/>
  <c r="E27" i="99"/>
  <c r="D27" i="99"/>
  <c r="B33" i="72"/>
  <c r="F33" i="72"/>
  <c r="F29" i="85"/>
  <c r="G29" i="85" s="1"/>
  <c r="B29" i="85"/>
  <c r="D35" i="74"/>
  <c r="E35" i="74"/>
  <c r="H35" i="20"/>
  <c r="H28" i="83"/>
  <c r="D37" i="24"/>
  <c r="E37" i="24"/>
  <c r="F109" i="13"/>
  <c r="E109" i="13"/>
  <c r="B109" i="13"/>
  <c r="G36" i="31"/>
  <c r="E29" i="92"/>
  <c r="D29" i="92"/>
  <c r="G28" i="82"/>
  <c r="I28" i="82" s="1"/>
  <c r="D29" i="82"/>
  <c r="E29" i="82"/>
  <c r="H38" i="28"/>
  <c r="D31" i="68"/>
  <c r="E31" i="68"/>
  <c r="G39" i="35"/>
  <c r="H39" i="35"/>
  <c r="E40" i="35"/>
  <c r="F40" i="35" s="1"/>
  <c r="B40" i="35"/>
  <c r="E33" i="57"/>
  <c r="D33" i="57"/>
  <c r="G30" i="65"/>
  <c r="I30" i="65" s="1"/>
  <c r="E38" i="69"/>
  <c r="D38" i="69"/>
  <c r="G34" i="74"/>
  <c r="I34" i="74" s="1"/>
  <c r="H32" i="53"/>
  <c r="I32" i="53" s="1"/>
  <c r="H33" i="45"/>
  <c r="I33" i="45" s="1"/>
  <c r="D34" i="45"/>
  <c r="E34" i="45"/>
  <c r="G35" i="20"/>
  <c r="H30" i="66"/>
  <c r="I30" i="66" s="1"/>
  <c r="E31" i="66"/>
  <c r="D31" i="66"/>
  <c r="B30" i="76"/>
  <c r="F30" i="76"/>
  <c r="G30" i="76" s="1"/>
  <c r="D35" i="44"/>
  <c r="E35" i="44"/>
  <c r="H35" i="3"/>
  <c r="I35" i="3" s="1"/>
  <c r="H36" i="24"/>
  <c r="I36" i="24" s="1"/>
  <c r="H36" i="34"/>
  <c r="I36" i="34" s="1"/>
  <c r="G34" i="41"/>
  <c r="I34" i="41" s="1"/>
  <c r="G32" i="46"/>
  <c r="I32" i="46" s="1"/>
  <c r="H36" i="31"/>
  <c r="I36" i="31" s="1"/>
  <c r="H28" i="92"/>
  <c r="I28" i="92" s="1"/>
  <c r="H113" i="43"/>
  <c r="I113" i="43"/>
  <c r="G34" i="73"/>
  <c r="I34" i="73" s="1"/>
  <c r="E35" i="73"/>
  <c r="D35" i="73"/>
  <c r="D27" i="95"/>
  <c r="E27" i="95"/>
  <c r="G31" i="60"/>
  <c r="I31" i="60" s="1"/>
  <c r="E32" i="60"/>
  <c r="D32" i="60"/>
  <c r="H32" i="56"/>
  <c r="G29" i="79"/>
  <c r="I29" i="79" s="1"/>
  <c r="D30" i="79"/>
  <c r="E30" i="79"/>
  <c r="G30" i="67"/>
  <c r="I30" i="67" s="1"/>
  <c r="D31" i="67"/>
  <c r="E31" i="67"/>
  <c r="D29" i="84"/>
  <c r="E29" i="84"/>
  <c r="I107" i="97"/>
  <c r="H107" i="97"/>
  <c r="G38" i="28"/>
  <c r="G30" i="68"/>
  <c r="I30" i="68" s="1"/>
  <c r="E108" i="33"/>
  <c r="F108" i="33" s="1"/>
  <c r="E29" i="33"/>
  <c r="F29" i="33" s="1"/>
  <c r="G29" i="33" s="1"/>
  <c r="B29" i="33"/>
  <c r="G108" i="25"/>
  <c r="D109" i="25"/>
  <c r="D28" i="26"/>
  <c r="E28" i="26" s="1"/>
  <c r="H27" i="26"/>
  <c r="I27" i="26" s="1"/>
  <c r="G27" i="26"/>
  <c r="G116" i="31"/>
  <c r="D117" i="31"/>
  <c r="E117" i="31"/>
  <c r="B29" i="80"/>
  <c r="F29" i="80"/>
  <c r="G29" i="80" s="1"/>
  <c r="J106" i="88"/>
  <c r="J106" i="98"/>
  <c r="E33" i="64"/>
  <c r="D33" i="64"/>
  <c r="H32" i="61"/>
  <c r="I32" i="61" s="1"/>
  <c r="D33" i="61"/>
  <c r="E33" i="61"/>
  <c r="I29" i="13"/>
  <c r="I32" i="55"/>
  <c r="E33" i="59"/>
  <c r="D33" i="59"/>
  <c r="B33" i="55"/>
  <c r="F33" i="55"/>
  <c r="G33" i="55" s="1"/>
  <c r="E30" i="13"/>
  <c r="F30" i="13" s="1"/>
  <c r="B30" i="13"/>
  <c r="N6" i="17"/>
  <c r="N87" i="17"/>
  <c r="N5" i="17"/>
  <c r="M87" i="17"/>
  <c r="I28" i="88"/>
  <c r="B32" i="64"/>
  <c r="H32" i="64"/>
  <c r="G32" i="64"/>
  <c r="E38" i="71"/>
  <c r="D38" i="71"/>
  <c r="E36" i="17"/>
  <c r="D36" i="17"/>
  <c r="F29" i="86"/>
  <c r="B29" i="86"/>
  <c r="I34" i="43"/>
  <c r="H32" i="59"/>
  <c r="I32" i="59" s="1"/>
  <c r="I27" i="33"/>
  <c r="H28" i="91"/>
  <c r="E29" i="91"/>
  <c r="D29" i="91"/>
  <c r="J106" i="92"/>
  <c r="H30" i="13"/>
  <c r="F38" i="70"/>
  <c r="G38" i="70" s="1"/>
  <c r="B38" i="70"/>
  <c r="H36" i="19"/>
  <c r="I36" i="19" s="1"/>
  <c r="D37" i="19"/>
  <c r="E37" i="19"/>
  <c r="I35" i="17"/>
  <c r="G28" i="91"/>
  <c r="B28" i="33"/>
  <c r="G28" i="33"/>
  <c r="H28" i="33"/>
  <c r="F35" i="43"/>
  <c r="H35" i="43" s="1"/>
  <c r="B35" i="43"/>
  <c r="N7" i="33"/>
  <c r="J111" i="54"/>
  <c r="J107" i="83"/>
  <c r="J109" i="82"/>
  <c r="D113" i="60"/>
  <c r="G112" i="60"/>
  <c r="E113" i="60"/>
  <c r="J112" i="45"/>
  <c r="J113" i="74"/>
  <c r="D119" i="17"/>
  <c r="E119" i="17"/>
  <c r="G118" i="17"/>
  <c r="G120" i="70"/>
  <c r="E121" i="70"/>
  <c r="D121" i="70"/>
  <c r="J117" i="20"/>
  <c r="J106" i="86"/>
  <c r="J107" i="81"/>
  <c r="J112" i="62"/>
  <c r="J117" i="17"/>
  <c r="D28" i="25"/>
  <c r="E28" i="25" s="1"/>
  <c r="G27" i="25"/>
  <c r="H27" i="25"/>
  <c r="H117" i="23"/>
  <c r="I117" i="23"/>
  <c r="J117" i="23" s="1"/>
  <c r="F38" i="30"/>
  <c r="H38" i="30"/>
  <c r="G38" i="30"/>
  <c r="B38" i="30"/>
  <c r="G114" i="73"/>
  <c r="D115" i="73"/>
  <c r="E115" i="73"/>
  <c r="F112" i="63"/>
  <c r="B112" i="63"/>
  <c r="J116" i="30"/>
  <c r="E108" i="92"/>
  <c r="D108" i="92"/>
  <c r="G107" i="92"/>
  <c r="D113" i="54"/>
  <c r="G112" i="54"/>
  <c r="E113" i="54"/>
  <c r="D109" i="80"/>
  <c r="G108" i="80"/>
  <c r="E109" i="80"/>
  <c r="E114" i="62"/>
  <c r="D114" i="62"/>
  <c r="G113" i="62"/>
  <c r="G113" i="45"/>
  <c r="D114" i="45"/>
  <c r="E114" i="45"/>
  <c r="D112" i="75"/>
  <c r="G111" i="75"/>
  <c r="E112" i="75"/>
  <c r="J109" i="68"/>
  <c r="J113" i="41"/>
  <c r="G115" i="21"/>
  <c r="D116" i="21"/>
  <c r="E116" i="21"/>
  <c r="G109" i="76"/>
  <c r="D110" i="76"/>
  <c r="E110" i="76"/>
  <c r="D113" i="57"/>
  <c r="G112" i="57"/>
  <c r="E113" i="57"/>
  <c r="J106" i="89"/>
  <c r="J122" i="35"/>
  <c r="B113" i="67"/>
  <c r="F113" i="67"/>
  <c r="J108" i="79"/>
  <c r="B111" i="66"/>
  <c r="F111" i="66"/>
  <c r="D108" i="96"/>
  <c r="G107" i="96"/>
  <c r="E108" i="96"/>
  <c r="J111" i="53"/>
  <c r="J111" i="46"/>
  <c r="D118" i="69"/>
  <c r="G117" i="69"/>
  <c r="E118" i="69"/>
  <c r="G108" i="83"/>
  <c r="D109" i="83"/>
  <c r="E109" i="83"/>
  <c r="F32" i="62"/>
  <c r="H32" i="62" s="1"/>
  <c r="B32" i="62"/>
  <c r="H111" i="63"/>
  <c r="I111" i="63"/>
  <c r="B38" i="29"/>
  <c r="F38" i="29"/>
  <c r="F33" i="54"/>
  <c r="H33" i="54" s="1"/>
  <c r="B33" i="54"/>
  <c r="G110" i="82"/>
  <c r="D111" i="82"/>
  <c r="E111" i="82"/>
  <c r="I112" i="67"/>
  <c r="H112" i="67"/>
  <c r="E125" i="35"/>
  <c r="F125" i="35" s="1"/>
  <c r="B125" i="35"/>
  <c r="G124" i="35"/>
  <c r="D118" i="30"/>
  <c r="G117" i="30"/>
  <c r="E118" i="30"/>
  <c r="G115" i="3"/>
  <c r="D116" i="3"/>
  <c r="E116" i="3"/>
  <c r="J116" i="69"/>
  <c r="J115" i="71"/>
  <c r="J110" i="59"/>
  <c r="J108" i="77"/>
  <c r="G109" i="77"/>
  <c r="D110" i="77"/>
  <c r="E110" i="77"/>
  <c r="D108" i="98"/>
  <c r="G107" i="98"/>
  <c r="E108" i="98"/>
  <c r="G107" i="84"/>
  <c r="D108" i="84"/>
  <c r="E108" i="84"/>
  <c r="B30" i="75"/>
  <c r="F30" i="75"/>
  <c r="H30" i="75" s="1"/>
  <c r="G118" i="28"/>
  <c r="D119" i="28"/>
  <c r="E119" i="28"/>
  <c r="I110" i="66"/>
  <c r="H110" i="66"/>
  <c r="G116" i="71"/>
  <c r="D117" i="71"/>
  <c r="E117" i="71"/>
  <c r="I26" i="96"/>
  <c r="B37" i="32"/>
  <c r="F37" i="32"/>
  <c r="H37" i="32" s="1"/>
  <c r="I110" i="78"/>
  <c r="H110" i="78"/>
  <c r="G108" i="99"/>
  <c r="D109" i="99"/>
  <c r="E109" i="99"/>
  <c r="G114" i="41"/>
  <c r="D115" i="41"/>
  <c r="E115" i="41"/>
  <c r="F28" i="89"/>
  <c r="G28" i="89" s="1"/>
  <c r="B28" i="89"/>
  <c r="J111" i="72"/>
  <c r="B36" i="21"/>
  <c r="F36" i="21"/>
  <c r="H36" i="21" s="1"/>
  <c r="D115" i="55"/>
  <c r="E115" i="55"/>
  <c r="G114" i="55"/>
  <c r="I123" i="35"/>
  <c r="J123" i="35" s="1"/>
  <c r="H123" i="35"/>
  <c r="B116" i="19"/>
  <c r="F116" i="19"/>
  <c r="J107" i="100"/>
  <c r="J106" i="96"/>
  <c r="B116" i="34"/>
  <c r="F116" i="34"/>
  <c r="D113" i="53"/>
  <c r="G112" i="53"/>
  <c r="E113" i="53"/>
  <c r="G112" i="46"/>
  <c r="D113" i="46"/>
  <c r="E113" i="46"/>
  <c r="E109" i="100"/>
  <c r="D109" i="100"/>
  <c r="G108" i="100"/>
  <c r="F27" i="100"/>
  <c r="H27" i="100" s="1"/>
  <c r="B27" i="100"/>
  <c r="F36" i="18"/>
  <c r="H36" i="18" s="1"/>
  <c r="B36" i="18"/>
  <c r="F35" i="39"/>
  <c r="B35" i="39"/>
  <c r="J107" i="99"/>
  <c r="J106" i="84"/>
  <c r="J114" i="21"/>
  <c r="D112" i="64"/>
  <c r="G111" i="64"/>
  <c r="E112" i="64"/>
  <c r="D118" i="27"/>
  <c r="G117" i="27"/>
  <c r="E118" i="27"/>
  <c r="D117" i="32"/>
  <c r="G116" i="32"/>
  <c r="E117" i="32"/>
  <c r="J106" i="90"/>
  <c r="I115" i="34"/>
  <c r="H115" i="34"/>
  <c r="B28" i="90"/>
  <c r="F28" i="90"/>
  <c r="H28" i="90" s="1"/>
  <c r="G110" i="65"/>
  <c r="D111" i="65"/>
  <c r="E111" i="65"/>
  <c r="F111" i="78"/>
  <c r="B111" i="78"/>
  <c r="D115" i="74"/>
  <c r="G114" i="74"/>
  <c r="E115" i="74"/>
  <c r="D108" i="88"/>
  <c r="G107" i="88"/>
  <c r="E108" i="88"/>
  <c r="D110" i="79"/>
  <c r="G109" i="79"/>
  <c r="E110" i="79"/>
  <c r="G116" i="24"/>
  <c r="D117" i="24"/>
  <c r="E117" i="24"/>
  <c r="D116" i="18"/>
  <c r="G115" i="18"/>
  <c r="E116" i="18"/>
  <c r="B27" i="96"/>
  <c r="F27" i="96"/>
  <c r="G27" i="96" s="1"/>
  <c r="H115" i="19"/>
  <c r="I115" i="19"/>
  <c r="G107" i="90"/>
  <c r="D108" i="90"/>
  <c r="E108" i="90"/>
  <c r="B120" i="29"/>
  <c r="F120" i="29"/>
  <c r="G111" i="61"/>
  <c r="D112" i="61"/>
  <c r="E112" i="61"/>
  <c r="G107" i="86"/>
  <c r="D108" i="86"/>
  <c r="E108" i="86"/>
  <c r="J110" i="61"/>
  <c r="D112" i="59"/>
  <c r="G111" i="59"/>
  <c r="E112" i="59"/>
  <c r="D113" i="56"/>
  <c r="G112" i="56"/>
  <c r="E113" i="56"/>
  <c r="E119" i="20"/>
  <c r="G118" i="20"/>
  <c r="D119" i="20"/>
  <c r="F29" i="88"/>
  <c r="G29" i="88" s="1"/>
  <c r="B29" i="88"/>
  <c r="D108" i="89"/>
  <c r="G107" i="89"/>
  <c r="E108" i="89"/>
  <c r="D111" i="85"/>
  <c r="G110" i="85"/>
  <c r="E111" i="85"/>
  <c r="D109" i="81"/>
  <c r="G108" i="81"/>
  <c r="E109" i="81"/>
  <c r="J110" i="64"/>
  <c r="J115" i="24"/>
  <c r="D108" i="91"/>
  <c r="G107" i="91"/>
  <c r="E108" i="91"/>
  <c r="D111" i="68"/>
  <c r="G110" i="68"/>
  <c r="E111" i="68"/>
  <c r="G112" i="58"/>
  <c r="D113" i="58"/>
  <c r="E113" i="58"/>
  <c r="J108" i="76"/>
  <c r="J111" i="57"/>
  <c r="J117" i="28"/>
  <c r="F30" i="78"/>
  <c r="G30" i="78" s="1"/>
  <c r="B30" i="78"/>
  <c r="H119" i="29"/>
  <c r="I119" i="29"/>
  <c r="F118" i="23"/>
  <c r="B118" i="23"/>
  <c r="J111" i="56"/>
  <c r="F36" i="22"/>
  <c r="G36" i="22" s="1"/>
  <c r="B36" i="22"/>
  <c r="J109" i="65"/>
  <c r="D116" i="22"/>
  <c r="G115" i="22"/>
  <c r="E116" i="22"/>
  <c r="B28" i="87"/>
  <c r="F28" i="87"/>
  <c r="G28" i="87" s="1"/>
  <c r="G112" i="72"/>
  <c r="D113" i="72"/>
  <c r="E113" i="72"/>
  <c r="D115" i="39"/>
  <c r="G114" i="39"/>
  <c r="E115" i="39"/>
  <c r="J106" i="91"/>
  <c r="E19" i="36"/>
  <c r="I35" i="36"/>
  <c r="F35" i="36"/>
  <c r="G35" i="43" l="1"/>
  <c r="I107" i="87"/>
  <c r="H107" i="87"/>
  <c r="H30" i="76"/>
  <c r="F108" i="87"/>
  <c r="B108" i="87"/>
  <c r="I29" i="81"/>
  <c r="I108" i="95"/>
  <c r="H108" i="95"/>
  <c r="I39" i="35"/>
  <c r="J108" i="13"/>
  <c r="F109" i="95"/>
  <c r="B109" i="95"/>
  <c r="V35" i="36"/>
  <c r="G36" i="18"/>
  <c r="B31" i="66"/>
  <c r="F31" i="66"/>
  <c r="H31" i="66" s="1"/>
  <c r="B33" i="57"/>
  <c r="F33" i="57"/>
  <c r="G33" i="57" s="1"/>
  <c r="I38" i="28"/>
  <c r="F29" i="82"/>
  <c r="B29" i="82"/>
  <c r="H29" i="82"/>
  <c r="G29" i="82"/>
  <c r="G109" i="13"/>
  <c r="D110" i="13"/>
  <c r="I35" i="20"/>
  <c r="E34" i="72"/>
  <c r="D34" i="72"/>
  <c r="F33" i="46"/>
  <c r="G33" i="46" s="1"/>
  <c r="B33" i="46"/>
  <c r="G37" i="34"/>
  <c r="F37" i="34"/>
  <c r="B37" i="34"/>
  <c r="H37" i="34"/>
  <c r="B36" i="20"/>
  <c r="F36" i="20"/>
  <c r="G36" i="20" s="1"/>
  <c r="E108" i="26"/>
  <c r="F108" i="26" s="1"/>
  <c r="B108" i="26"/>
  <c r="B33" i="56"/>
  <c r="F33" i="56"/>
  <c r="H33" i="56" s="1"/>
  <c r="I33" i="56" s="1"/>
  <c r="G33" i="56"/>
  <c r="E115" i="42"/>
  <c r="G114" i="42"/>
  <c r="D115" i="42"/>
  <c r="G30" i="77"/>
  <c r="D31" i="77"/>
  <c r="E31" i="77"/>
  <c r="H28" i="87"/>
  <c r="I35" i="43"/>
  <c r="H38" i="70"/>
  <c r="I38" i="70" s="1"/>
  <c r="I32" i="64"/>
  <c r="B29" i="84"/>
  <c r="F29" i="84"/>
  <c r="H29" i="84" s="1"/>
  <c r="F32" i="60"/>
  <c r="B32" i="60"/>
  <c r="G32" i="60"/>
  <c r="H32" i="60"/>
  <c r="F27" i="95"/>
  <c r="B27" i="95"/>
  <c r="J113" i="43"/>
  <c r="E31" i="76"/>
  <c r="D31" i="76"/>
  <c r="H34" i="45"/>
  <c r="B34" i="45"/>
  <c r="F34" i="45"/>
  <c r="G34" i="45" s="1"/>
  <c r="B38" i="69"/>
  <c r="F38" i="69"/>
  <c r="G38" i="69"/>
  <c r="H38" i="69"/>
  <c r="F31" i="65"/>
  <c r="G31" i="65" s="1"/>
  <c r="B31" i="65"/>
  <c r="B38" i="27"/>
  <c r="F38" i="27"/>
  <c r="H38" i="27" s="1"/>
  <c r="G38" i="27"/>
  <c r="I32" i="56"/>
  <c r="H27" i="97"/>
  <c r="I27" i="97" s="1"/>
  <c r="E28" i="97"/>
  <c r="D28" i="97"/>
  <c r="G108" i="97"/>
  <c r="D109" i="97"/>
  <c r="E109" i="97"/>
  <c r="D115" i="43"/>
  <c r="G114" i="43"/>
  <c r="E115" i="43"/>
  <c r="D28" i="98"/>
  <c r="E28" i="98"/>
  <c r="F29" i="83"/>
  <c r="H29" i="83" s="1"/>
  <c r="B29" i="83"/>
  <c r="G29" i="83"/>
  <c r="G30" i="75"/>
  <c r="B30" i="79"/>
  <c r="F30" i="79"/>
  <c r="G30" i="79" s="1"/>
  <c r="B35" i="73"/>
  <c r="F35" i="73"/>
  <c r="I30" i="76"/>
  <c r="F37" i="24"/>
  <c r="B37" i="24"/>
  <c r="G37" i="24"/>
  <c r="F35" i="74"/>
  <c r="H35" i="74" s="1"/>
  <c r="B35" i="74"/>
  <c r="G35" i="74"/>
  <c r="D30" i="85"/>
  <c r="E30" i="85"/>
  <c r="G33" i="72"/>
  <c r="F33" i="58"/>
  <c r="G33" i="58" s="1"/>
  <c r="B33" i="58"/>
  <c r="E36" i="42"/>
  <c r="D36" i="42"/>
  <c r="G37" i="23"/>
  <c r="I37" i="23" s="1"/>
  <c r="E38" i="23"/>
  <c r="D38" i="23"/>
  <c r="F33" i="53"/>
  <c r="G33" i="53" s="1"/>
  <c r="B33" i="53"/>
  <c r="G114" i="44"/>
  <c r="E115" i="44"/>
  <c r="D115" i="44"/>
  <c r="F115" i="44" s="1"/>
  <c r="F37" i="31"/>
  <c r="G37" i="31" s="1"/>
  <c r="B37" i="31"/>
  <c r="H29" i="88"/>
  <c r="I28" i="33"/>
  <c r="G108" i="33"/>
  <c r="D109" i="33"/>
  <c r="B109" i="33" s="1"/>
  <c r="J107" i="97"/>
  <c r="F31" i="67"/>
  <c r="G31" i="67" s="1"/>
  <c r="B31" i="67"/>
  <c r="F35" i="44"/>
  <c r="H35" i="44" s="1"/>
  <c r="B35" i="44"/>
  <c r="G40" i="35"/>
  <c r="B41" i="35"/>
  <c r="H40" i="35"/>
  <c r="I40" i="35" s="1"/>
  <c r="E41" i="35"/>
  <c r="F41" i="35" s="1"/>
  <c r="B31" i="68"/>
  <c r="F31" i="68"/>
  <c r="G31" i="68" s="1"/>
  <c r="B29" i="92"/>
  <c r="F29" i="92"/>
  <c r="H29" i="92" s="1"/>
  <c r="H29" i="85"/>
  <c r="I29" i="85" s="1"/>
  <c r="H33" i="72"/>
  <c r="I33" i="72" s="1"/>
  <c r="G27" i="99"/>
  <c r="F27" i="99"/>
  <c r="B27" i="99"/>
  <c r="H27" i="99"/>
  <c r="N88" i="33"/>
  <c r="J107" i="33"/>
  <c r="F32" i="63"/>
  <c r="B32" i="63"/>
  <c r="H32" i="63"/>
  <c r="H35" i="42"/>
  <c r="I35" i="42" s="1"/>
  <c r="J113" i="42"/>
  <c r="F35" i="41"/>
  <c r="H35" i="41" s="1"/>
  <c r="B35" i="41"/>
  <c r="B36" i="3"/>
  <c r="F36" i="3"/>
  <c r="H36" i="3" s="1"/>
  <c r="I28" i="83"/>
  <c r="E30" i="81"/>
  <c r="D30" i="81"/>
  <c r="I107" i="26"/>
  <c r="H107" i="26"/>
  <c r="F39" i="28"/>
  <c r="H39" i="28" s="1"/>
  <c r="B39" i="28"/>
  <c r="G27" i="98"/>
  <c r="I27" i="98" s="1"/>
  <c r="H30" i="77"/>
  <c r="I30" i="77" s="1"/>
  <c r="G35" i="36"/>
  <c r="I28" i="91"/>
  <c r="H29" i="86"/>
  <c r="D30" i="86"/>
  <c r="E30" i="86"/>
  <c r="I116" i="31"/>
  <c r="H116" i="31"/>
  <c r="H27" i="96"/>
  <c r="I27" i="96" s="1"/>
  <c r="I36" i="18"/>
  <c r="G37" i="32"/>
  <c r="H38" i="71"/>
  <c r="B38" i="71"/>
  <c r="F38" i="71"/>
  <c r="G38" i="71" s="1"/>
  <c r="O87" i="17"/>
  <c r="O89" i="17" s="1"/>
  <c r="O16" i="2"/>
  <c r="N89" i="17"/>
  <c r="G30" i="13"/>
  <c r="I30" i="13" s="1"/>
  <c r="D31" i="13"/>
  <c r="F33" i="64"/>
  <c r="B33" i="64"/>
  <c r="D30" i="80"/>
  <c r="E30" i="80"/>
  <c r="B28" i="26"/>
  <c r="F28" i="26"/>
  <c r="I108" i="25"/>
  <c r="H108" i="25"/>
  <c r="M88" i="25" s="1"/>
  <c r="M89" i="25" s="1"/>
  <c r="H29" i="33"/>
  <c r="I29" i="33" s="1"/>
  <c r="D30" i="33"/>
  <c r="F33" i="61"/>
  <c r="G33" i="61" s="1"/>
  <c r="H33" i="61"/>
  <c r="B33" i="61"/>
  <c r="B109" i="25"/>
  <c r="F37" i="19"/>
  <c r="G37" i="19" s="1"/>
  <c r="B37" i="19"/>
  <c r="D39" i="70"/>
  <c r="E39" i="70"/>
  <c r="B29" i="91"/>
  <c r="F29" i="91"/>
  <c r="N7" i="17"/>
  <c r="H33" i="55"/>
  <c r="I33" i="55" s="1"/>
  <c r="E34" i="55"/>
  <c r="D34" i="55"/>
  <c r="E109" i="25"/>
  <c r="F109" i="25" s="1"/>
  <c r="I29" i="88"/>
  <c r="G27" i="100"/>
  <c r="I27" i="100" s="1"/>
  <c r="I27" i="25"/>
  <c r="D36" i="43"/>
  <c r="E36" i="43"/>
  <c r="G29" i="86"/>
  <c r="B36" i="17"/>
  <c r="F36" i="17"/>
  <c r="G36" i="17" s="1"/>
  <c r="C45" i="17"/>
  <c r="M89" i="17"/>
  <c r="N16" i="2"/>
  <c r="R131" i="2" s="1"/>
  <c r="B33" i="59"/>
  <c r="F33" i="59"/>
  <c r="G33" i="59" s="1"/>
  <c r="H29" i="80"/>
  <c r="I29" i="80" s="1"/>
  <c r="F117" i="31"/>
  <c r="B117" i="31"/>
  <c r="I120" i="70"/>
  <c r="H120" i="70"/>
  <c r="I118" i="17"/>
  <c r="H118" i="17"/>
  <c r="J115" i="34"/>
  <c r="F113" i="60"/>
  <c r="B113" i="60"/>
  <c r="J112" i="67"/>
  <c r="H112" i="60"/>
  <c r="I112" i="60"/>
  <c r="J112" i="60" s="1"/>
  <c r="F119" i="17"/>
  <c r="B119" i="17"/>
  <c r="F121" i="70"/>
  <c r="B121" i="70"/>
  <c r="D31" i="78"/>
  <c r="E31" i="78"/>
  <c r="H112" i="58"/>
  <c r="I112" i="58"/>
  <c r="H109" i="79"/>
  <c r="I109" i="79"/>
  <c r="F108" i="88"/>
  <c r="B108" i="88"/>
  <c r="I112" i="46"/>
  <c r="J112" i="46" s="1"/>
  <c r="H112" i="46"/>
  <c r="H114" i="55"/>
  <c r="I114" i="55"/>
  <c r="F117" i="71"/>
  <c r="B117" i="71"/>
  <c r="H107" i="84"/>
  <c r="I107" i="84"/>
  <c r="J107" i="84" s="1"/>
  <c r="F111" i="82"/>
  <c r="B111" i="82"/>
  <c r="E112" i="66"/>
  <c r="G111" i="66"/>
  <c r="D112" i="66"/>
  <c r="F116" i="21"/>
  <c r="B116" i="21"/>
  <c r="I112" i="54"/>
  <c r="H112" i="54"/>
  <c r="I107" i="89"/>
  <c r="H107" i="89"/>
  <c r="B117" i="24"/>
  <c r="F117" i="24"/>
  <c r="B110" i="79"/>
  <c r="F110" i="79"/>
  <c r="D29" i="90"/>
  <c r="E29" i="90"/>
  <c r="D36" i="39"/>
  <c r="E36" i="39"/>
  <c r="B109" i="99"/>
  <c r="F109" i="99"/>
  <c r="H116" i="71"/>
  <c r="I116" i="71"/>
  <c r="F110" i="77"/>
  <c r="B110" i="77"/>
  <c r="H110" i="82"/>
  <c r="I110" i="82"/>
  <c r="J110" i="82" s="1"/>
  <c r="H117" i="69"/>
  <c r="I117" i="69"/>
  <c r="H115" i="21"/>
  <c r="I115" i="21"/>
  <c r="J115" i="21" s="1"/>
  <c r="B113" i="54"/>
  <c r="F113" i="54"/>
  <c r="I38" i="30"/>
  <c r="I28" i="87"/>
  <c r="D37" i="22"/>
  <c r="E37" i="22"/>
  <c r="D119" i="23"/>
  <c r="E119" i="23"/>
  <c r="G118" i="23"/>
  <c r="H30" i="78"/>
  <c r="I30" i="78" s="1"/>
  <c r="H110" i="68"/>
  <c r="I110" i="68"/>
  <c r="H108" i="81"/>
  <c r="I108" i="81"/>
  <c r="F108" i="89"/>
  <c r="B108" i="89"/>
  <c r="I112" i="56"/>
  <c r="H112" i="56"/>
  <c r="H116" i="24"/>
  <c r="I116" i="24"/>
  <c r="H114" i="74"/>
  <c r="I114" i="74"/>
  <c r="H117" i="27"/>
  <c r="I117" i="27"/>
  <c r="J117" i="27" s="1"/>
  <c r="D28" i="100"/>
  <c r="E28" i="100"/>
  <c r="I112" i="53"/>
  <c r="H112" i="53"/>
  <c r="B115" i="55"/>
  <c r="F115" i="55"/>
  <c r="H108" i="99"/>
  <c r="I108" i="99"/>
  <c r="J108" i="99" s="1"/>
  <c r="I37" i="32"/>
  <c r="J110" i="66"/>
  <c r="I30" i="75"/>
  <c r="I107" i="98"/>
  <c r="H107" i="98"/>
  <c r="H109" i="77"/>
  <c r="I109" i="77"/>
  <c r="D34" i="54"/>
  <c r="E34" i="54"/>
  <c r="D39" i="29"/>
  <c r="E39" i="29"/>
  <c r="F118" i="69"/>
  <c r="B118" i="69"/>
  <c r="H112" i="57"/>
  <c r="I112" i="57"/>
  <c r="H113" i="62"/>
  <c r="I113" i="62"/>
  <c r="J113" i="62" s="1"/>
  <c r="D39" i="30"/>
  <c r="E39" i="30"/>
  <c r="H114" i="39"/>
  <c r="I114" i="39"/>
  <c r="J114" i="39" s="1"/>
  <c r="H36" i="22"/>
  <c r="I36" i="22" s="1"/>
  <c r="J119" i="29"/>
  <c r="B111" i="68"/>
  <c r="F111" i="68"/>
  <c r="F109" i="81"/>
  <c r="B109" i="81"/>
  <c r="F119" i="20"/>
  <c r="B119" i="20"/>
  <c r="B113" i="56"/>
  <c r="F113" i="56"/>
  <c r="F108" i="86"/>
  <c r="B108" i="86"/>
  <c r="D28" i="96"/>
  <c r="E28" i="96"/>
  <c r="F115" i="74"/>
  <c r="B115" i="74"/>
  <c r="D112" i="78"/>
  <c r="G111" i="78"/>
  <c r="E112" i="78"/>
  <c r="H116" i="32"/>
  <c r="I116" i="32"/>
  <c r="F118" i="27"/>
  <c r="B118" i="27"/>
  <c r="H111" i="64"/>
  <c r="I111" i="64"/>
  <c r="J111" i="64" s="1"/>
  <c r="I108" i="100"/>
  <c r="H108" i="100"/>
  <c r="F113" i="53"/>
  <c r="B113" i="53"/>
  <c r="E29" i="89"/>
  <c r="D29" i="89"/>
  <c r="J110" i="78"/>
  <c r="B108" i="98"/>
  <c r="F108" i="98"/>
  <c r="F116" i="3"/>
  <c r="B116" i="3"/>
  <c r="H38" i="29"/>
  <c r="J111" i="63"/>
  <c r="F113" i="57"/>
  <c r="B113" i="57"/>
  <c r="I111" i="75"/>
  <c r="H111" i="75"/>
  <c r="B114" i="62"/>
  <c r="F114" i="62"/>
  <c r="E113" i="63"/>
  <c r="G112" i="63"/>
  <c r="D113" i="63"/>
  <c r="B115" i="39"/>
  <c r="F115" i="39"/>
  <c r="H118" i="20"/>
  <c r="I118" i="20"/>
  <c r="J118" i="20" s="1"/>
  <c r="I107" i="86"/>
  <c r="H107" i="86"/>
  <c r="F117" i="32"/>
  <c r="B117" i="32"/>
  <c r="B112" i="64"/>
  <c r="F112" i="64"/>
  <c r="F109" i="100"/>
  <c r="B109" i="100"/>
  <c r="G116" i="34"/>
  <c r="D117" i="34"/>
  <c r="E117" i="34"/>
  <c r="D37" i="21"/>
  <c r="E37" i="21"/>
  <c r="H28" i="89"/>
  <c r="I28" i="89" s="1"/>
  <c r="H115" i="3"/>
  <c r="I115" i="3"/>
  <c r="J115" i="3" s="1"/>
  <c r="G38" i="29"/>
  <c r="F112" i="75"/>
  <c r="B112" i="75"/>
  <c r="F113" i="72"/>
  <c r="B113" i="72"/>
  <c r="H115" i="22"/>
  <c r="I115" i="22"/>
  <c r="H107" i="91"/>
  <c r="I107" i="91"/>
  <c r="H110" i="85"/>
  <c r="I110" i="85"/>
  <c r="H111" i="59"/>
  <c r="I111" i="59"/>
  <c r="J111" i="59" s="1"/>
  <c r="F108" i="90"/>
  <c r="B108" i="90"/>
  <c r="F111" i="65"/>
  <c r="B111" i="65"/>
  <c r="E37" i="18"/>
  <c r="D37" i="18"/>
  <c r="B119" i="28"/>
  <c r="F119" i="28"/>
  <c r="H124" i="35"/>
  <c r="I124" i="35"/>
  <c r="J124" i="35" s="1"/>
  <c r="D114" i="67"/>
  <c r="G113" i="67"/>
  <c r="E114" i="67"/>
  <c r="F110" i="76"/>
  <c r="B110" i="76"/>
  <c r="I108" i="80"/>
  <c r="H108" i="80"/>
  <c r="B115" i="73"/>
  <c r="F115" i="73"/>
  <c r="F28" i="25"/>
  <c r="B28" i="25"/>
  <c r="H112" i="72"/>
  <c r="I112" i="72"/>
  <c r="J112" i="72" s="1"/>
  <c r="B116" i="22"/>
  <c r="F116" i="22"/>
  <c r="B108" i="91"/>
  <c r="F108" i="91"/>
  <c r="B111" i="85"/>
  <c r="F111" i="85"/>
  <c r="D30" i="88"/>
  <c r="E30" i="88"/>
  <c r="F112" i="59"/>
  <c r="B112" i="59"/>
  <c r="B112" i="61"/>
  <c r="F112" i="61"/>
  <c r="H107" i="90"/>
  <c r="I107" i="90"/>
  <c r="I115" i="18"/>
  <c r="J115" i="18" s="1"/>
  <c r="H115" i="18"/>
  <c r="I110" i="65"/>
  <c r="H110" i="65"/>
  <c r="H35" i="39"/>
  <c r="G116" i="19"/>
  <c r="D117" i="19"/>
  <c r="E117" i="19"/>
  <c r="G36" i="21"/>
  <c r="F115" i="41"/>
  <c r="B115" i="41"/>
  <c r="H118" i="28"/>
  <c r="I118" i="28"/>
  <c r="J118" i="28" s="1"/>
  <c r="H117" i="30"/>
  <c r="I117" i="30"/>
  <c r="D33" i="62"/>
  <c r="E33" i="62"/>
  <c r="F109" i="83"/>
  <c r="B109" i="83"/>
  <c r="I107" i="96"/>
  <c r="H107" i="96"/>
  <c r="H109" i="76"/>
  <c r="I109" i="76"/>
  <c r="J109" i="76" s="1"/>
  <c r="B114" i="45"/>
  <c r="F114" i="45"/>
  <c r="B109" i="80"/>
  <c r="F109" i="80"/>
  <c r="H107" i="92"/>
  <c r="I107" i="92"/>
  <c r="I114" i="73"/>
  <c r="J114" i="73" s="1"/>
  <c r="H114" i="73"/>
  <c r="D29" i="87"/>
  <c r="E29" i="87"/>
  <c r="F113" i="58"/>
  <c r="B113" i="58"/>
  <c r="H111" i="61"/>
  <c r="I111" i="61"/>
  <c r="J111" i="61" s="1"/>
  <c r="E121" i="29"/>
  <c r="G120" i="29"/>
  <c r="D121" i="29"/>
  <c r="J115" i="19"/>
  <c r="F116" i="18"/>
  <c r="B116" i="18"/>
  <c r="I107" i="88"/>
  <c r="H107" i="88"/>
  <c r="G28" i="90"/>
  <c r="I28" i="90" s="1"/>
  <c r="G35" i="39"/>
  <c r="F113" i="46"/>
  <c r="B113" i="46"/>
  <c r="I36" i="21"/>
  <c r="I114" i="41"/>
  <c r="H114" i="41"/>
  <c r="D38" i="32"/>
  <c r="E38" i="32"/>
  <c r="E31" i="75"/>
  <c r="D31" i="75"/>
  <c r="F108" i="84"/>
  <c r="B108" i="84"/>
  <c r="F118" i="30"/>
  <c r="B118" i="30"/>
  <c r="B126" i="35"/>
  <c r="G125" i="35"/>
  <c r="E126" i="35"/>
  <c r="F126" i="35" s="1"/>
  <c r="G33" i="54"/>
  <c r="I33" i="54" s="1"/>
  <c r="G32" i="62"/>
  <c r="I32" i="62" s="1"/>
  <c r="I108" i="83"/>
  <c r="H108" i="83"/>
  <c r="B108" i="96"/>
  <c r="F108" i="96"/>
  <c r="I113" i="45"/>
  <c r="H113" i="45"/>
  <c r="B108" i="92"/>
  <c r="F108" i="92"/>
  <c r="I19" i="36"/>
  <c r="F19" i="36"/>
  <c r="I27" i="36"/>
  <c r="H31" i="67" l="1"/>
  <c r="G109" i="95"/>
  <c r="E110" i="95"/>
  <c r="D110" i="95"/>
  <c r="J108" i="95"/>
  <c r="G39" i="28"/>
  <c r="G29" i="92"/>
  <c r="I29" i="92" s="1"/>
  <c r="I39" i="28"/>
  <c r="I29" i="83"/>
  <c r="I32" i="60"/>
  <c r="G31" i="66"/>
  <c r="J107" i="87"/>
  <c r="I38" i="71"/>
  <c r="I38" i="27"/>
  <c r="I31" i="66"/>
  <c r="E109" i="87"/>
  <c r="D109" i="87"/>
  <c r="G108" i="87"/>
  <c r="H37" i="19"/>
  <c r="E33" i="63"/>
  <c r="D33" i="63"/>
  <c r="I31" i="67"/>
  <c r="D38" i="31"/>
  <c r="E38" i="31"/>
  <c r="H114" i="44"/>
  <c r="I114" i="44"/>
  <c r="B38" i="23"/>
  <c r="H38" i="23"/>
  <c r="F38" i="23"/>
  <c r="G38" i="23" s="1"/>
  <c r="E36" i="73"/>
  <c r="D36" i="73"/>
  <c r="D31" i="79"/>
  <c r="E31" i="79"/>
  <c r="F115" i="43"/>
  <c r="B115" i="43"/>
  <c r="F28" i="97"/>
  <c r="B28" i="97"/>
  <c r="E28" i="95"/>
  <c r="D28" i="95"/>
  <c r="B115" i="42"/>
  <c r="F115" i="42"/>
  <c r="G108" i="26"/>
  <c r="D109" i="26"/>
  <c r="B109" i="26" s="1"/>
  <c r="H36" i="20"/>
  <c r="I36" i="20" s="1"/>
  <c r="J107" i="26"/>
  <c r="G32" i="63"/>
  <c r="D28" i="99"/>
  <c r="E28" i="99"/>
  <c r="E42" i="35"/>
  <c r="F42" i="35" s="1"/>
  <c r="H41" i="35"/>
  <c r="B42" i="35"/>
  <c r="G41" i="35"/>
  <c r="E109" i="33"/>
  <c r="F109" i="33" s="1"/>
  <c r="H37" i="31"/>
  <c r="D36" i="74"/>
  <c r="E36" i="74"/>
  <c r="H37" i="24"/>
  <c r="D38" i="24"/>
  <c r="E38" i="24"/>
  <c r="H35" i="73"/>
  <c r="B28" i="98"/>
  <c r="F28" i="98"/>
  <c r="E39" i="27"/>
  <c r="D39" i="27"/>
  <c r="E32" i="65"/>
  <c r="D32" i="65"/>
  <c r="H31" i="65"/>
  <c r="I31" i="65" s="1"/>
  <c r="D39" i="69"/>
  <c r="E39" i="69"/>
  <c r="G27" i="95"/>
  <c r="E33" i="60"/>
  <c r="D33" i="60"/>
  <c r="H114" i="42"/>
  <c r="I114" i="42"/>
  <c r="J114" i="42" s="1"/>
  <c r="E34" i="56"/>
  <c r="D34" i="56"/>
  <c r="E38" i="34"/>
  <c r="D38" i="34"/>
  <c r="I29" i="82"/>
  <c r="F30" i="81"/>
  <c r="B30" i="81"/>
  <c r="G36" i="3"/>
  <c r="I36" i="3" s="1"/>
  <c r="E37" i="3"/>
  <c r="D37" i="3"/>
  <c r="G35" i="41"/>
  <c r="I35" i="41" s="1"/>
  <c r="D36" i="41"/>
  <c r="E36" i="41"/>
  <c r="I32" i="63"/>
  <c r="N89" i="33"/>
  <c r="O88" i="33"/>
  <c r="O89" i="33" s="1"/>
  <c r="D32" i="68"/>
  <c r="E32" i="68"/>
  <c r="I37" i="31"/>
  <c r="G115" i="44"/>
  <c r="E116" i="44"/>
  <c r="D116" i="44"/>
  <c r="F30" i="85"/>
  <c r="G30" i="85"/>
  <c r="B30" i="85"/>
  <c r="H30" i="85"/>
  <c r="B109" i="97"/>
  <c r="F109" i="97"/>
  <c r="I34" i="45"/>
  <c r="F31" i="77"/>
  <c r="G31" i="77" s="1"/>
  <c r="B31" i="77"/>
  <c r="D37" i="20"/>
  <c r="E37" i="20"/>
  <c r="D34" i="46"/>
  <c r="E34" i="46"/>
  <c r="E110" i="13"/>
  <c r="F110" i="13" s="1"/>
  <c r="B110" i="13"/>
  <c r="H33" i="57"/>
  <c r="I33" i="57" s="1"/>
  <c r="E34" i="57"/>
  <c r="D34" i="57"/>
  <c r="D32" i="66"/>
  <c r="E32" i="66"/>
  <c r="D40" i="28"/>
  <c r="E40" i="28"/>
  <c r="I27" i="99"/>
  <c r="D30" i="92"/>
  <c r="E30" i="92"/>
  <c r="H31" i="68"/>
  <c r="I31" i="68" s="1"/>
  <c r="G35" i="44"/>
  <c r="I35" i="44" s="1"/>
  <c r="D36" i="44"/>
  <c r="E36" i="44"/>
  <c r="E32" i="67"/>
  <c r="D32" i="67"/>
  <c r="I108" i="33"/>
  <c r="H108" i="33"/>
  <c r="H33" i="53"/>
  <c r="I33" i="53" s="1"/>
  <c r="D34" i="53"/>
  <c r="E34" i="53"/>
  <c r="F36" i="42"/>
  <c r="H36" i="42" s="1"/>
  <c r="B36" i="42"/>
  <c r="H33" i="58"/>
  <c r="I33" i="58" s="1"/>
  <c r="E34" i="58"/>
  <c r="D34" i="58"/>
  <c r="I35" i="74"/>
  <c r="I37" i="24"/>
  <c r="G35" i="73"/>
  <c r="I35" i="73" s="1"/>
  <c r="H30" i="79"/>
  <c r="I30" i="79" s="1"/>
  <c r="D30" i="83"/>
  <c r="E30" i="83"/>
  <c r="H114" i="43"/>
  <c r="I114" i="43"/>
  <c r="J114" i="43" s="1"/>
  <c r="I108" i="97"/>
  <c r="H108" i="97"/>
  <c r="I38" i="69"/>
  <c r="D35" i="45"/>
  <c r="E35" i="45"/>
  <c r="G31" i="76"/>
  <c r="B31" i="76"/>
  <c r="F31" i="76"/>
  <c r="H31" i="76" s="1"/>
  <c r="H27" i="95"/>
  <c r="I27" i="95" s="1"/>
  <c r="G29" i="84"/>
  <c r="I29" i="84" s="1"/>
  <c r="D30" i="84"/>
  <c r="E30" i="84"/>
  <c r="I37" i="34"/>
  <c r="H33" i="46"/>
  <c r="I33" i="46" s="1"/>
  <c r="F34" i="72"/>
  <c r="B34" i="72"/>
  <c r="I109" i="13"/>
  <c r="H109" i="13"/>
  <c r="E30" i="82"/>
  <c r="D30" i="82"/>
  <c r="V19" i="36"/>
  <c r="G19" i="36"/>
  <c r="V27" i="36"/>
  <c r="G109" i="25"/>
  <c r="D110" i="25"/>
  <c r="B30" i="33"/>
  <c r="D29" i="26"/>
  <c r="D34" i="64"/>
  <c r="E34" i="64"/>
  <c r="J107" i="89"/>
  <c r="D34" i="59"/>
  <c r="E34" i="59"/>
  <c r="F39" i="70"/>
  <c r="H39" i="70"/>
  <c r="B39" i="70"/>
  <c r="B30" i="80"/>
  <c r="F30" i="80"/>
  <c r="H30" i="80"/>
  <c r="G33" i="64"/>
  <c r="G29" i="91"/>
  <c r="D30" i="91"/>
  <c r="E30" i="91"/>
  <c r="I37" i="19"/>
  <c r="I33" i="61"/>
  <c r="G28" i="26"/>
  <c r="H33" i="64"/>
  <c r="R132" i="2"/>
  <c r="P16" i="2"/>
  <c r="E39" i="71"/>
  <c r="D39" i="71"/>
  <c r="F30" i="86"/>
  <c r="H30" i="86" s="1"/>
  <c r="B30" i="86"/>
  <c r="E37" i="17"/>
  <c r="D37" i="17"/>
  <c r="J117" i="30"/>
  <c r="J107" i="91"/>
  <c r="D118" i="31"/>
  <c r="G117" i="31"/>
  <c r="E118" i="31"/>
  <c r="H33" i="59"/>
  <c r="I33" i="59" s="1"/>
  <c r="H36" i="17"/>
  <c r="I36" i="17" s="1"/>
  <c r="B36" i="43"/>
  <c r="F36" i="43"/>
  <c r="B34" i="55"/>
  <c r="F34" i="55"/>
  <c r="G34" i="55" s="1"/>
  <c r="H29" i="91"/>
  <c r="I29" i="91" s="1"/>
  <c r="E38" i="19"/>
  <c r="D38" i="19"/>
  <c r="E34" i="61"/>
  <c r="D34" i="61"/>
  <c r="E30" i="33"/>
  <c r="F30" i="33" s="1"/>
  <c r="G30" i="33" s="1"/>
  <c r="J108" i="25"/>
  <c r="N88" i="25"/>
  <c r="H28" i="26"/>
  <c r="E31" i="13"/>
  <c r="F31" i="13" s="1"/>
  <c r="B31" i="13"/>
  <c r="J116" i="31"/>
  <c r="I29" i="86"/>
  <c r="J107" i="86"/>
  <c r="J112" i="56"/>
  <c r="E120" i="17"/>
  <c r="D120" i="17"/>
  <c r="G119" i="17"/>
  <c r="J118" i="17"/>
  <c r="J110" i="85"/>
  <c r="J112" i="57"/>
  <c r="J107" i="98"/>
  <c r="J112" i="54"/>
  <c r="J109" i="79"/>
  <c r="E122" i="70"/>
  <c r="G121" i="70"/>
  <c r="D122" i="70"/>
  <c r="G113" i="60"/>
  <c r="D114" i="60"/>
  <c r="E114" i="60"/>
  <c r="J108" i="80"/>
  <c r="J116" i="24"/>
  <c r="J108" i="81"/>
  <c r="J120" i="70"/>
  <c r="E109" i="92"/>
  <c r="D109" i="92"/>
  <c r="G108" i="92"/>
  <c r="H125" i="35"/>
  <c r="I125" i="35"/>
  <c r="J125" i="35" s="1"/>
  <c r="F38" i="32"/>
  <c r="G38" i="32" s="1"/>
  <c r="B38" i="32"/>
  <c r="H120" i="29"/>
  <c r="I120" i="29"/>
  <c r="G109" i="83"/>
  <c r="D110" i="83"/>
  <c r="E110" i="83"/>
  <c r="D29" i="25"/>
  <c r="E29" i="25" s="1"/>
  <c r="D113" i="64"/>
  <c r="G112" i="64"/>
  <c r="E113" i="64"/>
  <c r="I38" i="29"/>
  <c r="D116" i="55"/>
  <c r="G115" i="55"/>
  <c r="E116" i="55"/>
  <c r="B37" i="22"/>
  <c r="F37" i="22"/>
  <c r="G37" i="22" s="1"/>
  <c r="B36" i="39"/>
  <c r="F36" i="39"/>
  <c r="G36" i="39" s="1"/>
  <c r="B29" i="90"/>
  <c r="F29" i="90"/>
  <c r="G29" i="90" s="1"/>
  <c r="J108" i="83"/>
  <c r="B29" i="87"/>
  <c r="F29" i="87"/>
  <c r="G29" i="87" s="1"/>
  <c r="J107" i="92"/>
  <c r="G114" i="45"/>
  <c r="D115" i="45"/>
  <c r="E115" i="45"/>
  <c r="F117" i="19"/>
  <c r="B117" i="19"/>
  <c r="J107" i="90"/>
  <c r="G112" i="59"/>
  <c r="D113" i="59"/>
  <c r="E113" i="59"/>
  <c r="D116" i="73"/>
  <c r="G115" i="73"/>
  <c r="E116" i="73"/>
  <c r="H113" i="67"/>
  <c r="I113" i="67"/>
  <c r="G108" i="90"/>
  <c r="D109" i="90"/>
  <c r="E109" i="90"/>
  <c r="G114" i="62"/>
  <c r="D115" i="62"/>
  <c r="E115" i="62"/>
  <c r="J108" i="100"/>
  <c r="D110" i="81"/>
  <c r="G109" i="81"/>
  <c r="E110" i="81"/>
  <c r="G118" i="69"/>
  <c r="D119" i="69"/>
  <c r="E119" i="69"/>
  <c r="J114" i="74"/>
  <c r="G109" i="99"/>
  <c r="D110" i="99"/>
  <c r="E110" i="99"/>
  <c r="G110" i="79"/>
  <c r="D111" i="79"/>
  <c r="E111" i="79"/>
  <c r="D109" i="84"/>
  <c r="G108" i="84"/>
  <c r="E109" i="84"/>
  <c r="F33" i="62"/>
  <c r="H33" i="62" s="1"/>
  <c r="B33" i="62"/>
  <c r="H116" i="19"/>
  <c r="I116" i="19"/>
  <c r="J116" i="19" s="1"/>
  <c r="G116" i="22"/>
  <c r="D117" i="22"/>
  <c r="E117" i="22"/>
  <c r="F114" i="67"/>
  <c r="B114" i="67"/>
  <c r="F37" i="21"/>
  <c r="G37" i="21" s="1"/>
  <c r="B37" i="21"/>
  <c r="F29" i="89"/>
  <c r="H29" i="89" s="1"/>
  <c r="B29" i="89"/>
  <c r="H111" i="78"/>
  <c r="I111" i="78"/>
  <c r="G111" i="68"/>
  <c r="D112" i="68"/>
  <c r="E112" i="68"/>
  <c r="J114" i="55"/>
  <c r="B31" i="78"/>
  <c r="F31" i="78"/>
  <c r="G31" i="78" s="1"/>
  <c r="J114" i="41"/>
  <c r="J107" i="88"/>
  <c r="D114" i="58"/>
  <c r="G113" i="58"/>
  <c r="E114" i="58"/>
  <c r="G109" i="80"/>
  <c r="D110" i="80"/>
  <c r="E110" i="80"/>
  <c r="I35" i="39"/>
  <c r="F30" i="88"/>
  <c r="G30" i="88" s="1"/>
  <c r="B30" i="88"/>
  <c r="D118" i="32"/>
  <c r="G117" i="32"/>
  <c r="E118" i="32"/>
  <c r="F112" i="78"/>
  <c r="B112" i="78"/>
  <c r="D109" i="86"/>
  <c r="G108" i="86"/>
  <c r="E109" i="86"/>
  <c r="J112" i="53"/>
  <c r="D118" i="24"/>
  <c r="G117" i="24"/>
  <c r="E118" i="24"/>
  <c r="B31" i="75"/>
  <c r="F31" i="75"/>
  <c r="J113" i="45"/>
  <c r="G118" i="30"/>
  <c r="D119" i="30"/>
  <c r="E119" i="30"/>
  <c r="G115" i="41"/>
  <c r="D116" i="41"/>
  <c r="E116" i="41"/>
  <c r="E112" i="85"/>
  <c r="G111" i="85"/>
  <c r="D112" i="85"/>
  <c r="J115" i="22"/>
  <c r="G112" i="75"/>
  <c r="E113" i="75"/>
  <c r="D113" i="75"/>
  <c r="B117" i="34"/>
  <c r="F117" i="34"/>
  <c r="B113" i="63"/>
  <c r="F113" i="63"/>
  <c r="J111" i="75"/>
  <c r="D114" i="56"/>
  <c r="G113" i="56"/>
  <c r="E114" i="56"/>
  <c r="F39" i="30"/>
  <c r="H39" i="30" s="1"/>
  <c r="B39" i="30"/>
  <c r="G108" i="89"/>
  <c r="D109" i="89"/>
  <c r="E109" i="89"/>
  <c r="I118" i="23"/>
  <c r="H118" i="23"/>
  <c r="D117" i="21"/>
  <c r="G116" i="21"/>
  <c r="E117" i="21"/>
  <c r="D109" i="88"/>
  <c r="G108" i="88"/>
  <c r="E109" i="88"/>
  <c r="G116" i="18"/>
  <c r="D117" i="18"/>
  <c r="E117" i="18"/>
  <c r="G28" i="25"/>
  <c r="N5" i="25" s="1"/>
  <c r="G119" i="28"/>
  <c r="D120" i="28"/>
  <c r="E120" i="28"/>
  <c r="F37" i="18"/>
  <c r="G37" i="18" s="1"/>
  <c r="B37" i="18"/>
  <c r="I116" i="34"/>
  <c r="H116" i="34"/>
  <c r="I112" i="63"/>
  <c r="H112" i="63"/>
  <c r="G116" i="3"/>
  <c r="D117" i="3"/>
  <c r="E117" i="3"/>
  <c r="D116" i="74"/>
  <c r="G115" i="74"/>
  <c r="E116" i="74"/>
  <c r="F39" i="29"/>
  <c r="H39" i="29" s="1"/>
  <c r="B39" i="29"/>
  <c r="F28" i="100"/>
  <c r="B28" i="100"/>
  <c r="G28" i="100"/>
  <c r="B112" i="66"/>
  <c r="F112" i="66"/>
  <c r="D109" i="96"/>
  <c r="G108" i="96"/>
  <c r="E109" i="96"/>
  <c r="J107" i="96"/>
  <c r="J110" i="65"/>
  <c r="G112" i="61"/>
  <c r="D113" i="61"/>
  <c r="E113" i="61"/>
  <c r="D109" i="91"/>
  <c r="G108" i="91"/>
  <c r="E109" i="91"/>
  <c r="H28" i="25"/>
  <c r="D112" i="65"/>
  <c r="G111" i="65"/>
  <c r="E112" i="65"/>
  <c r="D116" i="39"/>
  <c r="G115" i="39"/>
  <c r="E116" i="39"/>
  <c r="D114" i="57"/>
  <c r="G113" i="57"/>
  <c r="E114" i="57"/>
  <c r="D109" i="98"/>
  <c r="G108" i="98"/>
  <c r="E109" i="98"/>
  <c r="G118" i="27"/>
  <c r="D119" i="27"/>
  <c r="E119" i="27"/>
  <c r="B119" i="23"/>
  <c r="F119" i="23"/>
  <c r="D114" i="54"/>
  <c r="G113" i="54"/>
  <c r="E114" i="54"/>
  <c r="D111" i="77"/>
  <c r="G110" i="77"/>
  <c r="E111" i="77"/>
  <c r="I111" i="66"/>
  <c r="H111" i="66"/>
  <c r="D112" i="82"/>
  <c r="G111" i="82"/>
  <c r="E112" i="82"/>
  <c r="E127" i="35"/>
  <c r="F127" i="35" s="1"/>
  <c r="B127" i="35"/>
  <c r="G126" i="35"/>
  <c r="G113" i="46"/>
  <c r="D114" i="46"/>
  <c r="E114" i="46"/>
  <c r="B121" i="29"/>
  <c r="F121" i="29"/>
  <c r="G110" i="76"/>
  <c r="D111" i="76"/>
  <c r="E111" i="76"/>
  <c r="D114" i="72"/>
  <c r="G113" i="72"/>
  <c r="E114" i="72"/>
  <c r="E110" i="100"/>
  <c r="D110" i="100"/>
  <c r="G109" i="100"/>
  <c r="G113" i="53"/>
  <c r="D114" i="53"/>
  <c r="E114" i="53"/>
  <c r="J116" i="32"/>
  <c r="B28" i="96"/>
  <c r="F28" i="96"/>
  <c r="G119" i="20"/>
  <c r="D120" i="20"/>
  <c r="E120" i="20"/>
  <c r="F34" i="54"/>
  <c r="G34" i="54" s="1"/>
  <c r="B34" i="54"/>
  <c r="J109" i="77"/>
  <c r="J110" i="68"/>
  <c r="J117" i="69"/>
  <c r="J116" i="71"/>
  <c r="G117" i="71"/>
  <c r="D118" i="71"/>
  <c r="E118" i="71"/>
  <c r="J112" i="58"/>
  <c r="E27" i="36"/>
  <c r="G29" i="89" l="1"/>
  <c r="H34" i="55"/>
  <c r="I34" i="55" s="1"/>
  <c r="I31" i="76"/>
  <c r="G36" i="42"/>
  <c r="H31" i="77"/>
  <c r="I31" i="77" s="1"/>
  <c r="I41" i="35"/>
  <c r="B110" i="95"/>
  <c r="F110" i="95"/>
  <c r="I108" i="87"/>
  <c r="H108" i="87"/>
  <c r="I38" i="23"/>
  <c r="B109" i="87"/>
  <c r="F109" i="87"/>
  <c r="I109" i="95"/>
  <c r="H109" i="95"/>
  <c r="J109" i="13"/>
  <c r="J108" i="97"/>
  <c r="J108" i="33"/>
  <c r="F37" i="3"/>
  <c r="D38" i="3" s="1"/>
  <c r="E35" i="72"/>
  <c r="D35" i="72"/>
  <c r="F30" i="84"/>
  <c r="B30" i="84"/>
  <c r="B35" i="45"/>
  <c r="F35" i="45"/>
  <c r="F34" i="58"/>
  <c r="B34" i="58"/>
  <c r="B34" i="53"/>
  <c r="F34" i="53"/>
  <c r="G34" i="53" s="1"/>
  <c r="F32" i="67"/>
  <c r="H32" i="67" s="1"/>
  <c r="B32" i="67"/>
  <c r="B32" i="66"/>
  <c r="F32" i="66"/>
  <c r="H32" i="66" s="1"/>
  <c r="B34" i="46"/>
  <c r="F34" i="46"/>
  <c r="F32" i="68"/>
  <c r="H32" i="68" s="1"/>
  <c r="B32" i="68"/>
  <c r="G32" i="68"/>
  <c r="E38" i="3"/>
  <c r="H30" i="81"/>
  <c r="D31" i="81"/>
  <c r="E31" i="81"/>
  <c r="B34" i="56"/>
  <c r="F34" i="56"/>
  <c r="B33" i="60"/>
  <c r="F33" i="60"/>
  <c r="G33" i="60" s="1"/>
  <c r="F39" i="69"/>
  <c r="G39" i="69" s="1"/>
  <c r="H39" i="69"/>
  <c r="B39" i="69"/>
  <c r="B39" i="27"/>
  <c r="F39" i="27"/>
  <c r="D29" i="98"/>
  <c r="E29" i="98"/>
  <c r="F38" i="24"/>
  <c r="B38" i="24"/>
  <c r="F28" i="95"/>
  <c r="B28" i="95"/>
  <c r="H28" i="97"/>
  <c r="E29" i="97"/>
  <c r="D29" i="97"/>
  <c r="F31" i="79"/>
  <c r="B31" i="79"/>
  <c r="G31" i="79"/>
  <c r="H31" i="79"/>
  <c r="F33" i="63"/>
  <c r="B33" i="63"/>
  <c r="H33" i="63"/>
  <c r="H29" i="87"/>
  <c r="I29" i="87" s="1"/>
  <c r="F30" i="82"/>
  <c r="B30" i="82"/>
  <c r="G30" i="82"/>
  <c r="H30" i="82"/>
  <c r="G34" i="72"/>
  <c r="F34" i="57"/>
  <c r="G34" i="57" s="1"/>
  <c r="B34" i="57"/>
  <c r="D111" i="13"/>
  <c r="G110" i="13"/>
  <c r="D110" i="97"/>
  <c r="E110" i="97"/>
  <c r="G109" i="97"/>
  <c r="H115" i="44"/>
  <c r="I115" i="44"/>
  <c r="B36" i="41"/>
  <c r="F36" i="41"/>
  <c r="H36" i="41" s="1"/>
  <c r="G109" i="33"/>
  <c r="D110" i="33"/>
  <c r="G42" i="35"/>
  <c r="E43" i="35"/>
  <c r="F43" i="35" s="1"/>
  <c r="B43" i="35"/>
  <c r="H42" i="35"/>
  <c r="I42" i="35" s="1"/>
  <c r="H108" i="26"/>
  <c r="I108" i="26"/>
  <c r="B36" i="73"/>
  <c r="F36" i="73"/>
  <c r="G36" i="73" s="1"/>
  <c r="G39" i="30"/>
  <c r="H31" i="78"/>
  <c r="I31" i="78" s="1"/>
  <c r="H37" i="21"/>
  <c r="I28" i="26"/>
  <c r="H34" i="72"/>
  <c r="I34" i="72" s="1"/>
  <c r="D37" i="42"/>
  <c r="E37" i="42"/>
  <c r="F40" i="28"/>
  <c r="B40" i="28"/>
  <c r="B37" i="20"/>
  <c r="H37" i="20"/>
  <c r="F37" i="20"/>
  <c r="G37" i="20"/>
  <c r="E32" i="77"/>
  <c r="D32" i="77"/>
  <c r="D31" i="85"/>
  <c r="E31" i="85"/>
  <c r="B38" i="34"/>
  <c r="F38" i="34"/>
  <c r="F32" i="65"/>
  <c r="B32" i="65"/>
  <c r="G28" i="98"/>
  <c r="G115" i="42"/>
  <c r="D116" i="42"/>
  <c r="E116" i="42"/>
  <c r="G115" i="43"/>
  <c r="D116" i="43"/>
  <c r="E116" i="43"/>
  <c r="F38" i="31"/>
  <c r="G38" i="31" s="1"/>
  <c r="B38" i="31"/>
  <c r="I39" i="30"/>
  <c r="H30" i="88"/>
  <c r="I33" i="64"/>
  <c r="D32" i="76"/>
  <c r="E32" i="76"/>
  <c r="F30" i="83"/>
  <c r="G30" i="83" s="1"/>
  <c r="H30" i="83"/>
  <c r="B30" i="83"/>
  <c r="I36" i="42"/>
  <c r="B36" i="44"/>
  <c r="F36" i="44"/>
  <c r="H36" i="44" s="1"/>
  <c r="B30" i="92"/>
  <c r="F30" i="92"/>
  <c r="G30" i="92" s="1"/>
  <c r="I30" i="85"/>
  <c r="B116" i="44"/>
  <c r="F116" i="44"/>
  <c r="B37" i="3"/>
  <c r="G37" i="3"/>
  <c r="H37" i="3"/>
  <c r="I37" i="3" s="1"/>
  <c r="G30" i="81"/>
  <c r="H28" i="98"/>
  <c r="B36" i="74"/>
  <c r="F36" i="74"/>
  <c r="G36" i="74" s="1"/>
  <c r="B28" i="99"/>
  <c r="F28" i="99"/>
  <c r="H28" i="99"/>
  <c r="E109" i="26"/>
  <c r="F109" i="26" s="1"/>
  <c r="G28" i="97"/>
  <c r="E39" i="23"/>
  <c r="D39" i="23"/>
  <c r="J114" i="44"/>
  <c r="H31" i="13"/>
  <c r="D32" i="13"/>
  <c r="B32" i="13" s="1"/>
  <c r="G31" i="13"/>
  <c r="N89" i="25"/>
  <c r="O88" i="25"/>
  <c r="O89" i="25" s="1"/>
  <c r="G39" i="29"/>
  <c r="B34" i="61"/>
  <c r="F34" i="61"/>
  <c r="H34" i="61"/>
  <c r="G34" i="61"/>
  <c r="B118" i="31"/>
  <c r="F118" i="31"/>
  <c r="G30" i="80"/>
  <c r="I30" i="80" s="1"/>
  <c r="E31" i="80"/>
  <c r="D31" i="80"/>
  <c r="H36" i="43"/>
  <c r="E37" i="43"/>
  <c r="D37" i="43"/>
  <c r="I117" i="31"/>
  <c r="H117" i="31"/>
  <c r="D31" i="33"/>
  <c r="E31" i="33" s="1"/>
  <c r="F31" i="33" s="1"/>
  <c r="D32" i="33" s="1"/>
  <c r="H34" i="54"/>
  <c r="I34" i="54" s="1"/>
  <c r="H37" i="22"/>
  <c r="I37" i="22" s="1"/>
  <c r="H38" i="32"/>
  <c r="I38" i="32" s="1"/>
  <c r="B39" i="71"/>
  <c r="F39" i="71"/>
  <c r="H39" i="71" s="1"/>
  <c r="B30" i="91"/>
  <c r="F30" i="91"/>
  <c r="F34" i="59"/>
  <c r="B34" i="59"/>
  <c r="F34" i="64"/>
  <c r="B34" i="64"/>
  <c r="B38" i="19"/>
  <c r="F38" i="19"/>
  <c r="F37" i="17"/>
  <c r="H37" i="17" s="1"/>
  <c r="C46" i="17"/>
  <c r="B37" i="17"/>
  <c r="G30" i="86"/>
  <c r="I30" i="86" s="1"/>
  <c r="D31" i="86"/>
  <c r="E31" i="86"/>
  <c r="B29" i="26"/>
  <c r="H109" i="25"/>
  <c r="I109" i="25"/>
  <c r="J109" i="25" s="1"/>
  <c r="H37" i="18"/>
  <c r="H36" i="39"/>
  <c r="E35" i="55"/>
  <c r="D35" i="55"/>
  <c r="G36" i="43"/>
  <c r="G39" i="70"/>
  <c r="I39" i="70" s="1"/>
  <c r="D40" i="70"/>
  <c r="E40" i="70"/>
  <c r="E29" i="26"/>
  <c r="F29" i="26" s="1"/>
  <c r="H30" i="33"/>
  <c r="I30" i="33" s="1"/>
  <c r="E110" i="25"/>
  <c r="F110" i="25" s="1"/>
  <c r="B110" i="25"/>
  <c r="H121" i="70"/>
  <c r="I121" i="70"/>
  <c r="J121" i="70" s="1"/>
  <c r="J112" i="63"/>
  <c r="J116" i="34"/>
  <c r="F120" i="17"/>
  <c r="B120" i="17"/>
  <c r="J111" i="66"/>
  <c r="I119" i="17"/>
  <c r="H119" i="17"/>
  <c r="F114" i="60"/>
  <c r="B114" i="60"/>
  <c r="B122" i="70"/>
  <c r="F122" i="70"/>
  <c r="H113" i="60"/>
  <c r="I113" i="60"/>
  <c r="J113" i="60" s="1"/>
  <c r="H117" i="71"/>
  <c r="I117" i="71"/>
  <c r="F112" i="82"/>
  <c r="B112" i="82"/>
  <c r="F109" i="91"/>
  <c r="B109" i="91"/>
  <c r="H108" i="96"/>
  <c r="I108" i="96"/>
  <c r="I115" i="74"/>
  <c r="J115" i="74" s="1"/>
  <c r="H115" i="74"/>
  <c r="H116" i="3"/>
  <c r="I116" i="3"/>
  <c r="I37" i="18"/>
  <c r="H116" i="18"/>
  <c r="I116" i="18"/>
  <c r="J116" i="18" s="1"/>
  <c r="H113" i="56"/>
  <c r="I113" i="56"/>
  <c r="H111" i="85"/>
  <c r="I111" i="85"/>
  <c r="H115" i="41"/>
  <c r="I115" i="41"/>
  <c r="H111" i="68"/>
  <c r="I111" i="68"/>
  <c r="F109" i="90"/>
  <c r="B109" i="90"/>
  <c r="D118" i="19"/>
  <c r="G117" i="19"/>
  <c r="E118" i="19"/>
  <c r="F109" i="92"/>
  <c r="B109" i="92"/>
  <c r="B120" i="20"/>
  <c r="F120" i="20"/>
  <c r="H126" i="35"/>
  <c r="I126" i="35"/>
  <c r="J126" i="35" s="1"/>
  <c r="I113" i="54"/>
  <c r="H113" i="54"/>
  <c r="H113" i="57"/>
  <c r="I113" i="57"/>
  <c r="J113" i="57" s="1"/>
  <c r="F109" i="96"/>
  <c r="B109" i="96"/>
  <c r="F116" i="74"/>
  <c r="B116" i="74"/>
  <c r="F114" i="56"/>
  <c r="B114" i="56"/>
  <c r="B113" i="75"/>
  <c r="F113" i="75"/>
  <c r="D32" i="75"/>
  <c r="E32" i="75"/>
  <c r="I117" i="24"/>
  <c r="H117" i="24"/>
  <c r="F110" i="80"/>
  <c r="B110" i="80"/>
  <c r="J111" i="78"/>
  <c r="D34" i="62"/>
  <c r="E34" i="62"/>
  <c r="H109" i="81"/>
  <c r="I109" i="81"/>
  <c r="J109" i="81" s="1"/>
  <c r="B115" i="62"/>
  <c r="F115" i="62"/>
  <c r="H108" i="90"/>
  <c r="I108" i="90"/>
  <c r="H115" i="73"/>
  <c r="I115" i="73"/>
  <c r="I36" i="39"/>
  <c r="H112" i="64"/>
  <c r="I112" i="64"/>
  <c r="J112" i="64" s="1"/>
  <c r="B29" i="25"/>
  <c r="F29" i="25"/>
  <c r="H29" i="25" s="1"/>
  <c r="B120" i="28"/>
  <c r="F120" i="28"/>
  <c r="F118" i="24"/>
  <c r="B118" i="24"/>
  <c r="H108" i="86"/>
  <c r="I108" i="86"/>
  <c r="I109" i="80"/>
  <c r="J109" i="80" s="1"/>
  <c r="H109" i="80"/>
  <c r="B111" i="79"/>
  <c r="F111" i="79"/>
  <c r="B119" i="69"/>
  <c r="F119" i="69"/>
  <c r="B110" i="81"/>
  <c r="F110" i="81"/>
  <c r="I114" i="62"/>
  <c r="J114" i="62" s="1"/>
  <c r="H114" i="62"/>
  <c r="F116" i="73"/>
  <c r="B116" i="73"/>
  <c r="F115" i="45"/>
  <c r="B115" i="45"/>
  <c r="F113" i="64"/>
  <c r="B113" i="64"/>
  <c r="F114" i="53"/>
  <c r="B114" i="53"/>
  <c r="I119" i="20"/>
  <c r="H119" i="20"/>
  <c r="H113" i="53"/>
  <c r="I113" i="53"/>
  <c r="D122" i="29"/>
  <c r="G121" i="29"/>
  <c r="E122" i="29"/>
  <c r="G127" i="35"/>
  <c r="B128" i="35"/>
  <c r="E128" i="35"/>
  <c r="F128" i="35" s="1"/>
  <c r="G119" i="23"/>
  <c r="E120" i="23"/>
  <c r="D120" i="23"/>
  <c r="B119" i="27"/>
  <c r="F119" i="27"/>
  <c r="H111" i="65"/>
  <c r="I111" i="65"/>
  <c r="I112" i="61"/>
  <c r="H112" i="61"/>
  <c r="H119" i="28"/>
  <c r="I119" i="28"/>
  <c r="H116" i="21"/>
  <c r="I116" i="21"/>
  <c r="J116" i="21" s="1"/>
  <c r="J118" i="23"/>
  <c r="E114" i="63"/>
  <c r="D114" i="63"/>
  <c r="G113" i="63"/>
  <c r="I112" i="75"/>
  <c r="H112" i="75"/>
  <c r="B119" i="30"/>
  <c r="F119" i="30"/>
  <c r="H31" i="75"/>
  <c r="B109" i="86"/>
  <c r="F109" i="86"/>
  <c r="I37" i="21"/>
  <c r="F117" i="22"/>
  <c r="B117" i="22"/>
  <c r="H110" i="79"/>
  <c r="I110" i="79"/>
  <c r="J110" i="79" s="1"/>
  <c r="H118" i="69"/>
  <c r="I118" i="69"/>
  <c r="I114" i="45"/>
  <c r="H114" i="45"/>
  <c r="E30" i="90"/>
  <c r="D30" i="90"/>
  <c r="I115" i="55"/>
  <c r="J115" i="55" s="1"/>
  <c r="H115" i="55"/>
  <c r="F110" i="83"/>
  <c r="B110" i="83"/>
  <c r="B114" i="57"/>
  <c r="F114" i="57"/>
  <c r="D29" i="96"/>
  <c r="E29" i="96"/>
  <c r="H118" i="27"/>
  <c r="I118" i="27"/>
  <c r="J118" i="27" s="1"/>
  <c r="H115" i="39"/>
  <c r="I115" i="39"/>
  <c r="J115" i="39" s="1"/>
  <c r="B112" i="65"/>
  <c r="F112" i="65"/>
  <c r="B117" i="21"/>
  <c r="F117" i="21"/>
  <c r="I118" i="30"/>
  <c r="H118" i="30"/>
  <c r="G31" i="75"/>
  <c r="I117" i="32"/>
  <c r="H117" i="32"/>
  <c r="I113" i="58"/>
  <c r="J113" i="58" s="1"/>
  <c r="H113" i="58"/>
  <c r="D38" i="21"/>
  <c r="E38" i="21"/>
  <c r="H116" i="22"/>
  <c r="I116" i="22"/>
  <c r="H108" i="84"/>
  <c r="I108" i="84"/>
  <c r="F113" i="59"/>
  <c r="B113" i="59"/>
  <c r="H29" i="90"/>
  <c r="I29" i="90" s="1"/>
  <c r="B116" i="55"/>
  <c r="F116" i="55"/>
  <c r="H109" i="83"/>
  <c r="I109" i="83"/>
  <c r="J109" i="83" s="1"/>
  <c r="D39" i="32"/>
  <c r="E39" i="32"/>
  <c r="F113" i="61"/>
  <c r="B113" i="61"/>
  <c r="H28" i="96"/>
  <c r="I109" i="100"/>
  <c r="H109" i="100"/>
  <c r="H113" i="72"/>
  <c r="I113" i="72"/>
  <c r="J113" i="72" s="1"/>
  <c r="F111" i="76"/>
  <c r="B111" i="76"/>
  <c r="B116" i="39"/>
  <c r="F116" i="39"/>
  <c r="N6" i="25"/>
  <c r="I28" i="25"/>
  <c r="E29" i="100"/>
  <c r="D29" i="100"/>
  <c r="I39" i="29"/>
  <c r="F109" i="89"/>
  <c r="B109" i="89"/>
  <c r="D113" i="78"/>
  <c r="G112" i="78"/>
  <c r="E113" i="78"/>
  <c r="F118" i="32"/>
  <c r="B118" i="32"/>
  <c r="I30" i="88"/>
  <c r="F114" i="58"/>
  <c r="B114" i="58"/>
  <c r="I29" i="89"/>
  <c r="F109" i="84"/>
  <c r="B109" i="84"/>
  <c r="B110" i="99"/>
  <c r="F110" i="99"/>
  <c r="H112" i="59"/>
  <c r="I112" i="59"/>
  <c r="J112" i="59" s="1"/>
  <c r="F114" i="54"/>
  <c r="B114" i="54"/>
  <c r="D35" i="54"/>
  <c r="E35" i="54"/>
  <c r="B110" i="100"/>
  <c r="F110" i="100"/>
  <c r="B114" i="72"/>
  <c r="F114" i="72"/>
  <c r="I110" i="76"/>
  <c r="H110" i="76"/>
  <c r="F114" i="46"/>
  <c r="B114" i="46"/>
  <c r="H110" i="77"/>
  <c r="I110" i="77"/>
  <c r="I108" i="98"/>
  <c r="H108" i="98"/>
  <c r="D113" i="66"/>
  <c r="G112" i="66"/>
  <c r="E113" i="66"/>
  <c r="H28" i="100"/>
  <c r="I28" i="100" s="1"/>
  <c r="D40" i="29"/>
  <c r="E40" i="29"/>
  <c r="I108" i="88"/>
  <c r="H108" i="88"/>
  <c r="I108" i="89"/>
  <c r="H108" i="89"/>
  <c r="D40" i="30"/>
  <c r="E40" i="30"/>
  <c r="E31" i="88"/>
  <c r="D31" i="88"/>
  <c r="D32" i="78"/>
  <c r="E32" i="78"/>
  <c r="E30" i="89"/>
  <c r="D30" i="89"/>
  <c r="H109" i="99"/>
  <c r="I109" i="99"/>
  <c r="J113" i="67"/>
  <c r="E30" i="87"/>
  <c r="D30" i="87"/>
  <c r="D38" i="22"/>
  <c r="E38" i="22"/>
  <c r="F118" i="71"/>
  <c r="B118" i="71"/>
  <c r="G28" i="96"/>
  <c r="H113" i="46"/>
  <c r="I113" i="46"/>
  <c r="H111" i="82"/>
  <c r="I111" i="82"/>
  <c r="J111" i="82" s="1"/>
  <c r="B111" i="77"/>
  <c r="F111" i="77"/>
  <c r="B109" i="98"/>
  <c r="F109" i="98"/>
  <c r="H108" i="91"/>
  <c r="I108" i="91"/>
  <c r="B117" i="3"/>
  <c r="F117" i="3"/>
  <c r="E38" i="18"/>
  <c r="D38" i="18"/>
  <c r="F117" i="18"/>
  <c r="B117" i="18"/>
  <c r="F109" i="88"/>
  <c r="B109" i="88"/>
  <c r="G117" i="34"/>
  <c r="D118" i="34"/>
  <c r="E118" i="34"/>
  <c r="B112" i="85"/>
  <c r="F112" i="85"/>
  <c r="F116" i="41"/>
  <c r="B116" i="41"/>
  <c r="B112" i="68"/>
  <c r="F112" i="68"/>
  <c r="E115" i="67"/>
  <c r="D115" i="67"/>
  <c r="G114" i="67"/>
  <c r="G33" i="62"/>
  <c r="I33" i="62" s="1"/>
  <c r="D37" i="39"/>
  <c r="E37" i="39"/>
  <c r="J120" i="29"/>
  <c r="H108" i="92"/>
  <c r="I108" i="92"/>
  <c r="J108" i="96" l="1"/>
  <c r="G32" i="67"/>
  <c r="I32" i="67" s="1"/>
  <c r="G110" i="95"/>
  <c r="D111" i="95"/>
  <c r="E111" i="95"/>
  <c r="H36" i="74"/>
  <c r="I36" i="74" s="1"/>
  <c r="G32" i="66"/>
  <c r="I32" i="66" s="1"/>
  <c r="J109" i="95"/>
  <c r="I37" i="20"/>
  <c r="G109" i="87"/>
  <c r="E110" i="87"/>
  <c r="D110" i="87"/>
  <c r="J108" i="87"/>
  <c r="I34" i="61"/>
  <c r="I31" i="13"/>
  <c r="H30" i="92"/>
  <c r="I30" i="92" s="1"/>
  <c r="G36" i="44"/>
  <c r="I36" i="44" s="1"/>
  <c r="I115" i="43"/>
  <c r="J115" i="43" s="1"/>
  <c r="H115" i="43"/>
  <c r="I28" i="98"/>
  <c r="H38" i="34"/>
  <c r="D39" i="34"/>
  <c r="E39" i="34"/>
  <c r="B32" i="77"/>
  <c r="F32" i="77"/>
  <c r="G32" i="77"/>
  <c r="G40" i="28"/>
  <c r="E41" i="28"/>
  <c r="D41" i="28"/>
  <c r="H36" i="73"/>
  <c r="I36" i="73" s="1"/>
  <c r="E37" i="73"/>
  <c r="D37" i="73"/>
  <c r="I110" i="13"/>
  <c r="H110" i="13"/>
  <c r="E39" i="24"/>
  <c r="D39" i="24"/>
  <c r="E40" i="27"/>
  <c r="D40" i="27"/>
  <c r="G34" i="56"/>
  <c r="D35" i="56"/>
  <c r="E35" i="56"/>
  <c r="H31" i="81"/>
  <c r="B31" i="81"/>
  <c r="F31" i="81"/>
  <c r="G31" i="81"/>
  <c r="D35" i="46"/>
  <c r="E35" i="46"/>
  <c r="E36" i="45"/>
  <c r="D36" i="45"/>
  <c r="D31" i="84"/>
  <c r="E31" i="84"/>
  <c r="J117" i="31"/>
  <c r="E32" i="13"/>
  <c r="F32" i="13" s="1"/>
  <c r="D110" i="26"/>
  <c r="B110" i="26" s="1"/>
  <c r="G109" i="26"/>
  <c r="D31" i="83"/>
  <c r="E31" i="83"/>
  <c r="H38" i="31"/>
  <c r="I38" i="31" s="1"/>
  <c r="D39" i="31"/>
  <c r="E39" i="31"/>
  <c r="E110" i="33"/>
  <c r="F110" i="33" s="1"/>
  <c r="B110" i="33"/>
  <c r="E37" i="41"/>
  <c r="D37" i="41"/>
  <c r="H109" i="97"/>
  <c r="I109" i="97"/>
  <c r="E111" i="13"/>
  <c r="F111" i="13"/>
  <c r="B111" i="13"/>
  <c r="E35" i="57"/>
  <c r="D35" i="57"/>
  <c r="I28" i="97"/>
  <c r="D29" i="95"/>
  <c r="E29" i="95"/>
  <c r="G38" i="24"/>
  <c r="G39" i="27"/>
  <c r="D34" i="60"/>
  <c r="E34" i="60"/>
  <c r="I30" i="81"/>
  <c r="H34" i="53"/>
  <c r="I34" i="53" s="1"/>
  <c r="D35" i="53"/>
  <c r="E35" i="53"/>
  <c r="G34" i="58"/>
  <c r="D35" i="58"/>
  <c r="E35" i="58"/>
  <c r="H30" i="84"/>
  <c r="F39" i="23"/>
  <c r="B39" i="23"/>
  <c r="G39" i="23"/>
  <c r="D117" i="44"/>
  <c r="G116" i="44"/>
  <c r="E117" i="44"/>
  <c r="D31" i="92"/>
  <c r="E31" i="92"/>
  <c r="E37" i="44"/>
  <c r="D37" i="44"/>
  <c r="F116" i="42"/>
  <c r="B116" i="42"/>
  <c r="D33" i="65"/>
  <c r="E33" i="65"/>
  <c r="H32" i="65"/>
  <c r="G32" i="65"/>
  <c r="F37" i="42"/>
  <c r="G37" i="42" s="1"/>
  <c r="B37" i="42"/>
  <c r="H37" i="42"/>
  <c r="H109" i="33"/>
  <c r="I109" i="33"/>
  <c r="H34" i="57"/>
  <c r="I34" i="57" s="1"/>
  <c r="E31" i="82"/>
  <c r="D31" i="82"/>
  <c r="G33" i="63"/>
  <c r="I33" i="63" s="1"/>
  <c r="E34" i="63"/>
  <c r="D34" i="63"/>
  <c r="D32" i="79"/>
  <c r="E32" i="79"/>
  <c r="G28" i="95"/>
  <c r="H39" i="27"/>
  <c r="I39" i="27" s="1"/>
  <c r="I39" i="69"/>
  <c r="H34" i="56"/>
  <c r="I34" i="56" s="1"/>
  <c r="F38" i="3"/>
  <c r="H38" i="3" s="1"/>
  <c r="I38" i="3" s="1"/>
  <c r="G38" i="3"/>
  <c r="B38" i="3"/>
  <c r="I32" i="68"/>
  <c r="H34" i="46"/>
  <c r="D33" i="66"/>
  <c r="E33" i="66"/>
  <c r="H35" i="45"/>
  <c r="G30" i="84"/>
  <c r="I30" i="84" s="1"/>
  <c r="F35" i="72"/>
  <c r="H35" i="72" s="1"/>
  <c r="B35" i="72"/>
  <c r="G28" i="99"/>
  <c r="I28" i="99" s="1"/>
  <c r="D29" i="99"/>
  <c r="E29" i="99"/>
  <c r="D37" i="74"/>
  <c r="E37" i="74"/>
  <c r="I30" i="83"/>
  <c r="F32" i="76"/>
  <c r="G32" i="76"/>
  <c r="B32" i="76"/>
  <c r="H32" i="76"/>
  <c r="F116" i="43"/>
  <c r="B116" i="43"/>
  <c r="I115" i="42"/>
  <c r="H115" i="42"/>
  <c r="G38" i="34"/>
  <c r="I38" i="34" s="1"/>
  <c r="B31" i="85"/>
  <c r="F31" i="85"/>
  <c r="H31" i="85" s="1"/>
  <c r="E38" i="20"/>
  <c r="D38" i="20"/>
  <c r="H40" i="28"/>
  <c r="I40" i="28" s="1"/>
  <c r="J108" i="26"/>
  <c r="G43" i="35"/>
  <c r="H43" i="35"/>
  <c r="I43" i="35" s="1"/>
  <c r="E44" i="35"/>
  <c r="F44" i="35" s="1"/>
  <c r="B44" i="35"/>
  <c r="G36" i="41"/>
  <c r="I36" i="41" s="1"/>
  <c r="J115" i="44"/>
  <c r="F110" i="97"/>
  <c r="B110" i="97"/>
  <c r="I30" i="82"/>
  <c r="I31" i="79"/>
  <c r="B29" i="97"/>
  <c r="F29" i="97"/>
  <c r="H29" i="97" s="1"/>
  <c r="I29" i="97" s="1"/>
  <c r="G29" i="97"/>
  <c r="H28" i="95"/>
  <c r="I28" i="95" s="1"/>
  <c r="H38" i="24"/>
  <c r="I38" i="24" s="1"/>
  <c r="B29" i="98"/>
  <c r="F29" i="98"/>
  <c r="E40" i="69"/>
  <c r="D40" i="69"/>
  <c r="H33" i="60"/>
  <c r="I33" i="60" s="1"/>
  <c r="E33" i="68"/>
  <c r="D33" i="68"/>
  <c r="G34" i="46"/>
  <c r="D33" i="67"/>
  <c r="E33" i="67"/>
  <c r="H34" i="58"/>
  <c r="I34" i="58" s="1"/>
  <c r="G35" i="45"/>
  <c r="E32" i="33"/>
  <c r="F32" i="33" s="1"/>
  <c r="H32" i="33" s="1"/>
  <c r="B32" i="33"/>
  <c r="D111" i="25"/>
  <c r="G110" i="25"/>
  <c r="D30" i="26"/>
  <c r="H29" i="26"/>
  <c r="G29" i="26"/>
  <c r="N5" i="26" s="1"/>
  <c r="J113" i="53"/>
  <c r="B35" i="55"/>
  <c r="F35" i="55"/>
  <c r="E39" i="19"/>
  <c r="D39" i="19"/>
  <c r="D31" i="91"/>
  <c r="E31" i="91"/>
  <c r="I36" i="43"/>
  <c r="H34" i="64"/>
  <c r="D35" i="64"/>
  <c r="E35" i="64"/>
  <c r="G34" i="59"/>
  <c r="D35" i="59"/>
  <c r="E35" i="59"/>
  <c r="J109" i="99"/>
  <c r="H40" i="70"/>
  <c r="B40" i="70"/>
  <c r="F40" i="70"/>
  <c r="G40" i="70" s="1"/>
  <c r="G37" i="17"/>
  <c r="I37" i="17" s="1"/>
  <c r="D38" i="17"/>
  <c r="E38" i="17"/>
  <c r="H38" i="19"/>
  <c r="G34" i="64"/>
  <c r="H30" i="91"/>
  <c r="E40" i="71"/>
  <c r="D40" i="71"/>
  <c r="H37" i="43"/>
  <c r="B37" i="43"/>
  <c r="F37" i="43"/>
  <c r="G37" i="43" s="1"/>
  <c r="B31" i="80"/>
  <c r="F31" i="80"/>
  <c r="G31" i="80" s="1"/>
  <c r="E35" i="61"/>
  <c r="D35" i="61"/>
  <c r="J111" i="65"/>
  <c r="J113" i="56"/>
  <c r="F31" i="86"/>
  <c r="H31" i="86" s="1"/>
  <c r="B31" i="86"/>
  <c r="G38" i="19"/>
  <c r="H34" i="59"/>
  <c r="G30" i="91"/>
  <c r="G39" i="71"/>
  <c r="I39" i="71" s="1"/>
  <c r="B31" i="33"/>
  <c r="H31" i="33"/>
  <c r="G31" i="33"/>
  <c r="E119" i="31"/>
  <c r="D119" i="31"/>
  <c r="G118" i="31"/>
  <c r="E123" i="70"/>
  <c r="D123" i="70"/>
  <c r="G122" i="70"/>
  <c r="D115" i="60"/>
  <c r="G114" i="60"/>
  <c r="E115" i="60"/>
  <c r="E121" i="17"/>
  <c r="D121" i="17"/>
  <c r="G120" i="17"/>
  <c r="J117" i="32"/>
  <c r="J118" i="30"/>
  <c r="J118" i="69"/>
  <c r="J111" i="68"/>
  <c r="J115" i="41"/>
  <c r="J108" i="89"/>
  <c r="J117" i="24"/>
  <c r="J119" i="17"/>
  <c r="G117" i="18"/>
  <c r="D118" i="18"/>
  <c r="E118" i="18"/>
  <c r="D113" i="68"/>
  <c r="G112" i="68"/>
  <c r="E113" i="68"/>
  <c r="F38" i="18"/>
  <c r="H38" i="18" s="1"/>
  <c r="B38" i="18"/>
  <c r="G118" i="71"/>
  <c r="D119" i="71"/>
  <c r="E119" i="71"/>
  <c r="F31" i="88"/>
  <c r="H31" i="88" s="1"/>
  <c r="B31" i="88"/>
  <c r="J108" i="88"/>
  <c r="J110" i="76"/>
  <c r="D115" i="58"/>
  <c r="G114" i="58"/>
  <c r="E115" i="58"/>
  <c r="N7" i="25"/>
  <c r="J109" i="100"/>
  <c r="F38" i="21"/>
  <c r="B38" i="21"/>
  <c r="B29" i="96"/>
  <c r="F29" i="96"/>
  <c r="H29" i="96" s="1"/>
  <c r="F120" i="23"/>
  <c r="B120" i="23"/>
  <c r="F122" i="29"/>
  <c r="B122" i="29"/>
  <c r="D121" i="28"/>
  <c r="G120" i="28"/>
  <c r="E121" i="28"/>
  <c r="D30" i="25"/>
  <c r="E30" i="25" s="1"/>
  <c r="B34" i="62"/>
  <c r="F34" i="62"/>
  <c r="G34" i="62" s="1"/>
  <c r="D115" i="56"/>
  <c r="G114" i="56"/>
  <c r="E115" i="56"/>
  <c r="E110" i="92"/>
  <c r="G109" i="92"/>
  <c r="D110" i="92"/>
  <c r="J111" i="85"/>
  <c r="J117" i="71"/>
  <c r="G116" i="41"/>
  <c r="D117" i="41"/>
  <c r="E117" i="41"/>
  <c r="H112" i="66"/>
  <c r="I112" i="66"/>
  <c r="J112" i="66" s="1"/>
  <c r="J108" i="98"/>
  <c r="G114" i="72"/>
  <c r="D115" i="72"/>
  <c r="E115" i="72"/>
  <c r="B29" i="100"/>
  <c r="F29" i="100"/>
  <c r="G29" i="100" s="1"/>
  <c r="D117" i="39"/>
  <c r="G116" i="39"/>
  <c r="E117" i="39"/>
  <c r="I28" i="96"/>
  <c r="D115" i="57"/>
  <c r="G114" i="57"/>
  <c r="E115" i="57"/>
  <c r="F30" i="90"/>
  <c r="G30" i="90" s="1"/>
  <c r="B30" i="90"/>
  <c r="G109" i="86"/>
  <c r="D110" i="86"/>
  <c r="E110" i="86"/>
  <c r="G114" i="53"/>
  <c r="D115" i="53"/>
  <c r="E115" i="53"/>
  <c r="J108" i="86"/>
  <c r="J108" i="90"/>
  <c r="G109" i="90"/>
  <c r="D110" i="90"/>
  <c r="E110" i="90"/>
  <c r="D113" i="85"/>
  <c r="E113" i="85"/>
  <c r="G112" i="85"/>
  <c r="F38" i="22"/>
  <c r="G38" i="22" s="1"/>
  <c r="H38" i="22"/>
  <c r="B38" i="22"/>
  <c r="F113" i="66"/>
  <c r="B113" i="66"/>
  <c r="D114" i="59"/>
  <c r="G113" i="59"/>
  <c r="E114" i="59"/>
  <c r="G112" i="65"/>
  <c r="D113" i="65"/>
  <c r="E113" i="65"/>
  <c r="H119" i="23"/>
  <c r="I119" i="23"/>
  <c r="G115" i="45"/>
  <c r="D116" i="45"/>
  <c r="E116" i="45"/>
  <c r="F32" i="75"/>
  <c r="H32" i="75"/>
  <c r="G32" i="75"/>
  <c r="B32" i="75"/>
  <c r="D110" i="91"/>
  <c r="G109" i="91"/>
  <c r="E110" i="91"/>
  <c r="J108" i="92"/>
  <c r="G117" i="3"/>
  <c r="D118" i="3"/>
  <c r="E118" i="3"/>
  <c r="J108" i="91"/>
  <c r="J113" i="46"/>
  <c r="F30" i="89"/>
  <c r="H30" i="89" s="1"/>
  <c r="B30" i="89"/>
  <c r="J110" i="77"/>
  <c r="G110" i="100"/>
  <c r="E111" i="100"/>
  <c r="D111" i="100"/>
  <c r="G110" i="99"/>
  <c r="D111" i="99"/>
  <c r="E111" i="99"/>
  <c r="G118" i="32"/>
  <c r="D119" i="32"/>
  <c r="E119" i="32"/>
  <c r="D114" i="61"/>
  <c r="G113" i="61"/>
  <c r="E114" i="61"/>
  <c r="J108" i="84"/>
  <c r="I31" i="75"/>
  <c r="J112" i="61"/>
  <c r="B129" i="35"/>
  <c r="G128" i="35"/>
  <c r="E129" i="35"/>
  <c r="F129" i="35" s="1"/>
  <c r="G113" i="64"/>
  <c r="D114" i="64"/>
  <c r="E114" i="64"/>
  <c r="G110" i="81"/>
  <c r="D111" i="81"/>
  <c r="E111" i="81"/>
  <c r="G29" i="25"/>
  <c r="I29" i="25" s="1"/>
  <c r="G115" i="62"/>
  <c r="E116" i="62"/>
  <c r="D116" i="62"/>
  <c r="G110" i="80"/>
  <c r="D111" i="80"/>
  <c r="E111" i="80"/>
  <c r="B30" i="87"/>
  <c r="F30" i="87"/>
  <c r="F40" i="30"/>
  <c r="H40" i="30"/>
  <c r="B40" i="30"/>
  <c r="D112" i="76"/>
  <c r="G111" i="76"/>
  <c r="E112" i="76"/>
  <c r="D117" i="55"/>
  <c r="E117" i="55"/>
  <c r="G116" i="55"/>
  <c r="D120" i="30"/>
  <c r="G119" i="30"/>
  <c r="E120" i="30"/>
  <c r="D117" i="73"/>
  <c r="G116" i="73"/>
  <c r="E117" i="73"/>
  <c r="D119" i="24"/>
  <c r="G118" i="24"/>
  <c r="E119" i="24"/>
  <c r="D117" i="74"/>
  <c r="G116" i="74"/>
  <c r="E117" i="74"/>
  <c r="F37" i="39"/>
  <c r="G37" i="39" s="1"/>
  <c r="B37" i="39"/>
  <c r="B118" i="34"/>
  <c r="F118" i="34"/>
  <c r="D110" i="88"/>
  <c r="G109" i="88"/>
  <c r="E110" i="88"/>
  <c r="G109" i="98"/>
  <c r="D110" i="98"/>
  <c r="E110" i="98"/>
  <c r="G114" i="54"/>
  <c r="D115" i="54"/>
  <c r="E115" i="54"/>
  <c r="I112" i="78"/>
  <c r="H112" i="78"/>
  <c r="G109" i="89"/>
  <c r="D110" i="89"/>
  <c r="E110" i="89"/>
  <c r="J116" i="22"/>
  <c r="G117" i="21"/>
  <c r="D118" i="21"/>
  <c r="E118" i="21"/>
  <c r="J114" i="45"/>
  <c r="D118" i="22"/>
  <c r="G117" i="22"/>
  <c r="E118" i="22"/>
  <c r="J112" i="75"/>
  <c r="J119" i="28"/>
  <c r="I127" i="35"/>
  <c r="H127" i="35"/>
  <c r="J119" i="20"/>
  <c r="G119" i="69"/>
  <c r="D120" i="69"/>
  <c r="E120" i="69"/>
  <c r="E114" i="75"/>
  <c r="D114" i="75"/>
  <c r="G113" i="75"/>
  <c r="J113" i="54"/>
  <c r="G120" i="20"/>
  <c r="E121" i="20"/>
  <c r="D121" i="20"/>
  <c r="H114" i="67"/>
  <c r="I114" i="67"/>
  <c r="H117" i="34"/>
  <c r="I117" i="34"/>
  <c r="B40" i="29"/>
  <c r="F40" i="29"/>
  <c r="G40" i="29" s="1"/>
  <c r="D115" i="46"/>
  <c r="G114" i="46"/>
  <c r="E115" i="46"/>
  <c r="F35" i="54"/>
  <c r="G35" i="54" s="1"/>
  <c r="B35" i="54"/>
  <c r="H35" i="54"/>
  <c r="G109" i="84"/>
  <c r="D110" i="84"/>
  <c r="E110" i="84"/>
  <c r="F113" i="78"/>
  <c r="B113" i="78"/>
  <c r="D111" i="83"/>
  <c r="G110" i="83"/>
  <c r="E111" i="83"/>
  <c r="H113" i="63"/>
  <c r="I113" i="63"/>
  <c r="G119" i="27"/>
  <c r="D120" i="27"/>
  <c r="E120" i="27"/>
  <c r="G109" i="96"/>
  <c r="D110" i="96"/>
  <c r="E110" i="96"/>
  <c r="H117" i="19"/>
  <c r="I117" i="19"/>
  <c r="F115" i="67"/>
  <c r="B115" i="67"/>
  <c r="G111" i="77"/>
  <c r="D112" i="77"/>
  <c r="E112" i="77"/>
  <c r="B32" i="78"/>
  <c r="F32" i="78"/>
  <c r="G32" i="78"/>
  <c r="F39" i="32"/>
  <c r="G39" i="32" s="1"/>
  <c r="B39" i="32"/>
  <c r="F114" i="63"/>
  <c r="B114" i="63"/>
  <c r="I121" i="29"/>
  <c r="H121" i="29"/>
  <c r="D112" i="79"/>
  <c r="G111" i="79"/>
  <c r="E112" i="79"/>
  <c r="J115" i="73"/>
  <c r="F118" i="19"/>
  <c r="B118" i="19"/>
  <c r="J116" i="3"/>
  <c r="G112" i="82"/>
  <c r="D113" i="82"/>
  <c r="E113" i="82"/>
  <c r="F27" i="36"/>
  <c r="E28" i="36"/>
  <c r="I37" i="42" l="1"/>
  <c r="H109" i="87"/>
  <c r="I109" i="87"/>
  <c r="J109" i="87" s="1"/>
  <c r="I110" i="95"/>
  <c r="J110" i="95" s="1"/>
  <c r="H110" i="95"/>
  <c r="J110" i="13"/>
  <c r="H31" i="80"/>
  <c r="B110" i="87"/>
  <c r="F110" i="87"/>
  <c r="I32" i="76"/>
  <c r="F111" i="95"/>
  <c r="B111" i="95"/>
  <c r="G110" i="33"/>
  <c r="D111" i="33"/>
  <c r="H29" i="98"/>
  <c r="D30" i="98"/>
  <c r="E30" i="98"/>
  <c r="E111" i="97"/>
  <c r="D111" i="97"/>
  <c r="G110" i="97"/>
  <c r="G44" i="35"/>
  <c r="B45" i="35"/>
  <c r="E45" i="35"/>
  <c r="F45" i="35" s="1"/>
  <c r="H44" i="35"/>
  <c r="I44" i="35" s="1"/>
  <c r="F29" i="99"/>
  <c r="H29" i="99" s="1"/>
  <c r="B29" i="99"/>
  <c r="B33" i="66"/>
  <c r="F33" i="66"/>
  <c r="H33" i="66" s="1"/>
  <c r="F32" i="79"/>
  <c r="G32" i="79"/>
  <c r="B32" i="79"/>
  <c r="F31" i="82"/>
  <c r="G31" i="82" s="1"/>
  <c r="B31" i="82"/>
  <c r="F33" i="65"/>
  <c r="B33" i="65"/>
  <c r="H116" i="44"/>
  <c r="I116" i="44"/>
  <c r="F35" i="53"/>
  <c r="H35" i="53" s="1"/>
  <c r="B35" i="53"/>
  <c r="B34" i="60"/>
  <c r="F34" i="60"/>
  <c r="H34" i="60" s="1"/>
  <c r="B29" i="95"/>
  <c r="F29" i="95"/>
  <c r="H29" i="95" s="1"/>
  <c r="H109" i="26"/>
  <c r="M88" i="26" s="1"/>
  <c r="I109" i="26"/>
  <c r="B39" i="24"/>
  <c r="F39" i="24"/>
  <c r="H39" i="24" s="1"/>
  <c r="B41" i="28"/>
  <c r="F41" i="28"/>
  <c r="G41" i="28"/>
  <c r="H41" i="28"/>
  <c r="B39" i="34"/>
  <c r="F39" i="34"/>
  <c r="H39" i="34"/>
  <c r="I39" i="34" s="1"/>
  <c r="G39" i="34"/>
  <c r="B33" i="67"/>
  <c r="F33" i="67"/>
  <c r="G33" i="67"/>
  <c r="H33" i="67"/>
  <c r="F38" i="20"/>
  <c r="B38" i="20"/>
  <c r="G38" i="20"/>
  <c r="H38" i="20"/>
  <c r="E32" i="85"/>
  <c r="D32" i="85"/>
  <c r="J115" i="42"/>
  <c r="I34" i="46"/>
  <c r="B34" i="63"/>
  <c r="F34" i="63"/>
  <c r="G34" i="63"/>
  <c r="H34" i="63"/>
  <c r="I34" i="63" s="1"/>
  <c r="B117" i="44"/>
  <c r="F117" i="44"/>
  <c r="F35" i="58"/>
  <c r="G35" i="58" s="1"/>
  <c r="B35" i="58"/>
  <c r="G111" i="13"/>
  <c r="D112" i="13"/>
  <c r="F37" i="41"/>
  <c r="G37" i="41" s="1"/>
  <c r="B37" i="41"/>
  <c r="B31" i="84"/>
  <c r="F31" i="84"/>
  <c r="G31" i="84" s="1"/>
  <c r="B35" i="46"/>
  <c r="F35" i="46"/>
  <c r="G35" i="46" s="1"/>
  <c r="I31" i="81"/>
  <c r="B37" i="73"/>
  <c r="F37" i="73"/>
  <c r="H37" i="73" s="1"/>
  <c r="D33" i="77"/>
  <c r="E33" i="77"/>
  <c r="I31" i="80"/>
  <c r="I37" i="43"/>
  <c r="I30" i="91"/>
  <c r="B40" i="69"/>
  <c r="F40" i="69"/>
  <c r="H40" i="69" s="1"/>
  <c r="G29" i="98"/>
  <c r="F37" i="74"/>
  <c r="G37" i="74" s="1"/>
  <c r="B37" i="74"/>
  <c r="H37" i="74"/>
  <c r="I35" i="45"/>
  <c r="D39" i="3"/>
  <c r="E39" i="3"/>
  <c r="I32" i="65"/>
  <c r="E117" i="42"/>
  <c r="G116" i="42"/>
  <c r="D117" i="42"/>
  <c r="F31" i="92"/>
  <c r="G31" i="92" s="1"/>
  <c r="B31" i="92"/>
  <c r="D40" i="23"/>
  <c r="E40" i="23"/>
  <c r="B35" i="57"/>
  <c r="F35" i="57"/>
  <c r="G35" i="57" s="1"/>
  <c r="G31" i="83"/>
  <c r="B31" i="83"/>
  <c r="F31" i="83"/>
  <c r="H31" i="83" s="1"/>
  <c r="I31" i="83" s="1"/>
  <c r="D33" i="13"/>
  <c r="H32" i="13"/>
  <c r="G32" i="13"/>
  <c r="B36" i="45"/>
  <c r="F36" i="45"/>
  <c r="G36" i="45" s="1"/>
  <c r="F40" i="27"/>
  <c r="H40" i="27" s="1"/>
  <c r="B40" i="27"/>
  <c r="G40" i="27"/>
  <c r="I38" i="19"/>
  <c r="F33" i="68"/>
  <c r="G33" i="68" s="1"/>
  <c r="B33" i="68"/>
  <c r="D30" i="97"/>
  <c r="E30" i="97"/>
  <c r="G31" i="85"/>
  <c r="I31" i="85" s="1"/>
  <c r="G116" i="43"/>
  <c r="E117" i="43"/>
  <c r="D117" i="43"/>
  <c r="E33" i="76"/>
  <c r="D33" i="76"/>
  <c r="G35" i="72"/>
  <c r="I35" i="72" s="1"/>
  <c r="E36" i="72"/>
  <c r="D36" i="72"/>
  <c r="J109" i="33"/>
  <c r="D38" i="42"/>
  <c r="E38" i="42"/>
  <c r="F37" i="44"/>
  <c r="H37" i="44" s="1"/>
  <c r="B37" i="44"/>
  <c r="G37" i="44"/>
  <c r="H39" i="23"/>
  <c r="I39" i="23" s="1"/>
  <c r="J109" i="97"/>
  <c r="B39" i="31"/>
  <c r="F39" i="31"/>
  <c r="H39" i="31" s="1"/>
  <c r="E110" i="26"/>
  <c r="F110" i="26" s="1"/>
  <c r="D32" i="81"/>
  <c r="E32" i="81"/>
  <c r="F35" i="56"/>
  <c r="G35" i="56" s="1"/>
  <c r="B35" i="56"/>
  <c r="H32" i="77"/>
  <c r="I32" i="77" s="1"/>
  <c r="E93" i="36"/>
  <c r="I35" i="54"/>
  <c r="B38" i="17"/>
  <c r="F38" i="17"/>
  <c r="G38" i="17" s="1"/>
  <c r="C47" i="17"/>
  <c r="B31" i="91"/>
  <c r="F31" i="91"/>
  <c r="G31" i="91" s="1"/>
  <c r="G35" i="55"/>
  <c r="D36" i="55"/>
  <c r="E36" i="55"/>
  <c r="L17" i="1"/>
  <c r="I110" i="25"/>
  <c r="H110" i="25"/>
  <c r="H34" i="62"/>
  <c r="I34" i="62" s="1"/>
  <c r="H118" i="31"/>
  <c r="I118" i="31"/>
  <c r="F39" i="19"/>
  <c r="H39" i="19" s="1"/>
  <c r="B39" i="19"/>
  <c r="I29" i="26"/>
  <c r="N6" i="26"/>
  <c r="B111" i="25"/>
  <c r="F111" i="25"/>
  <c r="E32" i="86"/>
  <c r="D32" i="86"/>
  <c r="H30" i="90"/>
  <c r="I30" i="90" s="1"/>
  <c r="G38" i="18"/>
  <c r="I38" i="18" s="1"/>
  <c r="B119" i="31"/>
  <c r="F119" i="31"/>
  <c r="F35" i="61"/>
  <c r="G35" i="61"/>
  <c r="B35" i="61"/>
  <c r="H35" i="61"/>
  <c r="I40" i="70"/>
  <c r="B35" i="64"/>
  <c r="F35" i="64"/>
  <c r="G35" i="64" s="1"/>
  <c r="B30" i="26"/>
  <c r="E111" i="25"/>
  <c r="D33" i="33"/>
  <c r="E33" i="33" s="1"/>
  <c r="G31" i="86"/>
  <c r="I31" i="86" s="1"/>
  <c r="I31" i="33"/>
  <c r="I34" i="59"/>
  <c r="D32" i="80"/>
  <c r="E32" i="80"/>
  <c r="D38" i="43"/>
  <c r="E38" i="43"/>
  <c r="B40" i="71"/>
  <c r="F40" i="71"/>
  <c r="G40" i="71" s="1"/>
  <c r="H40" i="71"/>
  <c r="D41" i="70"/>
  <c r="E41" i="70"/>
  <c r="B35" i="59"/>
  <c r="F35" i="59"/>
  <c r="G35" i="59" s="1"/>
  <c r="I34" i="64"/>
  <c r="H35" i="55"/>
  <c r="I35" i="55" s="1"/>
  <c r="E30" i="26"/>
  <c r="F30" i="26" s="1"/>
  <c r="D31" i="26" s="1"/>
  <c r="G32" i="33"/>
  <c r="I32" i="33" s="1"/>
  <c r="H120" i="17"/>
  <c r="I120" i="17"/>
  <c r="J120" i="17" s="1"/>
  <c r="F115" i="60"/>
  <c r="B115" i="60"/>
  <c r="F123" i="70"/>
  <c r="B123" i="70"/>
  <c r="J127" i="35"/>
  <c r="F121" i="17"/>
  <c r="B121" i="17"/>
  <c r="H114" i="60"/>
  <c r="I114" i="60"/>
  <c r="J114" i="60" s="1"/>
  <c r="J117" i="19"/>
  <c r="H122" i="70"/>
  <c r="I122" i="70"/>
  <c r="J122" i="70" s="1"/>
  <c r="G27" i="36"/>
  <c r="H110" i="83"/>
  <c r="I110" i="83"/>
  <c r="B113" i="82"/>
  <c r="F113" i="82"/>
  <c r="I111" i="79"/>
  <c r="H111" i="79"/>
  <c r="G114" i="63"/>
  <c r="D115" i="63"/>
  <c r="E115" i="63"/>
  <c r="B110" i="96"/>
  <c r="F110" i="96"/>
  <c r="H119" i="27"/>
  <c r="I119" i="27"/>
  <c r="J119" i="27" s="1"/>
  <c r="H114" i="46"/>
  <c r="I114" i="46"/>
  <c r="F121" i="20"/>
  <c r="B121" i="20"/>
  <c r="H117" i="21"/>
  <c r="I117" i="21"/>
  <c r="I114" i="54"/>
  <c r="H114" i="54"/>
  <c r="H37" i="39"/>
  <c r="I37" i="39" s="1"/>
  <c r="H118" i="24"/>
  <c r="I118" i="24"/>
  <c r="I119" i="30"/>
  <c r="H119" i="30"/>
  <c r="D41" i="30"/>
  <c r="E41" i="30"/>
  <c r="F116" i="62"/>
  <c r="B116" i="62"/>
  <c r="F114" i="61"/>
  <c r="B114" i="61"/>
  <c r="E31" i="89"/>
  <c r="D31" i="89"/>
  <c r="I32" i="75"/>
  <c r="H115" i="45"/>
  <c r="I115" i="45"/>
  <c r="D114" i="66"/>
  <c r="G113" i="66"/>
  <c r="E114" i="66"/>
  <c r="B113" i="85"/>
  <c r="F113" i="85"/>
  <c r="B110" i="92"/>
  <c r="F110" i="92"/>
  <c r="D39" i="21"/>
  <c r="E39" i="21"/>
  <c r="F118" i="18"/>
  <c r="B118" i="18"/>
  <c r="E40" i="32"/>
  <c r="D40" i="32"/>
  <c r="H112" i="82"/>
  <c r="I112" i="82"/>
  <c r="B112" i="79"/>
  <c r="F112" i="79"/>
  <c r="H39" i="32"/>
  <c r="I39" i="32" s="1"/>
  <c r="F112" i="77"/>
  <c r="B112" i="77"/>
  <c r="H109" i="96"/>
  <c r="I109" i="96"/>
  <c r="J113" i="63"/>
  <c r="B110" i="84"/>
  <c r="F110" i="84"/>
  <c r="B115" i="46"/>
  <c r="F115" i="46"/>
  <c r="J114" i="67"/>
  <c r="H109" i="88"/>
  <c r="I109" i="88"/>
  <c r="B119" i="24"/>
  <c r="F119" i="24"/>
  <c r="B120" i="30"/>
  <c r="F120" i="30"/>
  <c r="I111" i="76"/>
  <c r="J111" i="76" s="1"/>
  <c r="H111" i="76"/>
  <c r="F114" i="64"/>
  <c r="B114" i="64"/>
  <c r="E33" i="75"/>
  <c r="D33" i="75"/>
  <c r="J119" i="23"/>
  <c r="I113" i="59"/>
  <c r="H113" i="59"/>
  <c r="F110" i="90"/>
  <c r="B110" i="90"/>
  <c r="I109" i="92"/>
  <c r="H109" i="92"/>
  <c r="G38" i="21"/>
  <c r="H112" i="68"/>
  <c r="I112" i="68"/>
  <c r="H117" i="18"/>
  <c r="I117" i="18"/>
  <c r="G118" i="19"/>
  <c r="D119" i="19"/>
  <c r="E119" i="19"/>
  <c r="H111" i="77"/>
  <c r="I111" i="77"/>
  <c r="J111" i="77" s="1"/>
  <c r="I109" i="84"/>
  <c r="H109" i="84"/>
  <c r="H120" i="20"/>
  <c r="I120" i="20"/>
  <c r="J120" i="20" s="1"/>
  <c r="F120" i="69"/>
  <c r="B120" i="69"/>
  <c r="F110" i="89"/>
  <c r="B110" i="89"/>
  <c r="F110" i="88"/>
  <c r="B110" i="88"/>
  <c r="E38" i="39"/>
  <c r="D38" i="39"/>
  <c r="F112" i="76"/>
  <c r="B112" i="76"/>
  <c r="I115" i="62"/>
  <c r="H115" i="62"/>
  <c r="H113" i="64"/>
  <c r="I113" i="64"/>
  <c r="J113" i="64" s="1"/>
  <c r="B114" i="59"/>
  <c r="F114" i="59"/>
  <c r="H109" i="90"/>
  <c r="I109" i="90"/>
  <c r="E31" i="90"/>
  <c r="D31" i="90"/>
  <c r="E123" i="29"/>
  <c r="G122" i="29"/>
  <c r="D123" i="29"/>
  <c r="H114" i="58"/>
  <c r="I114" i="58"/>
  <c r="J114" i="58" s="1"/>
  <c r="F113" i="68"/>
  <c r="B113" i="68"/>
  <c r="H119" i="69"/>
  <c r="I119" i="69"/>
  <c r="J119" i="69" s="1"/>
  <c r="H117" i="22"/>
  <c r="I117" i="22"/>
  <c r="I109" i="89"/>
  <c r="H109" i="89"/>
  <c r="G118" i="34"/>
  <c r="D119" i="34"/>
  <c r="E119" i="34"/>
  <c r="I116" i="73"/>
  <c r="H116" i="73"/>
  <c r="E31" i="87"/>
  <c r="D31" i="87"/>
  <c r="B130" i="35"/>
  <c r="E130" i="35"/>
  <c r="F130" i="35" s="1"/>
  <c r="G129" i="35"/>
  <c r="B111" i="99"/>
  <c r="F111" i="99"/>
  <c r="H116" i="39"/>
  <c r="I116" i="39"/>
  <c r="J116" i="39" s="1"/>
  <c r="B30" i="25"/>
  <c r="F30" i="25"/>
  <c r="G30" i="25" s="1"/>
  <c r="B115" i="58"/>
  <c r="F115" i="58"/>
  <c r="E32" i="88"/>
  <c r="D32" i="88"/>
  <c r="D39" i="18"/>
  <c r="E39" i="18"/>
  <c r="D116" i="67"/>
  <c r="E116" i="67"/>
  <c r="G115" i="67"/>
  <c r="I113" i="75"/>
  <c r="H113" i="75"/>
  <c r="F118" i="22"/>
  <c r="B118" i="22"/>
  <c r="B117" i="73"/>
  <c r="F117" i="73"/>
  <c r="H128" i="35"/>
  <c r="I128" i="35"/>
  <c r="B119" i="32"/>
  <c r="F119" i="32"/>
  <c r="I110" i="99"/>
  <c r="H110" i="99"/>
  <c r="F118" i="3"/>
  <c r="B118" i="3"/>
  <c r="I109" i="91"/>
  <c r="H109" i="91"/>
  <c r="I38" i="22"/>
  <c r="H114" i="57"/>
  <c r="I114" i="57"/>
  <c r="F117" i="39"/>
  <c r="B117" i="39"/>
  <c r="I114" i="56"/>
  <c r="H114" i="56"/>
  <c r="E121" i="23"/>
  <c r="G120" i="23"/>
  <c r="D121" i="23"/>
  <c r="G31" i="88"/>
  <c r="I31" i="88" s="1"/>
  <c r="D33" i="78"/>
  <c r="E33" i="78"/>
  <c r="B111" i="83"/>
  <c r="F111" i="83"/>
  <c r="D41" i="29"/>
  <c r="E41" i="29"/>
  <c r="B114" i="75"/>
  <c r="F114" i="75"/>
  <c r="J112" i="78"/>
  <c r="I116" i="74"/>
  <c r="H116" i="74"/>
  <c r="I116" i="55"/>
  <c r="H116" i="55"/>
  <c r="G40" i="30"/>
  <c r="I40" i="30" s="1"/>
  <c r="G30" i="87"/>
  <c r="H118" i="32"/>
  <c r="I118" i="32"/>
  <c r="F111" i="100"/>
  <c r="B111" i="100"/>
  <c r="H117" i="3"/>
  <c r="I117" i="3"/>
  <c r="J117" i="3" s="1"/>
  <c r="B110" i="91"/>
  <c r="F110" i="91"/>
  <c r="B110" i="86"/>
  <c r="F110" i="86"/>
  <c r="F115" i="57"/>
  <c r="B115" i="57"/>
  <c r="H29" i="100"/>
  <c r="I29" i="100" s="1"/>
  <c r="F115" i="72"/>
  <c r="B115" i="72"/>
  <c r="B117" i="41"/>
  <c r="F117" i="41"/>
  <c r="B115" i="56"/>
  <c r="F115" i="56"/>
  <c r="I120" i="28"/>
  <c r="H120" i="28"/>
  <c r="E30" i="96"/>
  <c r="D30" i="96"/>
  <c r="J121" i="29"/>
  <c r="H32" i="78"/>
  <c r="I32" i="78" s="1"/>
  <c r="D36" i="54"/>
  <c r="E36" i="54"/>
  <c r="H40" i="29"/>
  <c r="I40" i="29" s="1"/>
  <c r="J117" i="34"/>
  <c r="F110" i="98"/>
  <c r="B110" i="98"/>
  <c r="F117" i="74"/>
  <c r="B117" i="74"/>
  <c r="H30" i="87"/>
  <c r="B111" i="80"/>
  <c r="F111" i="80"/>
  <c r="B111" i="81"/>
  <c r="F111" i="81"/>
  <c r="G30" i="89"/>
  <c r="B113" i="65"/>
  <c r="F113" i="65"/>
  <c r="D39" i="22"/>
  <c r="E39" i="22"/>
  <c r="H112" i="85"/>
  <c r="I112" i="85"/>
  <c r="B115" i="53"/>
  <c r="F115" i="53"/>
  <c r="H109" i="86"/>
  <c r="I109" i="86"/>
  <c r="I114" i="72"/>
  <c r="H114" i="72"/>
  <c r="I116" i="41"/>
  <c r="H116" i="41"/>
  <c r="D35" i="62"/>
  <c r="E35" i="62"/>
  <c r="B121" i="28"/>
  <c r="F121" i="28"/>
  <c r="G29" i="96"/>
  <c r="I29" i="96" s="1"/>
  <c r="H38" i="21"/>
  <c r="I38" i="21" s="1"/>
  <c r="F119" i="71"/>
  <c r="B119" i="71"/>
  <c r="F120" i="27"/>
  <c r="B120" i="27"/>
  <c r="G113" i="78"/>
  <c r="E114" i="78"/>
  <c r="D114" i="78"/>
  <c r="B118" i="21"/>
  <c r="F118" i="21"/>
  <c r="B115" i="54"/>
  <c r="F115" i="54"/>
  <c r="H109" i="98"/>
  <c r="I109" i="98"/>
  <c r="B117" i="55"/>
  <c r="F117" i="55"/>
  <c r="I110" i="80"/>
  <c r="J110" i="80" s="1"/>
  <c r="H110" i="80"/>
  <c r="I110" i="81"/>
  <c r="H110" i="81"/>
  <c r="H113" i="61"/>
  <c r="I113" i="61"/>
  <c r="I110" i="100"/>
  <c r="H110" i="100"/>
  <c r="I30" i="89"/>
  <c r="F116" i="45"/>
  <c r="B116" i="45"/>
  <c r="H112" i="65"/>
  <c r="I112" i="65"/>
  <c r="H114" i="53"/>
  <c r="I114" i="53"/>
  <c r="E30" i="100"/>
  <c r="D30" i="100"/>
  <c r="H118" i="71"/>
  <c r="I118" i="71"/>
  <c r="J118" i="71" s="1"/>
  <c r="I37" i="73" l="1"/>
  <c r="J112" i="65"/>
  <c r="H35" i="56"/>
  <c r="J109" i="88"/>
  <c r="H36" i="45"/>
  <c r="I32" i="13"/>
  <c r="G40" i="69"/>
  <c r="I40" i="69" s="1"/>
  <c r="G37" i="73"/>
  <c r="G33" i="66"/>
  <c r="I33" i="66" s="1"/>
  <c r="D112" i="95"/>
  <c r="G111" i="95"/>
  <c r="E112" i="95"/>
  <c r="H31" i="84"/>
  <c r="H37" i="41"/>
  <c r="G39" i="19"/>
  <c r="H31" i="92"/>
  <c r="I38" i="20"/>
  <c r="I33" i="67"/>
  <c r="D111" i="87"/>
  <c r="G110" i="87"/>
  <c r="E111" i="87"/>
  <c r="H31" i="91"/>
  <c r="D36" i="56"/>
  <c r="E36" i="56"/>
  <c r="G39" i="31"/>
  <c r="I39" i="31" s="1"/>
  <c r="B33" i="76"/>
  <c r="F33" i="76"/>
  <c r="H33" i="76" s="1"/>
  <c r="I116" i="43"/>
  <c r="H116" i="43"/>
  <c r="H33" i="68"/>
  <c r="I33" i="68" s="1"/>
  <c r="D41" i="27"/>
  <c r="E41" i="27"/>
  <c r="H35" i="57"/>
  <c r="I35" i="57" s="1"/>
  <c r="E38" i="74"/>
  <c r="D38" i="74"/>
  <c r="D41" i="69"/>
  <c r="E41" i="69"/>
  <c r="E38" i="73"/>
  <c r="D38" i="73"/>
  <c r="I31" i="84"/>
  <c r="H111" i="13"/>
  <c r="I111" i="13"/>
  <c r="E118" i="44"/>
  <c r="G117" i="44"/>
  <c r="D118" i="44"/>
  <c r="D35" i="63"/>
  <c r="E35" i="63"/>
  <c r="B32" i="85"/>
  <c r="F32" i="85"/>
  <c r="G32" i="85" s="1"/>
  <c r="E34" i="67"/>
  <c r="D34" i="67"/>
  <c r="E40" i="34"/>
  <c r="D40" i="34"/>
  <c r="D42" i="28"/>
  <c r="E42" i="28"/>
  <c r="G29" i="95"/>
  <c r="I29" i="95" s="1"/>
  <c r="I110" i="97"/>
  <c r="H110" i="97"/>
  <c r="F30" i="98"/>
  <c r="G30" i="98" s="1"/>
  <c r="H30" i="98"/>
  <c r="B30" i="98"/>
  <c r="I35" i="56"/>
  <c r="D38" i="44"/>
  <c r="E38" i="44"/>
  <c r="F36" i="72"/>
  <c r="G36" i="72" s="1"/>
  <c r="B36" i="72"/>
  <c r="I40" i="27"/>
  <c r="E32" i="83"/>
  <c r="D32" i="83"/>
  <c r="B40" i="23"/>
  <c r="F40" i="23"/>
  <c r="G40" i="23" s="1"/>
  <c r="E32" i="92"/>
  <c r="D32" i="92"/>
  <c r="I37" i="74"/>
  <c r="H35" i="46"/>
  <c r="I35" i="46" s="1"/>
  <c r="E36" i="46"/>
  <c r="D36" i="46"/>
  <c r="D32" i="84"/>
  <c r="E32" i="84"/>
  <c r="D39" i="20"/>
  <c r="E39" i="20"/>
  <c r="G39" i="24"/>
  <c r="I39" i="24" s="1"/>
  <c r="G34" i="60"/>
  <c r="I34" i="60" s="1"/>
  <c r="D35" i="60"/>
  <c r="E35" i="60"/>
  <c r="H32" i="79"/>
  <c r="I32" i="79" s="1"/>
  <c r="D33" i="79"/>
  <c r="E33" i="79"/>
  <c r="G45" i="35"/>
  <c r="B46" i="35"/>
  <c r="H45" i="35"/>
  <c r="E46" i="35"/>
  <c r="F46" i="35" s="1"/>
  <c r="F111" i="97"/>
  <c r="B111" i="97"/>
  <c r="I29" i="98"/>
  <c r="B32" i="81"/>
  <c r="F32" i="81"/>
  <c r="H32" i="81" s="1"/>
  <c r="E40" i="31"/>
  <c r="D40" i="31"/>
  <c r="I37" i="44"/>
  <c r="B117" i="43"/>
  <c r="F117" i="43"/>
  <c r="I36" i="45"/>
  <c r="D36" i="57"/>
  <c r="E36" i="57"/>
  <c r="B117" i="42"/>
  <c r="F117" i="42"/>
  <c r="F33" i="77"/>
  <c r="G33" i="77" s="1"/>
  <c r="B33" i="77"/>
  <c r="D38" i="41"/>
  <c r="E38" i="41"/>
  <c r="I41" i="28"/>
  <c r="N88" i="26"/>
  <c r="J109" i="26"/>
  <c r="E30" i="95"/>
  <c r="D30" i="95"/>
  <c r="E36" i="53"/>
  <c r="D36" i="53"/>
  <c r="G33" i="65"/>
  <c r="H33" i="65"/>
  <c r="I33" i="65" s="1"/>
  <c r="D34" i="65"/>
  <c r="E34" i="65"/>
  <c r="E32" i="82"/>
  <c r="D32" i="82"/>
  <c r="D30" i="99"/>
  <c r="E30" i="99"/>
  <c r="E111" i="33"/>
  <c r="F111" i="33"/>
  <c r="B111" i="33"/>
  <c r="I35" i="61"/>
  <c r="D111" i="26"/>
  <c r="E111" i="26" s="1"/>
  <c r="G110" i="26"/>
  <c r="B38" i="42"/>
  <c r="F38" i="42"/>
  <c r="G38" i="42" s="1"/>
  <c r="B30" i="97"/>
  <c r="F30" i="97"/>
  <c r="H30" i="97" s="1"/>
  <c r="D34" i="68"/>
  <c r="E34" i="68"/>
  <c r="D37" i="45"/>
  <c r="E37" i="45"/>
  <c r="B33" i="13"/>
  <c r="E33" i="13"/>
  <c r="F33" i="13" s="1"/>
  <c r="I31" i="92"/>
  <c r="I116" i="42"/>
  <c r="H116" i="42"/>
  <c r="B39" i="3"/>
  <c r="F39" i="3"/>
  <c r="H39" i="3" s="1"/>
  <c r="I37" i="41"/>
  <c r="B112" i="13"/>
  <c r="E112" i="13"/>
  <c r="F112" i="13" s="1"/>
  <c r="H35" i="58"/>
  <c r="I35" i="58" s="1"/>
  <c r="D36" i="58"/>
  <c r="E36" i="58"/>
  <c r="D40" i="24"/>
  <c r="E40" i="24"/>
  <c r="M89" i="26"/>
  <c r="N17" i="2"/>
  <c r="G35" i="53"/>
  <c r="I35" i="53" s="1"/>
  <c r="J116" i="44"/>
  <c r="H31" i="82"/>
  <c r="I31" i="82" s="1"/>
  <c r="E34" i="66"/>
  <c r="D34" i="66"/>
  <c r="G29" i="99"/>
  <c r="I29" i="99" s="1"/>
  <c r="I110" i="33"/>
  <c r="H110" i="33"/>
  <c r="B41" i="70"/>
  <c r="F41" i="70"/>
  <c r="I40" i="71"/>
  <c r="F38" i="43"/>
  <c r="B38" i="43"/>
  <c r="F32" i="80"/>
  <c r="B32" i="80"/>
  <c r="E31" i="26"/>
  <c r="F31" i="26" s="1"/>
  <c r="B31" i="26"/>
  <c r="N7" i="26"/>
  <c r="M17" i="1"/>
  <c r="I30" i="87"/>
  <c r="D36" i="59"/>
  <c r="E36" i="59"/>
  <c r="D120" i="31"/>
  <c r="E120" i="31"/>
  <c r="G119" i="31"/>
  <c r="I39" i="19"/>
  <c r="J118" i="31"/>
  <c r="J110" i="25"/>
  <c r="B36" i="55"/>
  <c r="F36" i="55"/>
  <c r="H36" i="55" s="1"/>
  <c r="D32" i="91"/>
  <c r="E32" i="91"/>
  <c r="E41" i="71"/>
  <c r="D41" i="71"/>
  <c r="B33" i="33"/>
  <c r="F33" i="33"/>
  <c r="H30" i="26"/>
  <c r="H35" i="64"/>
  <c r="I35" i="64" s="1"/>
  <c r="D36" i="64"/>
  <c r="E36" i="64"/>
  <c r="F32" i="86"/>
  <c r="B32" i="86"/>
  <c r="G111" i="25"/>
  <c r="D112" i="25"/>
  <c r="L18" i="1"/>
  <c r="Q126" i="1"/>
  <c r="I31" i="91"/>
  <c r="E94" i="36"/>
  <c r="H30" i="25"/>
  <c r="I30" i="25" s="1"/>
  <c r="J115" i="45"/>
  <c r="H35" i="59"/>
  <c r="I35" i="59" s="1"/>
  <c r="G30" i="26"/>
  <c r="D36" i="61"/>
  <c r="E36" i="61"/>
  <c r="E40" i="19"/>
  <c r="D40" i="19"/>
  <c r="H38" i="17"/>
  <c r="I38" i="17" s="1"/>
  <c r="D39" i="17"/>
  <c r="E39" i="17"/>
  <c r="J116" i="74"/>
  <c r="J116" i="73"/>
  <c r="J114" i="72"/>
  <c r="J109" i="89"/>
  <c r="J109" i="84"/>
  <c r="J116" i="55"/>
  <c r="J111" i="79"/>
  <c r="G121" i="17"/>
  <c r="D122" i="17"/>
  <c r="E122" i="17"/>
  <c r="J110" i="81"/>
  <c r="J119" i="30"/>
  <c r="E116" i="60"/>
  <c r="G115" i="60"/>
  <c r="D116" i="60"/>
  <c r="G123" i="70"/>
  <c r="E124" i="70"/>
  <c r="D124" i="70"/>
  <c r="J113" i="61"/>
  <c r="J109" i="98"/>
  <c r="J117" i="21"/>
  <c r="J110" i="83"/>
  <c r="G121" i="28"/>
  <c r="D122" i="28"/>
  <c r="E122" i="28"/>
  <c r="F30" i="100"/>
  <c r="H30" i="100" s="1"/>
  <c r="B30" i="100"/>
  <c r="J109" i="86"/>
  <c r="J120" i="28"/>
  <c r="D111" i="89"/>
  <c r="G110" i="89"/>
  <c r="E111" i="89"/>
  <c r="J112" i="68"/>
  <c r="D113" i="79"/>
  <c r="G112" i="79"/>
  <c r="E113" i="79"/>
  <c r="F31" i="89"/>
  <c r="H31" i="89" s="1"/>
  <c r="B31" i="89"/>
  <c r="J118" i="24"/>
  <c r="J114" i="54"/>
  <c r="D117" i="45"/>
  <c r="G116" i="45"/>
  <c r="E117" i="45"/>
  <c r="G115" i="56"/>
  <c r="D116" i="56"/>
  <c r="E116" i="56"/>
  <c r="G115" i="57"/>
  <c r="D116" i="57"/>
  <c r="E116" i="57"/>
  <c r="B121" i="23"/>
  <c r="F121" i="23"/>
  <c r="D118" i="39"/>
  <c r="G117" i="39"/>
  <c r="E118" i="39"/>
  <c r="B116" i="67"/>
  <c r="F116" i="67"/>
  <c r="B123" i="29"/>
  <c r="F123" i="29"/>
  <c r="D120" i="24"/>
  <c r="G119" i="24"/>
  <c r="E120" i="24"/>
  <c r="G120" i="27"/>
  <c r="D121" i="27"/>
  <c r="E121" i="27"/>
  <c r="G113" i="65"/>
  <c r="D114" i="65"/>
  <c r="E114" i="65"/>
  <c r="J114" i="53"/>
  <c r="J110" i="100"/>
  <c r="F35" i="62"/>
  <c r="H35" i="62" s="1"/>
  <c r="B35" i="62"/>
  <c r="G115" i="53"/>
  <c r="D116" i="53"/>
  <c r="E116" i="53"/>
  <c r="J112" i="85"/>
  <c r="D118" i="74"/>
  <c r="G117" i="74"/>
  <c r="E118" i="74"/>
  <c r="G110" i="86"/>
  <c r="D111" i="86"/>
  <c r="E111" i="86"/>
  <c r="H120" i="23"/>
  <c r="I120" i="23"/>
  <c r="J120" i="23" s="1"/>
  <c r="J114" i="57"/>
  <c r="J110" i="99"/>
  <c r="G111" i="99"/>
  <c r="D112" i="99"/>
  <c r="E112" i="99"/>
  <c r="F119" i="34"/>
  <c r="B119" i="34"/>
  <c r="J117" i="22"/>
  <c r="D114" i="68"/>
  <c r="G113" i="68"/>
  <c r="E114" i="68"/>
  <c r="H122" i="29"/>
  <c r="I122" i="29"/>
  <c r="D113" i="76"/>
  <c r="G112" i="76"/>
  <c r="E113" i="76"/>
  <c r="G120" i="69"/>
  <c r="D121" i="69"/>
  <c r="E121" i="69"/>
  <c r="J109" i="96"/>
  <c r="J112" i="82"/>
  <c r="G118" i="18"/>
  <c r="D119" i="18"/>
  <c r="E119" i="18"/>
  <c r="J114" i="46"/>
  <c r="G119" i="71"/>
  <c r="D120" i="71"/>
  <c r="E120" i="71"/>
  <c r="G111" i="81"/>
  <c r="D112" i="81"/>
  <c r="E112" i="81"/>
  <c r="B30" i="96"/>
  <c r="F30" i="96"/>
  <c r="G30" i="96" s="1"/>
  <c r="D118" i="41"/>
  <c r="G117" i="41"/>
  <c r="E118" i="41"/>
  <c r="B33" i="78"/>
  <c r="F33" i="78"/>
  <c r="H33" i="78" s="1"/>
  <c r="G119" i="32"/>
  <c r="D120" i="32"/>
  <c r="E120" i="32"/>
  <c r="D119" i="22"/>
  <c r="G118" i="22"/>
  <c r="E119" i="22"/>
  <c r="B39" i="18"/>
  <c r="F39" i="18"/>
  <c r="H118" i="34"/>
  <c r="I118" i="34"/>
  <c r="F38" i="39"/>
  <c r="G38" i="39" s="1"/>
  <c r="B38" i="39"/>
  <c r="E111" i="92"/>
  <c r="D111" i="92"/>
  <c r="G110" i="92"/>
  <c r="H113" i="66"/>
  <c r="I113" i="66"/>
  <c r="F115" i="63"/>
  <c r="B115" i="63"/>
  <c r="F114" i="78"/>
  <c r="B114" i="78"/>
  <c r="B36" i="54"/>
  <c r="F36" i="54"/>
  <c r="H36" i="54" s="1"/>
  <c r="D112" i="100"/>
  <c r="G111" i="100"/>
  <c r="E112" i="100"/>
  <c r="J109" i="91"/>
  <c r="B32" i="88"/>
  <c r="F32" i="88"/>
  <c r="F31" i="87"/>
  <c r="G31" i="87" s="1"/>
  <c r="B31" i="87"/>
  <c r="B31" i="90"/>
  <c r="F31" i="90"/>
  <c r="G31" i="90" s="1"/>
  <c r="J115" i="62"/>
  <c r="B119" i="19"/>
  <c r="F119" i="19"/>
  <c r="B40" i="32"/>
  <c r="F40" i="32"/>
  <c r="H40" i="32" s="1"/>
  <c r="F114" i="66"/>
  <c r="B114" i="66"/>
  <c r="H114" i="63"/>
  <c r="I114" i="63"/>
  <c r="J114" i="63" s="1"/>
  <c r="E118" i="55"/>
  <c r="D118" i="55"/>
  <c r="G117" i="55"/>
  <c r="G115" i="54"/>
  <c r="D116" i="54"/>
  <c r="E116" i="54"/>
  <c r="I113" i="78"/>
  <c r="H113" i="78"/>
  <c r="J116" i="41"/>
  <c r="F39" i="22"/>
  <c r="H39" i="22" s="1"/>
  <c r="G39" i="22"/>
  <c r="B39" i="22"/>
  <c r="D112" i="80"/>
  <c r="G111" i="80"/>
  <c r="E112" i="80"/>
  <c r="G110" i="98"/>
  <c r="D111" i="98"/>
  <c r="E111" i="98"/>
  <c r="J118" i="32"/>
  <c r="J114" i="56"/>
  <c r="J113" i="75"/>
  <c r="D31" i="25"/>
  <c r="J109" i="90"/>
  <c r="H118" i="19"/>
  <c r="I118" i="19"/>
  <c r="J109" i="92"/>
  <c r="J113" i="59"/>
  <c r="G115" i="46"/>
  <c r="D116" i="46"/>
  <c r="E116" i="46"/>
  <c r="G112" i="77"/>
  <c r="D113" i="77"/>
  <c r="E113" i="77"/>
  <c r="D115" i="61"/>
  <c r="G114" i="61"/>
  <c r="E115" i="61"/>
  <c r="F41" i="30"/>
  <c r="B41" i="30"/>
  <c r="G121" i="20"/>
  <c r="E122" i="20"/>
  <c r="D122" i="20"/>
  <c r="G115" i="72"/>
  <c r="D116" i="72"/>
  <c r="E116" i="72"/>
  <c r="B41" i="29"/>
  <c r="F41" i="29"/>
  <c r="G41" i="29" s="1"/>
  <c r="G118" i="3"/>
  <c r="D119" i="3"/>
  <c r="E119" i="3"/>
  <c r="J128" i="35"/>
  <c r="G117" i="73"/>
  <c r="D118" i="73"/>
  <c r="E118" i="73"/>
  <c r="G115" i="58"/>
  <c r="D116" i="58"/>
  <c r="E116" i="58"/>
  <c r="I129" i="35"/>
  <c r="H129" i="35"/>
  <c r="G110" i="88"/>
  <c r="D111" i="88"/>
  <c r="E111" i="88"/>
  <c r="J117" i="18"/>
  <c r="B39" i="21"/>
  <c r="F39" i="21"/>
  <c r="H39" i="21" s="1"/>
  <c r="G113" i="85"/>
  <c r="D114" i="85"/>
  <c r="E114" i="85"/>
  <c r="G110" i="96"/>
  <c r="D111" i="96"/>
  <c r="E111" i="96"/>
  <c r="D119" i="21"/>
  <c r="G118" i="21"/>
  <c r="E119" i="21"/>
  <c r="G110" i="91"/>
  <c r="D111" i="91"/>
  <c r="E111" i="91"/>
  <c r="D115" i="75"/>
  <c r="G114" i="75"/>
  <c r="E115" i="75"/>
  <c r="G111" i="83"/>
  <c r="D112" i="83"/>
  <c r="E112" i="83"/>
  <c r="I115" i="67"/>
  <c r="H115" i="67"/>
  <c r="B131" i="35"/>
  <c r="G130" i="35"/>
  <c r="E131" i="35"/>
  <c r="F131" i="35" s="1"/>
  <c r="G114" i="59"/>
  <c r="D115" i="59"/>
  <c r="E115" i="59"/>
  <c r="G110" i="90"/>
  <c r="D111" i="90"/>
  <c r="E111" i="90"/>
  <c r="F33" i="75"/>
  <c r="G33" i="75" s="1"/>
  <c r="B33" i="75"/>
  <c r="G114" i="64"/>
  <c r="D115" i="64"/>
  <c r="E115" i="64"/>
  <c r="G120" i="30"/>
  <c r="D121" i="30"/>
  <c r="E121" i="30"/>
  <c r="G110" i="84"/>
  <c r="D111" i="84"/>
  <c r="E111" i="84"/>
  <c r="E117" i="62"/>
  <c r="D117" i="62"/>
  <c r="G116" i="62"/>
  <c r="D114" i="82"/>
  <c r="E114" i="82"/>
  <c r="G113" i="82"/>
  <c r="F28" i="36"/>
  <c r="I28" i="36"/>
  <c r="F111" i="87" l="1"/>
  <c r="B111" i="87"/>
  <c r="H111" i="95"/>
  <c r="I111" i="95"/>
  <c r="B112" i="95"/>
  <c r="F112" i="95"/>
  <c r="H31" i="90"/>
  <c r="J116" i="43"/>
  <c r="I110" i="87"/>
  <c r="J110" i="87" s="1"/>
  <c r="H110" i="87"/>
  <c r="V28" i="36"/>
  <c r="I93" i="36"/>
  <c r="G39" i="3"/>
  <c r="I39" i="3" s="1"/>
  <c r="F34" i="68"/>
  <c r="B34" i="68"/>
  <c r="H34" i="68"/>
  <c r="G34" i="68"/>
  <c r="H110" i="26"/>
  <c r="I110" i="26"/>
  <c r="J110" i="26" s="1"/>
  <c r="F30" i="99"/>
  <c r="B30" i="99"/>
  <c r="F34" i="65"/>
  <c r="B34" i="65"/>
  <c r="N89" i="26"/>
  <c r="O88" i="26"/>
  <c r="O89" i="26" s="1"/>
  <c r="O17" i="2"/>
  <c r="D118" i="43"/>
  <c r="G117" i="43"/>
  <c r="E118" i="43"/>
  <c r="I45" i="35"/>
  <c r="F33" i="79"/>
  <c r="B33" i="79"/>
  <c r="H40" i="23"/>
  <c r="I40" i="23" s="1"/>
  <c r="F32" i="83"/>
  <c r="G32" i="83" s="1"/>
  <c r="B32" i="83"/>
  <c r="B38" i="44"/>
  <c r="F38" i="44"/>
  <c r="H38" i="44" s="1"/>
  <c r="E31" i="98"/>
  <c r="D31" i="98"/>
  <c r="E33" i="85"/>
  <c r="D33" i="85"/>
  <c r="B35" i="63"/>
  <c r="F35" i="63"/>
  <c r="H35" i="63" s="1"/>
  <c r="J111" i="13"/>
  <c r="G36" i="55"/>
  <c r="I36" i="55" s="1"/>
  <c r="B34" i="66"/>
  <c r="F34" i="66"/>
  <c r="H34" i="66" s="1"/>
  <c r="B40" i="24"/>
  <c r="F40" i="24"/>
  <c r="H40" i="24" s="1"/>
  <c r="G112" i="13"/>
  <c r="D113" i="13"/>
  <c r="J116" i="42"/>
  <c r="D39" i="42"/>
  <c r="E39" i="42"/>
  <c r="D112" i="33"/>
  <c r="B112" i="33" s="1"/>
  <c r="G111" i="33"/>
  <c r="B32" i="82"/>
  <c r="G32" i="82"/>
  <c r="F32" i="82"/>
  <c r="H32" i="82" s="1"/>
  <c r="F30" i="95"/>
  <c r="B30" i="95"/>
  <c r="G30" i="95"/>
  <c r="H30" i="95"/>
  <c r="B32" i="84"/>
  <c r="F32" i="84"/>
  <c r="G32" i="84" s="1"/>
  <c r="F34" i="67"/>
  <c r="H34" i="67" s="1"/>
  <c r="B34" i="67"/>
  <c r="B118" i="44"/>
  <c r="F118" i="44"/>
  <c r="E34" i="76"/>
  <c r="D34" i="76"/>
  <c r="B36" i="56"/>
  <c r="F36" i="56"/>
  <c r="G36" i="56" s="1"/>
  <c r="H36" i="56"/>
  <c r="R133" i="2"/>
  <c r="N18" i="2"/>
  <c r="D40" i="3"/>
  <c r="E40" i="3"/>
  <c r="B37" i="45"/>
  <c r="F37" i="45"/>
  <c r="H37" i="45" s="1"/>
  <c r="G30" i="97"/>
  <c r="I30" i="97" s="1"/>
  <c r="E31" i="97"/>
  <c r="D31" i="97"/>
  <c r="F111" i="26"/>
  <c r="B111" i="26"/>
  <c r="H33" i="77"/>
  <c r="I33" i="77" s="1"/>
  <c r="E34" i="77"/>
  <c r="D34" i="77"/>
  <c r="B36" i="57"/>
  <c r="F36" i="57"/>
  <c r="H36" i="57" s="1"/>
  <c r="G32" i="81"/>
  <c r="I32" i="81" s="1"/>
  <c r="D33" i="81"/>
  <c r="E33" i="81"/>
  <c r="E112" i="97"/>
  <c r="G111" i="97"/>
  <c r="D112" i="97"/>
  <c r="B36" i="46"/>
  <c r="F36" i="46"/>
  <c r="H36" i="46"/>
  <c r="B32" i="92"/>
  <c r="F32" i="92"/>
  <c r="H32" i="92" s="1"/>
  <c r="E41" i="23"/>
  <c r="D41" i="23"/>
  <c r="D37" i="72"/>
  <c r="E37" i="72"/>
  <c r="F42" i="28"/>
  <c r="H42" i="28" s="1"/>
  <c r="B42" i="28"/>
  <c r="H117" i="44"/>
  <c r="I117" i="44"/>
  <c r="F41" i="69"/>
  <c r="B41" i="69"/>
  <c r="H41" i="69"/>
  <c r="G39" i="21"/>
  <c r="J110" i="33"/>
  <c r="F36" i="58"/>
  <c r="B36" i="58"/>
  <c r="H36" i="58"/>
  <c r="H33" i="13"/>
  <c r="D34" i="13"/>
  <c r="G33" i="13"/>
  <c r="E34" i="13"/>
  <c r="H38" i="42"/>
  <c r="I38" i="42" s="1"/>
  <c r="F36" i="53"/>
  <c r="B36" i="53"/>
  <c r="G36" i="53"/>
  <c r="H36" i="53"/>
  <c r="F38" i="41"/>
  <c r="B38" i="41"/>
  <c r="H38" i="41"/>
  <c r="G38" i="41"/>
  <c r="E118" i="42"/>
  <c r="D118" i="42"/>
  <c r="G117" i="42"/>
  <c r="B40" i="31"/>
  <c r="F40" i="31"/>
  <c r="G40" i="31" s="1"/>
  <c r="B47" i="35"/>
  <c r="E47" i="35"/>
  <c r="F47" i="35" s="1"/>
  <c r="H46" i="35"/>
  <c r="G46" i="35"/>
  <c r="H35" i="60"/>
  <c r="B35" i="60"/>
  <c r="F35" i="60"/>
  <c r="F39" i="20"/>
  <c r="G39" i="20" s="1"/>
  <c r="B39" i="20"/>
  <c r="H36" i="72"/>
  <c r="I36" i="72" s="1"/>
  <c r="I30" i="98"/>
  <c r="J110" i="97"/>
  <c r="B40" i="34"/>
  <c r="F40" i="34"/>
  <c r="H40" i="34"/>
  <c r="H32" i="85"/>
  <c r="I32" i="85" s="1"/>
  <c r="F38" i="73"/>
  <c r="G38" i="73" s="1"/>
  <c r="B38" i="73"/>
  <c r="H38" i="73"/>
  <c r="B38" i="74"/>
  <c r="F38" i="74"/>
  <c r="H38" i="74" s="1"/>
  <c r="B41" i="27"/>
  <c r="F41" i="27"/>
  <c r="G41" i="27" s="1"/>
  <c r="G33" i="76"/>
  <c r="I33" i="76" s="1"/>
  <c r="G28" i="36"/>
  <c r="G93" i="36" s="1"/>
  <c r="G94" i="36" s="1"/>
  <c r="F93" i="36"/>
  <c r="G31" i="89"/>
  <c r="I31" i="89" s="1"/>
  <c r="E33" i="86"/>
  <c r="D33" i="86"/>
  <c r="F36" i="64"/>
  <c r="H36" i="64" s="1"/>
  <c r="B36" i="64"/>
  <c r="D34" i="33"/>
  <c r="E34" i="33" s="1"/>
  <c r="F34" i="33" s="1"/>
  <c r="F41" i="71"/>
  <c r="G41" i="71" s="1"/>
  <c r="B41" i="71"/>
  <c r="B32" i="91"/>
  <c r="F32" i="91"/>
  <c r="H32" i="91" s="1"/>
  <c r="F120" i="31"/>
  <c r="B120" i="31"/>
  <c r="D32" i="26"/>
  <c r="E32" i="26" s="1"/>
  <c r="H32" i="80"/>
  <c r="E33" i="80"/>
  <c r="D33" i="80"/>
  <c r="D39" i="43"/>
  <c r="E39" i="43"/>
  <c r="G41" i="70"/>
  <c r="D42" i="70"/>
  <c r="E42" i="70"/>
  <c r="I39" i="22"/>
  <c r="F39" i="17"/>
  <c r="G39" i="17" s="1"/>
  <c r="B39" i="17"/>
  <c r="C48" i="17"/>
  <c r="E112" i="25"/>
  <c r="F112" i="25" s="1"/>
  <c r="B112" i="25"/>
  <c r="H32" i="86"/>
  <c r="H33" i="33"/>
  <c r="M18" i="1"/>
  <c r="Q127" i="1"/>
  <c r="N17" i="1"/>
  <c r="H31" i="26"/>
  <c r="G38" i="43"/>
  <c r="G35" i="62"/>
  <c r="I35" i="62" s="1"/>
  <c r="H31" i="87"/>
  <c r="I31" i="87" s="1"/>
  <c r="B36" i="61"/>
  <c r="F36" i="61"/>
  <c r="H36" i="61" s="1"/>
  <c r="H111" i="25"/>
  <c r="I111" i="25"/>
  <c r="G32" i="86"/>
  <c r="I30" i="26"/>
  <c r="D37" i="55"/>
  <c r="E37" i="55"/>
  <c r="H119" i="31"/>
  <c r="I119" i="31"/>
  <c r="J119" i="31" s="1"/>
  <c r="F36" i="59"/>
  <c r="B36" i="59"/>
  <c r="H38" i="43"/>
  <c r="H38" i="39"/>
  <c r="I38" i="39" s="1"/>
  <c r="B40" i="19"/>
  <c r="F40" i="19"/>
  <c r="G40" i="19" s="1"/>
  <c r="G33" i="33"/>
  <c r="G31" i="26"/>
  <c r="G32" i="80"/>
  <c r="H41" i="70"/>
  <c r="I41" i="70" s="1"/>
  <c r="J129" i="35"/>
  <c r="J122" i="29"/>
  <c r="J113" i="78"/>
  <c r="F116" i="60"/>
  <c r="B116" i="60"/>
  <c r="I115" i="60"/>
  <c r="J115" i="60" s="1"/>
  <c r="H115" i="60"/>
  <c r="F122" i="17"/>
  <c r="B122" i="17"/>
  <c r="B124" i="70"/>
  <c r="F124" i="70"/>
  <c r="I121" i="17"/>
  <c r="H121" i="17"/>
  <c r="I123" i="70"/>
  <c r="J123" i="70" s="1"/>
  <c r="H123" i="70"/>
  <c r="H121" i="20"/>
  <c r="I121" i="20"/>
  <c r="H114" i="61"/>
  <c r="I114" i="61"/>
  <c r="B31" i="25"/>
  <c r="I115" i="54"/>
  <c r="H115" i="54"/>
  <c r="G119" i="19"/>
  <c r="D120" i="19"/>
  <c r="E120" i="19"/>
  <c r="D33" i="88"/>
  <c r="E33" i="88"/>
  <c r="I110" i="92"/>
  <c r="H110" i="92"/>
  <c r="H117" i="41"/>
  <c r="I117" i="41"/>
  <c r="B114" i="68"/>
  <c r="F114" i="68"/>
  <c r="F111" i="86"/>
  <c r="B111" i="86"/>
  <c r="I117" i="39"/>
  <c r="H117" i="39"/>
  <c r="J115" i="67"/>
  <c r="H118" i="21"/>
  <c r="I118" i="21"/>
  <c r="J118" i="21" s="1"/>
  <c r="I113" i="85"/>
  <c r="J113" i="85" s="1"/>
  <c r="H113" i="85"/>
  <c r="B118" i="73"/>
  <c r="F118" i="73"/>
  <c r="B115" i="61"/>
  <c r="F115" i="61"/>
  <c r="H111" i="80"/>
  <c r="I111" i="80"/>
  <c r="J111" i="80" s="1"/>
  <c r="H117" i="55"/>
  <c r="I117" i="55"/>
  <c r="I31" i="90"/>
  <c r="H111" i="100"/>
  <c r="I111" i="100"/>
  <c r="E116" i="63"/>
  <c r="G115" i="63"/>
  <c r="D116" i="63"/>
  <c r="F111" i="92"/>
  <c r="B111" i="92"/>
  <c r="D40" i="18"/>
  <c r="E40" i="18"/>
  <c r="B120" i="32"/>
  <c r="F120" i="32"/>
  <c r="B118" i="41"/>
  <c r="F118" i="41"/>
  <c r="F112" i="81"/>
  <c r="B112" i="81"/>
  <c r="I112" i="76"/>
  <c r="H112" i="76"/>
  <c r="F112" i="99"/>
  <c r="B112" i="99"/>
  <c r="H110" i="86"/>
  <c r="I110" i="86"/>
  <c r="B118" i="39"/>
  <c r="F118" i="39"/>
  <c r="H114" i="64"/>
  <c r="I114" i="64"/>
  <c r="I110" i="84"/>
  <c r="H110" i="84"/>
  <c r="B111" i="91"/>
  <c r="F111" i="91"/>
  <c r="B119" i="21"/>
  <c r="F119" i="21"/>
  <c r="I39" i="21"/>
  <c r="F111" i="88"/>
  <c r="B111" i="88"/>
  <c r="H117" i="73"/>
  <c r="I117" i="73"/>
  <c r="J118" i="19"/>
  <c r="F112" i="80"/>
  <c r="B112" i="80"/>
  <c r="B118" i="55"/>
  <c r="F118" i="55"/>
  <c r="E32" i="90"/>
  <c r="D32" i="90"/>
  <c r="H32" i="88"/>
  <c r="F112" i="100"/>
  <c r="B112" i="100"/>
  <c r="D37" i="54"/>
  <c r="E37" i="54"/>
  <c r="G39" i="18"/>
  <c r="H119" i="32"/>
  <c r="I119" i="32"/>
  <c r="J119" i="32" s="1"/>
  <c r="H111" i="81"/>
  <c r="I111" i="81"/>
  <c r="F119" i="18"/>
  <c r="B119" i="18"/>
  <c r="F113" i="76"/>
  <c r="B113" i="76"/>
  <c r="I111" i="99"/>
  <c r="H111" i="99"/>
  <c r="F116" i="53"/>
  <c r="B116" i="53"/>
  <c r="G121" i="23"/>
  <c r="D122" i="23"/>
  <c r="E122" i="23"/>
  <c r="F116" i="57"/>
  <c r="B116" i="57"/>
  <c r="I116" i="45"/>
  <c r="H116" i="45"/>
  <c r="E31" i="100"/>
  <c r="D31" i="100"/>
  <c r="I116" i="62"/>
  <c r="H116" i="62"/>
  <c r="B117" i="62"/>
  <c r="F117" i="62"/>
  <c r="D34" i="75"/>
  <c r="E34" i="75"/>
  <c r="F115" i="59"/>
  <c r="B115" i="59"/>
  <c r="G131" i="35"/>
  <c r="B132" i="35"/>
  <c r="E132" i="35"/>
  <c r="F132" i="35" s="1"/>
  <c r="I110" i="91"/>
  <c r="H110" i="91"/>
  <c r="H110" i="88"/>
  <c r="I110" i="88"/>
  <c r="F113" i="77"/>
  <c r="B113" i="77"/>
  <c r="D32" i="87"/>
  <c r="E32" i="87"/>
  <c r="H39" i="18"/>
  <c r="I39" i="18" s="1"/>
  <c r="E31" i="96"/>
  <c r="D31" i="96"/>
  <c r="H118" i="18"/>
  <c r="I118" i="18"/>
  <c r="J118" i="18" s="1"/>
  <c r="H115" i="53"/>
  <c r="I115" i="53"/>
  <c r="B114" i="65"/>
  <c r="F114" i="65"/>
  <c r="I119" i="24"/>
  <c r="J119" i="24" s="1"/>
  <c r="H119" i="24"/>
  <c r="E124" i="29"/>
  <c r="D124" i="29"/>
  <c r="G123" i="29"/>
  <c r="H115" i="57"/>
  <c r="I115" i="57"/>
  <c r="J115" i="57" s="1"/>
  <c r="F117" i="45"/>
  <c r="B117" i="45"/>
  <c r="D42" i="29"/>
  <c r="E42" i="29"/>
  <c r="F121" i="30"/>
  <c r="B121" i="30"/>
  <c r="H33" i="75"/>
  <c r="I33" i="75" s="1"/>
  <c r="H114" i="59"/>
  <c r="I114" i="59"/>
  <c r="I130" i="35"/>
  <c r="H130" i="35"/>
  <c r="F112" i="83"/>
  <c r="B112" i="83"/>
  <c r="D40" i="21"/>
  <c r="E40" i="21"/>
  <c r="E42" i="30"/>
  <c r="D42" i="30"/>
  <c r="H112" i="77"/>
  <c r="I112" i="77"/>
  <c r="J112" i="77" s="1"/>
  <c r="E41" i="32"/>
  <c r="D41" i="32"/>
  <c r="G36" i="54"/>
  <c r="I36" i="54" s="1"/>
  <c r="E34" i="78"/>
  <c r="D34" i="78"/>
  <c r="B120" i="71"/>
  <c r="F120" i="71"/>
  <c r="I113" i="65"/>
  <c r="H113" i="65"/>
  <c r="B120" i="24"/>
  <c r="F120" i="24"/>
  <c r="H112" i="79"/>
  <c r="I112" i="79"/>
  <c r="F122" i="28"/>
  <c r="B122" i="28"/>
  <c r="B114" i="85"/>
  <c r="F114" i="85"/>
  <c r="I113" i="82"/>
  <c r="H113" i="82"/>
  <c r="F114" i="82"/>
  <c r="B114" i="82"/>
  <c r="H120" i="30"/>
  <c r="I120" i="30"/>
  <c r="H111" i="83"/>
  <c r="I111" i="83"/>
  <c r="F111" i="96"/>
  <c r="B111" i="96"/>
  <c r="F119" i="3"/>
  <c r="B119" i="3"/>
  <c r="B116" i="72"/>
  <c r="F116" i="72"/>
  <c r="G41" i="30"/>
  <c r="G40" i="32"/>
  <c r="I40" i="32" s="1"/>
  <c r="H30" i="96"/>
  <c r="I30" i="96" s="1"/>
  <c r="H119" i="71"/>
  <c r="I119" i="71"/>
  <c r="J119" i="71" s="1"/>
  <c r="E117" i="67"/>
  <c r="D117" i="67"/>
  <c r="G116" i="67"/>
  <c r="B116" i="56"/>
  <c r="F116" i="56"/>
  <c r="B113" i="79"/>
  <c r="F113" i="79"/>
  <c r="H110" i="89"/>
  <c r="I110" i="89"/>
  <c r="H121" i="28"/>
  <c r="I121" i="28"/>
  <c r="F115" i="75"/>
  <c r="B115" i="75"/>
  <c r="B111" i="84"/>
  <c r="F111" i="84"/>
  <c r="F111" i="90"/>
  <c r="B111" i="90"/>
  <c r="I110" i="96"/>
  <c r="H110" i="96"/>
  <c r="B116" i="58"/>
  <c r="F116" i="58"/>
  <c r="H118" i="3"/>
  <c r="I118" i="3"/>
  <c r="I115" i="72"/>
  <c r="H115" i="72"/>
  <c r="B122" i="20"/>
  <c r="F122" i="20"/>
  <c r="H41" i="30"/>
  <c r="I41" i="30" s="1"/>
  <c r="F116" i="46"/>
  <c r="B116" i="46"/>
  <c r="B111" i="98"/>
  <c r="F111" i="98"/>
  <c r="D40" i="22"/>
  <c r="E40" i="22"/>
  <c r="J113" i="66"/>
  <c r="D39" i="39"/>
  <c r="E39" i="39"/>
  <c r="H118" i="22"/>
  <c r="I118" i="22"/>
  <c r="J118" i="22" s="1"/>
  <c r="G33" i="78"/>
  <c r="I33" i="78" s="1"/>
  <c r="B121" i="69"/>
  <c r="F121" i="69"/>
  <c r="H117" i="74"/>
  <c r="I117" i="74"/>
  <c r="D36" i="62"/>
  <c r="E36" i="62"/>
  <c r="F121" i="27"/>
  <c r="B121" i="27"/>
  <c r="I115" i="56"/>
  <c r="H115" i="56"/>
  <c r="B111" i="89"/>
  <c r="F111" i="89"/>
  <c r="F115" i="64"/>
  <c r="B115" i="64"/>
  <c r="H110" i="90"/>
  <c r="I110" i="90"/>
  <c r="I114" i="75"/>
  <c r="H114" i="75"/>
  <c r="I115" i="58"/>
  <c r="J115" i="58" s="1"/>
  <c r="H115" i="58"/>
  <c r="H41" i="29"/>
  <c r="I41" i="29" s="1"/>
  <c r="H115" i="46"/>
  <c r="I115" i="46"/>
  <c r="E31" i="25"/>
  <c r="F31" i="25" s="1"/>
  <c r="H110" i="98"/>
  <c r="I110" i="98"/>
  <c r="B116" i="54"/>
  <c r="F116" i="54"/>
  <c r="E115" i="66"/>
  <c r="G114" i="66"/>
  <c r="D115" i="66"/>
  <c r="G32" i="88"/>
  <c r="E115" i="78"/>
  <c r="G114" i="78"/>
  <c r="D115" i="78"/>
  <c r="J118" i="34"/>
  <c r="B119" i="22"/>
  <c r="F119" i="22"/>
  <c r="I120" i="69"/>
  <c r="J120" i="69" s="1"/>
  <c r="H120" i="69"/>
  <c r="H113" i="68"/>
  <c r="I113" i="68"/>
  <c r="G119" i="34"/>
  <c r="D120" i="34"/>
  <c r="E120" i="34"/>
  <c r="B118" i="74"/>
  <c r="F118" i="74"/>
  <c r="H120" i="27"/>
  <c r="I120" i="27"/>
  <c r="E32" i="89"/>
  <c r="D32" i="89"/>
  <c r="G30" i="100"/>
  <c r="I30" i="100" s="1"/>
  <c r="I42" i="28" l="1"/>
  <c r="I36" i="53"/>
  <c r="I33" i="13"/>
  <c r="G42" i="28"/>
  <c r="G36" i="57"/>
  <c r="I36" i="57" s="1"/>
  <c r="G37" i="45"/>
  <c r="I30" i="95"/>
  <c r="J111" i="95"/>
  <c r="G38" i="74"/>
  <c r="I38" i="74" s="1"/>
  <c r="J117" i="44"/>
  <c r="G35" i="63"/>
  <c r="J110" i="84"/>
  <c r="E113" i="95"/>
  <c r="G112" i="95"/>
  <c r="D113" i="95"/>
  <c r="I46" i="35"/>
  <c r="D112" i="87"/>
  <c r="G111" i="87"/>
  <c r="E112" i="87"/>
  <c r="I111" i="97"/>
  <c r="H111" i="97"/>
  <c r="E35" i="67"/>
  <c r="D35" i="67"/>
  <c r="I32" i="82"/>
  <c r="E112" i="33"/>
  <c r="F112" i="33" s="1"/>
  <c r="B39" i="42"/>
  <c r="F39" i="42"/>
  <c r="H39" i="42" s="1"/>
  <c r="G40" i="24"/>
  <c r="I40" i="24" s="1"/>
  <c r="G34" i="66"/>
  <c r="I34" i="66" s="1"/>
  <c r="I35" i="63"/>
  <c r="B31" i="98"/>
  <c r="G31" i="98"/>
  <c r="F31" i="98"/>
  <c r="H31" i="98"/>
  <c r="D39" i="44"/>
  <c r="E39" i="44"/>
  <c r="H117" i="43"/>
  <c r="I117" i="43"/>
  <c r="J117" i="43" s="1"/>
  <c r="G32" i="91"/>
  <c r="E39" i="73"/>
  <c r="D39" i="73"/>
  <c r="E41" i="34"/>
  <c r="D41" i="34"/>
  <c r="E40" i="20"/>
  <c r="D40" i="20"/>
  <c r="E41" i="31"/>
  <c r="D41" i="31"/>
  <c r="H117" i="42"/>
  <c r="I117" i="42"/>
  <c r="I38" i="41"/>
  <c r="D42" i="69"/>
  <c r="E42" i="69"/>
  <c r="B37" i="72"/>
  <c r="F37" i="72"/>
  <c r="H37" i="72" s="1"/>
  <c r="D33" i="92"/>
  <c r="E33" i="92"/>
  <c r="G36" i="46"/>
  <c r="I36" i="46" s="1"/>
  <c r="D37" i="46"/>
  <c r="E37" i="46"/>
  <c r="F34" i="77"/>
  <c r="G34" i="77" s="1"/>
  <c r="B34" i="77"/>
  <c r="G111" i="26"/>
  <c r="D112" i="26"/>
  <c r="I37" i="45"/>
  <c r="I36" i="56"/>
  <c r="B34" i="76"/>
  <c r="F34" i="76"/>
  <c r="G34" i="67"/>
  <c r="D33" i="82"/>
  <c r="E33" i="82"/>
  <c r="I111" i="33"/>
  <c r="H111" i="33"/>
  <c r="D33" i="83"/>
  <c r="E33" i="83"/>
  <c r="H33" i="79"/>
  <c r="D34" i="79"/>
  <c r="E34" i="79"/>
  <c r="B118" i="43"/>
  <c r="F118" i="43"/>
  <c r="G30" i="99"/>
  <c r="D31" i="99"/>
  <c r="E31" i="99"/>
  <c r="I34" i="68"/>
  <c r="D42" i="27"/>
  <c r="E42" i="27"/>
  <c r="I38" i="73"/>
  <c r="G35" i="60"/>
  <c r="I35" i="60" s="1"/>
  <c r="D36" i="60"/>
  <c r="E36" i="60"/>
  <c r="F118" i="42"/>
  <c r="B118" i="42"/>
  <c r="B41" i="23"/>
  <c r="F41" i="23"/>
  <c r="G41" i="23" s="1"/>
  <c r="B31" i="97"/>
  <c r="F31" i="97"/>
  <c r="H31" i="97" s="1"/>
  <c r="B40" i="3"/>
  <c r="F40" i="3"/>
  <c r="G40" i="3" s="1"/>
  <c r="I34" i="67"/>
  <c r="H32" i="84"/>
  <c r="I32" i="84" s="1"/>
  <c r="E33" i="84"/>
  <c r="D33" i="84"/>
  <c r="E113" i="13"/>
  <c r="F113" i="13" s="1"/>
  <c r="B113" i="13"/>
  <c r="E41" i="24"/>
  <c r="D41" i="24"/>
  <c r="D35" i="66"/>
  <c r="E35" i="66"/>
  <c r="F33" i="85"/>
  <c r="H33" i="85" s="1"/>
  <c r="B33" i="85"/>
  <c r="R134" i="2"/>
  <c r="P17" i="2"/>
  <c r="P18" i="2" s="1"/>
  <c r="P19" i="2" s="1"/>
  <c r="O18" i="2"/>
  <c r="G34" i="65"/>
  <c r="H34" i="65"/>
  <c r="D35" i="65"/>
  <c r="E35" i="65"/>
  <c r="J110" i="96"/>
  <c r="G36" i="61"/>
  <c r="I36" i="61" s="1"/>
  <c r="H41" i="71"/>
  <c r="H41" i="27"/>
  <c r="I41" i="27" s="1"/>
  <c r="D39" i="74"/>
  <c r="E39" i="74"/>
  <c r="G40" i="34"/>
  <c r="I40" i="34" s="1"/>
  <c r="H39" i="20"/>
  <c r="I39" i="20" s="1"/>
  <c r="E48" i="35"/>
  <c r="F48" i="35" s="1"/>
  <c r="B48" i="35"/>
  <c r="G47" i="35"/>
  <c r="H47" i="35"/>
  <c r="H40" i="31"/>
  <c r="I40" i="31" s="1"/>
  <c r="E39" i="41"/>
  <c r="D39" i="41"/>
  <c r="D37" i="53"/>
  <c r="E37" i="53"/>
  <c r="F34" i="13"/>
  <c r="G34" i="13"/>
  <c r="B34" i="13"/>
  <c r="G36" i="58"/>
  <c r="I36" i="58" s="1"/>
  <c r="D37" i="58"/>
  <c r="E37" i="58"/>
  <c r="G41" i="69"/>
  <c r="I41" i="69" s="1"/>
  <c r="D43" i="28"/>
  <c r="E43" i="28"/>
  <c r="G32" i="92"/>
  <c r="I32" i="92" s="1"/>
  <c r="F112" i="97"/>
  <c r="B112" i="97"/>
  <c r="F33" i="81"/>
  <c r="B33" i="81"/>
  <c r="H33" i="81"/>
  <c r="G33" i="81"/>
  <c r="E37" i="57"/>
  <c r="D37" i="57"/>
  <c r="D38" i="45"/>
  <c r="E38" i="45"/>
  <c r="E37" i="56"/>
  <c r="D37" i="56"/>
  <c r="G118" i="44"/>
  <c r="D119" i="44"/>
  <c r="E119" i="44"/>
  <c r="E31" i="95"/>
  <c r="D31" i="95"/>
  <c r="H112" i="13"/>
  <c r="I112" i="13"/>
  <c r="D36" i="63"/>
  <c r="E36" i="63"/>
  <c r="G38" i="44"/>
  <c r="I38" i="44" s="1"/>
  <c r="H32" i="83"/>
  <c r="I32" i="83" s="1"/>
  <c r="G33" i="79"/>
  <c r="I33" i="79" s="1"/>
  <c r="H30" i="99"/>
  <c r="I30" i="99" s="1"/>
  <c r="E35" i="68"/>
  <c r="D35" i="68"/>
  <c r="E113" i="25"/>
  <c r="G112" i="25"/>
  <c r="D113" i="25"/>
  <c r="D35" i="33"/>
  <c r="J110" i="89"/>
  <c r="G36" i="59"/>
  <c r="E37" i="59"/>
  <c r="D37" i="59"/>
  <c r="B37" i="55"/>
  <c r="F37" i="55"/>
  <c r="G37" i="55" s="1"/>
  <c r="J111" i="25"/>
  <c r="I32" i="86"/>
  <c r="B42" i="70"/>
  <c r="F42" i="70"/>
  <c r="G42" i="70" s="1"/>
  <c r="F33" i="80"/>
  <c r="G33" i="80" s="1"/>
  <c r="B33" i="80"/>
  <c r="D33" i="91"/>
  <c r="E33" i="91"/>
  <c r="G36" i="64"/>
  <c r="I36" i="64" s="1"/>
  <c r="D37" i="64"/>
  <c r="E37" i="64"/>
  <c r="D41" i="19"/>
  <c r="E41" i="19"/>
  <c r="I38" i="43"/>
  <c r="H39" i="17"/>
  <c r="I39" i="17" s="1"/>
  <c r="D40" i="17"/>
  <c r="E40" i="17"/>
  <c r="I32" i="91"/>
  <c r="F33" i="86"/>
  <c r="G33" i="86" s="1"/>
  <c r="B33" i="86"/>
  <c r="J115" i="56"/>
  <c r="J111" i="99"/>
  <c r="J110" i="92"/>
  <c r="H36" i="59"/>
  <c r="I36" i="59" s="1"/>
  <c r="D37" i="61"/>
  <c r="E37" i="61"/>
  <c r="I31" i="26"/>
  <c r="I32" i="80"/>
  <c r="G120" i="31"/>
  <c r="D121" i="31"/>
  <c r="E121" i="31"/>
  <c r="D42" i="71"/>
  <c r="E42" i="71"/>
  <c r="J110" i="88"/>
  <c r="H40" i="19"/>
  <c r="I40" i="19" s="1"/>
  <c r="N18" i="1"/>
  <c r="Q128" i="1"/>
  <c r="I33" i="33"/>
  <c r="B39" i="43"/>
  <c r="F39" i="43"/>
  <c r="G39" i="43" s="1"/>
  <c r="F32" i="26"/>
  <c r="G32" i="26" s="1"/>
  <c r="B32" i="26"/>
  <c r="I41" i="71"/>
  <c r="B34" i="33"/>
  <c r="G34" i="33"/>
  <c r="H34" i="33"/>
  <c r="J117" i="74"/>
  <c r="J113" i="65"/>
  <c r="E123" i="17"/>
  <c r="G122" i="17"/>
  <c r="D123" i="17"/>
  <c r="D117" i="60"/>
  <c r="G116" i="60"/>
  <c r="E117" i="60"/>
  <c r="J115" i="46"/>
  <c r="J111" i="100"/>
  <c r="J115" i="54"/>
  <c r="J121" i="17"/>
  <c r="D125" i="70"/>
  <c r="E125" i="70"/>
  <c r="G124" i="70"/>
  <c r="J120" i="30"/>
  <c r="J112" i="79"/>
  <c r="J114" i="59"/>
  <c r="J114" i="64"/>
  <c r="J114" i="61"/>
  <c r="J115" i="53"/>
  <c r="J117" i="41"/>
  <c r="J121" i="28"/>
  <c r="J111" i="83"/>
  <c r="D32" i="25"/>
  <c r="G31" i="25"/>
  <c r="H31" i="25"/>
  <c r="J110" i="98"/>
  <c r="G111" i="89"/>
  <c r="D112" i="89"/>
  <c r="E112" i="89"/>
  <c r="J118" i="3"/>
  <c r="F117" i="67"/>
  <c r="B117" i="67"/>
  <c r="J113" i="82"/>
  <c r="D115" i="65"/>
  <c r="G114" i="65"/>
  <c r="E115" i="65"/>
  <c r="D114" i="77"/>
  <c r="G113" i="77"/>
  <c r="E114" i="77"/>
  <c r="G117" i="62"/>
  <c r="D118" i="62"/>
  <c r="E118" i="62"/>
  <c r="F122" i="23"/>
  <c r="B122" i="23"/>
  <c r="F32" i="90"/>
  <c r="G32" i="90"/>
  <c r="B32" i="90"/>
  <c r="H32" i="90"/>
  <c r="I115" i="63"/>
  <c r="H115" i="63"/>
  <c r="D120" i="22"/>
  <c r="G119" i="22"/>
  <c r="E120" i="22"/>
  <c r="D116" i="64"/>
  <c r="G115" i="64"/>
  <c r="E116" i="64"/>
  <c r="G121" i="27"/>
  <c r="D122" i="27"/>
  <c r="E122" i="27"/>
  <c r="F40" i="22"/>
  <c r="H40" i="22" s="1"/>
  <c r="B40" i="22"/>
  <c r="D123" i="20"/>
  <c r="G122" i="20"/>
  <c r="E123" i="20"/>
  <c r="G111" i="84"/>
  <c r="D112" i="84"/>
  <c r="E112" i="84"/>
  <c r="D120" i="3"/>
  <c r="G119" i="3"/>
  <c r="E120" i="3"/>
  <c r="G114" i="85"/>
  <c r="E115" i="85"/>
  <c r="D115" i="85"/>
  <c r="F42" i="30"/>
  <c r="G42" i="30" s="1"/>
  <c r="B42" i="30"/>
  <c r="B133" i="35"/>
  <c r="E133" i="35"/>
  <c r="F133" i="35" s="1"/>
  <c r="G132" i="35"/>
  <c r="H121" i="23"/>
  <c r="I121" i="23"/>
  <c r="G116" i="53"/>
  <c r="D117" i="53"/>
  <c r="E117" i="53"/>
  <c r="D120" i="18"/>
  <c r="G119" i="18"/>
  <c r="E120" i="18"/>
  <c r="G112" i="80"/>
  <c r="D113" i="80"/>
  <c r="E113" i="80"/>
  <c r="G118" i="39"/>
  <c r="D119" i="39"/>
  <c r="E119" i="39"/>
  <c r="G120" i="32"/>
  <c r="D121" i="32"/>
  <c r="E121" i="32"/>
  <c r="J117" i="55"/>
  <c r="G114" i="68"/>
  <c r="D115" i="68"/>
  <c r="E115" i="68"/>
  <c r="B115" i="66"/>
  <c r="F115" i="66"/>
  <c r="D112" i="98"/>
  <c r="G111" i="98"/>
  <c r="E112" i="98"/>
  <c r="G116" i="58"/>
  <c r="D117" i="58"/>
  <c r="E117" i="58"/>
  <c r="D113" i="83"/>
  <c r="G112" i="83"/>
  <c r="E113" i="83"/>
  <c r="J116" i="45"/>
  <c r="J111" i="81"/>
  <c r="G111" i="88"/>
  <c r="D112" i="88"/>
  <c r="E112" i="88"/>
  <c r="G112" i="99"/>
  <c r="D113" i="99"/>
  <c r="E113" i="99"/>
  <c r="B33" i="88"/>
  <c r="F33" i="88"/>
  <c r="H33" i="88" s="1"/>
  <c r="B120" i="34"/>
  <c r="F120" i="34"/>
  <c r="H114" i="66"/>
  <c r="I114" i="66"/>
  <c r="J114" i="66" s="1"/>
  <c r="F36" i="62"/>
  <c r="G36" i="62" s="1"/>
  <c r="B36" i="62"/>
  <c r="D114" i="79"/>
  <c r="G113" i="79"/>
  <c r="E114" i="79"/>
  <c r="G111" i="96"/>
  <c r="D112" i="96"/>
  <c r="E112" i="96"/>
  <c r="D122" i="30"/>
  <c r="G121" i="30"/>
  <c r="E122" i="30"/>
  <c r="H123" i="29"/>
  <c r="I123" i="29"/>
  <c r="J123" i="29" s="1"/>
  <c r="B31" i="96"/>
  <c r="F31" i="96"/>
  <c r="H31" i="96" s="1"/>
  <c r="H131" i="35"/>
  <c r="I131" i="35"/>
  <c r="B37" i="54"/>
  <c r="F37" i="54"/>
  <c r="H119" i="34"/>
  <c r="I119" i="34"/>
  <c r="J119" i="34" s="1"/>
  <c r="J114" i="75"/>
  <c r="G115" i="75"/>
  <c r="D116" i="75"/>
  <c r="E116" i="75"/>
  <c r="D117" i="72"/>
  <c r="G116" i="72"/>
  <c r="E117" i="72"/>
  <c r="G122" i="28"/>
  <c r="D123" i="28"/>
  <c r="E123" i="28"/>
  <c r="D121" i="71"/>
  <c r="G120" i="71"/>
  <c r="E121" i="71"/>
  <c r="F124" i="29"/>
  <c r="B124" i="29"/>
  <c r="J116" i="62"/>
  <c r="G118" i="55"/>
  <c r="D119" i="55"/>
  <c r="E119" i="55"/>
  <c r="D120" i="21"/>
  <c r="G119" i="21"/>
  <c r="E120" i="21"/>
  <c r="J112" i="76"/>
  <c r="B40" i="18"/>
  <c r="F40" i="18"/>
  <c r="D119" i="73"/>
  <c r="G118" i="73"/>
  <c r="E119" i="73"/>
  <c r="F120" i="19"/>
  <c r="B120" i="19"/>
  <c r="B32" i="89"/>
  <c r="F32" i="89"/>
  <c r="G32" i="89" s="1"/>
  <c r="J120" i="27"/>
  <c r="J113" i="68"/>
  <c r="F115" i="78"/>
  <c r="B115" i="78"/>
  <c r="D117" i="54"/>
  <c r="G116" i="54"/>
  <c r="E117" i="54"/>
  <c r="D117" i="56"/>
  <c r="G116" i="56"/>
  <c r="E117" i="56"/>
  <c r="G117" i="45"/>
  <c r="D118" i="45"/>
  <c r="E118" i="45"/>
  <c r="B32" i="87"/>
  <c r="F32" i="87"/>
  <c r="H32" i="87" s="1"/>
  <c r="D116" i="59"/>
  <c r="G115" i="59"/>
  <c r="E116" i="59"/>
  <c r="B31" i="100"/>
  <c r="F31" i="100"/>
  <c r="E113" i="100"/>
  <c r="G112" i="100"/>
  <c r="D113" i="100"/>
  <c r="G115" i="61"/>
  <c r="D116" i="61"/>
  <c r="E116" i="61"/>
  <c r="H119" i="19"/>
  <c r="I119" i="19"/>
  <c r="J119" i="19" s="1"/>
  <c r="H114" i="78"/>
  <c r="I114" i="78"/>
  <c r="J114" i="78" s="1"/>
  <c r="J110" i="90"/>
  <c r="B39" i="39"/>
  <c r="F39" i="39"/>
  <c r="H39" i="39" s="1"/>
  <c r="J115" i="72"/>
  <c r="E115" i="82"/>
  <c r="G114" i="82"/>
  <c r="D115" i="82"/>
  <c r="G120" i="24"/>
  <c r="D121" i="24"/>
  <c r="E121" i="24"/>
  <c r="B34" i="78"/>
  <c r="F34" i="78"/>
  <c r="H34" i="78" s="1"/>
  <c r="G41" i="32"/>
  <c r="F41" i="32"/>
  <c r="H41" i="32"/>
  <c r="B41" i="32"/>
  <c r="B40" i="21"/>
  <c r="F40" i="21"/>
  <c r="H40" i="21" s="1"/>
  <c r="J130" i="35"/>
  <c r="J110" i="91"/>
  <c r="G116" i="57"/>
  <c r="D117" i="57"/>
  <c r="E117" i="57"/>
  <c r="D112" i="91"/>
  <c r="G111" i="91"/>
  <c r="E112" i="91"/>
  <c r="G112" i="81"/>
  <c r="D113" i="81"/>
  <c r="E113" i="81"/>
  <c r="D112" i="92"/>
  <c r="E112" i="92"/>
  <c r="G111" i="92"/>
  <c r="J117" i="39"/>
  <c r="G111" i="86"/>
  <c r="D112" i="86"/>
  <c r="E112" i="86"/>
  <c r="G118" i="74"/>
  <c r="D119" i="74"/>
  <c r="E119" i="74"/>
  <c r="G121" i="69"/>
  <c r="D122" i="69"/>
  <c r="E122" i="69"/>
  <c r="G116" i="46"/>
  <c r="D117" i="46"/>
  <c r="E117" i="46"/>
  <c r="G111" i="90"/>
  <c r="D112" i="90"/>
  <c r="E112" i="90"/>
  <c r="H116" i="67"/>
  <c r="I116" i="67"/>
  <c r="F42" i="29"/>
  <c r="G42" i="29" s="1"/>
  <c r="B42" i="29"/>
  <c r="F34" i="75"/>
  <c r="G34" i="75" s="1"/>
  <c r="B34" i="75"/>
  <c r="G113" i="76"/>
  <c r="D114" i="76"/>
  <c r="E114" i="76"/>
  <c r="I32" i="88"/>
  <c r="J117" i="73"/>
  <c r="J110" i="86"/>
  <c r="G118" i="41"/>
  <c r="D119" i="41"/>
  <c r="E119" i="41"/>
  <c r="B116" i="63"/>
  <c r="F116" i="63"/>
  <c r="J121" i="20"/>
  <c r="G37" i="72" l="1"/>
  <c r="B113" i="95"/>
  <c r="F113" i="95"/>
  <c r="I32" i="87"/>
  <c r="G32" i="87"/>
  <c r="H40" i="3"/>
  <c r="I111" i="87"/>
  <c r="J111" i="87" s="1"/>
  <c r="H111" i="87"/>
  <c r="H112" i="95"/>
  <c r="I112" i="95"/>
  <c r="J112" i="95" s="1"/>
  <c r="H39" i="43"/>
  <c r="I39" i="43" s="1"/>
  <c r="H34" i="77"/>
  <c r="I34" i="77" s="1"/>
  <c r="B112" i="87"/>
  <c r="F112" i="87"/>
  <c r="I33" i="81"/>
  <c r="I37" i="72"/>
  <c r="J111" i="97"/>
  <c r="G113" i="13"/>
  <c r="D114" i="13"/>
  <c r="H37" i="55"/>
  <c r="I37" i="55" s="1"/>
  <c r="F119" i="44"/>
  <c r="B119" i="44"/>
  <c r="F43" i="28"/>
  <c r="B43" i="28"/>
  <c r="G48" i="35"/>
  <c r="H48" i="35"/>
  <c r="I48" i="35" s="1"/>
  <c r="B49" i="35"/>
  <c r="E49" i="35"/>
  <c r="F49" i="35" s="1"/>
  <c r="F39" i="74"/>
  <c r="G39" i="74"/>
  <c r="B39" i="74"/>
  <c r="F35" i="66"/>
  <c r="B35" i="66"/>
  <c r="E32" i="97"/>
  <c r="D32" i="97"/>
  <c r="D42" i="23"/>
  <c r="E42" i="23"/>
  <c r="D119" i="42"/>
  <c r="G118" i="42"/>
  <c r="E119" i="42"/>
  <c r="D35" i="76"/>
  <c r="E35" i="76"/>
  <c r="B33" i="92"/>
  <c r="F33" i="92"/>
  <c r="G33" i="92" s="1"/>
  <c r="I31" i="98"/>
  <c r="H33" i="80"/>
  <c r="F31" i="95"/>
  <c r="H31" i="95"/>
  <c r="B31" i="95"/>
  <c r="G31" i="95"/>
  <c r="I118" i="44"/>
  <c r="H118" i="44"/>
  <c r="F38" i="45"/>
  <c r="B38" i="45"/>
  <c r="E113" i="97"/>
  <c r="G112" i="97"/>
  <c r="D113" i="97"/>
  <c r="F37" i="53"/>
  <c r="B37" i="53"/>
  <c r="I47" i="35"/>
  <c r="B41" i="24"/>
  <c r="F41" i="24"/>
  <c r="G41" i="24" s="1"/>
  <c r="I40" i="3"/>
  <c r="B31" i="99"/>
  <c r="F31" i="99"/>
  <c r="G31" i="99" s="1"/>
  <c r="B33" i="83"/>
  <c r="F33" i="83"/>
  <c r="G33" i="83" s="1"/>
  <c r="I33" i="83" s="1"/>
  <c r="H33" i="83"/>
  <c r="F33" i="82"/>
  <c r="G33" i="82" s="1"/>
  <c r="B33" i="82"/>
  <c r="H33" i="82"/>
  <c r="G34" i="76"/>
  <c r="B112" i="26"/>
  <c r="F37" i="46"/>
  <c r="B37" i="46"/>
  <c r="D38" i="72"/>
  <c r="E38" i="72"/>
  <c r="J117" i="42"/>
  <c r="B40" i="20"/>
  <c r="F40" i="20"/>
  <c r="H40" i="20" s="1"/>
  <c r="F39" i="73"/>
  <c r="G39" i="73" s="1"/>
  <c r="B39" i="73"/>
  <c r="E32" i="98"/>
  <c r="D32" i="98"/>
  <c r="D40" i="42"/>
  <c r="E40" i="42"/>
  <c r="F35" i="67"/>
  <c r="G35" i="67" s="1"/>
  <c r="B35" i="67"/>
  <c r="H35" i="67"/>
  <c r="B36" i="63"/>
  <c r="F36" i="63"/>
  <c r="H36" i="63" s="1"/>
  <c r="B37" i="56"/>
  <c r="F37" i="56"/>
  <c r="H37" i="56"/>
  <c r="B37" i="57"/>
  <c r="F37" i="57"/>
  <c r="G37" i="57" s="1"/>
  <c r="H37" i="57"/>
  <c r="B39" i="41"/>
  <c r="F39" i="41"/>
  <c r="G39" i="41" s="1"/>
  <c r="F35" i="65"/>
  <c r="H35" i="65" s="1"/>
  <c r="B35" i="65"/>
  <c r="G33" i="85"/>
  <c r="I33" i="85" s="1"/>
  <c r="D34" i="85"/>
  <c r="E34" i="85"/>
  <c r="B33" i="84"/>
  <c r="F33" i="84"/>
  <c r="G33" i="84" s="1"/>
  <c r="B36" i="60"/>
  <c r="F36" i="60"/>
  <c r="B42" i="27"/>
  <c r="F42" i="27"/>
  <c r="H42" i="27"/>
  <c r="G42" i="27"/>
  <c r="B34" i="79"/>
  <c r="F34" i="79"/>
  <c r="H34" i="79"/>
  <c r="G34" i="79"/>
  <c r="I111" i="26"/>
  <c r="J111" i="26" s="1"/>
  <c r="H111" i="26"/>
  <c r="F42" i="69"/>
  <c r="B42" i="69"/>
  <c r="G42" i="69"/>
  <c r="I34" i="33"/>
  <c r="B35" i="68"/>
  <c r="F35" i="68"/>
  <c r="G35" i="68" s="1"/>
  <c r="J112" i="13"/>
  <c r="D34" i="81"/>
  <c r="E34" i="81"/>
  <c r="F37" i="58"/>
  <c r="G37" i="58"/>
  <c r="B37" i="58"/>
  <c r="H34" i="13"/>
  <c r="I34" i="13" s="1"/>
  <c r="D35" i="13"/>
  <c r="I34" i="65"/>
  <c r="E41" i="3"/>
  <c r="D41" i="3"/>
  <c r="G31" i="97"/>
  <c r="I31" i="97" s="1"/>
  <c r="H41" i="23"/>
  <c r="I41" i="23" s="1"/>
  <c r="E119" i="43"/>
  <c r="G118" i="43"/>
  <c r="D119" i="43"/>
  <c r="J111" i="33"/>
  <c r="H34" i="76"/>
  <c r="I34" i="76" s="1"/>
  <c r="E112" i="26"/>
  <c r="F112" i="26" s="1"/>
  <c r="E35" i="77"/>
  <c r="D35" i="77"/>
  <c r="F41" i="31"/>
  <c r="G41" i="31" s="1"/>
  <c r="B41" i="31"/>
  <c r="H41" i="31"/>
  <c r="F41" i="34"/>
  <c r="G41" i="34" s="1"/>
  <c r="B41" i="34"/>
  <c r="H41" i="34"/>
  <c r="F39" i="44"/>
  <c r="G39" i="44" s="1"/>
  <c r="B39" i="44"/>
  <c r="H39" i="44"/>
  <c r="G39" i="42"/>
  <c r="I39" i="42" s="1"/>
  <c r="G112" i="33"/>
  <c r="D113" i="33"/>
  <c r="E113" i="33"/>
  <c r="F121" i="31"/>
  <c r="B121" i="31"/>
  <c r="I33" i="80"/>
  <c r="B35" i="33"/>
  <c r="H42" i="29"/>
  <c r="G33" i="88"/>
  <c r="I33" i="88" s="1"/>
  <c r="G40" i="22"/>
  <c r="I31" i="25"/>
  <c r="E40" i="43"/>
  <c r="D40" i="43"/>
  <c r="H120" i="31"/>
  <c r="I120" i="31"/>
  <c r="F40" i="17"/>
  <c r="H40" i="17" s="1"/>
  <c r="B40" i="17"/>
  <c r="C49" i="17"/>
  <c r="E38" i="55"/>
  <c r="D38" i="55"/>
  <c r="H36" i="62"/>
  <c r="I32" i="90"/>
  <c r="H32" i="26"/>
  <c r="I32" i="26" s="1"/>
  <c r="D33" i="26"/>
  <c r="G42" i="71"/>
  <c r="F42" i="71"/>
  <c r="H42" i="71"/>
  <c r="B42" i="71"/>
  <c r="F37" i="61"/>
  <c r="H37" i="61" s="1"/>
  <c r="B37" i="61"/>
  <c r="B41" i="19"/>
  <c r="F41" i="19"/>
  <c r="H41" i="19" s="1"/>
  <c r="F33" i="91"/>
  <c r="H33" i="91" s="1"/>
  <c r="B33" i="91"/>
  <c r="H42" i="70"/>
  <c r="D43" i="70"/>
  <c r="E43" i="70"/>
  <c r="F113" i="25"/>
  <c r="B113" i="25"/>
  <c r="H33" i="86"/>
  <c r="I33" i="86" s="1"/>
  <c r="D34" i="86"/>
  <c r="E34" i="86"/>
  <c r="F37" i="64"/>
  <c r="B37" i="64"/>
  <c r="E34" i="80"/>
  <c r="D34" i="80"/>
  <c r="B37" i="59"/>
  <c r="F37" i="59"/>
  <c r="E35" i="33"/>
  <c r="F35" i="33" s="1"/>
  <c r="D36" i="33" s="1"/>
  <c r="I112" i="25"/>
  <c r="H112" i="25"/>
  <c r="F125" i="70"/>
  <c r="B125" i="70"/>
  <c r="I116" i="60"/>
  <c r="H116" i="60"/>
  <c r="F117" i="60"/>
  <c r="B117" i="60"/>
  <c r="B123" i="17"/>
  <c r="F123" i="17"/>
  <c r="H124" i="70"/>
  <c r="I124" i="70"/>
  <c r="H122" i="17"/>
  <c r="I122" i="17"/>
  <c r="J122" i="17" s="1"/>
  <c r="H112" i="81"/>
  <c r="I112" i="81"/>
  <c r="J112" i="81" s="1"/>
  <c r="B117" i="57"/>
  <c r="F117" i="57"/>
  <c r="F115" i="82"/>
  <c r="B115" i="82"/>
  <c r="H115" i="61"/>
  <c r="I115" i="61"/>
  <c r="B116" i="59"/>
  <c r="F116" i="59"/>
  <c r="B117" i="56"/>
  <c r="F117" i="56"/>
  <c r="B117" i="54"/>
  <c r="F117" i="54"/>
  <c r="B119" i="73"/>
  <c r="F119" i="73"/>
  <c r="H113" i="79"/>
  <c r="I113" i="79"/>
  <c r="I116" i="58"/>
  <c r="H116" i="58"/>
  <c r="H118" i="39"/>
  <c r="I118" i="39"/>
  <c r="H132" i="35"/>
  <c r="I132" i="35"/>
  <c r="B115" i="85"/>
  <c r="F115" i="85"/>
  <c r="I111" i="84"/>
  <c r="H111" i="84"/>
  <c r="H115" i="64"/>
  <c r="I115" i="64"/>
  <c r="B118" i="62"/>
  <c r="F118" i="62"/>
  <c r="B112" i="89"/>
  <c r="F112" i="89"/>
  <c r="B114" i="76"/>
  <c r="F114" i="76"/>
  <c r="E35" i="75"/>
  <c r="D35" i="75"/>
  <c r="I42" i="29"/>
  <c r="I116" i="57"/>
  <c r="H116" i="57"/>
  <c r="D41" i="21"/>
  <c r="E41" i="21"/>
  <c r="I114" i="82"/>
  <c r="J114" i="82" s="1"/>
  <c r="H114" i="82"/>
  <c r="D125" i="29"/>
  <c r="G124" i="29"/>
  <c r="E125" i="29"/>
  <c r="I116" i="72"/>
  <c r="H116" i="72"/>
  <c r="I121" i="30"/>
  <c r="H121" i="30"/>
  <c r="F114" i="79"/>
  <c r="B114" i="79"/>
  <c r="B112" i="88"/>
  <c r="F112" i="88"/>
  <c r="G115" i="66"/>
  <c r="D116" i="66"/>
  <c r="E116" i="66"/>
  <c r="I119" i="18"/>
  <c r="H119" i="18"/>
  <c r="E134" i="35"/>
  <c r="F134" i="35" s="1"/>
  <c r="G133" i="35"/>
  <c r="B134" i="35"/>
  <c r="F122" i="27"/>
  <c r="B122" i="27"/>
  <c r="F116" i="64"/>
  <c r="B116" i="64"/>
  <c r="H117" i="62"/>
  <c r="I117" i="62"/>
  <c r="H111" i="89"/>
  <c r="I111" i="89"/>
  <c r="H113" i="76"/>
  <c r="I113" i="76"/>
  <c r="H111" i="91"/>
  <c r="I111" i="91"/>
  <c r="D35" i="78"/>
  <c r="E35" i="78"/>
  <c r="D32" i="100"/>
  <c r="E32" i="100"/>
  <c r="B118" i="45"/>
  <c r="F118" i="45"/>
  <c r="D116" i="78"/>
  <c r="E116" i="78"/>
  <c r="G115" i="78"/>
  <c r="E121" i="19"/>
  <c r="D121" i="19"/>
  <c r="G120" i="19"/>
  <c r="E41" i="18"/>
  <c r="D41" i="18"/>
  <c r="F117" i="72"/>
  <c r="B117" i="72"/>
  <c r="D32" i="96"/>
  <c r="E32" i="96"/>
  <c r="F122" i="30"/>
  <c r="B122" i="30"/>
  <c r="D121" i="34"/>
  <c r="G120" i="34"/>
  <c r="E121" i="34"/>
  <c r="I111" i="88"/>
  <c r="H111" i="88"/>
  <c r="H111" i="98"/>
  <c r="I111" i="98"/>
  <c r="F115" i="68"/>
  <c r="B115" i="68"/>
  <c r="F120" i="18"/>
  <c r="B120" i="18"/>
  <c r="H114" i="85"/>
  <c r="I114" i="85"/>
  <c r="H122" i="20"/>
  <c r="I122" i="20"/>
  <c r="J122" i="20" s="1"/>
  <c r="H121" i="27"/>
  <c r="I121" i="27"/>
  <c r="J116" i="67"/>
  <c r="F117" i="46"/>
  <c r="B117" i="46"/>
  <c r="H111" i="92"/>
  <c r="I111" i="92"/>
  <c r="F112" i="91"/>
  <c r="B112" i="91"/>
  <c r="G40" i="21"/>
  <c r="I40" i="21" s="1"/>
  <c r="B113" i="100"/>
  <c r="F113" i="100"/>
  <c r="H31" i="100"/>
  <c r="E33" i="87"/>
  <c r="D33" i="87"/>
  <c r="H117" i="45"/>
  <c r="I117" i="45"/>
  <c r="J117" i="45" s="1"/>
  <c r="H40" i="18"/>
  <c r="H119" i="21"/>
  <c r="I119" i="21"/>
  <c r="I120" i="71"/>
  <c r="H120" i="71"/>
  <c r="D38" i="54"/>
  <c r="E38" i="54"/>
  <c r="G31" i="96"/>
  <c r="I31" i="96" s="1"/>
  <c r="I36" i="62"/>
  <c r="F112" i="98"/>
  <c r="B112" i="98"/>
  <c r="H114" i="68"/>
  <c r="I114" i="68"/>
  <c r="H42" i="30"/>
  <c r="I42" i="30" s="1"/>
  <c r="B123" i="20"/>
  <c r="F123" i="20"/>
  <c r="H119" i="22"/>
  <c r="I119" i="22"/>
  <c r="H113" i="77"/>
  <c r="I113" i="77"/>
  <c r="J113" i="77" s="1"/>
  <c r="I114" i="65"/>
  <c r="H114" i="65"/>
  <c r="G116" i="63"/>
  <c r="D117" i="63"/>
  <c r="E117" i="63"/>
  <c r="D43" i="29"/>
  <c r="E43" i="29"/>
  <c r="I116" i="46"/>
  <c r="J116" i="46" s="1"/>
  <c r="H116" i="46"/>
  <c r="B112" i="86"/>
  <c r="F112" i="86"/>
  <c r="G34" i="78"/>
  <c r="I34" i="78" s="1"/>
  <c r="D40" i="39"/>
  <c r="E40" i="39"/>
  <c r="H112" i="100"/>
  <c r="I112" i="100"/>
  <c r="G31" i="100"/>
  <c r="F120" i="21"/>
  <c r="B120" i="21"/>
  <c r="F121" i="71"/>
  <c r="B121" i="71"/>
  <c r="B116" i="75"/>
  <c r="F116" i="75"/>
  <c r="F113" i="99"/>
  <c r="B113" i="99"/>
  <c r="B121" i="32"/>
  <c r="F121" i="32"/>
  <c r="F117" i="53"/>
  <c r="B117" i="53"/>
  <c r="I119" i="3"/>
  <c r="H119" i="3"/>
  <c r="B120" i="22"/>
  <c r="F120" i="22"/>
  <c r="J115" i="63"/>
  <c r="D33" i="90"/>
  <c r="E33" i="90"/>
  <c r="B114" i="77"/>
  <c r="F114" i="77"/>
  <c r="B115" i="65"/>
  <c r="F115" i="65"/>
  <c r="H118" i="41"/>
  <c r="I118" i="41"/>
  <c r="F119" i="74"/>
  <c r="B119" i="74"/>
  <c r="H111" i="86"/>
  <c r="I111" i="86"/>
  <c r="B112" i="92"/>
  <c r="F112" i="92"/>
  <c r="G39" i="39"/>
  <c r="I39" i="39" s="1"/>
  <c r="E33" i="89"/>
  <c r="D33" i="89"/>
  <c r="G40" i="18"/>
  <c r="H115" i="75"/>
  <c r="I115" i="75"/>
  <c r="H37" i="54"/>
  <c r="B112" i="96"/>
  <c r="F112" i="96"/>
  <c r="D37" i="62"/>
  <c r="E37" i="62"/>
  <c r="H112" i="99"/>
  <c r="I112" i="99"/>
  <c r="H112" i="83"/>
  <c r="I112" i="83"/>
  <c r="J112" i="83" s="1"/>
  <c r="I120" i="32"/>
  <c r="H120" i="32"/>
  <c r="I116" i="53"/>
  <c r="H116" i="53"/>
  <c r="D43" i="30"/>
  <c r="E43" i="30"/>
  <c r="F120" i="3"/>
  <c r="B120" i="3"/>
  <c r="H34" i="75"/>
  <c r="I34" i="75" s="1"/>
  <c r="F112" i="90"/>
  <c r="B112" i="90"/>
  <c r="F122" i="69"/>
  <c r="B122" i="69"/>
  <c r="I118" i="74"/>
  <c r="H118" i="74"/>
  <c r="I41" i="32"/>
  <c r="F121" i="24"/>
  <c r="B121" i="24"/>
  <c r="F119" i="55"/>
  <c r="B119" i="55"/>
  <c r="F123" i="28"/>
  <c r="B123" i="28"/>
  <c r="G37" i="54"/>
  <c r="I111" i="96"/>
  <c r="H111" i="96"/>
  <c r="E34" i="88"/>
  <c r="D34" i="88"/>
  <c r="B113" i="83"/>
  <c r="F113" i="83"/>
  <c r="B113" i="80"/>
  <c r="F113" i="80"/>
  <c r="J121" i="23"/>
  <c r="D41" i="22"/>
  <c r="E41" i="22"/>
  <c r="G122" i="23"/>
  <c r="D123" i="23"/>
  <c r="E123" i="23"/>
  <c r="B32" i="25"/>
  <c r="F119" i="41"/>
  <c r="B119" i="41"/>
  <c r="H111" i="90"/>
  <c r="I111" i="90"/>
  <c r="H121" i="69"/>
  <c r="I121" i="69"/>
  <c r="J121" i="69" s="1"/>
  <c r="F113" i="81"/>
  <c r="B113" i="81"/>
  <c r="D42" i="32"/>
  <c r="E42" i="32"/>
  <c r="H120" i="24"/>
  <c r="I120" i="24"/>
  <c r="J120" i="24" s="1"/>
  <c r="F116" i="61"/>
  <c r="B116" i="61"/>
  <c r="H115" i="59"/>
  <c r="I115" i="59"/>
  <c r="J115" i="59" s="1"/>
  <c r="H116" i="56"/>
  <c r="I116" i="56"/>
  <c r="H116" i="54"/>
  <c r="I116" i="54"/>
  <c r="H32" i="89"/>
  <c r="I32" i="89" s="1"/>
  <c r="I118" i="73"/>
  <c r="H118" i="73"/>
  <c r="I118" i="55"/>
  <c r="J118" i="55" s="1"/>
  <c r="H118" i="55"/>
  <c r="H122" i="28"/>
  <c r="I122" i="28"/>
  <c r="J131" i="35"/>
  <c r="F117" i="58"/>
  <c r="B117" i="58"/>
  <c r="F119" i="39"/>
  <c r="B119" i="39"/>
  <c r="H112" i="80"/>
  <c r="I112" i="80"/>
  <c r="F112" i="84"/>
  <c r="B112" i="84"/>
  <c r="I40" i="22"/>
  <c r="G117" i="67"/>
  <c r="E118" i="67"/>
  <c r="D118" i="67"/>
  <c r="E32" i="25"/>
  <c r="F32" i="25" s="1"/>
  <c r="H32" i="25" s="1"/>
  <c r="G37" i="61" l="1"/>
  <c r="I37" i="61" s="1"/>
  <c r="H35" i="68"/>
  <c r="H33" i="84"/>
  <c r="E114" i="95"/>
  <c r="G113" i="95"/>
  <c r="D114" i="95"/>
  <c r="J111" i="96"/>
  <c r="E113" i="87"/>
  <c r="G112" i="87"/>
  <c r="D113" i="87"/>
  <c r="I39" i="44"/>
  <c r="I41" i="34"/>
  <c r="I41" i="31"/>
  <c r="I31" i="95"/>
  <c r="D113" i="26"/>
  <c r="B113" i="26" s="1"/>
  <c r="G112" i="26"/>
  <c r="B35" i="77"/>
  <c r="F35" i="77"/>
  <c r="H35" i="77" s="1"/>
  <c r="F34" i="81"/>
  <c r="G34" i="81" s="1"/>
  <c r="B34" i="81"/>
  <c r="H34" i="81"/>
  <c r="H37" i="46"/>
  <c r="D38" i="46"/>
  <c r="E38" i="46"/>
  <c r="D39" i="45"/>
  <c r="E39" i="45"/>
  <c r="H118" i="42"/>
  <c r="I118" i="42"/>
  <c r="F32" i="97"/>
  <c r="B32" i="97"/>
  <c r="H43" i="28"/>
  <c r="E44" i="28"/>
  <c r="D44" i="28"/>
  <c r="G33" i="91"/>
  <c r="H35" i="33"/>
  <c r="F113" i="33"/>
  <c r="B113" i="33"/>
  <c r="F119" i="43"/>
  <c r="B119" i="43"/>
  <c r="B35" i="13"/>
  <c r="E35" i="13"/>
  <c r="F35" i="13" s="1"/>
  <c r="G36" i="60"/>
  <c r="E37" i="60"/>
  <c r="D37" i="60"/>
  <c r="D40" i="41"/>
  <c r="E40" i="41"/>
  <c r="I37" i="57"/>
  <c r="E38" i="56"/>
  <c r="D38" i="56"/>
  <c r="E37" i="63"/>
  <c r="D37" i="63"/>
  <c r="I35" i="67"/>
  <c r="B40" i="42"/>
  <c r="F40" i="42"/>
  <c r="H40" i="42" s="1"/>
  <c r="G40" i="42"/>
  <c r="D41" i="20"/>
  <c r="E41" i="20"/>
  <c r="F38" i="72"/>
  <c r="G38" i="72" s="1"/>
  <c r="B38" i="72"/>
  <c r="H38" i="72"/>
  <c r="I33" i="82"/>
  <c r="D32" i="99"/>
  <c r="E32" i="99"/>
  <c r="D38" i="53"/>
  <c r="E38" i="53"/>
  <c r="H38" i="45"/>
  <c r="B119" i="42"/>
  <c r="F119" i="42"/>
  <c r="E36" i="66"/>
  <c r="D36" i="66"/>
  <c r="D40" i="74"/>
  <c r="E40" i="74"/>
  <c r="J111" i="84"/>
  <c r="I112" i="33"/>
  <c r="H112" i="33"/>
  <c r="I118" i="43"/>
  <c r="J118" i="43" s="1"/>
  <c r="H118" i="43"/>
  <c r="B41" i="3"/>
  <c r="F41" i="3"/>
  <c r="G41" i="3" s="1"/>
  <c r="E38" i="58"/>
  <c r="D38" i="58"/>
  <c r="I35" i="68"/>
  <c r="D43" i="69"/>
  <c r="E43" i="69"/>
  <c r="I34" i="79"/>
  <c r="I42" i="27"/>
  <c r="H36" i="60"/>
  <c r="I36" i="60" s="1"/>
  <c r="I33" i="84"/>
  <c r="H39" i="41"/>
  <c r="I39" i="41" s="1"/>
  <c r="E38" i="57"/>
  <c r="D38" i="57"/>
  <c r="G36" i="63"/>
  <c r="I36" i="63" s="1"/>
  <c r="F32" i="98"/>
  <c r="B32" i="98"/>
  <c r="G32" i="98"/>
  <c r="H39" i="73"/>
  <c r="I39" i="73" s="1"/>
  <c r="E40" i="73"/>
  <c r="D40" i="73"/>
  <c r="G37" i="46"/>
  <c r="D34" i="83"/>
  <c r="E34" i="83"/>
  <c r="H31" i="99"/>
  <c r="I31" i="99" s="1"/>
  <c r="E42" i="24"/>
  <c r="D42" i="24"/>
  <c r="G37" i="53"/>
  <c r="F113" i="97"/>
  <c r="B113" i="97"/>
  <c r="J118" i="44"/>
  <c r="E32" i="95"/>
  <c r="D32" i="95"/>
  <c r="B35" i="76"/>
  <c r="F35" i="76"/>
  <c r="G35" i="76" s="1"/>
  <c r="G35" i="66"/>
  <c r="H39" i="74"/>
  <c r="I39" i="74" s="1"/>
  <c r="E50" i="35"/>
  <c r="F50" i="35" s="1"/>
  <c r="G49" i="35"/>
  <c r="B50" i="35"/>
  <c r="H49" i="35"/>
  <c r="I49" i="35" s="1"/>
  <c r="G43" i="28"/>
  <c r="I43" i="28" s="1"/>
  <c r="E120" i="44"/>
  <c r="G119" i="44"/>
  <c r="D120" i="44"/>
  <c r="E114" i="13"/>
  <c r="F114" i="13" s="1"/>
  <c r="B114" i="13"/>
  <c r="F43" i="70"/>
  <c r="D40" i="44"/>
  <c r="E40" i="44"/>
  <c r="E42" i="34"/>
  <c r="D42" i="34"/>
  <c r="E42" i="31"/>
  <c r="D42" i="31"/>
  <c r="H37" i="58"/>
  <c r="I37" i="58" s="1"/>
  <c r="D36" i="68"/>
  <c r="E36" i="68"/>
  <c r="H42" i="69"/>
  <c r="I42" i="69" s="1"/>
  <c r="D35" i="79"/>
  <c r="E35" i="79"/>
  <c r="D43" i="27"/>
  <c r="E43" i="27"/>
  <c r="D34" i="84"/>
  <c r="E34" i="84"/>
  <c r="F34" i="85"/>
  <c r="G34" i="85" s="1"/>
  <c r="B34" i="85"/>
  <c r="H34" i="85"/>
  <c r="G35" i="65"/>
  <c r="I35" i="65" s="1"/>
  <c r="D36" i="65"/>
  <c r="E36" i="65"/>
  <c r="G37" i="56"/>
  <c r="I37" i="56" s="1"/>
  <c r="E36" i="67"/>
  <c r="D36" i="67"/>
  <c r="G40" i="20"/>
  <c r="I40" i="20" s="1"/>
  <c r="D34" i="82"/>
  <c r="E34" i="82"/>
  <c r="H41" i="24"/>
  <c r="I41" i="24" s="1"/>
  <c r="H37" i="53"/>
  <c r="I37" i="53" s="1"/>
  <c r="I112" i="97"/>
  <c r="J112" i="97" s="1"/>
  <c r="H112" i="97"/>
  <c r="G38" i="45"/>
  <c r="H33" i="92"/>
  <c r="I33" i="92" s="1"/>
  <c r="E34" i="92"/>
  <c r="D34" i="92"/>
  <c r="F42" i="23"/>
  <c r="B42" i="23"/>
  <c r="G42" i="23"/>
  <c r="H35" i="66"/>
  <c r="H113" i="13"/>
  <c r="I113" i="13"/>
  <c r="J113" i="13" s="1"/>
  <c r="G43" i="70"/>
  <c r="D44" i="70"/>
  <c r="E44" i="70"/>
  <c r="J112" i="99"/>
  <c r="J112" i="25"/>
  <c r="H37" i="64"/>
  <c r="D38" i="64"/>
  <c r="E38" i="64"/>
  <c r="H43" i="70"/>
  <c r="I43" i="70" s="1"/>
  <c r="B43" i="70"/>
  <c r="D34" i="91"/>
  <c r="E34" i="91"/>
  <c r="E38" i="59"/>
  <c r="D38" i="59"/>
  <c r="D41" i="17"/>
  <c r="E41" i="17"/>
  <c r="F40" i="43"/>
  <c r="G40" i="43" s="1"/>
  <c r="B40" i="43"/>
  <c r="E122" i="31"/>
  <c r="D122" i="31"/>
  <c r="G121" i="31"/>
  <c r="E36" i="33"/>
  <c r="B36" i="33"/>
  <c r="F36" i="33"/>
  <c r="H37" i="59"/>
  <c r="F34" i="86"/>
  <c r="B34" i="86"/>
  <c r="H34" i="86"/>
  <c r="D114" i="25"/>
  <c r="G113" i="25"/>
  <c r="I42" i="70"/>
  <c r="I33" i="91"/>
  <c r="E42" i="19"/>
  <c r="D42" i="19"/>
  <c r="I42" i="71"/>
  <c r="E33" i="26"/>
  <c r="F33" i="26" s="1"/>
  <c r="B33" i="26"/>
  <c r="B34" i="80"/>
  <c r="F34" i="80"/>
  <c r="H34" i="80" s="1"/>
  <c r="J111" i="92"/>
  <c r="J111" i="98"/>
  <c r="G37" i="59"/>
  <c r="G37" i="64"/>
  <c r="I37" i="64" s="1"/>
  <c r="G41" i="19"/>
  <c r="I41" i="19" s="1"/>
  <c r="D38" i="61"/>
  <c r="E38" i="61"/>
  <c r="E43" i="71"/>
  <c r="D43" i="71"/>
  <c r="B38" i="55"/>
  <c r="F38" i="55"/>
  <c r="G38" i="55" s="1"/>
  <c r="G40" i="17"/>
  <c r="I40" i="17" s="1"/>
  <c r="J120" i="31"/>
  <c r="G35" i="33"/>
  <c r="I35" i="33" s="1"/>
  <c r="J116" i="54"/>
  <c r="J111" i="90"/>
  <c r="J118" i="41"/>
  <c r="J119" i="3"/>
  <c r="J111" i="88"/>
  <c r="J117" i="62"/>
  <c r="J116" i="56"/>
  <c r="J115" i="61"/>
  <c r="D118" i="60"/>
  <c r="G117" i="60"/>
  <c r="E118" i="60"/>
  <c r="E126" i="70"/>
  <c r="G125" i="70"/>
  <c r="D126" i="70"/>
  <c r="J112" i="80"/>
  <c r="J115" i="75"/>
  <c r="J112" i="100"/>
  <c r="J114" i="65"/>
  <c r="J111" i="91"/>
  <c r="J118" i="73"/>
  <c r="J119" i="18"/>
  <c r="J116" i="58"/>
  <c r="J116" i="60"/>
  <c r="D124" i="17"/>
  <c r="E124" i="17"/>
  <c r="G123" i="17"/>
  <c r="J116" i="72"/>
  <c r="J116" i="57"/>
  <c r="J118" i="39"/>
  <c r="J124" i="70"/>
  <c r="G117" i="58"/>
  <c r="D118" i="58"/>
  <c r="E118" i="58"/>
  <c r="D33" i="25"/>
  <c r="E33" i="25" s="1"/>
  <c r="B123" i="23"/>
  <c r="F123" i="23"/>
  <c r="B41" i="22"/>
  <c r="F41" i="22"/>
  <c r="H41" i="22" s="1"/>
  <c r="B34" i="88"/>
  <c r="F34" i="88"/>
  <c r="H34" i="88" s="1"/>
  <c r="D124" i="28"/>
  <c r="G123" i="28"/>
  <c r="E124" i="28"/>
  <c r="J116" i="53"/>
  <c r="E113" i="92"/>
  <c r="G112" i="92"/>
  <c r="D113" i="92"/>
  <c r="G123" i="20"/>
  <c r="D124" i="20"/>
  <c r="E124" i="20"/>
  <c r="H120" i="34"/>
  <c r="I120" i="34"/>
  <c r="H115" i="78"/>
  <c r="I115" i="78"/>
  <c r="H133" i="35"/>
  <c r="I133" i="35"/>
  <c r="B125" i="29"/>
  <c r="F125" i="29"/>
  <c r="G119" i="73"/>
  <c r="D120" i="73"/>
  <c r="E120" i="73"/>
  <c r="H117" i="67"/>
  <c r="I117" i="67"/>
  <c r="G32" i="25"/>
  <c r="I32" i="25" s="1"/>
  <c r="H122" i="23"/>
  <c r="I122" i="23"/>
  <c r="J122" i="23" s="1"/>
  <c r="I37" i="54"/>
  <c r="G114" i="77"/>
  <c r="D115" i="77"/>
  <c r="E115" i="77"/>
  <c r="D122" i="71"/>
  <c r="G121" i="71"/>
  <c r="E122" i="71"/>
  <c r="F40" i="39"/>
  <c r="G40" i="39" s="1"/>
  <c r="B40" i="39"/>
  <c r="J120" i="71"/>
  <c r="I31" i="100"/>
  <c r="F121" i="34"/>
  <c r="B121" i="34"/>
  <c r="B32" i="100"/>
  <c r="F32" i="100"/>
  <c r="G32" i="100" s="1"/>
  <c r="J111" i="89"/>
  <c r="B135" i="35"/>
  <c r="G134" i="35"/>
  <c r="E135" i="35"/>
  <c r="F135" i="35" s="1"/>
  <c r="J121" i="30"/>
  <c r="D118" i="57"/>
  <c r="G117" i="57"/>
  <c r="E118" i="57"/>
  <c r="J122" i="28"/>
  <c r="B42" i="32"/>
  <c r="H42" i="32"/>
  <c r="F42" i="32"/>
  <c r="D114" i="80"/>
  <c r="G113" i="80"/>
  <c r="E114" i="80"/>
  <c r="D120" i="55"/>
  <c r="E120" i="55"/>
  <c r="G119" i="55"/>
  <c r="J118" i="74"/>
  <c r="D121" i="3"/>
  <c r="G120" i="3"/>
  <c r="E121" i="3"/>
  <c r="J120" i="32"/>
  <c r="J111" i="86"/>
  <c r="G120" i="22"/>
  <c r="D121" i="22"/>
  <c r="E121" i="22"/>
  <c r="D122" i="32"/>
  <c r="G121" i="32"/>
  <c r="E122" i="32"/>
  <c r="J119" i="21"/>
  <c r="E114" i="100"/>
  <c r="G113" i="100"/>
  <c r="D114" i="100"/>
  <c r="J114" i="85"/>
  <c r="D118" i="72"/>
  <c r="G117" i="72"/>
  <c r="E118" i="72"/>
  <c r="F116" i="78"/>
  <c r="B116" i="78"/>
  <c r="J113" i="76"/>
  <c r="G116" i="64"/>
  <c r="D117" i="64"/>
  <c r="E117" i="64"/>
  <c r="B116" i="66"/>
  <c r="F116" i="66"/>
  <c r="F35" i="75"/>
  <c r="G35" i="75" s="1"/>
  <c r="B35" i="75"/>
  <c r="D113" i="89"/>
  <c r="G112" i="89"/>
  <c r="E113" i="89"/>
  <c r="J115" i="64"/>
  <c r="J132" i="35"/>
  <c r="G117" i="54"/>
  <c r="D118" i="54"/>
  <c r="E118" i="54"/>
  <c r="D121" i="21"/>
  <c r="G120" i="21"/>
  <c r="E121" i="21"/>
  <c r="F117" i="63"/>
  <c r="B117" i="63"/>
  <c r="G117" i="46"/>
  <c r="D118" i="46"/>
  <c r="E118" i="46"/>
  <c r="B41" i="18"/>
  <c r="F41" i="18"/>
  <c r="H41" i="18" s="1"/>
  <c r="H115" i="66"/>
  <c r="I115" i="66"/>
  <c r="G116" i="61"/>
  <c r="D117" i="61"/>
  <c r="E117" i="61"/>
  <c r="G113" i="81"/>
  <c r="D114" i="81"/>
  <c r="E114" i="81"/>
  <c r="D123" i="69"/>
  <c r="G122" i="69"/>
  <c r="E123" i="69"/>
  <c r="F43" i="30"/>
  <c r="G43" i="30" s="1"/>
  <c r="B43" i="30"/>
  <c r="F33" i="89"/>
  <c r="H33" i="89" s="1"/>
  <c r="B33" i="89"/>
  <c r="F33" i="90"/>
  <c r="B33" i="90"/>
  <c r="H116" i="63"/>
  <c r="I116" i="63"/>
  <c r="J114" i="68"/>
  <c r="I40" i="18"/>
  <c r="D123" i="30"/>
  <c r="G122" i="30"/>
  <c r="E123" i="30"/>
  <c r="G122" i="27"/>
  <c r="D123" i="27"/>
  <c r="E123" i="27"/>
  <c r="D113" i="88"/>
  <c r="G112" i="88"/>
  <c r="E113" i="88"/>
  <c r="G114" i="76"/>
  <c r="D115" i="76"/>
  <c r="E115" i="76"/>
  <c r="G117" i="56"/>
  <c r="D118" i="56"/>
  <c r="E118" i="56"/>
  <c r="B43" i="29"/>
  <c r="F43" i="29"/>
  <c r="D121" i="18"/>
  <c r="G120" i="18"/>
  <c r="E121" i="18"/>
  <c r="H120" i="19"/>
  <c r="I120" i="19"/>
  <c r="B41" i="21"/>
  <c r="F41" i="21"/>
  <c r="H41" i="21" s="1"/>
  <c r="D120" i="39"/>
  <c r="G119" i="39"/>
  <c r="E120" i="39"/>
  <c r="G119" i="41"/>
  <c r="D120" i="41"/>
  <c r="E120" i="41"/>
  <c r="D114" i="83"/>
  <c r="G113" i="83"/>
  <c r="E114" i="83"/>
  <c r="D122" i="24"/>
  <c r="G121" i="24"/>
  <c r="E122" i="24"/>
  <c r="G112" i="90"/>
  <c r="D113" i="90"/>
  <c r="E113" i="90"/>
  <c r="F37" i="62"/>
  <c r="H37" i="62" s="1"/>
  <c r="B37" i="62"/>
  <c r="G119" i="74"/>
  <c r="D120" i="74"/>
  <c r="E120" i="74"/>
  <c r="G113" i="99"/>
  <c r="D114" i="99"/>
  <c r="E114" i="99"/>
  <c r="G116" i="75"/>
  <c r="D117" i="75"/>
  <c r="E117" i="75"/>
  <c r="D113" i="86"/>
  <c r="G112" i="86"/>
  <c r="E113" i="86"/>
  <c r="J119" i="22"/>
  <c r="J121" i="27"/>
  <c r="B32" i="96"/>
  <c r="F32" i="96"/>
  <c r="H32" i="96" s="1"/>
  <c r="F121" i="19"/>
  <c r="B121" i="19"/>
  <c r="G118" i="45"/>
  <c r="D119" i="45"/>
  <c r="E119" i="45"/>
  <c r="D119" i="62"/>
  <c r="G118" i="62"/>
  <c r="E119" i="62"/>
  <c r="E116" i="85"/>
  <c r="D116" i="85"/>
  <c r="G115" i="85"/>
  <c r="J113" i="79"/>
  <c r="D117" i="59"/>
  <c r="G116" i="59"/>
  <c r="E117" i="59"/>
  <c r="F118" i="67"/>
  <c r="B118" i="67"/>
  <c r="G112" i="84"/>
  <c r="D113" i="84"/>
  <c r="E113" i="84"/>
  <c r="D113" i="96"/>
  <c r="G112" i="96"/>
  <c r="E113" i="96"/>
  <c r="D116" i="65"/>
  <c r="G115" i="65"/>
  <c r="E116" i="65"/>
  <c r="D118" i="53"/>
  <c r="G117" i="53"/>
  <c r="E118" i="53"/>
  <c r="G112" i="98"/>
  <c r="D113" i="98"/>
  <c r="E113" i="98"/>
  <c r="B38" i="54"/>
  <c r="F38" i="54"/>
  <c r="H38" i="54" s="1"/>
  <c r="B33" i="87"/>
  <c r="F33" i="87"/>
  <c r="G33" i="87" s="1"/>
  <c r="G112" i="91"/>
  <c r="D113" i="91"/>
  <c r="E113" i="91"/>
  <c r="G115" i="68"/>
  <c r="D116" i="68"/>
  <c r="E116" i="68"/>
  <c r="F35" i="78"/>
  <c r="B35" i="78"/>
  <c r="D115" i="79"/>
  <c r="G114" i="79"/>
  <c r="E115" i="79"/>
  <c r="H124" i="29"/>
  <c r="I124" i="29"/>
  <c r="D116" i="82"/>
  <c r="G115" i="82"/>
  <c r="E116" i="82"/>
  <c r="G38" i="54" l="1"/>
  <c r="I38" i="72"/>
  <c r="I34" i="85"/>
  <c r="B113" i="87"/>
  <c r="F113" i="87"/>
  <c r="B114" i="95"/>
  <c r="F114" i="95"/>
  <c r="I40" i="42"/>
  <c r="E113" i="26"/>
  <c r="F113" i="26" s="1"/>
  <c r="I112" i="87"/>
  <c r="H112" i="87"/>
  <c r="I113" i="95"/>
  <c r="J113" i="95" s="1"/>
  <c r="H113" i="95"/>
  <c r="H33" i="87"/>
  <c r="G37" i="62"/>
  <c r="H40" i="43"/>
  <c r="F34" i="84"/>
  <c r="B34" i="84"/>
  <c r="H34" i="84"/>
  <c r="F35" i="79"/>
  <c r="G35" i="79" s="1"/>
  <c r="B35" i="79"/>
  <c r="I119" i="44"/>
  <c r="H119" i="44"/>
  <c r="I35" i="66"/>
  <c r="F38" i="57"/>
  <c r="B38" i="57"/>
  <c r="J112" i="33"/>
  <c r="F36" i="66"/>
  <c r="B36" i="66"/>
  <c r="G36" i="66"/>
  <c r="I38" i="45"/>
  <c r="B32" i="99"/>
  <c r="F32" i="99"/>
  <c r="G32" i="99"/>
  <c r="B37" i="60"/>
  <c r="F37" i="60"/>
  <c r="G37" i="60" s="1"/>
  <c r="G113" i="33"/>
  <c r="D114" i="33"/>
  <c r="G32" i="97"/>
  <c r="D33" i="97"/>
  <c r="E33" i="97"/>
  <c r="B39" i="45"/>
  <c r="F39" i="45"/>
  <c r="H39" i="45" s="1"/>
  <c r="D114" i="26"/>
  <c r="G113" i="26"/>
  <c r="G41" i="18"/>
  <c r="H42" i="23"/>
  <c r="D43" i="23"/>
  <c r="E43" i="23"/>
  <c r="B36" i="67"/>
  <c r="F36" i="67"/>
  <c r="H36" i="67"/>
  <c r="G36" i="67"/>
  <c r="F36" i="65"/>
  <c r="B36" i="65"/>
  <c r="B42" i="31"/>
  <c r="F42" i="31"/>
  <c r="G42" i="31" s="1"/>
  <c r="G114" i="13"/>
  <c r="D115" i="13"/>
  <c r="H35" i="76"/>
  <c r="I35" i="76" s="1"/>
  <c r="B32" i="95"/>
  <c r="F32" i="95"/>
  <c r="G32" i="95" s="1"/>
  <c r="G113" i="97"/>
  <c r="D114" i="97"/>
  <c r="E114" i="97"/>
  <c r="B40" i="73"/>
  <c r="F40" i="73"/>
  <c r="G40" i="73" s="1"/>
  <c r="B43" i="69"/>
  <c r="F43" i="69"/>
  <c r="H43" i="69"/>
  <c r="H41" i="3"/>
  <c r="I41" i="3" s="1"/>
  <c r="D39" i="72"/>
  <c r="E39" i="72"/>
  <c r="F37" i="63"/>
  <c r="G37" i="63"/>
  <c r="B37" i="63"/>
  <c r="J118" i="42"/>
  <c r="I34" i="81"/>
  <c r="D36" i="77"/>
  <c r="E36" i="77"/>
  <c r="H112" i="26"/>
  <c r="I112" i="26"/>
  <c r="J112" i="26" s="1"/>
  <c r="F34" i="92"/>
  <c r="G34" i="92" s="1"/>
  <c r="B34" i="92"/>
  <c r="D35" i="85"/>
  <c r="E35" i="85"/>
  <c r="F43" i="27"/>
  <c r="H43" i="27" s="1"/>
  <c r="B43" i="27"/>
  <c r="F40" i="44"/>
  <c r="G40" i="44" s="1"/>
  <c r="B40" i="44"/>
  <c r="B51" i="35"/>
  <c r="G50" i="35"/>
  <c r="H50" i="35"/>
  <c r="E51" i="35"/>
  <c r="F51" i="35" s="1"/>
  <c r="H32" i="98"/>
  <c r="I32" i="98" s="1"/>
  <c r="E33" i="98"/>
  <c r="D33" i="98"/>
  <c r="E120" i="42"/>
  <c r="D120" i="42"/>
  <c r="G119" i="42"/>
  <c r="F38" i="53"/>
  <c r="B38" i="53"/>
  <c r="H38" i="53"/>
  <c r="E41" i="42"/>
  <c r="D41" i="42"/>
  <c r="G119" i="43"/>
  <c r="E120" i="43"/>
  <c r="D120" i="43"/>
  <c r="H32" i="97"/>
  <c r="I32" i="97" s="1"/>
  <c r="B38" i="46"/>
  <c r="F38" i="46"/>
  <c r="H38" i="46" s="1"/>
  <c r="I41" i="18"/>
  <c r="I42" i="23"/>
  <c r="B34" i="82"/>
  <c r="F34" i="82"/>
  <c r="F36" i="68"/>
  <c r="B36" i="68"/>
  <c r="F42" i="34"/>
  <c r="H42" i="34" s="1"/>
  <c r="B42" i="34"/>
  <c r="F120" i="44"/>
  <c r="B120" i="44"/>
  <c r="E36" i="76"/>
  <c r="D36" i="76"/>
  <c r="B42" i="24"/>
  <c r="F42" i="24"/>
  <c r="H42" i="24" s="1"/>
  <c r="F34" i="83"/>
  <c r="B34" i="83"/>
  <c r="B38" i="58"/>
  <c r="F38" i="58"/>
  <c r="D42" i="3"/>
  <c r="E42" i="3"/>
  <c r="F40" i="74"/>
  <c r="G40" i="74" s="1"/>
  <c r="B40" i="74"/>
  <c r="H40" i="74"/>
  <c r="F41" i="20"/>
  <c r="H41" i="20" s="1"/>
  <c r="I41" i="20" s="1"/>
  <c r="B41" i="20"/>
  <c r="G41" i="20"/>
  <c r="B38" i="56"/>
  <c r="F38" i="56"/>
  <c r="G38" i="56"/>
  <c r="H38" i="56"/>
  <c r="B40" i="41"/>
  <c r="F40" i="41"/>
  <c r="H40" i="41"/>
  <c r="D36" i="13"/>
  <c r="G35" i="13"/>
  <c r="H35" i="13"/>
  <c r="B44" i="28"/>
  <c r="F44" i="28"/>
  <c r="G44" i="28"/>
  <c r="I37" i="46"/>
  <c r="E35" i="81"/>
  <c r="D35" i="81"/>
  <c r="G35" i="77"/>
  <c r="I35" i="77" s="1"/>
  <c r="D34" i="26"/>
  <c r="G33" i="26"/>
  <c r="H33" i="26"/>
  <c r="D37" i="33"/>
  <c r="H36" i="33"/>
  <c r="G36" i="33"/>
  <c r="H43" i="30"/>
  <c r="B122" i="31"/>
  <c r="F122" i="31"/>
  <c r="I40" i="43"/>
  <c r="B38" i="59"/>
  <c r="F38" i="59"/>
  <c r="G38" i="59" s="1"/>
  <c r="B34" i="91"/>
  <c r="F34" i="91"/>
  <c r="G34" i="91" s="1"/>
  <c r="G44" i="70"/>
  <c r="F44" i="70"/>
  <c r="H44" i="70" s="1"/>
  <c r="B44" i="70"/>
  <c r="H38" i="55"/>
  <c r="I38" i="55" s="1"/>
  <c r="D39" i="55"/>
  <c r="E39" i="55"/>
  <c r="H121" i="31"/>
  <c r="I121" i="31"/>
  <c r="I38" i="54"/>
  <c r="H32" i="100"/>
  <c r="F38" i="61"/>
  <c r="G38" i="61" s="1"/>
  <c r="B38" i="61"/>
  <c r="G34" i="80"/>
  <c r="I34" i="80" s="1"/>
  <c r="E35" i="80"/>
  <c r="D35" i="80"/>
  <c r="B42" i="19"/>
  <c r="F42" i="19"/>
  <c r="G42" i="19" s="1"/>
  <c r="G34" i="86"/>
  <c r="I34" i="86" s="1"/>
  <c r="E35" i="86"/>
  <c r="D35" i="86"/>
  <c r="C50" i="17"/>
  <c r="B41" i="17"/>
  <c r="F41" i="17"/>
  <c r="F38" i="64"/>
  <c r="B38" i="64"/>
  <c r="E114" i="25"/>
  <c r="B114" i="25"/>
  <c r="F114" i="25"/>
  <c r="I37" i="62"/>
  <c r="B43" i="71"/>
  <c r="F43" i="71"/>
  <c r="G43" i="71"/>
  <c r="I113" i="25"/>
  <c r="H113" i="25"/>
  <c r="I37" i="59"/>
  <c r="D41" i="43"/>
  <c r="E41" i="43"/>
  <c r="H123" i="17"/>
  <c r="I123" i="17"/>
  <c r="B118" i="60"/>
  <c r="F118" i="60"/>
  <c r="J124" i="29"/>
  <c r="F124" i="17"/>
  <c r="B124" i="17"/>
  <c r="B126" i="70"/>
  <c r="F126" i="70"/>
  <c r="J117" i="67"/>
  <c r="H125" i="70"/>
  <c r="I125" i="70"/>
  <c r="J115" i="66"/>
  <c r="H117" i="60"/>
  <c r="I117" i="60"/>
  <c r="J117" i="60" s="1"/>
  <c r="F116" i="82"/>
  <c r="B116" i="82"/>
  <c r="I114" i="79"/>
  <c r="H114" i="79"/>
  <c r="D36" i="78"/>
  <c r="E36" i="78"/>
  <c r="B113" i="98"/>
  <c r="F113" i="98"/>
  <c r="B116" i="65"/>
  <c r="F116" i="65"/>
  <c r="I112" i="84"/>
  <c r="H112" i="84"/>
  <c r="B117" i="59"/>
  <c r="F117" i="59"/>
  <c r="B114" i="99"/>
  <c r="F114" i="99"/>
  <c r="F122" i="24"/>
  <c r="B122" i="24"/>
  <c r="I119" i="41"/>
  <c r="H119" i="41"/>
  <c r="J120" i="19"/>
  <c r="D44" i="29"/>
  <c r="E44" i="29"/>
  <c r="I112" i="88"/>
  <c r="H112" i="88"/>
  <c r="E34" i="90"/>
  <c r="D34" i="90"/>
  <c r="H122" i="69"/>
  <c r="I122" i="69"/>
  <c r="B114" i="81"/>
  <c r="F114" i="81"/>
  <c r="H117" i="54"/>
  <c r="I117" i="54"/>
  <c r="B118" i="72"/>
  <c r="F118" i="72"/>
  <c r="B120" i="55"/>
  <c r="F120" i="55"/>
  <c r="I113" i="80"/>
  <c r="J113" i="80" s="1"/>
  <c r="H113" i="80"/>
  <c r="I32" i="100"/>
  <c r="B122" i="71"/>
  <c r="F122" i="71"/>
  <c r="B115" i="77"/>
  <c r="F115" i="77"/>
  <c r="H119" i="73"/>
  <c r="I119" i="73"/>
  <c r="J133" i="35"/>
  <c r="J115" i="78"/>
  <c r="D124" i="23"/>
  <c r="G123" i="23"/>
  <c r="E124" i="23"/>
  <c r="B115" i="79"/>
  <c r="F115" i="79"/>
  <c r="H112" i="98"/>
  <c r="I112" i="98"/>
  <c r="H118" i="62"/>
  <c r="I118" i="62"/>
  <c r="G121" i="19"/>
  <c r="D122" i="19"/>
  <c r="E122" i="19"/>
  <c r="H113" i="99"/>
  <c r="I113" i="99"/>
  <c r="G41" i="21"/>
  <c r="I41" i="21" s="1"/>
  <c r="B113" i="88"/>
  <c r="F113" i="88"/>
  <c r="I122" i="30"/>
  <c r="H122" i="30"/>
  <c r="I43" i="30"/>
  <c r="B123" i="69"/>
  <c r="F123" i="69"/>
  <c r="H113" i="81"/>
  <c r="I113" i="81"/>
  <c r="J113" i="81" s="1"/>
  <c r="B118" i="46"/>
  <c r="F118" i="46"/>
  <c r="E36" i="75"/>
  <c r="D36" i="75"/>
  <c r="B117" i="64"/>
  <c r="F117" i="64"/>
  <c r="B114" i="80"/>
  <c r="F114" i="80"/>
  <c r="D41" i="39"/>
  <c r="E41" i="39"/>
  <c r="H114" i="77"/>
  <c r="I114" i="77"/>
  <c r="J114" i="77" s="1"/>
  <c r="F124" i="20"/>
  <c r="B124" i="20"/>
  <c r="D35" i="88"/>
  <c r="E35" i="88"/>
  <c r="B116" i="68"/>
  <c r="F116" i="68"/>
  <c r="I33" i="87"/>
  <c r="D119" i="67"/>
  <c r="G118" i="67"/>
  <c r="E119" i="67"/>
  <c r="F119" i="62"/>
  <c r="B119" i="62"/>
  <c r="D33" i="96"/>
  <c r="E33" i="96"/>
  <c r="I119" i="39"/>
  <c r="H119" i="39"/>
  <c r="B123" i="30"/>
  <c r="F123" i="30"/>
  <c r="H117" i="46"/>
  <c r="I117" i="46"/>
  <c r="H116" i="64"/>
  <c r="I116" i="64"/>
  <c r="J116" i="64" s="1"/>
  <c r="F114" i="100"/>
  <c r="B114" i="100"/>
  <c r="D43" i="32"/>
  <c r="E43" i="32"/>
  <c r="G135" i="35"/>
  <c r="B136" i="35"/>
  <c r="E136" i="35"/>
  <c r="F136" i="35" s="1"/>
  <c r="H123" i="20"/>
  <c r="I123" i="20"/>
  <c r="B120" i="39"/>
  <c r="F120" i="39"/>
  <c r="E42" i="21"/>
  <c r="D42" i="21"/>
  <c r="F123" i="27"/>
  <c r="B123" i="27"/>
  <c r="D34" i="89"/>
  <c r="E34" i="89"/>
  <c r="B117" i="61"/>
  <c r="F117" i="61"/>
  <c r="I113" i="100"/>
  <c r="H113" i="100"/>
  <c r="H121" i="32"/>
  <c r="I121" i="32"/>
  <c r="J121" i="32" s="1"/>
  <c r="H120" i="3"/>
  <c r="I120" i="3"/>
  <c r="H134" i="35"/>
  <c r="I134" i="35"/>
  <c r="D122" i="34"/>
  <c r="G121" i="34"/>
  <c r="E122" i="34"/>
  <c r="F113" i="92"/>
  <c r="B113" i="92"/>
  <c r="G34" i="88"/>
  <c r="I34" i="88" s="1"/>
  <c r="B33" i="25"/>
  <c r="F33" i="25"/>
  <c r="H33" i="25" s="1"/>
  <c r="H117" i="53"/>
  <c r="I117" i="53"/>
  <c r="H112" i="96"/>
  <c r="I112" i="96"/>
  <c r="F113" i="90"/>
  <c r="B113" i="90"/>
  <c r="I113" i="83"/>
  <c r="H113" i="83"/>
  <c r="F115" i="76"/>
  <c r="B115" i="76"/>
  <c r="H122" i="27"/>
  <c r="I122" i="27"/>
  <c r="G33" i="89"/>
  <c r="I33" i="89" s="1"/>
  <c r="E44" i="30"/>
  <c r="D44" i="30"/>
  <c r="H116" i="61"/>
  <c r="I116" i="61"/>
  <c r="D42" i="18"/>
  <c r="E42" i="18"/>
  <c r="D118" i="63"/>
  <c r="E118" i="63"/>
  <c r="G117" i="63"/>
  <c r="H112" i="89"/>
  <c r="I112" i="89"/>
  <c r="B122" i="32"/>
  <c r="F122" i="32"/>
  <c r="F121" i="3"/>
  <c r="B121" i="3"/>
  <c r="D126" i="29"/>
  <c r="G125" i="29"/>
  <c r="E126" i="29"/>
  <c r="H112" i="92"/>
  <c r="I112" i="92"/>
  <c r="H115" i="68"/>
  <c r="I115" i="68"/>
  <c r="H35" i="78"/>
  <c r="B113" i="91"/>
  <c r="F113" i="91"/>
  <c r="E39" i="54"/>
  <c r="D39" i="54"/>
  <c r="F118" i="53"/>
  <c r="B118" i="53"/>
  <c r="B113" i="96"/>
  <c r="F113" i="96"/>
  <c r="H115" i="85"/>
  <c r="I115" i="85"/>
  <c r="J115" i="85" s="1"/>
  <c r="G32" i="96"/>
  <c r="I32" i="96" s="1"/>
  <c r="H112" i="86"/>
  <c r="I112" i="86"/>
  <c r="B117" i="75"/>
  <c r="F117" i="75"/>
  <c r="B120" i="74"/>
  <c r="F120" i="74"/>
  <c r="H112" i="90"/>
  <c r="I112" i="90"/>
  <c r="F114" i="83"/>
  <c r="B114" i="83"/>
  <c r="H120" i="18"/>
  <c r="I120" i="18"/>
  <c r="H114" i="76"/>
  <c r="I114" i="76"/>
  <c r="H33" i="90"/>
  <c r="F113" i="89"/>
  <c r="B113" i="89"/>
  <c r="D117" i="78"/>
  <c r="G116" i="78"/>
  <c r="E117" i="78"/>
  <c r="G42" i="32"/>
  <c r="I42" i="32" s="1"/>
  <c r="D42" i="22"/>
  <c r="E42" i="22"/>
  <c r="B118" i="58"/>
  <c r="F118" i="58"/>
  <c r="G35" i="78"/>
  <c r="H112" i="91"/>
  <c r="I112" i="91"/>
  <c r="B116" i="85"/>
  <c r="F116" i="85"/>
  <c r="B119" i="45"/>
  <c r="F119" i="45"/>
  <c r="F113" i="86"/>
  <c r="B113" i="86"/>
  <c r="H116" i="75"/>
  <c r="I116" i="75"/>
  <c r="I119" i="74"/>
  <c r="H119" i="74"/>
  <c r="D38" i="62"/>
  <c r="E38" i="62"/>
  <c r="F121" i="18"/>
  <c r="B121" i="18"/>
  <c r="G43" i="29"/>
  <c r="B118" i="56"/>
  <c r="F118" i="56"/>
  <c r="G33" i="90"/>
  <c r="H120" i="21"/>
  <c r="I120" i="21"/>
  <c r="H35" i="75"/>
  <c r="I35" i="75" s="1"/>
  <c r="E117" i="66"/>
  <c r="G116" i="66"/>
  <c r="D117" i="66"/>
  <c r="F121" i="22"/>
  <c r="B121" i="22"/>
  <c r="H119" i="55"/>
  <c r="I119" i="55"/>
  <c r="J119" i="55" s="1"/>
  <c r="H117" i="57"/>
  <c r="I117" i="57"/>
  <c r="J120" i="34"/>
  <c r="I123" i="28"/>
  <c r="H123" i="28"/>
  <c r="H117" i="58"/>
  <c r="I117" i="58"/>
  <c r="I115" i="82"/>
  <c r="H115" i="82"/>
  <c r="E34" i="87"/>
  <c r="D34" i="87"/>
  <c r="H115" i="65"/>
  <c r="I115" i="65"/>
  <c r="F113" i="84"/>
  <c r="B113" i="84"/>
  <c r="H116" i="59"/>
  <c r="I116" i="59"/>
  <c r="H118" i="45"/>
  <c r="I118" i="45"/>
  <c r="H121" i="24"/>
  <c r="I121" i="24"/>
  <c r="F120" i="41"/>
  <c r="B120" i="41"/>
  <c r="H43" i="29"/>
  <c r="I117" i="56"/>
  <c r="H117" i="56"/>
  <c r="J116" i="63"/>
  <c r="B121" i="21"/>
  <c r="F121" i="21"/>
  <c r="B118" i="54"/>
  <c r="F118" i="54"/>
  <c r="I117" i="72"/>
  <c r="J117" i="72" s="1"/>
  <c r="H117" i="72"/>
  <c r="H120" i="22"/>
  <c r="I120" i="22"/>
  <c r="J120" i="22" s="1"/>
  <c r="B118" i="57"/>
  <c r="F118" i="57"/>
  <c r="D33" i="100"/>
  <c r="E33" i="100"/>
  <c r="H40" i="39"/>
  <c r="I40" i="39" s="1"/>
  <c r="H121" i="71"/>
  <c r="I121" i="71"/>
  <c r="J121" i="71" s="1"/>
  <c r="F120" i="73"/>
  <c r="B120" i="73"/>
  <c r="B124" i="28"/>
  <c r="F124" i="28"/>
  <c r="G41" i="22"/>
  <c r="I41" i="22" s="1"/>
  <c r="J112" i="86" l="1"/>
  <c r="I38" i="56"/>
  <c r="J119" i="44"/>
  <c r="G114" i="95"/>
  <c r="E115" i="95"/>
  <c r="D115" i="95"/>
  <c r="J112" i="87"/>
  <c r="H34" i="91"/>
  <c r="I36" i="33"/>
  <c r="I35" i="13"/>
  <c r="E114" i="87"/>
  <c r="G113" i="87"/>
  <c r="D114" i="87"/>
  <c r="D45" i="28"/>
  <c r="E45" i="28"/>
  <c r="B36" i="13"/>
  <c r="E36" i="13"/>
  <c r="F36" i="13" s="1"/>
  <c r="E42" i="20"/>
  <c r="D42" i="20"/>
  <c r="D41" i="74"/>
  <c r="E41" i="74"/>
  <c r="H38" i="58"/>
  <c r="D39" i="58"/>
  <c r="E39" i="58"/>
  <c r="D43" i="24"/>
  <c r="E43" i="24"/>
  <c r="D35" i="82"/>
  <c r="E35" i="82"/>
  <c r="B120" i="43"/>
  <c r="F120" i="43"/>
  <c r="D39" i="53"/>
  <c r="E39" i="53"/>
  <c r="F33" i="98"/>
  <c r="B33" i="98"/>
  <c r="H33" i="98"/>
  <c r="G33" i="98"/>
  <c r="I50" i="35"/>
  <c r="F35" i="85"/>
  <c r="G35" i="85" s="1"/>
  <c r="B35" i="85"/>
  <c r="D35" i="92"/>
  <c r="E35" i="92"/>
  <c r="B36" i="77"/>
  <c r="F36" i="77"/>
  <c r="H36" i="77" s="1"/>
  <c r="I36" i="77" s="1"/>
  <c r="G36" i="77"/>
  <c r="F39" i="72"/>
  <c r="H39" i="72" s="1"/>
  <c r="B39" i="72"/>
  <c r="E44" i="69"/>
  <c r="D44" i="69"/>
  <c r="D33" i="95"/>
  <c r="E33" i="95"/>
  <c r="H36" i="65"/>
  <c r="I36" i="65" s="1"/>
  <c r="D37" i="65"/>
  <c r="E37" i="65"/>
  <c r="G36" i="65"/>
  <c r="B114" i="33"/>
  <c r="D37" i="66"/>
  <c r="E37" i="66"/>
  <c r="G38" i="57"/>
  <c r="E39" i="57"/>
  <c r="D39" i="57"/>
  <c r="D36" i="79"/>
  <c r="E36" i="79"/>
  <c r="J122" i="30"/>
  <c r="D35" i="83"/>
  <c r="E35" i="83"/>
  <c r="G120" i="44"/>
  <c r="E121" i="44"/>
  <c r="D121" i="44"/>
  <c r="D43" i="34"/>
  <c r="E43" i="34"/>
  <c r="D37" i="68"/>
  <c r="E37" i="68"/>
  <c r="G38" i="46"/>
  <c r="I38" i="46" s="1"/>
  <c r="E39" i="46"/>
  <c r="D39" i="46"/>
  <c r="I119" i="42"/>
  <c r="J119" i="42" s="1"/>
  <c r="H119" i="42"/>
  <c r="E115" i="13"/>
  <c r="F115" i="13" s="1"/>
  <c r="B115" i="13"/>
  <c r="E43" i="31"/>
  <c r="D43" i="31"/>
  <c r="I113" i="26"/>
  <c r="H113" i="26"/>
  <c r="D40" i="45"/>
  <c r="E40" i="45"/>
  <c r="B33" i="97"/>
  <c r="F33" i="97"/>
  <c r="H33" i="97" s="1"/>
  <c r="I33" i="97" s="1"/>
  <c r="G33" i="97"/>
  <c r="H113" i="33"/>
  <c r="I113" i="33"/>
  <c r="D41" i="41"/>
  <c r="E41" i="41"/>
  <c r="I40" i="74"/>
  <c r="F42" i="3"/>
  <c r="B42" i="3"/>
  <c r="G34" i="83"/>
  <c r="F36" i="76"/>
  <c r="B36" i="76"/>
  <c r="H36" i="76"/>
  <c r="I36" i="76" s="1"/>
  <c r="G36" i="76"/>
  <c r="G42" i="34"/>
  <c r="I42" i="34" s="1"/>
  <c r="H36" i="68"/>
  <c r="G34" i="82"/>
  <c r="I119" i="43"/>
  <c r="J119" i="43" s="1"/>
  <c r="H119" i="43"/>
  <c r="G38" i="53"/>
  <c r="I38" i="53" s="1"/>
  <c r="B120" i="42"/>
  <c r="F120" i="42"/>
  <c r="E41" i="44"/>
  <c r="D41" i="44"/>
  <c r="D44" i="27"/>
  <c r="E44" i="27"/>
  <c r="H34" i="92"/>
  <c r="I34" i="92" s="1"/>
  <c r="D38" i="63"/>
  <c r="E38" i="63"/>
  <c r="B114" i="97"/>
  <c r="F114" i="97"/>
  <c r="H114" i="13"/>
  <c r="I114" i="13"/>
  <c r="I36" i="67"/>
  <c r="B43" i="23"/>
  <c r="F43" i="23"/>
  <c r="H43" i="23" s="1"/>
  <c r="G43" i="23"/>
  <c r="E114" i="26"/>
  <c r="F114" i="26" s="1"/>
  <c r="B114" i="26"/>
  <c r="H32" i="99"/>
  <c r="I32" i="99" s="1"/>
  <c r="D33" i="99"/>
  <c r="E33" i="99"/>
  <c r="H38" i="57"/>
  <c r="I38" i="57" s="1"/>
  <c r="H35" i="79"/>
  <c r="I35" i="79" s="1"/>
  <c r="H38" i="59"/>
  <c r="I33" i="26"/>
  <c r="B35" i="81"/>
  <c r="F35" i="81"/>
  <c r="H44" i="28"/>
  <c r="I44" i="28" s="1"/>
  <c r="G40" i="41"/>
  <c r="I40" i="41" s="1"/>
  <c r="E39" i="56"/>
  <c r="D39" i="56"/>
  <c r="G38" i="58"/>
  <c r="I38" i="58" s="1"/>
  <c r="H34" i="83"/>
  <c r="I34" i="83" s="1"/>
  <c r="G42" i="24"/>
  <c r="I42" i="24" s="1"/>
  <c r="G36" i="68"/>
  <c r="H34" i="82"/>
  <c r="B41" i="42"/>
  <c r="F41" i="42"/>
  <c r="H41" i="42" s="1"/>
  <c r="G41" i="42"/>
  <c r="B52" i="35"/>
  <c r="E52" i="35"/>
  <c r="F52" i="35" s="1"/>
  <c r="G51" i="35"/>
  <c r="H51" i="35"/>
  <c r="I51" i="35" s="1"/>
  <c r="H40" i="44"/>
  <c r="I40" i="44" s="1"/>
  <c r="G43" i="27"/>
  <c r="I43" i="27" s="1"/>
  <c r="H37" i="63"/>
  <c r="I37" i="63" s="1"/>
  <c r="G43" i="69"/>
  <c r="I43" i="69" s="1"/>
  <c r="H40" i="73"/>
  <c r="I40" i="73" s="1"/>
  <c r="E41" i="73"/>
  <c r="D41" i="73"/>
  <c r="H113" i="97"/>
  <c r="I113" i="97"/>
  <c r="H32" i="95"/>
  <c r="I32" i="95" s="1"/>
  <c r="H42" i="31"/>
  <c r="I42" i="31" s="1"/>
  <c r="D37" i="67"/>
  <c r="E37" i="67"/>
  <c r="G39" i="45"/>
  <c r="I39" i="45" s="1"/>
  <c r="E114" i="33"/>
  <c r="F114" i="33" s="1"/>
  <c r="H37" i="60"/>
  <c r="I37" i="60" s="1"/>
  <c r="E38" i="60"/>
  <c r="D38" i="60"/>
  <c r="H36" i="66"/>
  <c r="I36" i="66" s="1"/>
  <c r="G34" i="84"/>
  <c r="I34" i="84" s="1"/>
  <c r="E35" i="84"/>
  <c r="D35" i="84"/>
  <c r="I44" i="70"/>
  <c r="B35" i="80"/>
  <c r="F35" i="80"/>
  <c r="H35" i="80" s="1"/>
  <c r="I34" i="91"/>
  <c r="I38" i="59"/>
  <c r="J113" i="25"/>
  <c r="H43" i="71"/>
  <c r="I43" i="71" s="1"/>
  <c r="E44" i="71"/>
  <c r="D44" i="71"/>
  <c r="H38" i="61"/>
  <c r="I38" i="61" s="1"/>
  <c r="E123" i="31"/>
  <c r="D123" i="31"/>
  <c r="G122" i="31"/>
  <c r="H38" i="64"/>
  <c r="E39" i="64"/>
  <c r="D39" i="64"/>
  <c r="D42" i="17"/>
  <c r="E42" i="17"/>
  <c r="F39" i="55"/>
  <c r="G39" i="55" s="1"/>
  <c r="B39" i="55"/>
  <c r="E37" i="33"/>
  <c r="F37" i="33" s="1"/>
  <c r="B37" i="33"/>
  <c r="J117" i="56"/>
  <c r="I43" i="29"/>
  <c r="F41" i="43"/>
  <c r="G41" i="43" s="1"/>
  <c r="B41" i="43"/>
  <c r="G38" i="64"/>
  <c r="H41" i="17"/>
  <c r="E35" i="91"/>
  <c r="D35" i="91"/>
  <c r="E39" i="61"/>
  <c r="D39" i="61"/>
  <c r="J118" i="45"/>
  <c r="G114" i="25"/>
  <c r="D115" i="25"/>
  <c r="B115" i="25" s="1"/>
  <c r="G41" i="17"/>
  <c r="B35" i="86"/>
  <c r="F35" i="86"/>
  <c r="G35" i="86" s="1"/>
  <c r="H42" i="19"/>
  <c r="I42" i="19" s="1"/>
  <c r="E43" i="19"/>
  <c r="D43" i="19"/>
  <c r="J121" i="31"/>
  <c r="D45" i="70"/>
  <c r="E45" i="70"/>
  <c r="E39" i="59"/>
  <c r="D39" i="59"/>
  <c r="E34" i="26"/>
  <c r="F34" i="26" s="1"/>
  <c r="B34" i="26"/>
  <c r="J115" i="65"/>
  <c r="J117" i="57"/>
  <c r="J113" i="100"/>
  <c r="J112" i="84"/>
  <c r="J114" i="79"/>
  <c r="J125" i="70"/>
  <c r="J112" i="92"/>
  <c r="J122" i="27"/>
  <c r="J112" i="96"/>
  <c r="J134" i="35"/>
  <c r="E119" i="60"/>
  <c r="G118" i="60"/>
  <c r="D119" i="60"/>
  <c r="J120" i="3"/>
  <c r="J118" i="62"/>
  <c r="J119" i="73"/>
  <c r="J112" i="88"/>
  <c r="D125" i="17"/>
  <c r="G124" i="17"/>
  <c r="E125" i="17"/>
  <c r="E127" i="70"/>
  <c r="G126" i="70"/>
  <c r="D127" i="70"/>
  <c r="J113" i="83"/>
  <c r="J122" i="69"/>
  <c r="J123" i="17"/>
  <c r="J115" i="82"/>
  <c r="D121" i="73"/>
  <c r="G120" i="73"/>
  <c r="E121" i="73"/>
  <c r="F33" i="100"/>
  <c r="H33" i="100" s="1"/>
  <c r="B33" i="100"/>
  <c r="J121" i="24"/>
  <c r="G113" i="84"/>
  <c r="D114" i="84"/>
  <c r="E114" i="84"/>
  <c r="J116" i="75"/>
  <c r="J112" i="91"/>
  <c r="D114" i="89"/>
  <c r="G113" i="89"/>
  <c r="E114" i="89"/>
  <c r="J114" i="76"/>
  <c r="F39" i="54"/>
  <c r="H39" i="54" s="1"/>
  <c r="B39" i="54"/>
  <c r="G39" i="54"/>
  <c r="D122" i="3"/>
  <c r="G121" i="3"/>
  <c r="E122" i="3"/>
  <c r="D34" i="25"/>
  <c r="E115" i="100"/>
  <c r="D115" i="100"/>
  <c r="G114" i="100"/>
  <c r="F41" i="39"/>
  <c r="G41" i="39" s="1"/>
  <c r="B41" i="39"/>
  <c r="G115" i="79"/>
  <c r="D116" i="79"/>
  <c r="E116" i="79"/>
  <c r="D117" i="65"/>
  <c r="G116" i="65"/>
  <c r="E117" i="65"/>
  <c r="G118" i="57"/>
  <c r="D119" i="57"/>
  <c r="E119" i="57"/>
  <c r="D119" i="56"/>
  <c r="G118" i="56"/>
  <c r="E119" i="56"/>
  <c r="D118" i="75"/>
  <c r="G117" i="75"/>
  <c r="E118" i="75"/>
  <c r="G122" i="32"/>
  <c r="D123" i="32"/>
  <c r="E123" i="32"/>
  <c r="F118" i="63"/>
  <c r="B118" i="63"/>
  <c r="D115" i="80"/>
  <c r="G114" i="80"/>
  <c r="E115" i="80"/>
  <c r="G118" i="46"/>
  <c r="D119" i="46"/>
  <c r="E119" i="46"/>
  <c r="D115" i="81"/>
  <c r="G114" i="81"/>
  <c r="E115" i="81"/>
  <c r="D117" i="82"/>
  <c r="G116" i="82"/>
  <c r="E117" i="82"/>
  <c r="J123" i="28"/>
  <c r="J120" i="18"/>
  <c r="D114" i="91"/>
  <c r="G113" i="91"/>
  <c r="E114" i="91"/>
  <c r="D114" i="90"/>
  <c r="G113" i="90"/>
  <c r="E114" i="90"/>
  <c r="B34" i="89"/>
  <c r="F34" i="89"/>
  <c r="G34" i="89" s="1"/>
  <c r="E137" i="35"/>
  <c r="F137" i="35" s="1"/>
  <c r="B137" i="35"/>
  <c r="G136" i="35"/>
  <c r="G116" i="68"/>
  <c r="D117" i="68"/>
  <c r="E117" i="68"/>
  <c r="G124" i="20"/>
  <c r="D125" i="20"/>
  <c r="E125" i="20"/>
  <c r="D114" i="88"/>
  <c r="G113" i="88"/>
  <c r="E114" i="88"/>
  <c r="B122" i="19"/>
  <c r="F122" i="19"/>
  <c r="G115" i="77"/>
  <c r="D116" i="77"/>
  <c r="E116" i="77"/>
  <c r="D114" i="98"/>
  <c r="G113" i="98"/>
  <c r="E114" i="98"/>
  <c r="G124" i="28"/>
  <c r="D125" i="28"/>
  <c r="E125" i="28"/>
  <c r="D122" i="21"/>
  <c r="G121" i="21"/>
  <c r="E122" i="21"/>
  <c r="F34" i="87"/>
  <c r="H34" i="87" s="1"/>
  <c r="B34" i="87"/>
  <c r="B117" i="66"/>
  <c r="F117" i="66"/>
  <c r="D114" i="86"/>
  <c r="G113" i="86"/>
  <c r="E114" i="86"/>
  <c r="G118" i="58"/>
  <c r="D119" i="58"/>
  <c r="E119" i="58"/>
  <c r="B42" i="18"/>
  <c r="F42" i="18"/>
  <c r="G42" i="18" s="1"/>
  <c r="H42" i="18"/>
  <c r="D124" i="27"/>
  <c r="G123" i="27"/>
  <c r="E124" i="27"/>
  <c r="H121" i="19"/>
  <c r="I121" i="19"/>
  <c r="J119" i="41"/>
  <c r="H116" i="66"/>
  <c r="I116" i="66"/>
  <c r="G119" i="45"/>
  <c r="D120" i="45"/>
  <c r="E120" i="45"/>
  <c r="D115" i="83"/>
  <c r="G114" i="83"/>
  <c r="E115" i="83"/>
  <c r="D114" i="96"/>
  <c r="G113" i="96"/>
  <c r="E114" i="96"/>
  <c r="I35" i="78"/>
  <c r="J112" i="89"/>
  <c r="J116" i="61"/>
  <c r="G115" i="76"/>
  <c r="D116" i="76"/>
  <c r="E116" i="76"/>
  <c r="H121" i="34"/>
  <c r="I121" i="34"/>
  <c r="J121" i="34" s="1"/>
  <c r="D118" i="61"/>
  <c r="G117" i="61"/>
  <c r="E118" i="61"/>
  <c r="G120" i="39"/>
  <c r="D121" i="39"/>
  <c r="E121" i="39"/>
  <c r="H135" i="35"/>
  <c r="I135" i="35"/>
  <c r="G123" i="30"/>
  <c r="D124" i="30"/>
  <c r="E124" i="30"/>
  <c r="F33" i="96"/>
  <c r="G33" i="96" s="1"/>
  <c r="B33" i="96"/>
  <c r="I118" i="67"/>
  <c r="H118" i="67"/>
  <c r="H123" i="23"/>
  <c r="I123" i="23"/>
  <c r="G122" i="71"/>
  <c r="D123" i="71"/>
  <c r="E123" i="71"/>
  <c r="D118" i="59"/>
  <c r="G117" i="59"/>
  <c r="E118" i="59"/>
  <c r="J116" i="59"/>
  <c r="G121" i="18"/>
  <c r="D122" i="18"/>
  <c r="E122" i="18"/>
  <c r="B38" i="62"/>
  <c r="F38" i="62"/>
  <c r="G38" i="62" s="1"/>
  <c r="H116" i="78"/>
  <c r="I116" i="78"/>
  <c r="J112" i="90"/>
  <c r="J115" i="68"/>
  <c r="H125" i="29"/>
  <c r="I125" i="29"/>
  <c r="J117" i="53"/>
  <c r="F122" i="34"/>
  <c r="B122" i="34"/>
  <c r="J123" i="20"/>
  <c r="J119" i="39"/>
  <c r="F119" i="67"/>
  <c r="B119" i="67"/>
  <c r="F35" i="88"/>
  <c r="G35" i="88" s="1"/>
  <c r="B35" i="88"/>
  <c r="G117" i="64"/>
  <c r="D118" i="64"/>
  <c r="E118" i="64"/>
  <c r="G123" i="69"/>
  <c r="D124" i="69"/>
  <c r="E124" i="69"/>
  <c r="J113" i="99"/>
  <c r="F124" i="23"/>
  <c r="B124" i="23"/>
  <c r="G118" i="72"/>
  <c r="D119" i="72"/>
  <c r="E119" i="72"/>
  <c r="F34" i="90"/>
  <c r="G34" i="90" s="1"/>
  <c r="B34" i="90"/>
  <c r="G122" i="24"/>
  <c r="D123" i="24"/>
  <c r="E123" i="24"/>
  <c r="F36" i="78"/>
  <c r="G36" i="78" s="1"/>
  <c r="B36" i="78"/>
  <c r="G121" i="22"/>
  <c r="D122" i="22"/>
  <c r="E122" i="22"/>
  <c r="G116" i="85"/>
  <c r="E117" i="85"/>
  <c r="D117" i="85"/>
  <c r="B42" i="22"/>
  <c r="F42" i="22"/>
  <c r="H42" i="22" s="1"/>
  <c r="B117" i="78"/>
  <c r="F117" i="78"/>
  <c r="F126" i="29"/>
  <c r="B126" i="29"/>
  <c r="B44" i="30"/>
  <c r="F44" i="30"/>
  <c r="H44" i="30" s="1"/>
  <c r="D114" i="92"/>
  <c r="E114" i="92"/>
  <c r="G113" i="92"/>
  <c r="F42" i="21"/>
  <c r="G42" i="21" s="1"/>
  <c r="B42" i="21"/>
  <c r="B43" i="32"/>
  <c r="F43" i="32"/>
  <c r="H43" i="32" s="1"/>
  <c r="E120" i="62"/>
  <c r="G119" i="62"/>
  <c r="D120" i="62"/>
  <c r="J112" i="98"/>
  <c r="B44" i="29"/>
  <c r="F44" i="29"/>
  <c r="H44" i="29" s="1"/>
  <c r="D115" i="99"/>
  <c r="G114" i="99"/>
  <c r="E115" i="99"/>
  <c r="G118" i="54"/>
  <c r="D119" i="54"/>
  <c r="E119" i="54"/>
  <c r="D121" i="41"/>
  <c r="G120" i="41"/>
  <c r="E121" i="41"/>
  <c r="J117" i="58"/>
  <c r="J120" i="21"/>
  <c r="J119" i="74"/>
  <c r="I33" i="90"/>
  <c r="G120" i="74"/>
  <c r="D121" i="74"/>
  <c r="E121" i="74"/>
  <c r="D119" i="53"/>
  <c r="G118" i="53"/>
  <c r="E119" i="53"/>
  <c r="H117" i="63"/>
  <c r="I117" i="63"/>
  <c r="G33" i="25"/>
  <c r="I33" i="25" s="1"/>
  <c r="J117" i="46"/>
  <c r="F36" i="75"/>
  <c r="B36" i="75"/>
  <c r="D121" i="55"/>
  <c r="G120" i="55"/>
  <c r="E121" i="55"/>
  <c r="J117" i="54"/>
  <c r="J113" i="97" l="1"/>
  <c r="H113" i="87"/>
  <c r="I113" i="87"/>
  <c r="H114" i="95"/>
  <c r="I114" i="95"/>
  <c r="I43" i="23"/>
  <c r="H35" i="85"/>
  <c r="I35" i="85" s="1"/>
  <c r="F115" i="95"/>
  <c r="B115" i="95"/>
  <c r="J113" i="26"/>
  <c r="F114" i="87"/>
  <c r="B114" i="87"/>
  <c r="G115" i="13"/>
  <c r="D116" i="13"/>
  <c r="B116" i="13" s="1"/>
  <c r="E116" i="13"/>
  <c r="F116" i="13" s="1"/>
  <c r="D115" i="26"/>
  <c r="B115" i="26" s="1"/>
  <c r="G114" i="26"/>
  <c r="D115" i="33"/>
  <c r="B115" i="33" s="1"/>
  <c r="G114" i="33"/>
  <c r="D36" i="81"/>
  <c r="E36" i="81"/>
  <c r="G114" i="97"/>
  <c r="E115" i="97"/>
  <c r="D115" i="97"/>
  <c r="B44" i="27"/>
  <c r="F44" i="27"/>
  <c r="G44" i="27"/>
  <c r="I34" i="82"/>
  <c r="E43" i="3"/>
  <c r="D43" i="3"/>
  <c r="B43" i="31"/>
  <c r="F43" i="31"/>
  <c r="G43" i="31" s="1"/>
  <c r="B39" i="46"/>
  <c r="F39" i="46"/>
  <c r="G39" i="46" s="1"/>
  <c r="F37" i="68"/>
  <c r="B37" i="68"/>
  <c r="G37" i="68"/>
  <c r="H37" i="68"/>
  <c r="B39" i="57"/>
  <c r="F39" i="57"/>
  <c r="G39" i="57"/>
  <c r="H39" i="57"/>
  <c r="F37" i="66"/>
  <c r="B37" i="66"/>
  <c r="H37" i="66"/>
  <c r="B33" i="95"/>
  <c r="F33" i="95"/>
  <c r="H33" i="95"/>
  <c r="G33" i="95"/>
  <c r="F35" i="92"/>
  <c r="H35" i="92" s="1"/>
  <c r="B35" i="92"/>
  <c r="B39" i="53"/>
  <c r="F39" i="53"/>
  <c r="H39" i="53"/>
  <c r="I39" i="53" s="1"/>
  <c r="G39" i="53"/>
  <c r="B35" i="82"/>
  <c r="F35" i="82"/>
  <c r="G35" i="82"/>
  <c r="H35" i="82"/>
  <c r="F39" i="58"/>
  <c r="H39" i="58" s="1"/>
  <c r="B39" i="58"/>
  <c r="B42" i="20"/>
  <c r="H42" i="20"/>
  <c r="F42" i="20"/>
  <c r="G42" i="20"/>
  <c r="H36" i="78"/>
  <c r="H34" i="90"/>
  <c r="H34" i="89"/>
  <c r="H39" i="55"/>
  <c r="I39" i="55" s="1"/>
  <c r="F37" i="67"/>
  <c r="H37" i="67" s="1"/>
  <c r="B37" i="67"/>
  <c r="I41" i="42"/>
  <c r="B38" i="63"/>
  <c r="F38" i="63"/>
  <c r="H38" i="63" s="1"/>
  <c r="I38" i="63" s="1"/>
  <c r="G38" i="63"/>
  <c r="B41" i="44"/>
  <c r="F41" i="44"/>
  <c r="G41" i="44" s="1"/>
  <c r="H41" i="44"/>
  <c r="I36" i="68"/>
  <c r="G42" i="3"/>
  <c r="B40" i="45"/>
  <c r="F40" i="45"/>
  <c r="H40" i="45" s="1"/>
  <c r="H120" i="44"/>
  <c r="I120" i="44"/>
  <c r="B37" i="65"/>
  <c r="F37" i="65"/>
  <c r="G37" i="65"/>
  <c r="F44" i="69"/>
  <c r="B44" i="69"/>
  <c r="G44" i="69"/>
  <c r="E37" i="77"/>
  <c r="D37" i="77"/>
  <c r="D121" i="43"/>
  <c r="E121" i="43"/>
  <c r="G120" i="43"/>
  <c r="F45" i="28"/>
  <c r="B45" i="28"/>
  <c r="F41" i="73"/>
  <c r="B41" i="73"/>
  <c r="D42" i="42"/>
  <c r="E42" i="42"/>
  <c r="F39" i="56"/>
  <c r="B39" i="56"/>
  <c r="H39" i="56"/>
  <c r="G35" i="81"/>
  <c r="J114" i="13"/>
  <c r="E37" i="76"/>
  <c r="D37" i="76"/>
  <c r="H42" i="3"/>
  <c r="J113" i="33"/>
  <c r="D34" i="97"/>
  <c r="E34" i="97"/>
  <c r="B43" i="34"/>
  <c r="F43" i="34"/>
  <c r="G43" i="34"/>
  <c r="D40" i="72"/>
  <c r="E40" i="72"/>
  <c r="D34" i="98"/>
  <c r="E34" i="98"/>
  <c r="F43" i="24"/>
  <c r="H43" i="24" s="1"/>
  <c r="B43" i="24"/>
  <c r="G36" i="13"/>
  <c r="D37" i="13"/>
  <c r="H36" i="13"/>
  <c r="I36" i="13" s="1"/>
  <c r="E115" i="25"/>
  <c r="F115" i="25" s="1"/>
  <c r="F35" i="84"/>
  <c r="H35" i="84" s="1"/>
  <c r="B35" i="84"/>
  <c r="B38" i="60"/>
  <c r="F38" i="60"/>
  <c r="B53" i="35"/>
  <c r="G52" i="35"/>
  <c r="H52" i="35"/>
  <c r="E53" i="35"/>
  <c r="F53" i="35" s="1"/>
  <c r="H35" i="81"/>
  <c r="I35" i="81" s="1"/>
  <c r="B33" i="99"/>
  <c r="F33" i="99"/>
  <c r="G33" i="99"/>
  <c r="E44" i="23"/>
  <c r="D44" i="23"/>
  <c r="D121" i="42"/>
  <c r="G120" i="42"/>
  <c r="E121" i="42"/>
  <c r="B41" i="41"/>
  <c r="F41" i="41"/>
  <c r="B121" i="44"/>
  <c r="F121" i="44"/>
  <c r="F35" i="83"/>
  <c r="H35" i="83" s="1"/>
  <c r="B35" i="83"/>
  <c r="B36" i="79"/>
  <c r="F36" i="79"/>
  <c r="H36" i="79"/>
  <c r="G39" i="72"/>
  <c r="I39" i="72" s="1"/>
  <c r="E36" i="85"/>
  <c r="D36" i="85"/>
  <c r="I33" i="98"/>
  <c r="B41" i="74"/>
  <c r="F41" i="74"/>
  <c r="H41" i="74" s="1"/>
  <c r="H34" i="26"/>
  <c r="D35" i="26"/>
  <c r="G34" i="26"/>
  <c r="H37" i="33"/>
  <c r="G37" i="33"/>
  <c r="D38" i="33"/>
  <c r="B38" i="33" s="1"/>
  <c r="F43" i="19"/>
  <c r="G43" i="19" s="1"/>
  <c r="B43" i="19"/>
  <c r="G115" i="25"/>
  <c r="D116" i="25"/>
  <c r="B116" i="25" s="1"/>
  <c r="I122" i="31"/>
  <c r="H122" i="31"/>
  <c r="G43" i="32"/>
  <c r="I43" i="32" s="1"/>
  <c r="H35" i="88"/>
  <c r="I42" i="18"/>
  <c r="G33" i="100"/>
  <c r="I33" i="100" s="1"/>
  <c r="F45" i="70"/>
  <c r="B45" i="70"/>
  <c r="E36" i="86"/>
  <c r="D36" i="86"/>
  <c r="I41" i="17"/>
  <c r="E42" i="43"/>
  <c r="D42" i="43"/>
  <c r="C51" i="17"/>
  <c r="B42" i="17"/>
  <c r="F42" i="17"/>
  <c r="H42" i="17" s="1"/>
  <c r="B123" i="31"/>
  <c r="F123" i="31"/>
  <c r="G44" i="29"/>
  <c r="I44" i="29" s="1"/>
  <c r="I114" i="25"/>
  <c r="H114" i="25"/>
  <c r="I38" i="64"/>
  <c r="F39" i="64"/>
  <c r="H39" i="64" s="1"/>
  <c r="B39" i="64"/>
  <c r="B44" i="71"/>
  <c r="F44" i="71"/>
  <c r="H44" i="71" s="1"/>
  <c r="G35" i="80"/>
  <c r="I35" i="80" s="1"/>
  <c r="D36" i="80"/>
  <c r="E36" i="80"/>
  <c r="H41" i="39"/>
  <c r="I41" i="39" s="1"/>
  <c r="B39" i="59"/>
  <c r="F39" i="59"/>
  <c r="H39" i="59" s="1"/>
  <c r="H35" i="86"/>
  <c r="I35" i="86" s="1"/>
  <c r="F39" i="61"/>
  <c r="G39" i="61" s="1"/>
  <c r="B39" i="61"/>
  <c r="F35" i="91"/>
  <c r="H35" i="91" s="1"/>
  <c r="B35" i="91"/>
  <c r="G35" i="91"/>
  <c r="H41" i="43"/>
  <c r="I41" i="43" s="1"/>
  <c r="D40" i="55"/>
  <c r="E40" i="55"/>
  <c r="H126" i="70"/>
  <c r="I126" i="70"/>
  <c r="H124" i="17"/>
  <c r="I124" i="17"/>
  <c r="F125" i="17"/>
  <c r="B125" i="17"/>
  <c r="B119" i="60"/>
  <c r="F119" i="60"/>
  <c r="H118" i="60"/>
  <c r="I118" i="60"/>
  <c r="J118" i="60" s="1"/>
  <c r="J118" i="67"/>
  <c r="F127" i="70"/>
  <c r="B127" i="70"/>
  <c r="D117" i="13"/>
  <c r="E117" i="13" s="1"/>
  <c r="G116" i="13"/>
  <c r="E37" i="75"/>
  <c r="D37" i="75"/>
  <c r="F121" i="41"/>
  <c r="B121" i="41"/>
  <c r="F119" i="72"/>
  <c r="B119" i="72"/>
  <c r="G119" i="67"/>
  <c r="D120" i="67"/>
  <c r="E120" i="67"/>
  <c r="B114" i="96"/>
  <c r="F114" i="96"/>
  <c r="F114" i="98"/>
  <c r="B114" i="98"/>
  <c r="B125" i="20"/>
  <c r="F125" i="20"/>
  <c r="H117" i="75"/>
  <c r="I117" i="75"/>
  <c r="F119" i="56"/>
  <c r="B119" i="56"/>
  <c r="F119" i="57"/>
  <c r="B119" i="57"/>
  <c r="H118" i="53"/>
  <c r="I118" i="53"/>
  <c r="G44" i="30"/>
  <c r="I44" i="30" s="1"/>
  <c r="D43" i="22"/>
  <c r="E43" i="22"/>
  <c r="F123" i="24"/>
  <c r="B123" i="24"/>
  <c r="H118" i="72"/>
  <c r="I118" i="72"/>
  <c r="B118" i="64"/>
  <c r="F118" i="64"/>
  <c r="D39" i="62"/>
  <c r="E39" i="62"/>
  <c r="I117" i="61"/>
  <c r="H117" i="61"/>
  <c r="B116" i="76"/>
  <c r="F116" i="76"/>
  <c r="B119" i="58"/>
  <c r="F119" i="58"/>
  <c r="H121" i="21"/>
  <c r="I121" i="21"/>
  <c r="I124" i="20"/>
  <c r="H124" i="20"/>
  <c r="H113" i="91"/>
  <c r="I113" i="91"/>
  <c r="F118" i="75"/>
  <c r="B118" i="75"/>
  <c r="H118" i="57"/>
  <c r="I118" i="57"/>
  <c r="H121" i="3"/>
  <c r="I121" i="3"/>
  <c r="B114" i="84"/>
  <c r="F114" i="84"/>
  <c r="H120" i="73"/>
  <c r="I120" i="73"/>
  <c r="J120" i="73" s="1"/>
  <c r="F119" i="53"/>
  <c r="B119" i="53"/>
  <c r="B120" i="62"/>
  <c r="F120" i="62"/>
  <c r="H113" i="92"/>
  <c r="I113" i="92"/>
  <c r="F122" i="22"/>
  <c r="B122" i="22"/>
  <c r="H122" i="24"/>
  <c r="I122" i="24"/>
  <c r="H117" i="64"/>
  <c r="I117" i="64"/>
  <c r="G122" i="34"/>
  <c r="D123" i="34"/>
  <c r="E123" i="34"/>
  <c r="H38" i="62"/>
  <c r="I38" i="62" s="1"/>
  <c r="F118" i="61"/>
  <c r="B118" i="61"/>
  <c r="H115" i="76"/>
  <c r="I115" i="76"/>
  <c r="H114" i="83"/>
  <c r="I114" i="83"/>
  <c r="J121" i="19"/>
  <c r="D43" i="18"/>
  <c r="E43" i="18"/>
  <c r="H118" i="58"/>
  <c r="I118" i="58"/>
  <c r="B122" i="21"/>
  <c r="F122" i="21"/>
  <c r="G122" i="19"/>
  <c r="D123" i="19"/>
  <c r="E123" i="19"/>
  <c r="H136" i="35"/>
  <c r="I136" i="35"/>
  <c r="H113" i="90"/>
  <c r="I113" i="90"/>
  <c r="F114" i="91"/>
  <c r="B114" i="91"/>
  <c r="B116" i="79"/>
  <c r="F116" i="79"/>
  <c r="D42" i="39"/>
  <c r="E42" i="39"/>
  <c r="B122" i="3"/>
  <c r="F122" i="3"/>
  <c r="I113" i="89"/>
  <c r="H113" i="89"/>
  <c r="H113" i="84"/>
  <c r="I113" i="84"/>
  <c r="B121" i="73"/>
  <c r="F121" i="73"/>
  <c r="I120" i="55"/>
  <c r="J120" i="55" s="1"/>
  <c r="H120" i="55"/>
  <c r="H114" i="99"/>
  <c r="I114" i="99"/>
  <c r="H119" i="62"/>
  <c r="I119" i="62"/>
  <c r="J119" i="62" s="1"/>
  <c r="D45" i="30"/>
  <c r="E45" i="30"/>
  <c r="H121" i="22"/>
  <c r="I121" i="22"/>
  <c r="I34" i="90"/>
  <c r="D125" i="23"/>
  <c r="G124" i="23"/>
  <c r="E125" i="23"/>
  <c r="F123" i="71"/>
  <c r="B123" i="71"/>
  <c r="B121" i="39"/>
  <c r="F121" i="39"/>
  <c r="F115" i="83"/>
  <c r="B115" i="83"/>
  <c r="H123" i="27"/>
  <c r="I123" i="27"/>
  <c r="F117" i="68"/>
  <c r="B117" i="68"/>
  <c r="B114" i="90"/>
  <c r="F114" i="90"/>
  <c r="F119" i="46"/>
  <c r="B119" i="46"/>
  <c r="D119" i="63"/>
  <c r="E119" i="63"/>
  <c r="G118" i="63"/>
  <c r="H116" i="65"/>
  <c r="I116" i="65"/>
  <c r="H115" i="79"/>
  <c r="I115" i="79"/>
  <c r="J115" i="79" s="1"/>
  <c r="F114" i="89"/>
  <c r="B114" i="89"/>
  <c r="F121" i="55"/>
  <c r="B121" i="55"/>
  <c r="B121" i="74"/>
  <c r="F121" i="74"/>
  <c r="F115" i="99"/>
  <c r="B115" i="99"/>
  <c r="D43" i="21"/>
  <c r="E43" i="21"/>
  <c r="B114" i="92"/>
  <c r="F114" i="92"/>
  <c r="G42" i="22"/>
  <c r="I42" i="22" s="1"/>
  <c r="J125" i="29"/>
  <c r="H122" i="71"/>
  <c r="I122" i="71"/>
  <c r="H33" i="96"/>
  <c r="I33" i="96" s="1"/>
  <c r="H120" i="39"/>
  <c r="I120" i="39"/>
  <c r="F124" i="27"/>
  <c r="B124" i="27"/>
  <c r="H113" i="86"/>
  <c r="I113" i="86"/>
  <c r="B125" i="28"/>
  <c r="F125" i="28"/>
  <c r="H116" i="68"/>
  <c r="I116" i="68"/>
  <c r="G137" i="35"/>
  <c r="B138" i="35"/>
  <c r="E138" i="35"/>
  <c r="F138" i="35" s="1"/>
  <c r="H118" i="46"/>
  <c r="I118" i="46"/>
  <c r="B117" i="65"/>
  <c r="F117" i="65"/>
  <c r="H36" i="75"/>
  <c r="J117" i="63"/>
  <c r="H120" i="74"/>
  <c r="I120" i="74"/>
  <c r="B119" i="54"/>
  <c r="F119" i="54"/>
  <c r="H42" i="21"/>
  <c r="I42" i="21" s="1"/>
  <c r="B117" i="85"/>
  <c r="F117" i="85"/>
  <c r="D36" i="88"/>
  <c r="E36" i="88"/>
  <c r="B122" i="18"/>
  <c r="F122" i="18"/>
  <c r="J123" i="23"/>
  <c r="F124" i="30"/>
  <c r="B124" i="30"/>
  <c r="F120" i="45"/>
  <c r="B120" i="45"/>
  <c r="B114" i="86"/>
  <c r="F114" i="86"/>
  <c r="H124" i="28"/>
  <c r="I124" i="28"/>
  <c r="I113" i="88"/>
  <c r="H113" i="88"/>
  <c r="E35" i="89"/>
  <c r="D35" i="89"/>
  <c r="H114" i="81"/>
  <c r="I114" i="81"/>
  <c r="B123" i="32"/>
  <c r="F123" i="32"/>
  <c r="I39" i="54"/>
  <c r="I118" i="54"/>
  <c r="H118" i="54"/>
  <c r="D45" i="29"/>
  <c r="E45" i="29"/>
  <c r="D127" i="29"/>
  <c r="G126" i="29"/>
  <c r="E127" i="29"/>
  <c r="D37" i="78"/>
  <c r="E37" i="78"/>
  <c r="E35" i="90"/>
  <c r="D35" i="90"/>
  <c r="B124" i="69"/>
  <c r="F124" i="69"/>
  <c r="I35" i="88"/>
  <c r="J116" i="78"/>
  <c r="I121" i="18"/>
  <c r="H121" i="18"/>
  <c r="H117" i="59"/>
  <c r="I117" i="59"/>
  <c r="J117" i="59" s="1"/>
  <c r="I123" i="30"/>
  <c r="H123" i="30"/>
  <c r="H119" i="45"/>
  <c r="I119" i="45"/>
  <c r="E118" i="66"/>
  <c r="D118" i="66"/>
  <c r="G117" i="66"/>
  <c r="E35" i="87"/>
  <c r="D35" i="87"/>
  <c r="B116" i="77"/>
  <c r="F116" i="77"/>
  <c r="F114" i="88"/>
  <c r="B114" i="88"/>
  <c r="H116" i="82"/>
  <c r="I116" i="82"/>
  <c r="F115" i="81"/>
  <c r="B115" i="81"/>
  <c r="H114" i="80"/>
  <c r="I114" i="80"/>
  <c r="J114" i="80" s="1"/>
  <c r="H122" i="32"/>
  <c r="I122" i="32"/>
  <c r="J122" i="32" s="1"/>
  <c r="I114" i="100"/>
  <c r="H114" i="100"/>
  <c r="B34" i="25"/>
  <c r="D40" i="54"/>
  <c r="E40" i="54"/>
  <c r="G36" i="75"/>
  <c r="H120" i="41"/>
  <c r="I120" i="41"/>
  <c r="D44" i="32"/>
  <c r="E44" i="32"/>
  <c r="D118" i="78"/>
  <c r="G117" i="78"/>
  <c r="E118" i="78"/>
  <c r="H116" i="85"/>
  <c r="I116" i="85"/>
  <c r="I36" i="78"/>
  <c r="H123" i="69"/>
  <c r="I123" i="69"/>
  <c r="F118" i="59"/>
  <c r="B118" i="59"/>
  <c r="D34" i="96"/>
  <c r="E34" i="96"/>
  <c r="J135" i="35"/>
  <c r="H113" i="96"/>
  <c r="I113" i="96"/>
  <c r="J116" i="66"/>
  <c r="G34" i="87"/>
  <c r="I34" i="87" s="1"/>
  <c r="I113" i="98"/>
  <c r="H113" i="98"/>
  <c r="H115" i="77"/>
  <c r="I115" i="77"/>
  <c r="I34" i="89"/>
  <c r="F117" i="82"/>
  <c r="B117" i="82"/>
  <c r="F115" i="80"/>
  <c r="B115" i="80"/>
  <c r="I118" i="56"/>
  <c r="H118" i="56"/>
  <c r="B115" i="100"/>
  <c r="F115" i="100"/>
  <c r="E34" i="25"/>
  <c r="F34" i="25" s="1"/>
  <c r="D34" i="100"/>
  <c r="E34" i="100"/>
  <c r="I37" i="33" l="1"/>
  <c r="G35" i="83"/>
  <c r="I35" i="83" s="1"/>
  <c r="G37" i="67"/>
  <c r="E115" i="87"/>
  <c r="D115" i="87"/>
  <c r="G114" i="87"/>
  <c r="G39" i="59"/>
  <c r="G42" i="17"/>
  <c r="G41" i="74"/>
  <c r="J113" i="87"/>
  <c r="J118" i="54"/>
  <c r="I52" i="35"/>
  <c r="G35" i="92"/>
  <c r="I33" i="95"/>
  <c r="D116" i="95"/>
  <c r="G115" i="95"/>
  <c r="E116" i="95"/>
  <c r="J114" i="95"/>
  <c r="G121" i="44"/>
  <c r="E122" i="44"/>
  <c r="D122" i="44"/>
  <c r="D42" i="41"/>
  <c r="E42" i="41"/>
  <c r="F121" i="42"/>
  <c r="B121" i="42"/>
  <c r="G53" i="35"/>
  <c r="E54" i="35"/>
  <c r="F54" i="35" s="1"/>
  <c r="B54" i="35"/>
  <c r="H53" i="35"/>
  <c r="H38" i="60"/>
  <c r="D39" i="60"/>
  <c r="E39" i="60"/>
  <c r="F34" i="98"/>
  <c r="H34" i="98"/>
  <c r="B34" i="98"/>
  <c r="F34" i="97"/>
  <c r="H34" i="97" s="1"/>
  <c r="B34" i="97"/>
  <c r="B42" i="42"/>
  <c r="F42" i="42"/>
  <c r="H42" i="42"/>
  <c r="D42" i="73"/>
  <c r="E42" i="73"/>
  <c r="E46" i="28"/>
  <c r="D46" i="28"/>
  <c r="F37" i="77"/>
  <c r="G37" i="77" s="1"/>
  <c r="B37" i="77"/>
  <c r="D41" i="45"/>
  <c r="E41" i="45"/>
  <c r="I42" i="20"/>
  <c r="G39" i="58"/>
  <c r="I39" i="58" s="1"/>
  <c r="E40" i="58"/>
  <c r="D40" i="58"/>
  <c r="D36" i="92"/>
  <c r="E36" i="92"/>
  <c r="D38" i="66"/>
  <c r="E38" i="66"/>
  <c r="E38" i="68"/>
  <c r="D38" i="68"/>
  <c r="D45" i="27"/>
  <c r="E45" i="27"/>
  <c r="H114" i="97"/>
  <c r="I114" i="97"/>
  <c r="J114" i="97" s="1"/>
  <c r="I114" i="33"/>
  <c r="H114" i="33"/>
  <c r="F44" i="23"/>
  <c r="B44" i="23"/>
  <c r="G44" i="23"/>
  <c r="H44" i="23"/>
  <c r="I44" i="23" s="1"/>
  <c r="E34" i="99"/>
  <c r="D34" i="99"/>
  <c r="E37" i="13"/>
  <c r="F37" i="13" s="1"/>
  <c r="D38" i="13" s="1"/>
  <c r="B37" i="13"/>
  <c r="D44" i="34"/>
  <c r="E44" i="34"/>
  <c r="G45" i="28"/>
  <c r="H120" i="43"/>
  <c r="I120" i="43"/>
  <c r="J120" i="43" s="1"/>
  <c r="D45" i="69"/>
  <c r="E45" i="69"/>
  <c r="J120" i="44"/>
  <c r="I41" i="44"/>
  <c r="E38" i="67"/>
  <c r="D38" i="67"/>
  <c r="I35" i="82"/>
  <c r="I35" i="92"/>
  <c r="I39" i="57"/>
  <c r="I37" i="68"/>
  <c r="H43" i="31"/>
  <c r="I43" i="31" s="1"/>
  <c r="E44" i="31"/>
  <c r="D44" i="31"/>
  <c r="J114" i="100"/>
  <c r="J114" i="25"/>
  <c r="E116" i="25"/>
  <c r="F116" i="25" s="1"/>
  <c r="G116" i="25" s="1"/>
  <c r="E38" i="33"/>
  <c r="F38" i="33" s="1"/>
  <c r="I41" i="74"/>
  <c r="B36" i="85"/>
  <c r="F36" i="85"/>
  <c r="G36" i="85" s="1"/>
  <c r="G36" i="79"/>
  <c r="I36" i="79" s="1"/>
  <c r="D37" i="79"/>
  <c r="E37" i="79"/>
  <c r="G41" i="41"/>
  <c r="G38" i="60"/>
  <c r="D36" i="84"/>
  <c r="E36" i="84"/>
  <c r="E44" i="24"/>
  <c r="D44" i="24"/>
  <c r="F40" i="72"/>
  <c r="G40" i="72" s="1"/>
  <c r="B40" i="72"/>
  <c r="D40" i="56"/>
  <c r="E40" i="56"/>
  <c r="G41" i="73"/>
  <c r="H45" i="28"/>
  <c r="I37" i="67"/>
  <c r="H39" i="46"/>
  <c r="I39" i="46" s="1"/>
  <c r="E40" i="46"/>
  <c r="D40" i="46"/>
  <c r="B115" i="97"/>
  <c r="F115" i="97"/>
  <c r="B36" i="81"/>
  <c r="G36" i="81"/>
  <c r="F36" i="81"/>
  <c r="H36" i="81" s="1"/>
  <c r="E115" i="26"/>
  <c r="F115" i="26" s="1"/>
  <c r="D42" i="74"/>
  <c r="E42" i="74"/>
  <c r="D36" i="83"/>
  <c r="E36" i="83"/>
  <c r="H41" i="41"/>
  <c r="I120" i="42"/>
  <c r="H120" i="42"/>
  <c r="H33" i="99"/>
  <c r="I33" i="99" s="1"/>
  <c r="G35" i="84"/>
  <c r="I35" i="84" s="1"/>
  <c r="G43" i="24"/>
  <c r="I43" i="24" s="1"/>
  <c r="H43" i="34"/>
  <c r="I43" i="34" s="1"/>
  <c r="B37" i="76"/>
  <c r="F37" i="76"/>
  <c r="G37" i="76" s="1"/>
  <c r="G39" i="56"/>
  <c r="I39" i="56" s="1"/>
  <c r="H41" i="73"/>
  <c r="B121" i="43"/>
  <c r="F121" i="43"/>
  <c r="H44" i="69"/>
  <c r="I44" i="69" s="1"/>
  <c r="E38" i="65"/>
  <c r="D38" i="65"/>
  <c r="H37" i="65"/>
  <c r="I37" i="65" s="1"/>
  <c r="G40" i="45"/>
  <c r="I40" i="45" s="1"/>
  <c r="I42" i="3"/>
  <c r="D42" i="44"/>
  <c r="E42" i="44"/>
  <c r="D39" i="63"/>
  <c r="E39" i="63"/>
  <c r="D43" i="20"/>
  <c r="E43" i="20"/>
  <c r="D36" i="82"/>
  <c r="E36" i="82"/>
  <c r="E40" i="53"/>
  <c r="D40" i="53"/>
  <c r="E34" i="95"/>
  <c r="D34" i="95"/>
  <c r="G37" i="66"/>
  <c r="I37" i="66" s="1"/>
  <c r="E40" i="57"/>
  <c r="D40" i="57"/>
  <c r="B43" i="3"/>
  <c r="F43" i="3"/>
  <c r="G43" i="3" s="1"/>
  <c r="H44" i="27"/>
  <c r="I44" i="27" s="1"/>
  <c r="E115" i="33"/>
  <c r="F115" i="33" s="1"/>
  <c r="H114" i="26"/>
  <c r="I114" i="26"/>
  <c r="I115" i="13"/>
  <c r="J115" i="13" s="1"/>
  <c r="H115" i="13"/>
  <c r="G38" i="33"/>
  <c r="I35" i="91"/>
  <c r="H39" i="61"/>
  <c r="I39" i="61" s="1"/>
  <c r="D40" i="61"/>
  <c r="E40" i="61"/>
  <c r="F36" i="80"/>
  <c r="G36" i="80" s="1"/>
  <c r="B36" i="80"/>
  <c r="D46" i="70"/>
  <c r="E46" i="70"/>
  <c r="J122" i="31"/>
  <c r="B35" i="26"/>
  <c r="D45" i="71"/>
  <c r="E45" i="71"/>
  <c r="J113" i="89"/>
  <c r="F40" i="55"/>
  <c r="H40" i="55" s="1"/>
  <c r="B40" i="55"/>
  <c r="I39" i="59"/>
  <c r="E40" i="64"/>
  <c r="D40" i="64"/>
  <c r="I42" i="17"/>
  <c r="B36" i="86"/>
  <c r="F36" i="86"/>
  <c r="G36" i="86" s="1"/>
  <c r="G45" i="70"/>
  <c r="I115" i="25"/>
  <c r="H115" i="25"/>
  <c r="E35" i="26"/>
  <c r="F35" i="26" s="1"/>
  <c r="H43" i="19"/>
  <c r="I43" i="19" s="1"/>
  <c r="E44" i="19"/>
  <c r="D44" i="19"/>
  <c r="J120" i="41"/>
  <c r="J119" i="45"/>
  <c r="J113" i="84"/>
  <c r="D36" i="91"/>
  <c r="E36" i="91"/>
  <c r="D40" i="59"/>
  <c r="E40" i="59"/>
  <c r="G44" i="71"/>
  <c r="I44" i="71" s="1"/>
  <c r="G39" i="64"/>
  <c r="I39" i="64" s="1"/>
  <c r="G123" i="31"/>
  <c r="D124" i="31"/>
  <c r="E124" i="31"/>
  <c r="D43" i="17"/>
  <c r="E43" i="17"/>
  <c r="B42" i="43"/>
  <c r="F42" i="43"/>
  <c r="G42" i="43"/>
  <c r="H45" i="70"/>
  <c r="I34" i="26"/>
  <c r="D126" i="17"/>
  <c r="G125" i="17"/>
  <c r="E126" i="17"/>
  <c r="J116" i="85"/>
  <c r="J114" i="81"/>
  <c r="J124" i="28"/>
  <c r="J120" i="74"/>
  <c r="J115" i="76"/>
  <c r="J117" i="64"/>
  <c r="J124" i="17"/>
  <c r="J123" i="30"/>
  <c r="J113" i="86"/>
  <c r="J120" i="39"/>
  <c r="J113" i="91"/>
  <c r="J117" i="61"/>
  <c r="D128" i="70"/>
  <c r="G127" i="70"/>
  <c r="E128" i="70"/>
  <c r="G119" i="60"/>
  <c r="E120" i="60"/>
  <c r="D120" i="60"/>
  <c r="J124" i="20"/>
  <c r="J118" i="53"/>
  <c r="J126" i="70"/>
  <c r="D35" i="25"/>
  <c r="E35" i="25" s="1"/>
  <c r="G34" i="25"/>
  <c r="H34" i="25"/>
  <c r="I34" i="25" s="1"/>
  <c r="G115" i="80"/>
  <c r="D116" i="80"/>
  <c r="E116" i="80"/>
  <c r="J115" i="77"/>
  <c r="J113" i="96"/>
  <c r="B34" i="96"/>
  <c r="F34" i="96"/>
  <c r="G34" i="96" s="1"/>
  <c r="J116" i="82"/>
  <c r="G123" i="32"/>
  <c r="D124" i="32"/>
  <c r="E124" i="32"/>
  <c r="D115" i="86"/>
  <c r="G114" i="86"/>
  <c r="E115" i="86"/>
  <c r="G125" i="28"/>
  <c r="D126" i="28"/>
  <c r="E126" i="28"/>
  <c r="F43" i="21"/>
  <c r="G43" i="21" s="1"/>
  <c r="B43" i="21"/>
  <c r="G121" i="74"/>
  <c r="D122" i="74"/>
  <c r="E122" i="74"/>
  <c r="G114" i="90"/>
  <c r="D115" i="90"/>
  <c r="E115" i="90"/>
  <c r="J123" i="27"/>
  <c r="G119" i="58"/>
  <c r="D120" i="58"/>
  <c r="E120" i="58"/>
  <c r="D126" i="20"/>
  <c r="E126" i="20"/>
  <c r="G125" i="20"/>
  <c r="I117" i="66"/>
  <c r="J117" i="66" s="1"/>
  <c r="H117" i="66"/>
  <c r="F35" i="89"/>
  <c r="H35" i="89" s="1"/>
  <c r="B35" i="89"/>
  <c r="D123" i="18"/>
  <c r="G122" i="18"/>
  <c r="E123" i="18"/>
  <c r="B45" i="30"/>
  <c r="F45" i="30"/>
  <c r="G45" i="30" s="1"/>
  <c r="D122" i="73"/>
  <c r="G121" i="73"/>
  <c r="E122" i="73"/>
  <c r="B123" i="19"/>
  <c r="F123" i="19"/>
  <c r="D123" i="22"/>
  <c r="G122" i="22"/>
  <c r="E123" i="22"/>
  <c r="D119" i="75"/>
  <c r="G118" i="75"/>
  <c r="E119" i="75"/>
  <c r="B43" i="22"/>
  <c r="F43" i="22"/>
  <c r="H43" i="22" s="1"/>
  <c r="G119" i="57"/>
  <c r="D120" i="57"/>
  <c r="E120" i="57"/>
  <c r="G119" i="72"/>
  <c r="D120" i="72"/>
  <c r="E120" i="72"/>
  <c r="G117" i="82"/>
  <c r="E118" i="82"/>
  <c r="D118" i="82"/>
  <c r="B118" i="66"/>
  <c r="F118" i="66"/>
  <c r="G124" i="69"/>
  <c r="D125" i="69"/>
  <c r="E125" i="69"/>
  <c r="H126" i="29"/>
  <c r="I126" i="29"/>
  <c r="D115" i="89"/>
  <c r="G114" i="89"/>
  <c r="E115" i="89"/>
  <c r="D120" i="46"/>
  <c r="G119" i="46"/>
  <c r="E120" i="46"/>
  <c r="H124" i="23"/>
  <c r="I124" i="23"/>
  <c r="J124" i="23" s="1"/>
  <c r="B42" i="39"/>
  <c r="F42" i="39"/>
  <c r="G42" i="39" s="1"/>
  <c r="H122" i="19"/>
  <c r="I122" i="19"/>
  <c r="J118" i="58"/>
  <c r="J114" i="83"/>
  <c r="F123" i="34"/>
  <c r="B123" i="34"/>
  <c r="J113" i="92"/>
  <c r="G114" i="84"/>
  <c r="D115" i="84"/>
  <c r="E115" i="84"/>
  <c r="G116" i="76"/>
  <c r="D117" i="76"/>
  <c r="E117" i="76"/>
  <c r="D119" i="64"/>
  <c r="G118" i="64"/>
  <c r="E119" i="64"/>
  <c r="D122" i="41"/>
  <c r="G121" i="41"/>
  <c r="E122" i="41"/>
  <c r="J113" i="98"/>
  <c r="F127" i="29"/>
  <c r="B127" i="29"/>
  <c r="G119" i="54"/>
  <c r="D120" i="54"/>
  <c r="E120" i="54"/>
  <c r="I36" i="75"/>
  <c r="G138" i="35"/>
  <c r="B139" i="35"/>
  <c r="E139" i="35"/>
  <c r="F139" i="35" s="1"/>
  <c r="D116" i="99"/>
  <c r="G115" i="99"/>
  <c r="E116" i="99"/>
  <c r="D118" i="68"/>
  <c r="G117" i="68"/>
  <c r="E118" i="68"/>
  <c r="D124" i="71"/>
  <c r="G123" i="71"/>
  <c r="E124" i="71"/>
  <c r="B125" i="23"/>
  <c r="F125" i="23"/>
  <c r="G116" i="79"/>
  <c r="D117" i="79"/>
  <c r="E117" i="79"/>
  <c r="D115" i="91"/>
  <c r="G114" i="91"/>
  <c r="E115" i="91"/>
  <c r="H122" i="34"/>
  <c r="I122" i="34"/>
  <c r="J122" i="34" s="1"/>
  <c r="G119" i="53"/>
  <c r="D120" i="53"/>
  <c r="E120" i="53"/>
  <c r="D120" i="56"/>
  <c r="G119" i="56"/>
  <c r="E120" i="56"/>
  <c r="G114" i="98"/>
  <c r="D115" i="98"/>
  <c r="E115" i="98"/>
  <c r="I116" i="13"/>
  <c r="H116" i="13"/>
  <c r="J118" i="56"/>
  <c r="D119" i="59"/>
  <c r="G118" i="59"/>
  <c r="E119" i="59"/>
  <c r="H117" i="78"/>
  <c r="I117" i="78"/>
  <c r="B44" i="32"/>
  <c r="F44" i="32"/>
  <c r="G44" i="32" s="1"/>
  <c r="G114" i="88"/>
  <c r="D115" i="88"/>
  <c r="E115" i="88"/>
  <c r="J121" i="18"/>
  <c r="F35" i="90"/>
  <c r="H35" i="90" s="1"/>
  <c r="B35" i="90"/>
  <c r="G121" i="55"/>
  <c r="E122" i="55"/>
  <c r="D122" i="55"/>
  <c r="I118" i="63"/>
  <c r="H118" i="63"/>
  <c r="J113" i="90"/>
  <c r="D121" i="62"/>
  <c r="E121" i="62"/>
  <c r="G120" i="62"/>
  <c r="J121" i="3"/>
  <c r="J121" i="21"/>
  <c r="J118" i="72"/>
  <c r="J117" i="75"/>
  <c r="D115" i="96"/>
  <c r="G114" i="96"/>
  <c r="E115" i="96"/>
  <c r="F117" i="13"/>
  <c r="B117" i="13"/>
  <c r="F34" i="100"/>
  <c r="G34" i="100" s="1"/>
  <c r="B34" i="100"/>
  <c r="J123" i="69"/>
  <c r="B118" i="78"/>
  <c r="F118" i="78"/>
  <c r="D117" i="77"/>
  <c r="G116" i="77"/>
  <c r="E117" i="77"/>
  <c r="J113" i="88"/>
  <c r="G120" i="45"/>
  <c r="D121" i="45"/>
  <c r="E121" i="45"/>
  <c r="I137" i="35"/>
  <c r="J137" i="35" s="1"/>
  <c r="H137" i="35"/>
  <c r="J122" i="71"/>
  <c r="D115" i="92"/>
  <c r="E115" i="92"/>
  <c r="G114" i="92"/>
  <c r="D116" i="83"/>
  <c r="G115" i="83"/>
  <c r="E116" i="83"/>
  <c r="J121" i="22"/>
  <c r="J114" i="99"/>
  <c r="F43" i="18"/>
  <c r="G43" i="18" s="1"/>
  <c r="B43" i="18"/>
  <c r="E116" i="100"/>
  <c r="G115" i="100"/>
  <c r="D116" i="100"/>
  <c r="F36" i="88"/>
  <c r="H36" i="88" s="1"/>
  <c r="B36" i="88"/>
  <c r="J116" i="68"/>
  <c r="J116" i="65"/>
  <c r="B119" i="63"/>
  <c r="F119" i="63"/>
  <c r="D122" i="39"/>
  <c r="G121" i="39"/>
  <c r="E122" i="39"/>
  <c r="J136" i="35"/>
  <c r="J122" i="24"/>
  <c r="J118" i="57"/>
  <c r="B120" i="67"/>
  <c r="F120" i="67"/>
  <c r="B40" i="54"/>
  <c r="F40" i="54"/>
  <c r="G40" i="54" s="1"/>
  <c r="G115" i="81"/>
  <c r="D116" i="81"/>
  <c r="E116" i="81"/>
  <c r="B35" i="87"/>
  <c r="F35" i="87"/>
  <c r="H35" i="87" s="1"/>
  <c r="B37" i="78"/>
  <c r="F37" i="78"/>
  <c r="G45" i="29"/>
  <c r="B45" i="29"/>
  <c r="F45" i="29"/>
  <c r="H45" i="29" s="1"/>
  <c r="G124" i="30"/>
  <c r="D125" i="30"/>
  <c r="E125" i="30"/>
  <c r="G117" i="85"/>
  <c r="D118" i="85"/>
  <c r="E118" i="85"/>
  <c r="D118" i="65"/>
  <c r="G117" i="65"/>
  <c r="E118" i="65"/>
  <c r="J118" i="46"/>
  <c r="D125" i="27"/>
  <c r="G124" i="27"/>
  <c r="E125" i="27"/>
  <c r="D123" i="3"/>
  <c r="G122" i="3"/>
  <c r="E123" i="3"/>
  <c r="G122" i="21"/>
  <c r="D123" i="21"/>
  <c r="E123" i="21"/>
  <c r="D119" i="61"/>
  <c r="G118" i="61"/>
  <c r="E119" i="61"/>
  <c r="B39" i="62"/>
  <c r="F39" i="62"/>
  <c r="H39" i="62" s="1"/>
  <c r="G123" i="24"/>
  <c r="D124" i="24"/>
  <c r="E124" i="24"/>
  <c r="H119" i="67"/>
  <c r="I119" i="67"/>
  <c r="B37" i="75"/>
  <c r="F37" i="75"/>
  <c r="H37" i="75" s="1"/>
  <c r="G37" i="75"/>
  <c r="E38" i="13" l="1"/>
  <c r="F38" i="13" s="1"/>
  <c r="B38" i="13"/>
  <c r="H115" i="95"/>
  <c r="I115" i="95"/>
  <c r="G40" i="55"/>
  <c r="I41" i="73"/>
  <c r="I41" i="41"/>
  <c r="G34" i="97"/>
  <c r="I34" i="97" s="1"/>
  <c r="B116" i="95"/>
  <c r="F116" i="95"/>
  <c r="D117" i="25"/>
  <c r="B117" i="25" s="1"/>
  <c r="H37" i="76"/>
  <c r="I37" i="76" s="1"/>
  <c r="H114" i="87"/>
  <c r="I114" i="87"/>
  <c r="J114" i="87" s="1"/>
  <c r="H34" i="100"/>
  <c r="H36" i="86"/>
  <c r="I36" i="86" s="1"/>
  <c r="J114" i="26"/>
  <c r="H43" i="3"/>
  <c r="I36" i="81"/>
  <c r="J114" i="33"/>
  <c r="I53" i="35"/>
  <c r="F115" i="87"/>
  <c r="B115" i="87"/>
  <c r="I43" i="3"/>
  <c r="B40" i="57"/>
  <c r="F40" i="57"/>
  <c r="B36" i="82"/>
  <c r="F36" i="82"/>
  <c r="B39" i="63"/>
  <c r="F39" i="63"/>
  <c r="H39" i="63" s="1"/>
  <c r="G115" i="26"/>
  <c r="E116" i="26"/>
  <c r="D116" i="26"/>
  <c r="H40" i="72"/>
  <c r="I40" i="72" s="1"/>
  <c r="F44" i="24"/>
  <c r="G44" i="24"/>
  <c r="B44" i="24"/>
  <c r="B44" i="34"/>
  <c r="F44" i="34"/>
  <c r="G44" i="34"/>
  <c r="E45" i="23"/>
  <c r="D45" i="23"/>
  <c r="F38" i="68"/>
  <c r="H38" i="68" s="1"/>
  <c r="B38" i="68"/>
  <c r="G38" i="68"/>
  <c r="B122" i="44"/>
  <c r="F122" i="44"/>
  <c r="B40" i="53"/>
  <c r="F40" i="53"/>
  <c r="H40" i="53" s="1"/>
  <c r="D122" i="43"/>
  <c r="E122" i="43"/>
  <c r="G121" i="43"/>
  <c r="B36" i="83"/>
  <c r="F36" i="83"/>
  <c r="G36" i="83" s="1"/>
  <c r="E116" i="97"/>
  <c r="D116" i="97"/>
  <c r="G115" i="97"/>
  <c r="H36" i="85"/>
  <c r="I36" i="85" s="1"/>
  <c r="G37" i="13"/>
  <c r="F36" i="92"/>
  <c r="G36" i="92" s="1"/>
  <c r="B36" i="92"/>
  <c r="D43" i="42"/>
  <c r="E43" i="42"/>
  <c r="G121" i="42"/>
  <c r="E122" i="42"/>
  <c r="D122" i="42"/>
  <c r="J115" i="25"/>
  <c r="I40" i="55"/>
  <c r="G115" i="33"/>
  <c r="D116" i="33"/>
  <c r="B116" i="33" s="1"/>
  <c r="D44" i="3"/>
  <c r="E44" i="3"/>
  <c r="B43" i="20"/>
  <c r="F43" i="20"/>
  <c r="G43" i="20" s="1"/>
  <c r="H43" i="20"/>
  <c r="B42" i="44"/>
  <c r="F42" i="44"/>
  <c r="G42" i="44" s="1"/>
  <c r="F38" i="65"/>
  <c r="B38" i="65"/>
  <c r="E38" i="76"/>
  <c r="D38" i="76"/>
  <c r="J120" i="42"/>
  <c r="D37" i="81"/>
  <c r="E37" i="81"/>
  <c r="D39" i="33"/>
  <c r="H38" i="33"/>
  <c r="I38" i="33" s="1"/>
  <c r="F44" i="31"/>
  <c r="H44" i="31" s="1"/>
  <c r="B44" i="31"/>
  <c r="F38" i="67"/>
  <c r="H38" i="67" s="1"/>
  <c r="B38" i="67"/>
  <c r="I45" i="28"/>
  <c r="H37" i="13"/>
  <c r="I37" i="13" s="1"/>
  <c r="F40" i="58"/>
  <c r="H40" i="58" s="1"/>
  <c r="B40" i="58"/>
  <c r="H37" i="77"/>
  <c r="I37" i="77" s="1"/>
  <c r="E38" i="77"/>
  <c r="D38" i="77"/>
  <c r="F42" i="73"/>
  <c r="B42" i="73"/>
  <c r="G42" i="73"/>
  <c r="E35" i="98"/>
  <c r="D35" i="98"/>
  <c r="B39" i="60"/>
  <c r="F39" i="60"/>
  <c r="G39" i="60"/>
  <c r="E55" i="35"/>
  <c r="F55" i="35" s="1"/>
  <c r="B55" i="35"/>
  <c r="G54" i="35"/>
  <c r="H54" i="35"/>
  <c r="I54" i="35" s="1"/>
  <c r="I121" i="44"/>
  <c r="H121" i="44"/>
  <c r="G39" i="62"/>
  <c r="I39" i="62" s="1"/>
  <c r="G35" i="90"/>
  <c r="I35" i="90" s="1"/>
  <c r="B34" i="95"/>
  <c r="F34" i="95"/>
  <c r="G34" i="95" s="1"/>
  <c r="F42" i="74"/>
  <c r="H42" i="74"/>
  <c r="I42" i="74" s="1"/>
  <c r="B42" i="74"/>
  <c r="G42" i="74"/>
  <c r="B40" i="46"/>
  <c r="F40" i="46"/>
  <c r="G40" i="46" s="1"/>
  <c r="B40" i="56"/>
  <c r="F40" i="56"/>
  <c r="G40" i="56" s="1"/>
  <c r="D41" i="72"/>
  <c r="E41" i="72"/>
  <c r="F36" i="84"/>
  <c r="B36" i="84"/>
  <c r="H36" i="84"/>
  <c r="B37" i="79"/>
  <c r="F37" i="79"/>
  <c r="H37" i="79" s="1"/>
  <c r="G37" i="79"/>
  <c r="D37" i="85"/>
  <c r="E37" i="85"/>
  <c r="B45" i="69"/>
  <c r="F45" i="69"/>
  <c r="H45" i="69" s="1"/>
  <c r="F34" i="99"/>
  <c r="H34" i="99" s="1"/>
  <c r="B34" i="99"/>
  <c r="G34" i="99"/>
  <c r="B45" i="27"/>
  <c r="G45" i="27"/>
  <c r="F45" i="27"/>
  <c r="H45" i="27"/>
  <c r="B38" i="66"/>
  <c r="F38" i="66"/>
  <c r="G38" i="66" s="1"/>
  <c r="B41" i="45"/>
  <c r="F41" i="45"/>
  <c r="G41" i="45" s="1"/>
  <c r="F46" i="28"/>
  <c r="H46" i="28" s="1"/>
  <c r="B46" i="28"/>
  <c r="G42" i="42"/>
  <c r="I42" i="42" s="1"/>
  <c r="E35" i="97"/>
  <c r="D35" i="97"/>
  <c r="G34" i="98"/>
  <c r="I34" i="98" s="1"/>
  <c r="I38" i="60"/>
  <c r="F42" i="41"/>
  <c r="G42" i="41" s="1"/>
  <c r="H42" i="41"/>
  <c r="B42" i="41"/>
  <c r="D36" i="26"/>
  <c r="E36" i="26" s="1"/>
  <c r="H35" i="26"/>
  <c r="G35" i="26"/>
  <c r="I35" i="26" s="1"/>
  <c r="H123" i="31"/>
  <c r="I123" i="31"/>
  <c r="I45" i="29"/>
  <c r="H43" i="21"/>
  <c r="I43" i="21" s="1"/>
  <c r="C52" i="17"/>
  <c r="B43" i="17"/>
  <c r="F43" i="17"/>
  <c r="H43" i="17" s="1"/>
  <c r="F40" i="59"/>
  <c r="G40" i="59" s="1"/>
  <c r="B40" i="59"/>
  <c r="F44" i="19"/>
  <c r="G44" i="19" s="1"/>
  <c r="B44" i="19"/>
  <c r="I45" i="70"/>
  <c r="H42" i="43"/>
  <c r="I42" i="43" s="1"/>
  <c r="D43" i="43"/>
  <c r="E43" i="43"/>
  <c r="D37" i="86"/>
  <c r="E37" i="86"/>
  <c r="F40" i="64"/>
  <c r="H40" i="64" s="1"/>
  <c r="B40" i="64"/>
  <c r="B46" i="70"/>
  <c r="F46" i="70"/>
  <c r="B40" i="61"/>
  <c r="F40" i="61"/>
  <c r="G40" i="61" s="1"/>
  <c r="H40" i="61"/>
  <c r="H36" i="80"/>
  <c r="I36" i="80" s="1"/>
  <c r="D37" i="80"/>
  <c r="E37" i="80"/>
  <c r="G35" i="89"/>
  <c r="I35" i="89" s="1"/>
  <c r="F124" i="31"/>
  <c r="B124" i="31"/>
  <c r="B36" i="91"/>
  <c r="F36" i="91"/>
  <c r="E41" i="55"/>
  <c r="D41" i="55"/>
  <c r="I116" i="25"/>
  <c r="H116" i="25"/>
  <c r="B45" i="71"/>
  <c r="F45" i="71"/>
  <c r="G45" i="71" s="1"/>
  <c r="B126" i="17"/>
  <c r="F126" i="17"/>
  <c r="F120" i="60"/>
  <c r="B120" i="60"/>
  <c r="H127" i="70"/>
  <c r="I127" i="70"/>
  <c r="H119" i="60"/>
  <c r="I119" i="60"/>
  <c r="J119" i="60" s="1"/>
  <c r="B128" i="70"/>
  <c r="F128" i="70"/>
  <c r="J118" i="63"/>
  <c r="J116" i="13"/>
  <c r="H125" i="17"/>
  <c r="I125" i="17"/>
  <c r="H124" i="27"/>
  <c r="I124" i="27"/>
  <c r="H117" i="85"/>
  <c r="I117" i="85"/>
  <c r="J117" i="85" s="1"/>
  <c r="D38" i="78"/>
  <c r="E38" i="78"/>
  <c r="H120" i="62"/>
  <c r="I120" i="62"/>
  <c r="F115" i="88"/>
  <c r="B115" i="88"/>
  <c r="H114" i="91"/>
  <c r="I114" i="91"/>
  <c r="J114" i="91" s="1"/>
  <c r="H123" i="71"/>
  <c r="I123" i="71"/>
  <c r="J123" i="71" s="1"/>
  <c r="B118" i="68"/>
  <c r="F118" i="68"/>
  <c r="I138" i="35"/>
  <c r="H138" i="35"/>
  <c r="F120" i="54"/>
  <c r="B120" i="54"/>
  <c r="B117" i="76"/>
  <c r="F117" i="76"/>
  <c r="H117" i="82"/>
  <c r="I117" i="82"/>
  <c r="J117" i="82" s="1"/>
  <c r="B120" i="57"/>
  <c r="F120" i="57"/>
  <c r="I114" i="90"/>
  <c r="H114" i="90"/>
  <c r="F124" i="32"/>
  <c r="B124" i="32"/>
  <c r="E35" i="96"/>
  <c r="D35" i="96"/>
  <c r="D38" i="75"/>
  <c r="E38" i="75"/>
  <c r="B124" i="24"/>
  <c r="F124" i="24"/>
  <c r="F125" i="27"/>
  <c r="B125" i="27"/>
  <c r="G37" i="78"/>
  <c r="G35" i="87"/>
  <c r="I35" i="87" s="1"/>
  <c r="H114" i="88"/>
  <c r="I114" i="88"/>
  <c r="H118" i="59"/>
  <c r="I118" i="59"/>
  <c r="B115" i="91"/>
  <c r="F115" i="91"/>
  <c r="F124" i="71"/>
  <c r="B124" i="71"/>
  <c r="I119" i="54"/>
  <c r="H119" i="54"/>
  <c r="I121" i="41"/>
  <c r="H121" i="41"/>
  <c r="H116" i="76"/>
  <c r="I116" i="76"/>
  <c r="H119" i="57"/>
  <c r="I119" i="57"/>
  <c r="J119" i="57" s="1"/>
  <c r="I122" i="22"/>
  <c r="H122" i="22"/>
  <c r="H123" i="32"/>
  <c r="I123" i="32"/>
  <c r="J123" i="32" s="1"/>
  <c r="B116" i="80"/>
  <c r="F116" i="80"/>
  <c r="H123" i="24"/>
  <c r="I123" i="24"/>
  <c r="B125" i="30"/>
  <c r="F125" i="30"/>
  <c r="H37" i="78"/>
  <c r="I37" i="78" s="1"/>
  <c r="I121" i="39"/>
  <c r="H121" i="39"/>
  <c r="I34" i="100"/>
  <c r="B121" i="62"/>
  <c r="F121" i="62"/>
  <c r="F119" i="59"/>
  <c r="B119" i="59"/>
  <c r="F115" i="98"/>
  <c r="B115" i="98"/>
  <c r="B122" i="41"/>
  <c r="F122" i="41"/>
  <c r="J122" i="19"/>
  <c r="J126" i="29"/>
  <c r="F123" i="22"/>
  <c r="B123" i="22"/>
  <c r="H121" i="73"/>
  <c r="I121" i="73"/>
  <c r="H122" i="18"/>
  <c r="I122" i="18"/>
  <c r="J122" i="18" s="1"/>
  <c r="H115" i="80"/>
  <c r="I115" i="80"/>
  <c r="H122" i="3"/>
  <c r="I122" i="3"/>
  <c r="J122" i="3" s="1"/>
  <c r="I124" i="30"/>
  <c r="H124" i="30"/>
  <c r="F122" i="39"/>
  <c r="B122" i="39"/>
  <c r="F121" i="45"/>
  <c r="B121" i="45"/>
  <c r="F122" i="55"/>
  <c r="B122" i="55"/>
  <c r="D45" i="32"/>
  <c r="E45" i="32"/>
  <c r="H114" i="98"/>
  <c r="I114" i="98"/>
  <c r="F120" i="53"/>
  <c r="B120" i="53"/>
  <c r="F117" i="79"/>
  <c r="B117" i="79"/>
  <c r="B115" i="84"/>
  <c r="F115" i="84"/>
  <c r="H119" i="46"/>
  <c r="I119" i="46"/>
  <c r="F120" i="72"/>
  <c r="B120" i="72"/>
  <c r="D44" i="22"/>
  <c r="E44" i="22"/>
  <c r="B122" i="73"/>
  <c r="F122" i="73"/>
  <c r="B123" i="18"/>
  <c r="F123" i="18"/>
  <c r="D44" i="21"/>
  <c r="E44" i="21"/>
  <c r="H34" i="96"/>
  <c r="I34" i="96" s="1"/>
  <c r="B116" i="81"/>
  <c r="F116" i="81"/>
  <c r="E40" i="62"/>
  <c r="D40" i="62"/>
  <c r="F119" i="61"/>
  <c r="B119" i="61"/>
  <c r="F123" i="3"/>
  <c r="B123" i="3"/>
  <c r="H117" i="65"/>
  <c r="I117" i="65"/>
  <c r="D46" i="29"/>
  <c r="E46" i="29"/>
  <c r="H115" i="81"/>
  <c r="I115" i="81"/>
  <c r="J115" i="81" s="1"/>
  <c r="G120" i="67"/>
  <c r="D121" i="67"/>
  <c r="E121" i="67"/>
  <c r="E120" i="63"/>
  <c r="G119" i="63"/>
  <c r="D120" i="63"/>
  <c r="G36" i="88"/>
  <c r="I36" i="88" s="1"/>
  <c r="H43" i="18"/>
  <c r="I43" i="18" s="1"/>
  <c r="H114" i="92"/>
  <c r="I114" i="92"/>
  <c r="H120" i="45"/>
  <c r="I120" i="45"/>
  <c r="E35" i="100"/>
  <c r="D35" i="100"/>
  <c r="H119" i="53"/>
  <c r="I119" i="53"/>
  <c r="I116" i="79"/>
  <c r="H116" i="79"/>
  <c r="I115" i="99"/>
  <c r="J115" i="99" s="1"/>
  <c r="H115" i="99"/>
  <c r="H114" i="84"/>
  <c r="I114" i="84"/>
  <c r="F120" i="46"/>
  <c r="B120" i="46"/>
  <c r="H119" i="72"/>
  <c r="I119" i="72"/>
  <c r="G43" i="22"/>
  <c r="I43" i="22" s="1"/>
  <c r="I114" i="86"/>
  <c r="H114" i="86"/>
  <c r="I118" i="61"/>
  <c r="H118" i="61"/>
  <c r="J119" i="67"/>
  <c r="B118" i="65"/>
  <c r="F118" i="65"/>
  <c r="H40" i="54"/>
  <c r="I40" i="54" s="1"/>
  <c r="H116" i="77"/>
  <c r="I116" i="77"/>
  <c r="J116" i="77" s="1"/>
  <c r="H114" i="96"/>
  <c r="I114" i="96"/>
  <c r="I121" i="55"/>
  <c r="H121" i="55"/>
  <c r="H44" i="32"/>
  <c r="I44" i="32" s="1"/>
  <c r="I119" i="56"/>
  <c r="H119" i="56"/>
  <c r="D126" i="23"/>
  <c r="E126" i="23"/>
  <c r="G125" i="23"/>
  <c r="F116" i="99"/>
  <c r="B116" i="99"/>
  <c r="E128" i="29"/>
  <c r="G127" i="29"/>
  <c r="D128" i="29"/>
  <c r="I118" i="64"/>
  <c r="H118" i="64"/>
  <c r="E43" i="39"/>
  <c r="D43" i="39"/>
  <c r="B125" i="69"/>
  <c r="F125" i="69"/>
  <c r="H118" i="75"/>
  <c r="I118" i="75"/>
  <c r="D46" i="30"/>
  <c r="E46" i="30"/>
  <c r="H125" i="20"/>
  <c r="I125" i="20"/>
  <c r="B120" i="58"/>
  <c r="F120" i="58"/>
  <c r="B126" i="28"/>
  <c r="F126" i="28"/>
  <c r="B115" i="86"/>
  <c r="F115" i="86"/>
  <c r="F123" i="21"/>
  <c r="B123" i="21"/>
  <c r="F116" i="100"/>
  <c r="B116" i="100"/>
  <c r="I115" i="83"/>
  <c r="H115" i="83"/>
  <c r="F115" i="92"/>
  <c r="B115" i="92"/>
  <c r="B117" i="77"/>
  <c r="F117" i="77"/>
  <c r="D118" i="13"/>
  <c r="G117" i="13"/>
  <c r="F115" i="96"/>
  <c r="B115" i="96"/>
  <c r="D36" i="90"/>
  <c r="E36" i="90"/>
  <c r="J117" i="78"/>
  <c r="B120" i="56"/>
  <c r="F120" i="56"/>
  <c r="E140" i="35"/>
  <c r="F140" i="35" s="1"/>
  <c r="B140" i="35"/>
  <c r="G139" i="35"/>
  <c r="B119" i="64"/>
  <c r="F119" i="64"/>
  <c r="H42" i="39"/>
  <c r="I42" i="39" s="1"/>
  <c r="H114" i="89"/>
  <c r="I114" i="89"/>
  <c r="I124" i="69"/>
  <c r="H124" i="69"/>
  <c r="F118" i="82"/>
  <c r="B118" i="82"/>
  <c r="B119" i="75"/>
  <c r="F119" i="75"/>
  <c r="H119" i="58"/>
  <c r="I119" i="58"/>
  <c r="J119" i="58" s="1"/>
  <c r="B122" i="74"/>
  <c r="F122" i="74"/>
  <c r="H125" i="28"/>
  <c r="I125" i="28"/>
  <c r="I37" i="75"/>
  <c r="H122" i="21"/>
  <c r="I122" i="21"/>
  <c r="J122" i="21" s="1"/>
  <c r="B118" i="85"/>
  <c r="F118" i="85"/>
  <c r="E36" i="87"/>
  <c r="D36" i="87"/>
  <c r="D41" i="54"/>
  <c r="E41" i="54"/>
  <c r="D37" i="88"/>
  <c r="E37" i="88"/>
  <c r="I115" i="100"/>
  <c r="H115" i="100"/>
  <c r="D44" i="18"/>
  <c r="E44" i="18"/>
  <c r="F116" i="83"/>
  <c r="B116" i="83"/>
  <c r="D119" i="78"/>
  <c r="G118" i="78"/>
  <c r="E119" i="78"/>
  <c r="H117" i="68"/>
  <c r="I117" i="68"/>
  <c r="J117" i="68" s="1"/>
  <c r="G123" i="34"/>
  <c r="D124" i="34"/>
  <c r="E124" i="34"/>
  <c r="F115" i="89"/>
  <c r="B115" i="89"/>
  <c r="D119" i="66"/>
  <c r="G118" i="66"/>
  <c r="E119" i="66"/>
  <c r="E124" i="19"/>
  <c r="D124" i="19"/>
  <c r="G123" i="19"/>
  <c r="H45" i="30"/>
  <c r="I45" i="30" s="1"/>
  <c r="E36" i="89"/>
  <c r="D36" i="89"/>
  <c r="B126" i="20"/>
  <c r="F126" i="20"/>
  <c r="F115" i="90"/>
  <c r="B115" i="90"/>
  <c r="I121" i="74"/>
  <c r="H121" i="74"/>
  <c r="F35" i="25"/>
  <c r="G35" i="25" s="1"/>
  <c r="B35" i="25"/>
  <c r="G38" i="13" l="1"/>
  <c r="D39" i="13"/>
  <c r="E39" i="13" s="1"/>
  <c r="H38" i="13"/>
  <c r="I38" i="13" s="1"/>
  <c r="G46" i="28"/>
  <c r="I46" i="28" s="1"/>
  <c r="H42" i="44"/>
  <c r="E116" i="33"/>
  <c r="F116" i="33" s="1"/>
  <c r="I36" i="92"/>
  <c r="J115" i="95"/>
  <c r="D116" i="87"/>
  <c r="G115" i="87"/>
  <c r="E116" i="87"/>
  <c r="D117" i="95"/>
  <c r="E117" i="95"/>
  <c r="G116" i="95"/>
  <c r="H44" i="19"/>
  <c r="I44" i="19" s="1"/>
  <c r="I37" i="79"/>
  <c r="H36" i="92"/>
  <c r="E117" i="25"/>
  <c r="F117" i="25" s="1"/>
  <c r="J114" i="89"/>
  <c r="H45" i="71"/>
  <c r="I45" i="71" s="1"/>
  <c r="D46" i="27"/>
  <c r="E46" i="27"/>
  <c r="I34" i="99"/>
  <c r="F37" i="85"/>
  <c r="G37" i="85"/>
  <c r="B37" i="85"/>
  <c r="D43" i="74"/>
  <c r="E43" i="74"/>
  <c r="J121" i="44"/>
  <c r="B56" i="35"/>
  <c r="E56" i="35"/>
  <c r="F56" i="35" s="1"/>
  <c r="G55" i="35"/>
  <c r="H55" i="35"/>
  <c r="I55" i="35" s="1"/>
  <c r="F35" i="98"/>
  <c r="G35" i="98" s="1"/>
  <c r="B35" i="98"/>
  <c r="H42" i="73"/>
  <c r="I42" i="73" s="1"/>
  <c r="D43" i="73"/>
  <c r="E43" i="73"/>
  <c r="G40" i="58"/>
  <c r="I40" i="58" s="1"/>
  <c r="B44" i="3"/>
  <c r="F44" i="3"/>
  <c r="H44" i="3" s="1"/>
  <c r="I121" i="42"/>
  <c r="H121" i="42"/>
  <c r="H121" i="43"/>
  <c r="I121" i="43"/>
  <c r="J121" i="43" s="1"/>
  <c r="D41" i="53"/>
  <c r="E41" i="53"/>
  <c r="G122" i="44"/>
  <c r="D123" i="44"/>
  <c r="E123" i="44"/>
  <c r="I38" i="68"/>
  <c r="F116" i="26"/>
  <c r="B116" i="26"/>
  <c r="G36" i="82"/>
  <c r="D37" i="82"/>
  <c r="E37" i="82"/>
  <c r="E41" i="57"/>
  <c r="D41" i="57"/>
  <c r="I40" i="61"/>
  <c r="I42" i="41"/>
  <c r="B35" i="97"/>
  <c r="F35" i="97"/>
  <c r="H35" i="97" s="1"/>
  <c r="G35" i="97"/>
  <c r="H41" i="45"/>
  <c r="I41" i="45" s="1"/>
  <c r="D42" i="45"/>
  <c r="E42" i="45"/>
  <c r="E39" i="66"/>
  <c r="D39" i="66"/>
  <c r="D46" i="69"/>
  <c r="E46" i="69"/>
  <c r="B41" i="72"/>
  <c r="F41" i="72"/>
  <c r="H41" i="72" s="1"/>
  <c r="H40" i="46"/>
  <c r="I40" i="46" s="1"/>
  <c r="H34" i="95"/>
  <c r="I34" i="95" s="1"/>
  <c r="F38" i="77"/>
  <c r="G38" i="77" s="1"/>
  <c r="B38" i="77"/>
  <c r="E39" i="67"/>
  <c r="D39" i="67"/>
  <c r="E45" i="31"/>
  <c r="D45" i="31"/>
  <c r="B37" i="81"/>
  <c r="F37" i="81"/>
  <c r="H37" i="81" s="1"/>
  <c r="E43" i="44"/>
  <c r="D43" i="44"/>
  <c r="E44" i="20"/>
  <c r="D44" i="20"/>
  <c r="G116" i="33"/>
  <c r="D117" i="33"/>
  <c r="E117" i="33" s="1"/>
  <c r="E40" i="63"/>
  <c r="D40" i="63"/>
  <c r="J114" i="92"/>
  <c r="E43" i="41"/>
  <c r="D43" i="41"/>
  <c r="D47" i="28"/>
  <c r="E47" i="28"/>
  <c r="D35" i="99"/>
  <c r="E35" i="99"/>
  <c r="H40" i="56"/>
  <c r="I40" i="56" s="1"/>
  <c r="E41" i="56"/>
  <c r="D41" i="56"/>
  <c r="H39" i="60"/>
  <c r="I39" i="60" s="1"/>
  <c r="E40" i="60"/>
  <c r="D40" i="60"/>
  <c r="G38" i="67"/>
  <c r="G44" i="31"/>
  <c r="I44" i="31" s="1"/>
  <c r="H38" i="65"/>
  <c r="G38" i="65"/>
  <c r="E39" i="65"/>
  <c r="D39" i="65"/>
  <c r="B122" i="42"/>
  <c r="F122" i="42"/>
  <c r="H115" i="97"/>
  <c r="I115" i="97"/>
  <c r="J115" i="97" s="1"/>
  <c r="H36" i="83"/>
  <c r="I36" i="83" s="1"/>
  <c r="D37" i="83"/>
  <c r="E37" i="83"/>
  <c r="B122" i="43"/>
  <c r="F122" i="43"/>
  <c r="G40" i="53"/>
  <c r="E39" i="68"/>
  <c r="D39" i="68"/>
  <c r="H44" i="34"/>
  <c r="I44" i="34" s="1"/>
  <c r="D45" i="34"/>
  <c r="E45" i="34"/>
  <c r="H44" i="24"/>
  <c r="I44" i="24" s="1"/>
  <c r="D45" i="24"/>
  <c r="E45" i="24"/>
  <c r="H115" i="26"/>
  <c r="I115" i="26"/>
  <c r="J115" i="26" s="1"/>
  <c r="H40" i="57"/>
  <c r="H38" i="66"/>
  <c r="I38" i="66" s="1"/>
  <c r="I45" i="27"/>
  <c r="G45" i="69"/>
  <c r="I45" i="69" s="1"/>
  <c r="E38" i="79"/>
  <c r="D38" i="79"/>
  <c r="G36" i="84"/>
  <c r="I36" i="84" s="1"/>
  <c r="D37" i="84"/>
  <c r="E37" i="84"/>
  <c r="E41" i="46"/>
  <c r="D41" i="46"/>
  <c r="E35" i="95"/>
  <c r="D35" i="95"/>
  <c r="E41" i="58"/>
  <c r="D41" i="58"/>
  <c r="I38" i="67"/>
  <c r="E39" i="33"/>
  <c r="F39" i="33" s="1"/>
  <c r="B39" i="33"/>
  <c r="B38" i="76"/>
  <c r="F38" i="76"/>
  <c r="H38" i="76" s="1"/>
  <c r="I42" i="44"/>
  <c r="I43" i="20"/>
  <c r="I115" i="33"/>
  <c r="H115" i="33"/>
  <c r="G43" i="42"/>
  <c r="F43" i="42"/>
  <c r="H43" i="42"/>
  <c r="I43" i="42" s="1"/>
  <c r="B43" i="42"/>
  <c r="D37" i="92"/>
  <c r="E37" i="92"/>
  <c r="B116" i="97"/>
  <c r="F116" i="97"/>
  <c r="I40" i="53"/>
  <c r="B45" i="23"/>
  <c r="F45" i="23"/>
  <c r="G45" i="23" s="1"/>
  <c r="G39" i="63"/>
  <c r="I39" i="63" s="1"/>
  <c r="H36" i="82"/>
  <c r="I36" i="82" s="1"/>
  <c r="G40" i="57"/>
  <c r="D47" i="70"/>
  <c r="E47" i="70"/>
  <c r="J117" i="65"/>
  <c r="J124" i="30"/>
  <c r="E46" i="71"/>
  <c r="D46" i="71"/>
  <c r="D125" i="31"/>
  <c r="G124" i="31"/>
  <c r="E125" i="31"/>
  <c r="G46" i="70"/>
  <c r="F43" i="43"/>
  <c r="B43" i="43"/>
  <c r="J114" i="88"/>
  <c r="J116" i="25"/>
  <c r="B37" i="80"/>
  <c r="F37" i="80"/>
  <c r="H37" i="80" s="1"/>
  <c r="F37" i="86"/>
  <c r="G37" i="86" s="1"/>
  <c r="B37" i="86"/>
  <c r="H37" i="86"/>
  <c r="E45" i="19"/>
  <c r="D45" i="19"/>
  <c r="D44" i="17"/>
  <c r="E44" i="17"/>
  <c r="G43" i="17"/>
  <c r="I43" i="17" s="1"/>
  <c r="H36" i="91"/>
  <c r="D37" i="91"/>
  <c r="E37" i="91"/>
  <c r="B41" i="55"/>
  <c r="F41" i="55"/>
  <c r="H41" i="55" s="1"/>
  <c r="G36" i="91"/>
  <c r="D41" i="61"/>
  <c r="E41" i="61"/>
  <c r="H46" i="70"/>
  <c r="G40" i="64"/>
  <c r="I40" i="64" s="1"/>
  <c r="D41" i="64"/>
  <c r="E41" i="64"/>
  <c r="H40" i="59"/>
  <c r="I40" i="59" s="1"/>
  <c r="E41" i="59"/>
  <c r="D41" i="59"/>
  <c r="J123" i="31"/>
  <c r="B36" i="26"/>
  <c r="F36" i="26"/>
  <c r="D37" i="26" s="1"/>
  <c r="J121" i="74"/>
  <c r="J119" i="56"/>
  <c r="J114" i="86"/>
  <c r="G128" i="70"/>
  <c r="D129" i="70"/>
  <c r="E129" i="70"/>
  <c r="J120" i="45"/>
  <c r="J119" i="46"/>
  <c r="J115" i="80"/>
  <c r="J116" i="76"/>
  <c r="J120" i="62"/>
  <c r="J125" i="17"/>
  <c r="D121" i="60"/>
  <c r="E121" i="60"/>
  <c r="G120" i="60"/>
  <c r="J122" i="22"/>
  <c r="J118" i="64"/>
  <c r="E127" i="17"/>
  <c r="D127" i="17"/>
  <c r="G126" i="17"/>
  <c r="J121" i="73"/>
  <c r="J127" i="70"/>
  <c r="J119" i="54"/>
  <c r="H118" i="66"/>
  <c r="I118" i="66"/>
  <c r="I123" i="34"/>
  <c r="H123" i="34"/>
  <c r="F41" i="54"/>
  <c r="G41" i="54" s="1"/>
  <c r="B41" i="54"/>
  <c r="J115" i="83"/>
  <c r="D116" i="86"/>
  <c r="G115" i="86"/>
  <c r="E116" i="86"/>
  <c r="B128" i="29"/>
  <c r="F128" i="29"/>
  <c r="G123" i="3"/>
  <c r="D124" i="3"/>
  <c r="E124" i="3"/>
  <c r="G116" i="81"/>
  <c r="D117" i="81"/>
  <c r="E117" i="81"/>
  <c r="D123" i="39"/>
  <c r="G122" i="39"/>
  <c r="E123" i="39"/>
  <c r="G122" i="41"/>
  <c r="D123" i="41"/>
  <c r="E123" i="41"/>
  <c r="J121" i="39"/>
  <c r="D117" i="80"/>
  <c r="G116" i="80"/>
  <c r="E117" i="80"/>
  <c r="G115" i="88"/>
  <c r="D116" i="88"/>
  <c r="E116" i="88"/>
  <c r="B36" i="89"/>
  <c r="F36" i="89"/>
  <c r="G36" i="89" s="1"/>
  <c r="B119" i="66"/>
  <c r="F119" i="66"/>
  <c r="I118" i="78"/>
  <c r="H118" i="78"/>
  <c r="J115" i="100"/>
  <c r="B36" i="87"/>
  <c r="F36" i="87"/>
  <c r="H36" i="87" s="1"/>
  <c r="J125" i="28"/>
  <c r="G123" i="21"/>
  <c r="D124" i="21"/>
  <c r="E124" i="21"/>
  <c r="B46" i="30"/>
  <c r="F46" i="30"/>
  <c r="H127" i="29"/>
  <c r="I127" i="29"/>
  <c r="F126" i="23"/>
  <c r="B126" i="23"/>
  <c r="J121" i="55"/>
  <c r="G118" i="65"/>
  <c r="D119" i="65"/>
  <c r="E119" i="65"/>
  <c r="D124" i="18"/>
  <c r="G123" i="18"/>
  <c r="E124" i="18"/>
  <c r="G120" i="72"/>
  <c r="D121" i="72"/>
  <c r="E121" i="72"/>
  <c r="J114" i="98"/>
  <c r="J118" i="59"/>
  <c r="B35" i="96"/>
  <c r="F35" i="96"/>
  <c r="H35" i="96" s="1"/>
  <c r="D118" i="76"/>
  <c r="G117" i="76"/>
  <c r="E118" i="76"/>
  <c r="F119" i="78"/>
  <c r="B119" i="78"/>
  <c r="D119" i="82"/>
  <c r="G118" i="82"/>
  <c r="E119" i="82"/>
  <c r="G119" i="64"/>
  <c r="D120" i="64"/>
  <c r="E120" i="64"/>
  <c r="D121" i="56"/>
  <c r="G120" i="56"/>
  <c r="E121" i="56"/>
  <c r="G116" i="100"/>
  <c r="E117" i="100"/>
  <c r="D117" i="100"/>
  <c r="D127" i="28"/>
  <c r="G126" i="28"/>
  <c r="E127" i="28"/>
  <c r="J118" i="75"/>
  <c r="G125" i="69"/>
  <c r="D126" i="69"/>
  <c r="E126" i="69"/>
  <c r="J114" i="96"/>
  <c r="F120" i="63"/>
  <c r="B120" i="63"/>
  <c r="G119" i="61"/>
  <c r="D120" i="61"/>
  <c r="E120" i="61"/>
  <c r="J114" i="90"/>
  <c r="B37" i="88"/>
  <c r="G37" i="88"/>
  <c r="F37" i="88"/>
  <c r="H37" i="88" s="1"/>
  <c r="G118" i="85"/>
  <c r="D119" i="85"/>
  <c r="E119" i="85"/>
  <c r="G122" i="74"/>
  <c r="D123" i="74"/>
  <c r="E123" i="74"/>
  <c r="D120" i="75"/>
  <c r="E120" i="75"/>
  <c r="G119" i="75"/>
  <c r="D116" i="96"/>
  <c r="G115" i="96"/>
  <c r="E116" i="96"/>
  <c r="J118" i="61"/>
  <c r="F39" i="13"/>
  <c r="G39" i="13" s="1"/>
  <c r="B39" i="13"/>
  <c r="H119" i="63"/>
  <c r="I119" i="63"/>
  <c r="F40" i="62"/>
  <c r="H40" i="62" s="1"/>
  <c r="B40" i="62"/>
  <c r="G121" i="62"/>
  <c r="D122" i="62"/>
  <c r="E122" i="62"/>
  <c r="J121" i="41"/>
  <c r="D36" i="25"/>
  <c r="E36" i="25" s="1"/>
  <c r="H123" i="19"/>
  <c r="I123" i="19"/>
  <c r="J124" i="69"/>
  <c r="H139" i="35"/>
  <c r="I139" i="35"/>
  <c r="I117" i="13"/>
  <c r="H117" i="13"/>
  <c r="D121" i="58"/>
  <c r="G120" i="58"/>
  <c r="E121" i="58"/>
  <c r="B43" i="39"/>
  <c r="F43" i="39"/>
  <c r="G43" i="39" s="1"/>
  <c r="B46" i="29"/>
  <c r="F46" i="29"/>
  <c r="G122" i="73"/>
  <c r="D123" i="73"/>
  <c r="E123" i="73"/>
  <c r="G115" i="84"/>
  <c r="D116" i="84"/>
  <c r="E116" i="84"/>
  <c r="D118" i="79"/>
  <c r="G117" i="79"/>
  <c r="E118" i="79"/>
  <c r="F45" i="32"/>
  <c r="G45" i="32" s="1"/>
  <c r="B45" i="32"/>
  <c r="D116" i="98"/>
  <c r="G115" i="98"/>
  <c r="E116" i="98"/>
  <c r="D126" i="30"/>
  <c r="G125" i="30"/>
  <c r="E126" i="30"/>
  <c r="G124" i="24"/>
  <c r="D125" i="24"/>
  <c r="E125" i="24"/>
  <c r="D125" i="32"/>
  <c r="G124" i="32"/>
  <c r="E125" i="32"/>
  <c r="D121" i="54"/>
  <c r="G120" i="54"/>
  <c r="E121" i="54"/>
  <c r="B38" i="78"/>
  <c r="F38" i="78"/>
  <c r="H38" i="78" s="1"/>
  <c r="G126" i="20"/>
  <c r="E127" i="20"/>
  <c r="D127" i="20"/>
  <c r="D116" i="90"/>
  <c r="G115" i="90"/>
  <c r="E116" i="90"/>
  <c r="F124" i="19"/>
  <c r="B124" i="19"/>
  <c r="G115" i="89"/>
  <c r="D116" i="89"/>
  <c r="E116" i="89"/>
  <c r="D117" i="83"/>
  <c r="G116" i="83"/>
  <c r="E117" i="83"/>
  <c r="B118" i="13"/>
  <c r="D121" i="46"/>
  <c r="G120" i="46"/>
  <c r="E121" i="46"/>
  <c r="J116" i="79"/>
  <c r="D124" i="22"/>
  <c r="G123" i="22"/>
  <c r="E124" i="22"/>
  <c r="D125" i="71"/>
  <c r="G124" i="71"/>
  <c r="E125" i="71"/>
  <c r="D126" i="27"/>
  <c r="G125" i="27"/>
  <c r="E126" i="27"/>
  <c r="G120" i="57"/>
  <c r="D121" i="57"/>
  <c r="E121" i="57"/>
  <c r="H35" i="25"/>
  <c r="I35" i="25" s="1"/>
  <c r="G140" i="35"/>
  <c r="B141" i="35"/>
  <c r="E141" i="35"/>
  <c r="F141" i="35" s="1"/>
  <c r="E118" i="13"/>
  <c r="F118" i="13" s="1"/>
  <c r="G115" i="92"/>
  <c r="E116" i="92"/>
  <c r="D116" i="92"/>
  <c r="J125" i="20"/>
  <c r="G116" i="99"/>
  <c r="D117" i="99"/>
  <c r="E117" i="99"/>
  <c r="J119" i="72"/>
  <c r="J114" i="84"/>
  <c r="J119" i="53"/>
  <c r="F35" i="100"/>
  <c r="G35" i="100" s="1"/>
  <c r="B35" i="100"/>
  <c r="B121" i="67"/>
  <c r="F121" i="67"/>
  <c r="B44" i="21"/>
  <c r="F44" i="21"/>
  <c r="G44" i="21" s="1"/>
  <c r="D121" i="53"/>
  <c r="G120" i="53"/>
  <c r="E121" i="53"/>
  <c r="G122" i="55"/>
  <c r="D123" i="55"/>
  <c r="E123" i="55"/>
  <c r="G121" i="45"/>
  <c r="D122" i="45"/>
  <c r="E122" i="45"/>
  <c r="G119" i="59"/>
  <c r="D120" i="59"/>
  <c r="E120" i="59"/>
  <c r="J123" i="24"/>
  <c r="D116" i="91"/>
  <c r="G115" i="91"/>
  <c r="E116" i="91"/>
  <c r="J138" i="35"/>
  <c r="F124" i="34"/>
  <c r="B124" i="34"/>
  <c r="F44" i="18"/>
  <c r="G44" i="18" s="1"/>
  <c r="B44" i="18"/>
  <c r="F36" i="90"/>
  <c r="B36" i="90"/>
  <c r="G117" i="77"/>
  <c r="D118" i="77"/>
  <c r="E118" i="77"/>
  <c r="I125" i="23"/>
  <c r="H125" i="23"/>
  <c r="I120" i="67"/>
  <c r="H120" i="67"/>
  <c r="B44" i="22"/>
  <c r="F44" i="22"/>
  <c r="G44" i="22" s="1"/>
  <c r="B38" i="75"/>
  <c r="F38" i="75"/>
  <c r="H38" i="75" s="1"/>
  <c r="G118" i="68"/>
  <c r="D119" i="68"/>
  <c r="E119" i="68"/>
  <c r="J124" i="27"/>
  <c r="F117" i="95" l="1"/>
  <c r="B117" i="95"/>
  <c r="J115" i="33"/>
  <c r="G117" i="25"/>
  <c r="D118" i="25"/>
  <c r="H43" i="39"/>
  <c r="I40" i="57"/>
  <c r="G37" i="81"/>
  <c r="I37" i="81" s="1"/>
  <c r="H35" i="98"/>
  <c r="I35" i="98" s="1"/>
  <c r="I116" i="95"/>
  <c r="H116" i="95"/>
  <c r="I115" i="87"/>
  <c r="H115" i="87"/>
  <c r="G38" i="78"/>
  <c r="F116" i="87"/>
  <c r="B116" i="87"/>
  <c r="F37" i="92"/>
  <c r="B37" i="92"/>
  <c r="G38" i="76"/>
  <c r="I38" i="76" s="1"/>
  <c r="F37" i="84"/>
  <c r="B37" i="84"/>
  <c r="B39" i="68"/>
  <c r="F39" i="68"/>
  <c r="H39" i="68" s="1"/>
  <c r="F39" i="65"/>
  <c r="H39" i="65"/>
  <c r="B39" i="65"/>
  <c r="B47" i="28"/>
  <c r="F47" i="28"/>
  <c r="G47" i="28"/>
  <c r="H47" i="28"/>
  <c r="F40" i="63"/>
  <c r="H40" i="63" s="1"/>
  <c r="B40" i="63"/>
  <c r="H38" i="77"/>
  <c r="I38" i="77" s="1"/>
  <c r="I35" i="97"/>
  <c r="F123" i="44"/>
  <c r="B123" i="44"/>
  <c r="G44" i="3"/>
  <c r="I44" i="3" s="1"/>
  <c r="H44" i="18"/>
  <c r="I36" i="91"/>
  <c r="D117" i="97"/>
  <c r="G116" i="97"/>
  <c r="E117" i="97"/>
  <c r="B41" i="58"/>
  <c r="F41" i="58"/>
  <c r="H41" i="58" s="1"/>
  <c r="F41" i="46"/>
  <c r="H41" i="46" s="1"/>
  <c r="B41" i="46"/>
  <c r="F43" i="41"/>
  <c r="G43" i="41" s="1"/>
  <c r="B43" i="41"/>
  <c r="F117" i="33"/>
  <c r="B117" i="33"/>
  <c r="G43" i="44"/>
  <c r="F43" i="44"/>
  <c r="H43" i="44" s="1"/>
  <c r="B43" i="44"/>
  <c r="D38" i="81"/>
  <c r="E38" i="81"/>
  <c r="F39" i="67"/>
  <c r="B39" i="67"/>
  <c r="G41" i="72"/>
  <c r="D42" i="72"/>
  <c r="E42" i="72"/>
  <c r="D36" i="97"/>
  <c r="E36" i="97"/>
  <c r="G116" i="26"/>
  <c r="D117" i="26"/>
  <c r="H122" i="44"/>
  <c r="I122" i="44"/>
  <c r="F46" i="27"/>
  <c r="G46" i="27" s="1"/>
  <c r="B46" i="27"/>
  <c r="G36" i="26"/>
  <c r="H45" i="23"/>
  <c r="I45" i="23" s="1"/>
  <c r="D46" i="23"/>
  <c r="E46" i="23"/>
  <c r="D39" i="76"/>
  <c r="E39" i="76"/>
  <c r="H39" i="33"/>
  <c r="D40" i="33"/>
  <c r="G39" i="33"/>
  <c r="F38" i="79"/>
  <c r="H38" i="79" s="1"/>
  <c r="B38" i="79"/>
  <c r="B45" i="34"/>
  <c r="F45" i="34"/>
  <c r="H45" i="34" s="1"/>
  <c r="B37" i="83"/>
  <c r="F37" i="83"/>
  <c r="H37" i="83" s="1"/>
  <c r="G37" i="83"/>
  <c r="G122" i="42"/>
  <c r="E123" i="42"/>
  <c r="D123" i="42"/>
  <c r="F41" i="56"/>
  <c r="H41" i="56" s="1"/>
  <c r="B41" i="56"/>
  <c r="F35" i="99"/>
  <c r="H35" i="99" s="1"/>
  <c r="B35" i="99"/>
  <c r="I116" i="33"/>
  <c r="H116" i="33"/>
  <c r="D39" i="77"/>
  <c r="E39" i="77"/>
  <c r="I41" i="72"/>
  <c r="B46" i="69"/>
  <c r="F46" i="69"/>
  <c r="B42" i="45"/>
  <c r="F42" i="45"/>
  <c r="H42" i="45"/>
  <c r="B37" i="82"/>
  <c r="F37" i="82"/>
  <c r="H37" i="82"/>
  <c r="G37" i="82"/>
  <c r="D45" i="3"/>
  <c r="E45" i="3"/>
  <c r="F43" i="73"/>
  <c r="B43" i="73"/>
  <c r="G43" i="73"/>
  <c r="H56" i="35"/>
  <c r="E57" i="35"/>
  <c r="F57" i="35" s="1"/>
  <c r="G56" i="35"/>
  <c r="B57" i="35"/>
  <c r="B43" i="74"/>
  <c r="F43" i="74"/>
  <c r="D38" i="85"/>
  <c r="E38" i="85"/>
  <c r="E44" i="42"/>
  <c r="D44" i="42"/>
  <c r="B35" i="95"/>
  <c r="H35" i="95"/>
  <c r="F35" i="95"/>
  <c r="G35" i="95" s="1"/>
  <c r="B45" i="24"/>
  <c r="F45" i="24"/>
  <c r="E123" i="43"/>
  <c r="G122" i="43"/>
  <c r="D123" i="43"/>
  <c r="I38" i="65"/>
  <c r="B40" i="60"/>
  <c r="F40" i="60"/>
  <c r="F44" i="20"/>
  <c r="H44" i="20" s="1"/>
  <c r="B44" i="20"/>
  <c r="G44" i="20"/>
  <c r="B45" i="31"/>
  <c r="F45" i="31"/>
  <c r="B39" i="66"/>
  <c r="F39" i="66"/>
  <c r="F41" i="57"/>
  <c r="G41" i="57" s="1"/>
  <c r="B41" i="57"/>
  <c r="H41" i="57"/>
  <c r="B41" i="53"/>
  <c r="F41" i="53"/>
  <c r="G41" i="53" s="1"/>
  <c r="H41" i="53"/>
  <c r="J121" i="42"/>
  <c r="D36" i="98"/>
  <c r="E36" i="98"/>
  <c r="H37" i="85"/>
  <c r="I37" i="85" s="1"/>
  <c r="I46" i="70"/>
  <c r="H45" i="32"/>
  <c r="I45" i="32" s="1"/>
  <c r="E37" i="26"/>
  <c r="F37" i="26" s="1"/>
  <c r="B37" i="26"/>
  <c r="I37" i="86"/>
  <c r="E44" i="43"/>
  <c r="D44" i="43"/>
  <c r="B45" i="19"/>
  <c r="F45" i="19"/>
  <c r="I38" i="78"/>
  <c r="B41" i="59"/>
  <c r="F41" i="59"/>
  <c r="G41" i="59" s="1"/>
  <c r="F41" i="64"/>
  <c r="H41" i="64" s="1"/>
  <c r="B41" i="64"/>
  <c r="F41" i="61"/>
  <c r="G41" i="61" s="1"/>
  <c r="B41" i="61"/>
  <c r="G41" i="55"/>
  <c r="I41" i="55" s="1"/>
  <c r="E42" i="55"/>
  <c r="D42" i="55"/>
  <c r="B37" i="91"/>
  <c r="H37" i="91"/>
  <c r="F37" i="91"/>
  <c r="G37" i="91"/>
  <c r="G37" i="80"/>
  <c r="I37" i="80" s="1"/>
  <c r="E38" i="80"/>
  <c r="D38" i="80"/>
  <c r="H43" i="43"/>
  <c r="H124" i="31"/>
  <c r="I124" i="31"/>
  <c r="I44" i="18"/>
  <c r="H36" i="26"/>
  <c r="I36" i="26" s="1"/>
  <c r="B44" i="17"/>
  <c r="F44" i="17"/>
  <c r="G44" i="17" s="1"/>
  <c r="H44" i="17"/>
  <c r="C53" i="17"/>
  <c r="E38" i="86"/>
  <c r="D38" i="86"/>
  <c r="G43" i="43"/>
  <c r="F125" i="31"/>
  <c r="B125" i="31"/>
  <c r="F46" i="71"/>
  <c r="G46" i="71" s="1"/>
  <c r="B46" i="71"/>
  <c r="F47" i="70"/>
  <c r="H47" i="70" s="1"/>
  <c r="B47" i="70"/>
  <c r="J117" i="13"/>
  <c r="J139" i="35"/>
  <c r="J127" i="29"/>
  <c r="J118" i="66"/>
  <c r="I120" i="60"/>
  <c r="J120" i="60" s="1"/>
  <c r="H120" i="60"/>
  <c r="B121" i="60"/>
  <c r="F121" i="60"/>
  <c r="B129" i="70"/>
  <c r="F129" i="70"/>
  <c r="H128" i="70"/>
  <c r="I128" i="70"/>
  <c r="J125" i="23"/>
  <c r="H126" i="17"/>
  <c r="I126" i="17"/>
  <c r="B127" i="17"/>
  <c r="F127" i="17"/>
  <c r="D119" i="13"/>
  <c r="G118" i="13"/>
  <c r="G38" i="75"/>
  <c r="I38" i="75" s="1"/>
  <c r="D45" i="22"/>
  <c r="E45" i="22"/>
  <c r="D37" i="90"/>
  <c r="E37" i="90"/>
  <c r="H120" i="53"/>
  <c r="I120" i="53"/>
  <c r="E122" i="67"/>
  <c r="D122" i="67"/>
  <c r="G121" i="67"/>
  <c r="B126" i="27"/>
  <c r="F126" i="27"/>
  <c r="I116" i="83"/>
  <c r="H116" i="83"/>
  <c r="F121" i="54"/>
  <c r="B121" i="54"/>
  <c r="B116" i="84"/>
  <c r="F116" i="84"/>
  <c r="J119" i="63"/>
  <c r="H126" i="28"/>
  <c r="I126" i="28"/>
  <c r="G126" i="23"/>
  <c r="D127" i="23"/>
  <c r="E127" i="23"/>
  <c r="H123" i="3"/>
  <c r="I123" i="3"/>
  <c r="J123" i="3" s="1"/>
  <c r="D129" i="29"/>
  <c r="G128" i="29"/>
  <c r="E129" i="29"/>
  <c r="B121" i="53"/>
  <c r="F121" i="53"/>
  <c r="H115" i="92"/>
  <c r="I115" i="92"/>
  <c r="F117" i="83"/>
  <c r="B117" i="83"/>
  <c r="I115" i="90"/>
  <c r="H115" i="90"/>
  <c r="F125" i="24"/>
  <c r="B125" i="24"/>
  <c r="H115" i="84"/>
  <c r="I115" i="84"/>
  <c r="D47" i="29"/>
  <c r="E47" i="29"/>
  <c r="H120" i="58"/>
  <c r="I120" i="58"/>
  <c r="B36" i="25"/>
  <c r="F36" i="25"/>
  <c r="B123" i="74"/>
  <c r="F123" i="74"/>
  <c r="E121" i="63"/>
  <c r="D121" i="63"/>
  <c r="G120" i="63"/>
  <c r="F127" i="28"/>
  <c r="B127" i="28"/>
  <c r="F120" i="64"/>
  <c r="B120" i="64"/>
  <c r="B124" i="21"/>
  <c r="F124" i="21"/>
  <c r="J118" i="78"/>
  <c r="D42" i="54"/>
  <c r="E42" i="54"/>
  <c r="F122" i="45"/>
  <c r="B122" i="45"/>
  <c r="D45" i="21"/>
  <c r="E45" i="21"/>
  <c r="H120" i="46"/>
  <c r="I120" i="46"/>
  <c r="B116" i="90"/>
  <c r="F116" i="90"/>
  <c r="D39" i="78"/>
  <c r="E39" i="78"/>
  <c r="I124" i="24"/>
  <c r="H124" i="24"/>
  <c r="F121" i="58"/>
  <c r="B121" i="58"/>
  <c r="I122" i="74"/>
  <c r="H122" i="74"/>
  <c r="F117" i="100"/>
  <c r="B117" i="100"/>
  <c r="I119" i="64"/>
  <c r="H119" i="64"/>
  <c r="I117" i="76"/>
  <c r="H117" i="76"/>
  <c r="I123" i="21"/>
  <c r="H123" i="21"/>
  <c r="D120" i="66"/>
  <c r="E120" i="66"/>
  <c r="G119" i="66"/>
  <c r="I116" i="80"/>
  <c r="H116" i="80"/>
  <c r="F123" i="41"/>
  <c r="B123" i="41"/>
  <c r="B118" i="77"/>
  <c r="F118" i="77"/>
  <c r="F120" i="59"/>
  <c r="B120" i="59"/>
  <c r="H121" i="45"/>
  <c r="I121" i="45"/>
  <c r="G141" i="35"/>
  <c r="E142" i="35"/>
  <c r="F142" i="35" s="1"/>
  <c r="B142" i="35"/>
  <c r="F121" i="46"/>
  <c r="B121" i="46"/>
  <c r="F127" i="20"/>
  <c r="B127" i="20"/>
  <c r="H115" i="98"/>
  <c r="I115" i="98"/>
  <c r="D46" i="32"/>
  <c r="E46" i="32"/>
  <c r="B123" i="73"/>
  <c r="F123" i="73"/>
  <c r="G46" i="29"/>
  <c r="I115" i="96"/>
  <c r="H115" i="96"/>
  <c r="E120" i="78"/>
  <c r="D120" i="78"/>
  <c r="G119" i="78"/>
  <c r="B118" i="76"/>
  <c r="F118" i="76"/>
  <c r="F121" i="72"/>
  <c r="B121" i="72"/>
  <c r="F116" i="88"/>
  <c r="B116" i="88"/>
  <c r="F117" i="80"/>
  <c r="B117" i="80"/>
  <c r="H122" i="41"/>
  <c r="I122" i="41"/>
  <c r="H115" i="86"/>
  <c r="I115" i="86"/>
  <c r="J123" i="34"/>
  <c r="H117" i="77"/>
  <c r="I117" i="77"/>
  <c r="D45" i="18"/>
  <c r="E45" i="18"/>
  <c r="H119" i="59"/>
  <c r="I119" i="59"/>
  <c r="D36" i="100"/>
  <c r="E36" i="100"/>
  <c r="F121" i="57"/>
  <c r="B121" i="57"/>
  <c r="H124" i="71"/>
  <c r="I124" i="71"/>
  <c r="F116" i="89"/>
  <c r="B116" i="89"/>
  <c r="F116" i="98"/>
  <c r="B116" i="98"/>
  <c r="H122" i="73"/>
  <c r="I122" i="73"/>
  <c r="J122" i="73" s="1"/>
  <c r="H46" i="29"/>
  <c r="I43" i="39"/>
  <c r="F116" i="96"/>
  <c r="B116" i="96"/>
  <c r="B119" i="85"/>
  <c r="F119" i="85"/>
  <c r="B126" i="69"/>
  <c r="F126" i="69"/>
  <c r="H116" i="100"/>
  <c r="I116" i="100"/>
  <c r="I118" i="82"/>
  <c r="H118" i="82"/>
  <c r="D36" i="96"/>
  <c r="E36" i="96"/>
  <c r="H120" i="72"/>
  <c r="I120" i="72"/>
  <c r="F119" i="65"/>
  <c r="B119" i="65"/>
  <c r="D47" i="30"/>
  <c r="E47" i="30"/>
  <c r="E37" i="87"/>
  <c r="D37" i="87"/>
  <c r="I115" i="88"/>
  <c r="H115" i="88"/>
  <c r="B117" i="81"/>
  <c r="F117" i="81"/>
  <c r="B116" i="86"/>
  <c r="F116" i="86"/>
  <c r="J120" i="67"/>
  <c r="G36" i="90"/>
  <c r="H115" i="91"/>
  <c r="I115" i="91"/>
  <c r="F123" i="55"/>
  <c r="B123" i="55"/>
  <c r="H44" i="21"/>
  <c r="I44" i="21" s="1"/>
  <c r="H35" i="100"/>
  <c r="I35" i="100" s="1"/>
  <c r="F117" i="99"/>
  <c r="B117" i="99"/>
  <c r="H140" i="35"/>
  <c r="I140" i="35"/>
  <c r="J140" i="35" s="1"/>
  <c r="I120" i="57"/>
  <c r="J120" i="57" s="1"/>
  <c r="H120" i="57"/>
  <c r="F125" i="71"/>
  <c r="B125" i="71"/>
  <c r="H123" i="22"/>
  <c r="I123" i="22"/>
  <c r="J123" i="22" s="1"/>
  <c r="I115" i="89"/>
  <c r="H115" i="89"/>
  <c r="H126" i="20"/>
  <c r="I126" i="20"/>
  <c r="H117" i="79"/>
  <c r="I117" i="79"/>
  <c r="J117" i="79" s="1"/>
  <c r="D44" i="39"/>
  <c r="E44" i="39"/>
  <c r="G40" i="62"/>
  <c r="I40" i="62" s="1"/>
  <c r="H39" i="13"/>
  <c r="I39" i="13" s="1"/>
  <c r="H119" i="75"/>
  <c r="I119" i="75"/>
  <c r="J119" i="75" s="1"/>
  <c r="I118" i="85"/>
  <c r="H118" i="85"/>
  <c r="H125" i="69"/>
  <c r="I125" i="69"/>
  <c r="F119" i="82"/>
  <c r="B119" i="82"/>
  <c r="G35" i="96"/>
  <c r="I118" i="65"/>
  <c r="H118" i="65"/>
  <c r="G46" i="30"/>
  <c r="D37" i="89"/>
  <c r="E37" i="89"/>
  <c r="H122" i="39"/>
  <c r="I122" i="39"/>
  <c r="J122" i="39" s="1"/>
  <c r="H116" i="81"/>
  <c r="I116" i="81"/>
  <c r="J116" i="81" s="1"/>
  <c r="D39" i="75"/>
  <c r="E39" i="75"/>
  <c r="F119" i="68"/>
  <c r="B119" i="68"/>
  <c r="H44" i="22"/>
  <c r="I44" i="22" s="1"/>
  <c r="D125" i="34"/>
  <c r="G124" i="34"/>
  <c r="E125" i="34"/>
  <c r="B116" i="91"/>
  <c r="F116" i="91"/>
  <c r="H122" i="55"/>
  <c r="I122" i="55"/>
  <c r="H116" i="99"/>
  <c r="I116" i="99"/>
  <c r="B124" i="22"/>
  <c r="F124" i="22"/>
  <c r="I124" i="32"/>
  <c r="J124" i="32" s="1"/>
  <c r="H124" i="32"/>
  <c r="H125" i="30"/>
  <c r="I125" i="30"/>
  <c r="B118" i="79"/>
  <c r="F118" i="79"/>
  <c r="J123" i="19"/>
  <c r="F122" i="62"/>
  <c r="B122" i="62"/>
  <c r="E38" i="88"/>
  <c r="D38" i="88"/>
  <c r="B120" i="61"/>
  <c r="F120" i="61"/>
  <c r="H120" i="56"/>
  <c r="I120" i="56"/>
  <c r="I123" i="18"/>
  <c r="J123" i="18" s="1"/>
  <c r="H123" i="18"/>
  <c r="H46" i="30"/>
  <c r="G36" i="87"/>
  <c r="I36" i="87" s="1"/>
  <c r="H36" i="89"/>
  <c r="I36" i="89" s="1"/>
  <c r="B123" i="39"/>
  <c r="F123" i="39"/>
  <c r="H41" i="54"/>
  <c r="I41" i="54" s="1"/>
  <c r="I118" i="68"/>
  <c r="H118" i="68"/>
  <c r="H36" i="90"/>
  <c r="F116" i="92"/>
  <c r="B116" i="92"/>
  <c r="H125" i="27"/>
  <c r="I125" i="27"/>
  <c r="J125" i="27" s="1"/>
  <c r="E125" i="19"/>
  <c r="D125" i="19"/>
  <c r="G124" i="19"/>
  <c r="H120" i="54"/>
  <c r="I120" i="54"/>
  <c r="B125" i="32"/>
  <c r="F125" i="32"/>
  <c r="B126" i="30"/>
  <c r="F126" i="30"/>
  <c r="H121" i="62"/>
  <c r="I121" i="62"/>
  <c r="D41" i="62"/>
  <c r="E41" i="62"/>
  <c r="D40" i="13"/>
  <c r="E40" i="13" s="1"/>
  <c r="B120" i="75"/>
  <c r="F120" i="75"/>
  <c r="I37" i="88"/>
  <c r="H119" i="61"/>
  <c r="I119" i="61"/>
  <c r="B121" i="56"/>
  <c r="F121" i="56"/>
  <c r="I35" i="96"/>
  <c r="B124" i="18"/>
  <c r="F124" i="18"/>
  <c r="B124" i="3"/>
  <c r="F124" i="3"/>
  <c r="I41" i="53" l="1"/>
  <c r="G116" i="87"/>
  <c r="E117" i="87"/>
  <c r="D117" i="87"/>
  <c r="G40" i="63"/>
  <c r="I40" i="63" s="1"/>
  <c r="J116" i="95"/>
  <c r="H46" i="27"/>
  <c r="I46" i="27" s="1"/>
  <c r="B118" i="25"/>
  <c r="E118" i="25"/>
  <c r="F118" i="25" s="1"/>
  <c r="G117" i="95"/>
  <c r="E118" i="95"/>
  <c r="D118" i="95"/>
  <c r="I41" i="57"/>
  <c r="I35" i="95"/>
  <c r="I43" i="44"/>
  <c r="J115" i="87"/>
  <c r="H117" i="25"/>
  <c r="I117" i="25"/>
  <c r="J117" i="25" s="1"/>
  <c r="D40" i="66"/>
  <c r="E40" i="66"/>
  <c r="H122" i="43"/>
  <c r="I122" i="43"/>
  <c r="J122" i="43" s="1"/>
  <c r="H57" i="35"/>
  <c r="I57" i="35" s="1"/>
  <c r="B58" i="35"/>
  <c r="G57" i="35"/>
  <c r="E58" i="35"/>
  <c r="F58" i="35" s="1"/>
  <c r="H122" i="42"/>
  <c r="I122" i="42"/>
  <c r="G123" i="44"/>
  <c r="D124" i="44"/>
  <c r="E124" i="44"/>
  <c r="D38" i="84"/>
  <c r="E38" i="84"/>
  <c r="B39" i="77"/>
  <c r="F39" i="77"/>
  <c r="G39" i="77" s="1"/>
  <c r="E117" i="26"/>
  <c r="F117" i="26" s="1"/>
  <c r="B117" i="26"/>
  <c r="E40" i="67"/>
  <c r="D40" i="67"/>
  <c r="H46" i="71"/>
  <c r="I44" i="17"/>
  <c r="B36" i="98"/>
  <c r="F36" i="98"/>
  <c r="H36" i="98" s="1"/>
  <c r="E42" i="53"/>
  <c r="D42" i="53"/>
  <c r="F38" i="85"/>
  <c r="H38" i="85" s="1"/>
  <c r="B38" i="85"/>
  <c r="I56" i="35"/>
  <c r="E44" i="73"/>
  <c r="D44" i="73"/>
  <c r="I37" i="82"/>
  <c r="G42" i="45"/>
  <c r="I42" i="45" s="1"/>
  <c r="D43" i="45"/>
  <c r="E43" i="45"/>
  <c r="G35" i="99"/>
  <c r="D36" i="99"/>
  <c r="E36" i="99"/>
  <c r="D42" i="56"/>
  <c r="E42" i="56"/>
  <c r="I37" i="83"/>
  <c r="G45" i="34"/>
  <c r="I45" i="34" s="1"/>
  <c r="I39" i="33"/>
  <c r="F39" i="76"/>
  <c r="G39" i="76"/>
  <c r="B39" i="76"/>
  <c r="H39" i="76"/>
  <c r="D47" i="27"/>
  <c r="E47" i="27"/>
  <c r="H116" i="26"/>
  <c r="I116" i="26"/>
  <c r="F42" i="72"/>
  <c r="B42" i="72"/>
  <c r="H39" i="67"/>
  <c r="E44" i="41"/>
  <c r="D44" i="41"/>
  <c r="G41" i="46"/>
  <c r="D42" i="46"/>
  <c r="E42" i="46"/>
  <c r="E48" i="28"/>
  <c r="D48" i="28"/>
  <c r="G39" i="65"/>
  <c r="I39" i="65" s="1"/>
  <c r="D40" i="65"/>
  <c r="E40" i="65"/>
  <c r="H37" i="84"/>
  <c r="E38" i="92"/>
  <c r="D38" i="92"/>
  <c r="D46" i="31"/>
  <c r="E46" i="31"/>
  <c r="H40" i="60"/>
  <c r="E41" i="60"/>
  <c r="D41" i="60"/>
  <c r="E46" i="24"/>
  <c r="D46" i="24"/>
  <c r="E44" i="74"/>
  <c r="D44" i="74"/>
  <c r="H46" i="69"/>
  <c r="D47" i="69"/>
  <c r="E47" i="69"/>
  <c r="D39" i="79"/>
  <c r="E39" i="79"/>
  <c r="F38" i="81"/>
  <c r="B38" i="81"/>
  <c r="I46" i="29"/>
  <c r="I37" i="91"/>
  <c r="E42" i="57"/>
  <c r="D42" i="57"/>
  <c r="G39" i="66"/>
  <c r="H45" i="31"/>
  <c r="D45" i="20"/>
  <c r="E45" i="20"/>
  <c r="H45" i="24"/>
  <c r="B44" i="42"/>
  <c r="F44" i="42"/>
  <c r="H44" i="42" s="1"/>
  <c r="H43" i="74"/>
  <c r="H43" i="73"/>
  <c r="I43" i="73" s="1"/>
  <c r="E38" i="82"/>
  <c r="D38" i="82"/>
  <c r="J116" i="33"/>
  <c r="G41" i="56"/>
  <c r="B123" i="42"/>
  <c r="F123" i="42"/>
  <c r="E38" i="83"/>
  <c r="D38" i="83"/>
  <c r="G38" i="79"/>
  <c r="I38" i="79" s="1"/>
  <c r="E40" i="33"/>
  <c r="B40" i="33"/>
  <c r="F40" i="33"/>
  <c r="J122" i="44"/>
  <c r="G39" i="67"/>
  <c r="G117" i="33"/>
  <c r="D118" i="33"/>
  <c r="B118" i="33" s="1"/>
  <c r="H43" i="41"/>
  <c r="I43" i="41" s="1"/>
  <c r="I116" i="97"/>
  <c r="H116" i="97"/>
  <c r="D41" i="63"/>
  <c r="E41" i="63"/>
  <c r="G37" i="84"/>
  <c r="G37" i="92"/>
  <c r="J120" i="53"/>
  <c r="H39" i="66"/>
  <c r="G45" i="31"/>
  <c r="I44" i="20"/>
  <c r="G40" i="60"/>
  <c r="I40" i="60" s="1"/>
  <c r="B123" i="43"/>
  <c r="F123" i="43"/>
  <c r="G45" i="24"/>
  <c r="E36" i="95"/>
  <c r="D36" i="95"/>
  <c r="G43" i="74"/>
  <c r="F45" i="3"/>
  <c r="B45" i="3"/>
  <c r="G45" i="3"/>
  <c r="G46" i="69"/>
  <c r="I35" i="99"/>
  <c r="I41" i="56"/>
  <c r="D46" i="34"/>
  <c r="E46" i="34"/>
  <c r="F46" i="23"/>
  <c r="H46" i="23"/>
  <c r="B46" i="23"/>
  <c r="G46" i="23"/>
  <c r="B36" i="97"/>
  <c r="F36" i="97"/>
  <c r="H36" i="97" s="1"/>
  <c r="D44" i="44"/>
  <c r="E44" i="44"/>
  <c r="I41" i="46"/>
  <c r="G41" i="58"/>
  <c r="I41" i="58" s="1"/>
  <c r="D42" i="58"/>
  <c r="E42" i="58"/>
  <c r="F117" i="97"/>
  <c r="B117" i="97"/>
  <c r="I47" i="28"/>
  <c r="G39" i="68"/>
  <c r="I39" i="68" s="1"/>
  <c r="E40" i="68"/>
  <c r="D40" i="68"/>
  <c r="H37" i="92"/>
  <c r="D38" i="26"/>
  <c r="E38" i="26" s="1"/>
  <c r="H37" i="26"/>
  <c r="I37" i="26" s="1"/>
  <c r="G37" i="26"/>
  <c r="E46" i="19"/>
  <c r="D46" i="19"/>
  <c r="I36" i="90"/>
  <c r="J115" i="88"/>
  <c r="E126" i="31"/>
  <c r="D126" i="31"/>
  <c r="G125" i="31"/>
  <c r="D45" i="17"/>
  <c r="E45" i="17"/>
  <c r="J124" i="31"/>
  <c r="I43" i="43"/>
  <c r="G41" i="64"/>
  <c r="I41" i="64" s="1"/>
  <c r="H41" i="59"/>
  <c r="I41" i="59" s="1"/>
  <c r="H45" i="19"/>
  <c r="B38" i="86"/>
  <c r="F38" i="86"/>
  <c r="H38" i="86" s="1"/>
  <c r="I46" i="30"/>
  <c r="J118" i="65"/>
  <c r="J115" i="91"/>
  <c r="J116" i="100"/>
  <c r="J122" i="41"/>
  <c r="G47" i="70"/>
  <c r="I47" i="70" s="1"/>
  <c r="D48" i="70"/>
  <c r="E48" i="70"/>
  <c r="D47" i="71"/>
  <c r="E47" i="71"/>
  <c r="B38" i="80"/>
  <c r="F38" i="80"/>
  <c r="H38" i="80"/>
  <c r="E38" i="91"/>
  <c r="D38" i="91"/>
  <c r="G45" i="19"/>
  <c r="I46" i="71"/>
  <c r="F42" i="55"/>
  <c r="B42" i="55"/>
  <c r="H41" i="61"/>
  <c r="I41" i="61" s="1"/>
  <c r="D42" i="61"/>
  <c r="E42" i="61"/>
  <c r="D42" i="64"/>
  <c r="E42" i="64"/>
  <c r="E42" i="59"/>
  <c r="D42" i="59"/>
  <c r="F44" i="43"/>
  <c r="H44" i="43" s="1"/>
  <c r="B44" i="43"/>
  <c r="E122" i="60"/>
  <c r="D122" i="60"/>
  <c r="G121" i="60"/>
  <c r="J116" i="80"/>
  <c r="J124" i="24"/>
  <c r="J125" i="69"/>
  <c r="J117" i="77"/>
  <c r="J115" i="98"/>
  <c r="J121" i="62"/>
  <c r="J120" i="54"/>
  <c r="J115" i="92"/>
  <c r="G127" i="17"/>
  <c r="D128" i="17"/>
  <c r="E128" i="17"/>
  <c r="J115" i="86"/>
  <c r="J120" i="58"/>
  <c r="J126" i="17"/>
  <c r="J128" i="70"/>
  <c r="D130" i="70"/>
  <c r="G129" i="70"/>
  <c r="E130" i="70"/>
  <c r="F41" i="62"/>
  <c r="B41" i="62"/>
  <c r="J120" i="56"/>
  <c r="J125" i="30"/>
  <c r="J116" i="99"/>
  <c r="B125" i="34"/>
  <c r="F125" i="34"/>
  <c r="B44" i="39"/>
  <c r="F44" i="39"/>
  <c r="G44" i="39" s="1"/>
  <c r="G117" i="80"/>
  <c r="D118" i="80"/>
  <c r="E118" i="80"/>
  <c r="F46" i="32"/>
  <c r="G46" i="32" s="1"/>
  <c r="B46" i="32"/>
  <c r="G116" i="90"/>
  <c r="D117" i="90"/>
  <c r="E117" i="90"/>
  <c r="H120" i="63"/>
  <c r="I120" i="63"/>
  <c r="E124" i="55"/>
  <c r="D124" i="55"/>
  <c r="G123" i="55"/>
  <c r="B37" i="87"/>
  <c r="F37" i="87"/>
  <c r="H37" i="87" s="1"/>
  <c r="D117" i="96"/>
  <c r="G116" i="96"/>
  <c r="E117" i="96"/>
  <c r="B36" i="100"/>
  <c r="F36" i="100"/>
  <c r="G121" i="72"/>
  <c r="D122" i="72"/>
  <c r="E122" i="72"/>
  <c r="D122" i="58"/>
  <c r="G121" i="58"/>
  <c r="E122" i="58"/>
  <c r="B45" i="21"/>
  <c r="F45" i="21"/>
  <c r="H45" i="21" s="1"/>
  <c r="B121" i="63"/>
  <c r="F121" i="63"/>
  <c r="J118" i="68"/>
  <c r="G120" i="61"/>
  <c r="D121" i="61"/>
  <c r="E121" i="61"/>
  <c r="D119" i="79"/>
  <c r="G118" i="79"/>
  <c r="E119" i="79"/>
  <c r="J122" i="55"/>
  <c r="G119" i="68"/>
  <c r="D120" i="68"/>
  <c r="E120" i="68"/>
  <c r="J118" i="85"/>
  <c r="J115" i="89"/>
  <c r="B36" i="96"/>
  <c r="F36" i="96"/>
  <c r="G36" i="96" s="1"/>
  <c r="D117" i="89"/>
  <c r="G116" i="89"/>
  <c r="E117" i="89"/>
  <c r="J119" i="59"/>
  <c r="D119" i="76"/>
  <c r="G118" i="76"/>
  <c r="E119" i="76"/>
  <c r="J115" i="96"/>
  <c r="G142" i="35"/>
  <c r="B143" i="35"/>
  <c r="E143" i="35"/>
  <c r="F143" i="35" s="1"/>
  <c r="J121" i="45"/>
  <c r="H119" i="66"/>
  <c r="I119" i="66"/>
  <c r="J119" i="66" s="1"/>
  <c r="J119" i="64"/>
  <c r="D37" i="25"/>
  <c r="E37" i="25" s="1"/>
  <c r="J115" i="90"/>
  <c r="G116" i="84"/>
  <c r="D117" i="84"/>
  <c r="E117" i="84"/>
  <c r="G121" i="54"/>
  <c r="D122" i="54"/>
  <c r="E122" i="54"/>
  <c r="G124" i="18"/>
  <c r="D125" i="18"/>
  <c r="E125" i="18"/>
  <c r="E121" i="75"/>
  <c r="G120" i="75"/>
  <c r="D121" i="75"/>
  <c r="H124" i="19"/>
  <c r="I124" i="19"/>
  <c r="F37" i="89"/>
  <c r="B37" i="89"/>
  <c r="G116" i="86"/>
  <c r="D117" i="86"/>
  <c r="E117" i="86"/>
  <c r="H141" i="35"/>
  <c r="I141" i="35"/>
  <c r="J141" i="35" s="1"/>
  <c r="D123" i="45"/>
  <c r="G122" i="45"/>
  <c r="E123" i="45"/>
  <c r="B47" i="29"/>
  <c r="F47" i="29"/>
  <c r="G47" i="29" s="1"/>
  <c r="H121" i="67"/>
  <c r="I121" i="67"/>
  <c r="F37" i="90"/>
  <c r="G37" i="90" s="1"/>
  <c r="B37" i="90"/>
  <c r="G124" i="3"/>
  <c r="D125" i="3"/>
  <c r="E125" i="3"/>
  <c r="B125" i="19"/>
  <c r="F125" i="19"/>
  <c r="D124" i="39"/>
  <c r="G123" i="39"/>
  <c r="E124" i="39"/>
  <c r="B38" i="88"/>
  <c r="F38" i="88"/>
  <c r="G38" i="88" s="1"/>
  <c r="G116" i="91"/>
  <c r="D117" i="91"/>
  <c r="E117" i="91"/>
  <c r="F39" i="75"/>
  <c r="H39" i="75" s="1"/>
  <c r="G39" i="75"/>
  <c r="B39" i="75"/>
  <c r="F47" i="30"/>
  <c r="H47" i="30" s="1"/>
  <c r="B47" i="30"/>
  <c r="J118" i="82"/>
  <c r="D117" i="98"/>
  <c r="G116" i="98"/>
  <c r="E117" i="98"/>
  <c r="J124" i="71"/>
  <c r="H119" i="78"/>
  <c r="I119" i="78"/>
  <c r="J119" i="78" s="1"/>
  <c r="D128" i="20"/>
  <c r="G127" i="20"/>
  <c r="E128" i="20"/>
  <c r="B120" i="66"/>
  <c r="F120" i="66"/>
  <c r="E118" i="100"/>
  <c r="D118" i="100"/>
  <c r="G117" i="100"/>
  <c r="J120" i="46"/>
  <c r="H36" i="25"/>
  <c r="J115" i="84"/>
  <c r="G117" i="83"/>
  <c r="D118" i="83"/>
  <c r="E118" i="83"/>
  <c r="H128" i="29"/>
  <c r="I128" i="29"/>
  <c r="J116" i="83"/>
  <c r="B122" i="67"/>
  <c r="F122" i="67"/>
  <c r="I118" i="13"/>
  <c r="H118" i="13"/>
  <c r="J119" i="61"/>
  <c r="D127" i="30"/>
  <c r="G126" i="30"/>
  <c r="E127" i="30"/>
  <c r="D125" i="22"/>
  <c r="G124" i="22"/>
  <c r="E125" i="22"/>
  <c r="D120" i="82"/>
  <c r="E120" i="82"/>
  <c r="G119" i="82"/>
  <c r="D118" i="99"/>
  <c r="G117" i="99"/>
  <c r="E118" i="99"/>
  <c r="G117" i="81"/>
  <c r="D118" i="81"/>
  <c r="E118" i="81"/>
  <c r="F45" i="18"/>
  <c r="B45" i="18"/>
  <c r="B120" i="78"/>
  <c r="F120" i="78"/>
  <c r="D124" i="73"/>
  <c r="G123" i="73"/>
  <c r="E124" i="73"/>
  <c r="G120" i="59"/>
  <c r="D121" i="59"/>
  <c r="E121" i="59"/>
  <c r="D121" i="64"/>
  <c r="G120" i="64"/>
  <c r="E121" i="64"/>
  <c r="D124" i="74"/>
  <c r="G123" i="74"/>
  <c r="E124" i="74"/>
  <c r="G36" i="25"/>
  <c r="B129" i="29"/>
  <c r="F129" i="29"/>
  <c r="B127" i="23"/>
  <c r="F127" i="23"/>
  <c r="J126" i="28"/>
  <c r="D127" i="27"/>
  <c r="G126" i="27"/>
  <c r="E127" i="27"/>
  <c r="B119" i="13"/>
  <c r="F40" i="13"/>
  <c r="B40" i="13"/>
  <c r="G125" i="71"/>
  <c r="D126" i="71"/>
  <c r="E126" i="71"/>
  <c r="D120" i="65"/>
  <c r="G119" i="65"/>
  <c r="E120" i="65"/>
  <c r="E120" i="85"/>
  <c r="D120" i="85"/>
  <c r="G119" i="85"/>
  <c r="D117" i="88"/>
  <c r="G116" i="88"/>
  <c r="E117" i="88"/>
  <c r="D122" i="46"/>
  <c r="G121" i="46"/>
  <c r="E122" i="46"/>
  <c r="D119" i="77"/>
  <c r="G118" i="77"/>
  <c r="E119" i="77"/>
  <c r="J123" i="21"/>
  <c r="J117" i="76"/>
  <c r="I126" i="23"/>
  <c r="H126" i="23"/>
  <c r="B45" i="22"/>
  <c r="F45" i="22"/>
  <c r="G45" i="22" s="1"/>
  <c r="E119" i="13"/>
  <c r="F119" i="13" s="1"/>
  <c r="G121" i="56"/>
  <c r="D122" i="56"/>
  <c r="E122" i="56"/>
  <c r="G125" i="32"/>
  <c r="D126" i="32"/>
  <c r="E126" i="32"/>
  <c r="G116" i="92"/>
  <c r="D117" i="92"/>
  <c r="E117" i="92"/>
  <c r="G122" i="62"/>
  <c r="E123" i="62"/>
  <c r="D123" i="62"/>
  <c r="H124" i="34"/>
  <c r="I124" i="34"/>
  <c r="J126" i="20"/>
  <c r="J120" i="72"/>
  <c r="D127" i="69"/>
  <c r="G126" i="69"/>
  <c r="E127" i="69"/>
  <c r="D122" i="57"/>
  <c r="G121" i="57"/>
  <c r="E122" i="57"/>
  <c r="G123" i="41"/>
  <c r="D124" i="41"/>
  <c r="E124" i="41"/>
  <c r="J122" i="74"/>
  <c r="F39" i="78"/>
  <c r="B39" i="78"/>
  <c r="B42" i="54"/>
  <c r="F42" i="54"/>
  <c r="H42" i="54" s="1"/>
  <c r="D125" i="21"/>
  <c r="G124" i="21"/>
  <c r="E125" i="21"/>
  <c r="G127" i="28"/>
  <c r="D128" i="28"/>
  <c r="E128" i="28"/>
  <c r="D126" i="24"/>
  <c r="G125" i="24"/>
  <c r="E126" i="24"/>
  <c r="D122" i="53"/>
  <c r="G121" i="53"/>
  <c r="E122" i="53"/>
  <c r="H38" i="88" l="1"/>
  <c r="H39" i="77"/>
  <c r="I39" i="77" s="1"/>
  <c r="I117" i="95"/>
  <c r="J117" i="95" s="1"/>
  <c r="H117" i="95"/>
  <c r="I116" i="87"/>
  <c r="H116" i="87"/>
  <c r="I46" i="23"/>
  <c r="I46" i="69"/>
  <c r="I45" i="31"/>
  <c r="J116" i="26"/>
  <c r="I39" i="76"/>
  <c r="D119" i="25"/>
  <c r="B119" i="25" s="1"/>
  <c r="G118" i="25"/>
  <c r="E119" i="25"/>
  <c r="F119" i="25" s="1"/>
  <c r="H47" i="29"/>
  <c r="I47" i="29" s="1"/>
  <c r="J122" i="42"/>
  <c r="F118" i="95"/>
  <c r="B118" i="95"/>
  <c r="F117" i="87"/>
  <c r="B117" i="87"/>
  <c r="G117" i="26"/>
  <c r="D118" i="26"/>
  <c r="G38" i="86"/>
  <c r="I38" i="86" s="1"/>
  <c r="F42" i="58"/>
  <c r="B42" i="58"/>
  <c r="B36" i="95"/>
  <c r="F36" i="95"/>
  <c r="D124" i="42"/>
  <c r="E124" i="42"/>
  <c r="G123" i="42"/>
  <c r="F38" i="82"/>
  <c r="G38" i="82" s="1"/>
  <c r="B38" i="82"/>
  <c r="I45" i="24"/>
  <c r="I39" i="66"/>
  <c r="E39" i="81"/>
  <c r="D39" i="81"/>
  <c r="B47" i="69"/>
  <c r="F47" i="69"/>
  <c r="G47" i="69" s="1"/>
  <c r="F46" i="24"/>
  <c r="H46" i="24" s="1"/>
  <c r="B46" i="24"/>
  <c r="B42" i="46"/>
  <c r="F42" i="46"/>
  <c r="H42" i="46" s="1"/>
  <c r="I39" i="67"/>
  <c r="D43" i="72"/>
  <c r="E43" i="72"/>
  <c r="B47" i="27"/>
  <c r="F47" i="27"/>
  <c r="H47" i="27" s="1"/>
  <c r="G47" i="27"/>
  <c r="E40" i="76"/>
  <c r="D40" i="76"/>
  <c r="G38" i="85"/>
  <c r="I38" i="85" s="1"/>
  <c r="F42" i="53"/>
  <c r="G42" i="53" s="1"/>
  <c r="B42" i="53"/>
  <c r="H123" i="44"/>
  <c r="I123" i="44"/>
  <c r="J123" i="44" s="1"/>
  <c r="H58" i="35"/>
  <c r="B59" i="35"/>
  <c r="G58" i="35"/>
  <c r="E59" i="35"/>
  <c r="F59" i="35" s="1"/>
  <c r="B40" i="68"/>
  <c r="F40" i="68"/>
  <c r="H40" i="68" s="1"/>
  <c r="F44" i="44"/>
  <c r="G44" i="44" s="1"/>
  <c r="B44" i="44"/>
  <c r="D47" i="23"/>
  <c r="E47" i="23"/>
  <c r="B41" i="63"/>
  <c r="G41" i="63"/>
  <c r="F41" i="63"/>
  <c r="H41" i="63" s="1"/>
  <c r="E118" i="33"/>
  <c r="F118" i="33" s="1"/>
  <c r="D45" i="42"/>
  <c r="E45" i="42"/>
  <c r="B42" i="57"/>
  <c r="F42" i="57"/>
  <c r="H42" i="57" s="1"/>
  <c r="G42" i="57"/>
  <c r="I37" i="84"/>
  <c r="F48" i="28"/>
  <c r="H48" i="28" s="1"/>
  <c r="B48" i="28"/>
  <c r="G42" i="72"/>
  <c r="F42" i="56"/>
  <c r="B42" i="56"/>
  <c r="H42" i="56"/>
  <c r="F44" i="73"/>
  <c r="H44" i="73" s="1"/>
  <c r="B44" i="73"/>
  <c r="D40" i="77"/>
  <c r="E40" i="77"/>
  <c r="F38" i="84"/>
  <c r="H38" i="84" s="1"/>
  <c r="B38" i="84"/>
  <c r="E118" i="97"/>
  <c r="D118" i="97"/>
  <c r="G117" i="97"/>
  <c r="G36" i="97"/>
  <c r="I36" i="97" s="1"/>
  <c r="E37" i="97"/>
  <c r="D37" i="97"/>
  <c r="E46" i="3"/>
  <c r="D46" i="3"/>
  <c r="I37" i="92"/>
  <c r="G40" i="33"/>
  <c r="H40" i="33"/>
  <c r="D41" i="33"/>
  <c r="B38" i="83"/>
  <c r="F38" i="83"/>
  <c r="G38" i="83" s="1"/>
  <c r="F45" i="20"/>
  <c r="B45" i="20"/>
  <c r="H45" i="20"/>
  <c r="G45" i="20"/>
  <c r="H38" i="81"/>
  <c r="G39" i="79"/>
  <c r="B39" i="79"/>
  <c r="F39" i="79"/>
  <c r="F44" i="74"/>
  <c r="G44" i="74" s="1"/>
  <c r="B44" i="74"/>
  <c r="F41" i="60"/>
  <c r="G41" i="60" s="1"/>
  <c r="B41" i="60"/>
  <c r="F46" i="31"/>
  <c r="B46" i="31"/>
  <c r="H46" i="31"/>
  <c r="G46" i="31"/>
  <c r="B44" i="41"/>
  <c r="F44" i="41"/>
  <c r="H44" i="41" s="1"/>
  <c r="F43" i="45"/>
  <c r="H43" i="45" s="1"/>
  <c r="B43" i="45"/>
  <c r="G36" i="98"/>
  <c r="I36" i="98" s="1"/>
  <c r="D37" i="98"/>
  <c r="E37" i="98"/>
  <c r="F46" i="34"/>
  <c r="G46" i="34"/>
  <c r="B46" i="34"/>
  <c r="H46" i="34"/>
  <c r="H45" i="3"/>
  <c r="I45" i="3" s="1"/>
  <c r="D124" i="43"/>
  <c r="G123" i="43"/>
  <c r="E124" i="43"/>
  <c r="J116" i="97"/>
  <c r="H117" i="33"/>
  <c r="I117" i="33"/>
  <c r="I43" i="74"/>
  <c r="G44" i="42"/>
  <c r="I44" i="42" s="1"/>
  <c r="G38" i="81"/>
  <c r="F38" i="92"/>
  <c r="H38" i="92" s="1"/>
  <c r="B38" i="92"/>
  <c r="F40" i="65"/>
  <c r="B40" i="65"/>
  <c r="H42" i="72"/>
  <c r="B36" i="99"/>
  <c r="F36" i="99"/>
  <c r="G36" i="99" s="1"/>
  <c r="D39" i="85"/>
  <c r="E39" i="85"/>
  <c r="F40" i="67"/>
  <c r="H40" i="67" s="1"/>
  <c r="B40" i="67"/>
  <c r="F124" i="44"/>
  <c r="B124" i="44"/>
  <c r="B40" i="66"/>
  <c r="F40" i="66"/>
  <c r="H40" i="66"/>
  <c r="G40" i="66"/>
  <c r="B42" i="61"/>
  <c r="F42" i="61"/>
  <c r="H42" i="61" s="1"/>
  <c r="G42" i="61"/>
  <c r="D43" i="55"/>
  <c r="E43" i="55"/>
  <c r="B38" i="91"/>
  <c r="F38" i="91"/>
  <c r="G38" i="91" s="1"/>
  <c r="E39" i="80"/>
  <c r="D39" i="80"/>
  <c r="B48" i="70"/>
  <c r="F48" i="70"/>
  <c r="G48" i="70" s="1"/>
  <c r="B126" i="31"/>
  <c r="F126" i="31"/>
  <c r="H125" i="31"/>
  <c r="I125" i="31"/>
  <c r="H45" i="22"/>
  <c r="E45" i="43"/>
  <c r="D45" i="43"/>
  <c r="F42" i="59"/>
  <c r="G42" i="59" s="1"/>
  <c r="B42" i="59"/>
  <c r="H42" i="55"/>
  <c r="B46" i="19"/>
  <c r="F46" i="19"/>
  <c r="H46" i="19" s="1"/>
  <c r="B38" i="26"/>
  <c r="F38" i="26"/>
  <c r="D39" i="26" s="1"/>
  <c r="G38" i="26"/>
  <c r="G44" i="43"/>
  <c r="I44" i="43" s="1"/>
  <c r="B42" i="64"/>
  <c r="F42" i="64"/>
  <c r="H42" i="64" s="1"/>
  <c r="G42" i="64"/>
  <c r="G42" i="55"/>
  <c r="G38" i="80"/>
  <c r="I38" i="80" s="1"/>
  <c r="H47" i="71"/>
  <c r="B47" i="71"/>
  <c r="F47" i="71"/>
  <c r="D39" i="86"/>
  <c r="E39" i="86"/>
  <c r="I45" i="19"/>
  <c r="B45" i="17"/>
  <c r="F45" i="17"/>
  <c r="C54" i="17"/>
  <c r="G45" i="17"/>
  <c r="J121" i="67"/>
  <c r="J120" i="63"/>
  <c r="I129" i="70"/>
  <c r="H129" i="70"/>
  <c r="B122" i="60"/>
  <c r="F122" i="60"/>
  <c r="I121" i="60"/>
  <c r="J121" i="60" s="1"/>
  <c r="H121" i="60"/>
  <c r="J126" i="23"/>
  <c r="J128" i="29"/>
  <c r="F128" i="17"/>
  <c r="B128" i="17"/>
  <c r="B130" i="70"/>
  <c r="F130" i="70"/>
  <c r="H127" i="17"/>
  <c r="I127" i="17"/>
  <c r="G119" i="13"/>
  <c r="D120" i="13"/>
  <c r="F122" i="53"/>
  <c r="B122" i="53"/>
  <c r="F128" i="28"/>
  <c r="B128" i="28"/>
  <c r="F124" i="41"/>
  <c r="B124" i="41"/>
  <c r="I121" i="57"/>
  <c r="H121" i="57"/>
  <c r="B123" i="62"/>
  <c r="F123" i="62"/>
  <c r="B117" i="92"/>
  <c r="F117" i="92"/>
  <c r="H125" i="32"/>
  <c r="I125" i="32"/>
  <c r="J125" i="32" s="1"/>
  <c r="I116" i="88"/>
  <c r="H116" i="88"/>
  <c r="H119" i="65"/>
  <c r="I119" i="65"/>
  <c r="H120" i="64"/>
  <c r="I120" i="64"/>
  <c r="J120" i="64" s="1"/>
  <c r="F121" i="59"/>
  <c r="B121" i="59"/>
  <c r="B124" i="73"/>
  <c r="F124" i="73"/>
  <c r="D46" i="18"/>
  <c r="E46" i="18"/>
  <c r="H119" i="82"/>
  <c r="I119" i="82"/>
  <c r="J119" i="82" s="1"/>
  <c r="H124" i="22"/>
  <c r="I124" i="22"/>
  <c r="F127" i="30"/>
  <c r="B127" i="30"/>
  <c r="F118" i="100"/>
  <c r="B118" i="100"/>
  <c r="H127" i="20"/>
  <c r="I127" i="20"/>
  <c r="J127" i="20" s="1"/>
  <c r="I116" i="98"/>
  <c r="H116" i="98"/>
  <c r="B117" i="91"/>
  <c r="F117" i="91"/>
  <c r="F124" i="39"/>
  <c r="B124" i="39"/>
  <c r="D38" i="90"/>
  <c r="E38" i="90"/>
  <c r="H122" i="45"/>
  <c r="I122" i="45"/>
  <c r="D38" i="89"/>
  <c r="E38" i="89"/>
  <c r="H142" i="35"/>
  <c r="I142" i="35"/>
  <c r="J142" i="35" s="1"/>
  <c r="H120" i="61"/>
  <c r="I120" i="61"/>
  <c r="J120" i="61" s="1"/>
  <c r="D122" i="63"/>
  <c r="E122" i="63"/>
  <c r="G121" i="63"/>
  <c r="F122" i="58"/>
  <c r="B122" i="58"/>
  <c r="B122" i="72"/>
  <c r="F122" i="72"/>
  <c r="F117" i="96"/>
  <c r="B117" i="96"/>
  <c r="F124" i="55"/>
  <c r="B124" i="55"/>
  <c r="H116" i="90"/>
  <c r="I116" i="90"/>
  <c r="D40" i="78"/>
  <c r="E40" i="78"/>
  <c r="I123" i="41"/>
  <c r="H123" i="41"/>
  <c r="B122" i="57"/>
  <c r="F122" i="57"/>
  <c r="H116" i="92"/>
  <c r="I116" i="92"/>
  <c r="H118" i="77"/>
  <c r="I118" i="77"/>
  <c r="B117" i="88"/>
  <c r="F117" i="88"/>
  <c r="F120" i="65"/>
  <c r="B120" i="65"/>
  <c r="D41" i="13"/>
  <c r="E41" i="13" s="1"/>
  <c r="G129" i="29"/>
  <c r="D130" i="29"/>
  <c r="E130" i="29"/>
  <c r="B121" i="64"/>
  <c r="F121" i="64"/>
  <c r="I120" i="59"/>
  <c r="H120" i="59"/>
  <c r="H45" i="18"/>
  <c r="F125" i="22"/>
  <c r="B125" i="22"/>
  <c r="B128" i="20"/>
  <c r="F128" i="20"/>
  <c r="F117" i="98"/>
  <c r="B117" i="98"/>
  <c r="H116" i="91"/>
  <c r="I116" i="91"/>
  <c r="G125" i="19"/>
  <c r="D126" i="19"/>
  <c r="E126" i="19"/>
  <c r="F123" i="45"/>
  <c r="B123" i="45"/>
  <c r="B121" i="75"/>
  <c r="F121" i="75"/>
  <c r="H121" i="72"/>
  <c r="I121" i="72"/>
  <c r="D47" i="32"/>
  <c r="E47" i="32"/>
  <c r="G125" i="34"/>
  <c r="D126" i="34"/>
  <c r="E126" i="34"/>
  <c r="D42" i="62"/>
  <c r="E42" i="62"/>
  <c r="G39" i="78"/>
  <c r="I122" i="62"/>
  <c r="H122" i="62"/>
  <c r="B119" i="77"/>
  <c r="F119" i="77"/>
  <c r="G40" i="13"/>
  <c r="B120" i="82"/>
  <c r="F120" i="82"/>
  <c r="G120" i="66"/>
  <c r="E121" i="66"/>
  <c r="D121" i="66"/>
  <c r="H120" i="75"/>
  <c r="I120" i="75"/>
  <c r="J120" i="75" s="1"/>
  <c r="B122" i="54"/>
  <c r="F122" i="54"/>
  <c r="H116" i="89"/>
  <c r="I116" i="89"/>
  <c r="F120" i="68"/>
  <c r="B120" i="68"/>
  <c r="H118" i="79"/>
  <c r="I118" i="79"/>
  <c r="D37" i="100"/>
  <c r="E37" i="100"/>
  <c r="D38" i="87"/>
  <c r="E38" i="87"/>
  <c r="D45" i="39"/>
  <c r="E45" i="39"/>
  <c r="F122" i="56"/>
  <c r="B122" i="56"/>
  <c r="F126" i="71"/>
  <c r="B126" i="71"/>
  <c r="H40" i="13"/>
  <c r="I40" i="13" s="1"/>
  <c r="D121" i="78"/>
  <c r="E121" i="78"/>
  <c r="G120" i="78"/>
  <c r="J118" i="13"/>
  <c r="F118" i="83"/>
  <c r="B118" i="83"/>
  <c r="I38" i="88"/>
  <c r="H121" i="54"/>
  <c r="I121" i="54"/>
  <c r="H118" i="76"/>
  <c r="I118" i="76"/>
  <c r="B117" i="89"/>
  <c r="F117" i="89"/>
  <c r="H119" i="68"/>
  <c r="I119" i="68"/>
  <c r="B119" i="79"/>
  <c r="F119" i="79"/>
  <c r="D46" i="21"/>
  <c r="E46" i="21"/>
  <c r="H44" i="39"/>
  <c r="I44" i="39" s="1"/>
  <c r="H125" i="24"/>
  <c r="I125" i="24"/>
  <c r="I124" i="21"/>
  <c r="H124" i="21"/>
  <c r="B125" i="21"/>
  <c r="F125" i="21"/>
  <c r="J124" i="34"/>
  <c r="H121" i="56"/>
  <c r="I121" i="56"/>
  <c r="D46" i="22"/>
  <c r="E46" i="22"/>
  <c r="H119" i="85"/>
  <c r="I119" i="85"/>
  <c r="H125" i="71"/>
  <c r="I125" i="71"/>
  <c r="H126" i="27"/>
  <c r="I126" i="27"/>
  <c r="H117" i="83"/>
  <c r="I117" i="83"/>
  <c r="J117" i="83" s="1"/>
  <c r="G47" i="30"/>
  <c r="I47" i="30" s="1"/>
  <c r="D39" i="88"/>
  <c r="E39" i="88"/>
  <c r="B125" i="3"/>
  <c r="F125" i="3"/>
  <c r="F119" i="76"/>
  <c r="B119" i="76"/>
  <c r="G36" i="100"/>
  <c r="G37" i="87"/>
  <c r="I37" i="87" s="1"/>
  <c r="B126" i="24"/>
  <c r="F126" i="24"/>
  <c r="H126" i="69"/>
  <c r="I126" i="69"/>
  <c r="H121" i="46"/>
  <c r="I121" i="46"/>
  <c r="F120" i="85"/>
  <c r="B120" i="85"/>
  <c r="F127" i="27"/>
  <c r="B127" i="27"/>
  <c r="I123" i="74"/>
  <c r="H123" i="74"/>
  <c r="H117" i="99"/>
  <c r="I117" i="99"/>
  <c r="G122" i="67"/>
  <c r="D123" i="67"/>
  <c r="E123" i="67"/>
  <c r="I39" i="75"/>
  <c r="I124" i="3"/>
  <c r="H124" i="3"/>
  <c r="H37" i="89"/>
  <c r="B125" i="18"/>
  <c r="F125" i="18"/>
  <c r="B117" i="84"/>
  <c r="F117" i="84"/>
  <c r="D37" i="96"/>
  <c r="E37" i="96"/>
  <c r="G45" i="21"/>
  <c r="I45" i="21" s="1"/>
  <c r="H36" i="100"/>
  <c r="B118" i="80"/>
  <c r="F118" i="80"/>
  <c r="E43" i="54"/>
  <c r="D43" i="54"/>
  <c r="B127" i="69"/>
  <c r="F127" i="69"/>
  <c r="I45" i="22"/>
  <c r="B122" i="46"/>
  <c r="F122" i="46"/>
  <c r="F124" i="74"/>
  <c r="B124" i="74"/>
  <c r="B118" i="81"/>
  <c r="F118" i="81"/>
  <c r="F118" i="99"/>
  <c r="B118" i="99"/>
  <c r="I36" i="25"/>
  <c r="E40" i="75"/>
  <c r="D40" i="75"/>
  <c r="H37" i="90"/>
  <c r="I37" i="90" s="1"/>
  <c r="B117" i="86"/>
  <c r="F117" i="86"/>
  <c r="H124" i="18"/>
  <c r="I124" i="18"/>
  <c r="J124" i="18" s="1"/>
  <c r="H116" i="84"/>
  <c r="I116" i="84"/>
  <c r="B144" i="35"/>
  <c r="E144" i="35"/>
  <c r="F144" i="35" s="1"/>
  <c r="G143" i="35"/>
  <c r="H36" i="96"/>
  <c r="I36" i="96" s="1"/>
  <c r="H117" i="80"/>
  <c r="I117" i="80"/>
  <c r="G41" i="62"/>
  <c r="I127" i="28"/>
  <c r="J127" i="28" s="1"/>
  <c r="H127" i="28"/>
  <c r="H121" i="53"/>
  <c r="I121" i="53"/>
  <c r="G42" i="54"/>
  <c r="I42" i="54" s="1"/>
  <c r="H39" i="78"/>
  <c r="I39" i="78" s="1"/>
  <c r="F126" i="32"/>
  <c r="B126" i="32"/>
  <c r="G127" i="23"/>
  <c r="E128" i="23"/>
  <c r="D128" i="23"/>
  <c r="H123" i="73"/>
  <c r="I123" i="73"/>
  <c r="G45" i="18"/>
  <c r="I117" i="81"/>
  <c r="J117" i="81" s="1"/>
  <c r="H117" i="81"/>
  <c r="H126" i="30"/>
  <c r="I126" i="30"/>
  <c r="H117" i="100"/>
  <c r="I117" i="100"/>
  <c r="D48" i="30"/>
  <c r="E48" i="30"/>
  <c r="H123" i="39"/>
  <c r="I123" i="39"/>
  <c r="D48" i="29"/>
  <c r="E48" i="29"/>
  <c r="I116" i="86"/>
  <c r="H116" i="86"/>
  <c r="G37" i="89"/>
  <c r="J124" i="19"/>
  <c r="B37" i="25"/>
  <c r="F37" i="25"/>
  <c r="H37" i="25"/>
  <c r="B121" i="61"/>
  <c r="F121" i="61"/>
  <c r="I121" i="58"/>
  <c r="H121" i="58"/>
  <c r="I116" i="96"/>
  <c r="H116" i="96"/>
  <c r="H123" i="55"/>
  <c r="I123" i="55"/>
  <c r="B117" i="90"/>
  <c r="F117" i="90"/>
  <c r="H46" i="32"/>
  <c r="I46" i="32" s="1"/>
  <c r="H41" i="62"/>
  <c r="I41" i="62" s="1"/>
  <c r="D118" i="87" l="1"/>
  <c r="E118" i="87"/>
  <c r="G117" i="87"/>
  <c r="G38" i="92"/>
  <c r="I38" i="92" s="1"/>
  <c r="G44" i="73"/>
  <c r="H38" i="82"/>
  <c r="I38" i="82" s="1"/>
  <c r="D120" i="25"/>
  <c r="B120" i="25" s="1"/>
  <c r="G119" i="25"/>
  <c r="I36" i="100"/>
  <c r="H36" i="99"/>
  <c r="D119" i="95"/>
  <c r="E119" i="95"/>
  <c r="G118" i="95"/>
  <c r="H118" i="25"/>
  <c r="I118" i="25"/>
  <c r="J118" i="25" s="1"/>
  <c r="J116" i="87"/>
  <c r="J116" i="91"/>
  <c r="H38" i="26"/>
  <c r="I38" i="26" s="1"/>
  <c r="I46" i="34"/>
  <c r="I46" i="31"/>
  <c r="I41" i="63"/>
  <c r="I58" i="35"/>
  <c r="J116" i="96"/>
  <c r="H38" i="91"/>
  <c r="B39" i="85"/>
  <c r="F39" i="85"/>
  <c r="H39" i="85" s="1"/>
  <c r="F124" i="43"/>
  <c r="B124" i="43"/>
  <c r="G44" i="41"/>
  <c r="I44" i="41" s="1"/>
  <c r="E40" i="79"/>
  <c r="D40" i="79"/>
  <c r="H38" i="83"/>
  <c r="I38" i="83" s="1"/>
  <c r="E41" i="33"/>
  <c r="F41" i="33" s="1"/>
  <c r="B41" i="33"/>
  <c r="F46" i="3"/>
  <c r="G46" i="3" s="1"/>
  <c r="B46" i="3"/>
  <c r="I44" i="73"/>
  <c r="E43" i="56"/>
  <c r="D43" i="56"/>
  <c r="I42" i="57"/>
  <c r="B47" i="23"/>
  <c r="G47" i="23"/>
  <c r="F47" i="23"/>
  <c r="G40" i="68"/>
  <c r="I40" i="68" s="1"/>
  <c r="E60" i="35"/>
  <c r="F60" i="35" s="1"/>
  <c r="H59" i="35"/>
  <c r="I59" i="35" s="1"/>
  <c r="B60" i="35"/>
  <c r="G59" i="35"/>
  <c r="H42" i="53"/>
  <c r="I42" i="53" s="1"/>
  <c r="G42" i="46"/>
  <c r="I42" i="46" s="1"/>
  <c r="H123" i="42"/>
  <c r="I123" i="42"/>
  <c r="D37" i="95"/>
  <c r="E37" i="95"/>
  <c r="J119" i="65"/>
  <c r="I40" i="66"/>
  <c r="I36" i="99"/>
  <c r="D47" i="34"/>
  <c r="E47" i="34"/>
  <c r="I45" i="20"/>
  <c r="I40" i="33"/>
  <c r="H117" i="97"/>
  <c r="I117" i="97"/>
  <c r="F40" i="77"/>
  <c r="G40" i="77" s="1"/>
  <c r="B40" i="77"/>
  <c r="D45" i="73"/>
  <c r="E45" i="73"/>
  <c r="G42" i="56"/>
  <c r="D43" i="57"/>
  <c r="E43" i="57"/>
  <c r="F45" i="42"/>
  <c r="B45" i="42"/>
  <c r="G45" i="42"/>
  <c r="I47" i="27"/>
  <c r="E48" i="69"/>
  <c r="D48" i="69"/>
  <c r="G36" i="95"/>
  <c r="H42" i="58"/>
  <c r="D43" i="58"/>
  <c r="E43" i="58"/>
  <c r="J116" i="86"/>
  <c r="D125" i="44"/>
  <c r="E125" i="44"/>
  <c r="G124" i="44"/>
  <c r="D41" i="67"/>
  <c r="E41" i="67"/>
  <c r="E45" i="41"/>
  <c r="D45" i="41"/>
  <c r="H41" i="60"/>
  <c r="I41" i="60" s="1"/>
  <c r="D42" i="60"/>
  <c r="E42" i="60"/>
  <c r="E45" i="74"/>
  <c r="D45" i="74"/>
  <c r="D39" i="83"/>
  <c r="E39" i="83"/>
  <c r="F37" i="97"/>
  <c r="G37" i="97"/>
  <c r="B37" i="97"/>
  <c r="B118" i="97"/>
  <c r="F118" i="97"/>
  <c r="D39" i="84"/>
  <c r="E39" i="84"/>
  <c r="I42" i="56"/>
  <c r="I42" i="72"/>
  <c r="E49" i="28"/>
  <c r="D49" i="28"/>
  <c r="G118" i="33"/>
  <c r="D119" i="33"/>
  <c r="E41" i="68"/>
  <c r="D41" i="68"/>
  <c r="B43" i="72"/>
  <c r="F43" i="72"/>
  <c r="G43" i="72"/>
  <c r="H43" i="72"/>
  <c r="I43" i="72" s="1"/>
  <c r="E43" i="46"/>
  <c r="D43" i="46"/>
  <c r="G46" i="24"/>
  <c r="I46" i="24" s="1"/>
  <c r="E47" i="24"/>
  <c r="D47" i="24"/>
  <c r="F124" i="42"/>
  <c r="B124" i="42"/>
  <c r="E118" i="26"/>
  <c r="F118" i="26" s="1"/>
  <c r="B118" i="26"/>
  <c r="J122" i="45"/>
  <c r="I42" i="64"/>
  <c r="D41" i="66"/>
  <c r="E41" i="66"/>
  <c r="G40" i="67"/>
  <c r="I40" i="67" s="1"/>
  <c r="E37" i="99"/>
  <c r="D37" i="99"/>
  <c r="H40" i="65"/>
  <c r="E41" i="65"/>
  <c r="G40" i="65"/>
  <c r="I40" i="65" s="1"/>
  <c r="D41" i="65"/>
  <c r="E39" i="92"/>
  <c r="D39" i="92"/>
  <c r="J117" i="33"/>
  <c r="H123" i="43"/>
  <c r="I123" i="43"/>
  <c r="F37" i="98"/>
  <c r="H37" i="98" s="1"/>
  <c r="B37" i="98"/>
  <c r="G43" i="45"/>
  <c r="I43" i="45" s="1"/>
  <c r="D44" i="45"/>
  <c r="E44" i="45"/>
  <c r="D47" i="31"/>
  <c r="E47" i="31"/>
  <c r="H44" i="74"/>
  <c r="I44" i="74" s="1"/>
  <c r="H39" i="79"/>
  <c r="I39" i="79" s="1"/>
  <c r="I38" i="81"/>
  <c r="E46" i="20"/>
  <c r="D46" i="20"/>
  <c r="G38" i="84"/>
  <c r="I38" i="84" s="1"/>
  <c r="G48" i="28"/>
  <c r="I48" i="28" s="1"/>
  <c r="D42" i="63"/>
  <c r="E42" i="63"/>
  <c r="H44" i="44"/>
  <c r="I44" i="44" s="1"/>
  <c r="D45" i="44"/>
  <c r="E45" i="44"/>
  <c r="D43" i="53"/>
  <c r="E43" i="53"/>
  <c r="B40" i="76"/>
  <c r="F40" i="76"/>
  <c r="G40" i="76" s="1"/>
  <c r="H40" i="76"/>
  <c r="D48" i="27"/>
  <c r="E48" i="27"/>
  <c r="H47" i="69"/>
  <c r="I47" i="69" s="1"/>
  <c r="F39" i="81"/>
  <c r="B39" i="81"/>
  <c r="G39" i="81"/>
  <c r="E39" i="82"/>
  <c r="D39" i="82"/>
  <c r="H36" i="95"/>
  <c r="I36" i="95" s="1"/>
  <c r="G42" i="58"/>
  <c r="I42" i="58" s="1"/>
  <c r="I117" i="26"/>
  <c r="H117" i="26"/>
  <c r="B43" i="55"/>
  <c r="F43" i="55"/>
  <c r="H43" i="55" s="1"/>
  <c r="D48" i="71"/>
  <c r="E48" i="71"/>
  <c r="D47" i="19"/>
  <c r="E47" i="19"/>
  <c r="I42" i="55"/>
  <c r="F45" i="43"/>
  <c r="B45" i="43"/>
  <c r="D127" i="31"/>
  <c r="E127" i="31"/>
  <c r="G126" i="31"/>
  <c r="I38" i="91"/>
  <c r="I42" i="61"/>
  <c r="J117" i="99"/>
  <c r="G47" i="71"/>
  <c r="I47" i="71" s="1"/>
  <c r="E39" i="26"/>
  <c r="F39" i="26" s="1"/>
  <c r="B39" i="26"/>
  <c r="H48" i="70"/>
  <c r="I48" i="70" s="1"/>
  <c r="D49" i="70"/>
  <c r="E49" i="70"/>
  <c r="D39" i="91"/>
  <c r="E39" i="91"/>
  <c r="D43" i="61"/>
  <c r="E43" i="61"/>
  <c r="H42" i="59"/>
  <c r="I42" i="59" s="1"/>
  <c r="E43" i="59"/>
  <c r="D43" i="59"/>
  <c r="J126" i="30"/>
  <c r="H45" i="17"/>
  <c r="I45" i="17" s="1"/>
  <c r="D46" i="17"/>
  <c r="E46" i="17"/>
  <c r="F39" i="86"/>
  <c r="G39" i="86" s="1"/>
  <c r="B39" i="86"/>
  <c r="E43" i="64"/>
  <c r="D43" i="64"/>
  <c r="G46" i="19"/>
  <c r="I46" i="19" s="1"/>
  <c r="J125" i="31"/>
  <c r="B39" i="80"/>
  <c r="F39" i="80"/>
  <c r="H39" i="80" s="1"/>
  <c r="J121" i="58"/>
  <c r="J117" i="100"/>
  <c r="J126" i="27"/>
  <c r="J124" i="21"/>
  <c r="J116" i="89"/>
  <c r="E131" i="70"/>
  <c r="D131" i="70"/>
  <c r="G130" i="70"/>
  <c r="E123" i="60"/>
  <c r="D123" i="60"/>
  <c r="G122" i="60"/>
  <c r="J123" i="73"/>
  <c r="J116" i="84"/>
  <c r="J124" i="22"/>
  <c r="J123" i="41"/>
  <c r="D129" i="17"/>
  <c r="G128" i="17"/>
  <c r="E129" i="17"/>
  <c r="J127" i="17"/>
  <c r="J129" i="70"/>
  <c r="J121" i="54"/>
  <c r="B48" i="29"/>
  <c r="F48" i="29"/>
  <c r="G48" i="29" s="1"/>
  <c r="J123" i="39"/>
  <c r="B128" i="23"/>
  <c r="F128" i="23"/>
  <c r="D128" i="69"/>
  <c r="G127" i="69"/>
  <c r="E128" i="69"/>
  <c r="G118" i="80"/>
  <c r="D119" i="80"/>
  <c r="E119" i="80"/>
  <c r="G125" i="18"/>
  <c r="D126" i="18"/>
  <c r="E126" i="18"/>
  <c r="H122" i="67"/>
  <c r="I122" i="67"/>
  <c r="J121" i="46"/>
  <c r="G119" i="76"/>
  <c r="D120" i="76"/>
  <c r="E120" i="76"/>
  <c r="J125" i="71"/>
  <c r="B46" i="21"/>
  <c r="F46" i="21"/>
  <c r="J119" i="68"/>
  <c r="F126" i="34"/>
  <c r="B126" i="34"/>
  <c r="G121" i="75"/>
  <c r="D122" i="75"/>
  <c r="E122" i="75"/>
  <c r="J116" i="92"/>
  <c r="G122" i="72"/>
  <c r="D123" i="72"/>
  <c r="E123" i="72"/>
  <c r="D125" i="39"/>
  <c r="G124" i="39"/>
  <c r="E125" i="39"/>
  <c r="E119" i="100"/>
  <c r="G118" i="100"/>
  <c r="D119" i="100"/>
  <c r="F46" i="18"/>
  <c r="G46" i="18" s="1"/>
  <c r="B46" i="18"/>
  <c r="D129" i="28"/>
  <c r="G128" i="28"/>
  <c r="E129" i="28"/>
  <c r="D125" i="74"/>
  <c r="G124" i="74"/>
  <c r="E125" i="74"/>
  <c r="B121" i="78"/>
  <c r="F121" i="78"/>
  <c r="B38" i="87"/>
  <c r="F38" i="87"/>
  <c r="H38" i="87" s="1"/>
  <c r="F121" i="66"/>
  <c r="B121" i="66"/>
  <c r="I125" i="34"/>
  <c r="H125" i="34"/>
  <c r="B126" i="19"/>
  <c r="F126" i="19"/>
  <c r="B41" i="13"/>
  <c r="F41" i="13"/>
  <c r="H41" i="13" s="1"/>
  <c r="D118" i="91"/>
  <c r="G117" i="91"/>
  <c r="E118" i="91"/>
  <c r="D125" i="73"/>
  <c r="G124" i="73"/>
  <c r="E125" i="73"/>
  <c r="D124" i="62"/>
  <c r="G123" i="62"/>
  <c r="E124" i="62"/>
  <c r="D122" i="61"/>
  <c r="G121" i="61"/>
  <c r="E122" i="61"/>
  <c r="G126" i="32"/>
  <c r="D127" i="32"/>
  <c r="E127" i="32"/>
  <c r="D118" i="90"/>
  <c r="G117" i="90"/>
  <c r="E118" i="90"/>
  <c r="H127" i="23"/>
  <c r="I127" i="23"/>
  <c r="I37" i="89"/>
  <c r="J123" i="74"/>
  <c r="D126" i="3"/>
  <c r="G125" i="3"/>
  <c r="E126" i="3"/>
  <c r="J119" i="85"/>
  <c r="D118" i="89"/>
  <c r="G117" i="89"/>
  <c r="E118" i="89"/>
  <c r="J121" i="72"/>
  <c r="H125" i="19"/>
  <c r="I125" i="19"/>
  <c r="G125" i="22"/>
  <c r="D126" i="22"/>
  <c r="E126" i="22"/>
  <c r="J120" i="59"/>
  <c r="D123" i="57"/>
  <c r="G122" i="57"/>
  <c r="E123" i="57"/>
  <c r="J116" i="90"/>
  <c r="G127" i="30"/>
  <c r="D128" i="30"/>
  <c r="E128" i="30"/>
  <c r="G122" i="53"/>
  <c r="D123" i="53"/>
  <c r="E123" i="53"/>
  <c r="F48" i="30"/>
  <c r="G48" i="30" s="1"/>
  <c r="B48" i="30"/>
  <c r="G122" i="46"/>
  <c r="D123" i="46"/>
  <c r="E123" i="46"/>
  <c r="B37" i="96"/>
  <c r="F37" i="96"/>
  <c r="G37" i="96" s="1"/>
  <c r="D127" i="24"/>
  <c r="G126" i="24"/>
  <c r="E127" i="24"/>
  <c r="B37" i="100"/>
  <c r="F37" i="100"/>
  <c r="H37" i="100" s="1"/>
  <c r="H120" i="66"/>
  <c r="I120" i="66"/>
  <c r="B47" i="32"/>
  <c r="F47" i="32"/>
  <c r="D122" i="64"/>
  <c r="G121" i="64"/>
  <c r="E122" i="64"/>
  <c r="G120" i="65"/>
  <c r="D121" i="65"/>
  <c r="E121" i="65"/>
  <c r="G122" i="58"/>
  <c r="D123" i="58"/>
  <c r="E123" i="58"/>
  <c r="D38" i="25"/>
  <c r="J121" i="53"/>
  <c r="H143" i="35"/>
  <c r="I143" i="35"/>
  <c r="F40" i="75"/>
  <c r="G40" i="75" s="1"/>
  <c r="B40" i="75"/>
  <c r="G118" i="99"/>
  <c r="D119" i="99"/>
  <c r="E119" i="99"/>
  <c r="B43" i="54"/>
  <c r="F43" i="54"/>
  <c r="H43" i="54" s="1"/>
  <c r="J124" i="3"/>
  <c r="G127" i="27"/>
  <c r="D128" i="27"/>
  <c r="E128" i="27"/>
  <c r="J126" i="69"/>
  <c r="J118" i="76"/>
  <c r="J118" i="79"/>
  <c r="J122" i="62"/>
  <c r="I45" i="18"/>
  <c r="D118" i="88"/>
  <c r="G117" i="88"/>
  <c r="E118" i="88"/>
  <c r="H121" i="63"/>
  <c r="I121" i="63"/>
  <c r="J121" i="63" s="1"/>
  <c r="J116" i="98"/>
  <c r="D122" i="59"/>
  <c r="G121" i="59"/>
  <c r="E122" i="59"/>
  <c r="J116" i="88"/>
  <c r="J121" i="57"/>
  <c r="G37" i="25"/>
  <c r="I37" i="25" s="1"/>
  <c r="E145" i="35"/>
  <c r="F145" i="35" s="1"/>
  <c r="G144" i="35"/>
  <c r="B145" i="35"/>
  <c r="D119" i="81"/>
  <c r="G118" i="81"/>
  <c r="E119" i="81"/>
  <c r="B39" i="88"/>
  <c r="F39" i="88"/>
  <c r="B46" i="22"/>
  <c r="F46" i="22"/>
  <c r="G46" i="22" s="1"/>
  <c r="D126" i="21"/>
  <c r="G125" i="21"/>
  <c r="E126" i="21"/>
  <c r="G122" i="56"/>
  <c r="D123" i="56"/>
  <c r="E123" i="56"/>
  <c r="G122" i="54"/>
  <c r="D123" i="54"/>
  <c r="E123" i="54"/>
  <c r="D120" i="77"/>
  <c r="G119" i="77"/>
  <c r="E120" i="77"/>
  <c r="D125" i="55"/>
  <c r="E125" i="55"/>
  <c r="G124" i="55"/>
  <c r="B120" i="13"/>
  <c r="J123" i="55"/>
  <c r="J117" i="80"/>
  <c r="G117" i="86"/>
  <c r="D118" i="86"/>
  <c r="E118" i="86"/>
  <c r="D118" i="84"/>
  <c r="G117" i="84"/>
  <c r="E118" i="84"/>
  <c r="J121" i="56"/>
  <c r="J125" i="24"/>
  <c r="D120" i="79"/>
  <c r="G119" i="79"/>
  <c r="E120" i="79"/>
  <c r="G118" i="83"/>
  <c r="D119" i="83"/>
  <c r="E119" i="83"/>
  <c r="G120" i="82"/>
  <c r="D121" i="82"/>
  <c r="E121" i="82"/>
  <c r="B42" i="62"/>
  <c r="F42" i="62"/>
  <c r="G42" i="62" s="1"/>
  <c r="H42" i="62"/>
  <c r="D118" i="98"/>
  <c r="G117" i="98"/>
  <c r="E118" i="98"/>
  <c r="B130" i="29"/>
  <c r="F130" i="29"/>
  <c r="J118" i="77"/>
  <c r="F122" i="63"/>
  <c r="B122" i="63"/>
  <c r="H38" i="90"/>
  <c r="B38" i="90"/>
  <c r="F38" i="90"/>
  <c r="G38" i="90"/>
  <c r="D125" i="41"/>
  <c r="G124" i="41"/>
  <c r="E125" i="41"/>
  <c r="E120" i="13"/>
  <c r="F120" i="13" s="1"/>
  <c r="F123" i="67"/>
  <c r="B123" i="67"/>
  <c r="G120" i="85"/>
  <c r="D121" i="85"/>
  <c r="E121" i="85"/>
  <c r="H120" i="78"/>
  <c r="I120" i="78"/>
  <c r="J120" i="78" s="1"/>
  <c r="G126" i="71"/>
  <c r="D127" i="71"/>
  <c r="E127" i="71"/>
  <c r="F45" i="39"/>
  <c r="G45" i="39" s="1"/>
  <c r="B45" i="39"/>
  <c r="G120" i="68"/>
  <c r="D121" i="68"/>
  <c r="E121" i="68"/>
  <c r="G123" i="45"/>
  <c r="D124" i="45"/>
  <c r="E124" i="45"/>
  <c r="G128" i="20"/>
  <c r="D129" i="20"/>
  <c r="E129" i="20"/>
  <c r="H129" i="29"/>
  <c r="I129" i="29"/>
  <c r="F40" i="78"/>
  <c r="H40" i="78" s="1"/>
  <c r="B40" i="78"/>
  <c r="G117" i="96"/>
  <c r="D118" i="96"/>
  <c r="E118" i="96"/>
  <c r="F38" i="89"/>
  <c r="B38" i="89"/>
  <c r="D118" i="92"/>
  <c r="G117" i="92"/>
  <c r="E118" i="92"/>
  <c r="H119" i="13"/>
  <c r="I119" i="13"/>
  <c r="B119" i="95" l="1"/>
  <c r="F119" i="95"/>
  <c r="I119" i="25"/>
  <c r="J119" i="25" s="1"/>
  <c r="H119" i="25"/>
  <c r="G40" i="78"/>
  <c r="G38" i="87"/>
  <c r="I38" i="87" s="1"/>
  <c r="H117" i="87"/>
  <c r="I117" i="87"/>
  <c r="H46" i="3"/>
  <c r="I46" i="3" s="1"/>
  <c r="G39" i="85"/>
  <c r="I39" i="85" s="1"/>
  <c r="H118" i="95"/>
  <c r="I118" i="95"/>
  <c r="J118" i="95" s="1"/>
  <c r="G39" i="80"/>
  <c r="I39" i="80" s="1"/>
  <c r="J117" i="26"/>
  <c r="E120" i="25"/>
  <c r="F120" i="25" s="1"/>
  <c r="B118" i="87"/>
  <c r="F118" i="87"/>
  <c r="D119" i="26"/>
  <c r="G118" i="26"/>
  <c r="I40" i="78"/>
  <c r="G43" i="54"/>
  <c r="I43" i="54" s="1"/>
  <c r="H39" i="86"/>
  <c r="F39" i="82"/>
  <c r="B39" i="82"/>
  <c r="G39" i="82"/>
  <c r="H39" i="82"/>
  <c r="H39" i="81"/>
  <c r="E40" i="81"/>
  <c r="D40" i="81"/>
  <c r="B41" i="65"/>
  <c r="F41" i="65"/>
  <c r="F37" i="99"/>
  <c r="H37" i="99" s="1"/>
  <c r="B37" i="99"/>
  <c r="B41" i="66"/>
  <c r="F41" i="66"/>
  <c r="H41" i="66"/>
  <c r="B47" i="24"/>
  <c r="F47" i="24"/>
  <c r="H47" i="24"/>
  <c r="I118" i="33"/>
  <c r="H118" i="33"/>
  <c r="F43" i="58"/>
  <c r="B43" i="58"/>
  <c r="E48" i="23"/>
  <c r="D48" i="23"/>
  <c r="H41" i="33"/>
  <c r="D42" i="33"/>
  <c r="I40" i="76"/>
  <c r="B43" i="53"/>
  <c r="F43" i="53"/>
  <c r="G43" i="53"/>
  <c r="F46" i="20"/>
  <c r="B46" i="20"/>
  <c r="B44" i="45"/>
  <c r="F44" i="45"/>
  <c r="H44" i="45" s="1"/>
  <c r="D38" i="98"/>
  <c r="E38" i="98"/>
  <c r="B41" i="68"/>
  <c r="F41" i="68"/>
  <c r="F49" i="28"/>
  <c r="B49" i="28"/>
  <c r="G49" i="28"/>
  <c r="H49" i="28"/>
  <c r="F39" i="83"/>
  <c r="B39" i="83"/>
  <c r="B42" i="60"/>
  <c r="F42" i="60"/>
  <c r="G42" i="60" s="1"/>
  <c r="F125" i="44"/>
  <c r="B125" i="44"/>
  <c r="D46" i="42"/>
  <c r="E46" i="42"/>
  <c r="F47" i="34"/>
  <c r="H47" i="34" s="1"/>
  <c r="B47" i="34"/>
  <c r="G47" i="34"/>
  <c r="F43" i="56"/>
  <c r="G43" i="56" s="1"/>
  <c r="B43" i="56"/>
  <c r="H43" i="56"/>
  <c r="B40" i="79"/>
  <c r="F40" i="79"/>
  <c r="G40" i="79" s="1"/>
  <c r="G124" i="43"/>
  <c r="E125" i="43"/>
  <c r="D125" i="43"/>
  <c r="I39" i="81"/>
  <c r="E41" i="76"/>
  <c r="D41" i="76"/>
  <c r="B42" i="63"/>
  <c r="F42" i="63"/>
  <c r="H42" i="63" s="1"/>
  <c r="B39" i="92"/>
  <c r="F39" i="92"/>
  <c r="B39" i="84"/>
  <c r="F39" i="84"/>
  <c r="B45" i="74"/>
  <c r="F45" i="74"/>
  <c r="F41" i="67"/>
  <c r="B41" i="67"/>
  <c r="B45" i="73"/>
  <c r="F45" i="73"/>
  <c r="G45" i="73" s="1"/>
  <c r="E41" i="77"/>
  <c r="D41" i="77"/>
  <c r="F37" i="95"/>
  <c r="G37" i="95" s="1"/>
  <c r="B37" i="95"/>
  <c r="B61" i="35"/>
  <c r="H60" i="35"/>
  <c r="E61" i="35"/>
  <c r="F61" i="35" s="1"/>
  <c r="G60" i="35"/>
  <c r="G41" i="33"/>
  <c r="H37" i="96"/>
  <c r="I37" i="96" s="1"/>
  <c r="H48" i="30"/>
  <c r="F48" i="27"/>
  <c r="B48" i="27"/>
  <c r="B45" i="44"/>
  <c r="F45" i="44"/>
  <c r="G45" i="44" s="1"/>
  <c r="B47" i="31"/>
  <c r="F47" i="31"/>
  <c r="G47" i="31" s="1"/>
  <c r="G37" i="98"/>
  <c r="I37" i="98" s="1"/>
  <c r="J123" i="43"/>
  <c r="E125" i="42"/>
  <c r="D125" i="42"/>
  <c r="G124" i="42"/>
  <c r="B43" i="46"/>
  <c r="F43" i="46"/>
  <c r="E44" i="72"/>
  <c r="D44" i="72"/>
  <c r="E119" i="33"/>
  <c r="F119" i="33"/>
  <c r="B119" i="33"/>
  <c r="G118" i="97"/>
  <c r="E119" i="97"/>
  <c r="D119" i="97"/>
  <c r="H37" i="97"/>
  <c r="I37" i="97" s="1"/>
  <c r="D38" i="97"/>
  <c r="E38" i="97"/>
  <c r="B45" i="41"/>
  <c r="F45" i="41"/>
  <c r="I124" i="44"/>
  <c r="H124" i="44"/>
  <c r="B48" i="69"/>
  <c r="F48" i="69"/>
  <c r="G48" i="69" s="1"/>
  <c r="H45" i="42"/>
  <c r="I45" i="42" s="1"/>
  <c r="B43" i="57"/>
  <c r="F43" i="57"/>
  <c r="H40" i="77"/>
  <c r="I40" i="77" s="1"/>
  <c r="J117" i="97"/>
  <c r="J123" i="42"/>
  <c r="H47" i="23"/>
  <c r="I47" i="23" s="1"/>
  <c r="D47" i="3"/>
  <c r="E47" i="3"/>
  <c r="E40" i="85"/>
  <c r="D40" i="85"/>
  <c r="D40" i="26"/>
  <c r="G39" i="26"/>
  <c r="H39" i="26"/>
  <c r="I39" i="86"/>
  <c r="B43" i="59"/>
  <c r="F43" i="59"/>
  <c r="H43" i="59" s="1"/>
  <c r="F39" i="91"/>
  <c r="G39" i="91" s="1"/>
  <c r="B39" i="91"/>
  <c r="F127" i="31"/>
  <c r="B127" i="31"/>
  <c r="H45" i="43"/>
  <c r="D46" i="43"/>
  <c r="E46" i="43"/>
  <c r="B48" i="71"/>
  <c r="F48" i="71"/>
  <c r="G43" i="55"/>
  <c r="I43" i="55" s="1"/>
  <c r="D44" i="55"/>
  <c r="E44" i="55"/>
  <c r="I48" i="30"/>
  <c r="D40" i="80"/>
  <c r="E40" i="80"/>
  <c r="C55" i="17"/>
  <c r="F46" i="17"/>
  <c r="B46" i="17"/>
  <c r="F47" i="19"/>
  <c r="G47" i="19" s="1"/>
  <c r="B47" i="19"/>
  <c r="B43" i="64"/>
  <c r="F43" i="64"/>
  <c r="E40" i="86"/>
  <c r="D40" i="86"/>
  <c r="F43" i="61"/>
  <c r="G43" i="61" s="1"/>
  <c r="B43" i="61"/>
  <c r="B49" i="70"/>
  <c r="F49" i="70"/>
  <c r="H126" i="31"/>
  <c r="I126" i="31"/>
  <c r="G45" i="43"/>
  <c r="H130" i="70"/>
  <c r="I130" i="70"/>
  <c r="J130" i="70" s="1"/>
  <c r="B131" i="70"/>
  <c r="F131" i="70"/>
  <c r="H128" i="17"/>
  <c r="I128" i="17"/>
  <c r="J128" i="17" s="1"/>
  <c r="B129" i="17"/>
  <c r="F129" i="17"/>
  <c r="J122" i="67"/>
  <c r="I122" i="60"/>
  <c r="J122" i="60" s="1"/>
  <c r="H122" i="60"/>
  <c r="J143" i="35"/>
  <c r="B123" i="60"/>
  <c r="F123" i="60"/>
  <c r="G120" i="13"/>
  <c r="D121" i="13"/>
  <c r="J119" i="13"/>
  <c r="D39" i="89"/>
  <c r="E39" i="89"/>
  <c r="J129" i="29"/>
  <c r="F127" i="71"/>
  <c r="B127" i="71"/>
  <c r="B121" i="82"/>
  <c r="F121" i="82"/>
  <c r="B120" i="79"/>
  <c r="F120" i="79"/>
  <c r="B118" i="84"/>
  <c r="F118" i="84"/>
  <c r="I144" i="35"/>
  <c r="H144" i="35"/>
  <c r="B118" i="88"/>
  <c r="F118" i="88"/>
  <c r="H122" i="58"/>
  <c r="I122" i="58"/>
  <c r="F123" i="46"/>
  <c r="B123" i="46"/>
  <c r="J125" i="19"/>
  <c r="H117" i="89"/>
  <c r="I117" i="89"/>
  <c r="F126" i="3"/>
  <c r="B126" i="3"/>
  <c r="F125" i="74"/>
  <c r="B125" i="74"/>
  <c r="B119" i="100"/>
  <c r="F119" i="100"/>
  <c r="H122" i="72"/>
  <c r="I122" i="72"/>
  <c r="J122" i="72" s="1"/>
  <c r="H121" i="75"/>
  <c r="I121" i="75"/>
  <c r="J121" i="75" s="1"/>
  <c r="E47" i="21"/>
  <c r="D47" i="21"/>
  <c r="F121" i="68"/>
  <c r="B121" i="68"/>
  <c r="I126" i="71"/>
  <c r="H126" i="71"/>
  <c r="D131" i="29"/>
  <c r="G130" i="29"/>
  <c r="E131" i="29"/>
  <c r="I42" i="62"/>
  <c r="H120" i="82"/>
  <c r="I120" i="82"/>
  <c r="B125" i="55"/>
  <c r="F125" i="55"/>
  <c r="D40" i="88"/>
  <c r="E40" i="88"/>
  <c r="B146" i="35"/>
  <c r="G145" i="35"/>
  <c r="E146" i="35"/>
  <c r="F146" i="35" s="1"/>
  <c r="H121" i="59"/>
  <c r="I121" i="59"/>
  <c r="J121" i="59" s="1"/>
  <c r="F119" i="99"/>
  <c r="B119" i="99"/>
  <c r="D48" i="32"/>
  <c r="E48" i="32"/>
  <c r="H126" i="24"/>
  <c r="I126" i="24"/>
  <c r="J126" i="24" s="1"/>
  <c r="H122" i="46"/>
  <c r="I122" i="46"/>
  <c r="J122" i="46" s="1"/>
  <c r="F118" i="89"/>
  <c r="B118" i="89"/>
  <c r="B127" i="32"/>
  <c r="F127" i="32"/>
  <c r="H117" i="91"/>
  <c r="I117" i="91"/>
  <c r="G121" i="78"/>
  <c r="D122" i="78"/>
  <c r="E122" i="78"/>
  <c r="H118" i="100"/>
  <c r="I118" i="100"/>
  <c r="B119" i="80"/>
  <c r="F119" i="80"/>
  <c r="D49" i="29"/>
  <c r="E49" i="29"/>
  <c r="F118" i="96"/>
  <c r="B118" i="96"/>
  <c r="H120" i="68"/>
  <c r="I120" i="68"/>
  <c r="D43" i="62"/>
  <c r="E43" i="62"/>
  <c r="F123" i="56"/>
  <c r="B123" i="56"/>
  <c r="H39" i="88"/>
  <c r="F122" i="59"/>
  <c r="B122" i="59"/>
  <c r="H118" i="99"/>
  <c r="I118" i="99"/>
  <c r="B121" i="65"/>
  <c r="F121" i="65"/>
  <c r="H47" i="32"/>
  <c r="D38" i="100"/>
  <c r="E38" i="100"/>
  <c r="F127" i="24"/>
  <c r="B127" i="24"/>
  <c r="H122" i="57"/>
  <c r="I122" i="57"/>
  <c r="H126" i="32"/>
  <c r="I126" i="32"/>
  <c r="J126" i="32" s="1"/>
  <c r="B118" i="91"/>
  <c r="F118" i="91"/>
  <c r="J125" i="34"/>
  <c r="E122" i="66"/>
  <c r="G121" i="66"/>
  <c r="D122" i="66"/>
  <c r="H128" i="28"/>
  <c r="I128" i="28"/>
  <c r="J128" i="28" s="1"/>
  <c r="G126" i="34"/>
  <c r="D127" i="34"/>
  <c r="E127" i="34"/>
  <c r="H46" i="21"/>
  <c r="H118" i="80"/>
  <c r="I118" i="80"/>
  <c r="D129" i="23"/>
  <c r="E129" i="23"/>
  <c r="G128" i="23"/>
  <c r="I117" i="92"/>
  <c r="H117" i="92"/>
  <c r="I117" i="96"/>
  <c r="H117" i="96"/>
  <c r="F129" i="20"/>
  <c r="B129" i="20"/>
  <c r="B121" i="85"/>
  <c r="F121" i="85"/>
  <c r="D39" i="90"/>
  <c r="E39" i="90"/>
  <c r="H122" i="56"/>
  <c r="I122" i="56"/>
  <c r="H125" i="21"/>
  <c r="I125" i="21"/>
  <c r="J125" i="21" s="1"/>
  <c r="G39" i="88"/>
  <c r="H118" i="81"/>
  <c r="I118" i="81"/>
  <c r="H120" i="65"/>
  <c r="I120" i="65"/>
  <c r="G47" i="32"/>
  <c r="G37" i="100"/>
  <c r="I37" i="100" s="1"/>
  <c r="F123" i="53"/>
  <c r="B123" i="53"/>
  <c r="B123" i="57"/>
  <c r="F123" i="57"/>
  <c r="J127" i="23"/>
  <c r="I123" i="62"/>
  <c r="J123" i="62" s="1"/>
  <c r="H123" i="62"/>
  <c r="D42" i="13"/>
  <c r="E42" i="13" s="1"/>
  <c r="F129" i="28"/>
  <c r="B129" i="28"/>
  <c r="I120" i="85"/>
  <c r="H120" i="85"/>
  <c r="B119" i="83"/>
  <c r="F119" i="83"/>
  <c r="B126" i="21"/>
  <c r="F126" i="21"/>
  <c r="B119" i="81"/>
  <c r="F119" i="81"/>
  <c r="I122" i="53"/>
  <c r="H122" i="53"/>
  <c r="I121" i="61"/>
  <c r="J121" i="61" s="1"/>
  <c r="H121" i="61"/>
  <c r="F124" i="62"/>
  <c r="B124" i="62"/>
  <c r="I124" i="39"/>
  <c r="H124" i="39"/>
  <c r="B120" i="76"/>
  <c r="F120" i="76"/>
  <c r="I127" i="69"/>
  <c r="H127" i="69"/>
  <c r="H128" i="20"/>
  <c r="I128" i="20"/>
  <c r="J128" i="20" s="1"/>
  <c r="H38" i="89"/>
  <c r="D46" i="39"/>
  <c r="E46" i="39"/>
  <c r="F125" i="41"/>
  <c r="B125" i="41"/>
  <c r="I38" i="90"/>
  <c r="H118" i="83"/>
  <c r="I118" i="83"/>
  <c r="J118" i="83" s="1"/>
  <c r="F123" i="54"/>
  <c r="B123" i="54"/>
  <c r="D44" i="54"/>
  <c r="E44" i="54"/>
  <c r="D41" i="75"/>
  <c r="E41" i="75"/>
  <c r="B38" i="25"/>
  <c r="H121" i="64"/>
  <c r="I121" i="64"/>
  <c r="B122" i="61"/>
  <c r="F122" i="61"/>
  <c r="G41" i="13"/>
  <c r="I41" i="13" s="1"/>
  <c r="H46" i="18"/>
  <c r="I46" i="18" s="1"/>
  <c r="B125" i="39"/>
  <c r="F125" i="39"/>
  <c r="H119" i="76"/>
  <c r="I119" i="76"/>
  <c r="F126" i="18"/>
  <c r="B126" i="18"/>
  <c r="B128" i="69"/>
  <c r="F128" i="69"/>
  <c r="F124" i="45"/>
  <c r="B124" i="45"/>
  <c r="H45" i="39"/>
  <c r="I45" i="39" s="1"/>
  <c r="G123" i="67"/>
  <c r="E124" i="67"/>
  <c r="D124" i="67"/>
  <c r="H117" i="98"/>
  <c r="I117" i="98"/>
  <c r="F118" i="86"/>
  <c r="B118" i="86"/>
  <c r="I119" i="77"/>
  <c r="H119" i="77"/>
  <c r="H122" i="54"/>
  <c r="I122" i="54"/>
  <c r="E47" i="22"/>
  <c r="D47" i="22"/>
  <c r="F128" i="27"/>
  <c r="B128" i="27"/>
  <c r="H40" i="75"/>
  <c r="I40" i="75" s="1"/>
  <c r="E38" i="25"/>
  <c r="F38" i="25" s="1"/>
  <c r="F122" i="64"/>
  <c r="B122" i="64"/>
  <c r="D49" i="30"/>
  <c r="E49" i="30"/>
  <c r="B128" i="30"/>
  <c r="F128" i="30"/>
  <c r="B126" i="22"/>
  <c r="F126" i="22"/>
  <c r="H117" i="90"/>
  <c r="I117" i="90"/>
  <c r="I124" i="73"/>
  <c r="H124" i="73"/>
  <c r="E39" i="87"/>
  <c r="D39" i="87"/>
  <c r="I125" i="18"/>
  <c r="H125" i="18"/>
  <c r="F118" i="92"/>
  <c r="B118" i="92"/>
  <c r="H124" i="41"/>
  <c r="I124" i="41"/>
  <c r="G38" i="89"/>
  <c r="E41" i="78"/>
  <c r="D41" i="78"/>
  <c r="I123" i="45"/>
  <c r="H123" i="45"/>
  <c r="E123" i="63"/>
  <c r="D123" i="63"/>
  <c r="G122" i="63"/>
  <c r="F118" i="98"/>
  <c r="B118" i="98"/>
  <c r="H119" i="79"/>
  <c r="I119" i="79"/>
  <c r="H117" i="84"/>
  <c r="I117" i="84"/>
  <c r="H117" i="86"/>
  <c r="I117" i="86"/>
  <c r="I124" i="55"/>
  <c r="J124" i="55" s="1"/>
  <c r="H124" i="55"/>
  <c r="F120" i="77"/>
  <c r="B120" i="77"/>
  <c r="H46" i="22"/>
  <c r="I46" i="22" s="1"/>
  <c r="I117" i="88"/>
  <c r="H117" i="88"/>
  <c r="H127" i="27"/>
  <c r="I127" i="27"/>
  <c r="B123" i="58"/>
  <c r="F123" i="58"/>
  <c r="J120" i="66"/>
  <c r="E38" i="96"/>
  <c r="D38" i="96"/>
  <c r="I127" i="30"/>
  <c r="H127" i="30"/>
  <c r="H125" i="22"/>
  <c r="I125" i="22"/>
  <c r="H125" i="3"/>
  <c r="I125" i="3"/>
  <c r="F118" i="90"/>
  <c r="B118" i="90"/>
  <c r="F125" i="73"/>
  <c r="B125" i="73"/>
  <c r="D127" i="19"/>
  <c r="G126" i="19"/>
  <c r="E127" i="19"/>
  <c r="H124" i="74"/>
  <c r="I124" i="74"/>
  <c r="D47" i="18"/>
  <c r="E47" i="18"/>
  <c r="B123" i="72"/>
  <c r="F123" i="72"/>
  <c r="F122" i="75"/>
  <c r="B122" i="75"/>
  <c r="G46" i="21"/>
  <c r="H48" i="29"/>
  <c r="I48" i="29" s="1"/>
  <c r="H43" i="61" l="1"/>
  <c r="H48" i="69"/>
  <c r="I48" i="69" s="1"/>
  <c r="H37" i="95"/>
  <c r="H45" i="73"/>
  <c r="I45" i="73" s="1"/>
  <c r="D120" i="95"/>
  <c r="E120" i="95"/>
  <c r="G119" i="95"/>
  <c r="H45" i="44"/>
  <c r="D121" i="25"/>
  <c r="G120" i="25"/>
  <c r="J117" i="87"/>
  <c r="D119" i="87"/>
  <c r="E119" i="87"/>
  <c r="G118" i="87"/>
  <c r="I39" i="26"/>
  <c r="H47" i="31"/>
  <c r="I43" i="56"/>
  <c r="I43" i="61"/>
  <c r="E44" i="57"/>
  <c r="D44" i="57"/>
  <c r="E46" i="41"/>
  <c r="D46" i="41"/>
  <c r="H124" i="42"/>
  <c r="I124" i="42"/>
  <c r="D49" i="27"/>
  <c r="E49" i="27"/>
  <c r="G41" i="77"/>
  <c r="B41" i="77"/>
  <c r="F41" i="77"/>
  <c r="H41" i="77" s="1"/>
  <c r="H45" i="74"/>
  <c r="E46" i="74"/>
  <c r="D46" i="74"/>
  <c r="E40" i="84"/>
  <c r="D40" i="84"/>
  <c r="D40" i="92"/>
  <c r="E40" i="92"/>
  <c r="B125" i="43"/>
  <c r="F125" i="43"/>
  <c r="F46" i="42"/>
  <c r="B46" i="42"/>
  <c r="G41" i="68"/>
  <c r="D42" i="68"/>
  <c r="E42" i="68"/>
  <c r="E47" i="20"/>
  <c r="D47" i="20"/>
  <c r="E42" i="33"/>
  <c r="F42" i="33" s="1"/>
  <c r="G42" i="33" s="1"/>
  <c r="B42" i="33"/>
  <c r="E44" i="58"/>
  <c r="D44" i="58"/>
  <c r="F40" i="81"/>
  <c r="G40" i="81" s="1"/>
  <c r="B40" i="81"/>
  <c r="H43" i="57"/>
  <c r="J124" i="44"/>
  <c r="B119" i="97"/>
  <c r="F119" i="97"/>
  <c r="G119" i="33"/>
  <c r="D120" i="33"/>
  <c r="E120" i="33"/>
  <c r="G43" i="46"/>
  <c r="D44" i="46"/>
  <c r="E44" i="46"/>
  <c r="B125" i="42"/>
  <c r="F125" i="42"/>
  <c r="I47" i="31"/>
  <c r="I45" i="44"/>
  <c r="G61" i="35"/>
  <c r="B62" i="35"/>
  <c r="E62" i="35"/>
  <c r="F62" i="35" s="1"/>
  <c r="H61" i="35"/>
  <c r="D42" i="67"/>
  <c r="E42" i="67"/>
  <c r="F41" i="76"/>
  <c r="H41" i="76" s="1"/>
  <c r="B41" i="76"/>
  <c r="G41" i="76"/>
  <c r="E41" i="79"/>
  <c r="D41" i="79"/>
  <c r="E43" i="60"/>
  <c r="D43" i="60"/>
  <c r="D40" i="83"/>
  <c r="E40" i="83"/>
  <c r="G44" i="45"/>
  <c r="I44" i="45" s="1"/>
  <c r="D45" i="45"/>
  <c r="E45" i="45"/>
  <c r="G46" i="20"/>
  <c r="E44" i="53"/>
  <c r="D44" i="53"/>
  <c r="I41" i="33"/>
  <c r="G43" i="58"/>
  <c r="D48" i="24"/>
  <c r="E48" i="24"/>
  <c r="D42" i="66"/>
  <c r="E42" i="66"/>
  <c r="G37" i="99"/>
  <c r="I37" i="99" s="1"/>
  <c r="D38" i="99"/>
  <c r="E38" i="99"/>
  <c r="J117" i="89"/>
  <c r="I45" i="43"/>
  <c r="G43" i="59"/>
  <c r="I43" i="59" s="1"/>
  <c r="F47" i="3"/>
  <c r="G47" i="3" s="1"/>
  <c r="I47" i="3" s="1"/>
  <c r="B47" i="3"/>
  <c r="H47" i="3"/>
  <c r="E49" i="69"/>
  <c r="D49" i="69"/>
  <c r="G45" i="41"/>
  <c r="H43" i="46"/>
  <c r="I43" i="46" s="1"/>
  <c r="G48" i="27"/>
  <c r="I60" i="35"/>
  <c r="D38" i="95"/>
  <c r="E38" i="95"/>
  <c r="H41" i="67"/>
  <c r="H39" i="84"/>
  <c r="H39" i="92"/>
  <c r="I39" i="92" s="1"/>
  <c r="I124" i="43"/>
  <c r="J124" i="43" s="1"/>
  <c r="H124" i="43"/>
  <c r="D44" i="56"/>
  <c r="E44" i="56"/>
  <c r="E48" i="34"/>
  <c r="D48" i="34"/>
  <c r="G125" i="44"/>
  <c r="D126" i="44"/>
  <c r="E126" i="44"/>
  <c r="G39" i="83"/>
  <c r="E50" i="28"/>
  <c r="D50" i="28"/>
  <c r="H46" i="20"/>
  <c r="H43" i="58"/>
  <c r="J118" i="33"/>
  <c r="D42" i="65"/>
  <c r="H41" i="65"/>
  <c r="I41" i="65" s="1"/>
  <c r="G41" i="65"/>
  <c r="E42" i="65"/>
  <c r="D40" i="82"/>
  <c r="E40" i="82"/>
  <c r="I118" i="26"/>
  <c r="H118" i="26"/>
  <c r="B40" i="85"/>
  <c r="F40" i="85"/>
  <c r="H40" i="85" s="1"/>
  <c r="G43" i="57"/>
  <c r="H45" i="41"/>
  <c r="F38" i="97"/>
  <c r="G38" i="97" s="1"/>
  <c r="B38" i="97"/>
  <c r="H118" i="97"/>
  <c r="I118" i="97"/>
  <c r="J118" i="97" s="1"/>
  <c r="B44" i="72"/>
  <c r="F44" i="72"/>
  <c r="D48" i="31"/>
  <c r="E48" i="31"/>
  <c r="D46" i="44"/>
  <c r="E46" i="44"/>
  <c r="H48" i="27"/>
  <c r="I48" i="27" s="1"/>
  <c r="I37" i="95"/>
  <c r="E46" i="73"/>
  <c r="D46" i="73"/>
  <c r="G41" i="67"/>
  <c r="G45" i="74"/>
  <c r="I45" i="74" s="1"/>
  <c r="G39" i="84"/>
  <c r="G39" i="92"/>
  <c r="G42" i="63"/>
  <c r="I42" i="63" s="1"/>
  <c r="E43" i="63"/>
  <c r="D43" i="63"/>
  <c r="H40" i="79"/>
  <c r="I40" i="79" s="1"/>
  <c r="I47" i="34"/>
  <c r="H42" i="60"/>
  <c r="I42" i="60" s="1"/>
  <c r="H39" i="83"/>
  <c r="I39" i="83" s="1"/>
  <c r="I49" i="28"/>
  <c r="H41" i="68"/>
  <c r="B38" i="98"/>
  <c r="H38" i="98"/>
  <c r="F38" i="98"/>
  <c r="H43" i="53"/>
  <c r="I43" i="53" s="1"/>
  <c r="B48" i="23"/>
  <c r="F48" i="23"/>
  <c r="G48" i="23" s="1"/>
  <c r="G47" i="24"/>
  <c r="I47" i="24" s="1"/>
  <c r="G41" i="66"/>
  <c r="I41" i="66" s="1"/>
  <c r="I39" i="82"/>
  <c r="E119" i="26"/>
  <c r="F119" i="26" s="1"/>
  <c r="B119" i="26"/>
  <c r="G48" i="71"/>
  <c r="D49" i="71"/>
  <c r="E49" i="71"/>
  <c r="J117" i="88"/>
  <c r="G49" i="70"/>
  <c r="D50" i="70"/>
  <c r="E50" i="70"/>
  <c r="F40" i="86"/>
  <c r="H40" i="86" s="1"/>
  <c r="B40" i="86"/>
  <c r="E47" i="17"/>
  <c r="D47" i="17"/>
  <c r="B44" i="55"/>
  <c r="F44" i="55"/>
  <c r="H44" i="55" s="1"/>
  <c r="H43" i="64"/>
  <c r="D44" i="64"/>
  <c r="E44" i="64"/>
  <c r="D48" i="19"/>
  <c r="E48" i="19"/>
  <c r="H49" i="70"/>
  <c r="G43" i="64"/>
  <c r="H47" i="19"/>
  <c r="I47" i="19" s="1"/>
  <c r="H46" i="17"/>
  <c r="D128" i="31"/>
  <c r="E128" i="31"/>
  <c r="G127" i="31"/>
  <c r="E44" i="59"/>
  <c r="D44" i="59"/>
  <c r="E40" i="26"/>
  <c r="F40" i="26" s="1"/>
  <c r="B40" i="26"/>
  <c r="J117" i="98"/>
  <c r="J117" i="91"/>
  <c r="J126" i="31"/>
  <c r="D44" i="61"/>
  <c r="E44" i="61"/>
  <c r="G46" i="17"/>
  <c r="B40" i="80"/>
  <c r="F40" i="80"/>
  <c r="H40" i="80" s="1"/>
  <c r="H48" i="71"/>
  <c r="B46" i="43"/>
  <c r="F46" i="43"/>
  <c r="H46" i="43" s="1"/>
  <c r="H39" i="91"/>
  <c r="I39" i="91" s="1"/>
  <c r="E40" i="91"/>
  <c r="D40" i="91"/>
  <c r="J125" i="3"/>
  <c r="J127" i="30"/>
  <c r="J127" i="27"/>
  <c r="J122" i="58"/>
  <c r="E132" i="70"/>
  <c r="D132" i="70"/>
  <c r="G131" i="70"/>
  <c r="J124" i="73"/>
  <c r="J121" i="64"/>
  <c r="J120" i="68"/>
  <c r="E124" i="60"/>
  <c r="G123" i="60"/>
  <c r="D124" i="60"/>
  <c r="G129" i="17"/>
  <c r="E130" i="17"/>
  <c r="D130" i="17"/>
  <c r="J123" i="45"/>
  <c r="J120" i="85"/>
  <c r="J118" i="100"/>
  <c r="D39" i="25"/>
  <c r="G38" i="25"/>
  <c r="H38" i="25"/>
  <c r="G122" i="75"/>
  <c r="D123" i="75"/>
  <c r="E123" i="75"/>
  <c r="J125" i="22"/>
  <c r="J119" i="79"/>
  <c r="J117" i="90"/>
  <c r="F49" i="30"/>
  <c r="G49" i="30" s="1"/>
  <c r="B49" i="30"/>
  <c r="J119" i="76"/>
  <c r="D124" i="54"/>
  <c r="G123" i="54"/>
  <c r="E124" i="54"/>
  <c r="I38" i="89"/>
  <c r="D124" i="57"/>
  <c r="G123" i="57"/>
  <c r="E124" i="57"/>
  <c r="J120" i="65"/>
  <c r="H126" i="34"/>
  <c r="I126" i="34"/>
  <c r="F38" i="100"/>
  <c r="H38" i="100" s="1"/>
  <c r="B38" i="100"/>
  <c r="I39" i="88"/>
  <c r="F43" i="62"/>
  <c r="H43" i="62" s="1"/>
  <c r="G43" i="62"/>
  <c r="B43" i="62"/>
  <c r="D120" i="80"/>
  <c r="G119" i="80"/>
  <c r="E120" i="80"/>
  <c r="G118" i="89"/>
  <c r="D119" i="89"/>
  <c r="E119" i="89"/>
  <c r="F48" i="32"/>
  <c r="H48" i="32" s="1"/>
  <c r="B48" i="32"/>
  <c r="H145" i="35"/>
  <c r="I145" i="35"/>
  <c r="D126" i="55"/>
  <c r="E126" i="55"/>
  <c r="G125" i="55"/>
  <c r="G125" i="74"/>
  <c r="D126" i="74"/>
  <c r="E126" i="74"/>
  <c r="D124" i="72"/>
  <c r="G123" i="72"/>
  <c r="E124" i="72"/>
  <c r="G118" i="90"/>
  <c r="D119" i="90"/>
  <c r="E119" i="90"/>
  <c r="F44" i="54"/>
  <c r="B44" i="54"/>
  <c r="G125" i="41"/>
  <c r="D126" i="41"/>
  <c r="E126" i="41"/>
  <c r="B42" i="13"/>
  <c r="F42" i="13"/>
  <c r="H42" i="13" s="1"/>
  <c r="B129" i="23"/>
  <c r="F129" i="23"/>
  <c r="I47" i="32"/>
  <c r="B122" i="78"/>
  <c r="F122" i="78"/>
  <c r="D127" i="3"/>
  <c r="G126" i="3"/>
  <c r="E127" i="3"/>
  <c r="G120" i="79"/>
  <c r="D121" i="79"/>
  <c r="E121" i="79"/>
  <c r="B39" i="89"/>
  <c r="F39" i="89"/>
  <c r="H39" i="89" s="1"/>
  <c r="J117" i="86"/>
  <c r="J124" i="41"/>
  <c r="J119" i="77"/>
  <c r="B124" i="67"/>
  <c r="F124" i="67"/>
  <c r="D126" i="39"/>
  <c r="G125" i="39"/>
  <c r="E126" i="39"/>
  <c r="J118" i="81"/>
  <c r="D130" i="20"/>
  <c r="G129" i="20"/>
  <c r="E130" i="20"/>
  <c r="J118" i="80"/>
  <c r="D122" i="65"/>
  <c r="G121" i="65"/>
  <c r="E122" i="65"/>
  <c r="D124" i="56"/>
  <c r="G123" i="56"/>
  <c r="E124" i="56"/>
  <c r="H121" i="78"/>
  <c r="I121" i="78"/>
  <c r="D120" i="99"/>
  <c r="G119" i="99"/>
  <c r="E120" i="99"/>
  <c r="H126" i="19"/>
  <c r="I126" i="19"/>
  <c r="G118" i="98"/>
  <c r="D119" i="98"/>
  <c r="E119" i="98"/>
  <c r="B39" i="87"/>
  <c r="F39" i="87"/>
  <c r="G39" i="87" s="1"/>
  <c r="G126" i="22"/>
  <c r="D127" i="22"/>
  <c r="E127" i="22"/>
  <c r="D123" i="64"/>
  <c r="G122" i="64"/>
  <c r="E123" i="64"/>
  <c r="F47" i="22"/>
  <c r="H47" i="22" s="1"/>
  <c r="B47" i="22"/>
  <c r="G124" i="45"/>
  <c r="D125" i="45"/>
  <c r="E125" i="45"/>
  <c r="D123" i="61"/>
  <c r="G122" i="61"/>
  <c r="E123" i="61"/>
  <c r="D125" i="62"/>
  <c r="E125" i="62"/>
  <c r="G124" i="62"/>
  <c r="G123" i="53"/>
  <c r="D124" i="53"/>
  <c r="E124" i="53"/>
  <c r="B122" i="66"/>
  <c r="F122" i="66"/>
  <c r="H130" i="29"/>
  <c r="I130" i="29"/>
  <c r="J130" i="29" s="1"/>
  <c r="D119" i="88"/>
  <c r="G118" i="88"/>
  <c r="E119" i="88"/>
  <c r="G121" i="82"/>
  <c r="D122" i="82"/>
  <c r="E122" i="82"/>
  <c r="B47" i="18"/>
  <c r="F47" i="18"/>
  <c r="G47" i="18" s="1"/>
  <c r="F127" i="19"/>
  <c r="B127" i="19"/>
  <c r="F38" i="96"/>
  <c r="B38" i="96"/>
  <c r="J117" i="84"/>
  <c r="H122" i="63"/>
  <c r="I122" i="63"/>
  <c r="J125" i="18"/>
  <c r="H123" i="67"/>
  <c r="I123" i="67"/>
  <c r="J123" i="67" s="1"/>
  <c r="G128" i="69"/>
  <c r="D129" i="69"/>
  <c r="E129" i="69"/>
  <c r="F46" i="39"/>
  <c r="B46" i="39"/>
  <c r="J124" i="39"/>
  <c r="J122" i="53"/>
  <c r="G119" i="81"/>
  <c r="D120" i="81"/>
  <c r="E120" i="81"/>
  <c r="J117" i="96"/>
  <c r="H121" i="66"/>
  <c r="I121" i="66"/>
  <c r="J122" i="57"/>
  <c r="G127" i="24"/>
  <c r="D128" i="24"/>
  <c r="E128" i="24"/>
  <c r="F131" i="29"/>
  <c r="B131" i="29"/>
  <c r="J126" i="71"/>
  <c r="D128" i="71"/>
  <c r="G127" i="71"/>
  <c r="E128" i="71"/>
  <c r="B121" i="13"/>
  <c r="J124" i="74"/>
  <c r="B123" i="63"/>
  <c r="F123" i="63"/>
  <c r="G118" i="92"/>
  <c r="E119" i="92"/>
  <c r="D119" i="92"/>
  <c r="G128" i="30"/>
  <c r="D129" i="30"/>
  <c r="E129" i="30"/>
  <c r="G118" i="86"/>
  <c r="D119" i="86"/>
  <c r="E119" i="86"/>
  <c r="F39" i="90"/>
  <c r="G39" i="90" s="1"/>
  <c r="B39" i="90"/>
  <c r="I46" i="21"/>
  <c r="D119" i="96"/>
  <c r="G118" i="96"/>
  <c r="E119" i="96"/>
  <c r="G127" i="32"/>
  <c r="D128" i="32"/>
  <c r="E128" i="32"/>
  <c r="G119" i="100"/>
  <c r="D120" i="100"/>
  <c r="E120" i="100"/>
  <c r="E121" i="13"/>
  <c r="F121" i="13" s="1"/>
  <c r="D126" i="73"/>
  <c r="G125" i="73"/>
  <c r="E126" i="73"/>
  <c r="D121" i="77"/>
  <c r="G120" i="77"/>
  <c r="E121" i="77"/>
  <c r="J127" i="69"/>
  <c r="G126" i="21"/>
  <c r="D127" i="21"/>
  <c r="E127" i="21"/>
  <c r="G119" i="83"/>
  <c r="D120" i="83"/>
  <c r="E120" i="83"/>
  <c r="G121" i="85"/>
  <c r="D122" i="85"/>
  <c r="E122" i="85"/>
  <c r="J117" i="92"/>
  <c r="J118" i="99"/>
  <c r="G121" i="68"/>
  <c r="D122" i="68"/>
  <c r="E122" i="68"/>
  <c r="G123" i="46"/>
  <c r="D124" i="46"/>
  <c r="E124" i="46"/>
  <c r="J144" i="35"/>
  <c r="H120" i="13"/>
  <c r="I120" i="13"/>
  <c r="D124" i="58"/>
  <c r="G123" i="58"/>
  <c r="E124" i="58"/>
  <c r="F41" i="78"/>
  <c r="H41" i="78" s="1"/>
  <c r="B41" i="78"/>
  <c r="D129" i="27"/>
  <c r="G128" i="27"/>
  <c r="E129" i="27"/>
  <c r="J122" i="54"/>
  <c r="D127" i="18"/>
  <c r="G126" i="18"/>
  <c r="E127" i="18"/>
  <c r="F41" i="75"/>
  <c r="H41" i="75" s="1"/>
  <c r="B41" i="75"/>
  <c r="G120" i="76"/>
  <c r="D121" i="76"/>
  <c r="E121" i="76"/>
  <c r="D130" i="28"/>
  <c r="G129" i="28"/>
  <c r="E130" i="28"/>
  <c r="J122" i="56"/>
  <c r="H128" i="23"/>
  <c r="I128" i="23"/>
  <c r="F127" i="34"/>
  <c r="B127" i="34"/>
  <c r="D119" i="91"/>
  <c r="G118" i="91"/>
  <c r="E119" i="91"/>
  <c r="D123" i="59"/>
  <c r="G122" i="59"/>
  <c r="E123" i="59"/>
  <c r="F49" i="29"/>
  <c r="G49" i="29" s="1"/>
  <c r="B49" i="29"/>
  <c r="G146" i="35"/>
  <c r="B147" i="35"/>
  <c r="E147" i="35"/>
  <c r="F147" i="35" s="1"/>
  <c r="F40" i="88"/>
  <c r="H40" i="88" s="1"/>
  <c r="B40" i="88"/>
  <c r="J120" i="82"/>
  <c r="B47" i="21"/>
  <c r="F47" i="21"/>
  <c r="H47" i="21" s="1"/>
  <c r="D119" i="84"/>
  <c r="G118" i="84"/>
  <c r="E119" i="84"/>
  <c r="H119" i="95" l="1"/>
  <c r="I119" i="95"/>
  <c r="I45" i="41"/>
  <c r="H40" i="81"/>
  <c r="I40" i="81" s="1"/>
  <c r="I118" i="87"/>
  <c r="J118" i="87" s="1"/>
  <c r="H118" i="87"/>
  <c r="I120" i="25"/>
  <c r="J120" i="25" s="1"/>
  <c r="H120" i="25"/>
  <c r="I38" i="25"/>
  <c r="I43" i="58"/>
  <c r="E121" i="25"/>
  <c r="F121" i="25" s="1"/>
  <c r="B121" i="25"/>
  <c r="F120" i="95"/>
  <c r="B120" i="95"/>
  <c r="I48" i="71"/>
  <c r="G39" i="89"/>
  <c r="I46" i="20"/>
  <c r="J124" i="42"/>
  <c r="B119" i="87"/>
  <c r="F119" i="87"/>
  <c r="G119" i="26"/>
  <c r="D120" i="26"/>
  <c r="I38" i="98"/>
  <c r="B46" i="44"/>
  <c r="F46" i="44"/>
  <c r="B38" i="99"/>
  <c r="F38" i="99"/>
  <c r="G38" i="99" s="1"/>
  <c r="F45" i="45"/>
  <c r="B45" i="45"/>
  <c r="G125" i="42"/>
  <c r="D126" i="42"/>
  <c r="E126" i="42"/>
  <c r="D47" i="42"/>
  <c r="E47" i="42"/>
  <c r="F44" i="57"/>
  <c r="B44" i="57"/>
  <c r="H44" i="57"/>
  <c r="H42" i="65"/>
  <c r="B42" i="65"/>
  <c r="F42" i="65"/>
  <c r="B126" i="44"/>
  <c r="F126" i="44"/>
  <c r="B48" i="24"/>
  <c r="F48" i="24"/>
  <c r="H48" i="24"/>
  <c r="I48" i="24" s="1"/>
  <c r="G48" i="24"/>
  <c r="I41" i="76"/>
  <c r="H42" i="33"/>
  <c r="I42" i="33" s="1"/>
  <c r="D43" i="33"/>
  <c r="H46" i="42"/>
  <c r="G125" i="43"/>
  <c r="E126" i="43"/>
  <c r="D126" i="43"/>
  <c r="G47" i="21"/>
  <c r="I39" i="89"/>
  <c r="G42" i="65"/>
  <c r="D39" i="98"/>
  <c r="E39" i="98"/>
  <c r="I41" i="68"/>
  <c r="B48" i="31"/>
  <c r="F48" i="31"/>
  <c r="H48" i="31" s="1"/>
  <c r="E39" i="97"/>
  <c r="D39" i="97"/>
  <c r="I125" i="44"/>
  <c r="H125" i="44"/>
  <c r="F44" i="56"/>
  <c r="B44" i="56"/>
  <c r="I39" i="84"/>
  <c r="B49" i="69"/>
  <c r="H49" i="69"/>
  <c r="F49" i="69"/>
  <c r="G49" i="69"/>
  <c r="I49" i="69" s="1"/>
  <c r="F41" i="79"/>
  <c r="G41" i="79" s="1"/>
  <c r="B41" i="79"/>
  <c r="H41" i="79"/>
  <c r="I61" i="35"/>
  <c r="B120" i="33"/>
  <c r="F120" i="33"/>
  <c r="I41" i="77"/>
  <c r="B46" i="41"/>
  <c r="F46" i="41"/>
  <c r="H46" i="41" s="1"/>
  <c r="B43" i="63"/>
  <c r="F43" i="63"/>
  <c r="G43" i="63" s="1"/>
  <c r="H44" i="72"/>
  <c r="D45" i="72"/>
  <c r="E45" i="72"/>
  <c r="D41" i="85"/>
  <c r="E41" i="85"/>
  <c r="F44" i="53"/>
  <c r="H44" i="53" s="1"/>
  <c r="B44" i="53"/>
  <c r="B43" i="60"/>
  <c r="F43" i="60"/>
  <c r="H43" i="60" s="1"/>
  <c r="E120" i="97"/>
  <c r="G119" i="97"/>
  <c r="D120" i="97"/>
  <c r="F40" i="92"/>
  <c r="G40" i="92" s="1"/>
  <c r="B40" i="92"/>
  <c r="B40" i="82"/>
  <c r="F40" i="82"/>
  <c r="G40" i="82" s="1"/>
  <c r="B50" i="28"/>
  <c r="F50" i="28"/>
  <c r="H50" i="28" s="1"/>
  <c r="B38" i="95"/>
  <c r="F38" i="95"/>
  <c r="H38" i="95"/>
  <c r="I38" i="95" s="1"/>
  <c r="G38" i="95"/>
  <c r="F42" i="67"/>
  <c r="B42" i="67"/>
  <c r="B44" i="58"/>
  <c r="F44" i="58"/>
  <c r="G44" i="58" s="1"/>
  <c r="F40" i="84"/>
  <c r="B40" i="84"/>
  <c r="H48" i="23"/>
  <c r="I48" i="23" s="1"/>
  <c r="E49" i="23"/>
  <c r="D49" i="23"/>
  <c r="G38" i="98"/>
  <c r="F46" i="73"/>
  <c r="B46" i="73"/>
  <c r="G44" i="72"/>
  <c r="I44" i="72" s="1"/>
  <c r="H38" i="97"/>
  <c r="I38" i="97" s="1"/>
  <c r="G40" i="85"/>
  <c r="I40" i="85" s="1"/>
  <c r="J118" i="26"/>
  <c r="B48" i="34"/>
  <c r="F48" i="34"/>
  <c r="G48" i="34" s="1"/>
  <c r="I41" i="67"/>
  <c r="E48" i="3"/>
  <c r="D48" i="3"/>
  <c r="B42" i="66"/>
  <c r="F42" i="66"/>
  <c r="F40" i="83"/>
  <c r="H40" i="83" s="1"/>
  <c r="I40" i="83" s="1"/>
  <c r="G40" i="83"/>
  <c r="B40" i="83"/>
  <c r="E42" i="76"/>
  <c r="D42" i="76"/>
  <c r="H62" i="35"/>
  <c r="G62" i="35"/>
  <c r="E63" i="35"/>
  <c r="F63" i="35" s="1"/>
  <c r="B63" i="35"/>
  <c r="B44" i="46"/>
  <c r="F44" i="46"/>
  <c r="H119" i="33"/>
  <c r="I119" i="33"/>
  <c r="I43" i="57"/>
  <c r="D41" i="81"/>
  <c r="E41" i="81"/>
  <c r="B47" i="20"/>
  <c r="F47" i="20"/>
  <c r="G47" i="20" s="1"/>
  <c r="B42" i="68"/>
  <c r="F42" i="68"/>
  <c r="G42" i="68" s="1"/>
  <c r="G46" i="42"/>
  <c r="G46" i="74"/>
  <c r="B46" i="74"/>
  <c r="F46" i="74"/>
  <c r="H46" i="74" s="1"/>
  <c r="D42" i="77"/>
  <c r="E42" i="77"/>
  <c r="B49" i="27"/>
  <c r="F49" i="27"/>
  <c r="H40" i="26"/>
  <c r="D41" i="26"/>
  <c r="E41" i="26" s="1"/>
  <c r="G40" i="26"/>
  <c r="H49" i="29"/>
  <c r="G41" i="75"/>
  <c r="I41" i="75" s="1"/>
  <c r="J120" i="13"/>
  <c r="H49" i="30"/>
  <c r="I49" i="30" s="1"/>
  <c r="B40" i="91"/>
  <c r="F40" i="91"/>
  <c r="G40" i="91" s="1"/>
  <c r="B44" i="59"/>
  <c r="F44" i="59"/>
  <c r="B128" i="31"/>
  <c r="F128" i="31"/>
  <c r="E45" i="55"/>
  <c r="D45" i="55"/>
  <c r="F47" i="17"/>
  <c r="B47" i="17"/>
  <c r="C56" i="17"/>
  <c r="G47" i="17"/>
  <c r="F49" i="71"/>
  <c r="G49" i="71" s="1"/>
  <c r="B49" i="71"/>
  <c r="E47" i="43"/>
  <c r="D47" i="43"/>
  <c r="E41" i="80"/>
  <c r="D41" i="80"/>
  <c r="G44" i="64"/>
  <c r="B44" i="64"/>
  <c r="F44" i="64"/>
  <c r="H44" i="64"/>
  <c r="F50" i="70"/>
  <c r="G50" i="70" s="1"/>
  <c r="B50" i="70"/>
  <c r="F44" i="61"/>
  <c r="H44" i="61" s="1"/>
  <c r="B44" i="61"/>
  <c r="E41" i="86"/>
  <c r="D41" i="86"/>
  <c r="I47" i="21"/>
  <c r="G47" i="22"/>
  <c r="I47" i="22" s="1"/>
  <c r="I43" i="62"/>
  <c r="G46" i="43"/>
  <c r="I46" i="43" s="1"/>
  <c r="G40" i="80"/>
  <c r="I40" i="80" s="1"/>
  <c r="I127" i="31"/>
  <c r="J127" i="31" s="1"/>
  <c r="H127" i="31"/>
  <c r="I46" i="17"/>
  <c r="F48" i="19"/>
  <c r="B48" i="19"/>
  <c r="I43" i="64"/>
  <c r="G44" i="55"/>
  <c r="I44" i="55" s="1"/>
  <c r="G40" i="86"/>
  <c r="I40" i="86" s="1"/>
  <c r="I49" i="70"/>
  <c r="B124" i="60"/>
  <c r="F124" i="60"/>
  <c r="H123" i="60"/>
  <c r="I123" i="60"/>
  <c r="H131" i="70"/>
  <c r="I131" i="70"/>
  <c r="J131" i="70" s="1"/>
  <c r="B132" i="70"/>
  <c r="F132" i="70"/>
  <c r="J126" i="34"/>
  <c r="F130" i="17"/>
  <c r="B130" i="17"/>
  <c r="J121" i="66"/>
  <c r="H129" i="17"/>
  <c r="I129" i="17"/>
  <c r="J129" i="17" s="1"/>
  <c r="G121" i="13"/>
  <c r="D122" i="13"/>
  <c r="B148" i="35"/>
  <c r="G147" i="35"/>
  <c r="E148" i="35"/>
  <c r="F148" i="35" s="1"/>
  <c r="H122" i="59"/>
  <c r="I122" i="59"/>
  <c r="J122" i="59" s="1"/>
  <c r="B121" i="77"/>
  <c r="F121" i="77"/>
  <c r="B126" i="73"/>
  <c r="F126" i="73"/>
  <c r="H119" i="100"/>
  <c r="I119" i="100"/>
  <c r="B128" i="32"/>
  <c r="F128" i="32"/>
  <c r="F119" i="86"/>
  <c r="B119" i="86"/>
  <c r="B129" i="30"/>
  <c r="F129" i="30"/>
  <c r="H119" i="81"/>
  <c r="I119" i="81"/>
  <c r="D47" i="39"/>
  <c r="E47" i="39"/>
  <c r="B120" i="80"/>
  <c r="F120" i="80"/>
  <c r="B123" i="59"/>
  <c r="F123" i="59"/>
  <c r="D128" i="34"/>
  <c r="G127" i="34"/>
  <c r="E128" i="34"/>
  <c r="G41" i="78"/>
  <c r="I41" i="78" s="1"/>
  <c r="F127" i="21"/>
  <c r="B127" i="21"/>
  <c r="H127" i="32"/>
  <c r="I127" i="32"/>
  <c r="J127" i="32" s="1"/>
  <c r="H118" i="86"/>
  <c r="I118" i="86"/>
  <c r="I128" i="30"/>
  <c r="H128" i="30"/>
  <c r="D39" i="96"/>
  <c r="E39" i="96"/>
  <c r="B124" i="53"/>
  <c r="F124" i="53"/>
  <c r="B125" i="62"/>
  <c r="F125" i="62"/>
  <c r="F125" i="45"/>
  <c r="B125" i="45"/>
  <c r="H122" i="64"/>
  <c r="I122" i="64"/>
  <c r="H125" i="39"/>
  <c r="I125" i="39"/>
  <c r="J125" i="39" s="1"/>
  <c r="D45" i="54"/>
  <c r="E45" i="54"/>
  <c r="D49" i="32"/>
  <c r="E49" i="32"/>
  <c r="I146" i="35"/>
  <c r="H146" i="35"/>
  <c r="J128" i="23"/>
  <c r="H128" i="27"/>
  <c r="I128" i="27"/>
  <c r="J128" i="27" s="1"/>
  <c r="H123" i="58"/>
  <c r="I123" i="58"/>
  <c r="H126" i="21"/>
  <c r="I126" i="21"/>
  <c r="F119" i="92"/>
  <c r="B119" i="92"/>
  <c r="H38" i="96"/>
  <c r="H118" i="88"/>
  <c r="I118" i="88"/>
  <c r="H123" i="53"/>
  <c r="I123" i="53"/>
  <c r="I124" i="45"/>
  <c r="H124" i="45"/>
  <c r="B123" i="64"/>
  <c r="F123" i="64"/>
  <c r="J126" i="19"/>
  <c r="H123" i="56"/>
  <c r="I123" i="56"/>
  <c r="H129" i="20"/>
  <c r="I129" i="20"/>
  <c r="F126" i="39"/>
  <c r="B126" i="39"/>
  <c r="H126" i="3"/>
  <c r="I126" i="3"/>
  <c r="G129" i="23"/>
  <c r="D130" i="23"/>
  <c r="E130" i="23"/>
  <c r="G44" i="54"/>
  <c r="H125" i="55"/>
  <c r="I125" i="55"/>
  <c r="J125" i="55" s="1"/>
  <c r="G48" i="32"/>
  <c r="I48" i="32" s="1"/>
  <c r="E39" i="100"/>
  <c r="D39" i="100"/>
  <c r="I123" i="54"/>
  <c r="H123" i="54"/>
  <c r="I49" i="29"/>
  <c r="F129" i="27"/>
  <c r="B129" i="27"/>
  <c r="B124" i="58"/>
  <c r="F124" i="58"/>
  <c r="H118" i="96"/>
  <c r="I118" i="96"/>
  <c r="I127" i="71"/>
  <c r="H127" i="71"/>
  <c r="E132" i="29"/>
  <c r="G131" i="29"/>
  <c r="D132" i="29"/>
  <c r="G38" i="96"/>
  <c r="B122" i="82"/>
  <c r="F122" i="82"/>
  <c r="B119" i="88"/>
  <c r="F119" i="88"/>
  <c r="E123" i="66"/>
  <c r="D123" i="66"/>
  <c r="G122" i="66"/>
  <c r="F124" i="56"/>
  <c r="B124" i="56"/>
  <c r="F130" i="20"/>
  <c r="B130" i="20"/>
  <c r="E125" i="67"/>
  <c r="D125" i="67"/>
  <c r="G124" i="67"/>
  <c r="B127" i="3"/>
  <c r="F127" i="3"/>
  <c r="I123" i="72"/>
  <c r="H123" i="72"/>
  <c r="G38" i="100"/>
  <c r="I38" i="100" s="1"/>
  <c r="B124" i="54"/>
  <c r="F124" i="54"/>
  <c r="B121" i="76"/>
  <c r="F121" i="76"/>
  <c r="D42" i="78"/>
  <c r="E42" i="78"/>
  <c r="F122" i="68"/>
  <c r="B122" i="68"/>
  <c r="F119" i="96"/>
  <c r="B119" i="96"/>
  <c r="E40" i="90"/>
  <c r="D40" i="90"/>
  <c r="H118" i="92"/>
  <c r="I118" i="92"/>
  <c r="B128" i="71"/>
  <c r="F128" i="71"/>
  <c r="B129" i="69"/>
  <c r="F129" i="69"/>
  <c r="H121" i="82"/>
  <c r="I121" i="82"/>
  <c r="J121" i="82" s="1"/>
  <c r="F127" i="22"/>
  <c r="B127" i="22"/>
  <c r="B119" i="98"/>
  <c r="F119" i="98"/>
  <c r="F119" i="90"/>
  <c r="B119" i="90"/>
  <c r="F124" i="72"/>
  <c r="B124" i="72"/>
  <c r="F126" i="55"/>
  <c r="B126" i="55"/>
  <c r="B119" i="89"/>
  <c r="F119" i="89"/>
  <c r="D44" i="62"/>
  <c r="E44" i="62"/>
  <c r="H123" i="57"/>
  <c r="I123" i="57"/>
  <c r="J123" i="57" s="1"/>
  <c r="I118" i="84"/>
  <c r="H118" i="84"/>
  <c r="G40" i="88"/>
  <c r="I40" i="88" s="1"/>
  <c r="I120" i="76"/>
  <c r="H120" i="76"/>
  <c r="H126" i="18"/>
  <c r="I126" i="18"/>
  <c r="H121" i="68"/>
  <c r="I121" i="68"/>
  <c r="F122" i="85"/>
  <c r="B122" i="85"/>
  <c r="H39" i="90"/>
  <c r="I39" i="90" s="1"/>
  <c r="D124" i="63"/>
  <c r="E124" i="63"/>
  <c r="G123" i="63"/>
  <c r="B128" i="24"/>
  <c r="F128" i="24"/>
  <c r="H128" i="69"/>
  <c r="I128" i="69"/>
  <c r="J128" i="69" s="1"/>
  <c r="J122" i="63"/>
  <c r="G127" i="19"/>
  <c r="D128" i="19"/>
  <c r="E128" i="19"/>
  <c r="H126" i="22"/>
  <c r="I126" i="22"/>
  <c r="I118" i="98"/>
  <c r="H118" i="98"/>
  <c r="I119" i="99"/>
  <c r="H119" i="99"/>
  <c r="B121" i="79"/>
  <c r="F121" i="79"/>
  <c r="E123" i="78"/>
  <c r="G122" i="78"/>
  <c r="D123" i="78"/>
  <c r="D43" i="13"/>
  <c r="E43" i="13" s="1"/>
  <c r="B126" i="41"/>
  <c r="F126" i="41"/>
  <c r="H118" i="90"/>
  <c r="I118" i="90"/>
  <c r="J145" i="35"/>
  <c r="I118" i="89"/>
  <c r="H118" i="89"/>
  <c r="F124" i="57"/>
  <c r="B124" i="57"/>
  <c r="B119" i="84"/>
  <c r="F119" i="84"/>
  <c r="D50" i="29"/>
  <c r="E50" i="29"/>
  <c r="H118" i="91"/>
  <c r="I118" i="91"/>
  <c r="H129" i="28"/>
  <c r="I129" i="28"/>
  <c r="B127" i="18"/>
  <c r="F127" i="18"/>
  <c r="F124" i="46"/>
  <c r="B124" i="46"/>
  <c r="I121" i="85"/>
  <c r="H121" i="85"/>
  <c r="B120" i="83"/>
  <c r="F120" i="83"/>
  <c r="H127" i="24"/>
  <c r="I127" i="24"/>
  <c r="J127" i="24" s="1"/>
  <c r="H46" i="39"/>
  <c r="D48" i="18"/>
  <c r="E48" i="18"/>
  <c r="I122" i="61"/>
  <c r="H122" i="61"/>
  <c r="D40" i="87"/>
  <c r="E40" i="87"/>
  <c r="F120" i="99"/>
  <c r="B120" i="99"/>
  <c r="H121" i="65"/>
  <c r="I121" i="65"/>
  <c r="H120" i="79"/>
  <c r="I120" i="79"/>
  <c r="H125" i="41"/>
  <c r="I125" i="41"/>
  <c r="F126" i="74"/>
  <c r="B126" i="74"/>
  <c r="F123" i="75"/>
  <c r="B123" i="75"/>
  <c r="B39" i="25"/>
  <c r="D48" i="21"/>
  <c r="E48" i="21"/>
  <c r="E41" i="88"/>
  <c r="D41" i="88"/>
  <c r="F119" i="91"/>
  <c r="B119" i="91"/>
  <c r="B130" i="28"/>
  <c r="F130" i="28"/>
  <c r="E42" i="75"/>
  <c r="D42" i="75"/>
  <c r="I123" i="46"/>
  <c r="H123" i="46"/>
  <c r="H119" i="83"/>
  <c r="I119" i="83"/>
  <c r="I120" i="77"/>
  <c r="H120" i="77"/>
  <c r="H125" i="73"/>
  <c r="I125" i="73"/>
  <c r="B120" i="100"/>
  <c r="F120" i="100"/>
  <c r="F120" i="81"/>
  <c r="B120" i="81"/>
  <c r="G46" i="39"/>
  <c r="H47" i="18"/>
  <c r="I47" i="18" s="1"/>
  <c r="I124" i="62"/>
  <c r="H124" i="62"/>
  <c r="F123" i="61"/>
  <c r="B123" i="61"/>
  <c r="D48" i="22"/>
  <c r="E48" i="22"/>
  <c r="H39" i="87"/>
  <c r="I39" i="87" s="1"/>
  <c r="J121" i="78"/>
  <c r="B122" i="65"/>
  <c r="F122" i="65"/>
  <c r="E40" i="89"/>
  <c r="D40" i="89"/>
  <c r="G42" i="13"/>
  <c r="I42" i="13" s="1"/>
  <c r="H44" i="54"/>
  <c r="I44" i="54" s="1"/>
  <c r="H125" i="74"/>
  <c r="I125" i="74"/>
  <c r="H119" i="80"/>
  <c r="I119" i="80"/>
  <c r="D50" i="30"/>
  <c r="E50" i="30"/>
  <c r="H122" i="75"/>
  <c r="I122" i="75"/>
  <c r="E39" i="25"/>
  <c r="F39" i="25" s="1"/>
  <c r="D122" i="25" l="1"/>
  <c r="G121" i="25"/>
  <c r="I41" i="79"/>
  <c r="G46" i="41"/>
  <c r="I42" i="65"/>
  <c r="E121" i="95"/>
  <c r="D121" i="95"/>
  <c r="G120" i="95"/>
  <c r="J119" i="95"/>
  <c r="I48" i="31"/>
  <c r="J118" i="91"/>
  <c r="J123" i="53"/>
  <c r="H40" i="82"/>
  <c r="I40" i="82" s="1"/>
  <c r="H43" i="63"/>
  <c r="G119" i="87"/>
  <c r="D120" i="87"/>
  <c r="E120" i="87"/>
  <c r="J121" i="65"/>
  <c r="J118" i="92"/>
  <c r="G44" i="53"/>
  <c r="I44" i="53" s="1"/>
  <c r="G48" i="31"/>
  <c r="H42" i="77"/>
  <c r="B42" i="77"/>
  <c r="G42" i="77"/>
  <c r="F42" i="77"/>
  <c r="E43" i="66"/>
  <c r="D43" i="66"/>
  <c r="H46" i="73"/>
  <c r="D47" i="73"/>
  <c r="E47" i="73"/>
  <c r="D41" i="84"/>
  <c r="E41" i="84"/>
  <c r="D43" i="67"/>
  <c r="E43" i="67"/>
  <c r="I43" i="60"/>
  <c r="I43" i="63"/>
  <c r="H50" i="70"/>
  <c r="I50" i="70" s="1"/>
  <c r="I46" i="74"/>
  <c r="H42" i="68"/>
  <c r="I42" i="68" s="1"/>
  <c r="J119" i="33"/>
  <c r="I62" i="35"/>
  <c r="H42" i="66"/>
  <c r="G40" i="84"/>
  <c r="H44" i="58"/>
  <c r="I44" i="58" s="1"/>
  <c r="H42" i="67"/>
  <c r="E51" i="28"/>
  <c r="D51" i="28"/>
  <c r="F120" i="97"/>
  <c r="B120" i="97"/>
  <c r="G43" i="60"/>
  <c r="E44" i="60"/>
  <c r="D44" i="60"/>
  <c r="G120" i="33"/>
  <c r="D121" i="33"/>
  <c r="E121" i="33"/>
  <c r="E50" i="69"/>
  <c r="D50" i="69"/>
  <c r="J125" i="44"/>
  <c r="I46" i="42"/>
  <c r="E127" i="44"/>
  <c r="D127" i="44"/>
  <c r="G126" i="44"/>
  <c r="D45" i="57"/>
  <c r="E45" i="57"/>
  <c r="B126" i="42"/>
  <c r="F126" i="42"/>
  <c r="H45" i="45"/>
  <c r="E46" i="45"/>
  <c r="D46" i="45"/>
  <c r="H46" i="44"/>
  <c r="D47" i="44"/>
  <c r="E47" i="44"/>
  <c r="D50" i="27"/>
  <c r="E50" i="27"/>
  <c r="F48" i="3"/>
  <c r="G48" i="3" s="1"/>
  <c r="B48" i="3"/>
  <c r="D41" i="92"/>
  <c r="E41" i="92"/>
  <c r="B41" i="85"/>
  <c r="F41" i="85"/>
  <c r="G41" i="85" s="1"/>
  <c r="H41" i="85"/>
  <c r="I46" i="41"/>
  <c r="G49" i="27"/>
  <c r="D47" i="74"/>
  <c r="E47" i="74"/>
  <c r="F42" i="76"/>
  <c r="B42" i="76"/>
  <c r="G42" i="76"/>
  <c r="G42" i="66"/>
  <c r="G46" i="73"/>
  <c r="F49" i="23"/>
  <c r="B49" i="23"/>
  <c r="G49" i="23"/>
  <c r="G42" i="67"/>
  <c r="H40" i="92"/>
  <c r="I40" i="92" s="1"/>
  <c r="I119" i="97"/>
  <c r="H119" i="97"/>
  <c r="D45" i="53"/>
  <c r="E45" i="53"/>
  <c r="B45" i="72"/>
  <c r="F45" i="72"/>
  <c r="E44" i="63"/>
  <c r="D44" i="63"/>
  <c r="E47" i="41"/>
  <c r="D47" i="41"/>
  <c r="H44" i="56"/>
  <c r="D45" i="56"/>
  <c r="E45" i="56"/>
  <c r="F39" i="97"/>
  <c r="B39" i="97"/>
  <c r="E49" i="31"/>
  <c r="D49" i="31"/>
  <c r="F39" i="98"/>
  <c r="G39" i="98" s="1"/>
  <c r="B39" i="98"/>
  <c r="B126" i="43"/>
  <c r="F126" i="43"/>
  <c r="E43" i="33"/>
  <c r="B43" i="33"/>
  <c r="F43" i="33"/>
  <c r="H125" i="42"/>
  <c r="I125" i="42"/>
  <c r="E120" i="26"/>
  <c r="F120" i="26" s="1"/>
  <c r="B120" i="26"/>
  <c r="D48" i="20"/>
  <c r="E48" i="20"/>
  <c r="G44" i="46"/>
  <c r="E45" i="46"/>
  <c r="D45" i="46"/>
  <c r="H125" i="43"/>
  <c r="I125" i="43"/>
  <c r="H49" i="27"/>
  <c r="I49" i="27" s="1"/>
  <c r="D43" i="68"/>
  <c r="E43" i="68"/>
  <c r="H47" i="20"/>
  <c r="I47" i="20" s="1"/>
  <c r="F41" i="81"/>
  <c r="H41" i="81"/>
  <c r="B41" i="81"/>
  <c r="H44" i="46"/>
  <c r="I44" i="46" s="1"/>
  <c r="B64" i="35"/>
  <c r="H63" i="35"/>
  <c r="I63" i="35" s="1"/>
  <c r="E64" i="35"/>
  <c r="F64" i="35" s="1"/>
  <c r="G63" i="35"/>
  <c r="D41" i="83"/>
  <c r="E41" i="83"/>
  <c r="H48" i="34"/>
  <c r="I48" i="34" s="1"/>
  <c r="D49" i="34"/>
  <c r="E49" i="34"/>
  <c r="H40" i="84"/>
  <c r="I40" i="84" s="1"/>
  <c r="D45" i="58"/>
  <c r="E45" i="58"/>
  <c r="D39" i="95"/>
  <c r="E39" i="95"/>
  <c r="G50" i="28"/>
  <c r="I50" i="28" s="1"/>
  <c r="E41" i="82"/>
  <c r="D41" i="82"/>
  <c r="D42" i="79"/>
  <c r="E42" i="79"/>
  <c r="G44" i="56"/>
  <c r="D49" i="24"/>
  <c r="E49" i="24"/>
  <c r="E43" i="65"/>
  <c r="D43" i="65"/>
  <c r="G44" i="57"/>
  <c r="I44" i="57" s="1"/>
  <c r="F47" i="42"/>
  <c r="G47" i="42" s="1"/>
  <c r="B47" i="42"/>
  <c r="G45" i="45"/>
  <c r="H38" i="99"/>
  <c r="I38" i="99" s="1"/>
  <c r="E39" i="99"/>
  <c r="D39" i="99"/>
  <c r="G46" i="44"/>
  <c r="H119" i="26"/>
  <c r="I119" i="26"/>
  <c r="H48" i="19"/>
  <c r="E49" i="19"/>
  <c r="D49" i="19"/>
  <c r="G48" i="19"/>
  <c r="I44" i="64"/>
  <c r="E48" i="17"/>
  <c r="D48" i="17"/>
  <c r="D41" i="91"/>
  <c r="E41" i="91"/>
  <c r="H44" i="59"/>
  <c r="E45" i="59"/>
  <c r="D45" i="59"/>
  <c r="F41" i="26"/>
  <c r="G41" i="26" s="1"/>
  <c r="B41" i="26"/>
  <c r="H41" i="26"/>
  <c r="J118" i="96"/>
  <c r="J128" i="30"/>
  <c r="F41" i="86"/>
  <c r="H41" i="86" s="1"/>
  <c r="B41" i="86"/>
  <c r="D45" i="61"/>
  <c r="E45" i="61"/>
  <c r="E45" i="64"/>
  <c r="D45" i="64"/>
  <c r="G47" i="43"/>
  <c r="H47" i="43"/>
  <c r="B47" i="43"/>
  <c r="F47" i="43"/>
  <c r="H47" i="17"/>
  <c r="I47" i="17" s="1"/>
  <c r="F45" i="55"/>
  <c r="H45" i="55" s="1"/>
  <c r="B45" i="55"/>
  <c r="B41" i="80"/>
  <c r="F41" i="80"/>
  <c r="D50" i="71"/>
  <c r="E50" i="71"/>
  <c r="J118" i="86"/>
  <c r="G44" i="61"/>
  <c r="I44" i="61" s="1"/>
  <c r="D51" i="70"/>
  <c r="E51" i="70"/>
  <c r="H49" i="71"/>
  <c r="I49" i="71" s="1"/>
  <c r="D129" i="31"/>
  <c r="G128" i="31"/>
  <c r="E129" i="31"/>
  <c r="G44" i="59"/>
  <c r="H40" i="91"/>
  <c r="I40" i="91" s="1"/>
  <c r="I40" i="26"/>
  <c r="J125" i="73"/>
  <c r="J119" i="99"/>
  <c r="J121" i="68"/>
  <c r="J123" i="72"/>
  <c r="G132" i="70"/>
  <c r="D133" i="70"/>
  <c r="E133" i="70"/>
  <c r="J123" i="46"/>
  <c r="J129" i="20"/>
  <c r="J124" i="45"/>
  <c r="J121" i="85"/>
  <c r="G130" i="17"/>
  <c r="D131" i="17"/>
  <c r="E131" i="17"/>
  <c r="J127" i="71"/>
  <c r="J126" i="3"/>
  <c r="J123" i="56"/>
  <c r="D125" i="60"/>
  <c r="G124" i="60"/>
  <c r="E125" i="60"/>
  <c r="J118" i="88"/>
  <c r="J119" i="100"/>
  <c r="J123" i="60"/>
  <c r="D40" i="25"/>
  <c r="E40" i="25" s="1"/>
  <c r="H39" i="25"/>
  <c r="G39" i="25"/>
  <c r="E121" i="100"/>
  <c r="D121" i="100"/>
  <c r="G120" i="100"/>
  <c r="J122" i="75"/>
  <c r="D124" i="75"/>
  <c r="G123" i="75"/>
  <c r="E124" i="75"/>
  <c r="D127" i="74"/>
  <c r="G126" i="74"/>
  <c r="E127" i="74"/>
  <c r="J120" i="79"/>
  <c r="G127" i="18"/>
  <c r="D128" i="18"/>
  <c r="E128" i="18"/>
  <c r="D120" i="84"/>
  <c r="G119" i="84"/>
  <c r="E120" i="84"/>
  <c r="J118" i="89"/>
  <c r="G121" i="79"/>
  <c r="D122" i="79"/>
  <c r="E122" i="79"/>
  <c r="B124" i="63"/>
  <c r="F124" i="63"/>
  <c r="D127" i="55"/>
  <c r="E127" i="55"/>
  <c r="G126" i="55"/>
  <c r="D123" i="68"/>
  <c r="G122" i="68"/>
  <c r="E123" i="68"/>
  <c r="D128" i="3"/>
  <c r="G127" i="3"/>
  <c r="E128" i="3"/>
  <c r="D125" i="56"/>
  <c r="G124" i="56"/>
  <c r="E125" i="56"/>
  <c r="G119" i="88"/>
  <c r="D120" i="88"/>
  <c r="E120" i="88"/>
  <c r="J123" i="58"/>
  <c r="D128" i="21"/>
  <c r="G127" i="21"/>
  <c r="E128" i="21"/>
  <c r="I127" i="34"/>
  <c r="H127" i="34"/>
  <c r="H147" i="35"/>
  <c r="I147" i="35"/>
  <c r="J147" i="35" s="1"/>
  <c r="F42" i="75"/>
  <c r="H42" i="75" s="1"/>
  <c r="B42" i="75"/>
  <c r="G119" i="98"/>
  <c r="D120" i="98"/>
  <c r="E120" i="98"/>
  <c r="D125" i="58"/>
  <c r="G124" i="58"/>
  <c r="E125" i="58"/>
  <c r="F130" i="23"/>
  <c r="B130" i="23"/>
  <c r="J126" i="21"/>
  <c r="J122" i="64"/>
  <c r="F128" i="34"/>
  <c r="B128" i="34"/>
  <c r="D121" i="80"/>
  <c r="G120" i="80"/>
  <c r="E121" i="80"/>
  <c r="G129" i="30"/>
  <c r="D130" i="30"/>
  <c r="E130" i="30"/>
  <c r="D131" i="28"/>
  <c r="G130" i="28"/>
  <c r="E131" i="28"/>
  <c r="J119" i="80"/>
  <c r="G122" i="65"/>
  <c r="D123" i="65"/>
  <c r="E123" i="65"/>
  <c r="F48" i="22"/>
  <c r="G48" i="22" s="1"/>
  <c r="B48" i="22"/>
  <c r="H48" i="21"/>
  <c r="B48" i="21"/>
  <c r="F48" i="21"/>
  <c r="G48" i="21"/>
  <c r="J125" i="41"/>
  <c r="D121" i="99"/>
  <c r="G120" i="99"/>
  <c r="E121" i="99"/>
  <c r="G120" i="83"/>
  <c r="D121" i="83"/>
  <c r="E121" i="83"/>
  <c r="J129" i="28"/>
  <c r="J118" i="90"/>
  <c r="J126" i="18"/>
  <c r="D125" i="72"/>
  <c r="G124" i="72"/>
  <c r="E125" i="72"/>
  <c r="G119" i="96"/>
  <c r="D120" i="96"/>
  <c r="E120" i="96"/>
  <c r="H124" i="67"/>
  <c r="I124" i="67"/>
  <c r="E123" i="82"/>
  <c r="D123" i="82"/>
  <c r="G122" i="82"/>
  <c r="I129" i="23"/>
  <c r="H129" i="23"/>
  <c r="G119" i="92"/>
  <c r="D120" i="92"/>
  <c r="E120" i="92"/>
  <c r="B39" i="96"/>
  <c r="F39" i="96"/>
  <c r="G39" i="96" s="1"/>
  <c r="D124" i="59"/>
  <c r="G123" i="59"/>
  <c r="E124" i="59"/>
  <c r="D123" i="85"/>
  <c r="G122" i="85"/>
  <c r="E123" i="85"/>
  <c r="D129" i="71"/>
  <c r="G128" i="71"/>
  <c r="E129" i="71"/>
  <c r="F125" i="67"/>
  <c r="B125" i="67"/>
  <c r="J123" i="54"/>
  <c r="J146" i="35"/>
  <c r="D127" i="73"/>
  <c r="G126" i="73"/>
  <c r="E127" i="73"/>
  <c r="F50" i="30"/>
  <c r="G50" i="30" s="1"/>
  <c r="B50" i="30"/>
  <c r="J125" i="74"/>
  <c r="G123" i="61"/>
  <c r="D124" i="61"/>
  <c r="E124" i="61"/>
  <c r="J120" i="77"/>
  <c r="B40" i="87"/>
  <c r="F40" i="87"/>
  <c r="H40" i="87" s="1"/>
  <c r="F128" i="19"/>
  <c r="B128" i="19"/>
  <c r="G128" i="24"/>
  <c r="D129" i="24"/>
  <c r="E129" i="24"/>
  <c r="J118" i="84"/>
  <c r="B44" i="62"/>
  <c r="F44" i="62"/>
  <c r="G119" i="90"/>
  <c r="D120" i="90"/>
  <c r="E120" i="90"/>
  <c r="G127" i="22"/>
  <c r="D128" i="22"/>
  <c r="E128" i="22"/>
  <c r="F42" i="78"/>
  <c r="H42" i="78" s="1"/>
  <c r="B42" i="78"/>
  <c r="G129" i="27"/>
  <c r="D130" i="27"/>
  <c r="E130" i="27"/>
  <c r="B39" i="100"/>
  <c r="F39" i="100"/>
  <c r="G125" i="45"/>
  <c r="D126" i="45"/>
  <c r="E126" i="45"/>
  <c r="D120" i="86"/>
  <c r="G119" i="86"/>
  <c r="E120" i="86"/>
  <c r="B122" i="13"/>
  <c r="F48" i="18"/>
  <c r="H48" i="18" s="1"/>
  <c r="B48" i="18"/>
  <c r="D127" i="41"/>
  <c r="G126" i="41"/>
  <c r="E127" i="41"/>
  <c r="B123" i="78"/>
  <c r="F123" i="78"/>
  <c r="J118" i="98"/>
  <c r="I127" i="19"/>
  <c r="H127" i="19"/>
  <c r="J120" i="76"/>
  <c r="D120" i="89"/>
  <c r="G119" i="89"/>
  <c r="E120" i="89"/>
  <c r="D130" i="69"/>
  <c r="G129" i="69"/>
  <c r="E130" i="69"/>
  <c r="G121" i="76"/>
  <c r="D122" i="76"/>
  <c r="E122" i="76"/>
  <c r="H122" i="66"/>
  <c r="I122" i="66"/>
  <c r="F132" i="29"/>
  <c r="B132" i="29"/>
  <c r="F45" i="54"/>
  <c r="H45" i="54" s="1"/>
  <c r="B45" i="54"/>
  <c r="G125" i="62"/>
  <c r="D126" i="62"/>
  <c r="E126" i="62"/>
  <c r="B47" i="39"/>
  <c r="F47" i="39"/>
  <c r="H47" i="39" s="1"/>
  <c r="D122" i="77"/>
  <c r="G121" i="77"/>
  <c r="E122" i="77"/>
  <c r="I121" i="13"/>
  <c r="H121" i="13"/>
  <c r="B43" i="13"/>
  <c r="F43" i="13"/>
  <c r="H43" i="13" s="1"/>
  <c r="B40" i="89"/>
  <c r="F40" i="89"/>
  <c r="H40" i="89" s="1"/>
  <c r="J124" i="62"/>
  <c r="G120" i="81"/>
  <c r="D121" i="81"/>
  <c r="E121" i="81"/>
  <c r="J119" i="83"/>
  <c r="D120" i="91"/>
  <c r="G119" i="91"/>
  <c r="E120" i="91"/>
  <c r="J122" i="61"/>
  <c r="I46" i="39"/>
  <c r="D125" i="57"/>
  <c r="G124" i="57"/>
  <c r="E125" i="57"/>
  <c r="H122" i="78"/>
  <c r="I122" i="78"/>
  <c r="J126" i="22"/>
  <c r="H123" i="63"/>
  <c r="I123" i="63"/>
  <c r="J123" i="63" s="1"/>
  <c r="D131" i="20"/>
  <c r="G130" i="20"/>
  <c r="E131" i="20"/>
  <c r="B123" i="66"/>
  <c r="F123" i="66"/>
  <c r="H131" i="29"/>
  <c r="I131" i="29"/>
  <c r="D127" i="39"/>
  <c r="G126" i="39"/>
  <c r="E127" i="39"/>
  <c r="G123" i="64"/>
  <c r="D124" i="64"/>
  <c r="E124" i="64"/>
  <c r="I38" i="96"/>
  <c r="J119" i="81"/>
  <c r="E122" i="13"/>
  <c r="F122" i="13" s="1"/>
  <c r="F41" i="88"/>
  <c r="H41" i="88" s="1"/>
  <c r="B41" i="88"/>
  <c r="D125" i="46"/>
  <c r="G124" i="46"/>
  <c r="E125" i="46"/>
  <c r="F50" i="29"/>
  <c r="G50" i="29" s="1"/>
  <c r="B50" i="29"/>
  <c r="G40" i="90"/>
  <c r="B40" i="90"/>
  <c r="F40" i="90"/>
  <c r="H40" i="90" s="1"/>
  <c r="G124" i="54"/>
  <c r="D125" i="54"/>
  <c r="E125" i="54"/>
  <c r="F49" i="32"/>
  <c r="B49" i="32"/>
  <c r="D125" i="53"/>
  <c r="G124" i="53"/>
  <c r="E125" i="53"/>
  <c r="D129" i="32"/>
  <c r="G128" i="32"/>
  <c r="E129" i="32"/>
  <c r="G148" i="35"/>
  <c r="B149" i="35"/>
  <c r="E149" i="35"/>
  <c r="F149" i="35" s="1"/>
  <c r="H119" i="87" l="1"/>
  <c r="I119" i="87"/>
  <c r="J119" i="87" s="1"/>
  <c r="B121" i="95"/>
  <c r="F121" i="95"/>
  <c r="G41" i="86"/>
  <c r="J119" i="97"/>
  <c r="I40" i="90"/>
  <c r="H47" i="42"/>
  <c r="H39" i="98"/>
  <c r="I39" i="98" s="1"/>
  <c r="I42" i="67"/>
  <c r="I121" i="25"/>
  <c r="J121" i="25" s="1"/>
  <c r="H121" i="25"/>
  <c r="G45" i="55"/>
  <c r="J119" i="26"/>
  <c r="J125" i="42"/>
  <c r="I44" i="56"/>
  <c r="B120" i="87"/>
  <c r="F120" i="87"/>
  <c r="I120" i="95"/>
  <c r="J120" i="95" s="1"/>
  <c r="H120" i="95"/>
  <c r="E122" i="25"/>
  <c r="F122" i="25"/>
  <c r="B122" i="25"/>
  <c r="G120" i="26"/>
  <c r="D121" i="26"/>
  <c r="F49" i="24"/>
  <c r="B49" i="24"/>
  <c r="F39" i="95"/>
  <c r="B39" i="95"/>
  <c r="F43" i="68"/>
  <c r="G43" i="68" s="1"/>
  <c r="B43" i="68"/>
  <c r="F45" i="46"/>
  <c r="B45" i="46"/>
  <c r="G45" i="46"/>
  <c r="B49" i="31"/>
  <c r="F49" i="31"/>
  <c r="H49" i="31"/>
  <c r="H39" i="97"/>
  <c r="D40" i="97"/>
  <c r="E40" i="97"/>
  <c r="D46" i="72"/>
  <c r="E46" i="72"/>
  <c r="F47" i="74"/>
  <c r="B47" i="74"/>
  <c r="G47" i="74"/>
  <c r="H50" i="29"/>
  <c r="G45" i="54"/>
  <c r="G42" i="75"/>
  <c r="I42" i="75" s="1"/>
  <c r="B43" i="65"/>
  <c r="F43" i="65"/>
  <c r="F49" i="34"/>
  <c r="H49" i="34" s="1"/>
  <c r="B49" i="34"/>
  <c r="G49" i="34"/>
  <c r="E42" i="81"/>
  <c r="D42" i="81"/>
  <c r="F45" i="53"/>
  <c r="G45" i="53" s="1"/>
  <c r="B45" i="53"/>
  <c r="D50" i="23"/>
  <c r="E50" i="23"/>
  <c r="E42" i="85"/>
  <c r="D42" i="85"/>
  <c r="E49" i="3"/>
  <c r="D49" i="3"/>
  <c r="H47" i="44"/>
  <c r="F47" i="44"/>
  <c r="B47" i="44"/>
  <c r="G47" i="44"/>
  <c r="I45" i="45"/>
  <c r="F45" i="57"/>
  <c r="G45" i="57"/>
  <c r="B45" i="57"/>
  <c r="H45" i="57"/>
  <c r="I45" i="57" s="1"/>
  <c r="B51" i="28"/>
  <c r="F51" i="28"/>
  <c r="H51" i="28"/>
  <c r="B41" i="84"/>
  <c r="F41" i="84"/>
  <c r="H41" i="84"/>
  <c r="G41" i="84"/>
  <c r="B43" i="66"/>
  <c r="F43" i="66"/>
  <c r="H43" i="66"/>
  <c r="G43" i="66"/>
  <c r="B39" i="99"/>
  <c r="F39" i="99"/>
  <c r="H39" i="99"/>
  <c r="I47" i="42"/>
  <c r="G41" i="82"/>
  <c r="F41" i="82"/>
  <c r="B41" i="82"/>
  <c r="H41" i="82"/>
  <c r="B41" i="83"/>
  <c r="F41" i="83"/>
  <c r="G41" i="83"/>
  <c r="B48" i="20"/>
  <c r="F48" i="20"/>
  <c r="G48" i="20" s="1"/>
  <c r="B47" i="41"/>
  <c r="F47" i="41"/>
  <c r="H47" i="41" s="1"/>
  <c r="I47" i="41" s="1"/>
  <c r="G47" i="41"/>
  <c r="B41" i="92"/>
  <c r="F41" i="92"/>
  <c r="H41" i="92"/>
  <c r="B44" i="60"/>
  <c r="F44" i="60"/>
  <c r="H44" i="60"/>
  <c r="E121" i="97"/>
  <c r="G120" i="97"/>
  <c r="D121" i="97"/>
  <c r="I48" i="19"/>
  <c r="F45" i="58"/>
  <c r="G45" i="58" s="1"/>
  <c r="B45" i="58"/>
  <c r="E65" i="35"/>
  <c r="F65" i="35" s="1"/>
  <c r="H64" i="35"/>
  <c r="G64" i="35"/>
  <c r="B65" i="35"/>
  <c r="G41" i="81"/>
  <c r="I41" i="81" s="1"/>
  <c r="J125" i="43"/>
  <c r="G126" i="43"/>
  <c r="D127" i="43"/>
  <c r="E127" i="43"/>
  <c r="G39" i="97"/>
  <c r="I39" i="97" s="1"/>
  <c r="B45" i="56"/>
  <c r="F45" i="56"/>
  <c r="G45" i="56" s="1"/>
  <c r="H45" i="56"/>
  <c r="B44" i="63"/>
  <c r="F44" i="63"/>
  <c r="G44" i="63" s="1"/>
  <c r="H45" i="72"/>
  <c r="H49" i="23"/>
  <c r="I46" i="73"/>
  <c r="H42" i="76"/>
  <c r="I42" i="76" s="1"/>
  <c r="D43" i="76"/>
  <c r="E43" i="76"/>
  <c r="H48" i="3"/>
  <c r="I48" i="3" s="1"/>
  <c r="I46" i="44"/>
  <c r="G126" i="42"/>
  <c r="E127" i="42"/>
  <c r="D127" i="42"/>
  <c r="I126" i="44"/>
  <c r="H126" i="44"/>
  <c r="B121" i="33"/>
  <c r="F121" i="33"/>
  <c r="I42" i="66"/>
  <c r="I42" i="77"/>
  <c r="I41" i="26"/>
  <c r="I45" i="54"/>
  <c r="E48" i="42"/>
  <c r="D48" i="42"/>
  <c r="B42" i="79"/>
  <c r="F42" i="79"/>
  <c r="G42" i="79" s="1"/>
  <c r="H43" i="33"/>
  <c r="D44" i="33"/>
  <c r="G43" i="33"/>
  <c r="E40" i="98"/>
  <c r="D40" i="98"/>
  <c r="G45" i="72"/>
  <c r="I49" i="23"/>
  <c r="I41" i="85"/>
  <c r="F50" i="27"/>
  <c r="G50" i="27" s="1"/>
  <c r="B50" i="27"/>
  <c r="B46" i="45"/>
  <c r="F46" i="45"/>
  <c r="G46" i="45" s="1"/>
  <c r="F127" i="44"/>
  <c r="B127" i="44"/>
  <c r="F50" i="69"/>
  <c r="G50" i="69" s="1"/>
  <c r="B50" i="69"/>
  <c r="H120" i="33"/>
  <c r="I120" i="33"/>
  <c r="J120" i="33" s="1"/>
  <c r="B43" i="67"/>
  <c r="F43" i="67"/>
  <c r="F47" i="73"/>
  <c r="B47" i="73"/>
  <c r="H47" i="73"/>
  <c r="E43" i="77"/>
  <c r="D43" i="77"/>
  <c r="B51" i="70"/>
  <c r="F51" i="70"/>
  <c r="G51" i="70" s="1"/>
  <c r="D42" i="80"/>
  <c r="E42" i="80"/>
  <c r="I45" i="55"/>
  <c r="G47" i="39"/>
  <c r="I47" i="39" s="1"/>
  <c r="G48" i="18"/>
  <c r="I48" i="18" s="1"/>
  <c r="I128" i="31"/>
  <c r="H128" i="31"/>
  <c r="H41" i="80"/>
  <c r="E48" i="43"/>
  <c r="D48" i="43"/>
  <c r="I41" i="86"/>
  <c r="F41" i="91"/>
  <c r="B41" i="91"/>
  <c r="G48" i="17"/>
  <c r="B48" i="17"/>
  <c r="F48" i="17"/>
  <c r="C57" i="17"/>
  <c r="H48" i="22"/>
  <c r="I48" i="22" s="1"/>
  <c r="F129" i="31"/>
  <c r="B129" i="31"/>
  <c r="B45" i="64"/>
  <c r="F45" i="64"/>
  <c r="B45" i="61"/>
  <c r="F45" i="61"/>
  <c r="H45" i="61" s="1"/>
  <c r="B45" i="59"/>
  <c r="F45" i="59"/>
  <c r="H45" i="59" s="1"/>
  <c r="I44" i="59"/>
  <c r="B50" i="71"/>
  <c r="F50" i="71"/>
  <c r="G50" i="71" s="1"/>
  <c r="G41" i="80"/>
  <c r="D46" i="55"/>
  <c r="E46" i="55"/>
  <c r="I47" i="43"/>
  <c r="D42" i="86"/>
  <c r="E42" i="86"/>
  <c r="D42" i="26"/>
  <c r="E42" i="26" s="1"/>
  <c r="F49" i="19"/>
  <c r="H49" i="19" s="1"/>
  <c r="B49" i="19"/>
  <c r="J131" i="29"/>
  <c r="H124" i="60"/>
  <c r="I124" i="60"/>
  <c r="J124" i="60" s="1"/>
  <c r="B125" i="60"/>
  <c r="F125" i="60"/>
  <c r="J129" i="23"/>
  <c r="F131" i="17"/>
  <c r="B131" i="17"/>
  <c r="F133" i="70"/>
  <c r="B133" i="70"/>
  <c r="I130" i="17"/>
  <c r="J130" i="17" s="1"/>
  <c r="H130" i="17"/>
  <c r="H132" i="70"/>
  <c r="I132" i="70"/>
  <c r="J132" i="70" s="1"/>
  <c r="J122" i="66"/>
  <c r="D123" i="13"/>
  <c r="E123" i="13" s="1"/>
  <c r="G122" i="13"/>
  <c r="H123" i="64"/>
  <c r="I123" i="64"/>
  <c r="B129" i="32"/>
  <c r="F129" i="32"/>
  <c r="F125" i="46"/>
  <c r="B125" i="46"/>
  <c r="G41" i="88"/>
  <c r="I41" i="88" s="1"/>
  <c r="I119" i="91"/>
  <c r="H119" i="91"/>
  <c r="G40" i="89"/>
  <c r="I40" i="89" s="1"/>
  <c r="D44" i="13"/>
  <c r="E44" i="13" s="1"/>
  <c r="J127" i="19"/>
  <c r="B126" i="45"/>
  <c r="F126" i="45"/>
  <c r="B130" i="27"/>
  <c r="F130" i="27"/>
  <c r="G42" i="78"/>
  <c r="I42" i="78" s="1"/>
  <c r="F120" i="90"/>
  <c r="B120" i="90"/>
  <c r="F129" i="24"/>
  <c r="B129" i="24"/>
  <c r="F127" i="73"/>
  <c r="B127" i="73"/>
  <c r="G125" i="67"/>
  <c r="D126" i="67"/>
  <c r="E126" i="67"/>
  <c r="B123" i="85"/>
  <c r="F123" i="85"/>
  <c r="H124" i="72"/>
  <c r="I124" i="72"/>
  <c r="J124" i="72" s="1"/>
  <c r="D49" i="21"/>
  <c r="E49" i="21"/>
  <c r="B121" i="80"/>
  <c r="F121" i="80"/>
  <c r="H127" i="21"/>
  <c r="I127" i="21"/>
  <c r="J127" i="21" s="1"/>
  <c r="H119" i="88"/>
  <c r="I119" i="88"/>
  <c r="H121" i="79"/>
  <c r="I121" i="79"/>
  <c r="J121" i="79" s="1"/>
  <c r="H120" i="80"/>
  <c r="I120" i="80"/>
  <c r="F124" i="75"/>
  <c r="B124" i="75"/>
  <c r="H126" i="39"/>
  <c r="I126" i="39"/>
  <c r="H124" i="57"/>
  <c r="I124" i="57"/>
  <c r="J124" i="57" s="1"/>
  <c r="F120" i="91"/>
  <c r="B120" i="91"/>
  <c r="B121" i="81"/>
  <c r="F121" i="81"/>
  <c r="D133" i="29"/>
  <c r="G132" i="29"/>
  <c r="E133" i="29"/>
  <c r="H129" i="69"/>
  <c r="I129" i="69"/>
  <c r="I125" i="45"/>
  <c r="H125" i="45"/>
  <c r="H129" i="27"/>
  <c r="I129" i="27"/>
  <c r="H119" i="90"/>
  <c r="I119" i="90"/>
  <c r="J119" i="90" s="1"/>
  <c r="H128" i="24"/>
  <c r="I128" i="24"/>
  <c r="F124" i="61"/>
  <c r="B124" i="61"/>
  <c r="F125" i="72"/>
  <c r="B125" i="72"/>
  <c r="D49" i="22"/>
  <c r="E49" i="22"/>
  <c r="H130" i="28"/>
  <c r="I130" i="28"/>
  <c r="B128" i="21"/>
  <c r="F128" i="21"/>
  <c r="H122" i="68"/>
  <c r="I122" i="68"/>
  <c r="H120" i="100"/>
  <c r="I120" i="100"/>
  <c r="J120" i="100" s="1"/>
  <c r="F120" i="88"/>
  <c r="B120" i="88"/>
  <c r="F125" i="57"/>
  <c r="B125" i="57"/>
  <c r="H120" i="81"/>
  <c r="I120" i="81"/>
  <c r="D41" i="89"/>
  <c r="E41" i="89"/>
  <c r="F130" i="69"/>
  <c r="B130" i="69"/>
  <c r="G123" i="78"/>
  <c r="E124" i="78"/>
  <c r="D124" i="78"/>
  <c r="D43" i="78"/>
  <c r="E43" i="78"/>
  <c r="D45" i="62"/>
  <c r="E45" i="62"/>
  <c r="H123" i="61"/>
  <c r="I123" i="61"/>
  <c r="E40" i="96"/>
  <c r="D40" i="96"/>
  <c r="I48" i="21"/>
  <c r="B131" i="28"/>
  <c r="F131" i="28"/>
  <c r="G128" i="34"/>
  <c r="D129" i="34"/>
  <c r="E129" i="34"/>
  <c r="G130" i="23"/>
  <c r="D131" i="23"/>
  <c r="E131" i="23"/>
  <c r="H124" i="56"/>
  <c r="I124" i="56"/>
  <c r="J124" i="56" s="1"/>
  <c r="B123" i="68"/>
  <c r="F123" i="68"/>
  <c r="B121" i="100"/>
  <c r="F121" i="100"/>
  <c r="H125" i="62"/>
  <c r="I125" i="62"/>
  <c r="H126" i="73"/>
  <c r="I126" i="73"/>
  <c r="J126" i="73" s="1"/>
  <c r="B122" i="79"/>
  <c r="F122" i="79"/>
  <c r="D50" i="32"/>
  <c r="E50" i="32"/>
  <c r="G149" i="35"/>
  <c r="E150" i="35"/>
  <c r="F150" i="35" s="1"/>
  <c r="B150" i="35"/>
  <c r="H49" i="32"/>
  <c r="H124" i="54"/>
  <c r="I124" i="54"/>
  <c r="I50" i="29"/>
  <c r="J121" i="13"/>
  <c r="D46" i="54"/>
  <c r="E46" i="54"/>
  <c r="E40" i="100"/>
  <c r="D40" i="100"/>
  <c r="D129" i="19"/>
  <c r="G128" i="19"/>
  <c r="E129" i="19"/>
  <c r="D51" i="30"/>
  <c r="E51" i="30"/>
  <c r="H39" i="96"/>
  <c r="I39" i="96" s="1"/>
  <c r="J124" i="67"/>
  <c r="B120" i="98"/>
  <c r="F120" i="98"/>
  <c r="E43" i="75"/>
  <c r="D43" i="75"/>
  <c r="F125" i="56"/>
  <c r="B125" i="56"/>
  <c r="I126" i="55"/>
  <c r="H126" i="55"/>
  <c r="I119" i="84"/>
  <c r="H119" i="84"/>
  <c r="I126" i="74"/>
  <c r="H126" i="74"/>
  <c r="I39" i="25"/>
  <c r="H128" i="32"/>
  <c r="I128" i="32"/>
  <c r="J128" i="32" s="1"/>
  <c r="F120" i="86"/>
  <c r="B120" i="86"/>
  <c r="I122" i="85"/>
  <c r="J122" i="85" s="1"/>
  <c r="H122" i="85"/>
  <c r="F128" i="3"/>
  <c r="B128" i="3"/>
  <c r="F125" i="54"/>
  <c r="B125" i="54"/>
  <c r="E42" i="88"/>
  <c r="D42" i="88"/>
  <c r="D124" i="66"/>
  <c r="E124" i="66"/>
  <c r="G123" i="66"/>
  <c r="G49" i="32"/>
  <c r="D48" i="39"/>
  <c r="E48" i="39"/>
  <c r="H119" i="89"/>
  <c r="I119" i="89"/>
  <c r="H39" i="100"/>
  <c r="H44" i="62"/>
  <c r="H50" i="30"/>
  <c r="I50" i="30" s="1"/>
  <c r="H128" i="71"/>
  <c r="I128" i="71"/>
  <c r="I123" i="59"/>
  <c r="H123" i="59"/>
  <c r="H122" i="82"/>
  <c r="I122" i="82"/>
  <c r="B120" i="96"/>
  <c r="F120" i="96"/>
  <c r="H120" i="99"/>
  <c r="I120" i="99"/>
  <c r="B123" i="65"/>
  <c r="F123" i="65"/>
  <c r="B130" i="30"/>
  <c r="F130" i="30"/>
  <c r="H119" i="98"/>
  <c r="I119" i="98"/>
  <c r="G124" i="63"/>
  <c r="E125" i="63"/>
  <c r="D125" i="63"/>
  <c r="B120" i="84"/>
  <c r="F120" i="84"/>
  <c r="F127" i="74"/>
  <c r="B127" i="74"/>
  <c r="H119" i="92"/>
  <c r="I119" i="92"/>
  <c r="H127" i="18"/>
  <c r="I127" i="18"/>
  <c r="F127" i="39"/>
  <c r="B127" i="39"/>
  <c r="I148" i="35"/>
  <c r="H148" i="35"/>
  <c r="D51" i="29"/>
  <c r="E51" i="29"/>
  <c r="H130" i="20"/>
  <c r="I130" i="20"/>
  <c r="H121" i="77"/>
  <c r="I121" i="77"/>
  <c r="J121" i="77" s="1"/>
  <c r="F120" i="89"/>
  <c r="B120" i="89"/>
  <c r="H126" i="41"/>
  <c r="I126" i="41"/>
  <c r="G39" i="100"/>
  <c r="B128" i="22"/>
  <c r="F128" i="22"/>
  <c r="G44" i="62"/>
  <c r="E41" i="87"/>
  <c r="D41" i="87"/>
  <c r="F129" i="71"/>
  <c r="B129" i="71"/>
  <c r="B124" i="59"/>
  <c r="F124" i="59"/>
  <c r="B123" i="82"/>
  <c r="F123" i="82"/>
  <c r="H119" i="96"/>
  <c r="I119" i="96"/>
  <c r="B121" i="83"/>
  <c r="F121" i="83"/>
  <c r="B121" i="99"/>
  <c r="F121" i="99"/>
  <c r="I122" i="65"/>
  <c r="H122" i="65"/>
  <c r="H129" i="30"/>
  <c r="I129" i="30"/>
  <c r="H124" i="58"/>
  <c r="I124" i="58"/>
  <c r="F127" i="55"/>
  <c r="B127" i="55"/>
  <c r="B40" i="25"/>
  <c r="F40" i="25"/>
  <c r="G40" i="25" s="1"/>
  <c r="B125" i="53"/>
  <c r="F125" i="53"/>
  <c r="H124" i="46"/>
  <c r="I124" i="46"/>
  <c r="I121" i="76"/>
  <c r="H121" i="76"/>
  <c r="I124" i="53"/>
  <c r="H124" i="53"/>
  <c r="E41" i="90"/>
  <c r="D41" i="90"/>
  <c r="B124" i="64"/>
  <c r="F124" i="64"/>
  <c r="F131" i="20"/>
  <c r="B131" i="20"/>
  <c r="J122" i="78"/>
  <c r="G43" i="13"/>
  <c r="I43" i="13" s="1"/>
  <c r="B122" i="77"/>
  <c r="F122" i="77"/>
  <c r="B126" i="62"/>
  <c r="F126" i="62"/>
  <c r="B122" i="76"/>
  <c r="F122" i="76"/>
  <c r="B127" i="41"/>
  <c r="F127" i="41"/>
  <c r="E49" i="18"/>
  <c r="D49" i="18"/>
  <c r="H119" i="86"/>
  <c r="I119" i="86"/>
  <c r="H127" i="22"/>
  <c r="I127" i="22"/>
  <c r="G40" i="87"/>
  <c r="I40" i="87" s="1"/>
  <c r="B120" i="92"/>
  <c r="F120" i="92"/>
  <c r="H120" i="83"/>
  <c r="I120" i="83"/>
  <c r="J120" i="83" s="1"/>
  <c r="B125" i="58"/>
  <c r="F125" i="58"/>
  <c r="J127" i="34"/>
  <c r="I127" i="3"/>
  <c r="H127" i="3"/>
  <c r="F128" i="18"/>
  <c r="B128" i="18"/>
  <c r="I123" i="75"/>
  <c r="H123" i="75"/>
  <c r="I47" i="44" l="1"/>
  <c r="I64" i="35"/>
  <c r="G122" i="25"/>
  <c r="D123" i="25"/>
  <c r="G120" i="87"/>
  <c r="D121" i="87"/>
  <c r="E121" i="87"/>
  <c r="J126" i="44"/>
  <c r="E122" i="95"/>
  <c r="D122" i="95"/>
  <c r="G121" i="95"/>
  <c r="D44" i="67"/>
  <c r="E44" i="67"/>
  <c r="H120" i="97"/>
  <c r="I120" i="97"/>
  <c r="J120" i="97" s="1"/>
  <c r="F46" i="72"/>
  <c r="B46" i="72"/>
  <c r="J119" i="84"/>
  <c r="D51" i="69"/>
  <c r="E51" i="69"/>
  <c r="E44" i="33"/>
  <c r="F44" i="33" s="1"/>
  <c r="B44" i="33"/>
  <c r="E43" i="79"/>
  <c r="D43" i="79"/>
  <c r="D122" i="33"/>
  <c r="B122" i="33" s="1"/>
  <c r="G121" i="33"/>
  <c r="D45" i="63"/>
  <c r="E45" i="63"/>
  <c r="G65" i="35"/>
  <c r="B66" i="35"/>
  <c r="H65" i="35"/>
  <c r="I65" i="35" s="1"/>
  <c r="E66" i="35"/>
  <c r="F66" i="35" s="1"/>
  <c r="I41" i="82"/>
  <c r="I49" i="34"/>
  <c r="D44" i="65"/>
  <c r="H43" i="65"/>
  <c r="E44" i="65"/>
  <c r="G49" i="31"/>
  <c r="I49" i="31" s="1"/>
  <c r="D50" i="31"/>
  <c r="E50" i="31"/>
  <c r="D50" i="24"/>
  <c r="E50" i="24"/>
  <c r="G49" i="19"/>
  <c r="I49" i="19" s="1"/>
  <c r="H50" i="71"/>
  <c r="G45" i="61"/>
  <c r="G43" i="67"/>
  <c r="E51" i="27"/>
  <c r="D51" i="27"/>
  <c r="B40" i="98"/>
  <c r="F40" i="98"/>
  <c r="H40" i="98" s="1"/>
  <c r="I43" i="33"/>
  <c r="H44" i="63"/>
  <c r="I44" i="63" s="1"/>
  <c r="F127" i="43"/>
  <c r="B127" i="43"/>
  <c r="G41" i="92"/>
  <c r="E42" i="92"/>
  <c r="D42" i="92"/>
  <c r="D49" i="20"/>
  <c r="E49" i="20"/>
  <c r="D42" i="83"/>
  <c r="E42" i="83"/>
  <c r="I43" i="66"/>
  <c r="I41" i="84"/>
  <c r="G51" i="28"/>
  <c r="I51" i="28" s="1"/>
  <c r="E52" i="28"/>
  <c r="D52" i="28"/>
  <c r="B50" i="23"/>
  <c r="F50" i="23"/>
  <c r="G50" i="23" s="1"/>
  <c r="E46" i="53"/>
  <c r="D46" i="53"/>
  <c r="E48" i="74"/>
  <c r="D48" i="74"/>
  <c r="F40" i="97"/>
  <c r="G40" i="97" s="1"/>
  <c r="B40" i="97"/>
  <c r="D46" i="46"/>
  <c r="E46" i="46"/>
  <c r="E44" i="68"/>
  <c r="D44" i="68"/>
  <c r="H49" i="24"/>
  <c r="E121" i="26"/>
  <c r="F121" i="26"/>
  <c r="B121" i="26"/>
  <c r="I45" i="56"/>
  <c r="H46" i="45"/>
  <c r="I46" i="45" s="1"/>
  <c r="D47" i="45"/>
  <c r="E47" i="45"/>
  <c r="F127" i="42"/>
  <c r="B127" i="42"/>
  <c r="D46" i="56"/>
  <c r="E46" i="56"/>
  <c r="E46" i="58"/>
  <c r="D46" i="58"/>
  <c r="I41" i="92"/>
  <c r="F49" i="3"/>
  <c r="B49" i="3"/>
  <c r="G49" i="3"/>
  <c r="H39" i="95"/>
  <c r="E40" i="95"/>
  <c r="D40" i="95"/>
  <c r="J128" i="31"/>
  <c r="F43" i="77"/>
  <c r="B43" i="77"/>
  <c r="G43" i="77"/>
  <c r="G47" i="73"/>
  <c r="I47" i="73" s="1"/>
  <c r="D48" i="73"/>
  <c r="E48" i="73"/>
  <c r="H43" i="67"/>
  <c r="H50" i="69"/>
  <c r="I50" i="69" s="1"/>
  <c r="G127" i="44"/>
  <c r="D128" i="44"/>
  <c r="E128" i="44"/>
  <c r="H50" i="27"/>
  <c r="I50" i="27" s="1"/>
  <c r="H42" i="79"/>
  <c r="I42" i="79" s="1"/>
  <c r="B48" i="42"/>
  <c r="F48" i="42"/>
  <c r="H48" i="42" s="1"/>
  <c r="I48" i="42" s="1"/>
  <c r="G48" i="42"/>
  <c r="I126" i="42"/>
  <c r="H126" i="42"/>
  <c r="B43" i="76"/>
  <c r="F43" i="76"/>
  <c r="H43" i="76" s="1"/>
  <c r="I45" i="72"/>
  <c r="I126" i="43"/>
  <c r="H126" i="43"/>
  <c r="H45" i="58"/>
  <c r="I45" i="58" s="1"/>
  <c r="B121" i="97"/>
  <c r="F121" i="97"/>
  <c r="G44" i="60"/>
  <c r="I44" i="60" s="1"/>
  <c r="D45" i="60"/>
  <c r="E45" i="60"/>
  <c r="D48" i="41"/>
  <c r="E48" i="41"/>
  <c r="H48" i="20"/>
  <c r="I48" i="20" s="1"/>
  <c r="H41" i="83"/>
  <c r="I41" i="83" s="1"/>
  <c r="E42" i="82"/>
  <c r="D42" i="82"/>
  <c r="G39" i="99"/>
  <c r="I39" i="99" s="1"/>
  <c r="E40" i="99"/>
  <c r="D40" i="99"/>
  <c r="E44" i="66"/>
  <c r="D44" i="66"/>
  <c r="E42" i="84"/>
  <c r="D42" i="84"/>
  <c r="E46" i="57"/>
  <c r="D46" i="57"/>
  <c r="E48" i="44"/>
  <c r="D48" i="44"/>
  <c r="B42" i="85"/>
  <c r="G42" i="85"/>
  <c r="F42" i="85"/>
  <c r="H42" i="85"/>
  <c r="I42" i="85" s="1"/>
  <c r="H45" i="53"/>
  <c r="I45" i="53" s="1"/>
  <c r="F42" i="81"/>
  <c r="B42" i="81"/>
  <c r="H42" i="81"/>
  <c r="G42" i="81"/>
  <c r="D50" i="34"/>
  <c r="E50" i="34"/>
  <c r="G43" i="65"/>
  <c r="H47" i="74"/>
  <c r="I47" i="74" s="1"/>
  <c r="H45" i="46"/>
  <c r="I45" i="46" s="1"/>
  <c r="H43" i="68"/>
  <c r="I43" i="68" s="1"/>
  <c r="G39" i="95"/>
  <c r="I39" i="95" s="1"/>
  <c r="G49" i="24"/>
  <c r="I120" i="26"/>
  <c r="J120" i="26" s="1"/>
  <c r="H120" i="26"/>
  <c r="I50" i="71"/>
  <c r="I45" i="61"/>
  <c r="G129" i="31"/>
  <c r="E130" i="31"/>
  <c r="D130" i="31"/>
  <c r="D42" i="91"/>
  <c r="E42" i="91"/>
  <c r="B46" i="55"/>
  <c r="F46" i="55"/>
  <c r="G46" i="55" s="1"/>
  <c r="G45" i="64"/>
  <c r="E46" i="64"/>
  <c r="D46" i="64"/>
  <c r="J122" i="65"/>
  <c r="F42" i="26"/>
  <c r="G42" i="26" s="1"/>
  <c r="B42" i="26"/>
  <c r="H48" i="17"/>
  <c r="I48" i="17" s="1"/>
  <c r="E49" i="17"/>
  <c r="D49" i="17"/>
  <c r="G41" i="91"/>
  <c r="F48" i="43"/>
  <c r="G48" i="43" s="1"/>
  <c r="B48" i="43"/>
  <c r="I49" i="32"/>
  <c r="D46" i="59"/>
  <c r="E46" i="59"/>
  <c r="J119" i="92"/>
  <c r="E50" i="19"/>
  <c r="D50" i="19"/>
  <c r="B42" i="86"/>
  <c r="F42" i="86"/>
  <c r="H42" i="86" s="1"/>
  <c r="E51" i="71"/>
  <c r="D51" i="71"/>
  <c r="G45" i="59"/>
  <c r="I45" i="59" s="1"/>
  <c r="E46" i="61"/>
  <c r="D46" i="61"/>
  <c r="H45" i="64"/>
  <c r="I45" i="64" s="1"/>
  <c r="H41" i="91"/>
  <c r="I41" i="91" s="1"/>
  <c r="I41" i="80"/>
  <c r="F42" i="80"/>
  <c r="H42" i="80" s="1"/>
  <c r="B42" i="80"/>
  <c r="G42" i="80"/>
  <c r="H51" i="70"/>
  <c r="I51" i="70" s="1"/>
  <c r="D52" i="70"/>
  <c r="E52" i="70"/>
  <c r="J130" i="20"/>
  <c r="D126" i="60"/>
  <c r="G125" i="60"/>
  <c r="E126" i="60"/>
  <c r="J122" i="82"/>
  <c r="J123" i="64"/>
  <c r="J123" i="75"/>
  <c r="J124" i="46"/>
  <c r="E134" i="70"/>
  <c r="G133" i="70"/>
  <c r="D134" i="70"/>
  <c r="J129" i="30"/>
  <c r="J119" i="96"/>
  <c r="J120" i="99"/>
  <c r="J126" i="74"/>
  <c r="J119" i="98"/>
  <c r="J120" i="81"/>
  <c r="G131" i="17"/>
  <c r="D132" i="17"/>
  <c r="E132" i="17"/>
  <c r="J130" i="28"/>
  <c r="J128" i="24"/>
  <c r="J126" i="39"/>
  <c r="J120" i="80"/>
  <c r="J119" i="88"/>
  <c r="G129" i="71"/>
  <c r="D130" i="71"/>
  <c r="E130" i="71"/>
  <c r="D127" i="45"/>
  <c r="G126" i="45"/>
  <c r="E127" i="45"/>
  <c r="G126" i="62"/>
  <c r="D127" i="62"/>
  <c r="E127" i="62"/>
  <c r="H40" i="25"/>
  <c r="I40" i="25" s="1"/>
  <c r="J126" i="41"/>
  <c r="G127" i="39"/>
  <c r="D128" i="39"/>
  <c r="E128" i="39"/>
  <c r="G127" i="74"/>
  <c r="D128" i="74"/>
  <c r="E128" i="74"/>
  <c r="D124" i="65"/>
  <c r="G123" i="65"/>
  <c r="E124" i="65"/>
  <c r="B42" i="88"/>
  <c r="F42" i="88"/>
  <c r="D121" i="98"/>
  <c r="G120" i="98"/>
  <c r="E121" i="98"/>
  <c r="B40" i="100"/>
  <c r="F40" i="100"/>
  <c r="H149" i="35"/>
  <c r="I149" i="35"/>
  <c r="J149" i="35" s="1"/>
  <c r="D132" i="28"/>
  <c r="G131" i="28"/>
  <c r="E132" i="28"/>
  <c r="D131" i="69"/>
  <c r="G130" i="69"/>
  <c r="E131" i="69"/>
  <c r="B126" i="67"/>
  <c r="F126" i="67"/>
  <c r="B44" i="13"/>
  <c r="F44" i="13"/>
  <c r="G44" i="13" s="1"/>
  <c r="G125" i="46"/>
  <c r="D126" i="46"/>
  <c r="E126" i="46"/>
  <c r="I128" i="34"/>
  <c r="H128" i="34"/>
  <c r="G121" i="80"/>
  <c r="D122" i="80"/>
  <c r="E122" i="80"/>
  <c r="D121" i="90"/>
  <c r="G120" i="90"/>
  <c r="E121" i="90"/>
  <c r="D129" i="18"/>
  <c r="G128" i="18"/>
  <c r="E129" i="18"/>
  <c r="B49" i="18"/>
  <c r="F49" i="18"/>
  <c r="H49" i="18" s="1"/>
  <c r="E132" i="20"/>
  <c r="G131" i="20"/>
  <c r="D132" i="20"/>
  <c r="J124" i="58"/>
  <c r="B41" i="87"/>
  <c r="F41" i="87"/>
  <c r="G41" i="87" s="1"/>
  <c r="B51" i="29"/>
  <c r="H51" i="29"/>
  <c r="F51" i="29"/>
  <c r="J127" i="18"/>
  <c r="D121" i="84"/>
  <c r="G120" i="84"/>
  <c r="E121" i="84"/>
  <c r="J119" i="89"/>
  <c r="G120" i="86"/>
  <c r="D121" i="86"/>
  <c r="E121" i="86"/>
  <c r="I128" i="19"/>
  <c r="H128" i="19"/>
  <c r="J125" i="62"/>
  <c r="B45" i="62"/>
  <c r="F45" i="62"/>
  <c r="H45" i="62" s="1"/>
  <c r="G124" i="61"/>
  <c r="D125" i="61"/>
  <c r="E125" i="61"/>
  <c r="J125" i="45"/>
  <c r="J129" i="69"/>
  <c r="D122" i="81"/>
  <c r="G121" i="81"/>
  <c r="E122" i="81"/>
  <c r="H125" i="67"/>
  <c r="I125" i="67"/>
  <c r="J125" i="67" s="1"/>
  <c r="D125" i="64"/>
  <c r="G124" i="64"/>
  <c r="E125" i="64"/>
  <c r="D41" i="25"/>
  <c r="E41" i="25" s="1"/>
  <c r="G123" i="82"/>
  <c r="D124" i="82"/>
  <c r="E124" i="82"/>
  <c r="F129" i="19"/>
  <c r="B129" i="19"/>
  <c r="F50" i="32"/>
  <c r="G50" i="32" s="1"/>
  <c r="B50" i="32"/>
  <c r="B41" i="89"/>
  <c r="F41" i="89"/>
  <c r="E125" i="75"/>
  <c r="G124" i="75"/>
  <c r="D125" i="75"/>
  <c r="F49" i="21"/>
  <c r="G49" i="21" s="1"/>
  <c r="B49" i="21"/>
  <c r="F40" i="96"/>
  <c r="G40" i="96" s="1"/>
  <c r="B40" i="96"/>
  <c r="F41" i="90"/>
  <c r="G41" i="90" s="1"/>
  <c r="B41" i="90"/>
  <c r="J121" i="76"/>
  <c r="D122" i="99"/>
  <c r="G121" i="99"/>
  <c r="E122" i="99"/>
  <c r="G120" i="89"/>
  <c r="D121" i="89"/>
  <c r="E121" i="89"/>
  <c r="F125" i="63"/>
  <c r="B125" i="63"/>
  <c r="J123" i="59"/>
  <c r="I44" i="62"/>
  <c r="D126" i="54"/>
  <c r="G125" i="54"/>
  <c r="E126" i="54"/>
  <c r="J126" i="55"/>
  <c r="F51" i="30"/>
  <c r="G51" i="30" s="1"/>
  <c r="B51" i="30"/>
  <c r="F46" i="54"/>
  <c r="G46" i="54" s="1"/>
  <c r="B46" i="54"/>
  <c r="G122" i="79"/>
  <c r="D123" i="79"/>
  <c r="E123" i="79"/>
  <c r="F131" i="23"/>
  <c r="B131" i="23"/>
  <c r="B43" i="78"/>
  <c r="F43" i="78"/>
  <c r="G43" i="78" s="1"/>
  <c r="B49" i="22"/>
  <c r="F49" i="22"/>
  <c r="D128" i="73"/>
  <c r="G127" i="73"/>
  <c r="E128" i="73"/>
  <c r="J119" i="91"/>
  <c r="I122" i="13"/>
  <c r="H122" i="13"/>
  <c r="B151" i="35"/>
  <c r="E151" i="35"/>
  <c r="F151" i="35" s="1"/>
  <c r="G150" i="35"/>
  <c r="D128" i="41"/>
  <c r="G127" i="41"/>
  <c r="E128" i="41"/>
  <c r="J127" i="3"/>
  <c r="G124" i="59"/>
  <c r="D125" i="59"/>
  <c r="E125" i="59"/>
  <c r="D129" i="22"/>
  <c r="G128" i="22"/>
  <c r="E129" i="22"/>
  <c r="I39" i="100"/>
  <c r="G121" i="100"/>
  <c r="D122" i="100"/>
  <c r="E122" i="100"/>
  <c r="H130" i="23"/>
  <c r="I130" i="23"/>
  <c r="F124" i="78"/>
  <c r="B124" i="78"/>
  <c r="J122" i="68"/>
  <c r="H132" i="29"/>
  <c r="I132" i="29"/>
  <c r="J132" i="29" s="1"/>
  <c r="D121" i="91"/>
  <c r="G120" i="91"/>
  <c r="E121" i="91"/>
  <c r="F123" i="13"/>
  <c r="B123" i="13"/>
  <c r="F48" i="39"/>
  <c r="G48" i="39" s="1"/>
  <c r="B48" i="39"/>
  <c r="D130" i="32"/>
  <c r="G129" i="32"/>
  <c r="E130" i="32"/>
  <c r="G120" i="92"/>
  <c r="D121" i="92"/>
  <c r="E121" i="92"/>
  <c r="G122" i="77"/>
  <c r="D123" i="77"/>
  <c r="E123" i="77"/>
  <c r="D126" i="58"/>
  <c r="G125" i="58"/>
  <c r="E126" i="58"/>
  <c r="G122" i="76"/>
  <c r="D123" i="76"/>
  <c r="E123" i="76"/>
  <c r="J124" i="53"/>
  <c r="G121" i="83"/>
  <c r="D122" i="83"/>
  <c r="E122" i="83"/>
  <c r="H124" i="63"/>
  <c r="I124" i="63"/>
  <c r="I123" i="66"/>
  <c r="H123" i="66"/>
  <c r="D129" i="3"/>
  <c r="G128" i="3"/>
  <c r="E129" i="3"/>
  <c r="G125" i="56"/>
  <c r="D126" i="56"/>
  <c r="E126" i="56"/>
  <c r="D121" i="88"/>
  <c r="G120" i="88"/>
  <c r="E121" i="88"/>
  <c r="F133" i="29"/>
  <c r="B133" i="29"/>
  <c r="D124" i="85"/>
  <c r="E124" i="85"/>
  <c r="G123" i="85"/>
  <c r="D130" i="24"/>
  <c r="G129" i="24"/>
  <c r="E130" i="24"/>
  <c r="G130" i="27"/>
  <c r="D131" i="27"/>
  <c r="E131" i="27"/>
  <c r="F124" i="66"/>
  <c r="B124" i="66"/>
  <c r="J127" i="22"/>
  <c r="J119" i="86"/>
  <c r="G125" i="53"/>
  <c r="D126" i="53"/>
  <c r="E126" i="53"/>
  <c r="D128" i="55"/>
  <c r="G127" i="55"/>
  <c r="E128" i="55"/>
  <c r="J148" i="35"/>
  <c r="D131" i="30"/>
  <c r="G130" i="30"/>
  <c r="E131" i="30"/>
  <c r="G120" i="96"/>
  <c r="D121" i="96"/>
  <c r="E121" i="96"/>
  <c r="J128" i="71"/>
  <c r="B43" i="75"/>
  <c r="F43" i="75"/>
  <c r="H43" i="75" s="1"/>
  <c r="J124" i="54"/>
  <c r="G123" i="68"/>
  <c r="D124" i="68"/>
  <c r="E124" i="68"/>
  <c r="F129" i="34"/>
  <c r="B129" i="34"/>
  <c r="J123" i="61"/>
  <c r="H123" i="78"/>
  <c r="I123" i="78"/>
  <c r="D126" i="57"/>
  <c r="G125" i="57"/>
  <c r="E126" i="57"/>
  <c r="G128" i="21"/>
  <c r="D129" i="21"/>
  <c r="E129" i="21"/>
  <c r="G125" i="72"/>
  <c r="D126" i="72"/>
  <c r="E126" i="72"/>
  <c r="J129" i="27"/>
  <c r="G40" i="98" l="1"/>
  <c r="I40" i="98" s="1"/>
  <c r="E123" i="25"/>
  <c r="F123" i="25"/>
  <c r="B123" i="25"/>
  <c r="H40" i="96"/>
  <c r="I121" i="95"/>
  <c r="H121" i="95"/>
  <c r="H122" i="25"/>
  <c r="I122" i="25"/>
  <c r="G43" i="76"/>
  <c r="J126" i="42"/>
  <c r="B122" i="95"/>
  <c r="F122" i="95"/>
  <c r="F121" i="87"/>
  <c r="B121" i="87"/>
  <c r="I43" i="76"/>
  <c r="H120" i="87"/>
  <c r="I120" i="87"/>
  <c r="G44" i="33"/>
  <c r="H44" i="33"/>
  <c r="D45" i="33"/>
  <c r="F42" i="82"/>
  <c r="B42" i="82"/>
  <c r="G42" i="82"/>
  <c r="F46" i="56"/>
  <c r="G46" i="56" s="1"/>
  <c r="B46" i="56"/>
  <c r="B48" i="74"/>
  <c r="F48" i="74"/>
  <c r="H48" i="74" s="1"/>
  <c r="D47" i="72"/>
  <c r="E47" i="72"/>
  <c r="H51" i="30"/>
  <c r="I51" i="30" s="1"/>
  <c r="H44" i="13"/>
  <c r="H42" i="26"/>
  <c r="I42" i="26" s="1"/>
  <c r="D43" i="85"/>
  <c r="E43" i="85"/>
  <c r="E44" i="77"/>
  <c r="D44" i="77"/>
  <c r="E50" i="3"/>
  <c r="D50" i="3"/>
  <c r="D128" i="42"/>
  <c r="G127" i="42"/>
  <c r="E128" i="42"/>
  <c r="D122" i="26"/>
  <c r="G121" i="26"/>
  <c r="F46" i="53"/>
  <c r="G46" i="53" s="1"/>
  <c r="B46" i="53"/>
  <c r="F42" i="92"/>
  <c r="H42" i="92" s="1"/>
  <c r="B42" i="92"/>
  <c r="B51" i="27"/>
  <c r="F51" i="27"/>
  <c r="I43" i="65"/>
  <c r="H121" i="33"/>
  <c r="I121" i="33"/>
  <c r="J121" i="33" s="1"/>
  <c r="F51" i="69"/>
  <c r="B51" i="69"/>
  <c r="G51" i="69"/>
  <c r="H46" i="72"/>
  <c r="F128" i="44"/>
  <c r="B128" i="44"/>
  <c r="B47" i="45"/>
  <c r="F47" i="45"/>
  <c r="G46" i="46"/>
  <c r="F46" i="46"/>
  <c r="H46" i="46" s="1"/>
  <c r="B46" i="46"/>
  <c r="E51" i="23"/>
  <c r="D51" i="23"/>
  <c r="F45" i="63"/>
  <c r="G45" i="63" s="1"/>
  <c r="B45" i="63"/>
  <c r="F44" i="67"/>
  <c r="B44" i="67"/>
  <c r="G42" i="86"/>
  <c r="I42" i="86" s="1"/>
  <c r="B50" i="34"/>
  <c r="F50" i="34"/>
  <c r="H50" i="34"/>
  <c r="E43" i="81"/>
  <c r="D43" i="81"/>
  <c r="B46" i="57"/>
  <c r="F46" i="57"/>
  <c r="G46" i="57" s="1"/>
  <c r="H46" i="57"/>
  <c r="F44" i="66"/>
  <c r="B44" i="66"/>
  <c r="F45" i="60"/>
  <c r="B45" i="60"/>
  <c r="D49" i="42"/>
  <c r="E49" i="42"/>
  <c r="I43" i="67"/>
  <c r="H43" i="77"/>
  <c r="I43" i="77" s="1"/>
  <c r="H49" i="3"/>
  <c r="I49" i="3" s="1"/>
  <c r="H40" i="97"/>
  <c r="D41" i="97"/>
  <c r="E41" i="97"/>
  <c r="H50" i="23"/>
  <c r="I50" i="23" s="1"/>
  <c r="B42" i="83"/>
  <c r="F42" i="83"/>
  <c r="G42" i="83"/>
  <c r="H42" i="83"/>
  <c r="G127" i="43"/>
  <c r="D128" i="43"/>
  <c r="E128" i="43"/>
  <c r="D41" i="98"/>
  <c r="E41" i="98"/>
  <c r="F50" i="31"/>
  <c r="G50" i="31" s="1"/>
  <c r="B50" i="31"/>
  <c r="F44" i="65"/>
  <c r="B44" i="65"/>
  <c r="G44" i="65"/>
  <c r="E67" i="35"/>
  <c r="F67" i="35" s="1"/>
  <c r="B67" i="35"/>
  <c r="G66" i="35"/>
  <c r="H66" i="35"/>
  <c r="F40" i="95"/>
  <c r="B40" i="95"/>
  <c r="H40" i="95"/>
  <c r="I49" i="24"/>
  <c r="B52" i="28"/>
  <c r="F52" i="28"/>
  <c r="G52" i="28"/>
  <c r="B43" i="79"/>
  <c r="H43" i="79"/>
  <c r="F43" i="79"/>
  <c r="G43" i="79"/>
  <c r="I42" i="81"/>
  <c r="B48" i="44"/>
  <c r="F48" i="44"/>
  <c r="H48" i="44"/>
  <c r="F42" i="84"/>
  <c r="G42" i="84" s="1"/>
  <c r="B42" i="84"/>
  <c r="F40" i="99"/>
  <c r="B40" i="99"/>
  <c r="B48" i="41"/>
  <c r="F48" i="41"/>
  <c r="G121" i="97"/>
  <c r="D122" i="97"/>
  <c r="E122" i="97"/>
  <c r="J126" i="43"/>
  <c r="D44" i="76"/>
  <c r="E44" i="76"/>
  <c r="I127" i="44"/>
  <c r="J127" i="44" s="1"/>
  <c r="H127" i="44"/>
  <c r="F48" i="73"/>
  <c r="G48" i="73" s="1"/>
  <c r="B48" i="73"/>
  <c r="B46" i="58"/>
  <c r="F46" i="58"/>
  <c r="F44" i="68"/>
  <c r="G44" i="68" s="1"/>
  <c r="B44" i="68"/>
  <c r="I40" i="97"/>
  <c r="G49" i="20"/>
  <c r="B49" i="20"/>
  <c r="F49" i="20"/>
  <c r="H49" i="20" s="1"/>
  <c r="B50" i="24"/>
  <c r="F50" i="24"/>
  <c r="E122" i="33"/>
  <c r="F122" i="33" s="1"/>
  <c r="G46" i="72"/>
  <c r="I46" i="72" s="1"/>
  <c r="F46" i="61"/>
  <c r="H46" i="61" s="1"/>
  <c r="B46" i="61"/>
  <c r="H41" i="87"/>
  <c r="I41" i="87" s="1"/>
  <c r="B52" i="70"/>
  <c r="F52" i="70"/>
  <c r="G52" i="70" s="1"/>
  <c r="F46" i="59"/>
  <c r="H46" i="59" s="1"/>
  <c r="B46" i="59"/>
  <c r="H48" i="43"/>
  <c r="I48" i="43" s="1"/>
  <c r="D47" i="55"/>
  <c r="E47" i="55"/>
  <c r="F130" i="31"/>
  <c r="B130" i="31"/>
  <c r="H41" i="90"/>
  <c r="H50" i="32"/>
  <c r="I50" i="32" s="1"/>
  <c r="G49" i="18"/>
  <c r="D43" i="80"/>
  <c r="E43" i="80"/>
  <c r="B51" i="71"/>
  <c r="F51" i="71"/>
  <c r="H51" i="71"/>
  <c r="F49" i="17"/>
  <c r="G49" i="17" s="1"/>
  <c r="B49" i="17"/>
  <c r="C58" i="17"/>
  <c r="I44" i="13"/>
  <c r="E49" i="43"/>
  <c r="D49" i="43"/>
  <c r="I49" i="18"/>
  <c r="I42" i="80"/>
  <c r="D43" i="86"/>
  <c r="E43" i="86"/>
  <c r="B50" i="19"/>
  <c r="F50" i="19"/>
  <c r="G50" i="19" s="1"/>
  <c r="D43" i="26"/>
  <c r="E43" i="26" s="1"/>
  <c r="F43" i="26" s="1"/>
  <c r="B46" i="64"/>
  <c r="F46" i="64"/>
  <c r="H46" i="64"/>
  <c r="H46" i="55"/>
  <c r="I46" i="55" s="1"/>
  <c r="B42" i="91"/>
  <c r="F42" i="91"/>
  <c r="H42" i="91" s="1"/>
  <c r="I129" i="31"/>
  <c r="H129" i="31"/>
  <c r="F132" i="17"/>
  <c r="B132" i="17"/>
  <c r="J124" i="63"/>
  <c r="H131" i="17"/>
  <c r="I131" i="17"/>
  <c r="F134" i="70"/>
  <c r="B134" i="70"/>
  <c r="H125" i="60"/>
  <c r="I125" i="60"/>
  <c r="J125" i="60" s="1"/>
  <c r="I133" i="70"/>
  <c r="J133" i="70" s="1"/>
  <c r="H133" i="70"/>
  <c r="B126" i="60"/>
  <c r="F126" i="60"/>
  <c r="J123" i="78"/>
  <c r="J130" i="23"/>
  <c r="H120" i="96"/>
  <c r="I120" i="96"/>
  <c r="F130" i="32"/>
  <c r="B130" i="32"/>
  <c r="F122" i="99"/>
  <c r="B122" i="99"/>
  <c r="H130" i="69"/>
  <c r="I130" i="69"/>
  <c r="H127" i="74"/>
  <c r="I127" i="74"/>
  <c r="I125" i="53"/>
  <c r="H125" i="53"/>
  <c r="H130" i="27"/>
  <c r="I130" i="27"/>
  <c r="J130" i="27" s="1"/>
  <c r="H128" i="3"/>
  <c r="I128" i="3"/>
  <c r="J128" i="3" s="1"/>
  <c r="I121" i="83"/>
  <c r="H121" i="83"/>
  <c r="F123" i="76"/>
  <c r="B123" i="76"/>
  <c r="B123" i="77"/>
  <c r="F123" i="77"/>
  <c r="D49" i="39"/>
  <c r="E49" i="39"/>
  <c r="H128" i="22"/>
  <c r="I128" i="22"/>
  <c r="H127" i="41"/>
  <c r="I127" i="41"/>
  <c r="D44" i="78"/>
  <c r="E44" i="78"/>
  <c r="F126" i="54"/>
  <c r="B126" i="54"/>
  <c r="I40" i="96"/>
  <c r="H124" i="64"/>
  <c r="I124" i="64"/>
  <c r="F121" i="86"/>
  <c r="B121" i="86"/>
  <c r="H120" i="84"/>
  <c r="I120" i="84"/>
  <c r="B126" i="46"/>
  <c r="F126" i="46"/>
  <c r="B131" i="69"/>
  <c r="F131" i="69"/>
  <c r="F121" i="98"/>
  <c r="B121" i="98"/>
  <c r="B122" i="83"/>
  <c r="F122" i="83"/>
  <c r="I120" i="98"/>
  <c r="H120" i="98"/>
  <c r="B129" i="21"/>
  <c r="F129" i="21"/>
  <c r="H130" i="30"/>
  <c r="I130" i="30"/>
  <c r="B129" i="3"/>
  <c r="F129" i="3"/>
  <c r="H122" i="76"/>
  <c r="I122" i="76"/>
  <c r="J122" i="76" s="1"/>
  <c r="H122" i="77"/>
  <c r="I122" i="77"/>
  <c r="F129" i="22"/>
  <c r="B129" i="22"/>
  <c r="B128" i="41"/>
  <c r="F128" i="41"/>
  <c r="I41" i="90"/>
  <c r="D50" i="21"/>
  <c r="E50" i="21"/>
  <c r="D51" i="32"/>
  <c r="E51" i="32"/>
  <c r="F125" i="64"/>
  <c r="B125" i="64"/>
  <c r="D46" i="62"/>
  <c r="E46" i="62"/>
  <c r="I120" i="86"/>
  <c r="H120" i="86"/>
  <c r="B121" i="84"/>
  <c r="F121" i="84"/>
  <c r="D42" i="87"/>
  <c r="E42" i="87"/>
  <c r="B122" i="80"/>
  <c r="F122" i="80"/>
  <c r="J128" i="34"/>
  <c r="H125" i="46"/>
  <c r="I125" i="46"/>
  <c r="E43" i="88"/>
  <c r="D43" i="88"/>
  <c r="B128" i="39"/>
  <c r="F128" i="39"/>
  <c r="F127" i="62"/>
  <c r="B127" i="62"/>
  <c r="H122" i="79"/>
  <c r="I122" i="79"/>
  <c r="I128" i="21"/>
  <c r="H128" i="21"/>
  <c r="I129" i="24"/>
  <c r="H129" i="24"/>
  <c r="D134" i="29"/>
  <c r="G133" i="29"/>
  <c r="E134" i="29"/>
  <c r="G123" i="13"/>
  <c r="D124" i="13"/>
  <c r="E124" i="13" s="1"/>
  <c r="H120" i="91"/>
  <c r="I120" i="91"/>
  <c r="D125" i="78"/>
  <c r="G124" i="78"/>
  <c r="E125" i="78"/>
  <c r="F122" i="100"/>
  <c r="B122" i="100"/>
  <c r="D50" i="22"/>
  <c r="E50" i="22"/>
  <c r="D42" i="89"/>
  <c r="E42" i="89"/>
  <c r="D50" i="18"/>
  <c r="E50" i="18"/>
  <c r="H121" i="80"/>
  <c r="I121" i="80"/>
  <c r="H131" i="28"/>
  <c r="I131" i="28"/>
  <c r="J131" i="28" s="1"/>
  <c r="D41" i="100"/>
  <c r="E41" i="100"/>
  <c r="H42" i="88"/>
  <c r="H127" i="39"/>
  <c r="I127" i="39"/>
  <c r="J127" i="39" s="1"/>
  <c r="H126" i="62"/>
  <c r="I126" i="62"/>
  <c r="F131" i="27"/>
  <c r="B131" i="27"/>
  <c r="F131" i="30"/>
  <c r="B131" i="30"/>
  <c r="G129" i="34"/>
  <c r="D130" i="34"/>
  <c r="E130" i="34"/>
  <c r="E125" i="66"/>
  <c r="G124" i="66"/>
  <c r="D125" i="66"/>
  <c r="F130" i="24"/>
  <c r="B130" i="24"/>
  <c r="J123" i="66"/>
  <c r="B121" i="92"/>
  <c r="F121" i="92"/>
  <c r="F121" i="91"/>
  <c r="B121" i="91"/>
  <c r="H121" i="100"/>
  <c r="I121" i="100"/>
  <c r="F125" i="59"/>
  <c r="B125" i="59"/>
  <c r="J122" i="13"/>
  <c r="E52" i="30"/>
  <c r="D52" i="30"/>
  <c r="F121" i="89"/>
  <c r="B121" i="89"/>
  <c r="G129" i="19"/>
  <c r="E130" i="19"/>
  <c r="D130" i="19"/>
  <c r="F124" i="82"/>
  <c r="B124" i="82"/>
  <c r="B125" i="61"/>
  <c r="F125" i="61"/>
  <c r="G45" i="62"/>
  <c r="I45" i="62" s="1"/>
  <c r="D52" i="29"/>
  <c r="E52" i="29"/>
  <c r="H128" i="18"/>
  <c r="I128" i="18"/>
  <c r="B132" i="28"/>
  <c r="F132" i="28"/>
  <c r="I123" i="65"/>
  <c r="H123" i="65"/>
  <c r="F126" i="53"/>
  <c r="B126" i="53"/>
  <c r="H125" i="54"/>
  <c r="I125" i="54"/>
  <c r="B121" i="90"/>
  <c r="F121" i="90"/>
  <c r="H127" i="55"/>
  <c r="I127" i="55"/>
  <c r="I123" i="85"/>
  <c r="H123" i="85"/>
  <c r="I120" i="88"/>
  <c r="H120" i="88"/>
  <c r="H120" i="92"/>
  <c r="I120" i="92"/>
  <c r="H124" i="59"/>
  <c r="I124" i="59"/>
  <c r="H127" i="73"/>
  <c r="I127" i="73"/>
  <c r="J127" i="73" s="1"/>
  <c r="G49" i="22"/>
  <c r="D132" i="23"/>
  <c r="G131" i="23"/>
  <c r="E132" i="23"/>
  <c r="H120" i="89"/>
  <c r="I120" i="89"/>
  <c r="D42" i="90"/>
  <c r="E42" i="90"/>
  <c r="G41" i="89"/>
  <c r="H123" i="82"/>
  <c r="I123" i="82"/>
  <c r="H124" i="61"/>
  <c r="I124" i="61"/>
  <c r="F129" i="18"/>
  <c r="B129" i="18"/>
  <c r="D127" i="67"/>
  <c r="G126" i="67"/>
  <c r="E127" i="67"/>
  <c r="G40" i="100"/>
  <c r="G42" i="88"/>
  <c r="B124" i="65"/>
  <c r="F124" i="65"/>
  <c r="H126" i="45"/>
  <c r="I126" i="45"/>
  <c r="E44" i="75"/>
  <c r="D44" i="75"/>
  <c r="B122" i="81"/>
  <c r="F122" i="81"/>
  <c r="F126" i="72"/>
  <c r="B126" i="72"/>
  <c r="H125" i="57"/>
  <c r="I125" i="57"/>
  <c r="F124" i="68"/>
  <c r="B124" i="68"/>
  <c r="F128" i="55"/>
  <c r="B128" i="55"/>
  <c r="B121" i="88"/>
  <c r="F121" i="88"/>
  <c r="B126" i="56"/>
  <c r="F126" i="56"/>
  <c r="I125" i="58"/>
  <c r="H125" i="58"/>
  <c r="H48" i="39"/>
  <c r="I48" i="39" s="1"/>
  <c r="H150" i="35"/>
  <c r="I150" i="35"/>
  <c r="B128" i="73"/>
  <c r="F128" i="73"/>
  <c r="H49" i="22"/>
  <c r="D47" i="54"/>
  <c r="E47" i="54"/>
  <c r="D126" i="63"/>
  <c r="E126" i="63"/>
  <c r="G125" i="63"/>
  <c r="H41" i="89"/>
  <c r="G51" i="29"/>
  <c r="I51" i="29" s="1"/>
  <c r="B132" i="20"/>
  <c r="F132" i="20"/>
  <c r="H40" i="100"/>
  <c r="F127" i="45"/>
  <c r="B127" i="45"/>
  <c r="B130" i="71"/>
  <c r="F130" i="71"/>
  <c r="I124" i="75"/>
  <c r="H124" i="75"/>
  <c r="G43" i="75"/>
  <c r="I43" i="75" s="1"/>
  <c r="H125" i="72"/>
  <c r="I125" i="72"/>
  <c r="J125" i="72" s="1"/>
  <c r="B126" i="57"/>
  <c r="F126" i="57"/>
  <c r="H123" i="68"/>
  <c r="I123" i="68"/>
  <c r="F121" i="96"/>
  <c r="B121" i="96"/>
  <c r="F124" i="85"/>
  <c r="B124" i="85"/>
  <c r="H125" i="56"/>
  <c r="I125" i="56"/>
  <c r="B126" i="58"/>
  <c r="F126" i="58"/>
  <c r="I129" i="32"/>
  <c r="H129" i="32"/>
  <c r="G151" i="35"/>
  <c r="B152" i="35"/>
  <c r="E152" i="35"/>
  <c r="F152" i="35" s="1"/>
  <c r="H43" i="78"/>
  <c r="I43" i="78" s="1"/>
  <c r="B123" i="79"/>
  <c r="F123" i="79"/>
  <c r="H46" i="54"/>
  <c r="I46" i="54" s="1"/>
  <c r="H121" i="99"/>
  <c r="I121" i="99"/>
  <c r="D41" i="96"/>
  <c r="E41" i="96"/>
  <c r="H49" i="21"/>
  <c r="I49" i="21" s="1"/>
  <c r="B125" i="75"/>
  <c r="F125" i="75"/>
  <c r="F41" i="25"/>
  <c r="G41" i="25" s="1"/>
  <c r="B41" i="25"/>
  <c r="H121" i="81"/>
  <c r="I121" i="81"/>
  <c r="J128" i="19"/>
  <c r="H131" i="20"/>
  <c r="I131" i="20"/>
  <c r="J131" i="20" s="1"/>
  <c r="I120" i="90"/>
  <c r="H120" i="90"/>
  <c r="D45" i="13"/>
  <c r="E45" i="13" s="1"/>
  <c r="F128" i="74"/>
  <c r="B128" i="74"/>
  <c r="H129" i="71"/>
  <c r="I129" i="71"/>
  <c r="J120" i="92" l="1"/>
  <c r="I48" i="74"/>
  <c r="H46" i="56"/>
  <c r="I46" i="56" s="1"/>
  <c r="D124" i="25"/>
  <c r="G123" i="25"/>
  <c r="I49" i="20"/>
  <c r="H44" i="68"/>
  <c r="H50" i="31"/>
  <c r="G48" i="74"/>
  <c r="J120" i="87"/>
  <c r="G121" i="87"/>
  <c r="D122" i="87"/>
  <c r="E122" i="87"/>
  <c r="J121" i="95"/>
  <c r="J120" i="89"/>
  <c r="E123" i="95"/>
  <c r="G122" i="95"/>
  <c r="D123" i="95"/>
  <c r="J122" i="25"/>
  <c r="I66" i="35"/>
  <c r="I42" i="83"/>
  <c r="D51" i="24"/>
  <c r="E51" i="24"/>
  <c r="G46" i="58"/>
  <c r="D47" i="58"/>
  <c r="E47" i="58"/>
  <c r="F122" i="97"/>
  <c r="B122" i="97"/>
  <c r="D49" i="41"/>
  <c r="E49" i="41"/>
  <c r="H40" i="99"/>
  <c r="D41" i="99"/>
  <c r="E41" i="99"/>
  <c r="E43" i="84"/>
  <c r="D43" i="84"/>
  <c r="E41" i="95"/>
  <c r="D41" i="95"/>
  <c r="B68" i="35"/>
  <c r="H67" i="35"/>
  <c r="E68" i="35"/>
  <c r="F68" i="35" s="1"/>
  <c r="G67" i="35"/>
  <c r="H127" i="43"/>
  <c r="I127" i="43"/>
  <c r="G45" i="60"/>
  <c r="D46" i="60"/>
  <c r="E46" i="60"/>
  <c r="E45" i="66"/>
  <c r="D45" i="66"/>
  <c r="D45" i="67"/>
  <c r="E45" i="67"/>
  <c r="F51" i="23"/>
  <c r="G51" i="23"/>
  <c r="B51" i="23"/>
  <c r="D48" i="45"/>
  <c r="E48" i="45"/>
  <c r="E52" i="27"/>
  <c r="D52" i="27"/>
  <c r="E122" i="26"/>
  <c r="F122" i="26" s="1"/>
  <c r="B122" i="26"/>
  <c r="F50" i="3"/>
  <c r="B50" i="3"/>
  <c r="B45" i="33"/>
  <c r="D123" i="33"/>
  <c r="G122" i="33"/>
  <c r="E49" i="73"/>
  <c r="D49" i="73"/>
  <c r="B44" i="76"/>
  <c r="F44" i="76"/>
  <c r="H44" i="76" s="1"/>
  <c r="G44" i="76"/>
  <c r="H121" i="97"/>
  <c r="I121" i="97"/>
  <c r="F41" i="98"/>
  <c r="G41" i="98" s="1"/>
  <c r="B41" i="98"/>
  <c r="F49" i="42"/>
  <c r="G49" i="42" s="1"/>
  <c r="I49" i="42" s="1"/>
  <c r="H49" i="42"/>
  <c r="B49" i="42"/>
  <c r="H44" i="66"/>
  <c r="I46" i="57"/>
  <c r="B43" i="81"/>
  <c r="F43" i="81"/>
  <c r="G43" i="81" s="1"/>
  <c r="D51" i="34"/>
  <c r="E51" i="34"/>
  <c r="H44" i="67"/>
  <c r="I46" i="46"/>
  <c r="D43" i="92"/>
  <c r="E43" i="92"/>
  <c r="F43" i="85"/>
  <c r="B43" i="85"/>
  <c r="E43" i="82"/>
  <c r="D43" i="82"/>
  <c r="I44" i="33"/>
  <c r="H50" i="24"/>
  <c r="D45" i="68"/>
  <c r="E45" i="68"/>
  <c r="G48" i="41"/>
  <c r="G40" i="99"/>
  <c r="I40" i="99" s="1"/>
  <c r="G48" i="44"/>
  <c r="I48" i="44" s="1"/>
  <c r="E49" i="44"/>
  <c r="D49" i="44"/>
  <c r="D44" i="79"/>
  <c r="E44" i="79"/>
  <c r="H52" i="28"/>
  <c r="I52" i="28" s="1"/>
  <c r="D53" i="28"/>
  <c r="E53" i="28"/>
  <c r="G40" i="95"/>
  <c r="I40" i="95" s="1"/>
  <c r="E51" i="31"/>
  <c r="D51" i="31"/>
  <c r="H45" i="60"/>
  <c r="I45" i="60" s="1"/>
  <c r="G44" i="66"/>
  <c r="G44" i="67"/>
  <c r="G47" i="45"/>
  <c r="G51" i="27"/>
  <c r="E47" i="53"/>
  <c r="D47" i="53"/>
  <c r="I127" i="42"/>
  <c r="J127" i="42" s="1"/>
  <c r="H127" i="42"/>
  <c r="F44" i="77"/>
  <c r="B44" i="77"/>
  <c r="F47" i="72"/>
  <c r="B47" i="72"/>
  <c r="D47" i="56"/>
  <c r="E47" i="56"/>
  <c r="H42" i="82"/>
  <c r="I42" i="82" s="1"/>
  <c r="G42" i="91"/>
  <c r="I42" i="91" s="1"/>
  <c r="G50" i="24"/>
  <c r="D50" i="20"/>
  <c r="E50" i="20"/>
  <c r="I44" i="68"/>
  <c r="H46" i="58"/>
  <c r="I46" i="58" s="1"/>
  <c r="H48" i="73"/>
  <c r="I48" i="73" s="1"/>
  <c r="H48" i="41"/>
  <c r="I48" i="41" s="1"/>
  <c r="H42" i="84"/>
  <c r="I42" i="84" s="1"/>
  <c r="I43" i="79"/>
  <c r="E45" i="65"/>
  <c r="D45" i="65"/>
  <c r="H44" i="65"/>
  <c r="I44" i="65" s="1"/>
  <c r="I50" i="31"/>
  <c r="F128" i="43"/>
  <c r="B128" i="43"/>
  <c r="D43" i="83"/>
  <c r="E43" i="83"/>
  <c r="F41" i="97"/>
  <c r="H41" i="97" s="1"/>
  <c r="B41" i="97"/>
  <c r="E47" i="57"/>
  <c r="D47" i="57"/>
  <c r="G50" i="34"/>
  <c r="I50" i="34" s="1"/>
  <c r="H45" i="63"/>
  <c r="I45" i="63" s="1"/>
  <c r="D46" i="63"/>
  <c r="E46" i="63"/>
  <c r="E47" i="46"/>
  <c r="D47" i="46"/>
  <c r="H47" i="45"/>
  <c r="I47" i="45" s="1"/>
  <c r="D129" i="44"/>
  <c r="E129" i="44"/>
  <c r="G128" i="44"/>
  <c r="H51" i="69"/>
  <c r="I51" i="69" s="1"/>
  <c r="E52" i="69"/>
  <c r="D52" i="69"/>
  <c r="H51" i="27"/>
  <c r="I51" i="27" s="1"/>
  <c r="G42" i="92"/>
  <c r="I42" i="92" s="1"/>
  <c r="H46" i="53"/>
  <c r="I46" i="53" s="1"/>
  <c r="H121" i="26"/>
  <c r="I121" i="26"/>
  <c r="B128" i="42"/>
  <c r="F128" i="42"/>
  <c r="D49" i="74"/>
  <c r="E49" i="74"/>
  <c r="E45" i="33"/>
  <c r="F45" i="33" s="1"/>
  <c r="B43" i="26"/>
  <c r="H43" i="26"/>
  <c r="G43" i="26"/>
  <c r="B43" i="86"/>
  <c r="F43" i="86"/>
  <c r="G43" i="86" s="1"/>
  <c r="E50" i="17"/>
  <c r="D50" i="17"/>
  <c r="E52" i="71"/>
  <c r="D52" i="71"/>
  <c r="H52" i="70"/>
  <c r="I52" i="70" s="1"/>
  <c r="D53" i="70"/>
  <c r="E53" i="70"/>
  <c r="D131" i="31"/>
  <c r="G130" i="31"/>
  <c r="E131" i="31"/>
  <c r="D47" i="61"/>
  <c r="E47" i="61"/>
  <c r="J120" i="90"/>
  <c r="J123" i="65"/>
  <c r="J127" i="41"/>
  <c r="J120" i="96"/>
  <c r="J129" i="31"/>
  <c r="G46" i="64"/>
  <c r="I46" i="64" s="1"/>
  <c r="D47" i="64"/>
  <c r="E47" i="64"/>
  <c r="H50" i="19"/>
  <c r="I50" i="19" s="1"/>
  <c r="D51" i="19"/>
  <c r="E51" i="19"/>
  <c r="H49" i="17"/>
  <c r="I49" i="17" s="1"/>
  <c r="B43" i="80"/>
  <c r="F43" i="80"/>
  <c r="H43" i="80" s="1"/>
  <c r="D47" i="59"/>
  <c r="E47" i="59"/>
  <c r="G46" i="61"/>
  <c r="I46" i="61" s="1"/>
  <c r="D44" i="26"/>
  <c r="E44" i="26" s="1"/>
  <c r="F44" i="26" s="1"/>
  <c r="D45" i="26" s="1"/>
  <c r="I41" i="89"/>
  <c r="I40" i="100"/>
  <c r="E43" i="91"/>
  <c r="D43" i="91"/>
  <c r="F49" i="43"/>
  <c r="B49" i="43"/>
  <c r="G51" i="71"/>
  <c r="I51" i="71" s="1"/>
  <c r="B47" i="55"/>
  <c r="F47" i="55"/>
  <c r="G46" i="59"/>
  <c r="I46" i="59" s="1"/>
  <c r="J123" i="68"/>
  <c r="J127" i="55"/>
  <c r="J125" i="46"/>
  <c r="J125" i="56"/>
  <c r="J124" i="59"/>
  <c r="J120" i="91"/>
  <c r="J121" i="81"/>
  <c r="J126" i="45"/>
  <c r="J127" i="74"/>
  <c r="D127" i="60"/>
  <c r="E127" i="60"/>
  <c r="G126" i="60"/>
  <c r="D133" i="17"/>
  <c r="E133" i="17"/>
  <c r="G132" i="17"/>
  <c r="J129" i="32"/>
  <c r="J150" i="35"/>
  <c r="J120" i="88"/>
  <c r="J121" i="80"/>
  <c r="J130" i="69"/>
  <c r="D135" i="70"/>
  <c r="G134" i="70"/>
  <c r="E135" i="70"/>
  <c r="J122" i="79"/>
  <c r="J131" i="17"/>
  <c r="D127" i="58"/>
  <c r="G126" i="58"/>
  <c r="E127" i="58"/>
  <c r="B126" i="63"/>
  <c r="F126" i="63"/>
  <c r="D122" i="91"/>
  <c r="G121" i="91"/>
  <c r="E122" i="91"/>
  <c r="D131" i="24"/>
  <c r="G130" i="24"/>
  <c r="E131" i="24"/>
  <c r="B45" i="13"/>
  <c r="F45" i="13"/>
  <c r="H45" i="13" s="1"/>
  <c r="B41" i="96"/>
  <c r="F41" i="96"/>
  <c r="H41" i="96" s="1"/>
  <c r="B127" i="67"/>
  <c r="F127" i="67"/>
  <c r="H131" i="23"/>
  <c r="I131" i="23"/>
  <c r="G132" i="28"/>
  <c r="D133" i="28"/>
  <c r="E133" i="28"/>
  <c r="F125" i="66"/>
  <c r="B125" i="66"/>
  <c r="F50" i="21"/>
  <c r="B50" i="21"/>
  <c r="D130" i="3"/>
  <c r="G129" i="3"/>
  <c r="E130" i="3"/>
  <c r="G124" i="85"/>
  <c r="D125" i="85"/>
  <c r="E125" i="85"/>
  <c r="D122" i="88"/>
  <c r="G121" i="88"/>
  <c r="E122" i="88"/>
  <c r="H126" i="67"/>
  <c r="I126" i="67"/>
  <c r="H129" i="34"/>
  <c r="I129" i="34"/>
  <c r="J129" i="34" s="1"/>
  <c r="D42" i="25"/>
  <c r="E42" i="25" s="1"/>
  <c r="G126" i="72"/>
  <c r="D127" i="72"/>
  <c r="E127" i="72"/>
  <c r="G124" i="82"/>
  <c r="D125" i="82"/>
  <c r="E125" i="82"/>
  <c r="G125" i="59"/>
  <c r="D126" i="59"/>
  <c r="E126" i="59"/>
  <c r="G125" i="64"/>
  <c r="D126" i="64"/>
  <c r="E126" i="64"/>
  <c r="J129" i="71"/>
  <c r="J121" i="99"/>
  <c r="G152" i="35"/>
  <c r="B153" i="35"/>
  <c r="E153" i="35"/>
  <c r="F153" i="35" s="1"/>
  <c r="F47" i="54"/>
  <c r="H47" i="54" s="1"/>
  <c r="B47" i="54"/>
  <c r="E129" i="55"/>
  <c r="D129" i="55"/>
  <c r="G128" i="55"/>
  <c r="J124" i="61"/>
  <c r="B132" i="23"/>
  <c r="F132" i="23"/>
  <c r="J123" i="85"/>
  <c r="D127" i="53"/>
  <c r="G126" i="53"/>
  <c r="E127" i="53"/>
  <c r="F52" i="29"/>
  <c r="G52" i="29" s="1"/>
  <c r="B52" i="29"/>
  <c r="B130" i="19"/>
  <c r="F130" i="19"/>
  <c r="D122" i="89"/>
  <c r="G121" i="89"/>
  <c r="E122" i="89"/>
  <c r="H124" i="66"/>
  <c r="I124" i="66"/>
  <c r="D132" i="30"/>
  <c r="G131" i="30"/>
  <c r="E132" i="30"/>
  <c r="J126" i="62"/>
  <c r="F42" i="89"/>
  <c r="G42" i="89" s="1"/>
  <c r="H42" i="89"/>
  <c r="B42" i="89"/>
  <c r="F124" i="13"/>
  <c r="B124" i="13"/>
  <c r="J129" i="24"/>
  <c r="J120" i="86"/>
  <c r="D130" i="21"/>
  <c r="G129" i="21"/>
  <c r="E130" i="21"/>
  <c r="G126" i="46"/>
  <c r="D127" i="46"/>
  <c r="E127" i="46"/>
  <c r="D124" i="76"/>
  <c r="G123" i="76"/>
  <c r="E124" i="76"/>
  <c r="G124" i="65"/>
  <c r="D125" i="65"/>
  <c r="E125" i="65"/>
  <c r="B52" i="30"/>
  <c r="F52" i="30"/>
  <c r="H52" i="30" s="1"/>
  <c r="H123" i="13"/>
  <c r="I123" i="13"/>
  <c r="D128" i="62"/>
  <c r="E128" i="62"/>
  <c r="G127" i="62"/>
  <c r="G125" i="61"/>
  <c r="D126" i="61"/>
  <c r="E126" i="61"/>
  <c r="D129" i="39"/>
  <c r="G128" i="39"/>
  <c r="E129" i="39"/>
  <c r="F44" i="78"/>
  <c r="H44" i="78" s="1"/>
  <c r="B44" i="78"/>
  <c r="J121" i="83"/>
  <c r="E126" i="75"/>
  <c r="G125" i="75"/>
  <c r="D126" i="75"/>
  <c r="D124" i="79"/>
  <c r="G123" i="79"/>
  <c r="E124" i="79"/>
  <c r="I49" i="22"/>
  <c r="J125" i="58"/>
  <c r="G124" i="68"/>
  <c r="D125" i="68"/>
  <c r="E125" i="68"/>
  <c r="J123" i="82"/>
  <c r="B42" i="90"/>
  <c r="F42" i="90"/>
  <c r="G42" i="90" s="1"/>
  <c r="D122" i="90"/>
  <c r="G121" i="90"/>
  <c r="E122" i="90"/>
  <c r="J121" i="100"/>
  <c r="I124" i="78"/>
  <c r="H124" i="78"/>
  <c r="J122" i="77"/>
  <c r="J120" i="98"/>
  <c r="J120" i="84"/>
  <c r="G126" i="54"/>
  <c r="D127" i="54"/>
  <c r="E127" i="54"/>
  <c r="D122" i="92"/>
  <c r="G121" i="92"/>
  <c r="E122" i="92"/>
  <c r="D130" i="22"/>
  <c r="G129" i="22"/>
  <c r="E130" i="22"/>
  <c r="G128" i="74"/>
  <c r="D129" i="74"/>
  <c r="E129" i="74"/>
  <c r="G126" i="57"/>
  <c r="D127" i="57"/>
  <c r="E127" i="57"/>
  <c r="D128" i="45"/>
  <c r="G127" i="45"/>
  <c r="E128" i="45"/>
  <c r="D133" i="20"/>
  <c r="G132" i="20"/>
  <c r="E133" i="20"/>
  <c r="H125" i="63"/>
  <c r="I125" i="63"/>
  <c r="G126" i="56"/>
  <c r="D127" i="56"/>
  <c r="E127" i="56"/>
  <c r="J125" i="57"/>
  <c r="G131" i="27"/>
  <c r="D132" i="27"/>
  <c r="E132" i="27"/>
  <c r="I42" i="88"/>
  <c r="F125" i="78"/>
  <c r="B125" i="78"/>
  <c r="F42" i="87"/>
  <c r="G42" i="87" s="1"/>
  <c r="B42" i="87"/>
  <c r="F46" i="62"/>
  <c r="H46" i="62" s="1"/>
  <c r="B46" i="62"/>
  <c r="D123" i="83"/>
  <c r="G122" i="83"/>
  <c r="E123" i="83"/>
  <c r="F49" i="39"/>
  <c r="G49" i="39" s="1"/>
  <c r="B49" i="39"/>
  <c r="J125" i="53"/>
  <c r="D123" i="99"/>
  <c r="G122" i="99"/>
  <c r="E123" i="99"/>
  <c r="G130" i="71"/>
  <c r="D131" i="71"/>
  <c r="E131" i="71"/>
  <c r="D123" i="100"/>
  <c r="E123" i="100"/>
  <c r="G122" i="100"/>
  <c r="I151" i="35"/>
  <c r="H151" i="35"/>
  <c r="D123" i="81"/>
  <c r="G122" i="81"/>
  <c r="E123" i="81"/>
  <c r="H129" i="19"/>
  <c r="I129" i="19"/>
  <c r="H41" i="25"/>
  <c r="I41" i="25" s="1"/>
  <c r="D122" i="96"/>
  <c r="G121" i="96"/>
  <c r="E122" i="96"/>
  <c r="J124" i="75"/>
  <c r="G128" i="73"/>
  <c r="D129" i="73"/>
  <c r="E129" i="73"/>
  <c r="B44" i="75"/>
  <c r="F44" i="75"/>
  <c r="H44" i="75" s="1"/>
  <c r="G129" i="18"/>
  <c r="D130" i="18"/>
  <c r="E130" i="18"/>
  <c r="J125" i="54"/>
  <c r="J128" i="18"/>
  <c r="F130" i="34"/>
  <c r="B130" i="34"/>
  <c r="B50" i="22"/>
  <c r="F50" i="22"/>
  <c r="H50" i="22" s="1"/>
  <c r="H133" i="29"/>
  <c r="I133" i="29"/>
  <c r="G122" i="80"/>
  <c r="D123" i="80"/>
  <c r="E123" i="80"/>
  <c r="G121" i="84"/>
  <c r="D122" i="84"/>
  <c r="E122" i="84"/>
  <c r="F51" i="32"/>
  <c r="G51" i="32" s="1"/>
  <c r="B51" i="32"/>
  <c r="G121" i="98"/>
  <c r="D122" i="98"/>
  <c r="E122" i="98"/>
  <c r="G123" i="77"/>
  <c r="D124" i="77"/>
  <c r="E124" i="77"/>
  <c r="F41" i="100"/>
  <c r="G41" i="100" s="1"/>
  <c r="B41" i="100"/>
  <c r="F50" i="18"/>
  <c r="H50" i="18" s="1"/>
  <c r="B50" i="18"/>
  <c r="F134" i="29"/>
  <c r="B134" i="29"/>
  <c r="J128" i="21"/>
  <c r="B43" i="88"/>
  <c r="F43" i="88"/>
  <c r="D129" i="41"/>
  <c r="G128" i="41"/>
  <c r="E129" i="41"/>
  <c r="J130" i="30"/>
  <c r="G131" i="69"/>
  <c r="D132" i="69"/>
  <c r="E132" i="69"/>
  <c r="D122" i="86"/>
  <c r="G121" i="86"/>
  <c r="E122" i="86"/>
  <c r="J124" i="64"/>
  <c r="J128" i="22"/>
  <c r="D131" i="32"/>
  <c r="G130" i="32"/>
  <c r="E131" i="32"/>
  <c r="J121" i="26" l="1"/>
  <c r="G41" i="97"/>
  <c r="H41" i="98"/>
  <c r="B122" i="87"/>
  <c r="F122" i="87"/>
  <c r="E124" i="25"/>
  <c r="F124" i="25" s="1"/>
  <c r="B124" i="25"/>
  <c r="G44" i="75"/>
  <c r="I44" i="75" s="1"/>
  <c r="J127" i="43"/>
  <c r="I121" i="87"/>
  <c r="H121" i="87"/>
  <c r="G45" i="13"/>
  <c r="I41" i="97"/>
  <c r="B123" i="95"/>
  <c r="F123" i="95"/>
  <c r="G50" i="18"/>
  <c r="I50" i="18" s="1"/>
  <c r="G41" i="96"/>
  <c r="I41" i="96" s="1"/>
  <c r="I44" i="76"/>
  <c r="H122" i="95"/>
  <c r="I122" i="95"/>
  <c r="J122" i="95" s="1"/>
  <c r="H123" i="25"/>
  <c r="I123" i="25"/>
  <c r="G45" i="33"/>
  <c r="H45" i="33"/>
  <c r="I45" i="33" s="1"/>
  <c r="D46" i="33"/>
  <c r="H49" i="39"/>
  <c r="H128" i="44"/>
  <c r="I128" i="44"/>
  <c r="J128" i="44" s="1"/>
  <c r="F47" i="46"/>
  <c r="H47" i="46"/>
  <c r="B47" i="46"/>
  <c r="G47" i="46"/>
  <c r="I47" i="46" s="1"/>
  <c r="B47" i="56"/>
  <c r="F47" i="56"/>
  <c r="H47" i="56"/>
  <c r="G47" i="56"/>
  <c r="E48" i="72"/>
  <c r="D48" i="72"/>
  <c r="D45" i="77"/>
  <c r="E45" i="77"/>
  <c r="F45" i="68"/>
  <c r="B45" i="68"/>
  <c r="H45" i="68"/>
  <c r="G45" i="68"/>
  <c r="D44" i="85"/>
  <c r="E44" i="85"/>
  <c r="B51" i="34"/>
  <c r="G51" i="34"/>
  <c r="F51" i="34"/>
  <c r="E123" i="33"/>
  <c r="F123" i="33" s="1"/>
  <c r="B123" i="33"/>
  <c r="G122" i="26"/>
  <c r="D123" i="26"/>
  <c r="B45" i="67"/>
  <c r="F45" i="67"/>
  <c r="G45" i="67" s="1"/>
  <c r="F46" i="60"/>
  <c r="B46" i="60"/>
  <c r="F41" i="95"/>
  <c r="B41" i="95"/>
  <c r="B49" i="41"/>
  <c r="F49" i="41"/>
  <c r="B47" i="58"/>
  <c r="F47" i="58"/>
  <c r="H42" i="87"/>
  <c r="G52" i="30"/>
  <c r="I43" i="26"/>
  <c r="B49" i="74"/>
  <c r="F49" i="74"/>
  <c r="H49" i="74"/>
  <c r="F52" i="69"/>
  <c r="G52" i="69" s="1"/>
  <c r="B52" i="69"/>
  <c r="H52" i="69"/>
  <c r="B43" i="83"/>
  <c r="F43" i="83"/>
  <c r="H43" i="83" s="1"/>
  <c r="H44" i="77"/>
  <c r="B44" i="79"/>
  <c r="F44" i="79"/>
  <c r="H44" i="79" s="1"/>
  <c r="I50" i="24"/>
  <c r="G43" i="85"/>
  <c r="H43" i="81"/>
  <c r="I43" i="81" s="1"/>
  <c r="B49" i="73"/>
  <c r="F49" i="73"/>
  <c r="H49" i="73" s="1"/>
  <c r="E51" i="3"/>
  <c r="D51" i="3"/>
  <c r="E52" i="23"/>
  <c r="D52" i="23"/>
  <c r="B45" i="66"/>
  <c r="F45" i="66"/>
  <c r="G68" i="35"/>
  <c r="B69" i="35"/>
  <c r="H68" i="35"/>
  <c r="E69" i="35"/>
  <c r="F69" i="35" s="1"/>
  <c r="B41" i="99"/>
  <c r="F41" i="99"/>
  <c r="G128" i="42"/>
  <c r="E129" i="42"/>
  <c r="D129" i="42"/>
  <c r="F129" i="44"/>
  <c r="B129" i="44"/>
  <c r="B47" i="57"/>
  <c r="F47" i="57"/>
  <c r="G47" i="57" s="1"/>
  <c r="F45" i="65"/>
  <c r="B45" i="65"/>
  <c r="G47" i="72"/>
  <c r="G44" i="77"/>
  <c r="F51" i="31"/>
  <c r="B51" i="31"/>
  <c r="B53" i="28"/>
  <c r="F53" i="28"/>
  <c r="H53" i="28"/>
  <c r="G53" i="28"/>
  <c r="B49" i="44"/>
  <c r="F49" i="44"/>
  <c r="H49" i="44"/>
  <c r="H43" i="85"/>
  <c r="I43" i="85" s="1"/>
  <c r="F43" i="92"/>
  <c r="B43" i="92"/>
  <c r="H43" i="92"/>
  <c r="G43" i="92"/>
  <c r="I44" i="67"/>
  <c r="I44" i="66"/>
  <c r="D50" i="42"/>
  <c r="E50" i="42"/>
  <c r="E42" i="98"/>
  <c r="D42" i="98"/>
  <c r="H50" i="3"/>
  <c r="B48" i="45"/>
  <c r="F48" i="45"/>
  <c r="G48" i="45"/>
  <c r="H48" i="45"/>
  <c r="I48" i="45" s="1"/>
  <c r="H51" i="23"/>
  <c r="I51" i="23" s="1"/>
  <c r="I67" i="35"/>
  <c r="B43" i="84"/>
  <c r="F43" i="84"/>
  <c r="H43" i="84"/>
  <c r="G122" i="97"/>
  <c r="D123" i="97"/>
  <c r="E123" i="97"/>
  <c r="F46" i="63"/>
  <c r="H46" i="63" s="1"/>
  <c r="B46" i="63"/>
  <c r="G46" i="63"/>
  <c r="D42" i="97"/>
  <c r="E42" i="97"/>
  <c r="D129" i="43"/>
  <c r="G128" i="43"/>
  <c r="E129" i="43"/>
  <c r="F50" i="20"/>
  <c r="G50" i="20"/>
  <c r="H50" i="20"/>
  <c r="B50" i="20"/>
  <c r="H47" i="72"/>
  <c r="I47" i="72" s="1"/>
  <c r="B47" i="53"/>
  <c r="F47" i="53"/>
  <c r="B43" i="82"/>
  <c r="F43" i="82"/>
  <c r="H43" i="82" s="1"/>
  <c r="D44" i="81"/>
  <c r="E44" i="81"/>
  <c r="I41" i="98"/>
  <c r="J121" i="97"/>
  <c r="E45" i="76"/>
  <c r="D45" i="76"/>
  <c r="I122" i="33"/>
  <c r="H122" i="33"/>
  <c r="G50" i="3"/>
  <c r="B52" i="27"/>
  <c r="F52" i="27"/>
  <c r="F51" i="24"/>
  <c r="G51" i="24" s="1"/>
  <c r="B51" i="24"/>
  <c r="E48" i="55"/>
  <c r="D48" i="55"/>
  <c r="B43" i="91"/>
  <c r="F43" i="91"/>
  <c r="G43" i="91" s="1"/>
  <c r="H43" i="91"/>
  <c r="B51" i="19"/>
  <c r="F51" i="19"/>
  <c r="B50" i="17"/>
  <c r="C59" i="17"/>
  <c r="F50" i="17"/>
  <c r="H50" i="17" s="1"/>
  <c r="H47" i="55"/>
  <c r="D50" i="43"/>
  <c r="E50" i="43"/>
  <c r="E45" i="26"/>
  <c r="F45" i="26"/>
  <c r="B45" i="26"/>
  <c r="B47" i="64"/>
  <c r="F47" i="64"/>
  <c r="F52" i="71"/>
  <c r="B52" i="71"/>
  <c r="G44" i="78"/>
  <c r="I44" i="78" s="1"/>
  <c r="G49" i="43"/>
  <c r="B44" i="26"/>
  <c r="G44" i="26"/>
  <c r="H44" i="26"/>
  <c r="F47" i="59"/>
  <c r="G47" i="59" s="1"/>
  <c r="B47" i="59"/>
  <c r="H47" i="59"/>
  <c r="E44" i="80"/>
  <c r="D44" i="80"/>
  <c r="B47" i="61"/>
  <c r="H47" i="61"/>
  <c r="F47" i="61"/>
  <c r="G47" i="61" s="1"/>
  <c r="B131" i="31"/>
  <c r="F131" i="31"/>
  <c r="E44" i="86"/>
  <c r="D44" i="86"/>
  <c r="G47" i="55"/>
  <c r="H49" i="43"/>
  <c r="G43" i="80"/>
  <c r="I43" i="80" s="1"/>
  <c r="I130" i="31"/>
  <c r="H130" i="31"/>
  <c r="B53" i="70"/>
  <c r="F53" i="70"/>
  <c r="G53" i="70" s="1"/>
  <c r="H43" i="86"/>
  <c r="I43" i="86" s="1"/>
  <c r="J131" i="23"/>
  <c r="I126" i="60"/>
  <c r="H126" i="60"/>
  <c r="J126" i="67"/>
  <c r="B127" i="60"/>
  <c r="F127" i="60"/>
  <c r="J129" i="19"/>
  <c r="H134" i="70"/>
  <c r="I134" i="70"/>
  <c r="J134" i="70" s="1"/>
  <c r="B135" i="70"/>
  <c r="F135" i="70"/>
  <c r="I132" i="17"/>
  <c r="H132" i="17"/>
  <c r="J125" i="63"/>
  <c r="J123" i="13"/>
  <c r="F133" i="17"/>
  <c r="B133" i="17"/>
  <c r="E135" i="29"/>
  <c r="G134" i="29"/>
  <c r="D135" i="29"/>
  <c r="F126" i="64"/>
  <c r="B126" i="64"/>
  <c r="F127" i="72"/>
  <c r="B127" i="72"/>
  <c r="D51" i="21"/>
  <c r="E51" i="21"/>
  <c r="F133" i="28"/>
  <c r="B133" i="28"/>
  <c r="F131" i="24"/>
  <c r="B131" i="24"/>
  <c r="H131" i="69"/>
  <c r="I131" i="69"/>
  <c r="E42" i="100"/>
  <c r="D42" i="100"/>
  <c r="F122" i="84"/>
  <c r="B122" i="84"/>
  <c r="F131" i="71"/>
  <c r="B131" i="71"/>
  <c r="D47" i="62"/>
  <c r="E47" i="62"/>
  <c r="H132" i="20"/>
  <c r="I132" i="20"/>
  <c r="B128" i="45"/>
  <c r="F128" i="45"/>
  <c r="H129" i="22"/>
  <c r="I129" i="22"/>
  <c r="F122" i="92"/>
  <c r="B122" i="92"/>
  <c r="E43" i="90"/>
  <c r="D43" i="90"/>
  <c r="B124" i="79"/>
  <c r="F124" i="79"/>
  <c r="B128" i="62"/>
  <c r="F128" i="62"/>
  <c r="E53" i="30"/>
  <c r="D53" i="30"/>
  <c r="B124" i="76"/>
  <c r="F124" i="76"/>
  <c r="B127" i="46"/>
  <c r="F127" i="46"/>
  <c r="H125" i="64"/>
  <c r="I125" i="64"/>
  <c r="F125" i="82"/>
  <c r="B125" i="82"/>
  <c r="H126" i="72"/>
  <c r="I126" i="72"/>
  <c r="H132" i="28"/>
  <c r="I132" i="28"/>
  <c r="H123" i="77"/>
  <c r="I123" i="77"/>
  <c r="J123" i="77" s="1"/>
  <c r="I49" i="39"/>
  <c r="H131" i="27"/>
  <c r="I131" i="27"/>
  <c r="J131" i="27" s="1"/>
  <c r="B122" i="98"/>
  <c r="F122" i="98"/>
  <c r="H130" i="32"/>
  <c r="I130" i="32"/>
  <c r="J130" i="32" s="1"/>
  <c r="H121" i="98"/>
  <c r="I121" i="98"/>
  <c r="D51" i="22"/>
  <c r="E51" i="22"/>
  <c r="D50" i="39"/>
  <c r="E50" i="39"/>
  <c r="F127" i="57"/>
  <c r="B127" i="57"/>
  <c r="F127" i="54"/>
  <c r="B127" i="54"/>
  <c r="H42" i="90"/>
  <c r="I42" i="90" s="1"/>
  <c r="I125" i="75"/>
  <c r="H125" i="75"/>
  <c r="H128" i="39"/>
  <c r="I128" i="39"/>
  <c r="J128" i="39" s="1"/>
  <c r="H131" i="30"/>
  <c r="I131" i="30"/>
  <c r="B122" i="89"/>
  <c r="F122" i="89"/>
  <c r="I126" i="53"/>
  <c r="H126" i="53"/>
  <c r="H121" i="88"/>
  <c r="I121" i="88"/>
  <c r="H129" i="3"/>
  <c r="I129" i="3"/>
  <c r="I45" i="13"/>
  <c r="B122" i="91"/>
  <c r="F122" i="91"/>
  <c r="H127" i="45"/>
  <c r="I127" i="45"/>
  <c r="H121" i="92"/>
  <c r="I121" i="92"/>
  <c r="H123" i="79"/>
  <c r="I123" i="79"/>
  <c r="J123" i="79" s="1"/>
  <c r="D53" i="29"/>
  <c r="E53" i="29"/>
  <c r="H121" i="84"/>
  <c r="I121" i="84"/>
  <c r="F133" i="20"/>
  <c r="B133" i="20"/>
  <c r="I52" i="30"/>
  <c r="I121" i="91"/>
  <c r="H121" i="91"/>
  <c r="B131" i="32"/>
  <c r="F131" i="32"/>
  <c r="D51" i="18"/>
  <c r="E51" i="18"/>
  <c r="F123" i="80"/>
  <c r="B123" i="80"/>
  <c r="G50" i="22"/>
  <c r="I50" i="22" s="1"/>
  <c r="H121" i="96"/>
  <c r="I121" i="96"/>
  <c r="I42" i="87"/>
  <c r="F127" i="56"/>
  <c r="B127" i="56"/>
  <c r="H126" i="57"/>
  <c r="I126" i="57"/>
  <c r="I126" i="54"/>
  <c r="H126" i="54"/>
  <c r="B129" i="39"/>
  <c r="F129" i="39"/>
  <c r="F126" i="61"/>
  <c r="B126" i="61"/>
  <c r="I42" i="89"/>
  <c r="B132" i="30"/>
  <c r="F132" i="30"/>
  <c r="G130" i="19"/>
  <c r="D131" i="19"/>
  <c r="E131" i="19"/>
  <c r="F127" i="53"/>
  <c r="B127" i="53"/>
  <c r="F122" i="88"/>
  <c r="B122" i="88"/>
  <c r="F130" i="3"/>
  <c r="B130" i="3"/>
  <c r="E46" i="13"/>
  <c r="D46" i="13"/>
  <c r="D44" i="88"/>
  <c r="E44" i="88"/>
  <c r="H152" i="35"/>
  <c r="I152" i="35"/>
  <c r="B126" i="75"/>
  <c r="F126" i="75"/>
  <c r="H126" i="46"/>
  <c r="I126" i="46"/>
  <c r="H121" i="89"/>
  <c r="I121" i="89"/>
  <c r="D127" i="63"/>
  <c r="E127" i="63"/>
  <c r="G126" i="63"/>
  <c r="H128" i="41"/>
  <c r="I128" i="41"/>
  <c r="I121" i="86"/>
  <c r="H121" i="86"/>
  <c r="B129" i="41"/>
  <c r="F129" i="41"/>
  <c r="D52" i="32"/>
  <c r="E52" i="32"/>
  <c r="H122" i="80"/>
  <c r="I122" i="80"/>
  <c r="J122" i="80" s="1"/>
  <c r="B130" i="18"/>
  <c r="F130" i="18"/>
  <c r="F122" i="96"/>
  <c r="B122" i="96"/>
  <c r="I122" i="100"/>
  <c r="H122" i="100"/>
  <c r="I122" i="99"/>
  <c r="H122" i="99"/>
  <c r="D43" i="87"/>
  <c r="E43" i="87"/>
  <c r="H126" i="56"/>
  <c r="I126" i="56"/>
  <c r="D45" i="78"/>
  <c r="E45" i="78"/>
  <c r="I125" i="61"/>
  <c r="H125" i="61"/>
  <c r="B125" i="65"/>
  <c r="F125" i="65"/>
  <c r="I129" i="21"/>
  <c r="H129" i="21"/>
  <c r="D43" i="89"/>
  <c r="E43" i="89"/>
  <c r="J124" i="66"/>
  <c r="F42" i="25"/>
  <c r="B42" i="25"/>
  <c r="G50" i="21"/>
  <c r="H126" i="58"/>
  <c r="I126" i="58"/>
  <c r="J126" i="58" s="1"/>
  <c r="I123" i="76"/>
  <c r="H123" i="76"/>
  <c r="F130" i="22"/>
  <c r="B130" i="22"/>
  <c r="G124" i="13"/>
  <c r="D125" i="13"/>
  <c r="E125" i="13" s="1"/>
  <c r="G43" i="88"/>
  <c r="H129" i="18"/>
  <c r="I129" i="18"/>
  <c r="F129" i="73"/>
  <c r="B129" i="73"/>
  <c r="H122" i="81"/>
  <c r="I122" i="81"/>
  <c r="J122" i="81" s="1"/>
  <c r="F123" i="99"/>
  <c r="B123" i="99"/>
  <c r="I122" i="83"/>
  <c r="J122" i="83" s="1"/>
  <c r="H122" i="83"/>
  <c r="F129" i="74"/>
  <c r="B129" i="74"/>
  <c r="H121" i="90"/>
  <c r="I121" i="90"/>
  <c r="F125" i="68"/>
  <c r="B125" i="68"/>
  <c r="I124" i="65"/>
  <c r="H124" i="65"/>
  <c r="B130" i="21"/>
  <c r="F130" i="21"/>
  <c r="H52" i="29"/>
  <c r="I52" i="29" s="1"/>
  <c r="H128" i="55"/>
  <c r="I128" i="55"/>
  <c r="B154" i="35"/>
  <c r="E154" i="35"/>
  <c r="F154" i="35" s="1"/>
  <c r="G154" i="35" s="1"/>
  <c r="G153" i="35"/>
  <c r="B126" i="59"/>
  <c r="F126" i="59"/>
  <c r="F125" i="85"/>
  <c r="B125" i="85"/>
  <c r="D126" i="66"/>
  <c r="E126" i="66"/>
  <c r="G125" i="66"/>
  <c r="G127" i="67"/>
  <c r="D128" i="67"/>
  <c r="E128" i="67"/>
  <c r="F127" i="58"/>
  <c r="B127" i="58"/>
  <c r="F132" i="69"/>
  <c r="B132" i="69"/>
  <c r="D131" i="34"/>
  <c r="G130" i="34"/>
  <c r="E131" i="34"/>
  <c r="D48" i="54"/>
  <c r="E48" i="54"/>
  <c r="H130" i="71"/>
  <c r="I130" i="71"/>
  <c r="I124" i="82"/>
  <c r="H124" i="82"/>
  <c r="B122" i="86"/>
  <c r="F122" i="86"/>
  <c r="H43" i="88"/>
  <c r="H41" i="100"/>
  <c r="I41" i="100" s="1"/>
  <c r="F124" i="77"/>
  <c r="B124" i="77"/>
  <c r="H51" i="32"/>
  <c r="I51" i="32" s="1"/>
  <c r="J133" i="29"/>
  <c r="D45" i="75"/>
  <c r="E45" i="75"/>
  <c r="H128" i="73"/>
  <c r="I128" i="73"/>
  <c r="J128" i="73" s="1"/>
  <c r="B123" i="81"/>
  <c r="F123" i="81"/>
  <c r="J151" i="35"/>
  <c r="F123" i="100"/>
  <c r="B123" i="100"/>
  <c r="F123" i="83"/>
  <c r="B123" i="83"/>
  <c r="G46" i="62"/>
  <c r="I46" i="62" s="1"/>
  <c r="G125" i="78"/>
  <c r="D126" i="78"/>
  <c r="E126" i="78"/>
  <c r="B132" i="27"/>
  <c r="F132" i="27"/>
  <c r="H128" i="74"/>
  <c r="I128" i="74"/>
  <c r="J124" i="78"/>
  <c r="B122" i="90"/>
  <c r="F122" i="90"/>
  <c r="I124" i="68"/>
  <c r="H124" i="68"/>
  <c r="I127" i="62"/>
  <c r="H127" i="62"/>
  <c r="D133" i="23"/>
  <c r="G132" i="23"/>
  <c r="E133" i="23"/>
  <c r="B129" i="55"/>
  <c r="F129" i="55"/>
  <c r="G47" i="54"/>
  <c r="I47" i="54" s="1"/>
  <c r="H125" i="59"/>
  <c r="I125" i="59"/>
  <c r="H124" i="85"/>
  <c r="I124" i="85"/>
  <c r="H50" i="21"/>
  <c r="D42" i="96"/>
  <c r="E42" i="96"/>
  <c r="I130" i="24"/>
  <c r="H130" i="24"/>
  <c r="G124" i="25" l="1"/>
  <c r="D125" i="25"/>
  <c r="I47" i="55"/>
  <c r="J122" i="33"/>
  <c r="H47" i="57"/>
  <c r="I47" i="57" s="1"/>
  <c r="H45" i="67"/>
  <c r="I44" i="26"/>
  <c r="G122" i="87"/>
  <c r="D123" i="87"/>
  <c r="E123" i="87"/>
  <c r="E124" i="95"/>
  <c r="D124" i="95"/>
  <c r="G123" i="95"/>
  <c r="J123" i="25"/>
  <c r="J121" i="87"/>
  <c r="G123" i="33"/>
  <c r="D124" i="33"/>
  <c r="G52" i="27"/>
  <c r="D53" i="27"/>
  <c r="E53" i="27"/>
  <c r="E44" i="82"/>
  <c r="D44" i="82"/>
  <c r="G47" i="53"/>
  <c r="E48" i="53"/>
  <c r="D48" i="53"/>
  <c r="I50" i="20"/>
  <c r="H128" i="43"/>
  <c r="I128" i="43"/>
  <c r="I46" i="63"/>
  <c r="E46" i="65"/>
  <c r="D46" i="65"/>
  <c r="H45" i="65"/>
  <c r="D42" i="99"/>
  <c r="E42" i="99"/>
  <c r="D46" i="66"/>
  <c r="E46" i="66"/>
  <c r="G51" i="3"/>
  <c r="B51" i="3"/>
  <c r="F51" i="3"/>
  <c r="H51" i="3" s="1"/>
  <c r="I44" i="77"/>
  <c r="H47" i="58"/>
  <c r="D48" i="58"/>
  <c r="E48" i="58"/>
  <c r="E50" i="41"/>
  <c r="D50" i="41"/>
  <c r="H46" i="60"/>
  <c r="E47" i="60"/>
  <c r="D47" i="60"/>
  <c r="B46" i="33"/>
  <c r="H45" i="76"/>
  <c r="B45" i="76"/>
  <c r="F45" i="76"/>
  <c r="G45" i="76"/>
  <c r="B129" i="43"/>
  <c r="F129" i="43"/>
  <c r="F123" i="97"/>
  <c r="B123" i="97"/>
  <c r="E44" i="84"/>
  <c r="D44" i="84"/>
  <c r="I50" i="3"/>
  <c r="B50" i="42"/>
  <c r="F50" i="42"/>
  <c r="H50" i="42" s="1"/>
  <c r="I43" i="92"/>
  <c r="I53" i="28"/>
  <c r="E52" i="31"/>
  <c r="D52" i="31"/>
  <c r="I128" i="42"/>
  <c r="J128" i="42" s="1"/>
  <c r="H128" i="42"/>
  <c r="D45" i="79"/>
  <c r="E45" i="79"/>
  <c r="D44" i="83"/>
  <c r="E44" i="83"/>
  <c r="I52" i="69"/>
  <c r="E42" i="95"/>
  <c r="D42" i="95"/>
  <c r="E123" i="26"/>
  <c r="F123" i="26" s="1"/>
  <c r="B123" i="26"/>
  <c r="I45" i="68"/>
  <c r="B45" i="77"/>
  <c r="F45" i="77"/>
  <c r="H45" i="77" s="1"/>
  <c r="I45" i="77" s="1"/>
  <c r="G45" i="77"/>
  <c r="I47" i="56"/>
  <c r="I43" i="91"/>
  <c r="H51" i="24"/>
  <c r="I51" i="24" s="1"/>
  <c r="D52" i="24"/>
  <c r="E52" i="24"/>
  <c r="B44" i="81"/>
  <c r="F44" i="81"/>
  <c r="D51" i="20"/>
  <c r="E51" i="20"/>
  <c r="I122" i="97"/>
  <c r="J122" i="97" s="1"/>
  <c r="H122" i="97"/>
  <c r="B42" i="98"/>
  <c r="F42" i="98"/>
  <c r="G42" i="98" s="1"/>
  <c r="G49" i="44"/>
  <c r="I49" i="44" s="1"/>
  <c r="E50" i="44"/>
  <c r="D50" i="44"/>
  <c r="D54" i="28"/>
  <c r="E54" i="28"/>
  <c r="G51" i="31"/>
  <c r="G45" i="65"/>
  <c r="G129" i="44"/>
  <c r="E130" i="44"/>
  <c r="D130" i="44"/>
  <c r="H41" i="99"/>
  <c r="H69" i="35"/>
  <c r="B70" i="35"/>
  <c r="E70" i="35"/>
  <c r="F70" i="35" s="1"/>
  <c r="G69" i="35"/>
  <c r="G45" i="66"/>
  <c r="F52" i="23"/>
  <c r="B52" i="23"/>
  <c r="H52" i="23"/>
  <c r="G43" i="83"/>
  <c r="I43" i="83" s="1"/>
  <c r="G49" i="74"/>
  <c r="I49" i="74" s="1"/>
  <c r="D50" i="74"/>
  <c r="E50" i="74"/>
  <c r="H49" i="41"/>
  <c r="G41" i="95"/>
  <c r="G46" i="60"/>
  <c r="I46" i="60" s="1"/>
  <c r="I45" i="67"/>
  <c r="I122" i="26"/>
  <c r="H122" i="26"/>
  <c r="D52" i="34"/>
  <c r="E52" i="34"/>
  <c r="B48" i="72"/>
  <c r="F48" i="72"/>
  <c r="E48" i="56"/>
  <c r="D48" i="56"/>
  <c r="E46" i="33"/>
  <c r="F46" i="33" s="1"/>
  <c r="I49" i="43"/>
  <c r="G50" i="17"/>
  <c r="H52" i="27"/>
  <c r="G43" i="82"/>
  <c r="I43" i="82" s="1"/>
  <c r="H47" i="53"/>
  <c r="I47" i="53" s="1"/>
  <c r="B42" i="97"/>
  <c r="F42" i="97"/>
  <c r="D47" i="63"/>
  <c r="E47" i="63"/>
  <c r="G43" i="84"/>
  <c r="I43" i="84" s="1"/>
  <c r="E49" i="45"/>
  <c r="D49" i="45"/>
  <c r="D44" i="92"/>
  <c r="E44" i="92"/>
  <c r="H51" i="31"/>
  <c r="D48" i="57"/>
  <c r="E48" i="57"/>
  <c r="F129" i="42"/>
  <c r="B129" i="42"/>
  <c r="G41" i="99"/>
  <c r="I68" i="35"/>
  <c r="H45" i="66"/>
  <c r="I45" i="66" s="1"/>
  <c r="G49" i="73"/>
  <c r="I49" i="73" s="1"/>
  <c r="E50" i="73"/>
  <c r="D50" i="73"/>
  <c r="G44" i="79"/>
  <c r="I44" i="79" s="1"/>
  <c r="E53" i="69"/>
  <c r="D53" i="69"/>
  <c r="G47" i="58"/>
  <c r="I47" i="58" s="1"/>
  <c r="G49" i="41"/>
  <c r="H41" i="95"/>
  <c r="D46" i="67"/>
  <c r="E46" i="67"/>
  <c r="H51" i="34"/>
  <c r="I51" i="34" s="1"/>
  <c r="H44" i="85"/>
  <c r="B44" i="85"/>
  <c r="F44" i="85"/>
  <c r="G44" i="85"/>
  <c r="D46" i="68"/>
  <c r="E46" i="68"/>
  <c r="D48" i="46"/>
  <c r="E48" i="46"/>
  <c r="I47" i="61"/>
  <c r="I47" i="59"/>
  <c r="D48" i="64"/>
  <c r="E48" i="64"/>
  <c r="D46" i="26"/>
  <c r="E46" i="26"/>
  <c r="B48" i="55"/>
  <c r="F48" i="55"/>
  <c r="H48" i="55" s="1"/>
  <c r="I50" i="21"/>
  <c r="J121" i="90"/>
  <c r="J121" i="86"/>
  <c r="J130" i="31"/>
  <c r="E53" i="71"/>
  <c r="D53" i="71"/>
  <c r="G45" i="26"/>
  <c r="B50" i="43"/>
  <c r="F50" i="43"/>
  <c r="H50" i="43" s="1"/>
  <c r="D52" i="19"/>
  <c r="E52" i="19"/>
  <c r="H53" i="70"/>
  <c r="I53" i="70" s="1"/>
  <c r="D54" i="70"/>
  <c r="E54" i="70"/>
  <c r="F44" i="80"/>
  <c r="H44" i="80" s="1"/>
  <c r="B44" i="80"/>
  <c r="H52" i="71"/>
  <c r="H47" i="64"/>
  <c r="H45" i="26"/>
  <c r="I50" i="17"/>
  <c r="G51" i="19"/>
  <c r="D44" i="91"/>
  <c r="E44" i="91"/>
  <c r="F44" i="86"/>
  <c r="G44" i="86" s="1"/>
  <c r="B44" i="86"/>
  <c r="G131" i="31"/>
  <c r="E132" i="31"/>
  <c r="D132" i="31"/>
  <c r="D48" i="61"/>
  <c r="E48" i="61"/>
  <c r="D48" i="59"/>
  <c r="E48" i="59"/>
  <c r="G52" i="71"/>
  <c r="G47" i="64"/>
  <c r="E51" i="17"/>
  <c r="D51" i="17"/>
  <c r="H51" i="19"/>
  <c r="D134" i="17"/>
  <c r="G133" i="17"/>
  <c r="E134" i="17"/>
  <c r="J124" i="82"/>
  <c r="J152" i="35"/>
  <c r="J126" i="54"/>
  <c r="D128" i="60"/>
  <c r="G127" i="60"/>
  <c r="E128" i="60"/>
  <c r="J130" i="24"/>
  <c r="J122" i="100"/>
  <c r="J126" i="57"/>
  <c r="J121" i="92"/>
  <c r="J125" i="64"/>
  <c r="J132" i="20"/>
  <c r="J128" i="74"/>
  <c r="J131" i="30"/>
  <c r="J132" i="17"/>
  <c r="J126" i="60"/>
  <c r="J130" i="71"/>
  <c r="J121" i="84"/>
  <c r="J127" i="45"/>
  <c r="J132" i="28"/>
  <c r="J126" i="72"/>
  <c r="E136" i="70"/>
  <c r="D136" i="70"/>
  <c r="G135" i="70"/>
  <c r="B133" i="23"/>
  <c r="F133" i="23"/>
  <c r="G132" i="30"/>
  <c r="D133" i="30"/>
  <c r="E133" i="30"/>
  <c r="D123" i="98"/>
  <c r="G122" i="98"/>
  <c r="E123" i="98"/>
  <c r="B43" i="90"/>
  <c r="F43" i="90"/>
  <c r="G43" i="90" s="1"/>
  <c r="H43" i="90"/>
  <c r="D129" i="45"/>
  <c r="G128" i="45"/>
  <c r="E129" i="45"/>
  <c r="D132" i="24"/>
  <c r="G131" i="24"/>
  <c r="E132" i="24"/>
  <c r="D127" i="64"/>
  <c r="G126" i="64"/>
  <c r="E127" i="64"/>
  <c r="J125" i="59"/>
  <c r="H125" i="78"/>
  <c r="I125" i="78"/>
  <c r="D124" i="81"/>
  <c r="G123" i="81"/>
  <c r="E124" i="81"/>
  <c r="G132" i="69"/>
  <c r="D133" i="69"/>
  <c r="E133" i="69"/>
  <c r="F128" i="67"/>
  <c r="B128" i="67"/>
  <c r="J129" i="18"/>
  <c r="J125" i="61"/>
  <c r="G130" i="18"/>
  <c r="D131" i="18"/>
  <c r="E131" i="18"/>
  <c r="D127" i="75"/>
  <c r="G126" i="75"/>
  <c r="E127" i="75"/>
  <c r="B46" i="13"/>
  <c r="F46" i="13"/>
  <c r="G46" i="13" s="1"/>
  <c r="G131" i="32"/>
  <c r="D132" i="32"/>
  <c r="E132" i="32"/>
  <c r="J121" i="88"/>
  <c r="B53" i="30"/>
  <c r="F53" i="30"/>
  <c r="H53" i="30" s="1"/>
  <c r="J131" i="69"/>
  <c r="G122" i="96"/>
  <c r="D123" i="96"/>
  <c r="E123" i="96"/>
  <c r="D131" i="22"/>
  <c r="G130" i="22"/>
  <c r="E131" i="22"/>
  <c r="D43" i="25"/>
  <c r="E43" i="25" s="1"/>
  <c r="F43" i="89"/>
  <c r="B43" i="89"/>
  <c r="B45" i="78"/>
  <c r="F45" i="78"/>
  <c r="G45" i="78" s="1"/>
  <c r="D130" i="41"/>
  <c r="G129" i="41"/>
  <c r="E130" i="41"/>
  <c r="B53" i="29"/>
  <c r="F53" i="29"/>
  <c r="G53" i="29" s="1"/>
  <c r="G128" i="62"/>
  <c r="D129" i="62"/>
  <c r="E129" i="62"/>
  <c r="B42" i="96"/>
  <c r="F42" i="96"/>
  <c r="H42" i="96" s="1"/>
  <c r="D127" i="59"/>
  <c r="G126" i="59"/>
  <c r="E127" i="59"/>
  <c r="D130" i="74"/>
  <c r="G129" i="74"/>
  <c r="E130" i="74"/>
  <c r="G123" i="99"/>
  <c r="D124" i="99"/>
  <c r="E124" i="99"/>
  <c r="H126" i="63"/>
  <c r="I126" i="63"/>
  <c r="G127" i="57"/>
  <c r="D128" i="57"/>
  <c r="E128" i="57"/>
  <c r="G133" i="28"/>
  <c r="D134" i="28"/>
  <c r="E134" i="28"/>
  <c r="I125" i="66"/>
  <c r="H125" i="66"/>
  <c r="H124" i="13"/>
  <c r="I124" i="13"/>
  <c r="D130" i="55"/>
  <c r="G129" i="55"/>
  <c r="E130" i="55"/>
  <c r="J124" i="68"/>
  <c r="D125" i="77"/>
  <c r="G124" i="77"/>
  <c r="E125" i="77"/>
  <c r="H153" i="35"/>
  <c r="I153" i="35"/>
  <c r="H42" i="25"/>
  <c r="D126" i="65"/>
  <c r="G125" i="65"/>
  <c r="E126" i="65"/>
  <c r="J122" i="99"/>
  <c r="F127" i="63"/>
  <c r="B127" i="63"/>
  <c r="D128" i="53"/>
  <c r="G127" i="53"/>
  <c r="E128" i="53"/>
  <c r="D124" i="80"/>
  <c r="G123" i="80"/>
  <c r="E124" i="80"/>
  <c r="J121" i="91"/>
  <c r="D128" i="46"/>
  <c r="G127" i="46"/>
  <c r="E128" i="46"/>
  <c r="B51" i="21"/>
  <c r="F51" i="21"/>
  <c r="G51" i="21" s="1"/>
  <c r="G122" i="91"/>
  <c r="D123" i="91"/>
  <c r="E123" i="91"/>
  <c r="D123" i="90"/>
  <c r="G122" i="90"/>
  <c r="E123" i="90"/>
  <c r="G132" i="27"/>
  <c r="D133" i="27"/>
  <c r="E133" i="27"/>
  <c r="G123" i="83"/>
  <c r="D124" i="83"/>
  <c r="E124" i="83"/>
  <c r="D128" i="58"/>
  <c r="G127" i="58"/>
  <c r="E128" i="58"/>
  <c r="F126" i="66"/>
  <c r="B126" i="66"/>
  <c r="I154" i="35"/>
  <c r="H154" i="35"/>
  <c r="J124" i="65"/>
  <c r="G42" i="25"/>
  <c r="J129" i="21"/>
  <c r="J121" i="89"/>
  <c r="J126" i="53"/>
  <c r="J125" i="75"/>
  <c r="E123" i="92"/>
  <c r="D123" i="92"/>
  <c r="G122" i="92"/>
  <c r="G122" i="86"/>
  <c r="D123" i="86"/>
  <c r="E123" i="86"/>
  <c r="G129" i="73"/>
  <c r="D130" i="73"/>
  <c r="E130" i="73"/>
  <c r="H127" i="67"/>
  <c r="I127" i="67"/>
  <c r="J127" i="67" s="1"/>
  <c r="G130" i="21"/>
  <c r="D131" i="21"/>
  <c r="E131" i="21"/>
  <c r="B125" i="13"/>
  <c r="F125" i="13"/>
  <c r="B43" i="87"/>
  <c r="F43" i="87"/>
  <c r="H43" i="87" s="1"/>
  <c r="G122" i="88"/>
  <c r="D123" i="88"/>
  <c r="E123" i="88"/>
  <c r="I43" i="88"/>
  <c r="B48" i="54"/>
  <c r="F48" i="54"/>
  <c r="H48" i="54" s="1"/>
  <c r="H130" i="34"/>
  <c r="I130" i="34"/>
  <c r="F52" i="32"/>
  <c r="H52" i="32" s="1"/>
  <c r="B52" i="32"/>
  <c r="B131" i="19"/>
  <c r="F131" i="19"/>
  <c r="D127" i="61"/>
  <c r="G126" i="61"/>
  <c r="E127" i="61"/>
  <c r="B51" i="18"/>
  <c r="F51" i="18"/>
  <c r="G51" i="18" s="1"/>
  <c r="G122" i="89"/>
  <c r="D123" i="89"/>
  <c r="E123" i="89"/>
  <c r="D128" i="54"/>
  <c r="G127" i="54"/>
  <c r="E128" i="54"/>
  <c r="F50" i="39"/>
  <c r="B50" i="39"/>
  <c r="B51" i="22"/>
  <c r="F51" i="22"/>
  <c r="G51" i="22" s="1"/>
  <c r="G124" i="76"/>
  <c r="D125" i="76"/>
  <c r="E125" i="76"/>
  <c r="D125" i="79"/>
  <c r="G124" i="79"/>
  <c r="E125" i="79"/>
  <c r="J129" i="22"/>
  <c r="D132" i="71"/>
  <c r="G131" i="71"/>
  <c r="E132" i="71"/>
  <c r="G122" i="84"/>
  <c r="D123" i="84"/>
  <c r="E123" i="84"/>
  <c r="D128" i="72"/>
  <c r="G127" i="72"/>
  <c r="E128" i="72"/>
  <c r="F135" i="29"/>
  <c r="B135" i="29"/>
  <c r="B126" i="78"/>
  <c r="F126" i="78"/>
  <c r="J124" i="85"/>
  <c r="H132" i="23"/>
  <c r="I132" i="23"/>
  <c r="J127" i="62"/>
  <c r="G123" i="100"/>
  <c r="E124" i="100"/>
  <c r="D124" i="100"/>
  <c r="B45" i="75"/>
  <c r="F45" i="75"/>
  <c r="B131" i="34"/>
  <c r="F131" i="34"/>
  <c r="G125" i="85"/>
  <c r="E126" i="85"/>
  <c r="D126" i="85"/>
  <c r="J128" i="55"/>
  <c r="G125" i="68"/>
  <c r="D126" i="68"/>
  <c r="E126" i="68"/>
  <c r="J123" i="76"/>
  <c r="J126" i="56"/>
  <c r="J128" i="41"/>
  <c r="J126" i="46"/>
  <c r="B44" i="88"/>
  <c r="F44" i="88"/>
  <c r="D131" i="3"/>
  <c r="G130" i="3"/>
  <c r="E131" i="3"/>
  <c r="I130" i="19"/>
  <c r="H130" i="19"/>
  <c r="G129" i="39"/>
  <c r="D130" i="39"/>
  <c r="E130" i="39"/>
  <c r="D128" i="56"/>
  <c r="G127" i="56"/>
  <c r="E128" i="56"/>
  <c r="J121" i="96"/>
  <c r="D134" i="20"/>
  <c r="E134" i="20"/>
  <c r="G133" i="20"/>
  <c r="J129" i="3"/>
  <c r="J121" i="98"/>
  <c r="D126" i="82"/>
  <c r="G125" i="82"/>
  <c r="E126" i="82"/>
  <c r="F47" i="62"/>
  <c r="B47" i="62"/>
  <c r="H47" i="62"/>
  <c r="B42" i="100"/>
  <c r="F42" i="100"/>
  <c r="H134" i="29"/>
  <c r="I134" i="29"/>
  <c r="J134" i="29" s="1"/>
  <c r="G48" i="54" l="1"/>
  <c r="I51" i="3"/>
  <c r="H51" i="18"/>
  <c r="I41" i="99"/>
  <c r="H42" i="98"/>
  <c r="G50" i="42"/>
  <c r="I50" i="42" s="1"/>
  <c r="I45" i="76"/>
  <c r="H123" i="95"/>
  <c r="I123" i="95"/>
  <c r="J123" i="95" s="1"/>
  <c r="F123" i="87"/>
  <c r="B123" i="87"/>
  <c r="E125" i="25"/>
  <c r="B125" i="25"/>
  <c r="F125" i="25"/>
  <c r="I51" i="19"/>
  <c r="H44" i="86"/>
  <c r="B124" i="95"/>
  <c r="F124" i="95"/>
  <c r="I122" i="87"/>
  <c r="J122" i="87" s="1"/>
  <c r="H122" i="87"/>
  <c r="I124" i="25"/>
  <c r="J124" i="25" s="1"/>
  <c r="H124" i="25"/>
  <c r="G46" i="33"/>
  <c r="D47" i="33"/>
  <c r="H46" i="33"/>
  <c r="I46" i="33" s="1"/>
  <c r="I42" i="98"/>
  <c r="D45" i="81"/>
  <c r="E45" i="81"/>
  <c r="B44" i="82"/>
  <c r="F44" i="82"/>
  <c r="H44" i="82" s="1"/>
  <c r="G44" i="82"/>
  <c r="I44" i="86"/>
  <c r="G129" i="42"/>
  <c r="D130" i="42"/>
  <c r="E130" i="42"/>
  <c r="E71" i="35"/>
  <c r="F71" i="35" s="1"/>
  <c r="H70" i="35"/>
  <c r="B71" i="35"/>
  <c r="G70" i="35"/>
  <c r="D124" i="26"/>
  <c r="B124" i="26" s="1"/>
  <c r="G123" i="26"/>
  <c r="E124" i="26"/>
  <c r="F124" i="26" s="1"/>
  <c r="H51" i="22"/>
  <c r="I51" i="22" s="1"/>
  <c r="G48" i="55"/>
  <c r="B48" i="46"/>
  <c r="F48" i="46"/>
  <c r="H48" i="46" s="1"/>
  <c r="D45" i="85"/>
  <c r="E45" i="85"/>
  <c r="B50" i="73"/>
  <c r="F50" i="73"/>
  <c r="H50" i="73" s="1"/>
  <c r="F44" i="92"/>
  <c r="G44" i="92" s="1"/>
  <c r="B44" i="92"/>
  <c r="I52" i="27"/>
  <c r="B48" i="56"/>
  <c r="F48" i="56"/>
  <c r="J122" i="26"/>
  <c r="I49" i="41"/>
  <c r="G52" i="23"/>
  <c r="D53" i="23"/>
  <c r="E53" i="23"/>
  <c r="B51" i="20"/>
  <c r="F51" i="20"/>
  <c r="H51" i="20" s="1"/>
  <c r="D46" i="77"/>
  <c r="E46" i="77"/>
  <c r="B52" i="31"/>
  <c r="F52" i="31"/>
  <c r="H52" i="31" s="1"/>
  <c r="F48" i="58"/>
  <c r="H48" i="58" s="1"/>
  <c r="B48" i="58"/>
  <c r="B42" i="99"/>
  <c r="F42" i="99"/>
  <c r="H42" i="99" s="1"/>
  <c r="G42" i="99"/>
  <c r="B48" i="53"/>
  <c r="F48" i="53"/>
  <c r="H48" i="53" s="1"/>
  <c r="E124" i="33"/>
  <c r="F124" i="33" s="1"/>
  <c r="B124" i="33"/>
  <c r="D43" i="97"/>
  <c r="E43" i="97"/>
  <c r="H48" i="72"/>
  <c r="D49" i="72"/>
  <c r="E49" i="72"/>
  <c r="F130" i="44"/>
  <c r="B130" i="44"/>
  <c r="F44" i="83"/>
  <c r="H44" i="83" s="1"/>
  <c r="B44" i="83"/>
  <c r="H51" i="21"/>
  <c r="I45" i="26"/>
  <c r="G50" i="43"/>
  <c r="I50" i="43" s="1"/>
  <c r="F46" i="67"/>
  <c r="G46" i="67" s="1"/>
  <c r="B46" i="67"/>
  <c r="F53" i="69"/>
  <c r="B53" i="69"/>
  <c r="H53" i="69"/>
  <c r="F48" i="57"/>
  <c r="G48" i="57" s="1"/>
  <c r="B48" i="57"/>
  <c r="B49" i="45"/>
  <c r="F49" i="45"/>
  <c r="G49" i="45" s="1"/>
  <c r="B47" i="63"/>
  <c r="F47" i="63"/>
  <c r="G47" i="63" s="1"/>
  <c r="H47" i="63"/>
  <c r="H42" i="97"/>
  <c r="I69" i="35"/>
  <c r="H129" i="44"/>
  <c r="I129" i="44"/>
  <c r="B54" i="28"/>
  <c r="F54" i="28"/>
  <c r="G54" i="28" s="1"/>
  <c r="H44" i="81"/>
  <c r="B45" i="79"/>
  <c r="F45" i="79"/>
  <c r="G45" i="79" s="1"/>
  <c r="D124" i="97"/>
  <c r="E124" i="97"/>
  <c r="G123" i="97"/>
  <c r="E46" i="76"/>
  <c r="D46" i="76"/>
  <c r="B50" i="41"/>
  <c r="F50" i="41"/>
  <c r="H50" i="41" s="1"/>
  <c r="G50" i="41"/>
  <c r="I45" i="65"/>
  <c r="J128" i="43"/>
  <c r="I123" i="33"/>
  <c r="H123" i="33"/>
  <c r="B46" i="68"/>
  <c r="F46" i="68"/>
  <c r="G46" i="68" s="1"/>
  <c r="H46" i="68"/>
  <c r="I44" i="85"/>
  <c r="I41" i="95"/>
  <c r="I51" i="31"/>
  <c r="G42" i="97"/>
  <c r="G48" i="72"/>
  <c r="I48" i="72" s="1"/>
  <c r="F52" i="34"/>
  <c r="H52" i="34" s="1"/>
  <c r="B52" i="34"/>
  <c r="G52" i="34"/>
  <c r="B50" i="74"/>
  <c r="F50" i="74"/>
  <c r="H50" i="74"/>
  <c r="I50" i="74" s="1"/>
  <c r="G50" i="74"/>
  <c r="I52" i="23"/>
  <c r="B50" i="44"/>
  <c r="F50" i="44"/>
  <c r="E43" i="98"/>
  <c r="D43" i="98"/>
  <c r="G44" i="81"/>
  <c r="B52" i="24"/>
  <c r="F52" i="24"/>
  <c r="B42" i="95"/>
  <c r="F42" i="95"/>
  <c r="H42" i="95"/>
  <c r="I42" i="95" s="1"/>
  <c r="G42" i="95"/>
  <c r="E51" i="42"/>
  <c r="D51" i="42"/>
  <c r="F44" i="84"/>
  <c r="B44" i="84"/>
  <c r="E130" i="43"/>
  <c r="D130" i="43"/>
  <c r="G129" i="43"/>
  <c r="B47" i="60"/>
  <c r="F47" i="60"/>
  <c r="D52" i="3"/>
  <c r="E52" i="3"/>
  <c r="F46" i="66"/>
  <c r="G46" i="66" s="1"/>
  <c r="B46" i="66"/>
  <c r="H46" i="66"/>
  <c r="B46" i="65"/>
  <c r="F46" i="65"/>
  <c r="F53" i="27"/>
  <c r="G53" i="27" s="1"/>
  <c r="B53" i="27"/>
  <c r="B48" i="64"/>
  <c r="F48" i="64"/>
  <c r="B132" i="31"/>
  <c r="F132" i="31"/>
  <c r="I47" i="64"/>
  <c r="G44" i="80"/>
  <c r="E45" i="80"/>
  <c r="D45" i="80"/>
  <c r="B52" i="19"/>
  <c r="F52" i="19"/>
  <c r="H45" i="78"/>
  <c r="H46" i="13"/>
  <c r="I46" i="13" s="1"/>
  <c r="C60" i="17"/>
  <c r="F51" i="17"/>
  <c r="B51" i="17"/>
  <c r="F48" i="61"/>
  <c r="G48" i="61"/>
  <c r="H48" i="61"/>
  <c r="B48" i="61"/>
  <c r="I52" i="71"/>
  <c r="I48" i="55"/>
  <c r="F46" i="26"/>
  <c r="B46" i="26"/>
  <c r="I43" i="90"/>
  <c r="B44" i="91"/>
  <c r="F44" i="91"/>
  <c r="H44" i="91" s="1"/>
  <c r="I44" i="80"/>
  <c r="B48" i="59"/>
  <c r="F48" i="59"/>
  <c r="H48" i="59" s="1"/>
  <c r="H131" i="31"/>
  <c r="I131" i="31"/>
  <c r="E45" i="86"/>
  <c r="D45" i="86"/>
  <c r="F54" i="70"/>
  <c r="B54" i="70"/>
  <c r="H54" i="70"/>
  <c r="E51" i="43"/>
  <c r="D51" i="43"/>
  <c r="B53" i="71"/>
  <c r="F53" i="71"/>
  <c r="G53" i="71" s="1"/>
  <c r="D49" i="55"/>
  <c r="E49" i="55"/>
  <c r="H127" i="60"/>
  <c r="I127" i="60"/>
  <c r="J127" i="60" s="1"/>
  <c r="H135" i="70"/>
  <c r="I135" i="70"/>
  <c r="J135" i="70" s="1"/>
  <c r="B128" i="60"/>
  <c r="F128" i="60"/>
  <c r="B136" i="70"/>
  <c r="F136" i="70"/>
  <c r="J153" i="35"/>
  <c r="I133" i="17"/>
  <c r="J133" i="17" s="1"/>
  <c r="H133" i="17"/>
  <c r="B134" i="17"/>
  <c r="F134" i="17"/>
  <c r="J125" i="66"/>
  <c r="J126" i="63"/>
  <c r="D43" i="100"/>
  <c r="E43" i="100"/>
  <c r="I125" i="85"/>
  <c r="H125" i="85"/>
  <c r="B128" i="58"/>
  <c r="F128" i="58"/>
  <c r="B129" i="62"/>
  <c r="F129" i="62"/>
  <c r="F130" i="41"/>
  <c r="B130" i="41"/>
  <c r="E44" i="89"/>
  <c r="D44" i="89"/>
  <c r="B132" i="32"/>
  <c r="F132" i="32"/>
  <c r="F133" i="69"/>
  <c r="B133" i="69"/>
  <c r="F124" i="81"/>
  <c r="B124" i="81"/>
  <c r="H126" i="64"/>
  <c r="I126" i="64"/>
  <c r="J126" i="64" s="1"/>
  <c r="B129" i="45"/>
  <c r="F129" i="45"/>
  <c r="H127" i="56"/>
  <c r="I127" i="56"/>
  <c r="I125" i="68"/>
  <c r="H125" i="68"/>
  <c r="B123" i="84"/>
  <c r="F123" i="84"/>
  <c r="F125" i="79"/>
  <c r="B125" i="79"/>
  <c r="G52" i="32"/>
  <c r="I52" i="32" s="1"/>
  <c r="H129" i="73"/>
  <c r="I129" i="73"/>
  <c r="H122" i="92"/>
  <c r="I122" i="92"/>
  <c r="F123" i="90"/>
  <c r="B123" i="90"/>
  <c r="G127" i="63"/>
  <c r="E128" i="63"/>
  <c r="D128" i="63"/>
  <c r="H129" i="55"/>
  <c r="I129" i="55"/>
  <c r="I128" i="62"/>
  <c r="H128" i="62"/>
  <c r="I45" i="78"/>
  <c r="H131" i="32"/>
  <c r="I131" i="32"/>
  <c r="I132" i="69"/>
  <c r="H132" i="69"/>
  <c r="J125" i="78"/>
  <c r="F127" i="64"/>
  <c r="B127" i="64"/>
  <c r="B133" i="30"/>
  <c r="F133" i="30"/>
  <c r="H124" i="79"/>
  <c r="I124" i="79"/>
  <c r="G42" i="100"/>
  <c r="I122" i="84"/>
  <c r="H122" i="84"/>
  <c r="I51" i="18"/>
  <c r="F124" i="83"/>
  <c r="B124" i="83"/>
  <c r="B131" i="3"/>
  <c r="F131" i="3"/>
  <c r="B124" i="100"/>
  <c r="F124" i="100"/>
  <c r="B125" i="76"/>
  <c r="F125" i="76"/>
  <c r="B128" i="54"/>
  <c r="F128" i="54"/>
  <c r="D52" i="18"/>
  <c r="E52" i="18"/>
  <c r="J130" i="34"/>
  <c r="I122" i="88"/>
  <c r="H122" i="88"/>
  <c r="B131" i="21"/>
  <c r="F131" i="21"/>
  <c r="F123" i="86"/>
  <c r="B123" i="86"/>
  <c r="J154" i="35"/>
  <c r="J155" i="35" s="1"/>
  <c r="I123" i="83"/>
  <c r="H123" i="83"/>
  <c r="H127" i="46"/>
  <c r="I127" i="46"/>
  <c r="J127" i="46" s="1"/>
  <c r="B128" i="53"/>
  <c r="F128" i="53"/>
  <c r="I129" i="74"/>
  <c r="H129" i="74"/>
  <c r="D46" i="78"/>
  <c r="E46" i="78"/>
  <c r="H126" i="75"/>
  <c r="I126" i="75"/>
  <c r="H131" i="24"/>
  <c r="I131" i="24"/>
  <c r="D44" i="90"/>
  <c r="E44" i="90"/>
  <c r="B126" i="68"/>
  <c r="F126" i="68"/>
  <c r="D51" i="39"/>
  <c r="E51" i="39"/>
  <c r="E53" i="32"/>
  <c r="D53" i="32"/>
  <c r="I122" i="90"/>
  <c r="H122" i="90"/>
  <c r="H127" i="57"/>
  <c r="I127" i="57"/>
  <c r="F43" i="25"/>
  <c r="H43" i="25" s="1"/>
  <c r="G43" i="25"/>
  <c r="B43" i="25"/>
  <c r="D54" i="30"/>
  <c r="E54" i="30"/>
  <c r="F130" i="39"/>
  <c r="B130" i="39"/>
  <c r="D45" i="88"/>
  <c r="E45" i="88"/>
  <c r="I127" i="72"/>
  <c r="H127" i="72"/>
  <c r="H131" i="71"/>
  <c r="I131" i="71"/>
  <c r="J131" i="71" s="1"/>
  <c r="I124" i="76"/>
  <c r="H124" i="76"/>
  <c r="H130" i="21"/>
  <c r="I130" i="21"/>
  <c r="I122" i="86"/>
  <c r="H122" i="86"/>
  <c r="B123" i="91"/>
  <c r="F123" i="91"/>
  <c r="B128" i="46"/>
  <c r="F128" i="46"/>
  <c r="I123" i="80"/>
  <c r="H123" i="80"/>
  <c r="B134" i="28"/>
  <c r="F134" i="28"/>
  <c r="B130" i="74"/>
  <c r="F130" i="74"/>
  <c r="I130" i="22"/>
  <c r="H130" i="22"/>
  <c r="F123" i="96"/>
  <c r="B123" i="96"/>
  <c r="G53" i="30"/>
  <c r="I53" i="30" s="1"/>
  <c r="F127" i="75"/>
  <c r="B127" i="75"/>
  <c r="F132" i="24"/>
  <c r="B132" i="24"/>
  <c r="D46" i="75"/>
  <c r="E46" i="75"/>
  <c r="D132" i="19"/>
  <c r="G131" i="19"/>
  <c r="E132" i="19"/>
  <c r="D126" i="13"/>
  <c r="E126" i="13" s="1"/>
  <c r="G125" i="13"/>
  <c r="H130" i="3"/>
  <c r="I130" i="3"/>
  <c r="D136" i="29"/>
  <c r="G135" i="29"/>
  <c r="E136" i="29"/>
  <c r="I127" i="53"/>
  <c r="H127" i="53"/>
  <c r="H125" i="82"/>
  <c r="I125" i="82"/>
  <c r="B126" i="82"/>
  <c r="F126" i="82"/>
  <c r="H129" i="39"/>
  <c r="I129" i="39"/>
  <c r="D132" i="34"/>
  <c r="G131" i="34"/>
  <c r="E132" i="34"/>
  <c r="I123" i="100"/>
  <c r="H123" i="100"/>
  <c r="F128" i="72"/>
  <c r="B128" i="72"/>
  <c r="B132" i="71"/>
  <c r="F132" i="71"/>
  <c r="F123" i="89"/>
  <c r="B123" i="89"/>
  <c r="I48" i="54"/>
  <c r="D44" i="87"/>
  <c r="E44" i="87"/>
  <c r="G126" i="66"/>
  <c r="D127" i="66"/>
  <c r="E127" i="66"/>
  <c r="F133" i="27"/>
  <c r="B133" i="27"/>
  <c r="H122" i="91"/>
  <c r="I122" i="91"/>
  <c r="B124" i="80"/>
  <c r="F124" i="80"/>
  <c r="I125" i="65"/>
  <c r="H125" i="65"/>
  <c r="H124" i="77"/>
  <c r="I124" i="77"/>
  <c r="H133" i="28"/>
  <c r="I133" i="28"/>
  <c r="J133" i="28" s="1"/>
  <c r="B124" i="99"/>
  <c r="F124" i="99"/>
  <c r="E43" i="96"/>
  <c r="D43" i="96"/>
  <c r="D54" i="29"/>
  <c r="E54" i="29"/>
  <c r="F131" i="22"/>
  <c r="B131" i="22"/>
  <c r="H122" i="96"/>
  <c r="I122" i="96"/>
  <c r="E134" i="23"/>
  <c r="D134" i="23"/>
  <c r="G133" i="23"/>
  <c r="D48" i="62"/>
  <c r="E48" i="62"/>
  <c r="G45" i="75"/>
  <c r="I127" i="54"/>
  <c r="H127" i="54"/>
  <c r="F123" i="92"/>
  <c r="B123" i="92"/>
  <c r="F130" i="55"/>
  <c r="B130" i="55"/>
  <c r="I132" i="30"/>
  <c r="H132" i="30"/>
  <c r="F134" i="20"/>
  <c r="B134" i="20"/>
  <c r="H44" i="88"/>
  <c r="F126" i="85"/>
  <c r="B126" i="85"/>
  <c r="G50" i="39"/>
  <c r="H122" i="89"/>
  <c r="I122" i="89"/>
  <c r="H126" i="61"/>
  <c r="I126" i="61"/>
  <c r="E49" i="54"/>
  <c r="D49" i="54"/>
  <c r="H132" i="27"/>
  <c r="I132" i="27"/>
  <c r="I51" i="21"/>
  <c r="B126" i="65"/>
  <c r="F126" i="65"/>
  <c r="F125" i="77"/>
  <c r="B125" i="77"/>
  <c r="J124" i="13"/>
  <c r="I123" i="99"/>
  <c r="H123" i="99"/>
  <c r="I126" i="59"/>
  <c r="H126" i="59"/>
  <c r="G43" i="89"/>
  <c r="F131" i="18"/>
  <c r="B131" i="18"/>
  <c r="D129" i="67"/>
  <c r="G128" i="67"/>
  <c r="E129" i="67"/>
  <c r="I122" i="98"/>
  <c r="H122" i="98"/>
  <c r="B130" i="73"/>
  <c r="F130" i="73"/>
  <c r="F128" i="56"/>
  <c r="B128" i="56"/>
  <c r="B123" i="88"/>
  <c r="F123" i="88"/>
  <c r="H133" i="20"/>
  <c r="I133" i="20"/>
  <c r="H42" i="100"/>
  <c r="G47" i="62"/>
  <c r="I47" i="62" s="1"/>
  <c r="J130" i="19"/>
  <c r="G44" i="88"/>
  <c r="H45" i="75"/>
  <c r="J132" i="23"/>
  <c r="E127" i="78"/>
  <c r="D127" i="78"/>
  <c r="G126" i="78"/>
  <c r="D52" i="22"/>
  <c r="E52" i="22"/>
  <c r="H50" i="39"/>
  <c r="B127" i="61"/>
  <c r="F127" i="61"/>
  <c r="G43" i="87"/>
  <c r="I43" i="87" s="1"/>
  <c r="I127" i="58"/>
  <c r="H127" i="58"/>
  <c r="D52" i="21"/>
  <c r="E52" i="21"/>
  <c r="I42" i="25"/>
  <c r="B128" i="57"/>
  <c r="F128" i="57"/>
  <c r="B127" i="59"/>
  <c r="F127" i="59"/>
  <c r="G42" i="96"/>
  <c r="I42" i="96" s="1"/>
  <c r="H53" i="29"/>
  <c r="I53" i="29" s="1"/>
  <c r="I129" i="41"/>
  <c r="H129" i="41"/>
  <c r="H43" i="89"/>
  <c r="I43" i="89" s="1"/>
  <c r="D47" i="13"/>
  <c r="I130" i="18"/>
  <c r="H130" i="18"/>
  <c r="H123" i="81"/>
  <c r="I123" i="81"/>
  <c r="I128" i="45"/>
  <c r="H128" i="45"/>
  <c r="F123" i="98"/>
  <c r="B123" i="98"/>
  <c r="H54" i="28" l="1"/>
  <c r="I54" i="28" s="1"/>
  <c r="G52" i="31"/>
  <c r="G51" i="20"/>
  <c r="E125" i="95"/>
  <c r="G124" i="95"/>
  <c r="D125" i="95"/>
  <c r="D126" i="25"/>
  <c r="G125" i="25"/>
  <c r="E124" i="87"/>
  <c r="D124" i="87"/>
  <c r="G123" i="87"/>
  <c r="H53" i="27"/>
  <c r="I51" i="20"/>
  <c r="G50" i="73"/>
  <c r="I48" i="61"/>
  <c r="H49" i="45"/>
  <c r="I49" i="45" s="1"/>
  <c r="G44" i="83"/>
  <c r="I44" i="83" s="1"/>
  <c r="I42" i="99"/>
  <c r="I50" i="39"/>
  <c r="I46" i="66"/>
  <c r="D48" i="60"/>
  <c r="E48" i="60"/>
  <c r="E45" i="84"/>
  <c r="D45" i="84"/>
  <c r="D53" i="24"/>
  <c r="E53" i="24"/>
  <c r="B43" i="98"/>
  <c r="F43" i="98"/>
  <c r="H43" i="98"/>
  <c r="G43" i="98"/>
  <c r="E51" i="44"/>
  <c r="D51" i="44"/>
  <c r="I46" i="68"/>
  <c r="B46" i="76"/>
  <c r="F46" i="76"/>
  <c r="H46" i="76" s="1"/>
  <c r="B124" i="97"/>
  <c r="F124" i="97"/>
  <c r="I44" i="81"/>
  <c r="I42" i="97"/>
  <c r="D49" i="57"/>
  <c r="E49" i="57"/>
  <c r="E54" i="69"/>
  <c r="D54" i="69"/>
  <c r="E47" i="67"/>
  <c r="D47" i="67"/>
  <c r="D125" i="33"/>
  <c r="B125" i="33" s="1"/>
  <c r="G124" i="33"/>
  <c r="E125" i="33"/>
  <c r="F125" i="33" s="1"/>
  <c r="I52" i="31"/>
  <c r="G48" i="56"/>
  <c r="E49" i="56"/>
  <c r="D49" i="56"/>
  <c r="B45" i="85"/>
  <c r="F45" i="85"/>
  <c r="B72" i="35"/>
  <c r="H71" i="35"/>
  <c r="E72" i="35"/>
  <c r="F72" i="35" s="1"/>
  <c r="G71" i="35"/>
  <c r="D54" i="27"/>
  <c r="E54" i="27"/>
  <c r="F52" i="3"/>
  <c r="B52" i="3"/>
  <c r="G52" i="3"/>
  <c r="G44" i="84"/>
  <c r="B51" i="42"/>
  <c r="F51" i="42"/>
  <c r="E43" i="95"/>
  <c r="D43" i="95"/>
  <c r="H52" i="24"/>
  <c r="D51" i="74"/>
  <c r="E51" i="74"/>
  <c r="J123" i="33"/>
  <c r="D51" i="41"/>
  <c r="E51" i="41"/>
  <c r="E55" i="28"/>
  <c r="D55" i="28"/>
  <c r="J129" i="44"/>
  <c r="H48" i="57"/>
  <c r="I48" i="57" s="1"/>
  <c r="G53" i="69"/>
  <c r="H46" i="67"/>
  <c r="I46" i="67" s="1"/>
  <c r="E131" i="44"/>
  <c r="D131" i="44"/>
  <c r="G130" i="44"/>
  <c r="D53" i="31"/>
  <c r="E53" i="31"/>
  <c r="F46" i="77"/>
  <c r="H46" i="77" s="1"/>
  <c r="B46" i="77"/>
  <c r="G46" i="77"/>
  <c r="E51" i="73"/>
  <c r="D51" i="73"/>
  <c r="I44" i="82"/>
  <c r="J131" i="31"/>
  <c r="E47" i="65"/>
  <c r="D47" i="65"/>
  <c r="G46" i="65"/>
  <c r="I46" i="65" s="1"/>
  <c r="H46" i="65"/>
  <c r="G47" i="60"/>
  <c r="I129" i="43"/>
  <c r="H129" i="43"/>
  <c r="H50" i="44"/>
  <c r="E53" i="34"/>
  <c r="D53" i="34"/>
  <c r="E47" i="68"/>
  <c r="D47" i="68"/>
  <c r="I50" i="41"/>
  <c r="H123" i="97"/>
  <c r="I123" i="97"/>
  <c r="H45" i="79"/>
  <c r="I45" i="79" s="1"/>
  <c r="E46" i="79"/>
  <c r="D46" i="79"/>
  <c r="I47" i="63"/>
  <c r="I53" i="69"/>
  <c r="F43" i="97"/>
  <c r="B43" i="97"/>
  <c r="G43" i="97"/>
  <c r="E45" i="92"/>
  <c r="D45" i="92"/>
  <c r="G48" i="46"/>
  <c r="I48" i="46" s="1"/>
  <c r="D49" i="46"/>
  <c r="E49" i="46"/>
  <c r="D125" i="26"/>
  <c r="G124" i="26"/>
  <c r="B130" i="42"/>
  <c r="F130" i="42"/>
  <c r="B45" i="81"/>
  <c r="F45" i="81"/>
  <c r="G45" i="81" s="1"/>
  <c r="E47" i="33"/>
  <c r="F47" i="33" s="1"/>
  <c r="B47" i="33"/>
  <c r="I53" i="27"/>
  <c r="D47" i="66"/>
  <c r="E47" i="66"/>
  <c r="H47" i="60"/>
  <c r="I47" i="60" s="1"/>
  <c r="B130" i="43"/>
  <c r="F130" i="43"/>
  <c r="H44" i="84"/>
  <c r="I44" i="84" s="1"/>
  <c r="G52" i="24"/>
  <c r="I52" i="24" s="1"/>
  <c r="G50" i="44"/>
  <c r="I52" i="34"/>
  <c r="D48" i="63"/>
  <c r="E48" i="63"/>
  <c r="D50" i="45"/>
  <c r="E50" i="45"/>
  <c r="D45" i="83"/>
  <c r="E45" i="83"/>
  <c r="F49" i="72"/>
  <c r="G49" i="72" s="1"/>
  <c r="B49" i="72"/>
  <c r="G48" i="53"/>
  <c r="I48" i="53" s="1"/>
  <c r="D49" i="53"/>
  <c r="E49" i="53"/>
  <c r="D43" i="99"/>
  <c r="E43" i="99"/>
  <c r="G48" i="58"/>
  <c r="I48" i="58" s="1"/>
  <c r="E49" i="58"/>
  <c r="D49" i="58"/>
  <c r="D52" i="20"/>
  <c r="E52" i="20"/>
  <c r="B53" i="23"/>
  <c r="F53" i="23"/>
  <c r="G53" i="23"/>
  <c r="H48" i="56"/>
  <c r="I48" i="56" s="1"/>
  <c r="H44" i="92"/>
  <c r="I44" i="92" s="1"/>
  <c r="I50" i="73"/>
  <c r="I123" i="26"/>
  <c r="J123" i="26" s="1"/>
  <c r="H123" i="26"/>
  <c r="I70" i="35"/>
  <c r="I129" i="42"/>
  <c r="H129" i="42"/>
  <c r="D45" i="82"/>
  <c r="E45" i="82"/>
  <c r="G52" i="19"/>
  <c r="D53" i="19"/>
  <c r="E53" i="19"/>
  <c r="B51" i="43"/>
  <c r="F51" i="43"/>
  <c r="G51" i="43"/>
  <c r="E45" i="91"/>
  <c r="D45" i="91"/>
  <c r="G46" i="26"/>
  <c r="D47" i="26"/>
  <c r="G48" i="64"/>
  <c r="D49" i="64"/>
  <c r="E49" i="64"/>
  <c r="G51" i="17"/>
  <c r="D52" i="17"/>
  <c r="E52" i="17"/>
  <c r="B45" i="80"/>
  <c r="F45" i="80"/>
  <c r="G45" i="80" s="1"/>
  <c r="I45" i="75"/>
  <c r="H53" i="71"/>
  <c r="I53" i="71" s="1"/>
  <c r="E54" i="71"/>
  <c r="D54" i="71"/>
  <c r="G54" i="70"/>
  <c r="I54" i="70" s="1"/>
  <c r="D55" i="70"/>
  <c r="E55" i="70"/>
  <c r="B45" i="86"/>
  <c r="F45" i="86"/>
  <c r="G45" i="86" s="1"/>
  <c r="E133" i="31"/>
  <c r="G132" i="31"/>
  <c r="D133" i="31"/>
  <c r="B49" i="55"/>
  <c r="F49" i="55"/>
  <c r="H49" i="55" s="1"/>
  <c r="J122" i="91"/>
  <c r="G48" i="59"/>
  <c r="I48" i="59" s="1"/>
  <c r="E49" i="59"/>
  <c r="D49" i="59"/>
  <c r="G44" i="91"/>
  <c r="I44" i="91" s="1"/>
  <c r="H46" i="26"/>
  <c r="I46" i="26" s="1"/>
  <c r="E49" i="61"/>
  <c r="D49" i="61"/>
  <c r="H51" i="17"/>
  <c r="I51" i="17" s="1"/>
  <c r="H52" i="19"/>
  <c r="I52" i="19" s="1"/>
  <c r="H48" i="64"/>
  <c r="I48" i="64" s="1"/>
  <c r="J131" i="32"/>
  <c r="J122" i="92"/>
  <c r="G134" i="17"/>
  <c r="D135" i="17"/>
  <c r="E135" i="17"/>
  <c r="E137" i="70"/>
  <c r="G136" i="70"/>
  <c r="D137" i="70"/>
  <c r="J122" i="90"/>
  <c r="J127" i="58"/>
  <c r="J130" i="22"/>
  <c r="J122" i="86"/>
  <c r="J122" i="98"/>
  <c r="J123" i="100"/>
  <c r="J127" i="53"/>
  <c r="J129" i="74"/>
  <c r="J130" i="18"/>
  <c r="J128" i="45"/>
  <c r="D129" i="60"/>
  <c r="E129" i="60"/>
  <c r="G128" i="60"/>
  <c r="J124" i="77"/>
  <c r="B52" i="21"/>
  <c r="F52" i="21"/>
  <c r="G52" i="21" s="1"/>
  <c r="G131" i="22"/>
  <c r="D132" i="22"/>
  <c r="E132" i="22"/>
  <c r="F46" i="75"/>
  <c r="H46" i="75" s="1"/>
  <c r="B46" i="75"/>
  <c r="F46" i="78"/>
  <c r="B46" i="78"/>
  <c r="D133" i="32"/>
  <c r="G132" i="32"/>
  <c r="E133" i="32"/>
  <c r="F43" i="100"/>
  <c r="H43" i="100" s="1"/>
  <c r="B43" i="100"/>
  <c r="D128" i="61"/>
  <c r="G127" i="61"/>
  <c r="E128" i="61"/>
  <c r="F127" i="78"/>
  <c r="B127" i="78"/>
  <c r="J123" i="99"/>
  <c r="D131" i="55"/>
  <c r="G130" i="55"/>
  <c r="E131" i="55"/>
  <c r="F134" i="23"/>
  <c r="B134" i="23"/>
  <c r="G132" i="71"/>
  <c r="D133" i="71"/>
  <c r="E133" i="71"/>
  <c r="B132" i="34"/>
  <c r="F132" i="34"/>
  <c r="J125" i="82"/>
  <c r="I125" i="13"/>
  <c r="H125" i="13"/>
  <c r="D131" i="74"/>
  <c r="G130" i="74"/>
  <c r="E131" i="74"/>
  <c r="J130" i="21"/>
  <c r="J127" i="72"/>
  <c r="B45" i="88"/>
  <c r="F45" i="88"/>
  <c r="H45" i="88" s="1"/>
  <c r="D44" i="25"/>
  <c r="E44" i="25" s="1"/>
  <c r="J127" i="57"/>
  <c r="E125" i="100"/>
  <c r="G124" i="100"/>
  <c r="D125" i="100"/>
  <c r="J124" i="79"/>
  <c r="J132" i="69"/>
  <c r="J128" i="62"/>
  <c r="B128" i="63"/>
  <c r="F128" i="63"/>
  <c r="J127" i="56"/>
  <c r="G124" i="81"/>
  <c r="D125" i="81"/>
  <c r="E125" i="81"/>
  <c r="G128" i="58"/>
  <c r="D129" i="58"/>
  <c r="E129" i="58"/>
  <c r="B44" i="89"/>
  <c r="G44" i="89"/>
  <c r="F44" i="89"/>
  <c r="H44" i="89" s="1"/>
  <c r="J123" i="81"/>
  <c r="I128" i="67"/>
  <c r="J128" i="67" s="1"/>
  <c r="H128" i="67"/>
  <c r="J132" i="27"/>
  <c r="J126" i="61"/>
  <c r="E127" i="85"/>
  <c r="D127" i="85"/>
  <c r="G126" i="85"/>
  <c r="J132" i="30"/>
  <c r="E124" i="92"/>
  <c r="D124" i="92"/>
  <c r="G123" i="92"/>
  <c r="J125" i="65"/>
  <c r="F136" i="29"/>
  <c r="B136" i="29"/>
  <c r="B126" i="13"/>
  <c r="F126" i="13"/>
  <c r="G134" i="28"/>
  <c r="D135" i="28"/>
  <c r="E135" i="28"/>
  <c r="J123" i="80"/>
  <c r="G130" i="39"/>
  <c r="D131" i="39"/>
  <c r="E131" i="39"/>
  <c r="G126" i="68"/>
  <c r="D127" i="68"/>
  <c r="E127" i="68"/>
  <c r="J126" i="75"/>
  <c r="J123" i="83"/>
  <c r="D132" i="21"/>
  <c r="G131" i="21"/>
  <c r="E132" i="21"/>
  <c r="F52" i="18"/>
  <c r="H52" i="18" s="1"/>
  <c r="B52" i="18"/>
  <c r="D125" i="83"/>
  <c r="G124" i="83"/>
  <c r="E125" i="83"/>
  <c r="G133" i="30"/>
  <c r="D134" i="30"/>
  <c r="E134" i="30"/>
  <c r="H127" i="63"/>
  <c r="I127" i="63"/>
  <c r="D124" i="84"/>
  <c r="G123" i="84"/>
  <c r="E124" i="84"/>
  <c r="D134" i="69"/>
  <c r="G133" i="69"/>
  <c r="E134" i="69"/>
  <c r="B47" i="13"/>
  <c r="I131" i="34"/>
  <c r="H131" i="34"/>
  <c r="B43" i="96"/>
  <c r="F43" i="96"/>
  <c r="D128" i="59"/>
  <c r="G127" i="59"/>
  <c r="E128" i="59"/>
  <c r="D124" i="88"/>
  <c r="G123" i="88"/>
  <c r="E124" i="88"/>
  <c r="B129" i="67"/>
  <c r="F129" i="67"/>
  <c r="G125" i="77"/>
  <c r="D126" i="77"/>
  <c r="E126" i="77"/>
  <c r="D125" i="99"/>
  <c r="G124" i="99"/>
  <c r="E125" i="99"/>
  <c r="G124" i="80"/>
  <c r="D125" i="80"/>
  <c r="E125" i="80"/>
  <c r="D129" i="72"/>
  <c r="G128" i="72"/>
  <c r="E129" i="72"/>
  <c r="G123" i="96"/>
  <c r="D124" i="96"/>
  <c r="E124" i="96"/>
  <c r="D129" i="46"/>
  <c r="G128" i="46"/>
  <c r="E129" i="46"/>
  <c r="G128" i="54"/>
  <c r="D129" i="54"/>
  <c r="E129" i="54"/>
  <c r="J129" i="73"/>
  <c r="G129" i="45"/>
  <c r="D130" i="45"/>
  <c r="E130" i="45"/>
  <c r="D124" i="98"/>
  <c r="G123" i="98"/>
  <c r="E124" i="98"/>
  <c r="H126" i="78"/>
  <c r="I126" i="78"/>
  <c r="D128" i="75"/>
  <c r="G127" i="75"/>
  <c r="E128" i="75"/>
  <c r="I43" i="25"/>
  <c r="D124" i="86"/>
  <c r="G123" i="86"/>
  <c r="E124" i="86"/>
  <c r="J129" i="41"/>
  <c r="D127" i="65"/>
  <c r="G126" i="65"/>
  <c r="E127" i="65"/>
  <c r="J122" i="89"/>
  <c r="I44" i="88"/>
  <c r="J127" i="54"/>
  <c r="J122" i="96"/>
  <c r="G133" i="27"/>
  <c r="D134" i="27"/>
  <c r="E134" i="27"/>
  <c r="J129" i="39"/>
  <c r="J130" i="3"/>
  <c r="H131" i="19"/>
  <c r="I131" i="19"/>
  <c r="J124" i="76"/>
  <c r="D131" i="41"/>
  <c r="G130" i="41"/>
  <c r="E131" i="41"/>
  <c r="H133" i="23"/>
  <c r="I133" i="23"/>
  <c r="H126" i="66"/>
  <c r="I126" i="66"/>
  <c r="G130" i="73"/>
  <c r="D131" i="73"/>
  <c r="E131" i="73"/>
  <c r="H135" i="29"/>
  <c r="I135" i="29"/>
  <c r="G125" i="79"/>
  <c r="D126" i="79"/>
  <c r="E126" i="79"/>
  <c r="F52" i="22"/>
  <c r="G52" i="22" s="1"/>
  <c r="B52" i="22"/>
  <c r="I42" i="100"/>
  <c r="D132" i="18"/>
  <c r="G131" i="18"/>
  <c r="E132" i="18"/>
  <c r="B54" i="29"/>
  <c r="F54" i="29"/>
  <c r="G54" i="29" s="1"/>
  <c r="D124" i="89"/>
  <c r="G123" i="89"/>
  <c r="E124" i="89"/>
  <c r="B132" i="19"/>
  <c r="F132" i="19"/>
  <c r="D133" i="24"/>
  <c r="G132" i="24"/>
  <c r="E133" i="24"/>
  <c r="D124" i="91"/>
  <c r="G123" i="91"/>
  <c r="E124" i="91"/>
  <c r="B54" i="30"/>
  <c r="F54" i="30"/>
  <c r="H54" i="30" s="1"/>
  <c r="B44" i="90"/>
  <c r="F44" i="90"/>
  <c r="G44" i="90" s="1"/>
  <c r="H44" i="90"/>
  <c r="G128" i="53"/>
  <c r="D129" i="53"/>
  <c r="E129" i="53"/>
  <c r="J122" i="88"/>
  <c r="D132" i="3"/>
  <c r="G131" i="3"/>
  <c r="E132" i="3"/>
  <c r="J122" i="84"/>
  <c r="G127" i="64"/>
  <c r="D128" i="64"/>
  <c r="E128" i="64"/>
  <c r="J125" i="68"/>
  <c r="D130" i="62"/>
  <c r="E130" i="62"/>
  <c r="G129" i="62"/>
  <c r="J125" i="85"/>
  <c r="B48" i="62"/>
  <c r="F48" i="62"/>
  <c r="G48" i="62" s="1"/>
  <c r="F44" i="87"/>
  <c r="G44" i="87" s="1"/>
  <c r="B44" i="87"/>
  <c r="F51" i="39"/>
  <c r="H51" i="39" s="1"/>
  <c r="B51" i="39"/>
  <c r="E47" i="13"/>
  <c r="F47" i="13" s="1"/>
  <c r="D129" i="57"/>
  <c r="G128" i="57"/>
  <c r="E129" i="57"/>
  <c r="J133" i="20"/>
  <c r="D129" i="56"/>
  <c r="G128" i="56"/>
  <c r="E129" i="56"/>
  <c r="J126" i="59"/>
  <c r="B49" i="54"/>
  <c r="F49" i="54"/>
  <c r="G49" i="54" s="1"/>
  <c r="E135" i="20"/>
  <c r="G134" i="20"/>
  <c r="D135" i="20"/>
  <c r="B127" i="66"/>
  <c r="F127" i="66"/>
  <c r="D127" i="82"/>
  <c r="G126" i="82"/>
  <c r="E127" i="82"/>
  <c r="F53" i="32"/>
  <c r="B53" i="32"/>
  <c r="J131" i="24"/>
  <c r="D126" i="76"/>
  <c r="G125" i="76"/>
  <c r="E126" i="76"/>
  <c r="J129" i="55"/>
  <c r="D124" i="90"/>
  <c r="G123" i="90"/>
  <c r="E124" i="90"/>
  <c r="G49" i="55" l="1"/>
  <c r="F124" i="87"/>
  <c r="B124" i="87"/>
  <c r="F125" i="95"/>
  <c r="B125" i="95"/>
  <c r="J129" i="43"/>
  <c r="G46" i="76"/>
  <c r="I46" i="76" s="1"/>
  <c r="I43" i="98"/>
  <c r="H124" i="95"/>
  <c r="I124" i="95"/>
  <c r="J124" i="95" s="1"/>
  <c r="H49" i="72"/>
  <c r="I125" i="25"/>
  <c r="H125" i="25"/>
  <c r="G45" i="88"/>
  <c r="I123" i="87"/>
  <c r="J123" i="87" s="1"/>
  <c r="H123" i="87"/>
  <c r="E126" i="25"/>
  <c r="B126" i="25"/>
  <c r="F126" i="25"/>
  <c r="H47" i="33"/>
  <c r="D48" i="33"/>
  <c r="G47" i="33"/>
  <c r="I47" i="33" s="1"/>
  <c r="E54" i="23"/>
  <c r="D54" i="23"/>
  <c r="B49" i="58"/>
  <c r="H49" i="58"/>
  <c r="F49" i="58"/>
  <c r="B43" i="99"/>
  <c r="F43" i="99"/>
  <c r="G43" i="99" s="1"/>
  <c r="B49" i="46"/>
  <c r="F49" i="46"/>
  <c r="G49" i="46" s="1"/>
  <c r="F47" i="68"/>
  <c r="H47" i="68" s="1"/>
  <c r="B47" i="68"/>
  <c r="I50" i="44"/>
  <c r="I46" i="77"/>
  <c r="F51" i="41"/>
  <c r="B51" i="41"/>
  <c r="E52" i="42"/>
  <c r="D52" i="42"/>
  <c r="F54" i="27"/>
  <c r="B54" i="27"/>
  <c r="G54" i="27"/>
  <c r="H54" i="27"/>
  <c r="B47" i="67"/>
  <c r="F47" i="67"/>
  <c r="G47" i="67" s="1"/>
  <c r="G124" i="97"/>
  <c r="D125" i="97"/>
  <c r="E125" i="97"/>
  <c r="H48" i="62"/>
  <c r="I48" i="62" s="1"/>
  <c r="H52" i="21"/>
  <c r="I52" i="21" s="1"/>
  <c r="I49" i="55"/>
  <c r="B45" i="82"/>
  <c r="F45" i="82"/>
  <c r="G45" i="82" s="1"/>
  <c r="H45" i="82"/>
  <c r="I49" i="72"/>
  <c r="B45" i="83"/>
  <c r="F45" i="83"/>
  <c r="H45" i="83" s="1"/>
  <c r="B48" i="63"/>
  <c r="F48" i="63"/>
  <c r="H48" i="63" s="1"/>
  <c r="D46" i="81"/>
  <c r="E46" i="81"/>
  <c r="I124" i="26"/>
  <c r="H124" i="26"/>
  <c r="J123" i="97"/>
  <c r="F53" i="31"/>
  <c r="G53" i="31" s="1"/>
  <c r="B53" i="31"/>
  <c r="F55" i="28"/>
  <c r="G55" i="28" s="1"/>
  <c r="B55" i="28"/>
  <c r="F43" i="95"/>
  <c r="B43" i="95"/>
  <c r="E46" i="85"/>
  <c r="D46" i="85"/>
  <c r="B49" i="56"/>
  <c r="F49" i="56"/>
  <c r="G49" i="56"/>
  <c r="G125" i="33"/>
  <c r="D126" i="33"/>
  <c r="F49" i="57"/>
  <c r="G49" i="57" s="1"/>
  <c r="B49" i="57"/>
  <c r="G46" i="75"/>
  <c r="H49" i="53"/>
  <c r="B49" i="53"/>
  <c r="F49" i="53"/>
  <c r="G130" i="43"/>
  <c r="E131" i="43"/>
  <c r="D131" i="43"/>
  <c r="F47" i="66"/>
  <c r="G47" i="66"/>
  <c r="B47" i="66"/>
  <c r="H47" i="66"/>
  <c r="B125" i="26"/>
  <c r="E125" i="26"/>
  <c r="F125" i="26" s="1"/>
  <c r="B45" i="92"/>
  <c r="G45" i="92"/>
  <c r="F45" i="92"/>
  <c r="H45" i="92"/>
  <c r="B46" i="79"/>
  <c r="F46" i="79"/>
  <c r="G46" i="79" s="1"/>
  <c r="F53" i="34"/>
  <c r="G53" i="34" s="1"/>
  <c r="B53" i="34"/>
  <c r="H53" i="34"/>
  <c r="F47" i="65"/>
  <c r="B47" i="65"/>
  <c r="B51" i="73"/>
  <c r="H51" i="73"/>
  <c r="F51" i="73"/>
  <c r="H130" i="44"/>
  <c r="I130" i="44"/>
  <c r="G51" i="42"/>
  <c r="H52" i="3"/>
  <c r="I52" i="3" s="1"/>
  <c r="E53" i="3"/>
  <c r="D53" i="3"/>
  <c r="G72" i="35"/>
  <c r="H72" i="35"/>
  <c r="G45" i="85"/>
  <c r="I124" i="33"/>
  <c r="H124" i="33"/>
  <c r="B54" i="69"/>
  <c r="F54" i="69"/>
  <c r="H54" i="69" s="1"/>
  <c r="F53" i="24"/>
  <c r="H53" i="24" s="1"/>
  <c r="B53" i="24"/>
  <c r="F48" i="60"/>
  <c r="H48" i="60" s="1"/>
  <c r="B48" i="60"/>
  <c r="G52" i="18"/>
  <c r="I52" i="18" s="1"/>
  <c r="J129" i="42"/>
  <c r="H53" i="23"/>
  <c r="I53" i="23" s="1"/>
  <c r="F52" i="20"/>
  <c r="G52" i="20" s="1"/>
  <c r="B52" i="20"/>
  <c r="H52" i="20"/>
  <c r="E50" i="72"/>
  <c r="D50" i="72"/>
  <c r="B50" i="45"/>
  <c r="F50" i="45"/>
  <c r="H45" i="81"/>
  <c r="I45" i="81" s="1"/>
  <c r="G130" i="42"/>
  <c r="E131" i="42"/>
  <c r="D131" i="42"/>
  <c r="H43" i="97"/>
  <c r="I43" i="97" s="1"/>
  <c r="D44" i="97"/>
  <c r="E44" i="97"/>
  <c r="D47" i="77"/>
  <c r="E47" i="77"/>
  <c r="B131" i="44"/>
  <c r="F131" i="44"/>
  <c r="B51" i="74"/>
  <c r="F51" i="74"/>
  <c r="G51" i="74" s="1"/>
  <c r="H51" i="42"/>
  <c r="I51" i="42" s="1"/>
  <c r="I71" i="35"/>
  <c r="H45" i="85"/>
  <c r="I45" i="85" s="1"/>
  <c r="D47" i="76"/>
  <c r="E47" i="76"/>
  <c r="B51" i="44"/>
  <c r="H51" i="44"/>
  <c r="F51" i="44"/>
  <c r="D44" i="98"/>
  <c r="E44" i="98"/>
  <c r="B45" i="84"/>
  <c r="F45" i="84"/>
  <c r="H45" i="84" s="1"/>
  <c r="G45" i="84"/>
  <c r="I132" i="31"/>
  <c r="J132" i="31" s="1"/>
  <c r="H132" i="31"/>
  <c r="B49" i="61"/>
  <c r="F49" i="61"/>
  <c r="G49" i="61" s="1"/>
  <c r="H45" i="86"/>
  <c r="E46" i="86"/>
  <c r="D46" i="86"/>
  <c r="B55" i="70"/>
  <c r="F55" i="70"/>
  <c r="H55" i="70" s="1"/>
  <c r="F49" i="64"/>
  <c r="B49" i="64"/>
  <c r="B47" i="26"/>
  <c r="D52" i="43"/>
  <c r="E52" i="43"/>
  <c r="F53" i="19"/>
  <c r="H53" i="19" s="1"/>
  <c r="B53" i="19"/>
  <c r="I45" i="86"/>
  <c r="B45" i="91"/>
  <c r="F45" i="91"/>
  <c r="G45" i="91" s="1"/>
  <c r="I44" i="89"/>
  <c r="I46" i="75"/>
  <c r="F49" i="59"/>
  <c r="H49" i="59" s="1"/>
  <c r="B49" i="59"/>
  <c r="E50" i="55"/>
  <c r="D50" i="55"/>
  <c r="H52" i="17"/>
  <c r="C61" i="17"/>
  <c r="F52" i="17"/>
  <c r="B52" i="17"/>
  <c r="G52" i="17"/>
  <c r="I52" i="17" s="1"/>
  <c r="E47" i="26"/>
  <c r="F47" i="26" s="1"/>
  <c r="G43" i="100"/>
  <c r="I43" i="100" s="1"/>
  <c r="F133" i="31"/>
  <c r="B133" i="31"/>
  <c r="F54" i="71"/>
  <c r="G54" i="71" s="1"/>
  <c r="B54" i="71"/>
  <c r="H45" i="80"/>
  <c r="I45" i="80" s="1"/>
  <c r="E46" i="80"/>
  <c r="D46" i="80"/>
  <c r="H51" i="43"/>
  <c r="I51" i="43" s="1"/>
  <c r="F129" i="60"/>
  <c r="B129" i="60"/>
  <c r="B135" i="17"/>
  <c r="F135" i="17"/>
  <c r="F137" i="70"/>
  <c r="B137" i="70"/>
  <c r="I134" i="17"/>
  <c r="H134" i="17"/>
  <c r="H136" i="70"/>
  <c r="I136" i="70"/>
  <c r="J136" i="70" s="1"/>
  <c r="H128" i="60"/>
  <c r="I128" i="60"/>
  <c r="J128" i="60" s="1"/>
  <c r="J127" i="63"/>
  <c r="D48" i="13"/>
  <c r="G47" i="13"/>
  <c r="H47" i="13"/>
  <c r="H134" i="20"/>
  <c r="I134" i="20"/>
  <c r="I127" i="64"/>
  <c r="H127" i="64"/>
  <c r="B124" i="89"/>
  <c r="F124" i="89"/>
  <c r="H131" i="18"/>
  <c r="I131" i="18"/>
  <c r="J131" i="18" s="1"/>
  <c r="D53" i="22"/>
  <c r="E53" i="22"/>
  <c r="H128" i="54"/>
  <c r="I128" i="54"/>
  <c r="H128" i="72"/>
  <c r="I128" i="72"/>
  <c r="B128" i="59"/>
  <c r="F128" i="59"/>
  <c r="D44" i="96"/>
  <c r="E44" i="96"/>
  <c r="B127" i="68"/>
  <c r="F127" i="68"/>
  <c r="I134" i="28"/>
  <c r="J134" i="28" s="1"/>
  <c r="H134" i="28"/>
  <c r="I126" i="85"/>
  <c r="H126" i="85"/>
  <c r="D47" i="78"/>
  <c r="E47" i="78"/>
  <c r="H128" i="57"/>
  <c r="I128" i="57"/>
  <c r="I129" i="62"/>
  <c r="H129" i="62"/>
  <c r="D55" i="30"/>
  <c r="E55" i="30"/>
  <c r="H54" i="29"/>
  <c r="I54" i="29" s="1"/>
  <c r="F132" i="18"/>
  <c r="B132" i="18"/>
  <c r="H52" i="22"/>
  <c r="I52" i="22" s="1"/>
  <c r="F129" i="72"/>
  <c r="B129" i="72"/>
  <c r="I123" i="88"/>
  <c r="H123" i="88"/>
  <c r="G43" i="96"/>
  <c r="J131" i="34"/>
  <c r="D53" i="18"/>
  <c r="E53" i="18"/>
  <c r="H126" i="68"/>
  <c r="I126" i="68"/>
  <c r="F127" i="85"/>
  <c r="B127" i="85"/>
  <c r="E46" i="88"/>
  <c r="D46" i="88"/>
  <c r="J125" i="13"/>
  <c r="E53" i="21"/>
  <c r="D53" i="21"/>
  <c r="D54" i="32"/>
  <c r="E54" i="32"/>
  <c r="B131" i="73"/>
  <c r="F131" i="73"/>
  <c r="H126" i="65"/>
  <c r="I126" i="65"/>
  <c r="B129" i="53"/>
  <c r="F129" i="53"/>
  <c r="D45" i="90"/>
  <c r="E45" i="90"/>
  <c r="H130" i="73"/>
  <c r="I130" i="73"/>
  <c r="H133" i="27"/>
  <c r="I133" i="27"/>
  <c r="J133" i="27" s="1"/>
  <c r="B125" i="80"/>
  <c r="F125" i="80"/>
  <c r="I133" i="69"/>
  <c r="H133" i="69"/>
  <c r="D52" i="39"/>
  <c r="E52" i="39"/>
  <c r="B132" i="3"/>
  <c r="F132" i="3"/>
  <c r="I128" i="53"/>
  <c r="H128" i="53"/>
  <c r="G54" i="30"/>
  <c r="I54" i="30" s="1"/>
  <c r="E133" i="19"/>
  <c r="D133" i="19"/>
  <c r="G132" i="19"/>
  <c r="J126" i="66"/>
  <c r="I130" i="41"/>
  <c r="H130" i="41"/>
  <c r="B124" i="86"/>
  <c r="F124" i="86"/>
  <c r="F124" i="98"/>
  <c r="B124" i="98"/>
  <c r="B129" i="46"/>
  <c r="F129" i="46"/>
  <c r="H124" i="80"/>
  <c r="I124" i="80"/>
  <c r="F126" i="77"/>
  <c r="B126" i="77"/>
  <c r="B134" i="69"/>
  <c r="F134" i="69"/>
  <c r="H133" i="30"/>
  <c r="I133" i="30"/>
  <c r="F132" i="21"/>
  <c r="B132" i="21"/>
  <c r="H130" i="39"/>
  <c r="I130" i="39"/>
  <c r="H123" i="92"/>
  <c r="I123" i="92"/>
  <c r="E129" i="63"/>
  <c r="D129" i="63"/>
  <c r="G128" i="63"/>
  <c r="I130" i="55"/>
  <c r="H130" i="55"/>
  <c r="D44" i="100"/>
  <c r="E44" i="100"/>
  <c r="E47" i="75"/>
  <c r="D47" i="75"/>
  <c r="E45" i="87"/>
  <c r="D45" i="87"/>
  <c r="D55" i="29"/>
  <c r="E55" i="29"/>
  <c r="B124" i="88"/>
  <c r="F124" i="88"/>
  <c r="B129" i="58"/>
  <c r="F129" i="58"/>
  <c r="E135" i="23"/>
  <c r="D135" i="23"/>
  <c r="G134" i="23"/>
  <c r="D50" i="54"/>
  <c r="E50" i="54"/>
  <c r="I131" i="3"/>
  <c r="H131" i="3"/>
  <c r="B134" i="30"/>
  <c r="F134" i="30"/>
  <c r="I131" i="21"/>
  <c r="J131" i="21" s="1"/>
  <c r="H131" i="21"/>
  <c r="D127" i="13"/>
  <c r="G126" i="13"/>
  <c r="D133" i="34"/>
  <c r="G132" i="34"/>
  <c r="E133" i="34"/>
  <c r="H53" i="32"/>
  <c r="H49" i="54"/>
  <c r="I49" i="54" s="1"/>
  <c r="H128" i="56"/>
  <c r="I128" i="56"/>
  <c r="G51" i="39"/>
  <c r="I51" i="39" s="1"/>
  <c r="D49" i="62"/>
  <c r="E49" i="62"/>
  <c r="I123" i="91"/>
  <c r="H123" i="91"/>
  <c r="F126" i="79"/>
  <c r="B126" i="79"/>
  <c r="B131" i="41"/>
  <c r="F131" i="41"/>
  <c r="J131" i="19"/>
  <c r="I127" i="75"/>
  <c r="H127" i="75"/>
  <c r="H125" i="77"/>
  <c r="I125" i="77"/>
  <c r="F124" i="92"/>
  <c r="B124" i="92"/>
  <c r="F125" i="81"/>
  <c r="B125" i="81"/>
  <c r="F125" i="100"/>
  <c r="B125" i="100"/>
  <c r="B44" i="25"/>
  <c r="F44" i="25"/>
  <c r="H44" i="25" s="1"/>
  <c r="F131" i="55"/>
  <c r="B131" i="55"/>
  <c r="H127" i="61"/>
  <c r="I127" i="61"/>
  <c r="H46" i="78"/>
  <c r="G127" i="66"/>
  <c r="D128" i="66"/>
  <c r="E128" i="66"/>
  <c r="I44" i="90"/>
  <c r="I132" i="24"/>
  <c r="H132" i="24"/>
  <c r="B130" i="62"/>
  <c r="F130" i="62"/>
  <c r="F127" i="65"/>
  <c r="B127" i="65"/>
  <c r="I123" i="98"/>
  <c r="H123" i="98"/>
  <c r="H128" i="46"/>
  <c r="I128" i="46"/>
  <c r="H128" i="58"/>
  <c r="I128" i="58"/>
  <c r="J128" i="58" s="1"/>
  <c r="I123" i="90"/>
  <c r="H123" i="90"/>
  <c r="I125" i="76"/>
  <c r="H125" i="76"/>
  <c r="H126" i="82"/>
  <c r="I126" i="82"/>
  <c r="B129" i="56"/>
  <c r="F129" i="56"/>
  <c r="B124" i="91"/>
  <c r="F124" i="91"/>
  <c r="H125" i="79"/>
  <c r="I125" i="79"/>
  <c r="J125" i="79" s="1"/>
  <c r="J133" i="23"/>
  <c r="F128" i="75"/>
  <c r="B128" i="75"/>
  <c r="B130" i="45"/>
  <c r="F130" i="45"/>
  <c r="B124" i="96"/>
  <c r="F124" i="96"/>
  <c r="I124" i="99"/>
  <c r="H124" i="99"/>
  <c r="G129" i="67"/>
  <c r="D130" i="67"/>
  <c r="E130" i="67"/>
  <c r="H123" i="84"/>
  <c r="I123" i="84"/>
  <c r="H124" i="83"/>
  <c r="I124" i="83"/>
  <c r="D137" i="29"/>
  <c r="G136" i="29"/>
  <c r="E137" i="29"/>
  <c r="E45" i="89"/>
  <c r="D45" i="89"/>
  <c r="I124" i="81"/>
  <c r="H124" i="81"/>
  <c r="H124" i="100"/>
  <c r="I124" i="100"/>
  <c r="J124" i="100" s="1"/>
  <c r="H130" i="74"/>
  <c r="I130" i="74"/>
  <c r="B133" i="71"/>
  <c r="F133" i="71"/>
  <c r="B128" i="61"/>
  <c r="F128" i="61"/>
  <c r="I132" i="32"/>
  <c r="H132" i="32"/>
  <c r="F132" i="22"/>
  <c r="B132" i="22"/>
  <c r="F129" i="57"/>
  <c r="B129" i="57"/>
  <c r="F134" i="27"/>
  <c r="B134" i="27"/>
  <c r="B133" i="24"/>
  <c r="F133" i="24"/>
  <c r="I123" i="86"/>
  <c r="H123" i="86"/>
  <c r="F131" i="39"/>
  <c r="B131" i="39"/>
  <c r="E128" i="78"/>
  <c r="G127" i="78"/>
  <c r="D128" i="78"/>
  <c r="B124" i="90"/>
  <c r="F124" i="90"/>
  <c r="B126" i="76"/>
  <c r="F126" i="76"/>
  <c r="G53" i="32"/>
  <c r="F127" i="82"/>
  <c r="B127" i="82"/>
  <c r="F135" i="20"/>
  <c r="B135" i="20"/>
  <c r="H44" i="87"/>
  <c r="I44" i="87" s="1"/>
  <c r="F128" i="64"/>
  <c r="B128" i="64"/>
  <c r="H123" i="89"/>
  <c r="I123" i="89"/>
  <c r="J135" i="29"/>
  <c r="J126" i="78"/>
  <c r="H129" i="45"/>
  <c r="I129" i="45"/>
  <c r="F129" i="54"/>
  <c r="B129" i="54"/>
  <c r="I123" i="96"/>
  <c r="H123" i="96"/>
  <c r="B125" i="99"/>
  <c r="F125" i="99"/>
  <c r="H127" i="59"/>
  <c r="I127" i="59"/>
  <c r="H43" i="96"/>
  <c r="F124" i="84"/>
  <c r="B124" i="84"/>
  <c r="B125" i="83"/>
  <c r="F125" i="83"/>
  <c r="B135" i="28"/>
  <c r="F135" i="28"/>
  <c r="I45" i="88"/>
  <c r="B131" i="74"/>
  <c r="F131" i="74"/>
  <c r="H132" i="71"/>
  <c r="I132" i="71"/>
  <c r="J132" i="71" s="1"/>
  <c r="F133" i="32"/>
  <c r="B133" i="32"/>
  <c r="G46" i="78"/>
  <c r="H131" i="22"/>
  <c r="I131" i="22"/>
  <c r="J131" i="22" s="1"/>
  <c r="I53" i="34" l="1"/>
  <c r="I45" i="82"/>
  <c r="G47" i="68"/>
  <c r="I47" i="68" s="1"/>
  <c r="G126" i="25"/>
  <c r="D127" i="25"/>
  <c r="J128" i="53"/>
  <c r="D125" i="87"/>
  <c r="G124" i="87"/>
  <c r="E125" i="87"/>
  <c r="I45" i="92"/>
  <c r="I47" i="13"/>
  <c r="J124" i="26"/>
  <c r="J125" i="25"/>
  <c r="D126" i="95"/>
  <c r="E126" i="95"/>
  <c r="G125" i="95"/>
  <c r="J128" i="56"/>
  <c r="H49" i="61"/>
  <c r="E52" i="44"/>
  <c r="D52" i="44"/>
  <c r="B47" i="76"/>
  <c r="F47" i="76"/>
  <c r="G47" i="76" s="1"/>
  <c r="H51" i="74"/>
  <c r="I51" i="74" s="1"/>
  <c r="E132" i="44"/>
  <c r="G131" i="44"/>
  <c r="D132" i="44"/>
  <c r="G50" i="45"/>
  <c r="E51" i="45"/>
  <c r="D51" i="45"/>
  <c r="I52" i="20"/>
  <c r="D54" i="34"/>
  <c r="E54" i="34"/>
  <c r="H46" i="79"/>
  <c r="I46" i="79" s="1"/>
  <c r="I47" i="66"/>
  <c r="B131" i="43"/>
  <c r="F131" i="43"/>
  <c r="E50" i="53"/>
  <c r="D50" i="53"/>
  <c r="E126" i="33"/>
  <c r="F126" i="33" s="1"/>
  <c r="B126" i="33"/>
  <c r="G48" i="63"/>
  <c r="I48" i="63" s="1"/>
  <c r="G45" i="83"/>
  <c r="I45" i="83" s="1"/>
  <c r="I54" i="27"/>
  <c r="D50" i="46"/>
  <c r="E50" i="46"/>
  <c r="H43" i="99"/>
  <c r="I43" i="99" s="1"/>
  <c r="E44" i="99"/>
  <c r="D44" i="99"/>
  <c r="I45" i="84"/>
  <c r="F44" i="97"/>
  <c r="B44" i="97"/>
  <c r="G44" i="97"/>
  <c r="I130" i="42"/>
  <c r="J130" i="42" s="1"/>
  <c r="H130" i="42"/>
  <c r="I72" i="35"/>
  <c r="I73" i="35" s="1"/>
  <c r="G51" i="73"/>
  <c r="E52" i="73"/>
  <c r="D52" i="73"/>
  <c r="H47" i="65"/>
  <c r="I47" i="65" s="1"/>
  <c r="D48" i="65"/>
  <c r="E48" i="65"/>
  <c r="G47" i="65"/>
  <c r="D50" i="57"/>
  <c r="E50" i="57"/>
  <c r="H125" i="33"/>
  <c r="I125" i="33"/>
  <c r="J125" i="33" s="1"/>
  <c r="F46" i="85"/>
  <c r="H46" i="85" s="1"/>
  <c r="B46" i="85"/>
  <c r="H43" i="95"/>
  <c r="D44" i="95"/>
  <c r="E44" i="95"/>
  <c r="D56" i="28"/>
  <c r="E56" i="28"/>
  <c r="E54" i="31"/>
  <c r="D54" i="31"/>
  <c r="D48" i="67"/>
  <c r="E48" i="67"/>
  <c r="F52" i="42"/>
  <c r="G52" i="42" s="1"/>
  <c r="H52" i="42"/>
  <c r="B52" i="42"/>
  <c r="G51" i="41"/>
  <c r="D52" i="41"/>
  <c r="E52" i="41"/>
  <c r="H44" i="98"/>
  <c r="B44" i="98"/>
  <c r="F44" i="98"/>
  <c r="G44" i="98"/>
  <c r="D52" i="74"/>
  <c r="E52" i="74"/>
  <c r="F50" i="72"/>
  <c r="B50" i="72"/>
  <c r="H50" i="72"/>
  <c r="D49" i="60"/>
  <c r="E49" i="60"/>
  <c r="D54" i="24"/>
  <c r="E54" i="24"/>
  <c r="I51" i="73"/>
  <c r="E47" i="79"/>
  <c r="D47" i="79"/>
  <c r="G125" i="26"/>
  <c r="D126" i="26"/>
  <c r="I130" i="43"/>
  <c r="H130" i="43"/>
  <c r="E49" i="63"/>
  <c r="D49" i="63"/>
  <c r="D46" i="83"/>
  <c r="E46" i="83"/>
  <c r="F125" i="97"/>
  <c r="B125" i="97"/>
  <c r="F54" i="23"/>
  <c r="H54" i="23" s="1"/>
  <c r="I54" i="23" s="1"/>
  <c r="B54" i="23"/>
  <c r="G54" i="23"/>
  <c r="E48" i="33"/>
  <c r="F48" i="33" s="1"/>
  <c r="B48" i="33"/>
  <c r="D46" i="84"/>
  <c r="E46" i="84"/>
  <c r="G51" i="44"/>
  <c r="I51" i="44" s="1"/>
  <c r="B47" i="77"/>
  <c r="F47" i="77"/>
  <c r="G47" i="77" s="1"/>
  <c r="F131" i="42"/>
  <c r="B131" i="42"/>
  <c r="H50" i="45"/>
  <c r="I50" i="45" s="1"/>
  <c r="D53" i="20"/>
  <c r="E53" i="20"/>
  <c r="G48" i="60"/>
  <c r="I48" i="60" s="1"/>
  <c r="G53" i="24"/>
  <c r="I53" i="24" s="1"/>
  <c r="G54" i="69"/>
  <c r="I54" i="69" s="1"/>
  <c r="E55" i="69"/>
  <c r="D55" i="69"/>
  <c r="J124" i="33"/>
  <c r="B53" i="3"/>
  <c r="F53" i="3"/>
  <c r="H53" i="3" s="1"/>
  <c r="J130" i="44"/>
  <c r="D46" i="92"/>
  <c r="E46" i="92"/>
  <c r="E48" i="66"/>
  <c r="D48" i="66"/>
  <c r="G49" i="53"/>
  <c r="I49" i="53" s="1"/>
  <c r="H49" i="57"/>
  <c r="I49" i="57" s="1"/>
  <c r="H49" i="56"/>
  <c r="I49" i="56" s="1"/>
  <c r="D50" i="56"/>
  <c r="E50" i="56"/>
  <c r="G43" i="95"/>
  <c r="I43" i="95" s="1"/>
  <c r="H55" i="28"/>
  <c r="I55" i="28" s="1"/>
  <c r="H53" i="31"/>
  <c r="I53" i="31" s="1"/>
  <c r="F46" i="81"/>
  <c r="H46" i="81" s="1"/>
  <c r="B46" i="81"/>
  <c r="E46" i="82"/>
  <c r="D46" i="82"/>
  <c r="I124" i="97"/>
  <c r="H124" i="97"/>
  <c r="H47" i="67"/>
  <c r="I47" i="67" s="1"/>
  <c r="E55" i="27"/>
  <c r="D55" i="27"/>
  <c r="H51" i="41"/>
  <c r="I51" i="41" s="1"/>
  <c r="D48" i="68"/>
  <c r="E48" i="68"/>
  <c r="H49" i="46"/>
  <c r="I49" i="46" s="1"/>
  <c r="G49" i="58"/>
  <c r="I49" i="58" s="1"/>
  <c r="D50" i="58"/>
  <c r="E50" i="58"/>
  <c r="D48" i="26"/>
  <c r="E48" i="26" s="1"/>
  <c r="G47" i="26"/>
  <c r="H47" i="26"/>
  <c r="I47" i="26" s="1"/>
  <c r="B50" i="55"/>
  <c r="F50" i="55"/>
  <c r="H50" i="55" s="1"/>
  <c r="G49" i="59"/>
  <c r="D50" i="59"/>
  <c r="E50" i="59"/>
  <c r="E46" i="91"/>
  <c r="D46" i="91"/>
  <c r="H52" i="43"/>
  <c r="B52" i="43"/>
  <c r="F52" i="43"/>
  <c r="G52" i="43" s="1"/>
  <c r="G49" i="64"/>
  <c r="D50" i="64"/>
  <c r="E50" i="64"/>
  <c r="I49" i="61"/>
  <c r="I49" i="59"/>
  <c r="E54" i="19"/>
  <c r="D54" i="19"/>
  <c r="J123" i="89"/>
  <c r="I46" i="78"/>
  <c r="B46" i="80"/>
  <c r="F46" i="80"/>
  <c r="G46" i="80" s="1"/>
  <c r="E55" i="71"/>
  <c r="D55" i="71"/>
  <c r="D134" i="31"/>
  <c r="G133" i="31"/>
  <c r="E134" i="31"/>
  <c r="E53" i="17"/>
  <c r="D53" i="17"/>
  <c r="G53" i="19"/>
  <c r="I53" i="19" s="1"/>
  <c r="H46" i="86"/>
  <c r="F46" i="86"/>
  <c r="G46" i="86" s="1"/>
  <c r="B46" i="86"/>
  <c r="E50" i="61"/>
  <c r="D50" i="61"/>
  <c r="J123" i="92"/>
  <c r="J133" i="30"/>
  <c r="J128" i="54"/>
  <c r="H54" i="71"/>
  <c r="I54" i="71" s="1"/>
  <c r="H45" i="91"/>
  <c r="I45" i="91" s="1"/>
  <c r="H49" i="64"/>
  <c r="G55" i="70"/>
  <c r="I55" i="70" s="1"/>
  <c r="D56" i="70"/>
  <c r="E56" i="70"/>
  <c r="J130" i="73"/>
  <c r="J134" i="17"/>
  <c r="J129" i="62"/>
  <c r="J132" i="32"/>
  <c r="J130" i="39"/>
  <c r="J133" i="69"/>
  <c r="J128" i="57"/>
  <c r="J134" i="20"/>
  <c r="D138" i="70"/>
  <c r="G137" i="70"/>
  <c r="E138" i="70"/>
  <c r="J130" i="55"/>
  <c r="J124" i="99"/>
  <c r="J131" i="3"/>
  <c r="J123" i="84"/>
  <c r="E136" i="17"/>
  <c r="D136" i="17"/>
  <c r="F136" i="17" s="1"/>
  <c r="G135" i="17"/>
  <c r="D130" i="60"/>
  <c r="G129" i="60"/>
  <c r="E130" i="60"/>
  <c r="G124" i="90"/>
  <c r="D125" i="90"/>
  <c r="E125" i="90"/>
  <c r="G131" i="39"/>
  <c r="D132" i="39"/>
  <c r="E132" i="39"/>
  <c r="D129" i="61"/>
  <c r="G128" i="61"/>
  <c r="E129" i="61"/>
  <c r="F137" i="29"/>
  <c r="B137" i="29"/>
  <c r="H129" i="67"/>
  <c r="I129" i="67"/>
  <c r="G44" i="25"/>
  <c r="I44" i="25" s="1"/>
  <c r="B49" i="62"/>
  <c r="F49" i="62"/>
  <c r="G129" i="58"/>
  <c r="D130" i="58"/>
  <c r="E130" i="58"/>
  <c r="G134" i="69"/>
  <c r="D135" i="69"/>
  <c r="E135" i="69"/>
  <c r="G126" i="77"/>
  <c r="D127" i="77"/>
  <c r="E127" i="77"/>
  <c r="H46" i="88"/>
  <c r="B46" i="88"/>
  <c r="F46" i="88"/>
  <c r="D128" i="68"/>
  <c r="G127" i="68"/>
  <c r="E128" i="68"/>
  <c r="G133" i="32"/>
  <c r="D134" i="32"/>
  <c r="E134" i="32"/>
  <c r="D126" i="99"/>
  <c r="G125" i="99"/>
  <c r="E126" i="99"/>
  <c r="D130" i="57"/>
  <c r="G129" i="57"/>
  <c r="E130" i="57"/>
  <c r="J124" i="83"/>
  <c r="J123" i="90"/>
  <c r="J128" i="46"/>
  <c r="J132" i="24"/>
  <c r="G126" i="79"/>
  <c r="D127" i="79"/>
  <c r="E127" i="79"/>
  <c r="I132" i="34"/>
  <c r="H132" i="34"/>
  <c r="G134" i="30"/>
  <c r="D135" i="30"/>
  <c r="E135" i="30"/>
  <c r="F50" i="54"/>
  <c r="H50" i="54" s="1"/>
  <c r="B50" i="54"/>
  <c r="J124" i="80"/>
  <c r="F55" i="30"/>
  <c r="H55" i="30" s="1"/>
  <c r="B55" i="30"/>
  <c r="J126" i="85"/>
  <c r="F53" i="22"/>
  <c r="G53" i="22" s="1"/>
  <c r="B53" i="22"/>
  <c r="D136" i="20"/>
  <c r="G135" i="20"/>
  <c r="E136" i="20"/>
  <c r="J124" i="81"/>
  <c r="I134" i="23"/>
  <c r="H134" i="23"/>
  <c r="J130" i="41"/>
  <c r="G132" i="3"/>
  <c r="D133" i="3"/>
  <c r="E133" i="3"/>
  <c r="J123" i="96"/>
  <c r="G127" i="82"/>
  <c r="D128" i="82"/>
  <c r="E128" i="82"/>
  <c r="B128" i="78"/>
  <c r="F128" i="78"/>
  <c r="G133" i="71"/>
  <c r="D134" i="71"/>
  <c r="E134" i="71"/>
  <c r="B45" i="89"/>
  <c r="F45" i="89"/>
  <c r="G45" i="89" s="1"/>
  <c r="G124" i="96"/>
  <c r="D125" i="96"/>
  <c r="E125" i="96"/>
  <c r="J126" i="82"/>
  <c r="J123" i="98"/>
  <c r="J127" i="61"/>
  <c r="E125" i="92"/>
  <c r="D125" i="92"/>
  <c r="G124" i="92"/>
  <c r="J127" i="75"/>
  <c r="I126" i="13"/>
  <c r="H126" i="13"/>
  <c r="B135" i="23"/>
  <c r="F135" i="23"/>
  <c r="F44" i="100"/>
  <c r="H44" i="100" s="1"/>
  <c r="B44" i="100"/>
  <c r="F129" i="63"/>
  <c r="B129" i="63"/>
  <c r="G124" i="98"/>
  <c r="D125" i="98"/>
  <c r="E125" i="98"/>
  <c r="J126" i="65"/>
  <c r="D130" i="72"/>
  <c r="G129" i="72"/>
  <c r="E130" i="72"/>
  <c r="G128" i="59"/>
  <c r="D129" i="59"/>
  <c r="E129" i="59"/>
  <c r="D125" i="89"/>
  <c r="G124" i="89"/>
  <c r="E125" i="89"/>
  <c r="J127" i="64"/>
  <c r="G125" i="83"/>
  <c r="D126" i="83"/>
  <c r="E126" i="83"/>
  <c r="G124" i="91"/>
  <c r="D125" i="91"/>
  <c r="E125" i="91"/>
  <c r="D45" i="25"/>
  <c r="E45" i="25" s="1"/>
  <c r="B53" i="18"/>
  <c r="F53" i="18"/>
  <c r="D133" i="18"/>
  <c r="G132" i="18"/>
  <c r="E133" i="18"/>
  <c r="J123" i="91"/>
  <c r="B47" i="78"/>
  <c r="F47" i="78"/>
  <c r="G47" i="78" s="1"/>
  <c r="B44" i="96"/>
  <c r="F44" i="96"/>
  <c r="H44" i="96" s="1"/>
  <c r="G132" i="22"/>
  <c r="D133" i="22"/>
  <c r="E133" i="22"/>
  <c r="G125" i="100"/>
  <c r="D126" i="100"/>
  <c r="E126" i="100"/>
  <c r="I53" i="32"/>
  <c r="B127" i="13"/>
  <c r="B55" i="29"/>
  <c r="F55" i="29"/>
  <c r="H55" i="29" s="1"/>
  <c r="D130" i="46"/>
  <c r="G129" i="46"/>
  <c r="E130" i="46"/>
  <c r="D125" i="86"/>
  <c r="G124" i="86"/>
  <c r="E125" i="86"/>
  <c r="H132" i="19"/>
  <c r="I132" i="19"/>
  <c r="J132" i="19" s="1"/>
  <c r="B45" i="90"/>
  <c r="F45" i="90"/>
  <c r="H45" i="90" s="1"/>
  <c r="F54" i="32"/>
  <c r="G54" i="32" s="1"/>
  <c r="B54" i="32"/>
  <c r="H54" i="32"/>
  <c r="B48" i="13"/>
  <c r="G129" i="56"/>
  <c r="D130" i="56"/>
  <c r="E130" i="56"/>
  <c r="F128" i="66"/>
  <c r="B128" i="66"/>
  <c r="D131" i="45"/>
  <c r="G130" i="45"/>
  <c r="E131" i="45"/>
  <c r="H127" i="66"/>
  <c r="I127" i="66"/>
  <c r="G132" i="21"/>
  <c r="D133" i="21"/>
  <c r="E133" i="21"/>
  <c r="I43" i="96"/>
  <c r="G129" i="54"/>
  <c r="D130" i="54"/>
  <c r="E130" i="54"/>
  <c r="D127" i="76"/>
  <c r="G126" i="76"/>
  <c r="E127" i="76"/>
  <c r="J123" i="86"/>
  <c r="J130" i="74"/>
  <c r="G128" i="75"/>
  <c r="E129" i="75"/>
  <c r="D129" i="75"/>
  <c r="D128" i="65"/>
  <c r="G127" i="65"/>
  <c r="E128" i="65"/>
  <c r="G131" i="41"/>
  <c r="D132" i="41"/>
  <c r="E132" i="41"/>
  <c r="E127" i="13"/>
  <c r="F127" i="13" s="1"/>
  <c r="F133" i="19"/>
  <c r="B133" i="19"/>
  <c r="D126" i="80"/>
  <c r="G125" i="80"/>
  <c r="E126" i="80"/>
  <c r="D130" i="53"/>
  <c r="G129" i="53"/>
  <c r="E130" i="53"/>
  <c r="G131" i="73"/>
  <c r="D132" i="73"/>
  <c r="E132" i="73"/>
  <c r="D128" i="85"/>
  <c r="G127" i="85"/>
  <c r="E128" i="85"/>
  <c r="J123" i="88"/>
  <c r="J128" i="72"/>
  <c r="E48" i="13"/>
  <c r="F48" i="13" s="1"/>
  <c r="D136" i="28"/>
  <c r="G135" i="28"/>
  <c r="E136" i="28"/>
  <c r="F133" i="34"/>
  <c r="B133" i="34"/>
  <c r="G124" i="88"/>
  <c r="D125" i="88"/>
  <c r="E125" i="88"/>
  <c r="H128" i="63"/>
  <c r="I128" i="63"/>
  <c r="G131" i="74"/>
  <c r="D132" i="74"/>
  <c r="E132" i="74"/>
  <c r="D125" i="84"/>
  <c r="G124" i="84"/>
  <c r="E125" i="84"/>
  <c r="G128" i="64"/>
  <c r="D129" i="64"/>
  <c r="E129" i="64"/>
  <c r="H127" i="78"/>
  <c r="I127" i="78"/>
  <c r="J127" i="78" s="1"/>
  <c r="J127" i="59"/>
  <c r="J129" i="45"/>
  <c r="D134" i="24"/>
  <c r="G133" i="24"/>
  <c r="E134" i="24"/>
  <c r="D135" i="27"/>
  <c r="G134" i="27"/>
  <c r="E135" i="27"/>
  <c r="H136" i="29"/>
  <c r="I136" i="29"/>
  <c r="J136" i="29" s="1"/>
  <c r="F130" i="67"/>
  <c r="B130" i="67"/>
  <c r="J125" i="76"/>
  <c r="G130" i="62"/>
  <c r="D131" i="62"/>
  <c r="E131" i="62"/>
  <c r="G131" i="55"/>
  <c r="E132" i="55"/>
  <c r="D132" i="55"/>
  <c r="D126" i="81"/>
  <c r="G125" i="81"/>
  <c r="E126" i="81"/>
  <c r="J125" i="77"/>
  <c r="B45" i="87"/>
  <c r="F45" i="87"/>
  <c r="G45" i="87" s="1"/>
  <c r="F47" i="75"/>
  <c r="G47" i="75" s="1"/>
  <c r="B47" i="75"/>
  <c r="F52" i="39"/>
  <c r="G52" i="39" s="1"/>
  <c r="B52" i="39"/>
  <c r="F53" i="21"/>
  <c r="H53" i="21" s="1"/>
  <c r="G53" i="21"/>
  <c r="B53" i="21"/>
  <c r="J126" i="68"/>
  <c r="G55" i="30" l="1"/>
  <c r="I55" i="30" s="1"/>
  <c r="H125" i="95"/>
  <c r="I125" i="95"/>
  <c r="I124" i="87"/>
  <c r="H124" i="87"/>
  <c r="I126" i="25"/>
  <c r="J126" i="25" s="1"/>
  <c r="H126" i="25"/>
  <c r="F125" i="87"/>
  <c r="B125" i="87"/>
  <c r="G45" i="90"/>
  <c r="H46" i="80"/>
  <c r="G46" i="81"/>
  <c r="I46" i="81" s="1"/>
  <c r="F126" i="95"/>
  <c r="B126" i="95"/>
  <c r="H52" i="39"/>
  <c r="I49" i="64"/>
  <c r="H47" i="77"/>
  <c r="E127" i="25"/>
  <c r="F127" i="25" s="1"/>
  <c r="B127" i="25"/>
  <c r="G126" i="33"/>
  <c r="D127" i="33"/>
  <c r="B127" i="33" s="1"/>
  <c r="G48" i="33"/>
  <c r="D49" i="33"/>
  <c r="H48" i="33"/>
  <c r="I48" i="33" s="1"/>
  <c r="H47" i="75"/>
  <c r="F55" i="27"/>
  <c r="B55" i="27"/>
  <c r="G55" i="27"/>
  <c r="J124" i="97"/>
  <c r="G53" i="3"/>
  <c r="I53" i="3" s="1"/>
  <c r="J130" i="43"/>
  <c r="G50" i="72"/>
  <c r="D51" i="72"/>
  <c r="E51" i="72"/>
  <c r="E45" i="98"/>
  <c r="D45" i="98"/>
  <c r="B52" i="41"/>
  <c r="F52" i="41"/>
  <c r="H52" i="41" s="1"/>
  <c r="F54" i="31"/>
  <c r="H54" i="31" s="1"/>
  <c r="B54" i="31"/>
  <c r="G46" i="85"/>
  <c r="I46" i="85" s="1"/>
  <c r="H44" i="97"/>
  <c r="I44" i="97" s="1"/>
  <c r="E45" i="97"/>
  <c r="D45" i="97"/>
  <c r="E132" i="43"/>
  <c r="D132" i="43"/>
  <c r="G131" i="43"/>
  <c r="H47" i="76"/>
  <c r="I47" i="76" s="1"/>
  <c r="B46" i="82"/>
  <c r="F46" i="82"/>
  <c r="H46" i="82" s="1"/>
  <c r="B55" i="69"/>
  <c r="F55" i="69"/>
  <c r="G55" i="69" s="1"/>
  <c r="E48" i="77"/>
  <c r="D48" i="77"/>
  <c r="F46" i="84"/>
  <c r="G46" i="84" s="1"/>
  <c r="B46" i="84"/>
  <c r="D55" i="23"/>
  <c r="E55" i="23"/>
  <c r="B46" i="83"/>
  <c r="F46" i="83"/>
  <c r="G46" i="83" s="1"/>
  <c r="E126" i="26"/>
  <c r="F126" i="26" s="1"/>
  <c r="B126" i="26"/>
  <c r="B49" i="60"/>
  <c r="F49" i="60"/>
  <c r="G49" i="60" s="1"/>
  <c r="E53" i="42"/>
  <c r="D53" i="42"/>
  <c r="F44" i="95"/>
  <c r="B44" i="95"/>
  <c r="B48" i="65"/>
  <c r="F48" i="65"/>
  <c r="B54" i="34"/>
  <c r="F54" i="34"/>
  <c r="H54" i="34"/>
  <c r="G54" i="34"/>
  <c r="I54" i="34" s="1"/>
  <c r="B50" i="58"/>
  <c r="F50" i="58"/>
  <c r="H50" i="58" s="1"/>
  <c r="B48" i="68"/>
  <c r="F48" i="68"/>
  <c r="H48" i="68" s="1"/>
  <c r="D47" i="81"/>
  <c r="E47" i="81"/>
  <c r="B46" i="92"/>
  <c r="F46" i="92"/>
  <c r="H46" i="92" s="1"/>
  <c r="D54" i="3"/>
  <c r="E54" i="3"/>
  <c r="G131" i="42"/>
  <c r="E132" i="42"/>
  <c r="D132" i="42"/>
  <c r="B49" i="63"/>
  <c r="F49" i="63"/>
  <c r="H49" i="63" s="1"/>
  <c r="I125" i="26"/>
  <c r="H125" i="26"/>
  <c r="I50" i="72"/>
  <c r="F52" i="74"/>
  <c r="G52" i="74" s="1"/>
  <c r="H52" i="74"/>
  <c r="B52" i="74"/>
  <c r="D47" i="85"/>
  <c r="E47" i="85"/>
  <c r="F50" i="57"/>
  <c r="B50" i="57"/>
  <c r="B50" i="53"/>
  <c r="F50" i="53"/>
  <c r="G50" i="53" s="1"/>
  <c r="B132" i="44"/>
  <c r="F132" i="44"/>
  <c r="D48" i="76"/>
  <c r="E48" i="76"/>
  <c r="B52" i="44"/>
  <c r="F52" i="44"/>
  <c r="G52" i="44" s="1"/>
  <c r="I52" i="43"/>
  <c r="F50" i="56"/>
  <c r="G50" i="56"/>
  <c r="B50" i="56"/>
  <c r="F48" i="66"/>
  <c r="G48" i="66" s="1"/>
  <c r="B48" i="66"/>
  <c r="F53" i="20"/>
  <c r="G53" i="20" s="1"/>
  <c r="B53" i="20"/>
  <c r="I47" i="77"/>
  <c r="G125" i="97"/>
  <c r="E126" i="97"/>
  <c r="D126" i="97"/>
  <c r="B47" i="79"/>
  <c r="F47" i="79"/>
  <c r="H47" i="79" s="1"/>
  <c r="B54" i="24"/>
  <c r="F54" i="24"/>
  <c r="H54" i="24" s="1"/>
  <c r="I44" i="98"/>
  <c r="I52" i="42"/>
  <c r="B48" i="67"/>
  <c r="F48" i="67"/>
  <c r="G48" i="67" s="1"/>
  <c r="F56" i="28"/>
  <c r="H56" i="28" s="1"/>
  <c r="B56" i="28"/>
  <c r="B52" i="73"/>
  <c r="F52" i="73"/>
  <c r="G52" i="73" s="1"/>
  <c r="I52" i="73" s="1"/>
  <c r="H52" i="73"/>
  <c r="B44" i="99"/>
  <c r="F44" i="99"/>
  <c r="H44" i="99"/>
  <c r="F50" i="46"/>
  <c r="G50" i="46" s="1"/>
  <c r="B50" i="46"/>
  <c r="F51" i="45"/>
  <c r="G51" i="45" s="1"/>
  <c r="B51" i="45"/>
  <c r="H131" i="44"/>
  <c r="I131" i="44"/>
  <c r="H48" i="13"/>
  <c r="G48" i="13"/>
  <c r="G44" i="100"/>
  <c r="B53" i="17"/>
  <c r="C62" i="17"/>
  <c r="F53" i="17"/>
  <c r="H53" i="17" s="1"/>
  <c r="I46" i="80"/>
  <c r="F50" i="59"/>
  <c r="G50" i="59" s="1"/>
  <c r="B50" i="59"/>
  <c r="D51" i="55"/>
  <c r="E51" i="55"/>
  <c r="H45" i="87"/>
  <c r="I45" i="87" s="1"/>
  <c r="B56" i="70"/>
  <c r="F56" i="70"/>
  <c r="H56" i="70" s="1"/>
  <c r="D47" i="86"/>
  <c r="E47" i="86"/>
  <c r="I133" i="31"/>
  <c r="H133" i="31"/>
  <c r="D53" i="43"/>
  <c r="E53" i="43"/>
  <c r="F46" i="91"/>
  <c r="G46" i="91" s="1"/>
  <c r="B46" i="91"/>
  <c r="B50" i="61"/>
  <c r="F50" i="61"/>
  <c r="G50" i="61" s="1"/>
  <c r="B55" i="71"/>
  <c r="F55" i="71"/>
  <c r="G55" i="71" s="1"/>
  <c r="B50" i="64"/>
  <c r="F50" i="64"/>
  <c r="H50" i="64" s="1"/>
  <c r="G50" i="64"/>
  <c r="B48" i="26"/>
  <c r="F48" i="26"/>
  <c r="H48" i="26" s="1"/>
  <c r="I53" i="21"/>
  <c r="I45" i="90"/>
  <c r="G55" i="29"/>
  <c r="I55" i="29" s="1"/>
  <c r="H47" i="78"/>
  <c r="I46" i="86"/>
  <c r="B134" i="31"/>
  <c r="F134" i="31"/>
  <c r="E47" i="80"/>
  <c r="D47" i="80"/>
  <c r="B54" i="19"/>
  <c r="F54" i="19"/>
  <c r="G54" i="19" s="1"/>
  <c r="G50" i="55"/>
  <c r="I50" i="55" s="1"/>
  <c r="D137" i="17"/>
  <c r="G136" i="17"/>
  <c r="E137" i="17"/>
  <c r="H137" i="70"/>
  <c r="I137" i="70"/>
  <c r="J137" i="70" s="1"/>
  <c r="F138" i="70"/>
  <c r="B138" i="70"/>
  <c r="J129" i="67"/>
  <c r="H129" i="60"/>
  <c r="I129" i="60"/>
  <c r="J129" i="60" s="1"/>
  <c r="B130" i="60"/>
  <c r="F130" i="60"/>
  <c r="J128" i="63"/>
  <c r="I135" i="17"/>
  <c r="H135" i="17"/>
  <c r="H133" i="24"/>
  <c r="I133" i="24"/>
  <c r="J133" i="24" s="1"/>
  <c r="H129" i="46"/>
  <c r="I129" i="46"/>
  <c r="D128" i="13"/>
  <c r="G127" i="13"/>
  <c r="D54" i="18"/>
  <c r="E54" i="18"/>
  <c r="B125" i="98"/>
  <c r="F125" i="98"/>
  <c r="F134" i="71"/>
  <c r="B134" i="71"/>
  <c r="I127" i="82"/>
  <c r="H127" i="82"/>
  <c r="B133" i="3"/>
  <c r="F133" i="3"/>
  <c r="G50" i="54"/>
  <c r="I50" i="54" s="1"/>
  <c r="B126" i="99"/>
  <c r="F126" i="99"/>
  <c r="D47" i="88"/>
  <c r="E47" i="88"/>
  <c r="B135" i="69"/>
  <c r="F135" i="69"/>
  <c r="D50" i="62"/>
  <c r="E50" i="62"/>
  <c r="H125" i="81"/>
  <c r="I125" i="81"/>
  <c r="F131" i="62"/>
  <c r="B131" i="62"/>
  <c r="B134" i="24"/>
  <c r="F134" i="24"/>
  <c r="F129" i="64"/>
  <c r="B129" i="64"/>
  <c r="B126" i="80"/>
  <c r="F126" i="80"/>
  <c r="H128" i="75"/>
  <c r="I128" i="75"/>
  <c r="F130" i="46"/>
  <c r="B130" i="46"/>
  <c r="F126" i="100"/>
  <c r="B126" i="100"/>
  <c r="F129" i="59"/>
  <c r="B129" i="59"/>
  <c r="I124" i="98"/>
  <c r="H124" i="98"/>
  <c r="F125" i="96"/>
  <c r="B125" i="96"/>
  <c r="H133" i="71"/>
  <c r="I133" i="71"/>
  <c r="J133" i="71" s="1"/>
  <c r="H132" i="3"/>
  <c r="I132" i="3"/>
  <c r="J132" i="3" s="1"/>
  <c r="B127" i="79"/>
  <c r="F127" i="79"/>
  <c r="H134" i="69"/>
  <c r="I134" i="69"/>
  <c r="H49" i="62"/>
  <c r="B132" i="39"/>
  <c r="F132" i="39"/>
  <c r="F127" i="76"/>
  <c r="B127" i="76"/>
  <c r="B126" i="81"/>
  <c r="F126" i="81"/>
  <c r="F132" i="73"/>
  <c r="B132" i="73"/>
  <c r="I130" i="45"/>
  <c r="H130" i="45"/>
  <c r="I125" i="100"/>
  <c r="H125" i="100"/>
  <c r="F126" i="83"/>
  <c r="B126" i="83"/>
  <c r="I44" i="100"/>
  <c r="D51" i="54"/>
  <c r="E51" i="54"/>
  <c r="B132" i="55"/>
  <c r="F132" i="55"/>
  <c r="H131" i="73"/>
  <c r="I131" i="73"/>
  <c r="I54" i="32"/>
  <c r="B134" i="32"/>
  <c r="F134" i="32"/>
  <c r="F135" i="27"/>
  <c r="B135" i="27"/>
  <c r="H124" i="84"/>
  <c r="I124" i="84"/>
  <c r="H135" i="28"/>
  <c r="I135" i="28"/>
  <c r="H131" i="41"/>
  <c r="I131" i="41"/>
  <c r="F128" i="65"/>
  <c r="B128" i="65"/>
  <c r="G128" i="66"/>
  <c r="D129" i="66"/>
  <c r="E129" i="66"/>
  <c r="E45" i="96"/>
  <c r="D45" i="96"/>
  <c r="H132" i="18"/>
  <c r="I132" i="18"/>
  <c r="J132" i="18" s="1"/>
  <c r="I124" i="91"/>
  <c r="H124" i="91"/>
  <c r="G135" i="23"/>
  <c r="D136" i="23"/>
  <c r="E136" i="23"/>
  <c r="D46" i="89"/>
  <c r="E46" i="89"/>
  <c r="E129" i="78"/>
  <c r="D129" i="78"/>
  <c r="G128" i="78"/>
  <c r="J134" i="23"/>
  <c r="B135" i="30"/>
  <c r="F135" i="30"/>
  <c r="I129" i="57"/>
  <c r="H129" i="57"/>
  <c r="H133" i="32"/>
  <c r="I133" i="32"/>
  <c r="H127" i="68"/>
  <c r="I127" i="68"/>
  <c r="F125" i="90"/>
  <c r="B125" i="90"/>
  <c r="I131" i="74"/>
  <c r="H131" i="74"/>
  <c r="D134" i="34"/>
  <c r="G133" i="34"/>
  <c r="E134" i="34"/>
  <c r="H125" i="80"/>
  <c r="I125" i="80"/>
  <c r="H132" i="22"/>
  <c r="I132" i="22"/>
  <c r="I124" i="96"/>
  <c r="H124" i="96"/>
  <c r="H134" i="27"/>
  <c r="I134" i="27"/>
  <c r="B131" i="45"/>
  <c r="F131" i="45"/>
  <c r="D45" i="100"/>
  <c r="E45" i="100"/>
  <c r="D54" i="22"/>
  <c r="E54" i="22"/>
  <c r="G137" i="29"/>
  <c r="D138" i="29"/>
  <c r="E138" i="29"/>
  <c r="D48" i="75"/>
  <c r="E48" i="75"/>
  <c r="H131" i="55"/>
  <c r="I131" i="55"/>
  <c r="J131" i="55" s="1"/>
  <c r="B125" i="84"/>
  <c r="F125" i="84"/>
  <c r="B125" i="88"/>
  <c r="F125" i="88"/>
  <c r="B136" i="28"/>
  <c r="F136" i="28"/>
  <c r="H129" i="53"/>
  <c r="I129" i="53"/>
  <c r="B133" i="21"/>
  <c r="F133" i="21"/>
  <c r="D55" i="32"/>
  <c r="E55" i="32"/>
  <c r="I124" i="86"/>
  <c r="H124" i="86"/>
  <c r="F133" i="18"/>
  <c r="B133" i="18"/>
  <c r="H53" i="22"/>
  <c r="I53" i="22" s="1"/>
  <c r="H134" i="30"/>
  <c r="I134" i="30"/>
  <c r="B130" i="57"/>
  <c r="F130" i="57"/>
  <c r="F128" i="68"/>
  <c r="B128" i="68"/>
  <c r="F127" i="77"/>
  <c r="B127" i="77"/>
  <c r="F130" i="58"/>
  <c r="B130" i="58"/>
  <c r="I128" i="61"/>
  <c r="H128" i="61"/>
  <c r="I124" i="90"/>
  <c r="H124" i="90"/>
  <c r="I47" i="78"/>
  <c r="D54" i="21"/>
  <c r="E54" i="21"/>
  <c r="F130" i="54"/>
  <c r="B130" i="54"/>
  <c r="D56" i="29"/>
  <c r="E56" i="29"/>
  <c r="D48" i="78"/>
  <c r="E48" i="78"/>
  <c r="I128" i="59"/>
  <c r="H128" i="59"/>
  <c r="I124" i="92"/>
  <c r="H124" i="92"/>
  <c r="G133" i="19"/>
  <c r="D134" i="19"/>
  <c r="E134" i="19"/>
  <c r="H129" i="54"/>
  <c r="I129" i="54"/>
  <c r="B125" i="91"/>
  <c r="F125" i="91"/>
  <c r="H125" i="83"/>
  <c r="I125" i="83"/>
  <c r="I52" i="39"/>
  <c r="I124" i="88"/>
  <c r="H124" i="88"/>
  <c r="B130" i="53"/>
  <c r="F130" i="53"/>
  <c r="H132" i="21"/>
  <c r="I132" i="21"/>
  <c r="F130" i="56"/>
  <c r="B130" i="56"/>
  <c r="B125" i="86"/>
  <c r="F125" i="86"/>
  <c r="G44" i="96"/>
  <c r="I44" i="96" s="1"/>
  <c r="H53" i="18"/>
  <c r="H124" i="89"/>
  <c r="I124" i="89"/>
  <c r="H129" i="72"/>
  <c r="I129" i="72"/>
  <c r="J129" i="72" s="1"/>
  <c r="H45" i="89"/>
  <c r="I45" i="89" s="1"/>
  <c r="H135" i="20"/>
  <c r="I135" i="20"/>
  <c r="J135" i="20" s="1"/>
  <c r="D56" i="30"/>
  <c r="E56" i="30"/>
  <c r="H126" i="77"/>
  <c r="I126" i="77"/>
  <c r="H129" i="58"/>
  <c r="I129" i="58"/>
  <c r="F129" i="61"/>
  <c r="B129" i="61"/>
  <c r="F128" i="85"/>
  <c r="B128" i="85"/>
  <c r="I47" i="75"/>
  <c r="I130" i="62"/>
  <c r="H130" i="62"/>
  <c r="I128" i="64"/>
  <c r="H128" i="64"/>
  <c r="I126" i="79"/>
  <c r="H126" i="79"/>
  <c r="H131" i="39"/>
  <c r="I131" i="39"/>
  <c r="J131" i="39" s="1"/>
  <c r="F132" i="41"/>
  <c r="B132" i="41"/>
  <c r="H127" i="65"/>
  <c r="I127" i="65"/>
  <c r="D49" i="13"/>
  <c r="E49" i="13" s="1"/>
  <c r="B125" i="92"/>
  <c r="F125" i="92"/>
  <c r="D53" i="39"/>
  <c r="E53" i="39"/>
  <c r="D46" i="87"/>
  <c r="E46" i="87"/>
  <c r="E131" i="67"/>
  <c r="D131" i="67"/>
  <c r="G130" i="67"/>
  <c r="B132" i="74"/>
  <c r="F132" i="74"/>
  <c r="H127" i="85"/>
  <c r="I127" i="85"/>
  <c r="J127" i="85" s="1"/>
  <c r="F129" i="75"/>
  <c r="B129" i="75"/>
  <c r="H126" i="76"/>
  <c r="I126" i="76"/>
  <c r="J126" i="76" s="1"/>
  <c r="J127" i="66"/>
  <c r="I129" i="56"/>
  <c r="H129" i="56"/>
  <c r="D46" i="90"/>
  <c r="E46" i="90"/>
  <c r="F133" i="22"/>
  <c r="B133" i="22"/>
  <c r="G53" i="18"/>
  <c r="B45" i="25"/>
  <c r="F45" i="25"/>
  <c r="H45" i="25" s="1"/>
  <c r="B125" i="89"/>
  <c r="F125" i="89"/>
  <c r="B130" i="72"/>
  <c r="F130" i="72"/>
  <c r="D130" i="63"/>
  <c r="E130" i="63"/>
  <c r="G129" i="63"/>
  <c r="J126" i="13"/>
  <c r="F128" i="82"/>
  <c r="B128" i="82"/>
  <c r="B136" i="20"/>
  <c r="F136" i="20"/>
  <c r="J132" i="34"/>
  <c r="H125" i="99"/>
  <c r="I125" i="99"/>
  <c r="G46" i="88"/>
  <c r="I46" i="88" s="1"/>
  <c r="G49" i="62"/>
  <c r="D128" i="25" l="1"/>
  <c r="G127" i="25"/>
  <c r="G56" i="70"/>
  <c r="G46" i="92"/>
  <c r="I46" i="92" s="1"/>
  <c r="G48" i="68"/>
  <c r="I48" i="68" s="1"/>
  <c r="H46" i="84"/>
  <c r="E127" i="95"/>
  <c r="D127" i="95"/>
  <c r="G126" i="95"/>
  <c r="I52" i="74"/>
  <c r="D126" i="87"/>
  <c r="E126" i="87"/>
  <c r="G125" i="87"/>
  <c r="J124" i="87"/>
  <c r="G48" i="26"/>
  <c r="I48" i="26" s="1"/>
  <c r="I50" i="64"/>
  <c r="G53" i="17"/>
  <c r="H50" i="46"/>
  <c r="H48" i="67"/>
  <c r="J125" i="95"/>
  <c r="D127" i="26"/>
  <c r="E127" i="26" s="1"/>
  <c r="G126" i="26"/>
  <c r="G45" i="25"/>
  <c r="G44" i="99"/>
  <c r="E45" i="99"/>
  <c r="D45" i="99"/>
  <c r="E53" i="73"/>
  <c r="D53" i="73"/>
  <c r="G56" i="28"/>
  <c r="D57" i="28"/>
  <c r="E57" i="28"/>
  <c r="E47" i="92"/>
  <c r="D47" i="92"/>
  <c r="D49" i="68"/>
  <c r="E49" i="68"/>
  <c r="B55" i="23"/>
  <c r="F55" i="23"/>
  <c r="H55" i="23" s="1"/>
  <c r="H131" i="43"/>
  <c r="I131" i="43"/>
  <c r="E127" i="33"/>
  <c r="F127" i="33" s="1"/>
  <c r="I50" i="46"/>
  <c r="I48" i="67"/>
  <c r="D55" i="24"/>
  <c r="E55" i="24"/>
  <c r="E48" i="79"/>
  <c r="D48" i="79"/>
  <c r="H125" i="97"/>
  <c r="I125" i="97"/>
  <c r="E53" i="44"/>
  <c r="D53" i="44"/>
  <c r="B48" i="76"/>
  <c r="F48" i="76"/>
  <c r="H48" i="76" s="1"/>
  <c r="G48" i="76"/>
  <c r="H50" i="53"/>
  <c r="I50" i="53" s="1"/>
  <c r="D51" i="53"/>
  <c r="E51" i="53"/>
  <c r="H50" i="57"/>
  <c r="D51" i="57"/>
  <c r="E51" i="57"/>
  <c r="D50" i="63"/>
  <c r="E50" i="63"/>
  <c r="H131" i="42"/>
  <c r="I131" i="42"/>
  <c r="B47" i="81"/>
  <c r="F47" i="81"/>
  <c r="G47" i="81" s="1"/>
  <c r="H47" i="81"/>
  <c r="H48" i="65"/>
  <c r="G48" i="65"/>
  <c r="D49" i="65"/>
  <c r="E49" i="65"/>
  <c r="D45" i="95"/>
  <c r="E45" i="95"/>
  <c r="D47" i="83"/>
  <c r="E47" i="83"/>
  <c r="I46" i="84"/>
  <c r="F48" i="77"/>
  <c r="B48" i="77"/>
  <c r="D56" i="69"/>
  <c r="E56" i="69"/>
  <c r="D47" i="82"/>
  <c r="E47" i="82"/>
  <c r="F132" i="43"/>
  <c r="B132" i="43"/>
  <c r="E53" i="41"/>
  <c r="D53" i="41"/>
  <c r="E49" i="33"/>
  <c r="F49" i="33" s="1"/>
  <c r="B49" i="33"/>
  <c r="J131" i="44"/>
  <c r="H51" i="45"/>
  <c r="I51" i="45" s="1"/>
  <c r="D52" i="45"/>
  <c r="E52" i="45"/>
  <c r="D51" i="46"/>
  <c r="E51" i="46"/>
  <c r="I56" i="28"/>
  <c r="D54" i="20"/>
  <c r="E54" i="20"/>
  <c r="E49" i="66"/>
  <c r="D49" i="66"/>
  <c r="E51" i="56"/>
  <c r="D51" i="56"/>
  <c r="H52" i="44"/>
  <c r="I52" i="44" s="1"/>
  <c r="D133" i="44"/>
  <c r="E133" i="44"/>
  <c r="G132" i="44"/>
  <c r="J125" i="26"/>
  <c r="G50" i="58"/>
  <c r="I50" i="58" s="1"/>
  <c r="D51" i="58"/>
  <c r="E51" i="58"/>
  <c r="G44" i="95"/>
  <c r="H49" i="60"/>
  <c r="I49" i="60" s="1"/>
  <c r="E50" i="60"/>
  <c r="D50" i="60"/>
  <c r="D55" i="31"/>
  <c r="E55" i="31"/>
  <c r="B51" i="72"/>
  <c r="F51" i="72"/>
  <c r="H51" i="72" s="1"/>
  <c r="D56" i="27"/>
  <c r="E56" i="27"/>
  <c r="H126" i="33"/>
  <c r="I126" i="33"/>
  <c r="H50" i="61"/>
  <c r="I44" i="99"/>
  <c r="E49" i="67"/>
  <c r="D49" i="67"/>
  <c r="G54" i="24"/>
  <c r="I54" i="24" s="1"/>
  <c r="G47" i="79"/>
  <c r="I47" i="79" s="1"/>
  <c r="F126" i="97"/>
  <c r="B126" i="97"/>
  <c r="H53" i="20"/>
  <c r="I53" i="20" s="1"/>
  <c r="H48" i="66"/>
  <c r="I48" i="66" s="1"/>
  <c r="H50" i="56"/>
  <c r="I50" i="56" s="1"/>
  <c r="G50" i="57"/>
  <c r="I50" i="57" s="1"/>
  <c r="B47" i="85"/>
  <c r="F47" i="85"/>
  <c r="G47" i="85"/>
  <c r="H47" i="85"/>
  <c r="E53" i="74"/>
  <c r="D53" i="74"/>
  <c r="G49" i="63"/>
  <c r="I49" i="63" s="1"/>
  <c r="F132" i="42"/>
  <c r="B132" i="42"/>
  <c r="F54" i="3"/>
  <c r="H54" i="3"/>
  <c r="B54" i="3"/>
  <c r="G54" i="3"/>
  <c r="D55" i="34"/>
  <c r="E55" i="34"/>
  <c r="H44" i="95"/>
  <c r="I44" i="95" s="1"/>
  <c r="B53" i="42"/>
  <c r="F53" i="42"/>
  <c r="H53" i="42"/>
  <c r="G53" i="42"/>
  <c r="H46" i="83"/>
  <c r="I46" i="83" s="1"/>
  <c r="D47" i="84"/>
  <c r="E47" i="84"/>
  <c r="H55" i="69"/>
  <c r="I55" i="69" s="1"/>
  <c r="G46" i="82"/>
  <c r="I46" i="82" s="1"/>
  <c r="B45" i="97"/>
  <c r="F45" i="97"/>
  <c r="G45" i="97" s="1"/>
  <c r="G54" i="31"/>
  <c r="I54" i="31" s="1"/>
  <c r="G52" i="41"/>
  <c r="I52" i="41" s="1"/>
  <c r="B45" i="98"/>
  <c r="F45" i="98"/>
  <c r="G45" i="98" s="1"/>
  <c r="H55" i="27"/>
  <c r="I55" i="27" s="1"/>
  <c r="D49" i="26"/>
  <c r="E51" i="64"/>
  <c r="D51" i="64"/>
  <c r="F53" i="43"/>
  <c r="B53" i="43"/>
  <c r="D57" i="70"/>
  <c r="E57" i="70"/>
  <c r="E135" i="31"/>
  <c r="G134" i="31"/>
  <c r="D135" i="31"/>
  <c r="I53" i="17"/>
  <c r="I53" i="18"/>
  <c r="J129" i="53"/>
  <c r="J124" i="98"/>
  <c r="B47" i="80"/>
  <c r="F47" i="80"/>
  <c r="G47" i="80" s="1"/>
  <c r="H55" i="71"/>
  <c r="I55" i="71" s="1"/>
  <c r="D56" i="71"/>
  <c r="E56" i="71"/>
  <c r="I50" i="61"/>
  <c r="D47" i="91"/>
  <c r="E47" i="91"/>
  <c r="F47" i="86"/>
  <c r="H47" i="86" s="1"/>
  <c r="B47" i="86"/>
  <c r="I56" i="70"/>
  <c r="F51" i="55"/>
  <c r="H51" i="55" s="1"/>
  <c r="B51" i="55"/>
  <c r="E51" i="59"/>
  <c r="D51" i="59"/>
  <c r="D54" i="17"/>
  <c r="E54" i="17"/>
  <c r="I48" i="13"/>
  <c r="I45" i="25"/>
  <c r="J129" i="56"/>
  <c r="H54" i="19"/>
  <c r="I54" i="19" s="1"/>
  <c r="D55" i="19"/>
  <c r="E55" i="19"/>
  <c r="D51" i="61"/>
  <c r="E51" i="61"/>
  <c r="H46" i="91"/>
  <c r="I46" i="91" s="1"/>
  <c r="J133" i="31"/>
  <c r="H50" i="59"/>
  <c r="I50" i="59" s="1"/>
  <c r="G130" i="60"/>
  <c r="D131" i="60"/>
  <c r="E131" i="60"/>
  <c r="J133" i="32"/>
  <c r="J131" i="41"/>
  <c r="J124" i="84"/>
  <c r="J131" i="73"/>
  <c r="J128" i="75"/>
  <c r="J135" i="17"/>
  <c r="J134" i="30"/>
  <c r="J135" i="28"/>
  <c r="I136" i="17"/>
  <c r="J136" i="17" s="1"/>
  <c r="H136" i="17"/>
  <c r="J127" i="68"/>
  <c r="G138" i="70"/>
  <c r="D139" i="70"/>
  <c r="E139" i="70"/>
  <c r="F137" i="17"/>
  <c r="B137" i="17"/>
  <c r="B54" i="21"/>
  <c r="F54" i="21"/>
  <c r="H54" i="21" s="1"/>
  <c r="D131" i="57"/>
  <c r="G130" i="57"/>
  <c r="E131" i="57"/>
  <c r="D126" i="84"/>
  <c r="G125" i="84"/>
  <c r="E126" i="84"/>
  <c r="B136" i="23"/>
  <c r="F136" i="23"/>
  <c r="D134" i="3"/>
  <c r="G133" i="3"/>
  <c r="E134" i="3"/>
  <c r="D126" i="98"/>
  <c r="G125" i="98"/>
  <c r="E126" i="98"/>
  <c r="B128" i="13"/>
  <c r="J126" i="77"/>
  <c r="J129" i="54"/>
  <c r="B48" i="78"/>
  <c r="F48" i="78"/>
  <c r="H48" i="78" s="1"/>
  <c r="G133" i="18"/>
  <c r="D134" i="18"/>
  <c r="E134" i="18"/>
  <c r="J124" i="86"/>
  <c r="F138" i="29"/>
  <c r="B138" i="29"/>
  <c r="J134" i="27"/>
  <c r="J132" i="22"/>
  <c r="J131" i="74"/>
  <c r="J129" i="57"/>
  <c r="H135" i="23"/>
  <c r="I135" i="23"/>
  <c r="D135" i="32"/>
  <c r="G134" i="32"/>
  <c r="E135" i="32"/>
  <c r="D128" i="76"/>
  <c r="G127" i="76"/>
  <c r="E128" i="76"/>
  <c r="D127" i="100"/>
  <c r="G126" i="100"/>
  <c r="E127" i="100"/>
  <c r="G126" i="99"/>
  <c r="D127" i="99"/>
  <c r="E127" i="99"/>
  <c r="J129" i="46"/>
  <c r="H128" i="78"/>
  <c r="I128" i="78"/>
  <c r="F46" i="87"/>
  <c r="G46" i="87" s="1"/>
  <c r="B46" i="87"/>
  <c r="B56" i="29"/>
  <c r="F56" i="29"/>
  <c r="H56" i="29" s="1"/>
  <c r="G130" i="58"/>
  <c r="D131" i="58"/>
  <c r="E131" i="58"/>
  <c r="B55" i="32"/>
  <c r="F55" i="32"/>
  <c r="H55" i="32" s="1"/>
  <c r="J124" i="96"/>
  <c r="J125" i="80"/>
  <c r="F129" i="78"/>
  <c r="B129" i="78"/>
  <c r="J124" i="91"/>
  <c r="G135" i="27"/>
  <c r="D136" i="27"/>
  <c r="E136" i="27"/>
  <c r="J130" i="45"/>
  <c r="D130" i="59"/>
  <c r="G129" i="59"/>
  <c r="E130" i="59"/>
  <c r="D131" i="46"/>
  <c r="G130" i="46"/>
  <c r="E131" i="46"/>
  <c r="G134" i="24"/>
  <c r="D135" i="24"/>
  <c r="E135" i="24"/>
  <c r="J127" i="82"/>
  <c r="F54" i="18"/>
  <c r="B54" i="18"/>
  <c r="D126" i="89"/>
  <c r="G125" i="89"/>
  <c r="E126" i="89"/>
  <c r="G128" i="85"/>
  <c r="D129" i="85"/>
  <c r="E129" i="85"/>
  <c r="D126" i="86"/>
  <c r="G125" i="86"/>
  <c r="E126" i="86"/>
  <c r="D129" i="82"/>
  <c r="G128" i="82"/>
  <c r="E129" i="82"/>
  <c r="D134" i="22"/>
  <c r="G133" i="22"/>
  <c r="E134" i="22"/>
  <c r="F49" i="13"/>
  <c r="H49" i="13" s="1"/>
  <c r="B49" i="13"/>
  <c r="J124" i="88"/>
  <c r="B134" i="19"/>
  <c r="F134" i="19"/>
  <c r="G136" i="28"/>
  <c r="D137" i="28"/>
  <c r="E137" i="28"/>
  <c r="B129" i="66"/>
  <c r="F129" i="66"/>
  <c r="G126" i="80"/>
  <c r="D127" i="80"/>
  <c r="E127" i="80"/>
  <c r="B50" i="62"/>
  <c r="F50" i="62"/>
  <c r="B47" i="88"/>
  <c r="F47" i="88"/>
  <c r="H47" i="88" s="1"/>
  <c r="G47" i="88"/>
  <c r="B131" i="67"/>
  <c r="F131" i="67"/>
  <c r="F51" i="54"/>
  <c r="H51" i="54" s="1"/>
  <c r="B51" i="54"/>
  <c r="H129" i="63"/>
  <c r="I129" i="63"/>
  <c r="B46" i="90"/>
  <c r="F46" i="90"/>
  <c r="H46" i="90" s="1"/>
  <c r="D130" i="75"/>
  <c r="E130" i="75"/>
  <c r="G129" i="75"/>
  <c r="D133" i="74"/>
  <c r="G132" i="74"/>
  <c r="E133" i="74"/>
  <c r="F53" i="39"/>
  <c r="G53" i="39" s="1"/>
  <c r="B53" i="39"/>
  <c r="J127" i="65"/>
  <c r="J126" i="79"/>
  <c r="J128" i="64"/>
  <c r="J124" i="89"/>
  <c r="J125" i="83"/>
  <c r="H133" i="19"/>
  <c r="I133" i="19"/>
  <c r="J124" i="92"/>
  <c r="J124" i="90"/>
  <c r="G127" i="77"/>
  <c r="D128" i="77"/>
  <c r="E128" i="77"/>
  <c r="B54" i="22"/>
  <c r="F54" i="22"/>
  <c r="H54" i="22" s="1"/>
  <c r="G125" i="90"/>
  <c r="D126" i="90"/>
  <c r="E126" i="90"/>
  <c r="D136" i="30"/>
  <c r="G135" i="30"/>
  <c r="E136" i="30"/>
  <c r="I128" i="66"/>
  <c r="H128" i="66"/>
  <c r="D127" i="83"/>
  <c r="G126" i="83"/>
  <c r="E127" i="83"/>
  <c r="G132" i="73"/>
  <c r="D133" i="73"/>
  <c r="E133" i="73"/>
  <c r="G125" i="96"/>
  <c r="D126" i="96"/>
  <c r="E126" i="96"/>
  <c r="D136" i="69"/>
  <c r="G135" i="69"/>
  <c r="E136" i="69"/>
  <c r="G134" i="71"/>
  <c r="D135" i="71"/>
  <c r="E135" i="71"/>
  <c r="G136" i="20"/>
  <c r="D137" i="20"/>
  <c r="E137" i="20"/>
  <c r="G132" i="41"/>
  <c r="D133" i="41"/>
  <c r="E133" i="41"/>
  <c r="H137" i="29"/>
  <c r="I137" i="29"/>
  <c r="J137" i="29" s="1"/>
  <c r="D130" i="64"/>
  <c r="G129" i="64"/>
  <c r="E130" i="64"/>
  <c r="D46" i="25"/>
  <c r="E46" i="25" s="1"/>
  <c r="D130" i="61"/>
  <c r="G129" i="61"/>
  <c r="E130" i="61"/>
  <c r="G130" i="56"/>
  <c r="D131" i="56"/>
  <c r="E131" i="56"/>
  <c r="D131" i="54"/>
  <c r="G130" i="54"/>
  <c r="E131" i="54"/>
  <c r="G125" i="88"/>
  <c r="D126" i="88"/>
  <c r="E126" i="88"/>
  <c r="G131" i="45"/>
  <c r="D132" i="45"/>
  <c r="E132" i="45"/>
  <c r="H133" i="34"/>
  <c r="I133" i="34"/>
  <c r="B46" i="89"/>
  <c r="F46" i="89"/>
  <c r="H46" i="89" s="1"/>
  <c r="F45" i="96"/>
  <c r="B45" i="96"/>
  <c r="G45" i="96"/>
  <c r="H45" i="96"/>
  <c r="D133" i="55"/>
  <c r="E133" i="55"/>
  <c r="G132" i="55"/>
  <c r="G126" i="81"/>
  <c r="D127" i="81"/>
  <c r="E127" i="81"/>
  <c r="I49" i="62"/>
  <c r="G127" i="79"/>
  <c r="D128" i="79"/>
  <c r="E128" i="79"/>
  <c r="G131" i="62"/>
  <c r="D132" i="62"/>
  <c r="E132" i="62"/>
  <c r="E128" i="13"/>
  <c r="F128" i="13" s="1"/>
  <c r="G130" i="72"/>
  <c r="D131" i="72"/>
  <c r="E131" i="72"/>
  <c r="F56" i="30"/>
  <c r="G56" i="30" s="1"/>
  <c r="B56" i="30"/>
  <c r="G132" i="39"/>
  <c r="D133" i="39"/>
  <c r="E133" i="39"/>
  <c r="J125" i="99"/>
  <c r="B130" i="63"/>
  <c r="F130" i="63"/>
  <c r="I130" i="67"/>
  <c r="J130" i="67" s="1"/>
  <c r="H130" i="67"/>
  <c r="G125" i="92"/>
  <c r="E126" i="92"/>
  <c r="D126" i="92"/>
  <c r="J130" i="62"/>
  <c r="J129" i="58"/>
  <c r="J132" i="21"/>
  <c r="G130" i="53"/>
  <c r="D131" i="53"/>
  <c r="E131" i="53"/>
  <c r="G125" i="91"/>
  <c r="D126" i="91"/>
  <c r="E126" i="91"/>
  <c r="J128" i="59"/>
  <c r="J128" i="61"/>
  <c r="G128" i="68"/>
  <c r="D129" i="68"/>
  <c r="E129" i="68"/>
  <c r="D134" i="21"/>
  <c r="G133" i="21"/>
  <c r="E134" i="21"/>
  <c r="F48" i="75"/>
  <c r="G48" i="75" s="1"/>
  <c r="B48" i="75"/>
  <c r="B45" i="100"/>
  <c r="F45" i="100"/>
  <c r="G45" i="100" s="1"/>
  <c r="F134" i="34"/>
  <c r="B134" i="34"/>
  <c r="D129" i="65"/>
  <c r="G128" i="65"/>
  <c r="E129" i="65"/>
  <c r="J125" i="100"/>
  <c r="J134" i="69"/>
  <c r="J125" i="81"/>
  <c r="H127" i="13"/>
  <c r="I127" i="13"/>
  <c r="H46" i="87" l="1"/>
  <c r="H47" i="80"/>
  <c r="H45" i="98"/>
  <c r="I54" i="3"/>
  <c r="J131" i="42"/>
  <c r="H125" i="87"/>
  <c r="I125" i="87"/>
  <c r="J125" i="87" s="1"/>
  <c r="I126" i="95"/>
  <c r="J126" i="95" s="1"/>
  <c r="H126" i="95"/>
  <c r="I127" i="25"/>
  <c r="J127" i="25" s="1"/>
  <c r="H127" i="25"/>
  <c r="H53" i="39"/>
  <c r="I47" i="88"/>
  <c r="I53" i="42"/>
  <c r="I47" i="85"/>
  <c r="F127" i="95"/>
  <c r="B127" i="95"/>
  <c r="E128" i="25"/>
  <c r="F128" i="25" s="1"/>
  <c r="B128" i="25"/>
  <c r="F126" i="87"/>
  <c r="B126" i="87"/>
  <c r="G51" i="72"/>
  <c r="I51" i="72" s="1"/>
  <c r="I48" i="65"/>
  <c r="I48" i="76"/>
  <c r="J125" i="97"/>
  <c r="H56" i="30"/>
  <c r="G48" i="78"/>
  <c r="D127" i="97"/>
  <c r="G126" i="97"/>
  <c r="E127" i="97"/>
  <c r="B55" i="31"/>
  <c r="F55" i="31"/>
  <c r="H49" i="33"/>
  <c r="D50" i="33"/>
  <c r="G48" i="77"/>
  <c r="D49" i="77"/>
  <c r="E49" i="77"/>
  <c r="B53" i="44"/>
  <c r="F53" i="44"/>
  <c r="G53" i="44" s="1"/>
  <c r="B48" i="79"/>
  <c r="F48" i="79"/>
  <c r="G48" i="79" s="1"/>
  <c r="G55" i="23"/>
  <c r="I55" i="23" s="1"/>
  <c r="F53" i="73"/>
  <c r="H53" i="73" s="1"/>
  <c r="B53" i="73"/>
  <c r="G49" i="13"/>
  <c r="I45" i="98"/>
  <c r="F47" i="84"/>
  <c r="H47" i="84" s="1"/>
  <c r="B47" i="84"/>
  <c r="D54" i="42"/>
  <c r="E54" i="42"/>
  <c r="B55" i="34"/>
  <c r="F55" i="34"/>
  <c r="H55" i="34" s="1"/>
  <c r="D55" i="3"/>
  <c r="E55" i="3"/>
  <c r="B53" i="74"/>
  <c r="F53" i="74"/>
  <c r="D48" i="85"/>
  <c r="E48" i="85"/>
  <c r="B50" i="60"/>
  <c r="F50" i="60"/>
  <c r="G50" i="60"/>
  <c r="I132" i="44"/>
  <c r="H132" i="44"/>
  <c r="F51" i="56"/>
  <c r="B51" i="56"/>
  <c r="G51" i="56"/>
  <c r="H51" i="56"/>
  <c r="I51" i="56" s="1"/>
  <c r="B51" i="46"/>
  <c r="F51" i="46"/>
  <c r="G51" i="46" s="1"/>
  <c r="G132" i="43"/>
  <c r="D133" i="43"/>
  <c r="E133" i="43"/>
  <c r="F56" i="69"/>
  <c r="H56" i="69" s="1"/>
  <c r="B56" i="69"/>
  <c r="F45" i="95"/>
  <c r="B45" i="95"/>
  <c r="H45" i="95"/>
  <c r="B50" i="63"/>
  <c r="F50" i="63"/>
  <c r="G50" i="63"/>
  <c r="H50" i="63"/>
  <c r="F127" i="26"/>
  <c r="B127" i="26"/>
  <c r="I49" i="13"/>
  <c r="F56" i="27"/>
  <c r="H56" i="27" s="1"/>
  <c r="B56" i="27"/>
  <c r="F51" i="58"/>
  <c r="G51" i="58" s="1"/>
  <c r="B51" i="58"/>
  <c r="B54" i="20"/>
  <c r="F54" i="20"/>
  <c r="G54" i="20" s="1"/>
  <c r="F53" i="41"/>
  <c r="B53" i="41"/>
  <c r="H48" i="77"/>
  <c r="I48" i="77" s="1"/>
  <c r="I47" i="81"/>
  <c r="B51" i="53"/>
  <c r="F51" i="53"/>
  <c r="H51" i="53"/>
  <c r="D49" i="76"/>
  <c r="E49" i="76"/>
  <c r="G127" i="33"/>
  <c r="D128" i="33"/>
  <c r="B128" i="33" s="1"/>
  <c r="E56" i="23"/>
  <c r="D56" i="23"/>
  <c r="F49" i="68"/>
  <c r="G49" i="68" s="1"/>
  <c r="B49" i="68"/>
  <c r="B57" i="28"/>
  <c r="F57" i="28"/>
  <c r="G57" i="28" s="1"/>
  <c r="F45" i="99"/>
  <c r="H45" i="99" s="1"/>
  <c r="B45" i="99"/>
  <c r="E46" i="98"/>
  <c r="D46" i="98"/>
  <c r="H45" i="97"/>
  <c r="I45" i="97" s="1"/>
  <c r="E46" i="97"/>
  <c r="D46" i="97"/>
  <c r="E133" i="42"/>
  <c r="D133" i="42"/>
  <c r="G132" i="42"/>
  <c r="F49" i="67"/>
  <c r="G49" i="67" s="1"/>
  <c r="B49" i="67"/>
  <c r="H49" i="67"/>
  <c r="J126" i="33"/>
  <c r="D52" i="72"/>
  <c r="E52" i="72"/>
  <c r="F133" i="44"/>
  <c r="B133" i="44"/>
  <c r="B49" i="66"/>
  <c r="G49" i="66"/>
  <c r="F49" i="66"/>
  <c r="H49" i="66" s="1"/>
  <c r="I49" i="66" s="1"/>
  <c r="B52" i="45"/>
  <c r="F52" i="45"/>
  <c r="G52" i="45" s="1"/>
  <c r="G49" i="33"/>
  <c r="F47" i="82"/>
  <c r="G47" i="82" s="1"/>
  <c r="B47" i="82"/>
  <c r="F47" i="83"/>
  <c r="G47" i="83" s="1"/>
  <c r="B47" i="83"/>
  <c r="F49" i="65"/>
  <c r="H49" i="65" s="1"/>
  <c r="B49" i="65"/>
  <c r="D48" i="81"/>
  <c r="E48" i="81"/>
  <c r="B51" i="57"/>
  <c r="F51" i="57"/>
  <c r="H51" i="57"/>
  <c r="G51" i="57"/>
  <c r="B55" i="24"/>
  <c r="F55" i="24"/>
  <c r="H55" i="24"/>
  <c r="J131" i="43"/>
  <c r="B47" i="92"/>
  <c r="F47" i="92"/>
  <c r="G47" i="92" s="1"/>
  <c r="I126" i="26"/>
  <c r="J126" i="26" s="1"/>
  <c r="H126" i="26"/>
  <c r="B56" i="71"/>
  <c r="F56" i="71"/>
  <c r="D54" i="43"/>
  <c r="E54" i="43"/>
  <c r="G56" i="29"/>
  <c r="I56" i="29" s="1"/>
  <c r="B51" i="61"/>
  <c r="F51" i="61"/>
  <c r="H51" i="61" s="1"/>
  <c r="D48" i="80"/>
  <c r="E48" i="80"/>
  <c r="H134" i="31"/>
  <c r="I134" i="31"/>
  <c r="G53" i="43"/>
  <c r="D48" i="86"/>
  <c r="E48" i="86"/>
  <c r="F135" i="31"/>
  <c r="B135" i="31"/>
  <c r="G46" i="89"/>
  <c r="I48" i="78"/>
  <c r="C63" i="17"/>
  <c r="F54" i="17"/>
  <c r="H54" i="17" s="1"/>
  <c r="B54" i="17"/>
  <c r="G47" i="86"/>
  <c r="I47" i="86" s="1"/>
  <c r="F47" i="91"/>
  <c r="B47" i="91"/>
  <c r="G47" i="91"/>
  <c r="H47" i="91"/>
  <c r="B57" i="70"/>
  <c r="F57" i="70"/>
  <c r="B51" i="64"/>
  <c r="F51" i="64"/>
  <c r="H51" i="64" s="1"/>
  <c r="B49" i="26"/>
  <c r="F55" i="19"/>
  <c r="H55" i="19" s="1"/>
  <c r="B55" i="19"/>
  <c r="I45" i="96"/>
  <c r="G54" i="22"/>
  <c r="I54" i="22" s="1"/>
  <c r="I46" i="87"/>
  <c r="F51" i="59"/>
  <c r="H51" i="59" s="1"/>
  <c r="B51" i="59"/>
  <c r="G51" i="55"/>
  <c r="I51" i="55" s="1"/>
  <c r="D52" i="55"/>
  <c r="E52" i="55"/>
  <c r="I47" i="80"/>
  <c r="H53" i="43"/>
  <c r="I53" i="43" s="1"/>
  <c r="E49" i="26"/>
  <c r="F49" i="26" s="1"/>
  <c r="F139" i="70"/>
  <c r="B139" i="70"/>
  <c r="I138" i="70"/>
  <c r="H138" i="70"/>
  <c r="J133" i="34"/>
  <c r="J133" i="19"/>
  <c r="B131" i="60"/>
  <c r="F131" i="60"/>
  <c r="D138" i="17"/>
  <c r="G137" i="17"/>
  <c r="E138" i="17"/>
  <c r="H130" i="60"/>
  <c r="I130" i="60"/>
  <c r="G128" i="13"/>
  <c r="D129" i="13"/>
  <c r="E129" i="13" s="1"/>
  <c r="I129" i="75"/>
  <c r="H129" i="75"/>
  <c r="F134" i="22"/>
  <c r="B134" i="22"/>
  <c r="F126" i="86"/>
  <c r="B126" i="86"/>
  <c r="D55" i="18"/>
  <c r="E55" i="18"/>
  <c r="G129" i="78"/>
  <c r="E130" i="78"/>
  <c r="D130" i="78"/>
  <c r="I126" i="100"/>
  <c r="J126" i="100" s="1"/>
  <c r="H126" i="100"/>
  <c r="B135" i="32"/>
  <c r="F135" i="32"/>
  <c r="B134" i="18"/>
  <c r="F134" i="18"/>
  <c r="H128" i="65"/>
  <c r="I128" i="65"/>
  <c r="G134" i="34"/>
  <c r="D135" i="34"/>
  <c r="E135" i="34"/>
  <c r="E46" i="100"/>
  <c r="D46" i="100"/>
  <c r="B134" i="21"/>
  <c r="F134" i="21"/>
  <c r="B133" i="39"/>
  <c r="F133" i="39"/>
  <c r="I56" i="30"/>
  <c r="F127" i="81"/>
  <c r="B127" i="81"/>
  <c r="H125" i="88"/>
  <c r="I125" i="88"/>
  <c r="B131" i="56"/>
  <c r="F131" i="56"/>
  <c r="H129" i="64"/>
  <c r="I129" i="64"/>
  <c r="J129" i="64" s="1"/>
  <c r="B126" i="96"/>
  <c r="F126" i="96"/>
  <c r="B133" i="73"/>
  <c r="F133" i="73"/>
  <c r="J128" i="66"/>
  <c r="H54" i="18"/>
  <c r="J128" i="78"/>
  <c r="B127" i="99"/>
  <c r="F127" i="99"/>
  <c r="B127" i="100"/>
  <c r="F127" i="100"/>
  <c r="I133" i="18"/>
  <c r="H133" i="18"/>
  <c r="I125" i="98"/>
  <c r="H125" i="98"/>
  <c r="H125" i="84"/>
  <c r="I125" i="84"/>
  <c r="H133" i="21"/>
  <c r="I133" i="21"/>
  <c r="J133" i="21" s="1"/>
  <c r="H130" i="56"/>
  <c r="I130" i="56"/>
  <c r="H132" i="73"/>
  <c r="I132" i="73"/>
  <c r="D51" i="62"/>
  <c r="E51" i="62"/>
  <c r="F129" i="85"/>
  <c r="B129" i="85"/>
  <c r="D49" i="78"/>
  <c r="E49" i="78"/>
  <c r="H48" i="75"/>
  <c r="I48" i="75" s="1"/>
  <c r="H125" i="91"/>
  <c r="I125" i="91"/>
  <c r="D57" i="30"/>
  <c r="E57" i="30"/>
  <c r="F132" i="62"/>
  <c r="B132" i="62"/>
  <c r="H132" i="55"/>
  <c r="I132" i="55"/>
  <c r="F133" i="41"/>
  <c r="B133" i="41"/>
  <c r="B136" i="69"/>
  <c r="F136" i="69"/>
  <c r="H135" i="30"/>
  <c r="I135" i="30"/>
  <c r="H127" i="77"/>
  <c r="I127" i="77"/>
  <c r="E54" i="39"/>
  <c r="D54" i="39"/>
  <c r="D135" i="19"/>
  <c r="G134" i="19"/>
  <c r="E135" i="19"/>
  <c r="I128" i="85"/>
  <c r="J128" i="85" s="1"/>
  <c r="H128" i="85"/>
  <c r="I130" i="46"/>
  <c r="J130" i="46" s="1"/>
  <c r="H130" i="46"/>
  <c r="F131" i="58"/>
  <c r="B131" i="58"/>
  <c r="H127" i="76"/>
  <c r="I127" i="76"/>
  <c r="H126" i="81"/>
  <c r="I126" i="81"/>
  <c r="B128" i="77"/>
  <c r="F128" i="77"/>
  <c r="J127" i="13"/>
  <c r="H131" i="62"/>
  <c r="I131" i="62"/>
  <c r="I129" i="61"/>
  <c r="H129" i="61"/>
  <c r="I132" i="41"/>
  <c r="J132" i="41" s="1"/>
  <c r="H132" i="41"/>
  <c r="I126" i="83"/>
  <c r="H126" i="83"/>
  <c r="B136" i="30"/>
  <c r="F136" i="30"/>
  <c r="I53" i="39"/>
  <c r="D47" i="90"/>
  <c r="E47" i="90"/>
  <c r="H50" i="62"/>
  <c r="H128" i="82"/>
  <c r="I128" i="82"/>
  <c r="B131" i="46"/>
  <c r="F131" i="46"/>
  <c r="B136" i="27"/>
  <c r="F136" i="27"/>
  <c r="D56" i="32"/>
  <c r="E56" i="32"/>
  <c r="I130" i="58"/>
  <c r="J130" i="58" s="1"/>
  <c r="H130" i="58"/>
  <c r="B128" i="76"/>
  <c r="F128" i="76"/>
  <c r="H133" i="3"/>
  <c r="I133" i="3"/>
  <c r="J133" i="3" s="1"/>
  <c r="H130" i="57"/>
  <c r="I130" i="57"/>
  <c r="F126" i="91"/>
  <c r="B126" i="91"/>
  <c r="H126" i="99"/>
  <c r="I126" i="99"/>
  <c r="B129" i="68"/>
  <c r="F129" i="68"/>
  <c r="F131" i="72"/>
  <c r="B131" i="72"/>
  <c r="F128" i="79"/>
  <c r="B128" i="79"/>
  <c r="F133" i="55"/>
  <c r="B133" i="55"/>
  <c r="D46" i="96"/>
  <c r="E46" i="96"/>
  <c r="F132" i="45"/>
  <c r="B132" i="45"/>
  <c r="H130" i="54"/>
  <c r="I130" i="54"/>
  <c r="F130" i="61"/>
  <c r="B130" i="61"/>
  <c r="B127" i="83"/>
  <c r="F127" i="83"/>
  <c r="G50" i="62"/>
  <c r="B137" i="28"/>
  <c r="F137" i="28"/>
  <c r="D50" i="13"/>
  <c r="E50" i="13" s="1"/>
  <c r="F129" i="82"/>
  <c r="B129" i="82"/>
  <c r="I125" i="89"/>
  <c r="H125" i="89"/>
  <c r="B135" i="24"/>
  <c r="F135" i="24"/>
  <c r="H135" i="27"/>
  <c r="I135" i="27"/>
  <c r="D139" i="29"/>
  <c r="G138" i="29"/>
  <c r="E139" i="29"/>
  <c r="B134" i="3"/>
  <c r="F134" i="3"/>
  <c r="B131" i="57"/>
  <c r="F131" i="57"/>
  <c r="F126" i="88"/>
  <c r="B126" i="88"/>
  <c r="I126" i="80"/>
  <c r="H126" i="80"/>
  <c r="H132" i="39"/>
  <c r="I132" i="39"/>
  <c r="J132" i="39" s="1"/>
  <c r="F130" i="64"/>
  <c r="B130" i="64"/>
  <c r="H135" i="69"/>
  <c r="I135" i="69"/>
  <c r="J135" i="69" s="1"/>
  <c r="D55" i="22"/>
  <c r="E55" i="22"/>
  <c r="F126" i="98"/>
  <c r="B126" i="98"/>
  <c r="D49" i="75"/>
  <c r="E49" i="75"/>
  <c r="H128" i="68"/>
  <c r="I128" i="68"/>
  <c r="J128" i="68" s="1"/>
  <c r="F131" i="53"/>
  <c r="B131" i="53"/>
  <c r="B126" i="92"/>
  <c r="F126" i="92"/>
  <c r="G130" i="63"/>
  <c r="D131" i="63"/>
  <c r="E131" i="63"/>
  <c r="H130" i="72"/>
  <c r="I130" i="72"/>
  <c r="J130" i="72" s="1"/>
  <c r="H127" i="79"/>
  <c r="I127" i="79"/>
  <c r="J127" i="79" s="1"/>
  <c r="I46" i="89"/>
  <c r="H131" i="45"/>
  <c r="I131" i="45"/>
  <c r="B131" i="54"/>
  <c r="F131" i="54"/>
  <c r="F137" i="20"/>
  <c r="B137" i="20"/>
  <c r="B126" i="90"/>
  <c r="F126" i="90"/>
  <c r="H132" i="74"/>
  <c r="I132" i="74"/>
  <c r="J132" i="74" s="1"/>
  <c r="G46" i="90"/>
  <c r="I46" i="90" s="1"/>
  <c r="D52" i="54"/>
  <c r="E52" i="54"/>
  <c r="H136" i="28"/>
  <c r="I136" i="28"/>
  <c r="B126" i="89"/>
  <c r="F126" i="89"/>
  <c r="H134" i="24"/>
  <c r="I134" i="24"/>
  <c r="H129" i="59"/>
  <c r="I129" i="59"/>
  <c r="E137" i="23"/>
  <c r="G136" i="23"/>
  <c r="D137" i="23"/>
  <c r="D55" i="21"/>
  <c r="E55" i="21"/>
  <c r="H125" i="92"/>
  <c r="I125" i="92"/>
  <c r="H134" i="71"/>
  <c r="I134" i="71"/>
  <c r="B129" i="65"/>
  <c r="F129" i="65"/>
  <c r="I125" i="96"/>
  <c r="H125" i="96"/>
  <c r="F130" i="75"/>
  <c r="B130" i="75"/>
  <c r="D132" i="67"/>
  <c r="G131" i="67"/>
  <c r="E132" i="67"/>
  <c r="G54" i="18"/>
  <c r="F126" i="84"/>
  <c r="B126" i="84"/>
  <c r="H45" i="100"/>
  <c r="I45" i="100" s="1"/>
  <c r="I130" i="53"/>
  <c r="H130" i="53"/>
  <c r="D47" i="89"/>
  <c r="E47" i="89"/>
  <c r="B46" i="25"/>
  <c r="F46" i="25"/>
  <c r="H136" i="20"/>
  <c r="I136" i="20"/>
  <c r="J136" i="20" s="1"/>
  <c r="B135" i="71"/>
  <c r="F135" i="71"/>
  <c r="I125" i="90"/>
  <c r="H125" i="90"/>
  <c r="B133" i="74"/>
  <c r="F133" i="74"/>
  <c r="J129" i="63"/>
  <c r="G51" i="54"/>
  <c r="I51" i="54" s="1"/>
  <c r="D48" i="88"/>
  <c r="E48" i="88"/>
  <c r="B127" i="80"/>
  <c r="F127" i="80"/>
  <c r="G129" i="66"/>
  <c r="D130" i="66"/>
  <c r="E130" i="66"/>
  <c r="H133" i="22"/>
  <c r="I133" i="22"/>
  <c r="J133" i="22" s="1"/>
  <c r="I125" i="86"/>
  <c r="H125" i="86"/>
  <c r="F130" i="59"/>
  <c r="B130" i="59"/>
  <c r="G55" i="32"/>
  <c r="I55" i="32" s="1"/>
  <c r="D57" i="29"/>
  <c r="E57" i="29"/>
  <c r="D47" i="87"/>
  <c r="E47" i="87"/>
  <c r="H134" i="32"/>
  <c r="I134" i="32"/>
  <c r="J134" i="32" s="1"/>
  <c r="J135" i="23"/>
  <c r="G54" i="21"/>
  <c r="I54" i="21" s="1"/>
  <c r="G128" i="25" l="1"/>
  <c r="D129" i="25"/>
  <c r="I47" i="92"/>
  <c r="H47" i="92"/>
  <c r="G53" i="73"/>
  <c r="I53" i="73" s="1"/>
  <c r="H48" i="79"/>
  <c r="H53" i="44"/>
  <c r="J125" i="92"/>
  <c r="E127" i="87"/>
  <c r="G126" i="87"/>
  <c r="D127" i="87"/>
  <c r="J125" i="89"/>
  <c r="J125" i="98"/>
  <c r="G51" i="59"/>
  <c r="G127" i="95"/>
  <c r="E128" i="95"/>
  <c r="D128" i="95"/>
  <c r="J134" i="31"/>
  <c r="G55" i="24"/>
  <c r="E56" i="24"/>
  <c r="D56" i="24"/>
  <c r="D52" i="57"/>
  <c r="E52" i="57"/>
  <c r="H52" i="45"/>
  <c r="I52" i="45" s="1"/>
  <c r="D53" i="45"/>
  <c r="E53" i="45"/>
  <c r="G133" i="44"/>
  <c r="D134" i="44"/>
  <c r="E134" i="44"/>
  <c r="I49" i="67"/>
  <c r="I132" i="42"/>
  <c r="H132" i="42"/>
  <c r="D55" i="20"/>
  <c r="E55" i="20"/>
  <c r="E57" i="27"/>
  <c r="D57" i="27"/>
  <c r="D128" i="26"/>
  <c r="G127" i="26"/>
  <c r="D46" i="95"/>
  <c r="E46" i="95"/>
  <c r="E57" i="69"/>
  <c r="D57" i="69"/>
  <c r="H51" i="46"/>
  <c r="I51" i="46" s="1"/>
  <c r="E54" i="74"/>
  <c r="D54" i="74"/>
  <c r="B55" i="3"/>
  <c r="F55" i="3"/>
  <c r="G55" i="3" s="1"/>
  <c r="H55" i="3"/>
  <c r="G55" i="34"/>
  <c r="I55" i="34" s="1"/>
  <c r="G55" i="31"/>
  <c r="E56" i="31"/>
  <c r="D56" i="31"/>
  <c r="B127" i="97"/>
  <c r="F127" i="97"/>
  <c r="J131" i="45"/>
  <c r="G51" i="64"/>
  <c r="I51" i="64" s="1"/>
  <c r="I47" i="91"/>
  <c r="F133" i="42"/>
  <c r="B133" i="42"/>
  <c r="E58" i="28"/>
  <c r="D58" i="28"/>
  <c r="E128" i="33"/>
  <c r="F128" i="33" s="1"/>
  <c r="F49" i="76"/>
  <c r="H49" i="76" s="1"/>
  <c r="B49" i="76"/>
  <c r="G53" i="41"/>
  <c r="D54" i="41"/>
  <c r="E54" i="41"/>
  <c r="D52" i="58"/>
  <c r="E52" i="58"/>
  <c r="G56" i="27"/>
  <c r="I50" i="63"/>
  <c r="G45" i="95"/>
  <c r="G56" i="69"/>
  <c r="J132" i="44"/>
  <c r="E50" i="33"/>
  <c r="F50" i="33" s="1"/>
  <c r="B50" i="33"/>
  <c r="E50" i="65"/>
  <c r="G49" i="65"/>
  <c r="I49" i="65" s="1"/>
  <c r="D50" i="65"/>
  <c r="D48" i="83"/>
  <c r="E48" i="83"/>
  <c r="D48" i="82"/>
  <c r="E48" i="82"/>
  <c r="B52" i="72"/>
  <c r="F52" i="72"/>
  <c r="H52" i="72" s="1"/>
  <c r="B46" i="98"/>
  <c r="F46" i="98"/>
  <c r="H46" i="98" s="1"/>
  <c r="G45" i="99"/>
  <c r="I45" i="99" s="1"/>
  <c r="D46" i="99"/>
  <c r="E46" i="99"/>
  <c r="D50" i="68"/>
  <c r="E50" i="68"/>
  <c r="I56" i="27"/>
  <c r="I45" i="95"/>
  <c r="I56" i="69"/>
  <c r="B133" i="43"/>
  <c r="F133" i="43"/>
  <c r="D52" i="46"/>
  <c r="E52" i="46"/>
  <c r="F48" i="85"/>
  <c r="G48" i="85" s="1"/>
  <c r="B48" i="85"/>
  <c r="H53" i="74"/>
  <c r="E56" i="34"/>
  <c r="D56" i="34"/>
  <c r="F54" i="42"/>
  <c r="B54" i="42"/>
  <c r="H54" i="42"/>
  <c r="G54" i="42"/>
  <c r="D48" i="84"/>
  <c r="E48" i="84"/>
  <c r="I48" i="79"/>
  <c r="I53" i="44"/>
  <c r="I49" i="33"/>
  <c r="J125" i="86"/>
  <c r="E48" i="92"/>
  <c r="D48" i="92"/>
  <c r="I55" i="24"/>
  <c r="I51" i="57"/>
  <c r="F48" i="81"/>
  <c r="G48" i="81" s="1"/>
  <c r="B48" i="81"/>
  <c r="H47" i="83"/>
  <c r="I47" i="83" s="1"/>
  <c r="H47" i="82"/>
  <c r="I47" i="82" s="1"/>
  <c r="E50" i="66"/>
  <c r="D50" i="66"/>
  <c r="D50" i="67"/>
  <c r="E50" i="67"/>
  <c r="B46" i="97"/>
  <c r="F46" i="97"/>
  <c r="H46" i="97" s="1"/>
  <c r="I46" i="97" s="1"/>
  <c r="G46" i="97"/>
  <c r="H57" i="28"/>
  <c r="I57" i="28" s="1"/>
  <c r="H49" i="68"/>
  <c r="I49" i="68" s="1"/>
  <c r="B56" i="23"/>
  <c r="F56" i="23"/>
  <c r="H56" i="23" s="1"/>
  <c r="I127" i="33"/>
  <c r="J127" i="33" s="1"/>
  <c r="H127" i="33"/>
  <c r="G51" i="53"/>
  <c r="I51" i="53" s="1"/>
  <c r="E52" i="53"/>
  <c r="D52" i="53"/>
  <c r="H53" i="41"/>
  <c r="I53" i="41" s="1"/>
  <c r="H54" i="20"/>
  <c r="I54" i="20" s="1"/>
  <c r="H51" i="58"/>
  <c r="I51" i="58" s="1"/>
  <c r="E51" i="63"/>
  <c r="D51" i="63"/>
  <c r="I132" i="43"/>
  <c r="J132" i="43" s="1"/>
  <c r="H132" i="43"/>
  <c r="E52" i="56"/>
  <c r="D52" i="56"/>
  <c r="H50" i="60"/>
  <c r="I50" i="60" s="1"/>
  <c r="E51" i="60"/>
  <c r="D51" i="60"/>
  <c r="G53" i="74"/>
  <c r="I53" i="74" s="1"/>
  <c r="G47" i="84"/>
  <c r="I47" i="84" s="1"/>
  <c r="D54" i="73"/>
  <c r="E54" i="73"/>
  <c r="E49" i="79"/>
  <c r="D49" i="79"/>
  <c r="E54" i="44"/>
  <c r="D54" i="44"/>
  <c r="F49" i="77"/>
  <c r="G49" i="77" s="1"/>
  <c r="B49" i="77"/>
  <c r="H55" i="31"/>
  <c r="I55" i="31" s="1"/>
  <c r="H126" i="97"/>
  <c r="I126" i="97"/>
  <c r="G49" i="26"/>
  <c r="D50" i="26"/>
  <c r="H49" i="26"/>
  <c r="D58" i="70"/>
  <c r="E58" i="70"/>
  <c r="I51" i="59"/>
  <c r="G55" i="19"/>
  <c r="I55" i="19" s="1"/>
  <c r="G57" i="70"/>
  <c r="G54" i="17"/>
  <c r="I54" i="17" s="1"/>
  <c r="G51" i="61"/>
  <c r="I51" i="61" s="1"/>
  <c r="D52" i="61"/>
  <c r="E52" i="61"/>
  <c r="E136" i="31"/>
  <c r="D136" i="31"/>
  <c r="G135" i="31"/>
  <c r="B52" i="55"/>
  <c r="F52" i="55"/>
  <c r="B48" i="86"/>
  <c r="F48" i="86"/>
  <c r="H48" i="86" s="1"/>
  <c r="D56" i="19"/>
  <c r="E56" i="19"/>
  <c r="E55" i="17"/>
  <c r="D55" i="17"/>
  <c r="G56" i="71"/>
  <c r="D57" i="71"/>
  <c r="E57" i="71"/>
  <c r="J125" i="91"/>
  <c r="J125" i="88"/>
  <c r="D52" i="59"/>
  <c r="E52" i="59"/>
  <c r="E52" i="64"/>
  <c r="D52" i="64"/>
  <c r="H57" i="70"/>
  <c r="E48" i="91"/>
  <c r="D48" i="91"/>
  <c r="F48" i="80"/>
  <c r="H48" i="80" s="1"/>
  <c r="B48" i="80"/>
  <c r="F54" i="43"/>
  <c r="H54" i="43" s="1"/>
  <c r="B54" i="43"/>
  <c r="H56" i="71"/>
  <c r="J130" i="60"/>
  <c r="J126" i="99"/>
  <c r="J130" i="57"/>
  <c r="J127" i="77"/>
  <c r="J130" i="56"/>
  <c r="H137" i="17"/>
  <c r="I137" i="17"/>
  <c r="J134" i="71"/>
  <c r="F138" i="17"/>
  <c r="B138" i="17"/>
  <c r="J138" i="70"/>
  <c r="J130" i="54"/>
  <c r="J128" i="82"/>
  <c r="J126" i="81"/>
  <c r="G131" i="60"/>
  <c r="D132" i="60"/>
  <c r="E132" i="60"/>
  <c r="G139" i="70"/>
  <c r="D140" i="70"/>
  <c r="E140" i="70"/>
  <c r="G131" i="57"/>
  <c r="D132" i="57"/>
  <c r="E132" i="57"/>
  <c r="G131" i="58"/>
  <c r="D132" i="58"/>
  <c r="E132" i="58"/>
  <c r="G133" i="73"/>
  <c r="D134" i="73"/>
  <c r="E134" i="73"/>
  <c r="F57" i="29"/>
  <c r="B57" i="29"/>
  <c r="D128" i="80"/>
  <c r="G127" i="80"/>
  <c r="E128" i="80"/>
  <c r="I136" i="23"/>
  <c r="H136" i="23"/>
  <c r="J134" i="24"/>
  <c r="G130" i="64"/>
  <c r="D131" i="64"/>
  <c r="E131" i="64"/>
  <c r="J135" i="27"/>
  <c r="D132" i="72"/>
  <c r="G131" i="72"/>
  <c r="E132" i="72"/>
  <c r="D127" i="91"/>
  <c r="G126" i="91"/>
  <c r="E127" i="91"/>
  <c r="B54" i="39"/>
  <c r="F54" i="39"/>
  <c r="H54" i="39" s="1"/>
  <c r="B57" i="30"/>
  <c r="F57" i="30"/>
  <c r="H57" i="30" s="1"/>
  <c r="J132" i="73"/>
  <c r="G133" i="39"/>
  <c r="D134" i="39"/>
  <c r="E134" i="39"/>
  <c r="B135" i="34"/>
  <c r="F135" i="34"/>
  <c r="F130" i="78"/>
  <c r="B130" i="78"/>
  <c r="D47" i="25"/>
  <c r="E47" i="25" s="1"/>
  <c r="G126" i="92"/>
  <c r="E127" i="92"/>
  <c r="D127" i="92"/>
  <c r="D130" i="82"/>
  <c r="G129" i="82"/>
  <c r="E130" i="82"/>
  <c r="D129" i="76"/>
  <c r="G128" i="76"/>
  <c r="E129" i="76"/>
  <c r="J130" i="53"/>
  <c r="G131" i="53"/>
  <c r="D132" i="53"/>
  <c r="E132" i="53"/>
  <c r="D136" i="24"/>
  <c r="G135" i="24"/>
  <c r="E136" i="24"/>
  <c r="D131" i="61"/>
  <c r="G130" i="61"/>
  <c r="E131" i="61"/>
  <c r="G136" i="27"/>
  <c r="D137" i="27"/>
  <c r="E137" i="27"/>
  <c r="B135" i="19"/>
  <c r="F135" i="19"/>
  <c r="F49" i="78"/>
  <c r="G49" i="78" s="1"/>
  <c r="B49" i="78"/>
  <c r="I54" i="18"/>
  <c r="J128" i="65"/>
  <c r="G134" i="18"/>
  <c r="D135" i="18"/>
  <c r="E135" i="18"/>
  <c r="H129" i="78"/>
  <c r="I129" i="78"/>
  <c r="G126" i="86"/>
  <c r="D127" i="86"/>
  <c r="E127" i="86"/>
  <c r="I129" i="66"/>
  <c r="J129" i="66" s="1"/>
  <c r="H129" i="66"/>
  <c r="B46" i="96"/>
  <c r="F46" i="96"/>
  <c r="H46" i="96" s="1"/>
  <c r="G129" i="85"/>
  <c r="D130" i="85"/>
  <c r="E130" i="85"/>
  <c r="G126" i="96"/>
  <c r="D127" i="96"/>
  <c r="E127" i="96"/>
  <c r="G131" i="56"/>
  <c r="D132" i="56"/>
  <c r="E132" i="56"/>
  <c r="H134" i="34"/>
  <c r="I134" i="34"/>
  <c r="B47" i="89"/>
  <c r="F47" i="89"/>
  <c r="H47" i="89" s="1"/>
  <c r="B48" i="88"/>
  <c r="F48" i="88"/>
  <c r="H48" i="88" s="1"/>
  <c r="J125" i="90"/>
  <c r="G126" i="84"/>
  <c r="D127" i="84"/>
  <c r="E127" i="84"/>
  <c r="J125" i="96"/>
  <c r="F52" i="54"/>
  <c r="H52" i="54" s="1"/>
  <c r="B52" i="54"/>
  <c r="D135" i="3"/>
  <c r="G134" i="3"/>
  <c r="E135" i="3"/>
  <c r="D138" i="28"/>
  <c r="G137" i="28"/>
  <c r="E138" i="28"/>
  <c r="D134" i="55"/>
  <c r="G133" i="55"/>
  <c r="E134" i="55"/>
  <c r="G136" i="30"/>
  <c r="D137" i="30"/>
  <c r="E137" i="30"/>
  <c r="J129" i="61"/>
  <c r="D134" i="41"/>
  <c r="G133" i="41"/>
  <c r="E134" i="41"/>
  <c r="F51" i="62"/>
  <c r="H51" i="62" s="1"/>
  <c r="B51" i="62"/>
  <c r="J133" i="18"/>
  <c r="D135" i="21"/>
  <c r="G134" i="21"/>
  <c r="E135" i="21"/>
  <c r="F137" i="23"/>
  <c r="B137" i="23"/>
  <c r="F47" i="90"/>
  <c r="H47" i="90" s="1"/>
  <c r="B47" i="90"/>
  <c r="D127" i="89"/>
  <c r="G126" i="89"/>
  <c r="E127" i="89"/>
  <c r="E138" i="20"/>
  <c r="D138" i="20"/>
  <c r="G137" i="20"/>
  <c r="F55" i="22"/>
  <c r="H55" i="22" s="1"/>
  <c r="B55" i="22"/>
  <c r="J126" i="80"/>
  <c r="H138" i="29"/>
  <c r="I138" i="29"/>
  <c r="D128" i="83"/>
  <c r="G127" i="83"/>
  <c r="E128" i="83"/>
  <c r="D132" i="46"/>
  <c r="G131" i="46"/>
  <c r="E132" i="46"/>
  <c r="J131" i="62"/>
  <c r="J127" i="76"/>
  <c r="J135" i="30"/>
  <c r="E128" i="100"/>
  <c r="D128" i="100"/>
  <c r="G127" i="100"/>
  <c r="G135" i="32"/>
  <c r="D136" i="32"/>
  <c r="E136" i="32"/>
  <c r="D135" i="22"/>
  <c r="G134" i="22"/>
  <c r="E135" i="22"/>
  <c r="F129" i="13"/>
  <c r="B129" i="13"/>
  <c r="B132" i="67"/>
  <c r="F132" i="67"/>
  <c r="G126" i="90"/>
  <c r="D127" i="90"/>
  <c r="E127" i="90"/>
  <c r="G135" i="71"/>
  <c r="D136" i="71"/>
  <c r="E136" i="71"/>
  <c r="G130" i="75"/>
  <c r="E131" i="75"/>
  <c r="D131" i="75"/>
  <c r="G129" i="68"/>
  <c r="D130" i="68"/>
  <c r="E130" i="68"/>
  <c r="H134" i="19"/>
  <c r="I134" i="19"/>
  <c r="J134" i="19" s="1"/>
  <c r="B47" i="87"/>
  <c r="F47" i="87"/>
  <c r="H47" i="87" s="1"/>
  <c r="D131" i="59"/>
  <c r="G130" i="59"/>
  <c r="E131" i="59"/>
  <c r="H46" i="25"/>
  <c r="D130" i="65"/>
  <c r="G129" i="65"/>
  <c r="E130" i="65"/>
  <c r="G131" i="54"/>
  <c r="D132" i="54"/>
  <c r="E132" i="54"/>
  <c r="B131" i="63"/>
  <c r="F131" i="63"/>
  <c r="B139" i="29"/>
  <c r="F139" i="29"/>
  <c r="G128" i="79"/>
  <c r="D129" i="79"/>
  <c r="E129" i="79"/>
  <c r="I50" i="62"/>
  <c r="G128" i="77"/>
  <c r="D129" i="77"/>
  <c r="E129" i="77"/>
  <c r="F46" i="100"/>
  <c r="G46" i="100" s="1"/>
  <c r="H46" i="100"/>
  <c r="B46" i="100"/>
  <c r="H128" i="13"/>
  <c r="I128" i="13"/>
  <c r="F50" i="13"/>
  <c r="G50" i="13" s="1"/>
  <c r="B50" i="13"/>
  <c r="F56" i="32"/>
  <c r="B56" i="32"/>
  <c r="F130" i="66"/>
  <c r="B130" i="66"/>
  <c r="G133" i="74"/>
  <c r="D134" i="74"/>
  <c r="E134" i="74"/>
  <c r="G46" i="25"/>
  <c r="I131" i="67"/>
  <c r="H131" i="67"/>
  <c r="F55" i="21"/>
  <c r="G55" i="21" s="1"/>
  <c r="B55" i="21"/>
  <c r="J129" i="59"/>
  <c r="J136" i="28"/>
  <c r="H130" i="63"/>
  <c r="I130" i="63"/>
  <c r="J130" i="63" s="1"/>
  <c r="B49" i="75"/>
  <c r="F49" i="75"/>
  <c r="H49" i="75" s="1"/>
  <c r="D127" i="98"/>
  <c r="G126" i="98"/>
  <c r="E127" i="98"/>
  <c r="G126" i="88"/>
  <c r="D127" i="88"/>
  <c r="E127" i="88"/>
  <c r="D133" i="45"/>
  <c r="G132" i="45"/>
  <c r="E133" i="45"/>
  <c r="J126" i="83"/>
  <c r="G136" i="69"/>
  <c r="D137" i="69"/>
  <c r="E137" i="69"/>
  <c r="J132" i="55"/>
  <c r="D133" i="62"/>
  <c r="G132" i="62"/>
  <c r="E133" i="62"/>
  <c r="J125" i="84"/>
  <c r="G127" i="99"/>
  <c r="D128" i="99"/>
  <c r="E128" i="99"/>
  <c r="G127" i="81"/>
  <c r="D128" i="81"/>
  <c r="E128" i="81"/>
  <c r="F55" i="18"/>
  <c r="H55" i="18" s="1"/>
  <c r="B55" i="18"/>
  <c r="J129" i="75"/>
  <c r="H50" i="13" l="1"/>
  <c r="G46" i="98"/>
  <c r="I46" i="98" s="1"/>
  <c r="H127" i="95"/>
  <c r="I127" i="95"/>
  <c r="F127" i="87"/>
  <c r="B127" i="87"/>
  <c r="I46" i="25"/>
  <c r="G47" i="90"/>
  <c r="I57" i="70"/>
  <c r="H49" i="77"/>
  <c r="G56" i="23"/>
  <c r="H126" i="87"/>
  <c r="I126" i="87"/>
  <c r="J126" i="87" s="1"/>
  <c r="E129" i="25"/>
  <c r="F129" i="25" s="1"/>
  <c r="B129" i="25"/>
  <c r="I55" i="3"/>
  <c r="B128" i="95"/>
  <c r="F128" i="95"/>
  <c r="I128" i="25"/>
  <c r="H128" i="25"/>
  <c r="I47" i="90"/>
  <c r="G54" i="43"/>
  <c r="I54" i="43" s="1"/>
  <c r="G48" i="86"/>
  <c r="J126" i="97"/>
  <c r="B54" i="73"/>
  <c r="F54" i="73"/>
  <c r="D47" i="97"/>
  <c r="E47" i="97"/>
  <c r="F50" i="66"/>
  <c r="G50" i="66" s="1"/>
  <c r="B50" i="66"/>
  <c r="F48" i="84"/>
  <c r="H48" i="84" s="1"/>
  <c r="B48" i="84"/>
  <c r="E55" i="42"/>
  <c r="D55" i="42"/>
  <c r="E47" i="98"/>
  <c r="D47" i="98"/>
  <c r="G49" i="76"/>
  <c r="I49" i="76" s="1"/>
  <c r="B57" i="27"/>
  <c r="F57" i="27"/>
  <c r="G57" i="27" s="1"/>
  <c r="B134" i="44"/>
  <c r="F134" i="44"/>
  <c r="G48" i="80"/>
  <c r="B49" i="79"/>
  <c r="F49" i="79"/>
  <c r="I56" i="23"/>
  <c r="F48" i="92"/>
  <c r="B48" i="92"/>
  <c r="B56" i="34"/>
  <c r="F56" i="34"/>
  <c r="G56" i="34"/>
  <c r="F52" i="46"/>
  <c r="B52" i="46"/>
  <c r="F46" i="99"/>
  <c r="B46" i="99"/>
  <c r="G46" i="99"/>
  <c r="B48" i="83"/>
  <c r="F48" i="83"/>
  <c r="G48" i="83"/>
  <c r="F52" i="58"/>
  <c r="G52" i="58"/>
  <c r="B52" i="58"/>
  <c r="D129" i="33"/>
  <c r="G128" i="33"/>
  <c r="E134" i="42"/>
  <c r="D134" i="42"/>
  <c r="G133" i="42"/>
  <c r="E128" i="97"/>
  <c r="D128" i="97"/>
  <c r="G127" i="97"/>
  <c r="D56" i="3"/>
  <c r="E56" i="3"/>
  <c r="F46" i="95"/>
  <c r="B46" i="95"/>
  <c r="G46" i="95"/>
  <c r="J132" i="42"/>
  <c r="I133" i="44"/>
  <c r="H133" i="44"/>
  <c r="G48" i="88"/>
  <c r="D50" i="77"/>
  <c r="E50" i="77"/>
  <c r="F52" i="56"/>
  <c r="H52" i="56"/>
  <c r="B52" i="56"/>
  <c r="G52" i="56"/>
  <c r="B51" i="63"/>
  <c r="G51" i="63"/>
  <c r="F51" i="63"/>
  <c r="D57" i="23"/>
  <c r="E57" i="23"/>
  <c r="H48" i="81"/>
  <c r="I48" i="81" s="1"/>
  <c r="D49" i="81"/>
  <c r="E49" i="81"/>
  <c r="I54" i="42"/>
  <c r="H48" i="85"/>
  <c r="I48" i="85" s="1"/>
  <c r="D49" i="85"/>
  <c r="E49" i="85"/>
  <c r="D134" i="43"/>
  <c r="G133" i="43"/>
  <c r="E134" i="43"/>
  <c r="B50" i="65"/>
  <c r="F50" i="65"/>
  <c r="G50" i="65" s="1"/>
  <c r="H50" i="33"/>
  <c r="G50" i="33"/>
  <c r="D51" i="33"/>
  <c r="F58" i="28"/>
  <c r="G58" i="28" s="1"/>
  <c r="I58" i="28" s="1"/>
  <c r="B58" i="28"/>
  <c r="H58" i="28"/>
  <c r="F57" i="69"/>
  <c r="H57" i="69" s="1"/>
  <c r="B57" i="69"/>
  <c r="H127" i="26"/>
  <c r="I127" i="26"/>
  <c r="B52" i="57"/>
  <c r="F52" i="57"/>
  <c r="H52" i="57" s="1"/>
  <c r="I48" i="80"/>
  <c r="I49" i="77"/>
  <c r="B54" i="44"/>
  <c r="F54" i="44"/>
  <c r="H54" i="44" s="1"/>
  <c r="B51" i="60"/>
  <c r="F51" i="60"/>
  <c r="G51" i="60" s="1"/>
  <c r="F52" i="53"/>
  <c r="B52" i="53"/>
  <c r="F50" i="67"/>
  <c r="G50" i="67" s="1"/>
  <c r="B50" i="67"/>
  <c r="B50" i="68"/>
  <c r="F50" i="68"/>
  <c r="H50" i="68" s="1"/>
  <c r="G52" i="72"/>
  <c r="I52" i="72" s="1"/>
  <c r="D53" i="72"/>
  <c r="E53" i="72"/>
  <c r="F48" i="82"/>
  <c r="B48" i="82"/>
  <c r="H54" i="41"/>
  <c r="B54" i="41"/>
  <c r="F54" i="41"/>
  <c r="G54" i="41" s="1"/>
  <c r="D50" i="76"/>
  <c r="E50" i="76"/>
  <c r="B56" i="31"/>
  <c r="F56" i="31"/>
  <c r="H56" i="31"/>
  <c r="F54" i="74"/>
  <c r="G54" i="74" s="1"/>
  <c r="B54" i="74"/>
  <c r="E128" i="26"/>
  <c r="F128" i="26" s="1"/>
  <c r="B128" i="26"/>
  <c r="F55" i="20"/>
  <c r="B55" i="20"/>
  <c r="B53" i="45"/>
  <c r="F53" i="45"/>
  <c r="F56" i="24"/>
  <c r="B56" i="24"/>
  <c r="I46" i="100"/>
  <c r="B56" i="19"/>
  <c r="F56" i="19"/>
  <c r="H56" i="19" s="1"/>
  <c r="E53" i="55"/>
  <c r="D53" i="55"/>
  <c r="H49" i="78"/>
  <c r="I49" i="78" s="1"/>
  <c r="I48" i="86"/>
  <c r="B58" i="70"/>
  <c r="F58" i="70"/>
  <c r="D59" i="70" s="1"/>
  <c r="B50" i="26"/>
  <c r="H55" i="21"/>
  <c r="I55" i="21" s="1"/>
  <c r="I48" i="88"/>
  <c r="I56" i="71"/>
  <c r="D55" i="43"/>
  <c r="E55" i="43"/>
  <c r="B52" i="64"/>
  <c r="F52" i="64"/>
  <c r="G52" i="64" s="1"/>
  <c r="D49" i="86"/>
  <c r="E49" i="86"/>
  <c r="G52" i="55"/>
  <c r="I135" i="31"/>
  <c r="J135" i="31" s="1"/>
  <c r="H135" i="31"/>
  <c r="B52" i="61"/>
  <c r="F52" i="61"/>
  <c r="G52" i="61" s="1"/>
  <c r="C64" i="17"/>
  <c r="B55" i="17"/>
  <c r="F55" i="17"/>
  <c r="E49" i="80"/>
  <c r="D49" i="80"/>
  <c r="B48" i="91"/>
  <c r="F48" i="91"/>
  <c r="B52" i="59"/>
  <c r="F52" i="59"/>
  <c r="G52" i="59" s="1"/>
  <c r="B57" i="71"/>
  <c r="F57" i="71"/>
  <c r="H57" i="71" s="1"/>
  <c r="H52" i="55"/>
  <c r="I52" i="55" s="1"/>
  <c r="F136" i="31"/>
  <c r="B136" i="31"/>
  <c r="I49" i="26"/>
  <c r="E50" i="26"/>
  <c r="F50" i="26" s="1"/>
  <c r="J134" i="34"/>
  <c r="F132" i="60"/>
  <c r="B132" i="60"/>
  <c r="D139" i="17"/>
  <c r="E139" i="17"/>
  <c r="G138" i="17"/>
  <c r="H131" i="60"/>
  <c r="I131" i="60"/>
  <c r="J136" i="23"/>
  <c r="B140" i="70"/>
  <c r="F140" i="70"/>
  <c r="J137" i="17"/>
  <c r="J129" i="78"/>
  <c r="H139" i="70"/>
  <c r="I139" i="70"/>
  <c r="J139" i="70" s="1"/>
  <c r="I126" i="88"/>
  <c r="H126" i="88"/>
  <c r="B130" i="65"/>
  <c r="F130" i="65"/>
  <c r="H127" i="100"/>
  <c r="I127" i="100"/>
  <c r="F134" i="39"/>
  <c r="B134" i="39"/>
  <c r="F127" i="91"/>
  <c r="B127" i="91"/>
  <c r="H131" i="72"/>
  <c r="I131" i="72"/>
  <c r="J131" i="72" s="1"/>
  <c r="D58" i="29"/>
  <c r="E58" i="29"/>
  <c r="F134" i="73"/>
  <c r="B134" i="73"/>
  <c r="H127" i="99"/>
  <c r="I127" i="99"/>
  <c r="B133" i="45"/>
  <c r="F133" i="45"/>
  <c r="I50" i="13"/>
  <c r="J128" i="13"/>
  <c r="I131" i="54"/>
  <c r="H131" i="54"/>
  <c r="F131" i="75"/>
  <c r="B131" i="75"/>
  <c r="H126" i="90"/>
  <c r="I126" i="90"/>
  <c r="H134" i="22"/>
  <c r="I134" i="22"/>
  <c r="F128" i="100"/>
  <c r="B128" i="100"/>
  <c r="B132" i="46"/>
  <c r="F132" i="46"/>
  <c r="F127" i="84"/>
  <c r="B127" i="84"/>
  <c r="I126" i="96"/>
  <c r="H126" i="96"/>
  <c r="D47" i="96"/>
  <c r="E47" i="96"/>
  <c r="H126" i="86"/>
  <c r="I126" i="86"/>
  <c r="H129" i="82"/>
  <c r="I129" i="82"/>
  <c r="B47" i="25"/>
  <c r="F47" i="25"/>
  <c r="G47" i="25" s="1"/>
  <c r="H133" i="39"/>
  <c r="I133" i="39"/>
  <c r="J133" i="39" s="1"/>
  <c r="D55" i="39"/>
  <c r="E55" i="39"/>
  <c r="F132" i="72"/>
  <c r="B132" i="72"/>
  <c r="H133" i="73"/>
  <c r="I133" i="73"/>
  <c r="B132" i="57"/>
  <c r="F132" i="57"/>
  <c r="H132" i="45"/>
  <c r="I132" i="45"/>
  <c r="I129" i="68"/>
  <c r="H129" i="68"/>
  <c r="F130" i="82"/>
  <c r="B130" i="82"/>
  <c r="F132" i="58"/>
  <c r="B132" i="58"/>
  <c r="F127" i="98"/>
  <c r="B127" i="98"/>
  <c r="J131" i="67"/>
  <c r="I133" i="74"/>
  <c r="H133" i="74"/>
  <c r="H130" i="75"/>
  <c r="I130" i="75"/>
  <c r="F127" i="89"/>
  <c r="B127" i="89"/>
  <c r="I133" i="55"/>
  <c r="J133" i="55" s="1"/>
  <c r="H133" i="55"/>
  <c r="B138" i="28"/>
  <c r="F138" i="28"/>
  <c r="F130" i="85"/>
  <c r="B130" i="85"/>
  <c r="F131" i="61"/>
  <c r="B131" i="61"/>
  <c r="F127" i="92"/>
  <c r="B127" i="92"/>
  <c r="G54" i="39"/>
  <c r="I54" i="39" s="1"/>
  <c r="I127" i="80"/>
  <c r="J127" i="80" s="1"/>
  <c r="H127" i="80"/>
  <c r="H131" i="58"/>
  <c r="I131" i="58"/>
  <c r="B127" i="90"/>
  <c r="F127" i="90"/>
  <c r="F134" i="74"/>
  <c r="B134" i="74"/>
  <c r="F135" i="22"/>
  <c r="B135" i="22"/>
  <c r="I126" i="89"/>
  <c r="H126" i="89"/>
  <c r="F128" i="81"/>
  <c r="B128" i="81"/>
  <c r="G49" i="75"/>
  <c r="I49" i="75" s="1"/>
  <c r="D51" i="13"/>
  <c r="E51" i="13" s="1"/>
  <c r="F129" i="77"/>
  <c r="B129" i="77"/>
  <c r="H130" i="59"/>
  <c r="I130" i="59"/>
  <c r="F136" i="32"/>
  <c r="B136" i="32"/>
  <c r="D56" i="22"/>
  <c r="E56" i="22"/>
  <c r="D52" i="62"/>
  <c r="E52" i="62"/>
  <c r="F137" i="30"/>
  <c r="B137" i="30"/>
  <c r="F134" i="55"/>
  <c r="B134" i="55"/>
  <c r="D48" i="89"/>
  <c r="E48" i="89"/>
  <c r="H129" i="85"/>
  <c r="I129" i="85"/>
  <c r="D131" i="78"/>
  <c r="G130" i="78"/>
  <c r="E131" i="78"/>
  <c r="D58" i="30"/>
  <c r="E58" i="30"/>
  <c r="B131" i="64"/>
  <c r="F131" i="64"/>
  <c r="B128" i="80"/>
  <c r="F128" i="80"/>
  <c r="D57" i="32"/>
  <c r="E57" i="32"/>
  <c r="F127" i="86"/>
  <c r="B127" i="86"/>
  <c r="G139" i="29"/>
  <c r="D140" i="29"/>
  <c r="E140" i="29"/>
  <c r="D53" i="54"/>
  <c r="E53" i="54"/>
  <c r="I131" i="57"/>
  <c r="J131" i="57" s="1"/>
  <c r="H131" i="57"/>
  <c r="G55" i="18"/>
  <c r="I55" i="18" s="1"/>
  <c r="I136" i="69"/>
  <c r="H136" i="69"/>
  <c r="H127" i="81"/>
  <c r="I127" i="81"/>
  <c r="D131" i="66"/>
  <c r="G130" i="66"/>
  <c r="E131" i="66"/>
  <c r="G56" i="32"/>
  <c r="H128" i="77"/>
  <c r="I128" i="77"/>
  <c r="J128" i="77" s="1"/>
  <c r="D132" i="63"/>
  <c r="E132" i="63"/>
  <c r="G131" i="63"/>
  <c r="B131" i="59"/>
  <c r="F131" i="59"/>
  <c r="B136" i="71"/>
  <c r="F136" i="71"/>
  <c r="H135" i="32"/>
  <c r="I135" i="32"/>
  <c r="J135" i="32" s="1"/>
  <c r="I127" i="83"/>
  <c r="H127" i="83"/>
  <c r="G55" i="22"/>
  <c r="I55" i="22" s="1"/>
  <c r="D48" i="90"/>
  <c r="E48" i="90"/>
  <c r="G51" i="62"/>
  <c r="I51" i="62" s="1"/>
  <c r="H136" i="30"/>
  <c r="I136" i="30"/>
  <c r="H134" i="3"/>
  <c r="I134" i="3"/>
  <c r="G47" i="89"/>
  <c r="I47" i="89" s="1"/>
  <c r="F132" i="56"/>
  <c r="B132" i="56"/>
  <c r="F135" i="18"/>
  <c r="B135" i="18"/>
  <c r="G135" i="19"/>
  <c r="D136" i="19"/>
  <c r="E136" i="19"/>
  <c r="H135" i="24"/>
  <c r="I135" i="24"/>
  <c r="B132" i="53"/>
  <c r="F132" i="53"/>
  <c r="I126" i="92"/>
  <c r="H126" i="92"/>
  <c r="G135" i="34"/>
  <c r="D136" i="34"/>
  <c r="E136" i="34"/>
  <c r="H130" i="64"/>
  <c r="I130" i="64"/>
  <c r="J130" i="64" s="1"/>
  <c r="H57" i="29"/>
  <c r="F127" i="96"/>
  <c r="B127" i="96"/>
  <c r="B137" i="69"/>
  <c r="F137" i="69"/>
  <c r="H126" i="98"/>
  <c r="I126" i="98"/>
  <c r="H137" i="28"/>
  <c r="I137" i="28"/>
  <c r="J137" i="28" s="1"/>
  <c r="D49" i="88"/>
  <c r="E49" i="88"/>
  <c r="E56" i="18"/>
  <c r="D56" i="18"/>
  <c r="D50" i="75"/>
  <c r="E50" i="75"/>
  <c r="F129" i="79"/>
  <c r="B129" i="79"/>
  <c r="D48" i="87"/>
  <c r="E48" i="87"/>
  <c r="H135" i="71"/>
  <c r="I135" i="71"/>
  <c r="B128" i="83"/>
  <c r="F128" i="83"/>
  <c r="I137" i="20"/>
  <c r="H137" i="20"/>
  <c r="I134" i="21"/>
  <c r="H134" i="21"/>
  <c r="F135" i="3"/>
  <c r="B135" i="3"/>
  <c r="H131" i="56"/>
  <c r="I131" i="56"/>
  <c r="I134" i="18"/>
  <c r="H134" i="18"/>
  <c r="B137" i="27"/>
  <c r="F137" i="27"/>
  <c r="B136" i="24"/>
  <c r="F136" i="24"/>
  <c r="H131" i="53"/>
  <c r="I131" i="53"/>
  <c r="H128" i="76"/>
  <c r="I128" i="76"/>
  <c r="G57" i="30"/>
  <c r="I57" i="30" s="1"/>
  <c r="F128" i="99"/>
  <c r="B128" i="99"/>
  <c r="B132" i="54"/>
  <c r="F132" i="54"/>
  <c r="H131" i="46"/>
  <c r="I131" i="46"/>
  <c r="B134" i="41"/>
  <c r="F134" i="41"/>
  <c r="E133" i="67"/>
  <c r="D133" i="67"/>
  <c r="G132" i="67"/>
  <c r="H126" i="84"/>
  <c r="I126" i="84"/>
  <c r="H130" i="61"/>
  <c r="I130" i="61"/>
  <c r="I132" i="62"/>
  <c r="J132" i="62" s="1"/>
  <c r="H132" i="62"/>
  <c r="B133" i="62"/>
  <c r="F133" i="62"/>
  <c r="B127" i="88"/>
  <c r="F127" i="88"/>
  <c r="E56" i="21"/>
  <c r="D56" i="21"/>
  <c r="H56" i="32"/>
  <c r="I56" i="32" s="1"/>
  <c r="E47" i="100"/>
  <c r="D47" i="100"/>
  <c r="H128" i="79"/>
  <c r="I128" i="79"/>
  <c r="H129" i="65"/>
  <c r="I129" i="65"/>
  <c r="G47" i="87"/>
  <c r="I47" i="87" s="1"/>
  <c r="B130" i="68"/>
  <c r="F130" i="68"/>
  <c r="G129" i="13"/>
  <c r="D130" i="13"/>
  <c r="E130" i="13" s="1"/>
  <c r="J138" i="29"/>
  <c r="B138" i="20"/>
  <c r="F138" i="20"/>
  <c r="G137" i="23"/>
  <c r="E138" i="23"/>
  <c r="D138" i="23"/>
  <c r="F135" i="21"/>
  <c r="B135" i="21"/>
  <c r="I133" i="41"/>
  <c r="H133" i="41"/>
  <c r="G52" i="54"/>
  <c r="I52" i="54" s="1"/>
  <c r="G46" i="96"/>
  <c r="I46" i="96" s="1"/>
  <c r="D50" i="78"/>
  <c r="E50" i="78"/>
  <c r="H136" i="27"/>
  <c r="I136" i="27"/>
  <c r="B129" i="76"/>
  <c r="F129" i="76"/>
  <c r="H126" i="91"/>
  <c r="I126" i="91"/>
  <c r="G57" i="29"/>
  <c r="G129" i="25" l="1"/>
  <c r="D130" i="25"/>
  <c r="G58" i="70"/>
  <c r="G52" i="57"/>
  <c r="I52" i="57" s="1"/>
  <c r="J127" i="26"/>
  <c r="G128" i="95"/>
  <c r="D129" i="95"/>
  <c r="E129" i="95"/>
  <c r="G56" i="19"/>
  <c r="G50" i="68"/>
  <c r="I50" i="68"/>
  <c r="I50" i="33"/>
  <c r="H57" i="27"/>
  <c r="G48" i="84"/>
  <c r="H50" i="66"/>
  <c r="G127" i="87"/>
  <c r="E128" i="87"/>
  <c r="D128" i="87"/>
  <c r="I57" i="27"/>
  <c r="J128" i="25"/>
  <c r="J127" i="95"/>
  <c r="D57" i="24"/>
  <c r="E57" i="24"/>
  <c r="G53" i="45"/>
  <c r="E54" i="45"/>
  <c r="D54" i="45"/>
  <c r="G55" i="20"/>
  <c r="D56" i="20"/>
  <c r="E56" i="20"/>
  <c r="B50" i="76"/>
  <c r="H50" i="76"/>
  <c r="F50" i="76"/>
  <c r="G50" i="76" s="1"/>
  <c r="I54" i="41"/>
  <c r="D49" i="82"/>
  <c r="E49" i="82"/>
  <c r="E51" i="33"/>
  <c r="F51" i="33" s="1"/>
  <c r="B51" i="33"/>
  <c r="B134" i="43"/>
  <c r="F134" i="43"/>
  <c r="B56" i="3"/>
  <c r="F56" i="3"/>
  <c r="I133" i="42"/>
  <c r="H133" i="42"/>
  <c r="E129" i="33"/>
  <c r="F129" i="33"/>
  <c r="B129" i="33"/>
  <c r="G52" i="46"/>
  <c r="D53" i="46"/>
  <c r="E53" i="46"/>
  <c r="D49" i="92"/>
  <c r="E49" i="92"/>
  <c r="E50" i="79"/>
  <c r="D50" i="79"/>
  <c r="F55" i="42"/>
  <c r="G55" i="42" s="1"/>
  <c r="B55" i="42"/>
  <c r="D55" i="73"/>
  <c r="E55" i="73"/>
  <c r="G56" i="24"/>
  <c r="D57" i="31"/>
  <c r="E57" i="31"/>
  <c r="H48" i="82"/>
  <c r="H52" i="53"/>
  <c r="D53" i="53"/>
  <c r="E53" i="53"/>
  <c r="B57" i="23"/>
  <c r="F57" i="23"/>
  <c r="D53" i="56"/>
  <c r="E53" i="56"/>
  <c r="I127" i="97"/>
  <c r="J127" i="97" s="1"/>
  <c r="H127" i="97"/>
  <c r="F134" i="42"/>
  <c r="B134" i="42"/>
  <c r="E49" i="83"/>
  <c r="D49" i="83"/>
  <c r="H52" i="46"/>
  <c r="I52" i="46" s="1"/>
  <c r="H48" i="92"/>
  <c r="D49" i="84"/>
  <c r="E49" i="84"/>
  <c r="E51" i="66"/>
  <c r="D51" i="66"/>
  <c r="H54" i="73"/>
  <c r="H56" i="24"/>
  <c r="I56" i="24" s="1"/>
  <c r="H55" i="20"/>
  <c r="I55" i="20" s="1"/>
  <c r="G128" i="26"/>
  <c r="D129" i="26"/>
  <c r="E55" i="74"/>
  <c r="D55" i="74"/>
  <c r="E55" i="41"/>
  <c r="D55" i="41"/>
  <c r="G48" i="82"/>
  <c r="F53" i="72"/>
  <c r="H53" i="72" s="1"/>
  <c r="I53" i="72" s="1"/>
  <c r="G53" i="72"/>
  <c r="B53" i="72"/>
  <c r="E51" i="68"/>
  <c r="D51" i="68"/>
  <c r="H50" i="67"/>
  <c r="I50" i="67" s="1"/>
  <c r="D51" i="67"/>
  <c r="E51" i="67"/>
  <c r="G54" i="44"/>
  <c r="I54" i="44" s="1"/>
  <c r="E55" i="44"/>
  <c r="D55" i="44"/>
  <c r="D58" i="69"/>
  <c r="E58" i="69"/>
  <c r="G49" i="85"/>
  <c r="B49" i="85"/>
  <c r="F49" i="85"/>
  <c r="H49" i="85" s="1"/>
  <c r="B49" i="81"/>
  <c r="F49" i="81"/>
  <c r="H49" i="81" s="1"/>
  <c r="E52" i="63"/>
  <c r="D52" i="63"/>
  <c r="I52" i="56"/>
  <c r="J133" i="44"/>
  <c r="H46" i="95"/>
  <c r="I46" i="95" s="1"/>
  <c r="D47" i="95"/>
  <c r="E47" i="95"/>
  <c r="F128" i="97"/>
  <c r="B128" i="97"/>
  <c r="H46" i="99"/>
  <c r="I46" i="99" s="1"/>
  <c r="E47" i="99"/>
  <c r="D47" i="99"/>
  <c r="G48" i="92"/>
  <c r="G49" i="79"/>
  <c r="F47" i="98"/>
  <c r="B47" i="98"/>
  <c r="I48" i="84"/>
  <c r="I50" i="66"/>
  <c r="G54" i="73"/>
  <c r="J126" i="89"/>
  <c r="J127" i="99"/>
  <c r="H53" i="45"/>
  <c r="I53" i="45" s="1"/>
  <c r="H54" i="74"/>
  <c r="I54" i="74" s="1"/>
  <c r="G56" i="31"/>
  <c r="I56" i="31" s="1"/>
  <c r="G52" i="53"/>
  <c r="H51" i="60"/>
  <c r="I51" i="60" s="1"/>
  <c r="E52" i="60"/>
  <c r="D52" i="60"/>
  <c r="E53" i="57"/>
  <c r="D53" i="57"/>
  <c r="G57" i="69"/>
  <c r="I57" i="69" s="1"/>
  <c r="E59" i="28"/>
  <c r="D59" i="28"/>
  <c r="H50" i="65"/>
  <c r="I50" i="65" s="1"/>
  <c r="D51" i="65"/>
  <c r="E51" i="65"/>
  <c r="H133" i="43"/>
  <c r="I133" i="43"/>
  <c r="J133" i="43" s="1"/>
  <c r="H51" i="63"/>
  <c r="I51" i="63" s="1"/>
  <c r="B50" i="77"/>
  <c r="F50" i="77"/>
  <c r="H50" i="77" s="1"/>
  <c r="G50" i="77"/>
  <c r="H128" i="33"/>
  <c r="I128" i="33"/>
  <c r="H52" i="58"/>
  <c r="I52" i="58" s="1"/>
  <c r="D53" i="58"/>
  <c r="E53" i="58"/>
  <c r="H48" i="83"/>
  <c r="I48" i="83" s="1"/>
  <c r="H56" i="34"/>
  <c r="I56" i="34" s="1"/>
  <c r="E57" i="34"/>
  <c r="D57" i="34"/>
  <c r="H49" i="79"/>
  <c r="E135" i="44"/>
  <c r="D135" i="44"/>
  <c r="G134" i="44"/>
  <c r="E58" i="27"/>
  <c r="D58" i="27"/>
  <c r="F47" i="97"/>
  <c r="B47" i="97"/>
  <c r="D51" i="26"/>
  <c r="H50" i="26"/>
  <c r="I50" i="26" s="1"/>
  <c r="G50" i="26"/>
  <c r="G136" i="31"/>
  <c r="D137" i="31"/>
  <c r="E137" i="31"/>
  <c r="G48" i="91"/>
  <c r="D49" i="91"/>
  <c r="E49" i="91"/>
  <c r="D56" i="17"/>
  <c r="E56" i="17"/>
  <c r="G57" i="71"/>
  <c r="I57" i="71" s="1"/>
  <c r="D58" i="71"/>
  <c r="E58" i="71"/>
  <c r="D53" i="59"/>
  <c r="E53" i="59"/>
  <c r="D53" i="61"/>
  <c r="E53" i="61"/>
  <c r="F49" i="86"/>
  <c r="H49" i="86" s="1"/>
  <c r="B49" i="86"/>
  <c r="E59" i="70"/>
  <c r="F59" i="70" s="1"/>
  <c r="D60" i="70" s="1"/>
  <c r="B59" i="70"/>
  <c r="F49" i="80"/>
  <c r="B49" i="80"/>
  <c r="G55" i="17"/>
  <c r="F55" i="43"/>
  <c r="H55" i="43" s="1"/>
  <c r="B55" i="43"/>
  <c r="H55" i="17"/>
  <c r="B53" i="55"/>
  <c r="F53" i="55"/>
  <c r="H53" i="55" s="1"/>
  <c r="I56" i="19"/>
  <c r="J126" i="91"/>
  <c r="J131" i="53"/>
  <c r="I57" i="29"/>
  <c r="H47" i="25"/>
  <c r="H52" i="59"/>
  <c r="I52" i="59" s="1"/>
  <c r="H48" i="91"/>
  <c r="I48" i="91" s="1"/>
  <c r="H52" i="61"/>
  <c r="I52" i="61" s="1"/>
  <c r="H52" i="64"/>
  <c r="I52" i="64" s="1"/>
  <c r="E53" i="64"/>
  <c r="D53" i="64"/>
  <c r="H58" i="70"/>
  <c r="I58" i="70" s="1"/>
  <c r="E57" i="19"/>
  <c r="D57" i="19"/>
  <c r="J126" i="90"/>
  <c r="D141" i="70"/>
  <c r="G140" i="70"/>
  <c r="E141" i="70"/>
  <c r="H138" i="17"/>
  <c r="I138" i="17"/>
  <c r="J138" i="17" s="1"/>
  <c r="J136" i="69"/>
  <c r="J130" i="59"/>
  <c r="F139" i="17"/>
  <c r="B139" i="17"/>
  <c r="J126" i="98"/>
  <c r="J126" i="96"/>
  <c r="J131" i="54"/>
  <c r="J130" i="75"/>
  <c r="J127" i="100"/>
  <c r="E133" i="60"/>
  <c r="D133" i="60"/>
  <c r="G132" i="60"/>
  <c r="J128" i="76"/>
  <c r="J127" i="83"/>
  <c r="J131" i="60"/>
  <c r="F58" i="30"/>
  <c r="G58" i="30" s="1"/>
  <c r="B58" i="30"/>
  <c r="G132" i="72"/>
  <c r="D133" i="72"/>
  <c r="E133" i="72"/>
  <c r="I47" i="25"/>
  <c r="E129" i="100"/>
  <c r="D129" i="100"/>
  <c r="G128" i="100"/>
  <c r="D131" i="65"/>
  <c r="G130" i="65"/>
  <c r="E131" i="65"/>
  <c r="J136" i="27"/>
  <c r="H137" i="23"/>
  <c r="I137" i="23"/>
  <c r="J137" i="23" s="1"/>
  <c r="J128" i="79"/>
  <c r="G127" i="88"/>
  <c r="D128" i="88"/>
  <c r="E128" i="88"/>
  <c r="G132" i="54"/>
  <c r="D133" i="54"/>
  <c r="E133" i="54"/>
  <c r="D136" i="3"/>
  <c r="G135" i="3"/>
  <c r="E136" i="3"/>
  <c r="J135" i="71"/>
  <c r="J126" i="92"/>
  <c r="B53" i="54"/>
  <c r="F53" i="54"/>
  <c r="G53" i="54" s="1"/>
  <c r="H53" i="54"/>
  <c r="J129" i="85"/>
  <c r="D129" i="81"/>
  <c r="G128" i="81"/>
  <c r="E129" i="81"/>
  <c r="J133" i="73"/>
  <c r="J129" i="82"/>
  <c r="J126" i="86"/>
  <c r="D128" i="84"/>
  <c r="G127" i="84"/>
  <c r="E128" i="84"/>
  <c r="J134" i="22"/>
  <c r="D135" i="73"/>
  <c r="G134" i="73"/>
  <c r="E135" i="73"/>
  <c r="D136" i="22"/>
  <c r="G135" i="22"/>
  <c r="E136" i="22"/>
  <c r="G134" i="39"/>
  <c r="D135" i="39"/>
  <c r="E135" i="39"/>
  <c r="J134" i="18"/>
  <c r="H135" i="19"/>
  <c r="I135" i="19"/>
  <c r="G131" i="59"/>
  <c r="D132" i="59"/>
  <c r="E132" i="59"/>
  <c r="B131" i="78"/>
  <c r="F131" i="78"/>
  <c r="F56" i="22"/>
  <c r="H56" i="22"/>
  <c r="B56" i="22"/>
  <c r="E128" i="92"/>
  <c r="D128" i="92"/>
  <c r="G127" i="92"/>
  <c r="G127" i="89"/>
  <c r="D128" i="89"/>
  <c r="E128" i="89"/>
  <c r="J133" i="74"/>
  <c r="B58" i="29"/>
  <c r="F58" i="29"/>
  <c r="H58" i="29" s="1"/>
  <c r="J126" i="88"/>
  <c r="B50" i="75"/>
  <c r="F50" i="75"/>
  <c r="G50" i="75" s="1"/>
  <c r="H50" i="75"/>
  <c r="G128" i="80"/>
  <c r="D129" i="80"/>
  <c r="E129" i="80"/>
  <c r="D138" i="30"/>
  <c r="G137" i="30"/>
  <c r="E138" i="30"/>
  <c r="G131" i="61"/>
  <c r="D132" i="61"/>
  <c r="E132" i="61"/>
  <c r="G133" i="45"/>
  <c r="D134" i="45"/>
  <c r="E134" i="45"/>
  <c r="B50" i="78"/>
  <c r="F50" i="78"/>
  <c r="G50" i="78" s="1"/>
  <c r="H50" i="78"/>
  <c r="J133" i="41"/>
  <c r="D131" i="68"/>
  <c r="G130" i="68"/>
  <c r="E131" i="68"/>
  <c r="D134" i="62"/>
  <c r="E134" i="62"/>
  <c r="G133" i="62"/>
  <c r="J130" i="61"/>
  <c r="H132" i="67"/>
  <c r="I132" i="67"/>
  <c r="J132" i="67" s="1"/>
  <c r="G128" i="99"/>
  <c r="D129" i="99"/>
  <c r="E129" i="99"/>
  <c r="J131" i="56"/>
  <c r="J134" i="21"/>
  <c r="B48" i="87"/>
  <c r="F48" i="87"/>
  <c r="H48" i="87" s="1"/>
  <c r="B56" i="18"/>
  <c r="F56" i="18"/>
  <c r="F49" i="88"/>
  <c r="H49" i="88" s="1"/>
  <c r="B49" i="88"/>
  <c r="G132" i="53"/>
  <c r="D133" i="53"/>
  <c r="E133" i="53"/>
  <c r="J134" i="3"/>
  <c r="B48" i="90"/>
  <c r="F48" i="90"/>
  <c r="G48" i="90" s="1"/>
  <c r="J127" i="81"/>
  <c r="F48" i="89"/>
  <c r="G48" i="89" s="1"/>
  <c r="B48" i="89"/>
  <c r="D135" i="74"/>
  <c r="G134" i="74"/>
  <c r="E135" i="74"/>
  <c r="E131" i="85"/>
  <c r="G130" i="85"/>
  <c r="D131" i="85"/>
  <c r="D133" i="58"/>
  <c r="G132" i="58"/>
  <c r="E133" i="58"/>
  <c r="J129" i="68"/>
  <c r="F47" i="96"/>
  <c r="G47" i="96"/>
  <c r="B47" i="96"/>
  <c r="B55" i="39"/>
  <c r="F55" i="39"/>
  <c r="G55" i="39" s="1"/>
  <c r="H129" i="13"/>
  <c r="I129" i="13"/>
  <c r="G129" i="76"/>
  <c r="D130" i="76"/>
  <c r="E130" i="76"/>
  <c r="G138" i="20"/>
  <c r="E139" i="20"/>
  <c r="D139" i="20"/>
  <c r="B133" i="67"/>
  <c r="F133" i="67"/>
  <c r="D135" i="41"/>
  <c r="G134" i="41"/>
  <c r="E135" i="41"/>
  <c r="D128" i="96"/>
  <c r="G127" i="96"/>
  <c r="E128" i="96"/>
  <c r="D136" i="18"/>
  <c r="G135" i="18"/>
  <c r="E136" i="18"/>
  <c r="H131" i="63"/>
  <c r="I131" i="63"/>
  <c r="G131" i="64"/>
  <c r="D132" i="64"/>
  <c r="E132" i="64"/>
  <c r="B52" i="62"/>
  <c r="F52" i="62"/>
  <c r="G52" i="62" s="1"/>
  <c r="G136" i="32"/>
  <c r="D137" i="32"/>
  <c r="E137" i="32"/>
  <c r="B51" i="13"/>
  <c r="F51" i="13"/>
  <c r="G51" i="13" s="1"/>
  <c r="H51" i="13"/>
  <c r="J132" i="45"/>
  <c r="G132" i="46"/>
  <c r="D133" i="46"/>
  <c r="E133" i="46"/>
  <c r="H139" i="29"/>
  <c r="I139" i="29"/>
  <c r="F130" i="13"/>
  <c r="B130" i="13"/>
  <c r="B136" i="19"/>
  <c r="F136" i="19"/>
  <c r="G129" i="77"/>
  <c r="D130" i="77"/>
  <c r="E130" i="77"/>
  <c r="D136" i="21"/>
  <c r="G135" i="21"/>
  <c r="E136" i="21"/>
  <c r="J126" i="84"/>
  <c r="D137" i="24"/>
  <c r="G136" i="24"/>
  <c r="E137" i="24"/>
  <c r="J137" i="20"/>
  <c r="G129" i="79"/>
  <c r="D130" i="79"/>
  <c r="E130" i="79"/>
  <c r="F136" i="34"/>
  <c r="B136" i="34"/>
  <c r="G136" i="71"/>
  <c r="D137" i="71"/>
  <c r="E137" i="71"/>
  <c r="H130" i="66"/>
  <c r="I130" i="66"/>
  <c r="J130" i="66" s="1"/>
  <c r="G127" i="86"/>
  <c r="D128" i="86"/>
  <c r="E128" i="86"/>
  <c r="G134" i="55"/>
  <c r="D135" i="55"/>
  <c r="E135" i="55"/>
  <c r="D128" i="98"/>
  <c r="G127" i="98"/>
  <c r="E128" i="98"/>
  <c r="D131" i="82"/>
  <c r="G130" i="82"/>
  <c r="E131" i="82"/>
  <c r="D48" i="25"/>
  <c r="E48" i="25" s="1"/>
  <c r="D132" i="75"/>
  <c r="G131" i="75"/>
  <c r="E132" i="75"/>
  <c r="G137" i="27"/>
  <c r="D138" i="27"/>
  <c r="E138" i="27"/>
  <c r="F57" i="32"/>
  <c r="G57" i="32" s="1"/>
  <c r="B57" i="32"/>
  <c r="D138" i="69"/>
  <c r="G137" i="69"/>
  <c r="E138" i="69"/>
  <c r="H130" i="78"/>
  <c r="I130" i="78"/>
  <c r="J130" i="78" s="1"/>
  <c r="B138" i="23"/>
  <c r="F138" i="23"/>
  <c r="J129" i="65"/>
  <c r="B47" i="100"/>
  <c r="F47" i="100"/>
  <c r="H47" i="100" s="1"/>
  <c r="B56" i="21"/>
  <c r="F56" i="21"/>
  <c r="H56" i="21" s="1"/>
  <c r="J131" i="46"/>
  <c r="D129" i="83"/>
  <c r="G128" i="83"/>
  <c r="E129" i="83"/>
  <c r="I135" i="34"/>
  <c r="H135" i="34"/>
  <c r="J135" i="24"/>
  <c r="G132" i="56"/>
  <c r="D133" i="56"/>
  <c r="E133" i="56"/>
  <c r="J136" i="30"/>
  <c r="B132" i="63"/>
  <c r="F132" i="63"/>
  <c r="B131" i="66"/>
  <c r="F131" i="66"/>
  <c r="F140" i="29"/>
  <c r="B140" i="29"/>
  <c r="D128" i="90"/>
  <c r="G127" i="90"/>
  <c r="E128" i="90"/>
  <c r="J131" i="58"/>
  <c r="G138" i="28"/>
  <c r="D139" i="28"/>
  <c r="E139" i="28"/>
  <c r="G132" i="57"/>
  <c r="D133" i="57"/>
  <c r="E133" i="57"/>
  <c r="G127" i="91"/>
  <c r="D128" i="91"/>
  <c r="E128" i="91"/>
  <c r="G47" i="100" l="1"/>
  <c r="G49" i="88"/>
  <c r="G48" i="87"/>
  <c r="G49" i="81"/>
  <c r="I127" i="87"/>
  <c r="H127" i="87"/>
  <c r="I50" i="77"/>
  <c r="I50" i="76"/>
  <c r="F129" i="95"/>
  <c r="B129" i="95"/>
  <c r="B128" i="87"/>
  <c r="F128" i="87"/>
  <c r="I128" i="95"/>
  <c r="H128" i="95"/>
  <c r="E130" i="25"/>
  <c r="F130" i="25" s="1"/>
  <c r="B130" i="25"/>
  <c r="H52" i="62"/>
  <c r="I49" i="81"/>
  <c r="I129" i="25"/>
  <c r="J129" i="25" s="1"/>
  <c r="H129" i="25"/>
  <c r="D52" i="33"/>
  <c r="B52" i="33" s="1"/>
  <c r="H51" i="33"/>
  <c r="G51" i="33"/>
  <c r="H58" i="30"/>
  <c r="G47" i="97"/>
  <c r="D48" i="97"/>
  <c r="E48" i="97"/>
  <c r="F135" i="44"/>
  <c r="B135" i="44"/>
  <c r="B53" i="58"/>
  <c r="F53" i="58"/>
  <c r="H53" i="58" s="1"/>
  <c r="B51" i="65"/>
  <c r="F51" i="65"/>
  <c r="B47" i="95"/>
  <c r="F47" i="95"/>
  <c r="G47" i="95" s="1"/>
  <c r="B52" i="63"/>
  <c r="H52" i="63"/>
  <c r="F52" i="63"/>
  <c r="G52" i="63" s="1"/>
  <c r="I49" i="85"/>
  <c r="F55" i="44"/>
  <c r="G55" i="44" s="1"/>
  <c r="B55" i="44"/>
  <c r="B51" i="67"/>
  <c r="F51" i="67"/>
  <c r="H51" i="67" s="1"/>
  <c r="B49" i="83"/>
  <c r="F49" i="83"/>
  <c r="H49" i="83" s="1"/>
  <c r="E58" i="23"/>
  <c r="D58" i="23"/>
  <c r="B55" i="73"/>
  <c r="F55" i="73"/>
  <c r="H55" i="73" s="1"/>
  <c r="G55" i="73"/>
  <c r="E56" i="42"/>
  <c r="D56" i="42"/>
  <c r="H49" i="92"/>
  <c r="B49" i="92"/>
  <c r="F49" i="92"/>
  <c r="G49" i="92" s="1"/>
  <c r="I49" i="92" s="1"/>
  <c r="E57" i="3"/>
  <c r="D57" i="3"/>
  <c r="F49" i="82"/>
  <c r="G49" i="82" s="1"/>
  <c r="H49" i="82"/>
  <c r="B49" i="82"/>
  <c r="B58" i="27"/>
  <c r="F58" i="27"/>
  <c r="H58" i="27" s="1"/>
  <c r="F53" i="57"/>
  <c r="H53" i="57" s="1"/>
  <c r="B53" i="57"/>
  <c r="E48" i="98"/>
  <c r="D48" i="98"/>
  <c r="B55" i="41"/>
  <c r="F55" i="41"/>
  <c r="H55" i="41" s="1"/>
  <c r="E129" i="26"/>
  <c r="F129" i="26" s="1"/>
  <c r="B129" i="26"/>
  <c r="I54" i="73"/>
  <c r="F49" i="84"/>
  <c r="G49" i="84" s="1"/>
  <c r="B49" i="84"/>
  <c r="B53" i="53"/>
  <c r="F53" i="53"/>
  <c r="G53" i="53" s="1"/>
  <c r="H53" i="53"/>
  <c r="F57" i="31"/>
  <c r="B57" i="31"/>
  <c r="H57" i="31"/>
  <c r="B50" i="79"/>
  <c r="F50" i="79"/>
  <c r="G50" i="79" s="1"/>
  <c r="H50" i="79"/>
  <c r="J133" i="42"/>
  <c r="B54" i="45"/>
  <c r="F54" i="45"/>
  <c r="G54" i="45" s="1"/>
  <c r="F57" i="24"/>
  <c r="H57" i="24" s="1"/>
  <c r="B57" i="24"/>
  <c r="I51" i="13"/>
  <c r="H47" i="97"/>
  <c r="I47" i="97" s="1"/>
  <c r="J128" i="33"/>
  <c r="D51" i="77"/>
  <c r="E51" i="77"/>
  <c r="B59" i="28"/>
  <c r="F59" i="28"/>
  <c r="G59" i="28" s="1"/>
  <c r="G47" i="98"/>
  <c r="B47" i="99"/>
  <c r="F47" i="99"/>
  <c r="H47" i="99" s="1"/>
  <c r="D129" i="97"/>
  <c r="E129" i="97"/>
  <c r="G128" i="97"/>
  <c r="E50" i="85"/>
  <c r="D50" i="85"/>
  <c r="B51" i="68"/>
  <c r="F51" i="68"/>
  <c r="H51" i="68" s="1"/>
  <c r="H128" i="26"/>
  <c r="I128" i="26"/>
  <c r="J128" i="26" s="1"/>
  <c r="F51" i="66"/>
  <c r="B51" i="66"/>
  <c r="H51" i="66"/>
  <c r="G51" i="66"/>
  <c r="I48" i="92"/>
  <c r="H57" i="23"/>
  <c r="I52" i="53"/>
  <c r="H55" i="42"/>
  <c r="I55" i="42" s="1"/>
  <c r="F53" i="46"/>
  <c r="B53" i="46"/>
  <c r="H53" i="46"/>
  <c r="D130" i="33"/>
  <c r="G129" i="33"/>
  <c r="H56" i="3"/>
  <c r="I48" i="87"/>
  <c r="H59" i="70"/>
  <c r="I134" i="44"/>
  <c r="H134" i="44"/>
  <c r="F57" i="34"/>
  <c r="H57" i="34" s="1"/>
  <c r="B57" i="34"/>
  <c r="B52" i="60"/>
  <c r="F52" i="60"/>
  <c r="H52" i="60" s="1"/>
  <c r="H47" i="98"/>
  <c r="I47" i="98" s="1"/>
  <c r="I49" i="79"/>
  <c r="D50" i="81"/>
  <c r="E50" i="81"/>
  <c r="B58" i="69"/>
  <c r="F58" i="69"/>
  <c r="H58" i="69" s="1"/>
  <c r="E54" i="72"/>
  <c r="D54" i="72"/>
  <c r="H55" i="74"/>
  <c r="F55" i="74"/>
  <c r="B55" i="74"/>
  <c r="G55" i="74"/>
  <c r="E135" i="42"/>
  <c r="D135" i="42"/>
  <c r="G134" i="42"/>
  <c r="G53" i="56"/>
  <c r="B53" i="56"/>
  <c r="F53" i="56"/>
  <c r="H53" i="56" s="1"/>
  <c r="G57" i="23"/>
  <c r="I57" i="23" s="1"/>
  <c r="I48" i="82"/>
  <c r="G56" i="3"/>
  <c r="G134" i="43"/>
  <c r="E135" i="43"/>
  <c r="D135" i="43"/>
  <c r="D51" i="76"/>
  <c r="E51" i="76"/>
  <c r="F56" i="20"/>
  <c r="B56" i="20"/>
  <c r="I55" i="17"/>
  <c r="B58" i="71"/>
  <c r="F58" i="71"/>
  <c r="G58" i="71" s="1"/>
  <c r="D50" i="80"/>
  <c r="E50" i="80"/>
  <c r="B53" i="61"/>
  <c r="F53" i="61"/>
  <c r="H57" i="32"/>
  <c r="I57" i="32" s="1"/>
  <c r="I52" i="62"/>
  <c r="G58" i="29"/>
  <c r="F57" i="19"/>
  <c r="G57" i="19" s="1"/>
  <c r="B57" i="19"/>
  <c r="F53" i="64"/>
  <c r="H53" i="64" s="1"/>
  <c r="B53" i="64"/>
  <c r="H49" i="80"/>
  <c r="E60" i="70"/>
  <c r="F60" i="70" s="1"/>
  <c r="B60" i="70"/>
  <c r="G49" i="86"/>
  <c r="I49" i="86" s="1"/>
  <c r="E50" i="86"/>
  <c r="D50" i="86"/>
  <c r="F49" i="91"/>
  <c r="G49" i="91" s="1"/>
  <c r="B49" i="91"/>
  <c r="B137" i="31"/>
  <c r="F137" i="31"/>
  <c r="B56" i="17"/>
  <c r="F56" i="17"/>
  <c r="G56" i="17" s="1"/>
  <c r="C65" i="17"/>
  <c r="I47" i="100"/>
  <c r="G53" i="55"/>
  <c r="I53" i="55" s="1"/>
  <c r="E54" i="55"/>
  <c r="D54" i="55"/>
  <c r="G55" i="43"/>
  <c r="I55" i="43" s="1"/>
  <c r="D56" i="43"/>
  <c r="E56" i="43"/>
  <c r="G49" i="80"/>
  <c r="G59" i="70"/>
  <c r="I59" i="70" s="1"/>
  <c r="B53" i="59"/>
  <c r="F53" i="59"/>
  <c r="G53" i="59" s="1"/>
  <c r="H136" i="31"/>
  <c r="I136" i="31"/>
  <c r="J136" i="31" s="1"/>
  <c r="E51" i="26"/>
  <c r="F51" i="26" s="1"/>
  <c r="D52" i="26" s="1"/>
  <c r="B51" i="26"/>
  <c r="D140" i="17"/>
  <c r="G139" i="17"/>
  <c r="I132" i="60"/>
  <c r="J132" i="60" s="1"/>
  <c r="H132" i="60"/>
  <c r="I140" i="70"/>
  <c r="J140" i="70" s="1"/>
  <c r="H140" i="70"/>
  <c r="B133" i="60"/>
  <c r="F133" i="60"/>
  <c r="B141" i="70"/>
  <c r="F141" i="70"/>
  <c r="B137" i="24"/>
  <c r="F137" i="24"/>
  <c r="B129" i="80"/>
  <c r="F129" i="80"/>
  <c r="H127" i="89"/>
  <c r="I127" i="89"/>
  <c r="H132" i="56"/>
  <c r="I132" i="56"/>
  <c r="D57" i="21"/>
  <c r="E57" i="21"/>
  <c r="E139" i="23"/>
  <c r="D139" i="23"/>
  <c r="G138" i="23"/>
  <c r="B138" i="27"/>
  <c r="F138" i="27"/>
  <c r="F48" i="25"/>
  <c r="G48" i="25" s="1"/>
  <c r="B48" i="25"/>
  <c r="H48" i="25"/>
  <c r="F130" i="79"/>
  <c r="B130" i="79"/>
  <c r="H135" i="21"/>
  <c r="I135" i="21"/>
  <c r="D137" i="19"/>
  <c r="G136" i="19"/>
  <c r="E137" i="19"/>
  <c r="I134" i="41"/>
  <c r="J134" i="41" s="1"/>
  <c r="H134" i="41"/>
  <c r="H138" i="20"/>
  <c r="I138" i="20"/>
  <c r="J138" i="20" s="1"/>
  <c r="E48" i="96"/>
  <c r="D48" i="96"/>
  <c r="E49" i="89"/>
  <c r="D49" i="89"/>
  <c r="E49" i="90"/>
  <c r="D49" i="90"/>
  <c r="E50" i="88"/>
  <c r="D50" i="88"/>
  <c r="H130" i="68"/>
  <c r="I130" i="68"/>
  <c r="J130" i="68" s="1"/>
  <c r="H128" i="80"/>
  <c r="I128" i="80"/>
  <c r="J128" i="80" s="1"/>
  <c r="H127" i="92"/>
  <c r="I127" i="92"/>
  <c r="D57" i="22"/>
  <c r="E57" i="22"/>
  <c r="H127" i="84"/>
  <c r="I127" i="84"/>
  <c r="F129" i="81"/>
  <c r="B129" i="81"/>
  <c r="F133" i="56"/>
  <c r="B133" i="56"/>
  <c r="F136" i="21"/>
  <c r="B136" i="21"/>
  <c r="H132" i="58"/>
  <c r="I132" i="58"/>
  <c r="F132" i="61"/>
  <c r="B132" i="61"/>
  <c r="I130" i="82"/>
  <c r="H130" i="82"/>
  <c r="G133" i="67"/>
  <c r="D134" i="67"/>
  <c r="E134" i="67"/>
  <c r="B130" i="76"/>
  <c r="F130" i="76"/>
  <c r="F133" i="58"/>
  <c r="B133" i="58"/>
  <c r="E57" i="18"/>
  <c r="D57" i="18"/>
  <c r="I133" i="62"/>
  <c r="H133" i="62"/>
  <c r="I131" i="61"/>
  <c r="H131" i="61"/>
  <c r="F135" i="39"/>
  <c r="B135" i="39"/>
  <c r="B128" i="88"/>
  <c r="F128" i="88"/>
  <c r="F129" i="100"/>
  <c r="B129" i="100"/>
  <c r="B133" i="72"/>
  <c r="F133" i="72"/>
  <c r="H129" i="79"/>
  <c r="I129" i="79"/>
  <c r="B128" i="84"/>
  <c r="F128" i="84"/>
  <c r="G56" i="21"/>
  <c r="I56" i="21" s="1"/>
  <c r="B133" i="57"/>
  <c r="F133" i="57"/>
  <c r="B138" i="69"/>
  <c r="F138" i="69"/>
  <c r="B131" i="82"/>
  <c r="F131" i="82"/>
  <c r="I134" i="55"/>
  <c r="H134" i="55"/>
  <c r="H136" i="71"/>
  <c r="I136" i="71"/>
  <c r="F133" i="46"/>
  <c r="B133" i="46"/>
  <c r="D52" i="13"/>
  <c r="I129" i="76"/>
  <c r="H129" i="76"/>
  <c r="F131" i="85"/>
  <c r="B131" i="85"/>
  <c r="H134" i="74"/>
  <c r="I134" i="74"/>
  <c r="F134" i="45"/>
  <c r="B134" i="45"/>
  <c r="I50" i="75"/>
  <c r="I58" i="29"/>
  <c r="H134" i="39"/>
  <c r="I134" i="39"/>
  <c r="J134" i="39" s="1"/>
  <c r="H127" i="88"/>
  <c r="I127" i="88"/>
  <c r="I130" i="65"/>
  <c r="H130" i="65"/>
  <c r="I132" i="72"/>
  <c r="H132" i="72"/>
  <c r="H131" i="59"/>
  <c r="I131" i="59"/>
  <c r="J131" i="59" s="1"/>
  <c r="I128" i="81"/>
  <c r="H128" i="81"/>
  <c r="H137" i="27"/>
  <c r="I137" i="27"/>
  <c r="B128" i="92"/>
  <c r="F128" i="92"/>
  <c r="F132" i="75"/>
  <c r="B132" i="75"/>
  <c r="D133" i="63"/>
  <c r="E133" i="63"/>
  <c r="G132" i="63"/>
  <c r="J135" i="34"/>
  <c r="I128" i="83"/>
  <c r="H128" i="83"/>
  <c r="I132" i="57"/>
  <c r="J132" i="57" s="1"/>
  <c r="H132" i="57"/>
  <c r="D141" i="29"/>
  <c r="G140" i="29"/>
  <c r="E141" i="29"/>
  <c r="B129" i="83"/>
  <c r="F129" i="83"/>
  <c r="B130" i="77"/>
  <c r="F130" i="77"/>
  <c r="H132" i="46"/>
  <c r="I132" i="46"/>
  <c r="H127" i="96"/>
  <c r="I127" i="96"/>
  <c r="J129" i="13"/>
  <c r="H130" i="85"/>
  <c r="I130" i="85"/>
  <c r="J130" i="85" s="1"/>
  <c r="J155" i="85" s="1"/>
  <c r="B135" i="74"/>
  <c r="F135" i="74"/>
  <c r="F133" i="53"/>
  <c r="B133" i="53"/>
  <c r="H56" i="18"/>
  <c r="B134" i="62"/>
  <c r="F134" i="62"/>
  <c r="H133" i="45"/>
  <c r="I133" i="45"/>
  <c r="H137" i="30"/>
  <c r="I137" i="30"/>
  <c r="D51" i="75"/>
  <c r="E51" i="75"/>
  <c r="D59" i="29"/>
  <c r="E59" i="29"/>
  <c r="J135" i="19"/>
  <c r="H134" i="73"/>
  <c r="I134" i="73"/>
  <c r="J134" i="73" s="1"/>
  <c r="F133" i="54"/>
  <c r="B133" i="54"/>
  <c r="B131" i="65"/>
  <c r="F131" i="65"/>
  <c r="I58" i="30"/>
  <c r="I53" i="54"/>
  <c r="I131" i="75"/>
  <c r="J131" i="75" s="1"/>
  <c r="H131" i="75"/>
  <c r="H135" i="18"/>
  <c r="I135" i="18"/>
  <c r="I49" i="88"/>
  <c r="D54" i="54"/>
  <c r="E54" i="54"/>
  <c r="I128" i="100"/>
  <c r="H128" i="100"/>
  <c r="H137" i="69"/>
  <c r="I137" i="69"/>
  <c r="B137" i="71"/>
  <c r="F137" i="71"/>
  <c r="D53" i="62"/>
  <c r="E53" i="62"/>
  <c r="F139" i="28"/>
  <c r="B139" i="28"/>
  <c r="D48" i="100"/>
  <c r="E48" i="100"/>
  <c r="I127" i="98"/>
  <c r="H127" i="98"/>
  <c r="F128" i="86"/>
  <c r="B128" i="86"/>
  <c r="D137" i="34"/>
  <c r="G136" i="34"/>
  <c r="E137" i="34"/>
  <c r="H129" i="77"/>
  <c r="I129" i="77"/>
  <c r="G130" i="13"/>
  <c r="D131" i="13"/>
  <c r="B132" i="64"/>
  <c r="F132" i="64"/>
  <c r="B128" i="96"/>
  <c r="F128" i="96"/>
  <c r="H48" i="89"/>
  <c r="I48" i="89" s="1"/>
  <c r="I132" i="53"/>
  <c r="H132" i="53"/>
  <c r="G56" i="18"/>
  <c r="F129" i="99"/>
  <c r="B129" i="99"/>
  <c r="I50" i="78"/>
  <c r="F138" i="30"/>
  <c r="B138" i="30"/>
  <c r="I135" i="22"/>
  <c r="H135" i="22"/>
  <c r="F135" i="73"/>
  <c r="B135" i="73"/>
  <c r="I132" i="54"/>
  <c r="H132" i="54"/>
  <c r="D59" i="30"/>
  <c r="E59" i="30" s="1"/>
  <c r="H136" i="32"/>
  <c r="I136" i="32"/>
  <c r="D56" i="39"/>
  <c r="E56" i="39"/>
  <c r="B136" i="3"/>
  <c r="F136" i="3"/>
  <c r="D132" i="66"/>
  <c r="G131" i="66"/>
  <c r="E132" i="66"/>
  <c r="B135" i="41"/>
  <c r="F135" i="41"/>
  <c r="B131" i="68"/>
  <c r="F131" i="68"/>
  <c r="E132" i="78"/>
  <c r="D132" i="78"/>
  <c r="G131" i="78"/>
  <c r="B135" i="55"/>
  <c r="F135" i="55"/>
  <c r="F136" i="18"/>
  <c r="B136" i="18"/>
  <c r="F128" i="91"/>
  <c r="B128" i="91"/>
  <c r="H127" i="90"/>
  <c r="I127" i="90"/>
  <c r="I127" i="91"/>
  <c r="H127" i="91"/>
  <c r="I138" i="28"/>
  <c r="H138" i="28"/>
  <c r="B128" i="90"/>
  <c r="F128" i="90"/>
  <c r="D58" i="32"/>
  <c r="E58" i="32"/>
  <c r="B128" i="98"/>
  <c r="F128" i="98"/>
  <c r="H127" i="86"/>
  <c r="I127" i="86"/>
  <c r="H136" i="24"/>
  <c r="I136" i="24"/>
  <c r="J139" i="29"/>
  <c r="F137" i="32"/>
  <c r="B137" i="32"/>
  <c r="I131" i="64"/>
  <c r="J131" i="64" s="1"/>
  <c r="H131" i="64"/>
  <c r="J131" i="63"/>
  <c r="B139" i="20"/>
  <c r="F139" i="20"/>
  <c r="H55" i="39"/>
  <c r="I55" i="39" s="1"/>
  <c r="H47" i="96"/>
  <c r="I47" i="96" s="1"/>
  <c r="H48" i="90"/>
  <c r="I48" i="90" s="1"/>
  <c r="D49" i="87"/>
  <c r="E49" i="87"/>
  <c r="H128" i="99"/>
  <c r="I128" i="99"/>
  <c r="E51" i="78"/>
  <c r="D51" i="78"/>
  <c r="F128" i="89"/>
  <c r="B128" i="89"/>
  <c r="G56" i="22"/>
  <c r="I56" i="22" s="1"/>
  <c r="B132" i="59"/>
  <c r="F132" i="59"/>
  <c r="B136" i="22"/>
  <c r="F136" i="22"/>
  <c r="H135" i="3"/>
  <c r="I135" i="3"/>
  <c r="G130" i="25" l="1"/>
  <c r="D131" i="25"/>
  <c r="I53" i="56"/>
  <c r="G57" i="24"/>
  <c r="G55" i="41"/>
  <c r="G51" i="67"/>
  <c r="I51" i="67" s="1"/>
  <c r="E129" i="87"/>
  <c r="D129" i="87"/>
  <c r="G128" i="87"/>
  <c r="I57" i="24"/>
  <c r="I55" i="73"/>
  <c r="J128" i="95"/>
  <c r="G129" i="95"/>
  <c r="D130" i="95"/>
  <c r="E130" i="95"/>
  <c r="J127" i="87"/>
  <c r="G53" i="64"/>
  <c r="I53" i="64" s="1"/>
  <c r="D57" i="20"/>
  <c r="E57" i="20"/>
  <c r="I55" i="74"/>
  <c r="B54" i="72"/>
  <c r="F54" i="72"/>
  <c r="I56" i="3"/>
  <c r="I51" i="66"/>
  <c r="B50" i="85"/>
  <c r="F50" i="85"/>
  <c r="H50" i="85" s="1"/>
  <c r="F129" i="97"/>
  <c r="B129" i="97"/>
  <c r="H54" i="45"/>
  <c r="I54" i="45" s="1"/>
  <c r="D55" i="45"/>
  <c r="E55" i="45"/>
  <c r="H49" i="84"/>
  <c r="I49" i="84" s="1"/>
  <c r="D50" i="84"/>
  <c r="E50" i="84"/>
  <c r="E56" i="41"/>
  <c r="D56" i="41"/>
  <c r="G53" i="57"/>
  <c r="I53" i="57" s="1"/>
  <c r="I49" i="82"/>
  <c r="G53" i="58"/>
  <c r="D54" i="58"/>
  <c r="E54" i="58"/>
  <c r="H51" i="26"/>
  <c r="G56" i="20"/>
  <c r="H134" i="43"/>
  <c r="I134" i="43"/>
  <c r="J134" i="43" s="1"/>
  <c r="I134" i="42"/>
  <c r="H134" i="42"/>
  <c r="G58" i="69"/>
  <c r="I58" i="69" s="1"/>
  <c r="J134" i="44"/>
  <c r="I129" i="33"/>
  <c r="H129" i="33"/>
  <c r="D54" i="46"/>
  <c r="E54" i="46"/>
  <c r="G47" i="99"/>
  <c r="I47" i="99" s="1"/>
  <c r="H59" i="28"/>
  <c r="I59" i="28" s="1"/>
  <c r="D51" i="79"/>
  <c r="E51" i="79"/>
  <c r="E58" i="31"/>
  <c r="D58" i="31"/>
  <c r="E54" i="53"/>
  <c r="D54" i="53"/>
  <c r="G58" i="27"/>
  <c r="I58" i="27" s="1"/>
  <c r="D59" i="27"/>
  <c r="E59" i="27"/>
  <c r="F56" i="42"/>
  <c r="B56" i="42"/>
  <c r="D56" i="73"/>
  <c r="E56" i="73"/>
  <c r="G49" i="83"/>
  <c r="I49" i="83" s="1"/>
  <c r="I52" i="63"/>
  <c r="H47" i="95"/>
  <c r="I47" i="95" s="1"/>
  <c r="G51" i="65"/>
  <c r="H51" i="65"/>
  <c r="I51" i="65" s="1"/>
  <c r="E52" i="65"/>
  <c r="D52" i="65"/>
  <c r="F48" i="97"/>
  <c r="B48" i="97"/>
  <c r="E52" i="33"/>
  <c r="F52" i="33" s="1"/>
  <c r="I56" i="18"/>
  <c r="H56" i="20"/>
  <c r="I56" i="20" s="1"/>
  <c r="F51" i="76"/>
  <c r="H51" i="76" s="1"/>
  <c r="I51" i="76" s="1"/>
  <c r="B51" i="76"/>
  <c r="G51" i="76"/>
  <c r="D54" i="56"/>
  <c r="E54" i="56"/>
  <c r="B135" i="42"/>
  <c r="F135" i="42"/>
  <c r="E56" i="74"/>
  <c r="D56" i="74"/>
  <c r="G52" i="60"/>
  <c r="D53" i="60"/>
  <c r="E53" i="60"/>
  <c r="E130" i="33"/>
  <c r="B130" i="33"/>
  <c r="F130" i="33"/>
  <c r="G53" i="46"/>
  <c r="E52" i="66"/>
  <c r="D52" i="66"/>
  <c r="G51" i="68"/>
  <c r="I51" i="68" s="1"/>
  <c r="E52" i="68"/>
  <c r="D52" i="68"/>
  <c r="I128" i="97"/>
  <c r="H128" i="97"/>
  <c r="E58" i="24"/>
  <c r="D58" i="24"/>
  <c r="G57" i="31"/>
  <c r="I55" i="41"/>
  <c r="B48" i="98"/>
  <c r="F48" i="98"/>
  <c r="G48" i="98" s="1"/>
  <c r="E50" i="82"/>
  <c r="D50" i="82"/>
  <c r="E50" i="92"/>
  <c r="D50" i="92"/>
  <c r="E52" i="67"/>
  <c r="D52" i="67"/>
  <c r="D53" i="63"/>
  <c r="E53" i="63"/>
  <c r="I51" i="33"/>
  <c r="F135" i="43"/>
  <c r="B135" i="43"/>
  <c r="D59" i="69"/>
  <c r="E59" i="69"/>
  <c r="B50" i="81"/>
  <c r="F50" i="81"/>
  <c r="H50" i="81"/>
  <c r="I52" i="60"/>
  <c r="G57" i="34"/>
  <c r="I57" i="34" s="1"/>
  <c r="D58" i="34"/>
  <c r="E58" i="34"/>
  <c r="I53" i="46"/>
  <c r="E48" i="99"/>
  <c r="D48" i="99"/>
  <c r="D60" i="28"/>
  <c r="E60" i="28"/>
  <c r="F51" i="77"/>
  <c r="B51" i="77"/>
  <c r="I50" i="79"/>
  <c r="I57" i="31"/>
  <c r="I53" i="53"/>
  <c r="G129" i="26"/>
  <c r="D130" i="26"/>
  <c r="D54" i="57"/>
  <c r="E54" i="57"/>
  <c r="F57" i="3"/>
  <c r="H57" i="3" s="1"/>
  <c r="I57" i="3" s="1"/>
  <c r="G57" i="3"/>
  <c r="B57" i="3"/>
  <c r="B58" i="23"/>
  <c r="F58" i="23"/>
  <c r="D50" i="83"/>
  <c r="E50" i="83"/>
  <c r="H55" i="44"/>
  <c r="I55" i="44" s="1"/>
  <c r="D56" i="44"/>
  <c r="E56" i="44"/>
  <c r="D48" i="95"/>
  <c r="E48" i="95"/>
  <c r="I53" i="58"/>
  <c r="D136" i="44"/>
  <c r="G135" i="44"/>
  <c r="E136" i="44"/>
  <c r="H60" i="70"/>
  <c r="I60" i="70" s="1"/>
  <c r="D61" i="70"/>
  <c r="E61" i="70" s="1"/>
  <c r="F61" i="70" s="1"/>
  <c r="G60" i="70"/>
  <c r="D54" i="61"/>
  <c r="E54" i="61"/>
  <c r="G51" i="26"/>
  <c r="B54" i="55"/>
  <c r="G54" i="55"/>
  <c r="F54" i="55"/>
  <c r="H54" i="55" s="1"/>
  <c r="D138" i="31"/>
  <c r="E138" i="31"/>
  <c r="G137" i="31"/>
  <c r="H49" i="91"/>
  <c r="I49" i="91" s="1"/>
  <c r="D50" i="91"/>
  <c r="E50" i="91"/>
  <c r="E59" i="71"/>
  <c r="D59" i="71"/>
  <c r="F50" i="80"/>
  <c r="G50" i="80" s="1"/>
  <c r="H50" i="80"/>
  <c r="B50" i="80"/>
  <c r="B56" i="43"/>
  <c r="F56" i="43"/>
  <c r="F50" i="86"/>
  <c r="H50" i="86"/>
  <c r="B50" i="86"/>
  <c r="I49" i="80"/>
  <c r="D54" i="64"/>
  <c r="E54" i="64"/>
  <c r="H57" i="19"/>
  <c r="I57" i="19" s="1"/>
  <c r="D58" i="19"/>
  <c r="E58" i="19"/>
  <c r="G53" i="61"/>
  <c r="H58" i="71"/>
  <c r="I58" i="71" s="1"/>
  <c r="I51" i="26"/>
  <c r="D54" i="59"/>
  <c r="E54" i="59"/>
  <c r="E52" i="26"/>
  <c r="F52" i="26" s="1"/>
  <c r="B52" i="26"/>
  <c r="H53" i="59"/>
  <c r="I53" i="59" s="1"/>
  <c r="H56" i="17"/>
  <c r="I56" i="17" s="1"/>
  <c r="E57" i="17"/>
  <c r="D57" i="17"/>
  <c r="H53" i="61"/>
  <c r="J137" i="69"/>
  <c r="J135" i="18"/>
  <c r="J136" i="71"/>
  <c r="J132" i="56"/>
  <c r="I139" i="17"/>
  <c r="H139" i="17"/>
  <c r="B140" i="17"/>
  <c r="G133" i="60"/>
  <c r="E134" i="60"/>
  <c r="D134" i="60"/>
  <c r="J135" i="22"/>
  <c r="J132" i="53"/>
  <c r="J130" i="65"/>
  <c r="J132" i="58"/>
  <c r="J135" i="3"/>
  <c r="J128" i="99"/>
  <c r="J127" i="90"/>
  <c r="J129" i="77"/>
  <c r="J137" i="27"/>
  <c r="J135" i="21"/>
  <c r="G141" i="70"/>
  <c r="D142" i="70"/>
  <c r="E142" i="70"/>
  <c r="J127" i="96"/>
  <c r="J127" i="84"/>
  <c r="J127" i="92"/>
  <c r="E140" i="17"/>
  <c r="F140" i="17" s="1"/>
  <c r="B59" i="29"/>
  <c r="F59" i="29"/>
  <c r="H59" i="29" s="1"/>
  <c r="B51" i="78"/>
  <c r="F51" i="78"/>
  <c r="G51" i="78" s="1"/>
  <c r="G135" i="55"/>
  <c r="E136" i="55"/>
  <c r="D136" i="55"/>
  <c r="H131" i="78"/>
  <c r="I131" i="78"/>
  <c r="I131" i="66"/>
  <c r="H131" i="66"/>
  <c r="D129" i="96"/>
  <c r="G128" i="96"/>
  <c r="E129" i="96"/>
  <c r="F141" i="29"/>
  <c r="B141" i="29"/>
  <c r="G128" i="92"/>
  <c r="E129" i="92"/>
  <c r="D129" i="92"/>
  <c r="D132" i="85"/>
  <c r="G131" i="85"/>
  <c r="E132" i="85"/>
  <c r="B52" i="13"/>
  <c r="G138" i="69"/>
  <c r="D139" i="69"/>
  <c r="E139" i="69"/>
  <c r="D129" i="88"/>
  <c r="G128" i="88"/>
  <c r="E129" i="88"/>
  <c r="G135" i="39"/>
  <c r="D136" i="39"/>
  <c r="E136" i="39"/>
  <c r="B48" i="96"/>
  <c r="F48" i="96"/>
  <c r="G48" i="96" s="1"/>
  <c r="G130" i="79"/>
  <c r="D131" i="79"/>
  <c r="E131" i="79"/>
  <c r="B139" i="23"/>
  <c r="F139" i="23"/>
  <c r="D139" i="30"/>
  <c r="G138" i="30"/>
  <c r="E139" i="30"/>
  <c r="D133" i="64"/>
  <c r="G132" i="64"/>
  <c r="E133" i="64"/>
  <c r="G129" i="81"/>
  <c r="D130" i="81"/>
  <c r="E130" i="81"/>
  <c r="G132" i="59"/>
  <c r="D133" i="59"/>
  <c r="E133" i="59"/>
  <c r="D129" i="89"/>
  <c r="G128" i="89"/>
  <c r="E129" i="89"/>
  <c r="G137" i="32"/>
  <c r="D138" i="32"/>
  <c r="E138" i="32"/>
  <c r="B56" i="39"/>
  <c r="F56" i="39"/>
  <c r="G56" i="39" s="1"/>
  <c r="H56" i="39"/>
  <c r="B131" i="13"/>
  <c r="G128" i="98"/>
  <c r="D129" i="98"/>
  <c r="E129" i="98"/>
  <c r="J127" i="91"/>
  <c r="B132" i="78"/>
  <c r="F132" i="78"/>
  <c r="B132" i="66"/>
  <c r="F132" i="66"/>
  <c r="J136" i="32"/>
  <c r="J132" i="54"/>
  <c r="H130" i="13"/>
  <c r="I130" i="13"/>
  <c r="G134" i="62"/>
  <c r="E135" i="62"/>
  <c r="D135" i="62"/>
  <c r="G130" i="77"/>
  <c r="D131" i="77"/>
  <c r="E131" i="77"/>
  <c r="B133" i="63"/>
  <c r="F133" i="63"/>
  <c r="J129" i="79"/>
  <c r="H136" i="19"/>
  <c r="I136" i="19"/>
  <c r="I48" i="25"/>
  <c r="J127" i="89"/>
  <c r="D134" i="54"/>
  <c r="G133" i="54"/>
  <c r="E134" i="54"/>
  <c r="D134" i="57"/>
  <c r="G133" i="57"/>
  <c r="E134" i="57"/>
  <c r="G136" i="22"/>
  <c r="D137" i="22"/>
  <c r="E137" i="22"/>
  <c r="G128" i="90"/>
  <c r="D129" i="90"/>
  <c r="E129" i="90"/>
  <c r="G136" i="3"/>
  <c r="D137" i="3"/>
  <c r="E137" i="3"/>
  <c r="G135" i="73"/>
  <c r="D136" i="73"/>
  <c r="E136" i="73"/>
  <c r="B51" i="75"/>
  <c r="F51" i="75"/>
  <c r="J132" i="72"/>
  <c r="J129" i="76"/>
  <c r="E132" i="82"/>
  <c r="D132" i="82"/>
  <c r="G131" i="82"/>
  <c r="D134" i="72"/>
  <c r="G133" i="72"/>
  <c r="E134" i="72"/>
  <c r="B57" i="18"/>
  <c r="F57" i="18"/>
  <c r="J130" i="82"/>
  <c r="J155" i="82" s="1"/>
  <c r="F49" i="90"/>
  <c r="G49" i="90" s="1"/>
  <c r="B49" i="90"/>
  <c r="D49" i="25"/>
  <c r="E49" i="25" s="1"/>
  <c r="E140" i="20"/>
  <c r="D140" i="20"/>
  <c r="G139" i="20"/>
  <c r="B50" i="88"/>
  <c r="F50" i="88"/>
  <c r="H50" i="88" s="1"/>
  <c r="G139" i="28"/>
  <c r="D140" i="28"/>
  <c r="E140" i="28"/>
  <c r="D130" i="83"/>
  <c r="G129" i="83"/>
  <c r="E130" i="83"/>
  <c r="J134" i="55"/>
  <c r="F57" i="22"/>
  <c r="G57" i="22" s="1"/>
  <c r="B57" i="22"/>
  <c r="G129" i="80"/>
  <c r="D130" i="80"/>
  <c r="E130" i="80"/>
  <c r="B49" i="87"/>
  <c r="F49" i="87"/>
  <c r="G49" i="87" s="1"/>
  <c r="J136" i="24"/>
  <c r="G128" i="91"/>
  <c r="D129" i="91"/>
  <c r="E129" i="91"/>
  <c r="D136" i="41"/>
  <c r="G135" i="41"/>
  <c r="E136" i="41"/>
  <c r="D130" i="99"/>
  <c r="G129" i="99"/>
  <c r="E130" i="99"/>
  <c r="D129" i="86"/>
  <c r="G128" i="86"/>
  <c r="E129" i="86"/>
  <c r="B53" i="62"/>
  <c r="F53" i="62"/>
  <c r="G53" i="62" s="1"/>
  <c r="J128" i="100"/>
  <c r="J137" i="30"/>
  <c r="G133" i="53"/>
  <c r="D134" i="53"/>
  <c r="E134" i="53"/>
  <c r="J128" i="83"/>
  <c r="J134" i="74"/>
  <c r="J131" i="61"/>
  <c r="F134" i="67"/>
  <c r="B134" i="67"/>
  <c r="G133" i="56"/>
  <c r="D134" i="56"/>
  <c r="E134" i="56"/>
  <c r="G138" i="27"/>
  <c r="D139" i="27"/>
  <c r="E139" i="27"/>
  <c r="G137" i="24"/>
  <c r="D138" i="24"/>
  <c r="E138" i="24"/>
  <c r="H136" i="34"/>
  <c r="I136" i="34"/>
  <c r="D134" i="46"/>
  <c r="G133" i="46"/>
  <c r="E134" i="46"/>
  <c r="D131" i="76"/>
  <c r="G130" i="76"/>
  <c r="E131" i="76"/>
  <c r="B137" i="19"/>
  <c r="F137" i="19"/>
  <c r="D132" i="68"/>
  <c r="G131" i="68"/>
  <c r="E132" i="68"/>
  <c r="F137" i="34"/>
  <c r="B137" i="34"/>
  <c r="J133" i="62"/>
  <c r="G136" i="21"/>
  <c r="D137" i="21"/>
  <c r="E137" i="21"/>
  <c r="F58" i="32"/>
  <c r="H58" i="32" s="1"/>
  <c r="B58" i="32"/>
  <c r="B59" i="30"/>
  <c r="F59" i="30"/>
  <c r="H59" i="30" s="1"/>
  <c r="D138" i="71"/>
  <c r="G137" i="71"/>
  <c r="E138" i="71"/>
  <c r="D136" i="74"/>
  <c r="G135" i="74"/>
  <c r="E136" i="74"/>
  <c r="I133" i="67"/>
  <c r="H133" i="67"/>
  <c r="B49" i="89"/>
  <c r="F49" i="89"/>
  <c r="G49" i="89" s="1"/>
  <c r="G132" i="75"/>
  <c r="D133" i="75"/>
  <c r="E133" i="75"/>
  <c r="G134" i="45"/>
  <c r="D135" i="45"/>
  <c r="E135" i="45"/>
  <c r="B57" i="21"/>
  <c r="F57" i="21"/>
  <c r="G57" i="21" s="1"/>
  <c r="J127" i="86"/>
  <c r="J138" i="28"/>
  <c r="D137" i="18"/>
  <c r="G136" i="18"/>
  <c r="E137" i="18"/>
  <c r="E131" i="13"/>
  <c r="F131" i="13" s="1"/>
  <c r="J127" i="98"/>
  <c r="B48" i="100"/>
  <c r="F48" i="100"/>
  <c r="H48" i="100" s="1"/>
  <c r="F54" i="54"/>
  <c r="H54" i="54" s="1"/>
  <c r="G54" i="54"/>
  <c r="B54" i="54"/>
  <c r="D132" i="65"/>
  <c r="G131" i="65"/>
  <c r="E132" i="65"/>
  <c r="J133" i="45"/>
  <c r="J132" i="46"/>
  <c r="I140" i="29"/>
  <c r="J140" i="29" s="1"/>
  <c r="H140" i="29"/>
  <c r="H132" i="63"/>
  <c r="I132" i="63"/>
  <c r="J132" i="63" s="1"/>
  <c r="J128" i="81"/>
  <c r="J127" i="88"/>
  <c r="E52" i="13"/>
  <c r="F52" i="13" s="1"/>
  <c r="D129" i="84"/>
  <c r="G128" i="84"/>
  <c r="E129" i="84"/>
  <c r="E130" i="100"/>
  <c r="G129" i="100"/>
  <c r="D130" i="100"/>
  <c r="G133" i="58"/>
  <c r="D134" i="58"/>
  <c r="E134" i="58"/>
  <c r="G132" i="61"/>
  <c r="D133" i="61"/>
  <c r="E133" i="61"/>
  <c r="H138" i="23"/>
  <c r="I138" i="23"/>
  <c r="F129" i="87" l="1"/>
  <c r="B129" i="87"/>
  <c r="H57" i="21"/>
  <c r="J129" i="33"/>
  <c r="J134" i="42"/>
  <c r="H48" i="96"/>
  <c r="B130" i="95"/>
  <c r="F130" i="95"/>
  <c r="E131" i="25"/>
  <c r="B131" i="25"/>
  <c r="F131" i="25"/>
  <c r="H129" i="95"/>
  <c r="I129" i="95"/>
  <c r="H128" i="87"/>
  <c r="I128" i="87"/>
  <c r="I130" i="25"/>
  <c r="J130" i="25" s="1"/>
  <c r="H130" i="25"/>
  <c r="B56" i="44"/>
  <c r="F56" i="44"/>
  <c r="H56" i="44" s="1"/>
  <c r="E59" i="23"/>
  <c r="D59" i="23"/>
  <c r="B48" i="99"/>
  <c r="F48" i="99"/>
  <c r="B58" i="34"/>
  <c r="F58" i="34"/>
  <c r="G58" i="34" s="1"/>
  <c r="B59" i="69"/>
  <c r="F59" i="69"/>
  <c r="G59" i="69" s="1"/>
  <c r="B50" i="92"/>
  <c r="F50" i="92"/>
  <c r="G50" i="92" s="1"/>
  <c r="H48" i="98"/>
  <c r="I48" i="98" s="1"/>
  <c r="D131" i="33"/>
  <c r="E131" i="33" s="1"/>
  <c r="G130" i="33"/>
  <c r="F53" i="60"/>
  <c r="B53" i="60"/>
  <c r="H53" i="60"/>
  <c r="E136" i="42"/>
  <c r="G135" i="42"/>
  <c r="D136" i="42"/>
  <c r="B55" i="45"/>
  <c r="F55" i="45"/>
  <c r="H55" i="45" s="1"/>
  <c r="D55" i="72"/>
  <c r="E55" i="72"/>
  <c r="B57" i="20"/>
  <c r="F57" i="20"/>
  <c r="H58" i="23"/>
  <c r="F54" i="57"/>
  <c r="H54" i="57" s="1"/>
  <c r="B54" i="57"/>
  <c r="H51" i="77"/>
  <c r="D52" i="77"/>
  <c r="E52" i="77"/>
  <c r="D51" i="81"/>
  <c r="E51" i="81"/>
  <c r="F53" i="63"/>
  <c r="G53" i="63" s="1"/>
  <c r="B53" i="63"/>
  <c r="J128" i="97"/>
  <c r="B52" i="66"/>
  <c r="F52" i="66"/>
  <c r="G52" i="66" s="1"/>
  <c r="G48" i="97"/>
  <c r="E49" i="97"/>
  <c r="D49" i="97"/>
  <c r="H56" i="42"/>
  <c r="E57" i="42"/>
  <c r="D57" i="42"/>
  <c r="F54" i="53"/>
  <c r="G54" i="53" s="1"/>
  <c r="B54" i="53"/>
  <c r="B50" i="84"/>
  <c r="F50" i="84"/>
  <c r="H50" i="84" s="1"/>
  <c r="D51" i="85"/>
  <c r="E51" i="85"/>
  <c r="H49" i="87"/>
  <c r="I135" i="44"/>
  <c r="H135" i="44"/>
  <c r="B48" i="95"/>
  <c r="F48" i="95"/>
  <c r="H48" i="95" s="1"/>
  <c r="G58" i="23"/>
  <c r="E130" i="26"/>
  <c r="F130" i="26" s="1"/>
  <c r="B130" i="26"/>
  <c r="E136" i="43"/>
  <c r="D136" i="43"/>
  <c r="G135" i="43"/>
  <c r="B52" i="67"/>
  <c r="F52" i="67"/>
  <c r="H52" i="67" s="1"/>
  <c r="B50" i="82"/>
  <c r="F50" i="82"/>
  <c r="G50" i="82" s="1"/>
  <c r="E49" i="98"/>
  <c r="D49" i="98"/>
  <c r="B58" i="24"/>
  <c r="F58" i="24"/>
  <c r="B52" i="68"/>
  <c r="F52" i="68"/>
  <c r="H52" i="68" s="1"/>
  <c r="B56" i="74"/>
  <c r="F56" i="74"/>
  <c r="G56" i="74" s="1"/>
  <c r="H52" i="33"/>
  <c r="G52" i="33"/>
  <c r="D53" i="33"/>
  <c r="H52" i="65"/>
  <c r="F52" i="65"/>
  <c r="G52" i="65" s="1"/>
  <c r="B52" i="65"/>
  <c r="B56" i="73"/>
  <c r="H56" i="73"/>
  <c r="F56" i="73"/>
  <c r="G56" i="73"/>
  <c r="F51" i="79"/>
  <c r="G51" i="79" s="1"/>
  <c r="B51" i="79"/>
  <c r="B54" i="46"/>
  <c r="F54" i="46"/>
  <c r="G54" i="46" s="1"/>
  <c r="F54" i="58"/>
  <c r="B54" i="58"/>
  <c r="F56" i="41"/>
  <c r="H56" i="41" s="1"/>
  <c r="B56" i="41"/>
  <c r="H54" i="72"/>
  <c r="G50" i="88"/>
  <c r="J130" i="13"/>
  <c r="J155" i="13" s="1"/>
  <c r="F136" i="44"/>
  <c r="B136" i="44"/>
  <c r="B50" i="83"/>
  <c r="F50" i="83"/>
  <c r="H50" i="83" s="1"/>
  <c r="D58" i="3"/>
  <c r="E58" i="3"/>
  <c r="I129" i="26"/>
  <c r="H129" i="26"/>
  <c r="G51" i="77"/>
  <c r="I51" i="77" s="1"/>
  <c r="F60" i="28"/>
  <c r="B60" i="28"/>
  <c r="G50" i="81"/>
  <c r="I50" i="81" s="1"/>
  <c r="B54" i="56"/>
  <c r="F54" i="56"/>
  <c r="H54" i="56"/>
  <c r="D52" i="76"/>
  <c r="E52" i="76"/>
  <c r="H48" i="97"/>
  <c r="I48" i="97" s="1"/>
  <c r="G56" i="42"/>
  <c r="I56" i="42" s="1"/>
  <c r="H59" i="27"/>
  <c r="B59" i="27"/>
  <c r="F59" i="27"/>
  <c r="B58" i="31"/>
  <c r="F58" i="31"/>
  <c r="G129" i="97"/>
  <c r="D130" i="97"/>
  <c r="E130" i="97"/>
  <c r="G50" i="85"/>
  <c r="I50" i="85" s="1"/>
  <c r="G54" i="72"/>
  <c r="H52" i="26"/>
  <c r="D53" i="26"/>
  <c r="E53" i="26" s="1"/>
  <c r="G52" i="26"/>
  <c r="I56" i="39"/>
  <c r="F58" i="19"/>
  <c r="G58" i="19" s="1"/>
  <c r="B58" i="19"/>
  <c r="H58" i="19"/>
  <c r="E51" i="86"/>
  <c r="D51" i="86"/>
  <c r="H56" i="43"/>
  <c r="E57" i="43"/>
  <c r="D57" i="43"/>
  <c r="I50" i="80"/>
  <c r="I137" i="31"/>
  <c r="J137" i="31" s="1"/>
  <c r="H137" i="31"/>
  <c r="I54" i="55"/>
  <c r="B61" i="70"/>
  <c r="G61" i="70"/>
  <c r="H61" i="70"/>
  <c r="G54" i="64"/>
  <c r="F54" i="64"/>
  <c r="B54" i="64"/>
  <c r="H54" i="64"/>
  <c r="I54" i="64" s="1"/>
  <c r="D62" i="70"/>
  <c r="E62" i="70" s="1"/>
  <c r="G58" i="32"/>
  <c r="I58" i="32" s="1"/>
  <c r="I50" i="88"/>
  <c r="H51" i="78"/>
  <c r="I51" i="78" s="1"/>
  <c r="G59" i="29"/>
  <c r="I59" i="29" s="1"/>
  <c r="B57" i="17"/>
  <c r="C66" i="17"/>
  <c r="F57" i="17"/>
  <c r="G57" i="17" s="1"/>
  <c r="B59" i="71"/>
  <c r="F59" i="71"/>
  <c r="G59" i="71" s="1"/>
  <c r="F54" i="59"/>
  <c r="G54" i="59" s="1"/>
  <c r="B54" i="59"/>
  <c r="I53" i="61"/>
  <c r="G50" i="86"/>
  <c r="I50" i="86" s="1"/>
  <c r="G56" i="43"/>
  <c r="D51" i="80"/>
  <c r="E51" i="80"/>
  <c r="F50" i="91"/>
  <c r="G50" i="91" s="1"/>
  <c r="B50" i="91"/>
  <c r="B138" i="31"/>
  <c r="F138" i="31"/>
  <c r="D55" i="55"/>
  <c r="E55" i="55"/>
  <c r="F54" i="61"/>
  <c r="H54" i="61" s="1"/>
  <c r="B54" i="61"/>
  <c r="D141" i="17"/>
  <c r="G140" i="17"/>
  <c r="E141" i="17"/>
  <c r="J133" i="67"/>
  <c r="B142" i="70"/>
  <c r="F142" i="70"/>
  <c r="H141" i="70"/>
  <c r="I141" i="70"/>
  <c r="J141" i="70" s="1"/>
  <c r="J139" i="17"/>
  <c r="F134" i="60"/>
  <c r="B134" i="60"/>
  <c r="J136" i="34"/>
  <c r="H133" i="60"/>
  <c r="I133" i="60"/>
  <c r="D53" i="13"/>
  <c r="E53" i="13" s="1"/>
  <c r="G52" i="13"/>
  <c r="H52" i="13"/>
  <c r="B130" i="80"/>
  <c r="F130" i="80"/>
  <c r="D58" i="18"/>
  <c r="E58" i="18"/>
  <c r="B138" i="32"/>
  <c r="F138" i="32"/>
  <c r="I132" i="59"/>
  <c r="H132" i="59"/>
  <c r="I138" i="30"/>
  <c r="H138" i="30"/>
  <c r="F136" i="39"/>
  <c r="B136" i="39"/>
  <c r="J138" i="23"/>
  <c r="D55" i="54"/>
  <c r="E55" i="54"/>
  <c r="F133" i="75"/>
  <c r="B133" i="75"/>
  <c r="D59" i="32"/>
  <c r="E59" i="32"/>
  <c r="F132" i="68"/>
  <c r="B132" i="68"/>
  <c r="H53" i="62"/>
  <c r="I53" i="62" s="1"/>
  <c r="I128" i="86"/>
  <c r="H128" i="86"/>
  <c r="F130" i="99"/>
  <c r="B130" i="99"/>
  <c r="H129" i="80"/>
  <c r="I129" i="80"/>
  <c r="B130" i="83"/>
  <c r="F130" i="83"/>
  <c r="H139" i="20"/>
  <c r="I139" i="20"/>
  <c r="H57" i="18"/>
  <c r="F136" i="73"/>
  <c r="B136" i="73"/>
  <c r="F137" i="3"/>
  <c r="B137" i="3"/>
  <c r="B134" i="54"/>
  <c r="F134" i="54"/>
  <c r="H130" i="77"/>
  <c r="I130" i="77"/>
  <c r="J130" i="77" s="1"/>
  <c r="H137" i="32"/>
  <c r="I137" i="32"/>
  <c r="F139" i="30"/>
  <c r="B139" i="30"/>
  <c r="H135" i="39"/>
  <c r="I135" i="39"/>
  <c r="J135" i="39" s="1"/>
  <c r="H128" i="92"/>
  <c r="I128" i="92"/>
  <c r="H128" i="96"/>
  <c r="I128" i="96"/>
  <c r="I135" i="55"/>
  <c r="H135" i="55"/>
  <c r="D60" i="30"/>
  <c r="E60" i="30" s="1"/>
  <c r="H131" i="68"/>
  <c r="I131" i="68"/>
  <c r="B132" i="82"/>
  <c r="F132" i="82"/>
  <c r="D52" i="75"/>
  <c r="E52" i="75"/>
  <c r="I136" i="22"/>
  <c r="H136" i="22"/>
  <c r="D50" i="89"/>
  <c r="E50" i="89"/>
  <c r="B140" i="20"/>
  <c r="F140" i="20"/>
  <c r="I128" i="84"/>
  <c r="H128" i="84"/>
  <c r="F137" i="18"/>
  <c r="B137" i="18"/>
  <c r="F138" i="71"/>
  <c r="B138" i="71"/>
  <c r="F134" i="46"/>
  <c r="B134" i="46"/>
  <c r="F138" i="24"/>
  <c r="B138" i="24"/>
  <c r="H138" i="27"/>
  <c r="I138" i="27"/>
  <c r="D51" i="88"/>
  <c r="E51" i="88"/>
  <c r="H49" i="90"/>
  <c r="I49" i="90" s="1"/>
  <c r="G57" i="18"/>
  <c r="I133" i="57"/>
  <c r="H133" i="57"/>
  <c r="H129" i="81"/>
  <c r="I129" i="81"/>
  <c r="J129" i="81" s="1"/>
  <c r="I128" i="88"/>
  <c r="H128" i="88"/>
  <c r="G141" i="29"/>
  <c r="D142" i="29"/>
  <c r="E142" i="29" s="1"/>
  <c r="D60" i="29"/>
  <c r="E60" i="29"/>
  <c r="B131" i="76"/>
  <c r="F131" i="76"/>
  <c r="D135" i="67"/>
  <c r="G134" i="67"/>
  <c r="E135" i="67"/>
  <c r="H133" i="53"/>
  <c r="I133" i="53"/>
  <c r="I129" i="83"/>
  <c r="H129" i="83"/>
  <c r="H139" i="28"/>
  <c r="I139" i="28"/>
  <c r="J139" i="28" s="1"/>
  <c r="H133" i="54"/>
  <c r="I133" i="54"/>
  <c r="H137" i="71"/>
  <c r="I137" i="71"/>
  <c r="F129" i="96"/>
  <c r="B129" i="96"/>
  <c r="D49" i="100"/>
  <c r="E49" i="100"/>
  <c r="F129" i="84"/>
  <c r="B129" i="84"/>
  <c r="D58" i="21"/>
  <c r="E58" i="21"/>
  <c r="H49" i="89"/>
  <c r="I49" i="89" s="1"/>
  <c r="I135" i="74"/>
  <c r="J135" i="74" s="1"/>
  <c r="H135" i="74"/>
  <c r="G137" i="34"/>
  <c r="D138" i="34"/>
  <c r="E138" i="34"/>
  <c r="D138" i="19"/>
  <c r="G137" i="19"/>
  <c r="E138" i="19"/>
  <c r="H137" i="24"/>
  <c r="I137" i="24"/>
  <c r="J137" i="24" s="1"/>
  <c r="F129" i="91"/>
  <c r="B129" i="91"/>
  <c r="D58" i="22"/>
  <c r="E58" i="22"/>
  <c r="F129" i="90"/>
  <c r="B129" i="90"/>
  <c r="B134" i="57"/>
  <c r="F134" i="57"/>
  <c r="I134" i="62"/>
  <c r="H134" i="62"/>
  <c r="F129" i="98"/>
  <c r="B129" i="98"/>
  <c r="I128" i="89"/>
  <c r="H128" i="89"/>
  <c r="F129" i="88"/>
  <c r="B129" i="88"/>
  <c r="J131" i="66"/>
  <c r="D52" i="78"/>
  <c r="E52" i="78"/>
  <c r="F136" i="41"/>
  <c r="B136" i="41"/>
  <c r="B133" i="61"/>
  <c r="F133" i="61"/>
  <c r="B139" i="27"/>
  <c r="F139" i="27"/>
  <c r="D54" i="62"/>
  <c r="E54" i="62"/>
  <c r="F49" i="25"/>
  <c r="G49" i="25" s="1"/>
  <c r="B49" i="25"/>
  <c r="H136" i="3"/>
  <c r="I136" i="3"/>
  <c r="B130" i="81"/>
  <c r="F130" i="81"/>
  <c r="B134" i="58"/>
  <c r="F134" i="58"/>
  <c r="G48" i="100"/>
  <c r="I48" i="100" s="1"/>
  <c r="B136" i="74"/>
  <c r="F136" i="74"/>
  <c r="F134" i="56"/>
  <c r="B134" i="56"/>
  <c r="I128" i="91"/>
  <c r="H128" i="91"/>
  <c r="H57" i="22"/>
  <c r="I57" i="22" s="1"/>
  <c r="H133" i="72"/>
  <c r="I133" i="72"/>
  <c r="J133" i="72" s="1"/>
  <c r="H128" i="90"/>
  <c r="I128" i="90"/>
  <c r="J136" i="19"/>
  <c r="D134" i="63"/>
  <c r="G133" i="63"/>
  <c r="E134" i="63"/>
  <c r="G132" i="66"/>
  <c r="E133" i="66"/>
  <c r="D133" i="66"/>
  <c r="I128" i="98"/>
  <c r="H128" i="98"/>
  <c r="D57" i="39"/>
  <c r="E57" i="39"/>
  <c r="F129" i="89"/>
  <c r="B129" i="89"/>
  <c r="I132" i="64"/>
  <c r="J132" i="64" s="1"/>
  <c r="H132" i="64"/>
  <c r="F131" i="79"/>
  <c r="B131" i="79"/>
  <c r="H131" i="85"/>
  <c r="I131" i="85"/>
  <c r="J131" i="78"/>
  <c r="I129" i="99"/>
  <c r="H129" i="99"/>
  <c r="F131" i="77"/>
  <c r="B131" i="77"/>
  <c r="B129" i="86"/>
  <c r="F129" i="86"/>
  <c r="I49" i="87"/>
  <c r="B135" i="62"/>
  <c r="F135" i="62"/>
  <c r="G139" i="23"/>
  <c r="D140" i="23"/>
  <c r="E140" i="23"/>
  <c r="H132" i="61"/>
  <c r="I132" i="61"/>
  <c r="H133" i="58"/>
  <c r="I133" i="58"/>
  <c r="J133" i="58" s="1"/>
  <c r="H131" i="65"/>
  <c r="I131" i="65"/>
  <c r="I57" i="21"/>
  <c r="F135" i="45"/>
  <c r="B135" i="45"/>
  <c r="F137" i="21"/>
  <c r="B137" i="21"/>
  <c r="H133" i="56"/>
  <c r="I133" i="56"/>
  <c r="D50" i="90"/>
  <c r="E50" i="90"/>
  <c r="F134" i="72"/>
  <c r="B134" i="72"/>
  <c r="H51" i="75"/>
  <c r="F133" i="64"/>
  <c r="B133" i="64"/>
  <c r="H130" i="79"/>
  <c r="I130" i="79"/>
  <c r="J130" i="79" s="1"/>
  <c r="B139" i="69"/>
  <c r="F139" i="69"/>
  <c r="B132" i="85"/>
  <c r="F132" i="85"/>
  <c r="H129" i="100"/>
  <c r="I129" i="100"/>
  <c r="I136" i="18"/>
  <c r="J136" i="18" s="1"/>
  <c r="H136" i="18"/>
  <c r="H132" i="75"/>
  <c r="I132" i="75"/>
  <c r="J132" i="75" s="1"/>
  <c r="H133" i="46"/>
  <c r="I133" i="46"/>
  <c r="H135" i="73"/>
  <c r="I135" i="73"/>
  <c r="D132" i="13"/>
  <c r="E132" i="13" s="1"/>
  <c r="G131" i="13"/>
  <c r="I48" i="96"/>
  <c r="F130" i="100"/>
  <c r="B130" i="100"/>
  <c r="F132" i="65"/>
  <c r="B132" i="65"/>
  <c r="I54" i="54"/>
  <c r="H134" i="45"/>
  <c r="I134" i="45"/>
  <c r="G59" i="30"/>
  <c r="I59" i="30" s="1"/>
  <c r="H136" i="21"/>
  <c r="I136" i="21"/>
  <c r="H130" i="76"/>
  <c r="I130" i="76"/>
  <c r="B134" i="53"/>
  <c r="F134" i="53"/>
  <c r="I135" i="41"/>
  <c r="H135" i="41"/>
  <c r="D50" i="87"/>
  <c r="E50" i="87"/>
  <c r="F140" i="28"/>
  <c r="B140" i="28"/>
  <c r="I131" i="82"/>
  <c r="H131" i="82"/>
  <c r="G51" i="75"/>
  <c r="B137" i="22"/>
  <c r="F137" i="22"/>
  <c r="D133" i="78"/>
  <c r="G132" i="78"/>
  <c r="E133" i="78"/>
  <c r="B133" i="59"/>
  <c r="F133" i="59"/>
  <c r="D49" i="96"/>
  <c r="E49" i="96"/>
  <c r="H138" i="69"/>
  <c r="I138" i="69"/>
  <c r="J138" i="69" s="1"/>
  <c r="F129" i="92"/>
  <c r="B129" i="92"/>
  <c r="B136" i="55"/>
  <c r="F136" i="55"/>
  <c r="J128" i="92" l="1"/>
  <c r="H56" i="74"/>
  <c r="H50" i="92"/>
  <c r="E131" i="95"/>
  <c r="G130" i="95"/>
  <c r="D131" i="95"/>
  <c r="J129" i="100"/>
  <c r="I61" i="70"/>
  <c r="G48" i="95"/>
  <c r="G50" i="84"/>
  <c r="J128" i="87"/>
  <c r="D132" i="25"/>
  <c r="G131" i="25"/>
  <c r="J129" i="26"/>
  <c r="I48" i="95"/>
  <c r="I50" i="84"/>
  <c r="I52" i="33"/>
  <c r="J129" i="95"/>
  <c r="G129" i="87"/>
  <c r="E130" i="87"/>
  <c r="D130" i="87"/>
  <c r="D131" i="26"/>
  <c r="G130" i="26"/>
  <c r="G58" i="31"/>
  <c r="E59" i="31"/>
  <c r="D59" i="31"/>
  <c r="E137" i="44"/>
  <c r="G136" i="44"/>
  <c r="D137" i="44"/>
  <c r="D52" i="79"/>
  <c r="E52" i="79"/>
  <c r="I52" i="65"/>
  <c r="I56" i="74"/>
  <c r="E59" i="24"/>
  <c r="D59" i="24"/>
  <c r="F136" i="43"/>
  <c r="B136" i="43"/>
  <c r="G57" i="20"/>
  <c r="D58" i="20"/>
  <c r="E58" i="20"/>
  <c r="B55" i="72"/>
  <c r="F55" i="72"/>
  <c r="D56" i="45"/>
  <c r="E56" i="45"/>
  <c r="H130" i="33"/>
  <c r="I130" i="33"/>
  <c r="I50" i="92"/>
  <c r="G48" i="99"/>
  <c r="D49" i="99"/>
  <c r="E49" i="99"/>
  <c r="I58" i="19"/>
  <c r="B130" i="97"/>
  <c r="F130" i="97"/>
  <c r="F52" i="76"/>
  <c r="B52" i="76"/>
  <c r="D61" i="28"/>
  <c r="E61" i="28"/>
  <c r="E51" i="83"/>
  <c r="D51" i="83"/>
  <c r="H54" i="58"/>
  <c r="E55" i="58"/>
  <c r="D55" i="58"/>
  <c r="E53" i="33"/>
  <c r="F53" i="33" s="1"/>
  <c r="B53" i="33"/>
  <c r="G52" i="68"/>
  <c r="I52" i="68" s="1"/>
  <c r="E53" i="68"/>
  <c r="D53" i="68"/>
  <c r="G52" i="67"/>
  <c r="I52" i="67" s="1"/>
  <c r="D53" i="67"/>
  <c r="E53" i="67"/>
  <c r="E51" i="84"/>
  <c r="D51" i="84"/>
  <c r="D55" i="53"/>
  <c r="E55" i="53"/>
  <c r="D54" i="63"/>
  <c r="E54" i="63"/>
  <c r="F52" i="77"/>
  <c r="B52" i="77"/>
  <c r="G52" i="77"/>
  <c r="H57" i="20"/>
  <c r="I57" i="20" s="1"/>
  <c r="H59" i="69"/>
  <c r="I59" i="69" s="1"/>
  <c r="D60" i="69"/>
  <c r="E59" i="34"/>
  <c r="D59" i="34"/>
  <c r="E57" i="44"/>
  <c r="D57" i="44"/>
  <c r="G54" i="61"/>
  <c r="H57" i="17"/>
  <c r="I57" i="17" s="1"/>
  <c r="H129" i="97"/>
  <c r="I129" i="97"/>
  <c r="J129" i="97" s="1"/>
  <c r="E60" i="27"/>
  <c r="D60" i="27"/>
  <c r="H60" i="28"/>
  <c r="B58" i="3"/>
  <c r="G58" i="3"/>
  <c r="F58" i="3"/>
  <c r="G56" i="41"/>
  <c r="I56" i="41" s="1"/>
  <c r="D57" i="41"/>
  <c r="E57" i="41"/>
  <c r="H51" i="79"/>
  <c r="I51" i="79" s="1"/>
  <c r="E57" i="73"/>
  <c r="D57" i="73"/>
  <c r="E57" i="74"/>
  <c r="D57" i="74"/>
  <c r="H58" i="24"/>
  <c r="H50" i="82"/>
  <c r="I50" i="82" s="1"/>
  <c r="D51" i="82"/>
  <c r="E51" i="82"/>
  <c r="F51" i="85"/>
  <c r="B51" i="85"/>
  <c r="H54" i="53"/>
  <c r="I54" i="53" s="1"/>
  <c r="B49" i="97"/>
  <c r="F49" i="97"/>
  <c r="H49" i="97" s="1"/>
  <c r="D53" i="66"/>
  <c r="E53" i="66"/>
  <c r="H53" i="63"/>
  <c r="I53" i="63" s="1"/>
  <c r="D55" i="57"/>
  <c r="E55" i="57"/>
  <c r="B136" i="42"/>
  <c r="F136" i="42"/>
  <c r="F131" i="33"/>
  <c r="B131" i="33"/>
  <c r="D51" i="92"/>
  <c r="E51" i="92"/>
  <c r="F59" i="23"/>
  <c r="B59" i="23"/>
  <c r="G56" i="44"/>
  <c r="I56" i="44" s="1"/>
  <c r="J131" i="65"/>
  <c r="I52" i="13"/>
  <c r="H58" i="31"/>
  <c r="I58" i="31" s="1"/>
  <c r="G59" i="27"/>
  <c r="I59" i="27" s="1"/>
  <c r="G54" i="56"/>
  <c r="I54" i="56" s="1"/>
  <c r="D55" i="56"/>
  <c r="E55" i="56"/>
  <c r="G60" i="28"/>
  <c r="G50" i="83"/>
  <c r="I50" i="83" s="1"/>
  <c r="I54" i="72"/>
  <c r="G54" i="58"/>
  <c r="H54" i="46"/>
  <c r="I54" i="46" s="1"/>
  <c r="D55" i="46"/>
  <c r="E55" i="46"/>
  <c r="I56" i="73"/>
  <c r="D53" i="65"/>
  <c r="E53" i="65"/>
  <c r="G58" i="24"/>
  <c r="I58" i="24" s="1"/>
  <c r="F49" i="98"/>
  <c r="B49" i="98"/>
  <c r="H135" i="43"/>
  <c r="I135" i="43"/>
  <c r="E49" i="95"/>
  <c r="D49" i="95"/>
  <c r="J135" i="44"/>
  <c r="F57" i="42"/>
  <c r="B57" i="42"/>
  <c r="G57" i="42"/>
  <c r="H52" i="66"/>
  <c r="I52" i="66" s="1"/>
  <c r="B51" i="81"/>
  <c r="F51" i="81"/>
  <c r="G54" i="57"/>
  <c r="I54" i="57" s="1"/>
  <c r="I58" i="23"/>
  <c r="G55" i="45"/>
  <c r="I55" i="45" s="1"/>
  <c r="I135" i="42"/>
  <c r="H135" i="42"/>
  <c r="G53" i="60"/>
  <c r="I53" i="60" s="1"/>
  <c r="E54" i="60"/>
  <c r="D54" i="60"/>
  <c r="H58" i="34"/>
  <c r="I58" i="34" s="1"/>
  <c r="H48" i="99"/>
  <c r="I48" i="99" s="1"/>
  <c r="J128" i="88"/>
  <c r="F55" i="55"/>
  <c r="G55" i="55" s="1"/>
  <c r="B55" i="55"/>
  <c r="B51" i="80"/>
  <c r="F51" i="80"/>
  <c r="D58" i="17"/>
  <c r="E58" i="17"/>
  <c r="I56" i="43"/>
  <c r="I54" i="61"/>
  <c r="E139" i="31"/>
  <c r="G138" i="31"/>
  <c r="D139" i="31"/>
  <c r="H50" i="91"/>
  <c r="I50" i="91" s="1"/>
  <c r="D51" i="91"/>
  <c r="E51" i="91"/>
  <c r="H54" i="59"/>
  <c r="I54" i="59" s="1"/>
  <c r="D55" i="59"/>
  <c r="E55" i="59"/>
  <c r="F62" i="70"/>
  <c r="G62" i="70" s="1"/>
  <c r="B62" i="70"/>
  <c r="D55" i="64"/>
  <c r="E55" i="64"/>
  <c r="F51" i="86"/>
  <c r="B51" i="86"/>
  <c r="H51" i="86"/>
  <c r="B53" i="26"/>
  <c r="F53" i="26"/>
  <c r="D54" i="26" s="1"/>
  <c r="J128" i="98"/>
  <c r="J133" i="56"/>
  <c r="J128" i="90"/>
  <c r="H49" i="25"/>
  <c r="E55" i="61"/>
  <c r="D55" i="61"/>
  <c r="H59" i="71"/>
  <c r="I59" i="71" s="1"/>
  <c r="D60" i="71"/>
  <c r="E60" i="71" s="1"/>
  <c r="F60" i="71" s="1"/>
  <c r="D61" i="71" s="1"/>
  <c r="F57" i="43"/>
  <c r="G57" i="43" s="1"/>
  <c r="B57" i="43"/>
  <c r="E59" i="19"/>
  <c r="D59" i="19"/>
  <c r="I52" i="26"/>
  <c r="J133" i="53"/>
  <c r="G134" i="60"/>
  <c r="D135" i="60"/>
  <c r="E135" i="60"/>
  <c r="J136" i="21"/>
  <c r="J132" i="59"/>
  <c r="J132" i="61"/>
  <c r="J128" i="86"/>
  <c r="J133" i="60"/>
  <c r="D143" i="70"/>
  <c r="G142" i="70"/>
  <c r="E143" i="70"/>
  <c r="J138" i="27"/>
  <c r="J135" i="73"/>
  <c r="J135" i="55"/>
  <c r="J129" i="80"/>
  <c r="I140" i="17"/>
  <c r="J140" i="17" s="1"/>
  <c r="H140" i="17"/>
  <c r="J131" i="68"/>
  <c r="F141" i="17"/>
  <c r="B141" i="17"/>
  <c r="F54" i="62"/>
  <c r="G54" i="62" s="1"/>
  <c r="B54" i="62"/>
  <c r="H137" i="19"/>
  <c r="I137" i="19"/>
  <c r="H141" i="29"/>
  <c r="I141" i="29"/>
  <c r="G138" i="24"/>
  <c r="D139" i="24"/>
  <c r="E139" i="24"/>
  <c r="D139" i="71"/>
  <c r="G138" i="71"/>
  <c r="E139" i="71"/>
  <c r="G139" i="30"/>
  <c r="D140" i="30"/>
  <c r="E140" i="30"/>
  <c r="D138" i="3"/>
  <c r="G137" i="3"/>
  <c r="E138" i="3"/>
  <c r="D137" i="55"/>
  <c r="G136" i="55"/>
  <c r="E137" i="55"/>
  <c r="D134" i="59"/>
  <c r="G133" i="59"/>
  <c r="E134" i="59"/>
  <c r="G137" i="22"/>
  <c r="D138" i="22"/>
  <c r="E138" i="22"/>
  <c r="D135" i="53"/>
  <c r="G134" i="53"/>
  <c r="E135" i="53"/>
  <c r="B132" i="13"/>
  <c r="F132" i="13"/>
  <c r="J133" i="46"/>
  <c r="F50" i="90"/>
  <c r="H50" i="90" s="1"/>
  <c r="B50" i="90"/>
  <c r="H139" i="23"/>
  <c r="I139" i="23"/>
  <c r="G131" i="77"/>
  <c r="D132" i="77"/>
  <c r="E132" i="77"/>
  <c r="F133" i="66"/>
  <c r="B133" i="66"/>
  <c r="J136" i="3"/>
  <c r="D140" i="27"/>
  <c r="G139" i="27"/>
  <c r="E140" i="27"/>
  <c r="B138" i="19"/>
  <c r="F138" i="19"/>
  <c r="D130" i="84"/>
  <c r="G129" i="84"/>
  <c r="E130" i="84"/>
  <c r="G129" i="96"/>
  <c r="D130" i="96"/>
  <c r="E130" i="96"/>
  <c r="J137" i="71"/>
  <c r="J133" i="54"/>
  <c r="J129" i="83"/>
  <c r="D141" i="20"/>
  <c r="E141" i="20" s="1"/>
  <c r="G140" i="20"/>
  <c r="J128" i="96"/>
  <c r="J137" i="32"/>
  <c r="G136" i="39"/>
  <c r="D137" i="39"/>
  <c r="E137" i="39"/>
  <c r="F58" i="18"/>
  <c r="G58" i="18" s="1"/>
  <c r="B58" i="18"/>
  <c r="B133" i="78"/>
  <c r="F133" i="78"/>
  <c r="B140" i="23"/>
  <c r="F140" i="23"/>
  <c r="G140" i="28"/>
  <c r="D141" i="28"/>
  <c r="E141" i="28"/>
  <c r="G136" i="74"/>
  <c r="D137" i="74"/>
  <c r="E137" i="74"/>
  <c r="D137" i="73"/>
  <c r="G136" i="73"/>
  <c r="E137" i="73"/>
  <c r="G130" i="80"/>
  <c r="D131" i="80"/>
  <c r="E131" i="80"/>
  <c r="F138" i="34"/>
  <c r="B138" i="34"/>
  <c r="J136" i="22"/>
  <c r="I57" i="18"/>
  <c r="G130" i="99"/>
  <c r="D131" i="99"/>
  <c r="E131" i="99"/>
  <c r="G132" i="68"/>
  <c r="D133" i="68"/>
  <c r="E133" i="68"/>
  <c r="G129" i="92"/>
  <c r="E130" i="92"/>
  <c r="D130" i="92"/>
  <c r="B50" i="87"/>
  <c r="F50" i="87"/>
  <c r="G50" i="87" s="1"/>
  <c r="J130" i="76"/>
  <c r="J134" i="45"/>
  <c r="E133" i="85"/>
  <c r="D133" i="85"/>
  <c r="G132" i="85"/>
  <c r="G129" i="89"/>
  <c r="D130" i="89"/>
  <c r="E130" i="89"/>
  <c r="F134" i="63"/>
  <c r="B134" i="63"/>
  <c r="G134" i="57"/>
  <c r="D135" i="57"/>
  <c r="E135" i="57"/>
  <c r="F58" i="22"/>
  <c r="H58" i="22" s="1"/>
  <c r="B58" i="22"/>
  <c r="H137" i="34"/>
  <c r="I137" i="34"/>
  <c r="D138" i="18"/>
  <c r="G137" i="18"/>
  <c r="E138" i="18"/>
  <c r="B50" i="89"/>
  <c r="F50" i="89"/>
  <c r="H50" i="89" s="1"/>
  <c r="J139" i="20"/>
  <c r="B55" i="54"/>
  <c r="F55" i="54"/>
  <c r="G55" i="54" s="1"/>
  <c r="F49" i="96"/>
  <c r="B49" i="96"/>
  <c r="G131" i="79"/>
  <c r="D132" i="79"/>
  <c r="E132" i="79"/>
  <c r="G129" i="98"/>
  <c r="D130" i="98"/>
  <c r="E130" i="98"/>
  <c r="D135" i="46"/>
  <c r="G134" i="46"/>
  <c r="E135" i="46"/>
  <c r="G133" i="75"/>
  <c r="D134" i="75"/>
  <c r="E134" i="75"/>
  <c r="H133" i="63"/>
  <c r="I133" i="63"/>
  <c r="D130" i="88"/>
  <c r="G129" i="88"/>
  <c r="E130" i="88"/>
  <c r="E131" i="100"/>
  <c r="D131" i="100"/>
  <c r="G130" i="100"/>
  <c r="I51" i="75"/>
  <c r="G129" i="86"/>
  <c r="D130" i="86"/>
  <c r="E130" i="86"/>
  <c r="G134" i="56"/>
  <c r="D135" i="56"/>
  <c r="E135" i="56"/>
  <c r="D131" i="81"/>
  <c r="G130" i="81"/>
  <c r="E131" i="81"/>
  <c r="I49" i="25"/>
  <c r="I134" i="67"/>
  <c r="H134" i="67"/>
  <c r="B60" i="29"/>
  <c r="F60" i="29"/>
  <c r="G60" i="29" s="1"/>
  <c r="B51" i="88"/>
  <c r="F51" i="88"/>
  <c r="B52" i="75"/>
  <c r="F52" i="75"/>
  <c r="H52" i="75" s="1"/>
  <c r="G134" i="54"/>
  <c r="D135" i="54"/>
  <c r="E135" i="54"/>
  <c r="F59" i="32"/>
  <c r="H59" i="32" s="1"/>
  <c r="B59" i="32"/>
  <c r="I131" i="13"/>
  <c r="H131" i="13"/>
  <c r="G135" i="62"/>
  <c r="D136" i="62"/>
  <c r="E136" i="62"/>
  <c r="J129" i="99"/>
  <c r="G133" i="61"/>
  <c r="D134" i="61"/>
  <c r="E134" i="61"/>
  <c r="J138" i="30"/>
  <c r="D140" i="69"/>
  <c r="G139" i="69"/>
  <c r="E140" i="69"/>
  <c r="D138" i="21"/>
  <c r="G137" i="21"/>
  <c r="E138" i="21"/>
  <c r="B57" i="39"/>
  <c r="F57" i="39"/>
  <c r="G57" i="39" s="1"/>
  <c r="H57" i="39"/>
  <c r="J128" i="91"/>
  <c r="D50" i="25"/>
  <c r="E50" i="25" s="1"/>
  <c r="D137" i="41"/>
  <c r="G136" i="41"/>
  <c r="E137" i="41"/>
  <c r="J128" i="89"/>
  <c r="F58" i="21"/>
  <c r="H58" i="21" s="1"/>
  <c r="B58" i="21"/>
  <c r="B135" i="67"/>
  <c r="F135" i="67"/>
  <c r="J128" i="84"/>
  <c r="G132" i="82"/>
  <c r="D133" i="82"/>
  <c r="E133" i="82"/>
  <c r="D131" i="83"/>
  <c r="G130" i="83"/>
  <c r="E131" i="83"/>
  <c r="G138" i="32"/>
  <c r="D139" i="32"/>
  <c r="E139" i="32"/>
  <c r="G53" i="13"/>
  <c r="B53" i="13"/>
  <c r="F53" i="13"/>
  <c r="H53" i="13" s="1"/>
  <c r="F52" i="78"/>
  <c r="G52" i="78" s="1"/>
  <c r="B52" i="78"/>
  <c r="D133" i="65"/>
  <c r="G132" i="65"/>
  <c r="E133" i="65"/>
  <c r="D130" i="91"/>
  <c r="G129" i="91"/>
  <c r="E130" i="91"/>
  <c r="D134" i="64"/>
  <c r="G133" i="64"/>
  <c r="E134" i="64"/>
  <c r="D136" i="45"/>
  <c r="G135" i="45"/>
  <c r="E136" i="45"/>
  <c r="I132" i="66"/>
  <c r="H132" i="66"/>
  <c r="J134" i="62"/>
  <c r="B60" i="30"/>
  <c r="F60" i="30"/>
  <c r="J135" i="41"/>
  <c r="H132" i="78"/>
  <c r="I132" i="78"/>
  <c r="G134" i="72"/>
  <c r="D135" i="72"/>
  <c r="E135" i="72"/>
  <c r="D135" i="58"/>
  <c r="G134" i="58"/>
  <c r="E135" i="58"/>
  <c r="G129" i="90"/>
  <c r="D130" i="90"/>
  <c r="E130" i="90"/>
  <c r="B49" i="100"/>
  <c r="F49" i="100"/>
  <c r="H49" i="100" s="1"/>
  <c r="G131" i="76"/>
  <c r="D132" i="76"/>
  <c r="E132" i="76"/>
  <c r="F142" i="29"/>
  <c r="B142" i="29"/>
  <c r="J133" i="57"/>
  <c r="D54" i="33" l="1"/>
  <c r="B54" i="33" s="1"/>
  <c r="E132" i="25"/>
  <c r="F132" i="25"/>
  <c r="B132" i="25"/>
  <c r="J135" i="42"/>
  <c r="H129" i="87"/>
  <c r="I129" i="87"/>
  <c r="J129" i="87" s="1"/>
  <c r="H55" i="55"/>
  <c r="J135" i="43"/>
  <c r="F131" i="95"/>
  <c r="B131" i="95"/>
  <c r="H57" i="43"/>
  <c r="B130" i="87"/>
  <c r="F130" i="87"/>
  <c r="H131" i="25"/>
  <c r="I131" i="25"/>
  <c r="H130" i="95"/>
  <c r="I130" i="95"/>
  <c r="J130" i="95" s="1"/>
  <c r="J155" i="95" s="1"/>
  <c r="H52" i="78"/>
  <c r="H51" i="81"/>
  <c r="E52" i="81"/>
  <c r="D52" i="81"/>
  <c r="F55" i="46"/>
  <c r="G55" i="46" s="1"/>
  <c r="B55" i="46"/>
  <c r="G59" i="23"/>
  <c r="D60" i="23"/>
  <c r="G131" i="33"/>
  <c r="D132" i="33"/>
  <c r="B53" i="66"/>
  <c r="F53" i="66"/>
  <c r="H51" i="85"/>
  <c r="D52" i="85"/>
  <c r="E52" i="85"/>
  <c r="I60" i="28"/>
  <c r="B57" i="44"/>
  <c r="F57" i="44"/>
  <c r="G57" i="44" s="1"/>
  <c r="E60" i="69"/>
  <c r="B60" i="69"/>
  <c r="F60" i="69"/>
  <c r="H60" i="69" s="1"/>
  <c r="B54" i="63"/>
  <c r="F54" i="63"/>
  <c r="B53" i="68"/>
  <c r="F53" i="68"/>
  <c r="F55" i="58"/>
  <c r="G55" i="58" s="1"/>
  <c r="B55" i="58"/>
  <c r="H55" i="58"/>
  <c r="B49" i="99"/>
  <c r="F49" i="99"/>
  <c r="G49" i="99" s="1"/>
  <c r="H55" i="72"/>
  <c r="E56" i="72"/>
  <c r="D56" i="72"/>
  <c r="F137" i="44"/>
  <c r="B137" i="44"/>
  <c r="H57" i="42"/>
  <c r="I57" i="42" s="1"/>
  <c r="D58" i="42"/>
  <c r="E58" i="42"/>
  <c r="E50" i="98"/>
  <c r="D50" i="98"/>
  <c r="F53" i="65"/>
  <c r="H53" i="65" s="1"/>
  <c r="B53" i="65"/>
  <c r="G136" i="42"/>
  <c r="D137" i="42"/>
  <c r="E137" i="42"/>
  <c r="B55" i="57"/>
  <c r="F55" i="57"/>
  <c r="H55" i="57" s="1"/>
  <c r="G49" i="97"/>
  <c r="I49" i="97" s="1"/>
  <c r="F57" i="74"/>
  <c r="B57" i="74"/>
  <c r="H58" i="3"/>
  <c r="I58" i="3" s="1"/>
  <c r="E59" i="3"/>
  <c r="D59" i="3"/>
  <c r="H52" i="76"/>
  <c r="D53" i="76"/>
  <c r="E53" i="76"/>
  <c r="B59" i="24"/>
  <c r="F59" i="24"/>
  <c r="G59" i="24" s="1"/>
  <c r="I136" i="44"/>
  <c r="H136" i="44"/>
  <c r="H54" i="62"/>
  <c r="H49" i="98"/>
  <c r="H59" i="23"/>
  <c r="I59" i="23" s="1"/>
  <c r="F51" i="92"/>
  <c r="G51" i="92" s="1"/>
  <c r="B51" i="92"/>
  <c r="G51" i="85"/>
  <c r="I51" i="85" s="1"/>
  <c r="B51" i="82"/>
  <c r="F51" i="82"/>
  <c r="B60" i="27"/>
  <c r="F60" i="27"/>
  <c r="G60" i="27" s="1"/>
  <c r="F59" i="34"/>
  <c r="G59" i="34" s="1"/>
  <c r="B59" i="34"/>
  <c r="H59" i="34"/>
  <c r="H52" i="77"/>
  <c r="I52" i="77" s="1"/>
  <c r="E53" i="77"/>
  <c r="D53" i="77"/>
  <c r="B55" i="53"/>
  <c r="F55" i="53"/>
  <c r="G55" i="53" s="1"/>
  <c r="F53" i="67"/>
  <c r="H53" i="67" s="1"/>
  <c r="B53" i="67"/>
  <c r="H53" i="33"/>
  <c r="I54" i="58"/>
  <c r="B61" i="28"/>
  <c r="F61" i="28"/>
  <c r="G61" i="28" s="1"/>
  <c r="B56" i="45"/>
  <c r="F56" i="45"/>
  <c r="H130" i="26"/>
  <c r="I130" i="26"/>
  <c r="B54" i="60"/>
  <c r="F54" i="60"/>
  <c r="G51" i="81"/>
  <c r="F49" i="95"/>
  <c r="G49" i="95" s="1"/>
  <c r="B49" i="95"/>
  <c r="G49" i="98"/>
  <c r="I49" i="98" s="1"/>
  <c r="B55" i="56"/>
  <c r="F55" i="56"/>
  <c r="G55" i="56" s="1"/>
  <c r="D50" i="97"/>
  <c r="E50" i="97"/>
  <c r="B57" i="73"/>
  <c r="F57" i="73"/>
  <c r="H57" i="73"/>
  <c r="G57" i="73"/>
  <c r="B57" i="41"/>
  <c r="F57" i="41"/>
  <c r="G57" i="41"/>
  <c r="B51" i="84"/>
  <c r="H51" i="84"/>
  <c r="I51" i="84" s="1"/>
  <c r="F51" i="84"/>
  <c r="G51" i="84"/>
  <c r="G53" i="33"/>
  <c r="B51" i="83"/>
  <c r="F51" i="83"/>
  <c r="H51" i="83" s="1"/>
  <c r="G52" i="76"/>
  <c r="I52" i="76" s="1"/>
  <c r="D131" i="97"/>
  <c r="G130" i="97"/>
  <c r="E131" i="97"/>
  <c r="J130" i="33"/>
  <c r="G55" i="72"/>
  <c r="I55" i="72" s="1"/>
  <c r="F58" i="20"/>
  <c r="B58" i="20"/>
  <c r="G136" i="43"/>
  <c r="E137" i="43"/>
  <c r="D137" i="43"/>
  <c r="B52" i="79"/>
  <c r="F52" i="79"/>
  <c r="H52" i="79"/>
  <c r="B59" i="31"/>
  <c r="F59" i="31"/>
  <c r="H59" i="31" s="1"/>
  <c r="E131" i="26"/>
  <c r="F131" i="26" s="1"/>
  <c r="B131" i="26"/>
  <c r="E61" i="71"/>
  <c r="F61" i="71" s="1"/>
  <c r="B61" i="71"/>
  <c r="F55" i="61"/>
  <c r="B55" i="61"/>
  <c r="I57" i="39"/>
  <c r="G50" i="89"/>
  <c r="I50" i="89" s="1"/>
  <c r="E58" i="43"/>
  <c r="D58" i="43"/>
  <c r="F55" i="59"/>
  <c r="G55" i="59" s="1"/>
  <c r="B55" i="59"/>
  <c r="B51" i="91"/>
  <c r="F51" i="91"/>
  <c r="H51" i="91" s="1"/>
  <c r="G51" i="80"/>
  <c r="E52" i="80"/>
  <c r="D52" i="80"/>
  <c r="E56" i="55"/>
  <c r="D56" i="55"/>
  <c r="E54" i="26"/>
  <c r="F54" i="26" s="1"/>
  <c r="B54" i="26"/>
  <c r="I138" i="31"/>
  <c r="H138" i="31"/>
  <c r="G58" i="22"/>
  <c r="I58" i="22" s="1"/>
  <c r="H58" i="18"/>
  <c r="I57" i="43"/>
  <c r="H53" i="26"/>
  <c r="G51" i="86"/>
  <c r="I51" i="86" s="1"/>
  <c r="D52" i="86"/>
  <c r="E52" i="86"/>
  <c r="H51" i="80"/>
  <c r="I55" i="55"/>
  <c r="B55" i="64"/>
  <c r="F55" i="64"/>
  <c r="H55" i="64" s="1"/>
  <c r="G52" i="75"/>
  <c r="I52" i="75" s="1"/>
  <c r="B59" i="19"/>
  <c r="F59" i="19"/>
  <c r="B60" i="71"/>
  <c r="H60" i="71"/>
  <c r="G60" i="71"/>
  <c r="G53" i="26"/>
  <c r="H62" i="70"/>
  <c r="I62" i="70" s="1"/>
  <c r="D63" i="70"/>
  <c r="E63" i="70" s="1"/>
  <c r="B139" i="31"/>
  <c r="F139" i="31"/>
  <c r="B58" i="17"/>
  <c r="F58" i="17"/>
  <c r="C67" i="17"/>
  <c r="J134" i="67"/>
  <c r="J137" i="19"/>
  <c r="D142" i="17"/>
  <c r="G141" i="17"/>
  <c r="H142" i="70"/>
  <c r="I142" i="70"/>
  <c r="J142" i="70" s="1"/>
  <c r="J132" i="66"/>
  <c r="F143" i="70"/>
  <c r="B143" i="70"/>
  <c r="B135" i="60"/>
  <c r="F135" i="60"/>
  <c r="I134" i="60"/>
  <c r="H134" i="60"/>
  <c r="J139" i="23"/>
  <c r="D61" i="30"/>
  <c r="E61" i="30" s="1"/>
  <c r="H137" i="21"/>
  <c r="I137" i="21"/>
  <c r="E52" i="88"/>
  <c r="D52" i="88"/>
  <c r="F135" i="57"/>
  <c r="B135" i="57"/>
  <c r="E134" i="78"/>
  <c r="G133" i="78"/>
  <c r="D134" i="78"/>
  <c r="F137" i="39"/>
  <c r="B137" i="39"/>
  <c r="H133" i="59"/>
  <c r="I133" i="59"/>
  <c r="H138" i="24"/>
  <c r="I138" i="24"/>
  <c r="I54" i="62"/>
  <c r="E50" i="100"/>
  <c r="D50" i="100"/>
  <c r="H134" i="58"/>
  <c r="I134" i="58"/>
  <c r="J134" i="58" s="1"/>
  <c r="H134" i="72"/>
  <c r="I134" i="72"/>
  <c r="H132" i="65"/>
  <c r="I132" i="65"/>
  <c r="B133" i="82"/>
  <c r="F133" i="82"/>
  <c r="B137" i="41"/>
  <c r="F137" i="41"/>
  <c r="B138" i="21"/>
  <c r="F138" i="21"/>
  <c r="B140" i="69"/>
  <c r="F140" i="69"/>
  <c r="H130" i="81"/>
  <c r="I130" i="81"/>
  <c r="J130" i="81" s="1"/>
  <c r="J155" i="81" s="1"/>
  <c r="H134" i="56"/>
  <c r="I134" i="56"/>
  <c r="J133" i="63"/>
  <c r="H134" i="46"/>
  <c r="I134" i="46"/>
  <c r="F130" i="98"/>
  <c r="B130" i="98"/>
  <c r="D50" i="96"/>
  <c r="E50" i="96"/>
  <c r="D51" i="89"/>
  <c r="E51" i="89"/>
  <c r="J137" i="34"/>
  <c r="H134" i="57"/>
  <c r="I134" i="57"/>
  <c r="J134" i="57" s="1"/>
  <c r="B130" i="89"/>
  <c r="F130" i="89"/>
  <c r="I132" i="85"/>
  <c r="H132" i="85"/>
  <c r="B137" i="74"/>
  <c r="F137" i="74"/>
  <c r="I136" i="39"/>
  <c r="H136" i="39"/>
  <c r="H140" i="20"/>
  <c r="I140" i="20"/>
  <c r="J140" i="20" s="1"/>
  <c r="D134" i="66"/>
  <c r="E134" i="66"/>
  <c r="G133" i="66"/>
  <c r="F134" i="59"/>
  <c r="B134" i="59"/>
  <c r="I136" i="41"/>
  <c r="H136" i="41"/>
  <c r="I133" i="61"/>
  <c r="H133" i="61"/>
  <c r="I129" i="86"/>
  <c r="H129" i="86"/>
  <c r="B132" i="76"/>
  <c r="F132" i="76"/>
  <c r="B133" i="65"/>
  <c r="F133" i="65"/>
  <c r="B135" i="46"/>
  <c r="F135" i="46"/>
  <c r="F130" i="92"/>
  <c r="B130" i="92"/>
  <c r="I135" i="45"/>
  <c r="H135" i="45"/>
  <c r="B50" i="25"/>
  <c r="F50" i="25"/>
  <c r="G50" i="25" s="1"/>
  <c r="E135" i="63"/>
  <c r="G134" i="63"/>
  <c r="D135" i="63"/>
  <c r="I132" i="68"/>
  <c r="H132" i="68"/>
  <c r="B131" i="80"/>
  <c r="F131" i="80"/>
  <c r="H129" i="96"/>
  <c r="I129" i="96"/>
  <c r="F140" i="27"/>
  <c r="B140" i="27"/>
  <c r="B132" i="77"/>
  <c r="F132" i="77"/>
  <c r="B135" i="53"/>
  <c r="F135" i="53"/>
  <c r="I136" i="55"/>
  <c r="H136" i="55"/>
  <c r="F138" i="3"/>
  <c r="B138" i="3"/>
  <c r="D55" i="62"/>
  <c r="E55" i="62"/>
  <c r="F135" i="72"/>
  <c r="B135" i="72"/>
  <c r="B130" i="88"/>
  <c r="F130" i="88"/>
  <c r="F135" i="58"/>
  <c r="B135" i="58"/>
  <c r="H132" i="82"/>
  <c r="I132" i="82"/>
  <c r="F131" i="81"/>
  <c r="B131" i="81"/>
  <c r="B133" i="85"/>
  <c r="F133" i="85"/>
  <c r="B141" i="20"/>
  <c r="F141" i="20"/>
  <c r="H139" i="27"/>
  <c r="I139" i="27"/>
  <c r="J139" i="27" s="1"/>
  <c r="H134" i="53"/>
  <c r="I134" i="53"/>
  <c r="H137" i="3"/>
  <c r="I137" i="3"/>
  <c r="H131" i="76"/>
  <c r="I131" i="76"/>
  <c r="J131" i="76" s="1"/>
  <c r="H129" i="90"/>
  <c r="I129" i="90"/>
  <c r="F139" i="32"/>
  <c r="B139" i="32"/>
  <c r="H135" i="62"/>
  <c r="I135" i="62"/>
  <c r="J135" i="62" s="1"/>
  <c r="D61" i="29"/>
  <c r="E61" i="29" s="1"/>
  <c r="G49" i="100"/>
  <c r="I49" i="100" s="1"/>
  <c r="B136" i="45"/>
  <c r="F136" i="45"/>
  <c r="I138" i="32"/>
  <c r="H138" i="32"/>
  <c r="D58" i="39"/>
  <c r="E58" i="39"/>
  <c r="H134" i="54"/>
  <c r="I134" i="54"/>
  <c r="J134" i="54" s="1"/>
  <c r="H130" i="100"/>
  <c r="I130" i="100"/>
  <c r="F132" i="79"/>
  <c r="B132" i="79"/>
  <c r="H129" i="92"/>
  <c r="I129" i="92"/>
  <c r="G138" i="34"/>
  <c r="D139" i="34"/>
  <c r="E139" i="34"/>
  <c r="H130" i="80"/>
  <c r="I130" i="80"/>
  <c r="J130" i="80" s="1"/>
  <c r="J155" i="80" s="1"/>
  <c r="B141" i="28"/>
  <c r="F141" i="28"/>
  <c r="H131" i="77"/>
  <c r="I131" i="77"/>
  <c r="B137" i="55"/>
  <c r="F137" i="55"/>
  <c r="H138" i="71"/>
  <c r="I138" i="71"/>
  <c r="B135" i="56"/>
  <c r="F135" i="56"/>
  <c r="I129" i="89"/>
  <c r="H129" i="89"/>
  <c r="D51" i="87"/>
  <c r="E51" i="87"/>
  <c r="H136" i="74"/>
  <c r="I136" i="74"/>
  <c r="E56" i="54"/>
  <c r="D56" i="54"/>
  <c r="H129" i="91"/>
  <c r="I129" i="91"/>
  <c r="I52" i="78"/>
  <c r="I53" i="13"/>
  <c r="D136" i="67"/>
  <c r="G135" i="67"/>
  <c r="E136" i="67"/>
  <c r="D59" i="21"/>
  <c r="E59" i="21"/>
  <c r="H60" i="29"/>
  <c r="I60" i="29" s="1"/>
  <c r="B131" i="100"/>
  <c r="F131" i="100"/>
  <c r="H131" i="79"/>
  <c r="I131" i="79"/>
  <c r="J131" i="79" s="1"/>
  <c r="H55" i="54"/>
  <c r="I55" i="54" s="1"/>
  <c r="H137" i="18"/>
  <c r="I137" i="18"/>
  <c r="H50" i="87"/>
  <c r="I50" i="87" s="1"/>
  <c r="B131" i="99"/>
  <c r="F131" i="99"/>
  <c r="H140" i="28"/>
  <c r="I140" i="28"/>
  <c r="J140" i="28" s="1"/>
  <c r="I58" i="18"/>
  <c r="H129" i="84"/>
  <c r="I129" i="84"/>
  <c r="D51" i="90"/>
  <c r="E51" i="90"/>
  <c r="B138" i="22"/>
  <c r="F138" i="22"/>
  <c r="B140" i="30"/>
  <c r="F140" i="30"/>
  <c r="F139" i="71"/>
  <c r="B139" i="71"/>
  <c r="D60" i="32"/>
  <c r="E60" i="32" s="1"/>
  <c r="F130" i="90"/>
  <c r="B130" i="90"/>
  <c r="F136" i="62"/>
  <c r="B136" i="62"/>
  <c r="F133" i="68"/>
  <c r="B133" i="68"/>
  <c r="B130" i="96"/>
  <c r="F130" i="96"/>
  <c r="F135" i="54"/>
  <c r="B135" i="54"/>
  <c r="E53" i="75"/>
  <c r="D53" i="75"/>
  <c r="J132" i="78"/>
  <c r="H60" i="30"/>
  <c r="H133" i="64"/>
  <c r="I133" i="64"/>
  <c r="B130" i="91"/>
  <c r="F130" i="91"/>
  <c r="D53" i="78"/>
  <c r="E53" i="78"/>
  <c r="D54" i="13"/>
  <c r="E54" i="13" s="1"/>
  <c r="H130" i="83"/>
  <c r="I130" i="83"/>
  <c r="G58" i="21"/>
  <c r="I58" i="21" s="1"/>
  <c r="G51" i="88"/>
  <c r="B134" i="75"/>
  <c r="F134" i="75"/>
  <c r="G49" i="96"/>
  <c r="F138" i="18"/>
  <c r="B138" i="18"/>
  <c r="D59" i="22"/>
  <c r="E59" i="22"/>
  <c r="H130" i="99"/>
  <c r="I130" i="99"/>
  <c r="H136" i="73"/>
  <c r="I136" i="73"/>
  <c r="D141" i="23"/>
  <c r="E141" i="23" s="1"/>
  <c r="G140" i="23"/>
  <c r="E59" i="18"/>
  <c r="D59" i="18"/>
  <c r="F130" i="84"/>
  <c r="B130" i="84"/>
  <c r="G50" i="90"/>
  <c r="I50" i="90" s="1"/>
  <c r="H137" i="22"/>
  <c r="I137" i="22"/>
  <c r="H139" i="30"/>
  <c r="I139" i="30"/>
  <c r="J141" i="29"/>
  <c r="H139" i="69"/>
  <c r="I139" i="69"/>
  <c r="I129" i="98"/>
  <c r="H129" i="98"/>
  <c r="G142" i="29"/>
  <c r="D143" i="29"/>
  <c r="E143" i="29" s="1"/>
  <c r="G60" i="30"/>
  <c r="F134" i="64"/>
  <c r="B134" i="64"/>
  <c r="F131" i="83"/>
  <c r="B131" i="83"/>
  <c r="F134" i="61"/>
  <c r="B134" i="61"/>
  <c r="G59" i="32"/>
  <c r="I59" i="32" s="1"/>
  <c r="H51" i="88"/>
  <c r="B130" i="86"/>
  <c r="F130" i="86"/>
  <c r="H129" i="88"/>
  <c r="I129" i="88"/>
  <c r="I133" i="75"/>
  <c r="H133" i="75"/>
  <c r="H49" i="96"/>
  <c r="B137" i="73"/>
  <c r="F137" i="73"/>
  <c r="G138" i="19"/>
  <c r="E139" i="19"/>
  <c r="D139" i="19"/>
  <c r="G132" i="13"/>
  <c r="D133" i="13"/>
  <c r="F139" i="24"/>
  <c r="B139" i="24"/>
  <c r="G59" i="31" l="1"/>
  <c r="H49" i="95"/>
  <c r="H55" i="53"/>
  <c r="H51" i="92"/>
  <c r="J136" i="44"/>
  <c r="G132" i="25"/>
  <c r="D133" i="25"/>
  <c r="J139" i="30"/>
  <c r="J129" i="92"/>
  <c r="J130" i="100"/>
  <c r="J155" i="100" s="1"/>
  <c r="J134" i="56"/>
  <c r="G51" i="91"/>
  <c r="I51" i="91" s="1"/>
  <c r="I59" i="31"/>
  <c r="G53" i="67"/>
  <c r="I53" i="67" s="1"/>
  <c r="D131" i="87"/>
  <c r="G130" i="87"/>
  <c r="E131" i="87"/>
  <c r="D132" i="95"/>
  <c r="G131" i="95"/>
  <c r="E132" i="95"/>
  <c r="E54" i="33"/>
  <c r="F54" i="33" s="1"/>
  <c r="J131" i="25"/>
  <c r="D62" i="71"/>
  <c r="H61" i="71"/>
  <c r="G131" i="26"/>
  <c r="D132" i="26"/>
  <c r="B132" i="26" s="1"/>
  <c r="I53" i="26"/>
  <c r="F137" i="43"/>
  <c r="B137" i="43"/>
  <c r="I49" i="95"/>
  <c r="E55" i="60"/>
  <c r="D55" i="60"/>
  <c r="H56" i="45"/>
  <c r="D57" i="45"/>
  <c r="E57" i="45"/>
  <c r="I55" i="53"/>
  <c r="F53" i="77"/>
  <c r="B53" i="77"/>
  <c r="H51" i="82"/>
  <c r="D52" i="82"/>
  <c r="E52" i="82"/>
  <c r="B137" i="42"/>
  <c r="F137" i="42"/>
  <c r="D138" i="44"/>
  <c r="G137" i="44"/>
  <c r="E138" i="44"/>
  <c r="H53" i="68"/>
  <c r="E54" i="68"/>
  <c r="D54" i="68"/>
  <c r="D55" i="63"/>
  <c r="E55" i="63"/>
  <c r="D54" i="66"/>
  <c r="E54" i="66"/>
  <c r="H131" i="33"/>
  <c r="I131" i="33"/>
  <c r="D59" i="20"/>
  <c r="E59" i="20"/>
  <c r="D52" i="83"/>
  <c r="E52" i="83"/>
  <c r="E56" i="56"/>
  <c r="D56" i="56"/>
  <c r="D61" i="27"/>
  <c r="E61" i="27" s="1"/>
  <c r="D60" i="24"/>
  <c r="E60" i="24" s="1"/>
  <c r="H53" i="76"/>
  <c r="F53" i="76"/>
  <c r="B53" i="76"/>
  <c r="E58" i="74"/>
  <c r="D58" i="74"/>
  <c r="E56" i="57"/>
  <c r="D56" i="57"/>
  <c r="I136" i="42"/>
  <c r="H136" i="42"/>
  <c r="D54" i="65"/>
  <c r="E54" i="65"/>
  <c r="F58" i="42"/>
  <c r="B58" i="42"/>
  <c r="F56" i="72"/>
  <c r="H56" i="72" s="1"/>
  <c r="B56" i="72"/>
  <c r="G56" i="72"/>
  <c r="H49" i="99"/>
  <c r="I49" i="99" s="1"/>
  <c r="D50" i="99"/>
  <c r="E50" i="99"/>
  <c r="D61" i="69"/>
  <c r="E61" i="69" s="1"/>
  <c r="H57" i="44"/>
  <c r="I57" i="44" s="1"/>
  <c r="E58" i="44"/>
  <c r="D58" i="44"/>
  <c r="F52" i="85"/>
  <c r="G52" i="85" s="1"/>
  <c r="B52" i="85"/>
  <c r="B60" i="23"/>
  <c r="I51" i="81"/>
  <c r="J129" i="89"/>
  <c r="G52" i="79"/>
  <c r="I52" i="79" s="1"/>
  <c r="E53" i="79"/>
  <c r="D53" i="79"/>
  <c r="I136" i="43"/>
  <c r="J136" i="43" s="1"/>
  <c r="H136" i="43"/>
  <c r="H58" i="20"/>
  <c r="I130" i="97"/>
  <c r="H130" i="97"/>
  <c r="I57" i="73"/>
  <c r="B50" i="97"/>
  <c r="F50" i="97"/>
  <c r="H50" i="97" s="1"/>
  <c r="H54" i="60"/>
  <c r="J130" i="26"/>
  <c r="G56" i="45"/>
  <c r="E56" i="53"/>
  <c r="D56" i="53"/>
  <c r="D60" i="34"/>
  <c r="E60" i="34"/>
  <c r="F60" i="34" s="1"/>
  <c r="D52" i="92"/>
  <c r="E52" i="92"/>
  <c r="H59" i="24"/>
  <c r="I59" i="24" s="1"/>
  <c r="H57" i="74"/>
  <c r="F50" i="98"/>
  <c r="H50" i="98" s="1"/>
  <c r="B50" i="98"/>
  <c r="D56" i="58"/>
  <c r="E56" i="58"/>
  <c r="G54" i="63"/>
  <c r="G53" i="66"/>
  <c r="E60" i="23"/>
  <c r="F60" i="23" s="1"/>
  <c r="H55" i="46"/>
  <c r="I55" i="46" s="1"/>
  <c r="D56" i="46"/>
  <c r="E56" i="46"/>
  <c r="J129" i="84"/>
  <c r="H50" i="25"/>
  <c r="D60" i="31"/>
  <c r="E60" i="31" s="1"/>
  <c r="F60" i="31" s="1"/>
  <c r="G58" i="20"/>
  <c r="F131" i="97"/>
  <c r="B131" i="97"/>
  <c r="G51" i="83"/>
  <c r="I51" i="83" s="1"/>
  <c r="E52" i="84"/>
  <c r="D52" i="84"/>
  <c r="H57" i="41"/>
  <c r="I57" i="41" s="1"/>
  <c r="D58" i="41"/>
  <c r="E58" i="41"/>
  <c r="E58" i="73"/>
  <c r="D58" i="73"/>
  <c r="H55" i="56"/>
  <c r="I55" i="56" s="1"/>
  <c r="D50" i="95"/>
  <c r="E50" i="95"/>
  <c r="G54" i="60"/>
  <c r="H61" i="28"/>
  <c r="I61" i="28" s="1"/>
  <c r="D62" i="28"/>
  <c r="I53" i="33"/>
  <c r="E54" i="67"/>
  <c r="D54" i="67"/>
  <c r="I59" i="34"/>
  <c r="H60" i="27"/>
  <c r="I60" i="27" s="1"/>
  <c r="G51" i="82"/>
  <c r="I51" i="82" s="1"/>
  <c r="I51" i="92"/>
  <c r="F59" i="3"/>
  <c r="D60" i="3" s="1"/>
  <c r="B59" i="3"/>
  <c r="G57" i="74"/>
  <c r="G55" i="57"/>
  <c r="I55" i="57" s="1"/>
  <c r="G53" i="65"/>
  <c r="I53" i="65" s="1"/>
  <c r="I55" i="58"/>
  <c r="G53" i="68"/>
  <c r="I53" i="68" s="1"/>
  <c r="H54" i="63"/>
  <c r="I54" i="63" s="1"/>
  <c r="G60" i="69"/>
  <c r="I60" i="69" s="1"/>
  <c r="H53" i="66"/>
  <c r="I53" i="66" s="1"/>
  <c r="E132" i="33"/>
  <c r="F132" i="33" s="1"/>
  <c r="B132" i="33"/>
  <c r="B52" i="81"/>
  <c r="F52" i="81"/>
  <c r="D55" i="26"/>
  <c r="E55" i="26" s="1"/>
  <c r="F55" i="26" s="1"/>
  <c r="D56" i="26" s="1"/>
  <c r="H54" i="26"/>
  <c r="G54" i="26"/>
  <c r="D60" i="19"/>
  <c r="E60" i="19" s="1"/>
  <c r="F60" i="19" s="1"/>
  <c r="D61" i="19" s="1"/>
  <c r="F52" i="80"/>
  <c r="H52" i="80" s="1"/>
  <c r="B52" i="80"/>
  <c r="F58" i="43"/>
  <c r="B58" i="43"/>
  <c r="G55" i="61"/>
  <c r="D56" i="61"/>
  <c r="E56" i="61"/>
  <c r="H58" i="17"/>
  <c r="D59" i="17"/>
  <c r="E59" i="17" s="1"/>
  <c r="G139" i="31"/>
  <c r="D140" i="31"/>
  <c r="E140" i="31"/>
  <c r="E62" i="71"/>
  <c r="F62" i="71" s="1"/>
  <c r="B62" i="71"/>
  <c r="I51" i="88"/>
  <c r="B63" i="70"/>
  <c r="F63" i="70"/>
  <c r="G63" i="70" s="1"/>
  <c r="I60" i="71"/>
  <c r="H59" i="19"/>
  <c r="D56" i="64"/>
  <c r="E56" i="64"/>
  <c r="J138" i="31"/>
  <c r="F56" i="55"/>
  <c r="G56" i="55" s="1"/>
  <c r="B56" i="55"/>
  <c r="E52" i="91"/>
  <c r="D52" i="91"/>
  <c r="H55" i="59"/>
  <c r="I55" i="59" s="1"/>
  <c r="E56" i="59"/>
  <c r="D56" i="59"/>
  <c r="H55" i="61"/>
  <c r="I55" i="61" s="1"/>
  <c r="G61" i="71"/>
  <c r="I61" i="71" s="1"/>
  <c r="J134" i="53"/>
  <c r="J132" i="65"/>
  <c r="G58" i="17"/>
  <c r="I58" i="17" s="1"/>
  <c r="G59" i="19"/>
  <c r="G55" i="64"/>
  <c r="I55" i="64" s="1"/>
  <c r="I51" i="80"/>
  <c r="B52" i="86"/>
  <c r="F52" i="86"/>
  <c r="J139" i="69"/>
  <c r="G143" i="70"/>
  <c r="D144" i="70"/>
  <c r="E144" i="70"/>
  <c r="J137" i="3"/>
  <c r="J136" i="39"/>
  <c r="J134" i="60"/>
  <c r="J130" i="99"/>
  <c r="J155" i="99" s="1"/>
  <c r="J130" i="83"/>
  <c r="J155" i="83" s="1"/>
  <c r="J133" i="64"/>
  <c r="J129" i="96"/>
  <c r="J137" i="21"/>
  <c r="G135" i="60"/>
  <c r="D136" i="60"/>
  <c r="E136" i="60"/>
  <c r="J137" i="22"/>
  <c r="J137" i="18"/>
  <c r="J129" i="91"/>
  <c r="H141" i="17"/>
  <c r="I141" i="17"/>
  <c r="J141" i="17" s="1"/>
  <c r="J136" i="74"/>
  <c r="J131" i="77"/>
  <c r="J135" i="45"/>
  <c r="J136" i="41"/>
  <c r="J138" i="24"/>
  <c r="E142" i="17"/>
  <c r="F142" i="17"/>
  <c r="B142" i="17"/>
  <c r="D136" i="54"/>
  <c r="G135" i="54"/>
  <c r="E136" i="54"/>
  <c r="G137" i="39"/>
  <c r="D138" i="39"/>
  <c r="E138" i="39"/>
  <c r="F61" i="30"/>
  <c r="G61" i="30" s="1"/>
  <c r="B61" i="30"/>
  <c r="F143" i="29"/>
  <c r="B143" i="29"/>
  <c r="F59" i="21"/>
  <c r="B59" i="21"/>
  <c r="G137" i="55"/>
  <c r="D138" i="55"/>
  <c r="E138" i="55"/>
  <c r="J136" i="55"/>
  <c r="H53" i="78"/>
  <c r="B53" i="78"/>
  <c r="G53" i="78"/>
  <c r="F53" i="78"/>
  <c r="F134" i="78"/>
  <c r="B134" i="78"/>
  <c r="I49" i="96"/>
  <c r="J133" i="75"/>
  <c r="D131" i="91"/>
  <c r="G130" i="91"/>
  <c r="E131" i="91"/>
  <c r="D131" i="96"/>
  <c r="G130" i="96"/>
  <c r="E131" i="96"/>
  <c r="D137" i="62"/>
  <c r="G136" i="62"/>
  <c r="E137" i="62"/>
  <c r="I135" i="67"/>
  <c r="H135" i="67"/>
  <c r="F139" i="34"/>
  <c r="B139" i="34"/>
  <c r="D142" i="20"/>
  <c r="E142" i="20" s="1"/>
  <c r="G141" i="20"/>
  <c r="D136" i="72"/>
  <c r="G135" i="72"/>
  <c r="E136" i="72"/>
  <c r="H134" i="63"/>
  <c r="I134" i="63"/>
  <c r="I50" i="25"/>
  <c r="D136" i="46"/>
  <c r="G135" i="46"/>
  <c r="E136" i="46"/>
  <c r="D131" i="89"/>
  <c r="G130" i="89"/>
  <c r="E131" i="89"/>
  <c r="B50" i="96"/>
  <c r="F50" i="96"/>
  <c r="H50" i="96" s="1"/>
  <c r="H133" i="78"/>
  <c r="I133" i="78"/>
  <c r="G135" i="57"/>
  <c r="D136" i="57"/>
  <c r="E136" i="57"/>
  <c r="B133" i="13"/>
  <c r="D139" i="22"/>
  <c r="G138" i="22"/>
  <c r="E139" i="22"/>
  <c r="B59" i="18"/>
  <c r="F59" i="18"/>
  <c r="G59" i="18" s="1"/>
  <c r="B58" i="39"/>
  <c r="F58" i="39"/>
  <c r="G58" i="39" s="1"/>
  <c r="B134" i="66"/>
  <c r="F134" i="66"/>
  <c r="D132" i="99"/>
  <c r="G131" i="99"/>
  <c r="E132" i="99"/>
  <c r="B135" i="63"/>
  <c r="F135" i="63"/>
  <c r="D131" i="92"/>
  <c r="G130" i="92"/>
  <c r="E131" i="92"/>
  <c r="D141" i="69"/>
  <c r="G140" i="69"/>
  <c r="E141" i="69"/>
  <c r="J129" i="88"/>
  <c r="G134" i="61"/>
  <c r="D135" i="61"/>
  <c r="E135" i="61"/>
  <c r="H140" i="23"/>
  <c r="I140" i="23"/>
  <c r="F136" i="67"/>
  <c r="B136" i="67"/>
  <c r="H138" i="34"/>
  <c r="I138" i="34"/>
  <c r="J138" i="32"/>
  <c r="D140" i="32"/>
  <c r="G139" i="32"/>
  <c r="E140" i="32"/>
  <c r="D133" i="77"/>
  <c r="G132" i="77"/>
  <c r="E133" i="77"/>
  <c r="D51" i="25"/>
  <c r="E51" i="25" s="1"/>
  <c r="J129" i="86"/>
  <c r="G134" i="59"/>
  <c r="D135" i="59"/>
  <c r="E135" i="59"/>
  <c r="D139" i="21"/>
  <c r="G138" i="21"/>
  <c r="E139" i="21"/>
  <c r="J133" i="59"/>
  <c r="B52" i="88"/>
  <c r="F52" i="88"/>
  <c r="H52" i="88" s="1"/>
  <c r="G130" i="88"/>
  <c r="D131" i="88"/>
  <c r="E131" i="88"/>
  <c r="F51" i="89"/>
  <c r="H51" i="89" s="1"/>
  <c r="B51" i="89"/>
  <c r="H142" i="29"/>
  <c r="I142" i="29"/>
  <c r="J142" i="29" s="1"/>
  <c r="F141" i="23"/>
  <c r="B141" i="23"/>
  <c r="F59" i="22"/>
  <c r="H59" i="22" s="1"/>
  <c r="B59" i="22"/>
  <c r="B53" i="75"/>
  <c r="F53" i="75"/>
  <c r="H53" i="75" s="1"/>
  <c r="D131" i="90"/>
  <c r="G130" i="90"/>
  <c r="E131" i="90"/>
  <c r="D140" i="71"/>
  <c r="G139" i="71"/>
  <c r="E140" i="71"/>
  <c r="B56" i="54"/>
  <c r="F56" i="54"/>
  <c r="G56" i="54" s="1"/>
  <c r="G135" i="56"/>
  <c r="D136" i="56"/>
  <c r="E136" i="56"/>
  <c r="D137" i="45"/>
  <c r="G136" i="45"/>
  <c r="E137" i="45"/>
  <c r="E134" i="85"/>
  <c r="G133" i="85"/>
  <c r="D134" i="85"/>
  <c r="B55" i="62"/>
  <c r="F55" i="62"/>
  <c r="G55" i="62" s="1"/>
  <c r="D131" i="98"/>
  <c r="G130" i="98"/>
  <c r="E131" i="98"/>
  <c r="H50" i="100"/>
  <c r="B50" i="100"/>
  <c r="F50" i="100"/>
  <c r="G50" i="100" s="1"/>
  <c r="H132" i="13"/>
  <c r="I132" i="13"/>
  <c r="G132" i="76"/>
  <c r="D133" i="76"/>
  <c r="E133" i="76"/>
  <c r="D136" i="53"/>
  <c r="G135" i="53"/>
  <c r="E136" i="53"/>
  <c r="D140" i="24"/>
  <c r="G139" i="24"/>
  <c r="E140" i="24"/>
  <c r="B139" i="19"/>
  <c r="F139" i="19"/>
  <c r="J129" i="98"/>
  <c r="J136" i="73"/>
  <c r="G133" i="68"/>
  <c r="D134" i="68"/>
  <c r="E134" i="68"/>
  <c r="D141" i="30"/>
  <c r="G140" i="30"/>
  <c r="D132" i="100"/>
  <c r="G131" i="100"/>
  <c r="E132" i="100"/>
  <c r="F51" i="87"/>
  <c r="B51" i="87"/>
  <c r="H51" i="87"/>
  <c r="G141" i="28"/>
  <c r="D142" i="28"/>
  <c r="E142" i="28"/>
  <c r="B61" i="29"/>
  <c r="F61" i="29"/>
  <c r="D132" i="80"/>
  <c r="G131" i="80"/>
  <c r="E132" i="80"/>
  <c r="J133" i="61"/>
  <c r="G137" i="74"/>
  <c r="D138" i="74"/>
  <c r="E138" i="74"/>
  <c r="J134" i="46"/>
  <c r="G137" i="41"/>
  <c r="D138" i="41"/>
  <c r="E138" i="41"/>
  <c r="H138" i="19"/>
  <c r="I138" i="19"/>
  <c r="G137" i="73"/>
  <c r="D138" i="73"/>
  <c r="E138" i="73"/>
  <c r="G134" i="64"/>
  <c r="D135" i="64"/>
  <c r="E135" i="64"/>
  <c r="G134" i="75"/>
  <c r="D135" i="75"/>
  <c r="E135" i="75"/>
  <c r="G132" i="79"/>
  <c r="D133" i="79"/>
  <c r="E133" i="79"/>
  <c r="G131" i="81"/>
  <c r="D132" i="81"/>
  <c r="E132" i="81"/>
  <c r="J132" i="68"/>
  <c r="E133" i="13"/>
  <c r="F133" i="13" s="1"/>
  <c r="D131" i="86"/>
  <c r="G130" i="86"/>
  <c r="E131" i="86"/>
  <c r="G131" i="83"/>
  <c r="D132" i="83"/>
  <c r="E132" i="83"/>
  <c r="G130" i="84"/>
  <c r="D131" i="84"/>
  <c r="E131" i="84"/>
  <c r="D139" i="18"/>
  <c r="G138" i="18"/>
  <c r="E139" i="18"/>
  <c r="B54" i="13"/>
  <c r="F54" i="13"/>
  <c r="H54" i="13" s="1"/>
  <c r="I60" i="30"/>
  <c r="B60" i="32"/>
  <c r="F60" i="32"/>
  <c r="H60" i="32" s="1"/>
  <c r="B51" i="90"/>
  <c r="F51" i="90"/>
  <c r="J138" i="71"/>
  <c r="J129" i="90"/>
  <c r="G135" i="58"/>
  <c r="D136" i="58"/>
  <c r="E136" i="58"/>
  <c r="G138" i="3"/>
  <c r="D139" i="3"/>
  <c r="E139" i="3"/>
  <c r="G140" i="27"/>
  <c r="D141" i="27"/>
  <c r="E141" i="27"/>
  <c r="D134" i="65"/>
  <c r="G133" i="65"/>
  <c r="E134" i="65"/>
  <c r="H133" i="66"/>
  <c r="I133" i="66"/>
  <c r="G133" i="82"/>
  <c r="D134" i="82"/>
  <c r="E134" i="82"/>
  <c r="J134" i="72"/>
  <c r="E61" i="19" l="1"/>
  <c r="F61" i="19"/>
  <c r="G61" i="19" s="1"/>
  <c r="B61" i="19"/>
  <c r="H59" i="3"/>
  <c r="I130" i="87"/>
  <c r="H130" i="87"/>
  <c r="G52" i="80"/>
  <c r="I52" i="80" s="1"/>
  <c r="H52" i="85"/>
  <c r="I52" i="85" s="1"/>
  <c r="H131" i="95"/>
  <c r="I131" i="95"/>
  <c r="B131" i="87"/>
  <c r="F131" i="87"/>
  <c r="E133" i="25"/>
  <c r="B133" i="25"/>
  <c r="F133" i="25"/>
  <c r="G54" i="33"/>
  <c r="H54" i="33"/>
  <c r="I54" i="33" s="1"/>
  <c r="D55" i="33"/>
  <c r="F132" i="95"/>
  <c r="B132" i="95"/>
  <c r="I132" i="25"/>
  <c r="J132" i="25" s="1"/>
  <c r="H132" i="25"/>
  <c r="H55" i="62"/>
  <c r="J136" i="42"/>
  <c r="D61" i="23"/>
  <c r="E61" i="23" s="1"/>
  <c r="H60" i="23"/>
  <c r="I60" i="23" s="1"/>
  <c r="G60" i="23"/>
  <c r="G132" i="33"/>
  <c r="D133" i="33"/>
  <c r="D53" i="81"/>
  <c r="E53" i="81"/>
  <c r="E60" i="3"/>
  <c r="B60" i="3"/>
  <c r="F60" i="3"/>
  <c r="H60" i="3" s="1"/>
  <c r="E62" i="28"/>
  <c r="F62" i="28" s="1"/>
  <c r="B62" i="28"/>
  <c r="B50" i="95"/>
  <c r="F50" i="95"/>
  <c r="H50" i="95" s="1"/>
  <c r="B56" i="58"/>
  <c r="F56" i="58"/>
  <c r="D51" i="98"/>
  <c r="E51" i="98"/>
  <c r="F52" i="92"/>
  <c r="G52" i="92" s="1"/>
  <c r="B52" i="92"/>
  <c r="F58" i="74"/>
  <c r="H58" i="74"/>
  <c r="B58" i="74"/>
  <c r="E54" i="76"/>
  <c r="D54" i="76"/>
  <c r="F54" i="68"/>
  <c r="H54" i="68" s="1"/>
  <c r="B54" i="68"/>
  <c r="I137" i="44"/>
  <c r="J137" i="44" s="1"/>
  <c r="H137" i="44"/>
  <c r="H56" i="54"/>
  <c r="F54" i="67"/>
  <c r="G54" i="67" s="1"/>
  <c r="B54" i="67"/>
  <c r="F58" i="41"/>
  <c r="G58" i="41" s="1"/>
  <c r="B58" i="41"/>
  <c r="D61" i="31"/>
  <c r="E61" i="31" s="1"/>
  <c r="F61" i="31" s="1"/>
  <c r="D62" i="31" s="1"/>
  <c r="I57" i="74"/>
  <c r="D61" i="34"/>
  <c r="E61" i="34" s="1"/>
  <c r="G50" i="97"/>
  <c r="I50" i="97" s="1"/>
  <c r="E51" i="97"/>
  <c r="D51" i="97"/>
  <c r="B50" i="99"/>
  <c r="F50" i="99"/>
  <c r="H50" i="99" s="1"/>
  <c r="H58" i="42"/>
  <c r="D59" i="42"/>
  <c r="E59" i="42"/>
  <c r="B61" i="27"/>
  <c r="F61" i="27"/>
  <c r="G61" i="27" s="1"/>
  <c r="B52" i="83"/>
  <c r="F52" i="83"/>
  <c r="H52" i="83" s="1"/>
  <c r="G52" i="83"/>
  <c r="B54" i="66"/>
  <c r="F54" i="66"/>
  <c r="H54" i="66" s="1"/>
  <c r="B138" i="44"/>
  <c r="F138" i="44"/>
  <c r="B52" i="82"/>
  <c r="F52" i="82"/>
  <c r="H52" i="82"/>
  <c r="G52" i="82"/>
  <c r="G53" i="77"/>
  <c r="E54" i="77"/>
  <c r="D54" i="77"/>
  <c r="F57" i="45"/>
  <c r="G57" i="45" s="1"/>
  <c r="B57" i="45"/>
  <c r="I131" i="26"/>
  <c r="H131" i="26"/>
  <c r="H52" i="81"/>
  <c r="F58" i="73"/>
  <c r="G58" i="73" s="1"/>
  <c r="B58" i="73"/>
  <c r="H58" i="73"/>
  <c r="B60" i="31"/>
  <c r="H60" i="31"/>
  <c r="G60" i="31"/>
  <c r="B56" i="46"/>
  <c r="F56" i="46"/>
  <c r="G56" i="46" s="1"/>
  <c r="H56" i="46"/>
  <c r="B60" i="34"/>
  <c r="G60" i="34"/>
  <c r="H60" i="34"/>
  <c r="J130" i="97"/>
  <c r="J155" i="97" s="1"/>
  <c r="B53" i="79"/>
  <c r="F53" i="79"/>
  <c r="G53" i="79" s="1"/>
  <c r="H53" i="79"/>
  <c r="E53" i="85"/>
  <c r="D53" i="85"/>
  <c r="D57" i="72"/>
  <c r="E57" i="72"/>
  <c r="B56" i="57"/>
  <c r="F56" i="57"/>
  <c r="G56" i="57" s="1"/>
  <c r="G53" i="76"/>
  <c r="I53" i="76" s="1"/>
  <c r="B56" i="56"/>
  <c r="F56" i="56"/>
  <c r="G56" i="56" s="1"/>
  <c r="I56" i="56" s="1"/>
  <c r="H56" i="56"/>
  <c r="J131" i="33"/>
  <c r="G137" i="42"/>
  <c r="D138" i="42"/>
  <c r="E138" i="42"/>
  <c r="I56" i="45"/>
  <c r="H61" i="19"/>
  <c r="G52" i="81"/>
  <c r="G59" i="3"/>
  <c r="I59" i="3" s="1"/>
  <c r="B52" i="84"/>
  <c r="F52" i="84"/>
  <c r="G52" i="84" s="1"/>
  <c r="G131" i="97"/>
  <c r="E132" i="97"/>
  <c r="D132" i="97"/>
  <c r="G50" i="98"/>
  <c r="I50" i="98" s="1"/>
  <c r="B56" i="53"/>
  <c r="F56" i="53"/>
  <c r="G56" i="53" s="1"/>
  <c r="I54" i="60"/>
  <c r="I58" i="20"/>
  <c r="F58" i="44"/>
  <c r="G58" i="44" s="1"/>
  <c r="B58" i="44"/>
  <c r="B61" i="69"/>
  <c r="F61" i="69"/>
  <c r="H61" i="69" s="1"/>
  <c r="I56" i="72"/>
  <c r="G58" i="42"/>
  <c r="F54" i="65"/>
  <c r="B54" i="65"/>
  <c r="G54" i="65"/>
  <c r="F60" i="24"/>
  <c r="G60" i="24" s="1"/>
  <c r="B60" i="24"/>
  <c r="H60" i="24"/>
  <c r="B59" i="20"/>
  <c r="F59" i="20"/>
  <c r="H59" i="20"/>
  <c r="G59" i="20"/>
  <c r="B55" i="63"/>
  <c r="F55" i="63"/>
  <c r="G55" i="63"/>
  <c r="H53" i="77"/>
  <c r="I53" i="77" s="1"/>
  <c r="B55" i="60"/>
  <c r="F55" i="60"/>
  <c r="H55" i="60"/>
  <c r="D138" i="43"/>
  <c r="E138" i="43"/>
  <c r="G137" i="43"/>
  <c r="E132" i="26"/>
  <c r="F132" i="26" s="1"/>
  <c r="G62" i="71"/>
  <c r="D63" i="71"/>
  <c r="E63" i="71" s="1"/>
  <c r="H62" i="71"/>
  <c r="I55" i="62"/>
  <c r="G53" i="75"/>
  <c r="I53" i="75" s="1"/>
  <c r="B52" i="91"/>
  <c r="F52" i="91"/>
  <c r="G52" i="91" s="1"/>
  <c r="D64" i="70"/>
  <c r="E64" i="70" s="1"/>
  <c r="C68" i="17"/>
  <c r="B59" i="17"/>
  <c r="F59" i="17"/>
  <c r="H59" i="17"/>
  <c r="F56" i="61"/>
  <c r="G56" i="61" s="1"/>
  <c r="B56" i="61"/>
  <c r="D59" i="43"/>
  <c r="E59" i="43"/>
  <c r="I54" i="26"/>
  <c r="I56" i="54"/>
  <c r="H58" i="39"/>
  <c r="I58" i="39" s="1"/>
  <c r="I53" i="78"/>
  <c r="B56" i="59"/>
  <c r="F56" i="59"/>
  <c r="H56" i="55"/>
  <c r="I56" i="55" s="1"/>
  <c r="E57" i="55"/>
  <c r="D57" i="55"/>
  <c r="I59" i="19"/>
  <c r="H63" i="70"/>
  <c r="I63" i="70" s="1"/>
  <c r="F140" i="31"/>
  <c r="B140" i="31"/>
  <c r="G58" i="43"/>
  <c r="E56" i="26"/>
  <c r="F56" i="26" s="1"/>
  <c r="H56" i="26" s="1"/>
  <c r="B56" i="26"/>
  <c r="I61" i="19"/>
  <c r="H52" i="86"/>
  <c r="E53" i="86"/>
  <c r="D53" i="86"/>
  <c r="G54" i="13"/>
  <c r="I54" i="13" s="1"/>
  <c r="G60" i="32"/>
  <c r="G52" i="86"/>
  <c r="I52" i="86" s="1"/>
  <c r="B56" i="64"/>
  <c r="F56" i="64"/>
  <c r="H139" i="31"/>
  <c r="I139" i="31"/>
  <c r="H58" i="43"/>
  <c r="I58" i="43" s="1"/>
  <c r="E53" i="80"/>
  <c r="D53" i="80"/>
  <c r="B60" i="19"/>
  <c r="H60" i="19"/>
  <c r="G60" i="19"/>
  <c r="B55" i="26"/>
  <c r="H55" i="26"/>
  <c r="G55" i="26"/>
  <c r="F136" i="60"/>
  <c r="B136" i="60"/>
  <c r="H135" i="60"/>
  <c r="I135" i="60"/>
  <c r="J133" i="66"/>
  <c r="J133" i="78"/>
  <c r="D143" i="17"/>
  <c r="G142" i="17"/>
  <c r="F144" i="70"/>
  <c r="B144" i="70"/>
  <c r="H143" i="70"/>
  <c r="I143" i="70"/>
  <c r="J138" i="19"/>
  <c r="G133" i="13"/>
  <c r="D134" i="13"/>
  <c r="E134" i="13" s="1"/>
  <c r="B131" i="86"/>
  <c r="F131" i="86"/>
  <c r="H137" i="73"/>
  <c r="I137" i="73"/>
  <c r="J137" i="73" s="1"/>
  <c r="D62" i="29"/>
  <c r="F137" i="62"/>
  <c r="B137" i="62"/>
  <c r="E60" i="21"/>
  <c r="D60" i="21"/>
  <c r="H61" i="29"/>
  <c r="B136" i="46"/>
  <c r="F136" i="46"/>
  <c r="H59" i="21"/>
  <c r="D61" i="32"/>
  <c r="E61" i="32" s="1"/>
  <c r="F134" i="68"/>
  <c r="B134" i="68"/>
  <c r="D60" i="22"/>
  <c r="E60" i="22" s="1"/>
  <c r="J135" i="67"/>
  <c r="F134" i="82"/>
  <c r="B134" i="82"/>
  <c r="F133" i="79"/>
  <c r="B133" i="79"/>
  <c r="H137" i="41"/>
  <c r="I137" i="41"/>
  <c r="H133" i="68"/>
  <c r="I133" i="68"/>
  <c r="H135" i="53"/>
  <c r="I135" i="53"/>
  <c r="H132" i="76"/>
  <c r="I132" i="76"/>
  <c r="H130" i="98"/>
  <c r="I130" i="98"/>
  <c r="G51" i="89"/>
  <c r="I51" i="89" s="1"/>
  <c r="B131" i="88"/>
  <c r="F131" i="88"/>
  <c r="J138" i="34"/>
  <c r="D62" i="19"/>
  <c r="E62" i="19" s="1"/>
  <c r="B131" i="92"/>
  <c r="F131" i="92"/>
  <c r="G134" i="66"/>
  <c r="E135" i="66"/>
  <c r="D135" i="66"/>
  <c r="F139" i="22"/>
  <c r="B139" i="22"/>
  <c r="B142" i="20"/>
  <c r="F142" i="20"/>
  <c r="B131" i="96"/>
  <c r="F131" i="96"/>
  <c r="D144" i="29"/>
  <c r="E144" i="29"/>
  <c r="G143" i="29"/>
  <c r="F141" i="69"/>
  <c r="B141" i="69"/>
  <c r="D51" i="96"/>
  <c r="E51" i="96"/>
  <c r="B135" i="75"/>
  <c r="F135" i="75"/>
  <c r="E140" i="19"/>
  <c r="G139" i="19"/>
  <c r="D140" i="19"/>
  <c r="H132" i="77"/>
  <c r="I132" i="77"/>
  <c r="I135" i="57"/>
  <c r="H135" i="57"/>
  <c r="H141" i="20"/>
  <c r="I141" i="20"/>
  <c r="F137" i="45"/>
  <c r="B137" i="45"/>
  <c r="F132" i="99"/>
  <c r="B132" i="99"/>
  <c r="F136" i="58"/>
  <c r="B136" i="58"/>
  <c r="D52" i="90"/>
  <c r="E52" i="90"/>
  <c r="B132" i="83"/>
  <c r="F132" i="83"/>
  <c r="H132" i="79"/>
  <c r="I132" i="79"/>
  <c r="J132" i="79" s="1"/>
  <c r="F135" i="64"/>
  <c r="B135" i="64"/>
  <c r="H139" i="24"/>
  <c r="I139" i="24"/>
  <c r="F136" i="53"/>
  <c r="B136" i="53"/>
  <c r="B131" i="98"/>
  <c r="F131" i="98"/>
  <c r="B136" i="56"/>
  <c r="F136" i="56"/>
  <c r="D54" i="75"/>
  <c r="E54" i="75"/>
  <c r="G141" i="23"/>
  <c r="D142" i="23"/>
  <c r="E142" i="23" s="1"/>
  <c r="H130" i="88"/>
  <c r="I130" i="88"/>
  <c r="H139" i="32"/>
  <c r="I139" i="32"/>
  <c r="J139" i="32" s="1"/>
  <c r="J140" i="23"/>
  <c r="E136" i="63"/>
  <c r="G135" i="63"/>
  <c r="D136" i="63"/>
  <c r="J134" i="63"/>
  <c r="B138" i="55"/>
  <c r="F138" i="55"/>
  <c r="H135" i="54"/>
  <c r="I135" i="54"/>
  <c r="H133" i="65"/>
  <c r="I133" i="65"/>
  <c r="B141" i="30"/>
  <c r="F136" i="72"/>
  <c r="B136" i="72"/>
  <c r="B131" i="90"/>
  <c r="F131" i="90"/>
  <c r="G61" i="29"/>
  <c r="H134" i="59"/>
  <c r="I134" i="59"/>
  <c r="I130" i="92"/>
  <c r="H130" i="92"/>
  <c r="H138" i="22"/>
  <c r="I138" i="22"/>
  <c r="J138" i="22" s="1"/>
  <c r="H130" i="96"/>
  <c r="I130" i="96"/>
  <c r="I134" i="64"/>
  <c r="H134" i="64"/>
  <c r="F140" i="24"/>
  <c r="B140" i="24"/>
  <c r="B134" i="85"/>
  <c r="F134" i="85"/>
  <c r="H135" i="56"/>
  <c r="I135" i="56"/>
  <c r="H139" i="71"/>
  <c r="I139" i="71"/>
  <c r="D52" i="89"/>
  <c r="E52" i="89"/>
  <c r="F140" i="32"/>
  <c r="B140" i="32"/>
  <c r="I130" i="89"/>
  <c r="H130" i="89"/>
  <c r="H130" i="91"/>
  <c r="I130" i="91"/>
  <c r="D135" i="78"/>
  <c r="G134" i="78"/>
  <c r="E135" i="78"/>
  <c r="H137" i="55"/>
  <c r="I137" i="55"/>
  <c r="F138" i="39"/>
  <c r="B138" i="39"/>
  <c r="F136" i="54"/>
  <c r="B136" i="54"/>
  <c r="B132" i="81"/>
  <c r="F132" i="81"/>
  <c r="H131" i="100"/>
  <c r="I131" i="100"/>
  <c r="F136" i="57"/>
  <c r="B136" i="57"/>
  <c r="F134" i="65"/>
  <c r="B134" i="65"/>
  <c r="F132" i="100"/>
  <c r="B132" i="100"/>
  <c r="F135" i="59"/>
  <c r="B135" i="59"/>
  <c r="D62" i="30"/>
  <c r="E62" i="30" s="1"/>
  <c r="F138" i="41"/>
  <c r="B138" i="41"/>
  <c r="F133" i="76"/>
  <c r="B133" i="76"/>
  <c r="B133" i="77"/>
  <c r="F133" i="77"/>
  <c r="I133" i="82"/>
  <c r="H133" i="82"/>
  <c r="H135" i="58"/>
  <c r="I135" i="58"/>
  <c r="I131" i="83"/>
  <c r="H131" i="83"/>
  <c r="B142" i="28"/>
  <c r="F142" i="28"/>
  <c r="F141" i="27"/>
  <c r="B141" i="27"/>
  <c r="H51" i="90"/>
  <c r="D55" i="13"/>
  <c r="E55" i="13" s="1"/>
  <c r="F131" i="84"/>
  <c r="B131" i="84"/>
  <c r="B138" i="74"/>
  <c r="F138" i="74"/>
  <c r="H131" i="80"/>
  <c r="I131" i="80"/>
  <c r="H141" i="28"/>
  <c r="I141" i="28"/>
  <c r="E141" i="30"/>
  <c r="F141" i="30" s="1"/>
  <c r="D56" i="62"/>
  <c r="E56" i="62"/>
  <c r="I133" i="85"/>
  <c r="H133" i="85"/>
  <c r="D57" i="54"/>
  <c r="E57" i="54"/>
  <c r="B140" i="71"/>
  <c r="F140" i="71"/>
  <c r="I138" i="21"/>
  <c r="H138" i="21"/>
  <c r="D59" i="39"/>
  <c r="D60" i="18"/>
  <c r="F131" i="89"/>
  <c r="B131" i="89"/>
  <c r="B131" i="91"/>
  <c r="F131" i="91"/>
  <c r="D54" i="78"/>
  <c r="E54" i="78"/>
  <c r="H137" i="39"/>
  <c r="I137" i="39"/>
  <c r="F139" i="18"/>
  <c r="B139" i="18"/>
  <c r="I130" i="90"/>
  <c r="H130" i="90"/>
  <c r="D53" i="88"/>
  <c r="E53" i="88"/>
  <c r="E137" i="67"/>
  <c r="D137" i="67"/>
  <c r="G136" i="67"/>
  <c r="H134" i="61"/>
  <c r="I134" i="61"/>
  <c r="J134" i="61" s="1"/>
  <c r="H135" i="46"/>
  <c r="I135" i="46"/>
  <c r="J135" i="46" s="1"/>
  <c r="B139" i="3"/>
  <c r="F139" i="3"/>
  <c r="I60" i="32"/>
  <c r="H131" i="81"/>
  <c r="I131" i="81"/>
  <c r="I50" i="100"/>
  <c r="I136" i="45"/>
  <c r="H136" i="45"/>
  <c r="I131" i="99"/>
  <c r="H131" i="99"/>
  <c r="G50" i="96"/>
  <c r="I50" i="96" s="1"/>
  <c r="H138" i="3"/>
  <c r="I138" i="3"/>
  <c r="H134" i="75"/>
  <c r="I134" i="75"/>
  <c r="J134" i="75" s="1"/>
  <c r="E52" i="87"/>
  <c r="D52" i="87"/>
  <c r="H140" i="27"/>
  <c r="I140" i="27"/>
  <c r="G51" i="90"/>
  <c r="H138" i="18"/>
  <c r="I138" i="18"/>
  <c r="I130" i="84"/>
  <c r="H130" i="84"/>
  <c r="H130" i="86"/>
  <c r="I130" i="86"/>
  <c r="F138" i="73"/>
  <c r="B138" i="73"/>
  <c r="H137" i="74"/>
  <c r="I137" i="74"/>
  <c r="B132" i="80"/>
  <c r="F132" i="80"/>
  <c r="G51" i="87"/>
  <c r="I51" i="87" s="1"/>
  <c r="H140" i="30"/>
  <c r="I140" i="30"/>
  <c r="E51" i="100"/>
  <c r="D51" i="100"/>
  <c r="G59" i="22"/>
  <c r="I59" i="22" s="1"/>
  <c r="G52" i="88"/>
  <c r="I52" i="88" s="1"/>
  <c r="B139" i="21"/>
  <c r="F139" i="21"/>
  <c r="B51" i="25"/>
  <c r="F51" i="25"/>
  <c r="G51" i="25" s="1"/>
  <c r="B135" i="61"/>
  <c r="F135" i="61"/>
  <c r="H140" i="69"/>
  <c r="I140" i="69"/>
  <c r="J140" i="69" s="1"/>
  <c r="H59" i="18"/>
  <c r="I59" i="18" s="1"/>
  <c r="H135" i="72"/>
  <c r="I135" i="72"/>
  <c r="G139" i="34"/>
  <c r="D140" i="34"/>
  <c r="E140" i="34"/>
  <c r="I136" i="62"/>
  <c r="H136" i="62"/>
  <c r="G59" i="21"/>
  <c r="H61" i="30"/>
  <c r="I61" i="30" s="1"/>
  <c r="H56" i="61" l="1"/>
  <c r="I56" i="61" s="1"/>
  <c r="I58" i="42"/>
  <c r="H56" i="53"/>
  <c r="I56" i="53" s="1"/>
  <c r="I54" i="66"/>
  <c r="E133" i="95"/>
  <c r="G132" i="95"/>
  <c r="D133" i="95"/>
  <c r="D134" i="25"/>
  <c r="G133" i="25"/>
  <c r="I58" i="73"/>
  <c r="I52" i="82"/>
  <c r="H61" i="27"/>
  <c r="E55" i="33"/>
  <c r="F55" i="33" s="1"/>
  <c r="B55" i="33"/>
  <c r="I53" i="79"/>
  <c r="J130" i="87"/>
  <c r="J155" i="87" s="1"/>
  <c r="I60" i="31"/>
  <c r="J131" i="26"/>
  <c r="G54" i="66"/>
  <c r="I52" i="83"/>
  <c r="G131" i="87"/>
  <c r="D132" i="87"/>
  <c r="E132" i="87"/>
  <c r="I137" i="43"/>
  <c r="H137" i="43"/>
  <c r="D56" i="60"/>
  <c r="E56" i="60"/>
  <c r="I59" i="20"/>
  <c r="G61" i="69"/>
  <c r="I61" i="69" s="1"/>
  <c r="H58" i="44"/>
  <c r="I58" i="44" s="1"/>
  <c r="E57" i="53"/>
  <c r="D57" i="53"/>
  <c r="H52" i="84"/>
  <c r="I52" i="84" s="1"/>
  <c r="I137" i="42"/>
  <c r="H137" i="42"/>
  <c r="E57" i="56"/>
  <c r="D57" i="56"/>
  <c r="D57" i="57"/>
  <c r="E57" i="57"/>
  <c r="B57" i="72"/>
  <c r="F57" i="72"/>
  <c r="B54" i="77"/>
  <c r="G54" i="77"/>
  <c r="H54" i="77"/>
  <c r="F54" i="77"/>
  <c r="D59" i="74"/>
  <c r="E59" i="74"/>
  <c r="D53" i="92"/>
  <c r="E53" i="92"/>
  <c r="G56" i="58"/>
  <c r="E57" i="58"/>
  <c r="D57" i="58"/>
  <c r="D63" i="28"/>
  <c r="E63" i="28"/>
  <c r="B133" i="33"/>
  <c r="H55" i="63"/>
  <c r="I55" i="63" s="1"/>
  <c r="D56" i="63"/>
  <c r="E56" i="63"/>
  <c r="D60" i="20"/>
  <c r="E60" i="20"/>
  <c r="H54" i="65"/>
  <c r="I54" i="65" s="1"/>
  <c r="D55" i="65"/>
  <c r="E55" i="65"/>
  <c r="H131" i="97"/>
  <c r="I131" i="97"/>
  <c r="B53" i="85"/>
  <c r="F53" i="85"/>
  <c r="E54" i="79"/>
  <c r="D54" i="79"/>
  <c r="I60" i="34"/>
  <c r="D57" i="46"/>
  <c r="E57" i="46"/>
  <c r="E59" i="73"/>
  <c r="D59" i="73"/>
  <c r="D53" i="82"/>
  <c r="E53" i="82"/>
  <c r="G50" i="99"/>
  <c r="I50" i="99" s="1"/>
  <c r="D51" i="99"/>
  <c r="E51" i="99"/>
  <c r="H52" i="92"/>
  <c r="I52" i="92" s="1"/>
  <c r="G62" i="28"/>
  <c r="E133" i="33"/>
  <c r="F133" i="33" s="1"/>
  <c r="F138" i="43"/>
  <c r="B138" i="43"/>
  <c r="G55" i="60"/>
  <c r="D61" i="24"/>
  <c r="E61" i="24"/>
  <c r="D62" i="69"/>
  <c r="H56" i="57"/>
  <c r="I56" i="57" s="1"/>
  <c r="I52" i="81"/>
  <c r="I61" i="27"/>
  <c r="B59" i="42"/>
  <c r="F59" i="42"/>
  <c r="H59" i="42" s="1"/>
  <c r="E62" i="31"/>
  <c r="F62" i="31" s="1"/>
  <c r="B62" i="31"/>
  <c r="D59" i="41"/>
  <c r="E59" i="41"/>
  <c r="H54" i="67"/>
  <c r="I54" i="67" s="1"/>
  <c r="D55" i="67"/>
  <c r="E55" i="67"/>
  <c r="D55" i="68"/>
  <c r="E55" i="68"/>
  <c r="B51" i="98"/>
  <c r="F51" i="98"/>
  <c r="I50" i="95"/>
  <c r="H132" i="33"/>
  <c r="I132" i="33"/>
  <c r="F61" i="23"/>
  <c r="G61" i="23" s="1"/>
  <c r="H61" i="23"/>
  <c r="B61" i="23"/>
  <c r="D133" i="26"/>
  <c r="G132" i="26"/>
  <c r="I55" i="60"/>
  <c r="I60" i="24"/>
  <c r="E59" i="44"/>
  <c r="D59" i="44"/>
  <c r="B132" i="97"/>
  <c r="F132" i="97"/>
  <c r="E53" i="84"/>
  <c r="D53" i="84"/>
  <c r="B138" i="42"/>
  <c r="F138" i="42"/>
  <c r="I56" i="46"/>
  <c r="H57" i="45"/>
  <c r="I57" i="45" s="1"/>
  <c r="D58" i="45"/>
  <c r="E58" i="45"/>
  <c r="G138" i="44"/>
  <c r="D139" i="44"/>
  <c r="E139" i="44"/>
  <c r="E55" i="66"/>
  <c r="D55" i="66"/>
  <c r="E53" i="83"/>
  <c r="D53" i="83"/>
  <c r="D62" i="27"/>
  <c r="E62" i="27"/>
  <c r="F62" i="27" s="1"/>
  <c r="B51" i="97"/>
  <c r="F51" i="97"/>
  <c r="B61" i="34"/>
  <c r="F61" i="34"/>
  <c r="G61" i="34" s="1"/>
  <c r="B61" i="31"/>
  <c r="G61" i="31"/>
  <c r="H61" i="31"/>
  <c r="H58" i="41"/>
  <c r="I58" i="41" s="1"/>
  <c r="G54" i="68"/>
  <c r="I54" i="68" s="1"/>
  <c r="B54" i="76"/>
  <c r="F54" i="76"/>
  <c r="G58" i="74"/>
  <c r="I58" i="74" s="1"/>
  <c r="H56" i="58"/>
  <c r="I56" i="58" s="1"/>
  <c r="G50" i="95"/>
  <c r="E51" i="95"/>
  <c r="D51" i="95"/>
  <c r="H62" i="28"/>
  <c r="G60" i="3"/>
  <c r="I60" i="3" s="1"/>
  <c r="D61" i="3"/>
  <c r="E61" i="3"/>
  <c r="F61" i="3" s="1"/>
  <c r="D62" i="3" s="1"/>
  <c r="E62" i="3" s="1"/>
  <c r="F62" i="3" s="1"/>
  <c r="D63" i="3" s="1"/>
  <c r="B63" i="3" s="1"/>
  <c r="B53" i="81"/>
  <c r="F53" i="81"/>
  <c r="G53" i="81"/>
  <c r="J130" i="91"/>
  <c r="J155" i="91" s="1"/>
  <c r="H56" i="64"/>
  <c r="D57" i="64"/>
  <c r="E57" i="64"/>
  <c r="D57" i="26"/>
  <c r="E57" i="26" s="1"/>
  <c r="G56" i="59"/>
  <c r="E57" i="59"/>
  <c r="D57" i="59"/>
  <c r="F59" i="43"/>
  <c r="H59" i="43" s="1"/>
  <c r="B59" i="43"/>
  <c r="D57" i="61"/>
  <c r="E57" i="61"/>
  <c r="B53" i="80"/>
  <c r="F53" i="80"/>
  <c r="H53" i="80" s="1"/>
  <c r="J139" i="31"/>
  <c r="B53" i="86"/>
  <c r="F53" i="86"/>
  <c r="G53" i="86" s="1"/>
  <c r="G56" i="26"/>
  <c r="D141" i="31"/>
  <c r="G140" i="31"/>
  <c r="E141" i="31"/>
  <c r="F57" i="55"/>
  <c r="B57" i="55"/>
  <c r="G57" i="55"/>
  <c r="H56" i="59"/>
  <c r="I56" i="59" s="1"/>
  <c r="B64" i="70"/>
  <c r="F64" i="70"/>
  <c r="H64" i="70" s="1"/>
  <c r="D53" i="91"/>
  <c r="E53" i="91"/>
  <c r="F63" i="71"/>
  <c r="D64" i="71" s="1"/>
  <c r="B63" i="71"/>
  <c r="J130" i="86"/>
  <c r="J155" i="86" s="1"/>
  <c r="I56" i="26"/>
  <c r="I59" i="17"/>
  <c r="B62" i="3"/>
  <c r="H62" i="3"/>
  <c r="I55" i="26"/>
  <c r="I60" i="19"/>
  <c r="G56" i="64"/>
  <c r="I56" i="64" s="1"/>
  <c r="G59" i="17"/>
  <c r="D60" i="17"/>
  <c r="H52" i="91"/>
  <c r="I52" i="91" s="1"/>
  <c r="I62" i="71"/>
  <c r="J137" i="41"/>
  <c r="D145" i="70"/>
  <c r="E145" i="70"/>
  <c r="G144" i="70"/>
  <c r="J132" i="77"/>
  <c r="J135" i="53"/>
  <c r="H142" i="17"/>
  <c r="I142" i="17"/>
  <c r="J142" i="17" s="1"/>
  <c r="J138" i="21"/>
  <c r="B143" i="17"/>
  <c r="J135" i="60"/>
  <c r="G136" i="60"/>
  <c r="D137" i="60"/>
  <c r="E137" i="60"/>
  <c r="E143" i="17"/>
  <c r="F143" i="17" s="1"/>
  <c r="J130" i="98"/>
  <c r="J155" i="98" s="1"/>
  <c r="J135" i="72"/>
  <c r="J140" i="27"/>
  <c r="J130" i="90"/>
  <c r="J155" i="90" s="1"/>
  <c r="J137" i="39"/>
  <c r="J133" i="65"/>
  <c r="J143" i="70"/>
  <c r="J138" i="3"/>
  <c r="J130" i="92"/>
  <c r="J155" i="92" s="1"/>
  <c r="J135" i="54"/>
  <c r="J135" i="57"/>
  <c r="J132" i="76"/>
  <c r="G141" i="30"/>
  <c r="D142" i="30"/>
  <c r="E142" i="30" s="1"/>
  <c r="B135" i="66"/>
  <c r="F135" i="66"/>
  <c r="D132" i="88"/>
  <c r="G131" i="88"/>
  <c r="E132" i="88"/>
  <c r="G134" i="68"/>
  <c r="D135" i="68"/>
  <c r="E135" i="68"/>
  <c r="B62" i="29"/>
  <c r="B54" i="78"/>
  <c r="F54" i="78"/>
  <c r="H54" i="78" s="1"/>
  <c r="D137" i="56"/>
  <c r="G136" i="56"/>
  <c r="E137" i="56"/>
  <c r="D52" i="25"/>
  <c r="E52" i="25" s="1"/>
  <c r="B56" i="62"/>
  <c r="F56" i="62"/>
  <c r="G56" i="62" s="1"/>
  <c r="H56" i="62"/>
  <c r="B62" i="30"/>
  <c r="F62" i="30"/>
  <c r="H62" i="30" s="1"/>
  <c r="G62" i="30"/>
  <c r="G134" i="65"/>
  <c r="D135" i="65"/>
  <c r="E135" i="65"/>
  <c r="J137" i="55"/>
  <c r="J135" i="56"/>
  <c r="J134" i="64"/>
  <c r="F136" i="63"/>
  <c r="B136" i="63"/>
  <c r="J130" i="88"/>
  <c r="J155" i="88" s="1"/>
  <c r="F140" i="19"/>
  <c r="B140" i="19"/>
  <c r="B144" i="29"/>
  <c r="F144" i="29"/>
  <c r="E135" i="82"/>
  <c r="D135" i="82"/>
  <c r="G134" i="82"/>
  <c r="E62" i="29"/>
  <c r="F62" i="29" s="1"/>
  <c r="B59" i="39"/>
  <c r="G133" i="77"/>
  <c r="D134" i="77"/>
  <c r="E134" i="77"/>
  <c r="G136" i="72"/>
  <c r="D137" i="72"/>
  <c r="E137" i="72"/>
  <c r="D132" i="96"/>
  <c r="G131" i="96"/>
  <c r="E132" i="96"/>
  <c r="I134" i="66"/>
  <c r="H134" i="66"/>
  <c r="B53" i="88"/>
  <c r="F53" i="88"/>
  <c r="G53" i="88" s="1"/>
  <c r="G138" i="74"/>
  <c r="D139" i="74"/>
  <c r="E139" i="74"/>
  <c r="I51" i="90"/>
  <c r="G142" i="28"/>
  <c r="D143" i="28"/>
  <c r="E143" i="28"/>
  <c r="G135" i="59"/>
  <c r="D136" i="59"/>
  <c r="E136" i="59"/>
  <c r="D137" i="57"/>
  <c r="G136" i="57"/>
  <c r="E137" i="57"/>
  <c r="E135" i="85"/>
  <c r="D135" i="85"/>
  <c r="G134" i="85"/>
  <c r="J130" i="96"/>
  <c r="J155" i="96" s="1"/>
  <c r="J134" i="59"/>
  <c r="E132" i="92"/>
  <c r="D132" i="92"/>
  <c r="G131" i="92"/>
  <c r="I59" i="21"/>
  <c r="G132" i="83"/>
  <c r="D133" i="83"/>
  <c r="E133" i="83"/>
  <c r="G141" i="69"/>
  <c r="D142" i="69"/>
  <c r="E142" i="69"/>
  <c r="G140" i="71"/>
  <c r="D141" i="71"/>
  <c r="E141" i="71"/>
  <c r="D136" i="61"/>
  <c r="G135" i="61"/>
  <c r="E136" i="61"/>
  <c r="D140" i="21"/>
  <c r="G139" i="21"/>
  <c r="E140" i="21"/>
  <c r="D139" i="73"/>
  <c r="G138" i="73"/>
  <c r="E139" i="73"/>
  <c r="G131" i="89"/>
  <c r="D132" i="89"/>
  <c r="E132" i="89"/>
  <c r="I134" i="78"/>
  <c r="H134" i="78"/>
  <c r="F52" i="89"/>
  <c r="G52" i="89" s="1"/>
  <c r="B52" i="89"/>
  <c r="B142" i="23"/>
  <c r="F142" i="23"/>
  <c r="D136" i="64"/>
  <c r="G135" i="64"/>
  <c r="E136" i="64"/>
  <c r="F52" i="90"/>
  <c r="G52" i="90" s="1"/>
  <c r="B52" i="90"/>
  <c r="G142" i="20"/>
  <c r="D143" i="20"/>
  <c r="E143" i="20" s="1"/>
  <c r="B60" i="22"/>
  <c r="F60" i="22"/>
  <c r="H60" i="22" s="1"/>
  <c r="D137" i="46"/>
  <c r="G136" i="46"/>
  <c r="E137" i="46"/>
  <c r="B60" i="21"/>
  <c r="F60" i="21"/>
  <c r="H60" i="21" s="1"/>
  <c r="D132" i="86"/>
  <c r="G131" i="86"/>
  <c r="E132" i="86"/>
  <c r="G131" i="84"/>
  <c r="D132" i="84"/>
  <c r="E132" i="84"/>
  <c r="D139" i="39"/>
  <c r="G138" i="39"/>
  <c r="E139" i="39"/>
  <c r="G132" i="99"/>
  <c r="D133" i="99"/>
  <c r="E133" i="99"/>
  <c r="F61" i="32"/>
  <c r="G61" i="32" s="1"/>
  <c r="B61" i="32"/>
  <c r="F52" i="87"/>
  <c r="H52" i="87" s="1"/>
  <c r="B52" i="87"/>
  <c r="D140" i="3"/>
  <c r="G139" i="3"/>
  <c r="E140" i="3"/>
  <c r="H136" i="67"/>
  <c r="I136" i="67"/>
  <c r="J136" i="67" s="1"/>
  <c r="F57" i="54"/>
  <c r="H57" i="54" s="1"/>
  <c r="B57" i="54"/>
  <c r="G133" i="76"/>
  <c r="D134" i="76"/>
  <c r="E134" i="76"/>
  <c r="G132" i="100"/>
  <c r="E133" i="100"/>
  <c r="D133" i="100"/>
  <c r="B135" i="78"/>
  <c r="F135" i="78"/>
  <c r="I141" i="23"/>
  <c r="H141" i="23"/>
  <c r="F134" i="13"/>
  <c r="B134" i="13"/>
  <c r="E59" i="39"/>
  <c r="F59" i="39" s="1"/>
  <c r="G132" i="80"/>
  <c r="D133" i="80"/>
  <c r="E133" i="80"/>
  <c r="D139" i="55"/>
  <c r="E139" i="55"/>
  <c r="G138" i="55"/>
  <c r="H135" i="63"/>
  <c r="I135" i="63"/>
  <c r="D132" i="98"/>
  <c r="G131" i="98"/>
  <c r="E132" i="98"/>
  <c r="G137" i="45"/>
  <c r="D138" i="45"/>
  <c r="E138" i="45"/>
  <c r="I139" i="19"/>
  <c r="J139" i="19" s="1"/>
  <c r="H139" i="19"/>
  <c r="J136" i="62"/>
  <c r="F51" i="100"/>
  <c r="G51" i="100" s="1"/>
  <c r="B51" i="100"/>
  <c r="J137" i="74"/>
  <c r="J130" i="84"/>
  <c r="J155" i="84" s="1"/>
  <c r="F137" i="67"/>
  <c r="B137" i="67"/>
  <c r="B60" i="18"/>
  <c r="G132" i="81"/>
  <c r="D133" i="81"/>
  <c r="E133" i="81"/>
  <c r="G136" i="54"/>
  <c r="D137" i="54"/>
  <c r="E137" i="54"/>
  <c r="G140" i="32"/>
  <c r="D141" i="32"/>
  <c r="E141" i="32"/>
  <c r="G131" i="90"/>
  <c r="D132" i="90"/>
  <c r="E132" i="90"/>
  <c r="D137" i="53"/>
  <c r="G136" i="53"/>
  <c r="E137" i="53"/>
  <c r="G136" i="58"/>
  <c r="D137" i="58"/>
  <c r="E137" i="58"/>
  <c r="G135" i="75"/>
  <c r="E136" i="75"/>
  <c r="D136" i="75"/>
  <c r="F51" i="96"/>
  <c r="H51" i="96" s="1"/>
  <c r="B51" i="96"/>
  <c r="B62" i="19"/>
  <c r="F62" i="19"/>
  <c r="H133" i="13"/>
  <c r="I133" i="13"/>
  <c r="B140" i="34"/>
  <c r="F140" i="34"/>
  <c r="H139" i="34"/>
  <c r="I139" i="34"/>
  <c r="D140" i="18"/>
  <c r="G139" i="18"/>
  <c r="E140" i="18"/>
  <c r="D132" i="91"/>
  <c r="G131" i="91"/>
  <c r="E132" i="91"/>
  <c r="H51" i="25"/>
  <c r="I51" i="25" s="1"/>
  <c r="F55" i="13"/>
  <c r="G55" i="13" s="1"/>
  <c r="B55" i="13"/>
  <c r="J140" i="30"/>
  <c r="J138" i="18"/>
  <c r="J136" i="45"/>
  <c r="E60" i="18"/>
  <c r="F60" i="18" s="1"/>
  <c r="J141" i="28"/>
  <c r="G141" i="27"/>
  <c r="D142" i="27"/>
  <c r="E142" i="27"/>
  <c r="J135" i="58"/>
  <c r="G138" i="41"/>
  <c r="D139" i="41"/>
  <c r="E139" i="41"/>
  <c r="J130" i="89"/>
  <c r="J155" i="89" s="1"/>
  <c r="J139" i="71"/>
  <c r="G140" i="24"/>
  <c r="D141" i="24"/>
  <c r="E141" i="24"/>
  <c r="F54" i="75"/>
  <c r="G54" i="75" s="1"/>
  <c r="B54" i="75"/>
  <c r="J139" i="24"/>
  <c r="J141" i="20"/>
  <c r="H143" i="29"/>
  <c r="I143" i="29"/>
  <c r="J143" i="29" s="1"/>
  <c r="D140" i="22"/>
  <c r="G139" i="22"/>
  <c r="E140" i="22"/>
  <c r="J133" i="68"/>
  <c r="G133" i="79"/>
  <c r="D134" i="79"/>
  <c r="E134" i="79"/>
  <c r="I61" i="29"/>
  <c r="G137" i="62"/>
  <c r="D138" i="62"/>
  <c r="E138" i="62"/>
  <c r="E134" i="25" l="1"/>
  <c r="F134" i="25"/>
  <c r="B134" i="25"/>
  <c r="I64" i="70"/>
  <c r="B133" i="95"/>
  <c r="F133" i="95"/>
  <c r="G64" i="70"/>
  <c r="F132" i="87"/>
  <c r="B132" i="87"/>
  <c r="I132" i="95"/>
  <c r="H132" i="95"/>
  <c r="H131" i="87"/>
  <c r="I131" i="87"/>
  <c r="D56" i="33"/>
  <c r="G55" i="33"/>
  <c r="H55" i="33"/>
  <c r="I55" i="33" s="1"/>
  <c r="H133" i="25"/>
  <c r="I133" i="25"/>
  <c r="J133" i="25" s="1"/>
  <c r="D134" i="33"/>
  <c r="G133" i="33"/>
  <c r="D55" i="76"/>
  <c r="E55" i="76"/>
  <c r="I61" i="31"/>
  <c r="G51" i="97"/>
  <c r="E52" i="97"/>
  <c r="D52" i="97"/>
  <c r="B53" i="83"/>
  <c r="F53" i="83"/>
  <c r="H53" i="83" s="1"/>
  <c r="B58" i="45"/>
  <c r="F58" i="45"/>
  <c r="G58" i="45" s="1"/>
  <c r="E52" i="98"/>
  <c r="D52" i="98"/>
  <c r="F55" i="68"/>
  <c r="G55" i="68" s="1"/>
  <c r="B55" i="68"/>
  <c r="H62" i="31"/>
  <c r="D63" i="31"/>
  <c r="E63" i="31" s="1"/>
  <c r="F63" i="31" s="1"/>
  <c r="D64" i="31" s="1"/>
  <c r="G138" i="43"/>
  <c r="E139" i="43"/>
  <c r="D139" i="43"/>
  <c r="F53" i="82"/>
  <c r="B53" i="82"/>
  <c r="F57" i="46"/>
  <c r="H57" i="46" s="1"/>
  <c r="B57" i="46"/>
  <c r="E54" i="85"/>
  <c r="D54" i="85"/>
  <c r="H56" i="63"/>
  <c r="F56" i="63"/>
  <c r="B56" i="63"/>
  <c r="F59" i="74"/>
  <c r="H59" i="74" s="1"/>
  <c r="B59" i="74"/>
  <c r="D58" i="72"/>
  <c r="E58" i="72"/>
  <c r="B57" i="56"/>
  <c r="F57" i="56"/>
  <c r="G57" i="56" s="1"/>
  <c r="G56" i="60"/>
  <c r="B56" i="60"/>
  <c r="F56" i="60"/>
  <c r="H56" i="60"/>
  <c r="F51" i="95"/>
  <c r="B51" i="95"/>
  <c r="D62" i="34"/>
  <c r="E62" i="34" s="1"/>
  <c r="F62" i="34" s="1"/>
  <c r="D63" i="34" s="1"/>
  <c r="B139" i="44"/>
  <c r="F139" i="44"/>
  <c r="F53" i="84"/>
  <c r="B53" i="84"/>
  <c r="B59" i="44"/>
  <c r="H59" i="44"/>
  <c r="F59" i="44"/>
  <c r="H132" i="26"/>
  <c r="I132" i="26"/>
  <c r="J132" i="26" s="1"/>
  <c r="I61" i="23"/>
  <c r="F59" i="41"/>
  <c r="B59" i="41"/>
  <c r="H59" i="41"/>
  <c r="F61" i="24"/>
  <c r="H61" i="24" s="1"/>
  <c r="B61" i="24"/>
  <c r="F51" i="99"/>
  <c r="B51" i="99"/>
  <c r="F59" i="73"/>
  <c r="G59" i="73"/>
  <c r="H59" i="73"/>
  <c r="I59" i="73" s="1"/>
  <c r="B59" i="73"/>
  <c r="G53" i="85"/>
  <c r="F63" i="28"/>
  <c r="H63" i="28"/>
  <c r="B63" i="28"/>
  <c r="F57" i="53"/>
  <c r="B57" i="53"/>
  <c r="H57" i="53"/>
  <c r="G57" i="53"/>
  <c r="H51" i="100"/>
  <c r="G53" i="80"/>
  <c r="E63" i="3"/>
  <c r="F63" i="3" s="1"/>
  <c r="E54" i="81"/>
  <c r="D54" i="81"/>
  <c r="B61" i="3"/>
  <c r="G61" i="3"/>
  <c r="H61" i="3"/>
  <c r="G54" i="76"/>
  <c r="D63" i="27"/>
  <c r="E63" i="27" s="1"/>
  <c r="B55" i="66"/>
  <c r="F55" i="66"/>
  <c r="H55" i="66" s="1"/>
  <c r="H138" i="44"/>
  <c r="I138" i="44"/>
  <c r="J138" i="44" s="1"/>
  <c r="E133" i="26"/>
  <c r="F133" i="26" s="1"/>
  <c r="B133" i="26"/>
  <c r="D62" i="23"/>
  <c r="E62" i="23"/>
  <c r="G51" i="98"/>
  <c r="F55" i="67"/>
  <c r="H55" i="67" s="1"/>
  <c r="B55" i="67"/>
  <c r="G55" i="67"/>
  <c r="G62" i="31"/>
  <c r="I62" i="31" s="1"/>
  <c r="D60" i="42"/>
  <c r="E60" i="42"/>
  <c r="F60" i="42" s="1"/>
  <c r="D61" i="42" s="1"/>
  <c r="B62" i="69"/>
  <c r="I62" i="28"/>
  <c r="F54" i="79"/>
  <c r="B54" i="79"/>
  <c r="H53" i="85"/>
  <c r="I53" i="85" s="1"/>
  <c r="B60" i="20"/>
  <c r="F60" i="20"/>
  <c r="H60" i="20" s="1"/>
  <c r="F57" i="58"/>
  <c r="G57" i="58" s="1"/>
  <c r="B57" i="58"/>
  <c r="B53" i="92"/>
  <c r="F53" i="92"/>
  <c r="H53" i="92" s="1"/>
  <c r="E55" i="77"/>
  <c r="D55" i="77"/>
  <c r="H57" i="72"/>
  <c r="J137" i="43"/>
  <c r="H52" i="90"/>
  <c r="G54" i="78"/>
  <c r="G62" i="3"/>
  <c r="I62" i="3" s="1"/>
  <c r="H63" i="71"/>
  <c r="H53" i="81"/>
  <c r="I53" i="81" s="1"/>
  <c r="H54" i="76"/>
  <c r="H61" i="34"/>
  <c r="I61" i="34" s="1"/>
  <c r="H51" i="97"/>
  <c r="I51" i="97" s="1"/>
  <c r="B62" i="27"/>
  <c r="G62" i="27"/>
  <c r="H62" i="27"/>
  <c r="G138" i="42"/>
  <c r="D139" i="42"/>
  <c r="E139" i="42"/>
  <c r="D133" i="97"/>
  <c r="E133" i="97"/>
  <c r="G132" i="97"/>
  <c r="J132" i="33"/>
  <c r="H51" i="98"/>
  <c r="I51" i="98" s="1"/>
  <c r="G59" i="42"/>
  <c r="I59" i="42" s="1"/>
  <c r="E62" i="69"/>
  <c r="F62" i="69" s="1"/>
  <c r="B55" i="65"/>
  <c r="F55" i="65"/>
  <c r="I54" i="77"/>
  <c r="G57" i="72"/>
  <c r="F57" i="57"/>
  <c r="B57" i="57"/>
  <c r="H57" i="57"/>
  <c r="J137" i="42"/>
  <c r="D64" i="3"/>
  <c r="H63" i="3"/>
  <c r="G63" i="3"/>
  <c r="G52" i="87"/>
  <c r="I52" i="87" s="1"/>
  <c r="E64" i="71"/>
  <c r="F64" i="71" s="1"/>
  <c r="B64" i="71"/>
  <c r="I140" i="31"/>
  <c r="H140" i="31"/>
  <c r="F57" i="61"/>
  <c r="B57" i="61"/>
  <c r="H57" i="61"/>
  <c r="B57" i="59"/>
  <c r="F57" i="59"/>
  <c r="I52" i="90"/>
  <c r="C69" i="17"/>
  <c r="B60" i="17"/>
  <c r="B141" i="31"/>
  <c r="F141" i="31"/>
  <c r="D54" i="86"/>
  <c r="E54" i="86"/>
  <c r="B57" i="64"/>
  <c r="F57" i="64"/>
  <c r="G57" i="64" s="1"/>
  <c r="G57" i="54"/>
  <c r="I57" i="54" s="1"/>
  <c r="E60" i="17"/>
  <c r="F60" i="17" s="1"/>
  <c r="G63" i="71"/>
  <c r="B53" i="91"/>
  <c r="F53" i="91"/>
  <c r="G53" i="91" s="1"/>
  <c r="D58" i="55"/>
  <c r="E58" i="55"/>
  <c r="H53" i="86"/>
  <c r="I53" i="86" s="1"/>
  <c r="I53" i="80"/>
  <c r="D60" i="43"/>
  <c r="E60" i="43" s="1"/>
  <c r="D65" i="70"/>
  <c r="E65" i="70" s="1"/>
  <c r="H57" i="55"/>
  <c r="I57" i="55" s="1"/>
  <c r="D54" i="80"/>
  <c r="E54" i="80"/>
  <c r="G59" i="43"/>
  <c r="I59" i="43" s="1"/>
  <c r="B57" i="26"/>
  <c r="F57" i="26"/>
  <c r="H57" i="26" s="1"/>
  <c r="D144" i="17"/>
  <c r="E144" i="17"/>
  <c r="G143" i="17"/>
  <c r="J134" i="66"/>
  <c r="H144" i="70"/>
  <c r="I144" i="70"/>
  <c r="J144" i="70" s="1"/>
  <c r="F137" i="60"/>
  <c r="B137" i="60"/>
  <c r="H136" i="60"/>
  <c r="I136" i="60"/>
  <c r="J136" i="60" s="1"/>
  <c r="F145" i="70"/>
  <c r="B145" i="70"/>
  <c r="D60" i="39"/>
  <c r="E60" i="39" s="1"/>
  <c r="G59" i="39"/>
  <c r="H59" i="39"/>
  <c r="I59" i="39" s="1"/>
  <c r="D63" i="29"/>
  <c r="E63" i="29" s="1"/>
  <c r="G62" i="29"/>
  <c r="H62" i="29"/>
  <c r="D61" i="18"/>
  <c r="E61" i="18" s="1"/>
  <c r="H60" i="18"/>
  <c r="G60" i="18"/>
  <c r="D63" i="19"/>
  <c r="E63" i="19" s="1"/>
  <c r="H136" i="53"/>
  <c r="I136" i="53"/>
  <c r="B132" i="89"/>
  <c r="F132" i="89"/>
  <c r="G144" i="29"/>
  <c r="D145" i="29"/>
  <c r="H137" i="62"/>
  <c r="I137" i="62"/>
  <c r="H139" i="22"/>
  <c r="I139" i="22"/>
  <c r="J139" i="22" s="1"/>
  <c r="B142" i="27"/>
  <c r="F142" i="27"/>
  <c r="J139" i="34"/>
  <c r="H136" i="58"/>
  <c r="I136" i="58"/>
  <c r="I131" i="90"/>
  <c r="H131" i="90"/>
  <c r="B141" i="32"/>
  <c r="F141" i="32"/>
  <c r="J135" i="63"/>
  <c r="J141" i="23"/>
  <c r="H139" i="3"/>
  <c r="I139" i="3"/>
  <c r="J139" i="3" s="1"/>
  <c r="H61" i="32"/>
  <c r="I61" i="32" s="1"/>
  <c r="H139" i="21"/>
  <c r="I139" i="21"/>
  <c r="I132" i="83"/>
  <c r="H132" i="83"/>
  <c r="H134" i="85"/>
  <c r="I134" i="85"/>
  <c r="I54" i="78"/>
  <c r="H134" i="68"/>
  <c r="I134" i="68"/>
  <c r="F140" i="22"/>
  <c r="B140" i="22"/>
  <c r="F139" i="41"/>
  <c r="B139" i="41"/>
  <c r="H141" i="27"/>
  <c r="I141" i="27"/>
  <c r="G62" i="19"/>
  <c r="H140" i="32"/>
  <c r="I140" i="32"/>
  <c r="B133" i="100"/>
  <c r="F133" i="100"/>
  <c r="F140" i="3"/>
  <c r="B140" i="3"/>
  <c r="H138" i="39"/>
  <c r="I138" i="39"/>
  <c r="G60" i="21"/>
  <c r="I60" i="21" s="1"/>
  <c r="B140" i="21"/>
  <c r="F140" i="21"/>
  <c r="F135" i="85"/>
  <c r="B135" i="85"/>
  <c r="F136" i="59"/>
  <c r="B136" i="59"/>
  <c r="F52" i="25"/>
  <c r="H52" i="25" s="1"/>
  <c r="B52" i="25"/>
  <c r="D55" i="78"/>
  <c r="E55" i="78"/>
  <c r="D55" i="75"/>
  <c r="E55" i="75"/>
  <c r="I138" i="41"/>
  <c r="H138" i="41"/>
  <c r="D141" i="34"/>
  <c r="E141" i="34" s="1"/>
  <c r="G140" i="34"/>
  <c r="F141" i="24"/>
  <c r="B141" i="24"/>
  <c r="H131" i="91"/>
  <c r="I131" i="91"/>
  <c r="B136" i="75"/>
  <c r="F136" i="75"/>
  <c r="F137" i="53"/>
  <c r="B137" i="53"/>
  <c r="F137" i="54"/>
  <c r="B137" i="54"/>
  <c r="B138" i="45"/>
  <c r="F138" i="45"/>
  <c r="H132" i="100"/>
  <c r="I132" i="100"/>
  <c r="D58" i="54"/>
  <c r="E58" i="54"/>
  <c r="I136" i="46"/>
  <c r="J136" i="46" s="1"/>
  <c r="H136" i="46"/>
  <c r="D53" i="90"/>
  <c r="E53" i="90"/>
  <c r="I131" i="89"/>
  <c r="H131" i="89"/>
  <c r="H135" i="61"/>
  <c r="I135" i="61"/>
  <c r="J135" i="61" s="1"/>
  <c r="I131" i="92"/>
  <c r="H131" i="92"/>
  <c r="H142" i="28"/>
  <c r="I142" i="28"/>
  <c r="J142" i="28" s="1"/>
  <c r="D54" i="88"/>
  <c r="E54" i="88"/>
  <c r="H133" i="77"/>
  <c r="I133" i="77"/>
  <c r="F135" i="65"/>
  <c r="B135" i="65"/>
  <c r="F132" i="88"/>
  <c r="B132" i="88"/>
  <c r="D52" i="96"/>
  <c r="E52" i="96"/>
  <c r="I51" i="100"/>
  <c r="H138" i="55"/>
  <c r="I138" i="55"/>
  <c r="J138" i="55" s="1"/>
  <c r="F134" i="77"/>
  <c r="B134" i="77"/>
  <c r="H140" i="24"/>
  <c r="I140" i="24"/>
  <c r="B132" i="91"/>
  <c r="F132" i="91"/>
  <c r="H62" i="19"/>
  <c r="I136" i="54"/>
  <c r="H136" i="54"/>
  <c r="D138" i="67"/>
  <c r="G137" i="67"/>
  <c r="E138" i="67"/>
  <c r="E52" i="100"/>
  <c r="D52" i="100"/>
  <c r="H137" i="45"/>
  <c r="I137" i="45"/>
  <c r="B139" i="55"/>
  <c r="F139" i="55"/>
  <c r="B132" i="84"/>
  <c r="F132" i="84"/>
  <c r="I131" i="86"/>
  <c r="H131" i="86"/>
  <c r="B137" i="46"/>
  <c r="F137" i="46"/>
  <c r="B143" i="20"/>
  <c r="F143" i="20"/>
  <c r="B136" i="61"/>
  <c r="F136" i="61"/>
  <c r="B141" i="71"/>
  <c r="F141" i="71"/>
  <c r="F142" i="69"/>
  <c r="B142" i="69"/>
  <c r="B132" i="92"/>
  <c r="F132" i="92"/>
  <c r="H53" i="88"/>
  <c r="I53" i="88" s="1"/>
  <c r="H131" i="96"/>
  <c r="I131" i="96"/>
  <c r="H134" i="82"/>
  <c r="I134" i="82"/>
  <c r="I134" i="65"/>
  <c r="H134" i="65"/>
  <c r="I136" i="56"/>
  <c r="H136" i="56"/>
  <c r="D136" i="66"/>
  <c r="E136" i="66"/>
  <c r="G135" i="66"/>
  <c r="E53" i="89"/>
  <c r="D53" i="89"/>
  <c r="H135" i="59"/>
  <c r="I135" i="59"/>
  <c r="J135" i="59" s="1"/>
  <c r="F134" i="79"/>
  <c r="B134" i="79"/>
  <c r="H133" i="79"/>
  <c r="I133" i="79"/>
  <c r="D56" i="13"/>
  <c r="E56" i="13" s="1"/>
  <c r="I135" i="75"/>
  <c r="H135" i="75"/>
  <c r="F134" i="76"/>
  <c r="B134" i="76"/>
  <c r="E53" i="87"/>
  <c r="D53" i="87"/>
  <c r="H131" i="84"/>
  <c r="I131" i="84"/>
  <c r="B132" i="86"/>
  <c r="F132" i="86"/>
  <c r="D61" i="22"/>
  <c r="H142" i="20"/>
  <c r="I142" i="20"/>
  <c r="H135" i="64"/>
  <c r="I135" i="64"/>
  <c r="J135" i="64" s="1"/>
  <c r="H138" i="73"/>
  <c r="I138" i="73"/>
  <c r="J138" i="73" s="1"/>
  <c r="I140" i="71"/>
  <c r="H140" i="71"/>
  <c r="H141" i="69"/>
  <c r="I141" i="69"/>
  <c r="J141" i="69" s="1"/>
  <c r="B132" i="96"/>
  <c r="F132" i="96"/>
  <c r="B137" i="72"/>
  <c r="F137" i="72"/>
  <c r="F135" i="82"/>
  <c r="B135" i="82"/>
  <c r="I56" i="62"/>
  <c r="B137" i="56"/>
  <c r="F137" i="56"/>
  <c r="F142" i="30"/>
  <c r="B142" i="30"/>
  <c r="B139" i="39"/>
  <c r="F139" i="39"/>
  <c r="H131" i="88"/>
  <c r="I131" i="88"/>
  <c r="H55" i="13"/>
  <c r="I55" i="13" s="1"/>
  <c r="H139" i="18"/>
  <c r="I139" i="18"/>
  <c r="J139" i="18" s="1"/>
  <c r="B133" i="81"/>
  <c r="F133" i="81"/>
  <c r="H131" i="98"/>
  <c r="I131" i="98"/>
  <c r="B133" i="80"/>
  <c r="F133" i="80"/>
  <c r="H133" i="76"/>
  <c r="I133" i="76"/>
  <c r="F133" i="99"/>
  <c r="B133" i="99"/>
  <c r="B136" i="64"/>
  <c r="F136" i="64"/>
  <c r="J134" i="78"/>
  <c r="F139" i="73"/>
  <c r="B139" i="73"/>
  <c r="I136" i="57"/>
  <c r="H136" i="57"/>
  <c r="F139" i="74"/>
  <c r="B139" i="74"/>
  <c r="I136" i="72"/>
  <c r="H136" i="72"/>
  <c r="G136" i="63"/>
  <c r="D137" i="63"/>
  <c r="E137" i="63"/>
  <c r="D63" i="30"/>
  <c r="E63" i="30" s="1"/>
  <c r="H141" i="30"/>
  <c r="I141" i="30"/>
  <c r="B143" i="28"/>
  <c r="F143" i="28"/>
  <c r="F138" i="62"/>
  <c r="B138" i="62"/>
  <c r="H54" i="75"/>
  <c r="I54" i="75" s="1"/>
  <c r="F140" i="18"/>
  <c r="B140" i="18"/>
  <c r="G51" i="96"/>
  <c r="I51" i="96" s="1"/>
  <c r="B137" i="58"/>
  <c r="F137" i="58"/>
  <c r="B132" i="90"/>
  <c r="F132" i="90"/>
  <c r="H132" i="81"/>
  <c r="I132" i="81"/>
  <c r="B132" i="98"/>
  <c r="F132" i="98"/>
  <c r="I132" i="80"/>
  <c r="H132" i="80"/>
  <c r="D135" i="13"/>
  <c r="E135" i="13" s="1"/>
  <c r="G134" i="13"/>
  <c r="D136" i="78"/>
  <c r="G135" i="78"/>
  <c r="E136" i="78"/>
  <c r="D62" i="32"/>
  <c r="E62" i="32" s="1"/>
  <c r="I132" i="99"/>
  <c r="H132" i="99"/>
  <c r="D61" i="21"/>
  <c r="E61" i="21" s="1"/>
  <c r="G60" i="22"/>
  <c r="I60" i="22" s="1"/>
  <c r="G142" i="23"/>
  <c r="D143" i="23"/>
  <c r="H52" i="89"/>
  <c r="I52" i="89" s="1"/>
  <c r="B133" i="83"/>
  <c r="F133" i="83"/>
  <c r="F137" i="57"/>
  <c r="B137" i="57"/>
  <c r="H138" i="74"/>
  <c r="I138" i="74"/>
  <c r="D141" i="19"/>
  <c r="E141" i="19" s="1"/>
  <c r="G140" i="19"/>
  <c r="I62" i="30"/>
  <c r="E57" i="62"/>
  <c r="D57" i="62"/>
  <c r="F135" i="68"/>
  <c r="B135" i="68"/>
  <c r="D133" i="87" l="1"/>
  <c r="E133" i="87"/>
  <c r="G132" i="87"/>
  <c r="I57" i="53"/>
  <c r="I63" i="71"/>
  <c r="G55" i="66"/>
  <c r="I55" i="66" s="1"/>
  <c r="G59" i="74"/>
  <c r="I59" i="74" s="1"/>
  <c r="G53" i="83"/>
  <c r="I53" i="83" s="1"/>
  <c r="B56" i="33"/>
  <c r="E56" i="33"/>
  <c r="F56" i="33" s="1"/>
  <c r="D134" i="95"/>
  <c r="G133" i="95"/>
  <c r="E134" i="95"/>
  <c r="G134" i="25"/>
  <c r="D135" i="25"/>
  <c r="B135" i="25" s="1"/>
  <c r="I57" i="72"/>
  <c r="E63" i="34"/>
  <c r="F63" i="34" s="1"/>
  <c r="B63" i="34"/>
  <c r="D63" i="69"/>
  <c r="H62" i="69"/>
  <c r="G62" i="69"/>
  <c r="G133" i="26"/>
  <c r="D134" i="26"/>
  <c r="B134" i="26" s="1"/>
  <c r="D58" i="57"/>
  <c r="E58" i="57"/>
  <c r="E56" i="65"/>
  <c r="H55" i="65"/>
  <c r="D56" i="65"/>
  <c r="F133" i="97"/>
  <c r="B133" i="97"/>
  <c r="I62" i="27"/>
  <c r="I55" i="67"/>
  <c r="D60" i="44"/>
  <c r="E60" i="44" s="1"/>
  <c r="F60" i="44" s="1"/>
  <c r="D61" i="44" s="1"/>
  <c r="G56" i="63"/>
  <c r="I56" i="63" s="1"/>
  <c r="D57" i="63"/>
  <c r="E57" i="63"/>
  <c r="H138" i="43"/>
  <c r="I138" i="43"/>
  <c r="J138" i="43" s="1"/>
  <c r="B52" i="97"/>
  <c r="F52" i="97"/>
  <c r="H52" i="97" s="1"/>
  <c r="B55" i="77"/>
  <c r="H55" i="77"/>
  <c r="F55" i="77"/>
  <c r="D54" i="92"/>
  <c r="E54" i="92"/>
  <c r="D61" i="20"/>
  <c r="E61" i="20" s="1"/>
  <c r="E55" i="79"/>
  <c r="D55" i="79"/>
  <c r="E61" i="42"/>
  <c r="F61" i="42" s="1"/>
  <c r="B61" i="42"/>
  <c r="B63" i="27"/>
  <c r="F63" i="27"/>
  <c r="H63" i="27" s="1"/>
  <c r="H51" i="99"/>
  <c r="E52" i="99"/>
  <c r="D52" i="99"/>
  <c r="H53" i="84"/>
  <c r="E54" i="84"/>
  <c r="D54" i="84"/>
  <c r="B62" i="34"/>
  <c r="G62" i="34"/>
  <c r="H62" i="34"/>
  <c r="E52" i="95"/>
  <c r="D52" i="95"/>
  <c r="H53" i="82"/>
  <c r="D54" i="82"/>
  <c r="E54" i="82"/>
  <c r="E64" i="31"/>
  <c r="F64" i="31" s="1"/>
  <c r="B64" i="31"/>
  <c r="B55" i="76"/>
  <c r="F55" i="76"/>
  <c r="G55" i="76" s="1"/>
  <c r="G57" i="57"/>
  <c r="I57" i="57" s="1"/>
  <c r="I132" i="97"/>
  <c r="H132" i="97"/>
  <c r="B139" i="42"/>
  <c r="F139" i="42"/>
  <c r="E58" i="58"/>
  <c r="D58" i="58"/>
  <c r="H54" i="79"/>
  <c r="B60" i="42"/>
  <c r="H60" i="42"/>
  <c r="I60" i="42" s="1"/>
  <c r="G60" i="42"/>
  <c r="B62" i="23"/>
  <c r="F62" i="23"/>
  <c r="G62" i="23"/>
  <c r="D56" i="66"/>
  <c r="E56" i="66"/>
  <c r="I54" i="76"/>
  <c r="G54" i="81"/>
  <c r="B54" i="81"/>
  <c r="F54" i="81"/>
  <c r="H54" i="81" s="1"/>
  <c r="G63" i="28"/>
  <c r="I63" i="28" s="1"/>
  <c r="D64" i="28"/>
  <c r="G51" i="99"/>
  <c r="D62" i="24"/>
  <c r="E62" i="24" s="1"/>
  <c r="F62" i="24" s="1"/>
  <c r="D60" i="41"/>
  <c r="E60" i="41" s="1"/>
  <c r="F60" i="41" s="1"/>
  <c r="D140" i="44"/>
  <c r="E140" i="44"/>
  <c r="G139" i="44"/>
  <c r="H51" i="95"/>
  <c r="I56" i="60"/>
  <c r="H57" i="56"/>
  <c r="I57" i="56" s="1"/>
  <c r="D58" i="56"/>
  <c r="E58" i="56"/>
  <c r="B58" i="72"/>
  <c r="F58" i="72"/>
  <c r="G58" i="72" s="1"/>
  <c r="E60" i="74"/>
  <c r="F60" i="74" s="1"/>
  <c r="D60" i="74"/>
  <c r="B54" i="85"/>
  <c r="F54" i="85"/>
  <c r="G54" i="85" s="1"/>
  <c r="G57" i="46"/>
  <c r="I57" i="46" s="1"/>
  <c r="D58" i="46"/>
  <c r="E58" i="46"/>
  <c r="B139" i="43"/>
  <c r="F139" i="43"/>
  <c r="B63" i="31"/>
  <c r="H63" i="31"/>
  <c r="G63" i="31"/>
  <c r="H55" i="68"/>
  <c r="I55" i="68" s="1"/>
  <c r="E56" i="68"/>
  <c r="D56" i="68"/>
  <c r="H58" i="45"/>
  <c r="I58" i="45" s="1"/>
  <c r="D59" i="45"/>
  <c r="E59" i="45"/>
  <c r="E54" i="83"/>
  <c r="D54" i="83"/>
  <c r="I133" i="33"/>
  <c r="J133" i="33" s="1"/>
  <c r="H133" i="33"/>
  <c r="I62" i="19"/>
  <c r="G55" i="65"/>
  <c r="I138" i="42"/>
  <c r="J138" i="42" s="1"/>
  <c r="H138" i="42"/>
  <c r="G53" i="92"/>
  <c r="I53" i="92" s="1"/>
  <c r="H57" i="58"/>
  <c r="I57" i="58" s="1"/>
  <c r="G60" i="20"/>
  <c r="I60" i="20" s="1"/>
  <c r="G54" i="79"/>
  <c r="D56" i="67"/>
  <c r="E56" i="67"/>
  <c r="I61" i="3"/>
  <c r="D58" i="53"/>
  <c r="E58" i="53"/>
  <c r="D60" i="73"/>
  <c r="E60" i="73"/>
  <c r="F60" i="73" s="1"/>
  <c r="G61" i="24"/>
  <c r="I61" i="24" s="1"/>
  <c r="G59" i="41"/>
  <c r="I59" i="41" s="1"/>
  <c r="G59" i="44"/>
  <c r="I59" i="44" s="1"/>
  <c r="G53" i="84"/>
  <c r="I53" i="84" s="1"/>
  <c r="G51" i="95"/>
  <c r="D57" i="60"/>
  <c r="E57" i="60"/>
  <c r="G53" i="82"/>
  <c r="I53" i="82" s="1"/>
  <c r="B52" i="98"/>
  <c r="F52" i="98"/>
  <c r="H52" i="98" s="1"/>
  <c r="E134" i="33"/>
  <c r="B134" i="33"/>
  <c r="F134" i="33"/>
  <c r="D65" i="71"/>
  <c r="G64" i="71"/>
  <c r="H64" i="71"/>
  <c r="D61" i="17"/>
  <c r="E61" i="17" s="1"/>
  <c r="F61" i="17" s="1"/>
  <c r="G60" i="17"/>
  <c r="H60" i="17"/>
  <c r="B60" i="43"/>
  <c r="F60" i="43"/>
  <c r="D54" i="91"/>
  <c r="E54" i="91"/>
  <c r="H57" i="64"/>
  <c r="I57" i="64" s="1"/>
  <c r="E58" i="59"/>
  <c r="D58" i="59"/>
  <c r="B64" i="3"/>
  <c r="G52" i="25"/>
  <c r="G57" i="26"/>
  <c r="I57" i="26" s="1"/>
  <c r="D58" i="26"/>
  <c r="F58" i="55"/>
  <c r="G58" i="55" s="1"/>
  <c r="B58" i="55"/>
  <c r="F65" i="70"/>
  <c r="H65" i="70" s="1"/>
  <c r="B65" i="70"/>
  <c r="E58" i="64"/>
  <c r="D58" i="64"/>
  <c r="F54" i="86"/>
  <c r="G54" i="86" s="1"/>
  <c r="B54" i="86"/>
  <c r="G57" i="59"/>
  <c r="D58" i="61"/>
  <c r="E58" i="61"/>
  <c r="I63" i="3"/>
  <c r="B54" i="80"/>
  <c r="F54" i="80"/>
  <c r="G54" i="80" s="1"/>
  <c r="H53" i="91"/>
  <c r="I53" i="91" s="1"/>
  <c r="D142" i="31"/>
  <c r="G141" i="31"/>
  <c r="H57" i="59"/>
  <c r="G57" i="61"/>
  <c r="I57" i="61" s="1"/>
  <c r="J140" i="31"/>
  <c r="E64" i="3"/>
  <c r="F64" i="3" s="1"/>
  <c r="D65" i="3" s="1"/>
  <c r="J136" i="56"/>
  <c r="J136" i="57"/>
  <c r="J140" i="32"/>
  <c r="J136" i="58"/>
  <c r="G137" i="60"/>
  <c r="D138" i="60"/>
  <c r="E138" i="60"/>
  <c r="I143" i="17"/>
  <c r="J143" i="17" s="1"/>
  <c r="H143" i="17"/>
  <c r="F144" i="17"/>
  <c r="B144" i="17"/>
  <c r="D146" i="70"/>
  <c r="G145" i="70"/>
  <c r="E146" i="70"/>
  <c r="J136" i="72"/>
  <c r="J140" i="71"/>
  <c r="J138" i="41"/>
  <c r="J141" i="30"/>
  <c r="J138" i="39"/>
  <c r="B143" i="23"/>
  <c r="G55" i="75"/>
  <c r="B55" i="75"/>
  <c r="F55" i="75"/>
  <c r="H55" i="75" s="1"/>
  <c r="J138" i="74"/>
  <c r="H142" i="23"/>
  <c r="I142" i="23"/>
  <c r="J142" i="23" s="1"/>
  <c r="H135" i="78"/>
  <c r="I135" i="78"/>
  <c r="D133" i="98"/>
  <c r="G132" i="98"/>
  <c r="E133" i="98"/>
  <c r="I136" i="63"/>
  <c r="H136" i="63"/>
  <c r="G133" i="99"/>
  <c r="D134" i="99"/>
  <c r="E134" i="99"/>
  <c r="D133" i="86"/>
  <c r="G132" i="86"/>
  <c r="E133" i="86"/>
  <c r="B53" i="87"/>
  <c r="F53" i="87"/>
  <c r="G53" i="87" s="1"/>
  <c r="G132" i="92"/>
  <c r="E133" i="92"/>
  <c r="D133" i="92"/>
  <c r="D138" i="54"/>
  <c r="G137" i="54"/>
  <c r="E138" i="54"/>
  <c r="G140" i="22"/>
  <c r="D141" i="22"/>
  <c r="E141" i="22"/>
  <c r="G141" i="32"/>
  <c r="D142" i="32"/>
  <c r="E142" i="32" s="1"/>
  <c r="D143" i="27"/>
  <c r="G142" i="27"/>
  <c r="I144" i="29"/>
  <c r="H144" i="29"/>
  <c r="F63" i="19"/>
  <c r="B63" i="19"/>
  <c r="B137" i="63"/>
  <c r="F137" i="63"/>
  <c r="F53" i="89"/>
  <c r="H53" i="89" s="1"/>
  <c r="B53" i="89"/>
  <c r="F62" i="32"/>
  <c r="H62" i="32" s="1"/>
  <c r="B62" i="32"/>
  <c r="F136" i="78"/>
  <c r="B136" i="78"/>
  <c r="J133" i="76"/>
  <c r="D143" i="30"/>
  <c r="E143" i="30" s="1"/>
  <c r="G142" i="30"/>
  <c r="J133" i="79"/>
  <c r="I135" i="66"/>
  <c r="H135" i="66"/>
  <c r="J134" i="65"/>
  <c r="G137" i="46"/>
  <c r="D138" i="46"/>
  <c r="E138" i="46"/>
  <c r="H137" i="67"/>
  <c r="I137" i="67"/>
  <c r="G132" i="91"/>
  <c r="D133" i="91"/>
  <c r="E133" i="91"/>
  <c r="G134" i="77"/>
  <c r="D135" i="77"/>
  <c r="E135" i="77"/>
  <c r="G132" i="88"/>
  <c r="D133" i="88"/>
  <c r="E133" i="88"/>
  <c r="B54" i="88"/>
  <c r="F54" i="88"/>
  <c r="G54" i="88" s="1"/>
  <c r="I62" i="29"/>
  <c r="D136" i="85"/>
  <c r="E136" i="85"/>
  <c r="G135" i="85"/>
  <c r="B138" i="67"/>
  <c r="F138" i="67"/>
  <c r="I140" i="34"/>
  <c r="J140" i="34" s="1"/>
  <c r="H140" i="34"/>
  <c r="G132" i="89"/>
  <c r="D133" i="89"/>
  <c r="E133" i="89"/>
  <c r="I134" i="13"/>
  <c r="H134" i="13"/>
  <c r="D141" i="18"/>
  <c r="E141" i="18" s="1"/>
  <c r="G140" i="18"/>
  <c r="G133" i="80"/>
  <c r="D134" i="80"/>
  <c r="E134" i="80"/>
  <c r="G133" i="81"/>
  <c r="D134" i="81"/>
  <c r="E134" i="81"/>
  <c r="G137" i="72"/>
  <c r="D138" i="72"/>
  <c r="E138" i="72"/>
  <c r="D135" i="76"/>
  <c r="G134" i="76"/>
  <c r="E135" i="76"/>
  <c r="F56" i="13"/>
  <c r="H56" i="13" s="1"/>
  <c r="B56" i="13"/>
  <c r="B136" i="66"/>
  <c r="F136" i="66"/>
  <c r="D143" i="69"/>
  <c r="G142" i="69"/>
  <c r="E143" i="69"/>
  <c r="B52" i="96"/>
  <c r="F52" i="96"/>
  <c r="G52" i="96" s="1"/>
  <c r="H52" i="96"/>
  <c r="D136" i="65"/>
  <c r="G135" i="65"/>
  <c r="E136" i="65"/>
  <c r="G58" i="54"/>
  <c r="F58" i="54"/>
  <c r="H58" i="54" s="1"/>
  <c r="B58" i="54"/>
  <c r="D137" i="75"/>
  <c r="G136" i="75"/>
  <c r="E137" i="75"/>
  <c r="B141" i="34"/>
  <c r="F141" i="34"/>
  <c r="I52" i="25"/>
  <c r="D141" i="3"/>
  <c r="G140" i="3"/>
  <c r="E141" i="3"/>
  <c r="J141" i="27"/>
  <c r="J134" i="68"/>
  <c r="I60" i="18"/>
  <c r="B57" i="62"/>
  <c r="F57" i="62"/>
  <c r="G57" i="62" s="1"/>
  <c r="G139" i="55"/>
  <c r="D140" i="55"/>
  <c r="E140" i="55"/>
  <c r="D138" i="53"/>
  <c r="G137" i="53"/>
  <c r="E138" i="53"/>
  <c r="I140" i="19"/>
  <c r="H140" i="19"/>
  <c r="B135" i="13"/>
  <c r="F135" i="13"/>
  <c r="G132" i="90"/>
  <c r="D133" i="90"/>
  <c r="E133" i="90"/>
  <c r="D140" i="74"/>
  <c r="G139" i="74"/>
  <c r="E140" i="74"/>
  <c r="G136" i="64"/>
  <c r="D137" i="64"/>
  <c r="E137" i="64"/>
  <c r="G139" i="39"/>
  <c r="D140" i="39"/>
  <c r="E140" i="39"/>
  <c r="J142" i="20"/>
  <c r="G134" i="79"/>
  <c r="D135" i="79"/>
  <c r="E135" i="79"/>
  <c r="G141" i="71"/>
  <c r="D142" i="71"/>
  <c r="E142" i="71"/>
  <c r="J137" i="45"/>
  <c r="G133" i="100"/>
  <c r="E134" i="100"/>
  <c r="D134" i="100"/>
  <c r="J137" i="62"/>
  <c r="B63" i="29"/>
  <c r="F63" i="29"/>
  <c r="H63" i="29" s="1"/>
  <c r="G143" i="20"/>
  <c r="D144" i="20"/>
  <c r="E144" i="20" s="1"/>
  <c r="B55" i="78"/>
  <c r="F55" i="78"/>
  <c r="H55" i="78" s="1"/>
  <c r="D141" i="21"/>
  <c r="G140" i="21"/>
  <c r="E141" i="21"/>
  <c r="F141" i="19"/>
  <c r="B141" i="19"/>
  <c r="G138" i="62"/>
  <c r="E139" i="62"/>
  <c r="D139" i="62"/>
  <c r="F63" i="30"/>
  <c r="H63" i="30" s="1"/>
  <c r="B63" i="30"/>
  <c r="D133" i="96"/>
  <c r="G132" i="96"/>
  <c r="E133" i="96"/>
  <c r="D133" i="84"/>
  <c r="G132" i="84"/>
  <c r="E133" i="84"/>
  <c r="F53" i="90"/>
  <c r="B53" i="90"/>
  <c r="H53" i="90"/>
  <c r="G53" i="90"/>
  <c r="D139" i="45"/>
  <c r="G138" i="45"/>
  <c r="E139" i="45"/>
  <c r="D137" i="59"/>
  <c r="G136" i="59"/>
  <c r="E137" i="59"/>
  <c r="J139" i="21"/>
  <c r="J136" i="53"/>
  <c r="B61" i="18"/>
  <c r="G61" i="18"/>
  <c r="F61" i="18"/>
  <c r="H61" i="18" s="1"/>
  <c r="D134" i="83"/>
  <c r="G133" i="83"/>
  <c r="E134" i="83"/>
  <c r="B61" i="22"/>
  <c r="B145" i="29"/>
  <c r="D140" i="73"/>
  <c r="G139" i="73"/>
  <c r="E140" i="73"/>
  <c r="E136" i="82"/>
  <c r="G135" i="82"/>
  <c r="D136" i="82"/>
  <c r="D136" i="68"/>
  <c r="G135" i="68"/>
  <c r="E136" i="68"/>
  <c r="D138" i="57"/>
  <c r="G137" i="57"/>
  <c r="E138" i="57"/>
  <c r="E143" i="23"/>
  <c r="F143" i="23" s="1"/>
  <c r="B61" i="21"/>
  <c r="F61" i="21"/>
  <c r="H61" i="21" s="1"/>
  <c r="D138" i="58"/>
  <c r="G137" i="58"/>
  <c r="E138" i="58"/>
  <c r="D144" i="28"/>
  <c r="E144" i="28" s="1"/>
  <c r="G143" i="28"/>
  <c r="G137" i="56"/>
  <c r="D138" i="56"/>
  <c r="E138" i="56"/>
  <c r="E61" i="22"/>
  <c r="F61" i="22" s="1"/>
  <c r="G61" i="22" s="1"/>
  <c r="J135" i="75"/>
  <c r="G136" i="61"/>
  <c r="D137" i="61"/>
  <c r="E137" i="61"/>
  <c r="F52" i="100"/>
  <c r="G52" i="100" s="1"/>
  <c r="B52" i="100"/>
  <c r="J136" i="54"/>
  <c r="J140" i="24"/>
  <c r="J133" i="77"/>
  <c r="G141" i="24"/>
  <c r="D142" i="24"/>
  <c r="E142" i="24" s="1"/>
  <c r="D53" i="25"/>
  <c r="E53" i="25" s="1"/>
  <c r="D140" i="41"/>
  <c r="G139" i="41"/>
  <c r="E140" i="41"/>
  <c r="E145" i="29"/>
  <c r="F145" i="29" s="1"/>
  <c r="B60" i="39"/>
  <c r="F60" i="39"/>
  <c r="H60" i="39" s="1"/>
  <c r="D64" i="34" l="1"/>
  <c r="B64" i="34" s="1"/>
  <c r="E64" i="34"/>
  <c r="F64" i="34" s="1"/>
  <c r="G63" i="34"/>
  <c r="H63" i="34"/>
  <c r="H56" i="33"/>
  <c r="I56" i="33" s="1"/>
  <c r="G56" i="33"/>
  <c r="D57" i="33"/>
  <c r="B57" i="33" s="1"/>
  <c r="G56" i="13"/>
  <c r="I56" i="13" s="1"/>
  <c r="H58" i="72"/>
  <c r="B133" i="87"/>
  <c r="F133" i="87"/>
  <c r="H134" i="25"/>
  <c r="I134" i="25"/>
  <c r="G62" i="32"/>
  <c r="I63" i="31"/>
  <c r="I54" i="81"/>
  <c r="H55" i="76"/>
  <c r="E135" i="25"/>
  <c r="F135" i="25" s="1"/>
  <c r="I133" i="95"/>
  <c r="H133" i="95"/>
  <c r="F134" i="95"/>
  <c r="B134" i="95"/>
  <c r="H132" i="87"/>
  <c r="I132" i="87"/>
  <c r="D61" i="41"/>
  <c r="E61" i="41" s="1"/>
  <c r="D62" i="42"/>
  <c r="E62" i="42" s="1"/>
  <c r="H61" i="42"/>
  <c r="I61" i="42" s="1"/>
  <c r="G61" i="42"/>
  <c r="D63" i="24"/>
  <c r="E63" i="24" s="1"/>
  <c r="D65" i="31"/>
  <c r="E65" i="31" s="1"/>
  <c r="H64" i="31"/>
  <c r="G64" i="31"/>
  <c r="I63" i="34"/>
  <c r="H54" i="86"/>
  <c r="H58" i="55"/>
  <c r="B58" i="53"/>
  <c r="F58" i="53"/>
  <c r="H58" i="53" s="1"/>
  <c r="F58" i="46"/>
  <c r="G58" i="46" s="1"/>
  <c r="B58" i="46"/>
  <c r="H54" i="85"/>
  <c r="I54" i="85" s="1"/>
  <c r="I58" i="72"/>
  <c r="I51" i="95"/>
  <c r="D63" i="23"/>
  <c r="E63" i="23" s="1"/>
  <c r="F63" i="23" s="1"/>
  <c r="E140" i="42"/>
  <c r="D140" i="42"/>
  <c r="G139" i="42"/>
  <c r="F52" i="95"/>
  <c r="G52" i="95" s="1"/>
  <c r="H52" i="95"/>
  <c r="B52" i="95"/>
  <c r="D56" i="77"/>
  <c r="E56" i="77"/>
  <c r="B60" i="44"/>
  <c r="H60" i="44"/>
  <c r="I60" i="44" s="1"/>
  <c r="G60" i="44"/>
  <c r="I55" i="65"/>
  <c r="I133" i="26"/>
  <c r="H133" i="26"/>
  <c r="B63" i="69"/>
  <c r="H52" i="100"/>
  <c r="I52" i="100" s="1"/>
  <c r="D53" i="98"/>
  <c r="E53" i="98"/>
  <c r="D61" i="73"/>
  <c r="E61" i="73" s="1"/>
  <c r="F61" i="73" s="1"/>
  <c r="F59" i="45"/>
  <c r="B59" i="45"/>
  <c r="G139" i="43"/>
  <c r="D140" i="43"/>
  <c r="E140" i="43"/>
  <c r="F58" i="56"/>
  <c r="G58" i="56" s="1"/>
  <c r="B58" i="56"/>
  <c r="I139" i="44"/>
  <c r="H139" i="44"/>
  <c r="B60" i="41"/>
  <c r="H60" i="41"/>
  <c r="G60" i="41"/>
  <c r="E64" i="28"/>
  <c r="F64" i="28" s="1"/>
  <c r="B64" i="28"/>
  <c r="F56" i="66"/>
  <c r="G56" i="66" s="1"/>
  <c r="B56" i="66"/>
  <c r="I54" i="79"/>
  <c r="I55" i="76"/>
  <c r="F54" i="82"/>
  <c r="B54" i="82"/>
  <c r="H54" i="82"/>
  <c r="F54" i="84"/>
  <c r="H54" i="84" s="1"/>
  <c r="B54" i="84"/>
  <c r="B52" i="99"/>
  <c r="F52" i="99"/>
  <c r="H52" i="99" s="1"/>
  <c r="G63" i="27"/>
  <c r="I63" i="27" s="1"/>
  <c r="H61" i="20"/>
  <c r="G61" i="20"/>
  <c r="B61" i="20"/>
  <c r="F61" i="20"/>
  <c r="F57" i="63"/>
  <c r="G57" i="63" s="1"/>
  <c r="B57" i="63"/>
  <c r="I62" i="32"/>
  <c r="I55" i="75"/>
  <c r="D135" i="33"/>
  <c r="G134" i="33"/>
  <c r="B60" i="73"/>
  <c r="G60" i="73"/>
  <c r="H60" i="73"/>
  <c r="B54" i="83"/>
  <c r="F54" i="83"/>
  <c r="B60" i="74"/>
  <c r="G60" i="74"/>
  <c r="H60" i="74"/>
  <c r="D59" i="72"/>
  <c r="E59" i="72"/>
  <c r="H62" i="23"/>
  <c r="I62" i="23" s="1"/>
  <c r="B58" i="58"/>
  <c r="F58" i="58"/>
  <c r="G58" i="58" s="1"/>
  <c r="I62" i="34"/>
  <c r="B55" i="79"/>
  <c r="F55" i="79"/>
  <c r="G55" i="77"/>
  <c r="I55" i="77" s="1"/>
  <c r="G52" i="97"/>
  <c r="I52" i="97" s="1"/>
  <c r="D53" i="97"/>
  <c r="E53" i="97"/>
  <c r="E134" i="97"/>
  <c r="G133" i="97"/>
  <c r="D134" i="97"/>
  <c r="E134" i="26"/>
  <c r="F134" i="26" s="1"/>
  <c r="I62" i="69"/>
  <c r="G52" i="98"/>
  <c r="I52" i="98" s="1"/>
  <c r="B57" i="60"/>
  <c r="F57" i="60"/>
  <c r="G57" i="60"/>
  <c r="B56" i="67"/>
  <c r="F56" i="67"/>
  <c r="G56" i="67" s="1"/>
  <c r="F56" i="68"/>
  <c r="G56" i="68" s="1"/>
  <c r="B56" i="68"/>
  <c r="E55" i="85"/>
  <c r="D55" i="85"/>
  <c r="D61" i="74"/>
  <c r="F140" i="44"/>
  <c r="B140" i="44"/>
  <c r="B62" i="24"/>
  <c r="G62" i="24"/>
  <c r="H62" i="24"/>
  <c r="I62" i="24" s="1"/>
  <c r="D55" i="81"/>
  <c r="E55" i="81"/>
  <c r="E56" i="76"/>
  <c r="D56" i="76"/>
  <c r="I51" i="99"/>
  <c r="D64" i="27"/>
  <c r="E64" i="27" s="1"/>
  <c r="B54" i="92"/>
  <c r="F54" i="92"/>
  <c r="E61" i="44"/>
  <c r="F61" i="44" s="1"/>
  <c r="H61" i="44" s="1"/>
  <c r="B61" i="44"/>
  <c r="B56" i="65"/>
  <c r="F56" i="65"/>
  <c r="B58" i="57"/>
  <c r="F58" i="57"/>
  <c r="H58" i="57" s="1"/>
  <c r="I58" i="57" s="1"/>
  <c r="G58" i="57"/>
  <c r="E63" i="69"/>
  <c r="F63" i="69" s="1"/>
  <c r="G63" i="69" s="1"/>
  <c r="D65" i="34"/>
  <c r="G64" i="34"/>
  <c r="H64" i="34"/>
  <c r="G60" i="39"/>
  <c r="I60" i="39" s="1"/>
  <c r="G61" i="21"/>
  <c r="I58" i="54"/>
  <c r="H141" i="31"/>
  <c r="I141" i="31"/>
  <c r="J141" i="31" s="1"/>
  <c r="D55" i="80"/>
  <c r="E55" i="80"/>
  <c r="I57" i="59"/>
  <c r="D55" i="86"/>
  <c r="E55" i="86"/>
  <c r="I58" i="55"/>
  <c r="B58" i="26"/>
  <c r="D61" i="43"/>
  <c r="E61" i="43" s="1"/>
  <c r="F61" i="43" s="1"/>
  <c r="E65" i="71"/>
  <c r="B65" i="71"/>
  <c r="F65" i="71"/>
  <c r="H65" i="71" s="1"/>
  <c r="H57" i="62"/>
  <c r="I57" i="62" s="1"/>
  <c r="H54" i="88"/>
  <c r="I54" i="88" s="1"/>
  <c r="E142" i="31"/>
  <c r="F142" i="31" s="1"/>
  <c r="B142" i="31"/>
  <c r="I54" i="86"/>
  <c r="B58" i="64"/>
  <c r="F58" i="64"/>
  <c r="G58" i="64" s="1"/>
  <c r="H64" i="3"/>
  <c r="F58" i="59"/>
  <c r="H58" i="59" s="1"/>
  <c r="B58" i="59"/>
  <c r="B54" i="91"/>
  <c r="F54" i="91"/>
  <c r="H54" i="91" s="1"/>
  <c r="D62" i="17"/>
  <c r="I61" i="21"/>
  <c r="I53" i="90"/>
  <c r="H54" i="80"/>
  <c r="I54" i="80" s="1"/>
  <c r="G65" i="70"/>
  <c r="I65" i="70" s="1"/>
  <c r="D66" i="70"/>
  <c r="G64" i="3"/>
  <c r="H60" i="43"/>
  <c r="C70" i="17"/>
  <c r="B61" i="17"/>
  <c r="H61" i="17"/>
  <c r="G61" i="17"/>
  <c r="I64" i="71"/>
  <c r="I52" i="96"/>
  <c r="E65" i="3"/>
  <c r="F65" i="3" s="1"/>
  <c r="B65" i="3"/>
  <c r="B58" i="61"/>
  <c r="F58" i="61"/>
  <c r="H58" i="61" s="1"/>
  <c r="E59" i="55"/>
  <c r="D59" i="55"/>
  <c r="E58" i="26"/>
  <c r="F58" i="26" s="1"/>
  <c r="G60" i="43"/>
  <c r="I60" i="17"/>
  <c r="D145" i="17"/>
  <c r="B145" i="17" s="1"/>
  <c r="G144" i="17"/>
  <c r="E145" i="17"/>
  <c r="F145" i="17" s="1"/>
  <c r="J137" i="67"/>
  <c r="I137" i="60"/>
  <c r="H137" i="60"/>
  <c r="J135" i="66"/>
  <c r="J144" i="29"/>
  <c r="I145" i="70"/>
  <c r="J145" i="70" s="1"/>
  <c r="H145" i="70"/>
  <c r="J135" i="78"/>
  <c r="F146" i="70"/>
  <c r="B146" i="70"/>
  <c r="B138" i="60"/>
  <c r="F138" i="60"/>
  <c r="G145" i="29"/>
  <c r="D146" i="29"/>
  <c r="E146" i="29" s="1"/>
  <c r="I132" i="84"/>
  <c r="H132" i="84"/>
  <c r="H141" i="71"/>
  <c r="I141" i="71"/>
  <c r="H142" i="27"/>
  <c r="I142" i="27"/>
  <c r="G143" i="23"/>
  <c r="D144" i="23"/>
  <c r="I137" i="58"/>
  <c r="H137" i="58"/>
  <c r="H139" i="73"/>
  <c r="I139" i="73"/>
  <c r="H142" i="69"/>
  <c r="I142" i="69"/>
  <c r="B143" i="27"/>
  <c r="D54" i="87"/>
  <c r="E54" i="87"/>
  <c r="H133" i="99"/>
  <c r="I133" i="99"/>
  <c r="H139" i="41"/>
  <c r="I139" i="41"/>
  <c r="D53" i="100"/>
  <c r="E53" i="100"/>
  <c r="B137" i="61"/>
  <c r="F137" i="61"/>
  <c r="F138" i="58"/>
  <c r="B138" i="58"/>
  <c r="F140" i="73"/>
  <c r="B140" i="73"/>
  <c r="H133" i="83"/>
  <c r="I133" i="83"/>
  <c r="H136" i="59"/>
  <c r="I136" i="59"/>
  <c r="D54" i="90"/>
  <c r="E54" i="90"/>
  <c r="G55" i="78"/>
  <c r="I55" i="78" s="1"/>
  <c r="B134" i="100"/>
  <c r="F134" i="100"/>
  <c r="B135" i="79"/>
  <c r="F135" i="79"/>
  <c r="J140" i="19"/>
  <c r="G141" i="34"/>
  <c r="D142" i="34"/>
  <c r="E142" i="34" s="1"/>
  <c r="E53" i="96"/>
  <c r="D53" i="96"/>
  <c r="F143" i="69"/>
  <c r="B143" i="69"/>
  <c r="D57" i="13"/>
  <c r="E57" i="13" s="1"/>
  <c r="H137" i="72"/>
  <c r="I137" i="72"/>
  <c r="H133" i="81"/>
  <c r="I133" i="81"/>
  <c r="F133" i="89"/>
  <c r="B133" i="89"/>
  <c r="B133" i="91"/>
  <c r="F133" i="91"/>
  <c r="I137" i="46"/>
  <c r="H137" i="46"/>
  <c r="G53" i="89"/>
  <c r="I53" i="89" s="1"/>
  <c r="D64" i="19"/>
  <c r="E64" i="19" s="1"/>
  <c r="B144" i="20"/>
  <c r="F144" i="20"/>
  <c r="B141" i="3"/>
  <c r="F141" i="3"/>
  <c r="F134" i="99"/>
  <c r="B134" i="99"/>
  <c r="F133" i="84"/>
  <c r="B133" i="84"/>
  <c r="F134" i="81"/>
  <c r="B134" i="81"/>
  <c r="F133" i="98"/>
  <c r="B133" i="98"/>
  <c r="B140" i="41"/>
  <c r="F140" i="41"/>
  <c r="H136" i="61"/>
  <c r="I136" i="61"/>
  <c r="J136" i="61" s="1"/>
  <c r="H137" i="57"/>
  <c r="I137" i="57"/>
  <c r="J137" i="57" s="1"/>
  <c r="B134" i="83"/>
  <c r="F134" i="83"/>
  <c r="B137" i="59"/>
  <c r="F137" i="59"/>
  <c r="I132" i="96"/>
  <c r="H132" i="96"/>
  <c r="F139" i="62"/>
  <c r="B139" i="62"/>
  <c r="G141" i="19"/>
  <c r="D142" i="19"/>
  <c r="E142" i="19"/>
  <c r="G63" i="29"/>
  <c r="I63" i="29" s="1"/>
  <c r="H134" i="79"/>
  <c r="I134" i="79"/>
  <c r="H139" i="74"/>
  <c r="I139" i="74"/>
  <c r="F140" i="55"/>
  <c r="B140" i="55"/>
  <c r="D59" i="54"/>
  <c r="E59" i="54"/>
  <c r="G136" i="66"/>
  <c r="D137" i="66"/>
  <c r="E137" i="66"/>
  <c r="H132" i="89"/>
  <c r="I132" i="89"/>
  <c r="F136" i="85"/>
  <c r="B136" i="85"/>
  <c r="H132" i="91"/>
  <c r="I132" i="91"/>
  <c r="D137" i="78"/>
  <c r="G136" i="78"/>
  <c r="E137" i="78"/>
  <c r="H63" i="19"/>
  <c r="B142" i="32"/>
  <c r="F142" i="32"/>
  <c r="H137" i="54"/>
  <c r="I137" i="54"/>
  <c r="B133" i="92"/>
  <c r="F133" i="92"/>
  <c r="H53" i="87"/>
  <c r="I53" i="87" s="1"/>
  <c r="J136" i="63"/>
  <c r="H136" i="64"/>
  <c r="I136" i="64"/>
  <c r="F138" i="46"/>
  <c r="B138" i="46"/>
  <c r="D61" i="39"/>
  <c r="E61" i="39" s="1"/>
  <c r="F53" i="25"/>
  <c r="H53" i="25" s="1"/>
  <c r="B53" i="25"/>
  <c r="B138" i="57"/>
  <c r="F138" i="57"/>
  <c r="B133" i="96"/>
  <c r="F133" i="96"/>
  <c r="I133" i="100"/>
  <c r="H133" i="100"/>
  <c r="B140" i="74"/>
  <c r="F140" i="74"/>
  <c r="H139" i="55"/>
  <c r="I139" i="55"/>
  <c r="B134" i="80"/>
  <c r="F134" i="80"/>
  <c r="B133" i="88"/>
  <c r="F133" i="88"/>
  <c r="E138" i="63"/>
  <c r="G137" i="63"/>
  <c r="D138" i="63"/>
  <c r="G63" i="19"/>
  <c r="H141" i="32"/>
  <c r="I141" i="32"/>
  <c r="J141" i="32" s="1"/>
  <c r="B138" i="54"/>
  <c r="F138" i="54"/>
  <c r="E56" i="75"/>
  <c r="D56" i="75"/>
  <c r="H141" i="24"/>
  <c r="I141" i="24"/>
  <c r="F137" i="64"/>
  <c r="B137" i="64"/>
  <c r="H134" i="77"/>
  <c r="I134" i="77"/>
  <c r="I132" i="98"/>
  <c r="H132" i="98"/>
  <c r="F138" i="53"/>
  <c r="B138" i="53"/>
  <c r="I135" i="85"/>
  <c r="H135" i="85"/>
  <c r="F138" i="56"/>
  <c r="B138" i="56"/>
  <c r="F136" i="82"/>
  <c r="B136" i="82"/>
  <c r="D62" i="18"/>
  <c r="E62" i="18" s="1"/>
  <c r="I138" i="45"/>
  <c r="H138" i="45"/>
  <c r="I138" i="62"/>
  <c r="H138" i="62"/>
  <c r="D64" i="29"/>
  <c r="E64" i="29" s="1"/>
  <c r="F140" i="39"/>
  <c r="B140" i="39"/>
  <c r="H136" i="75"/>
  <c r="I136" i="75"/>
  <c r="H133" i="80"/>
  <c r="I133" i="80"/>
  <c r="I132" i="88"/>
  <c r="H132" i="88"/>
  <c r="H132" i="92"/>
  <c r="I132" i="92"/>
  <c r="H132" i="86"/>
  <c r="I132" i="86"/>
  <c r="F136" i="68"/>
  <c r="B136" i="68"/>
  <c r="D64" i="30"/>
  <c r="F141" i="18"/>
  <c r="B141" i="18"/>
  <c r="G63" i="30"/>
  <c r="I63" i="30" s="1"/>
  <c r="D56" i="78"/>
  <c r="E56" i="78"/>
  <c r="H143" i="28"/>
  <c r="I143" i="28"/>
  <c r="D62" i="21"/>
  <c r="E62" i="21" s="1"/>
  <c r="I135" i="82"/>
  <c r="H135" i="82"/>
  <c r="F139" i="45"/>
  <c r="B139" i="45"/>
  <c r="H139" i="39"/>
  <c r="I139" i="39"/>
  <c r="F133" i="90"/>
  <c r="B133" i="90"/>
  <c r="B137" i="75"/>
  <c r="F137" i="75"/>
  <c r="I135" i="65"/>
  <c r="H135" i="65"/>
  <c r="I134" i="76"/>
  <c r="H134" i="76"/>
  <c r="D139" i="67"/>
  <c r="G138" i="67"/>
  <c r="E139" i="67"/>
  <c r="B141" i="22"/>
  <c r="F141" i="22"/>
  <c r="F133" i="86"/>
  <c r="B133" i="86"/>
  <c r="F141" i="21"/>
  <c r="B141" i="21"/>
  <c r="G135" i="13"/>
  <c r="D136" i="13"/>
  <c r="E136" i="13" s="1"/>
  <c r="H137" i="53"/>
  <c r="I137" i="53"/>
  <c r="B143" i="30"/>
  <c r="F143" i="30"/>
  <c r="H143" i="20"/>
  <c r="I143" i="20"/>
  <c r="J143" i="20" s="1"/>
  <c r="B138" i="72"/>
  <c r="F138" i="72"/>
  <c r="D54" i="89"/>
  <c r="E54" i="89"/>
  <c r="H137" i="56"/>
  <c r="I137" i="56"/>
  <c r="D62" i="22"/>
  <c r="E62" i="22" s="1"/>
  <c r="B142" i="24"/>
  <c r="F142" i="24"/>
  <c r="B144" i="28"/>
  <c r="F144" i="28"/>
  <c r="H135" i="68"/>
  <c r="I135" i="68"/>
  <c r="J135" i="68" s="1"/>
  <c r="H61" i="22"/>
  <c r="I61" i="22" s="1"/>
  <c r="I61" i="18"/>
  <c r="H140" i="21"/>
  <c r="I140" i="21"/>
  <c r="J140" i="21" s="1"/>
  <c r="F142" i="71"/>
  <c r="B142" i="71"/>
  <c r="H132" i="90"/>
  <c r="I132" i="90"/>
  <c r="D58" i="62"/>
  <c r="E58" i="62"/>
  <c r="H140" i="3"/>
  <c r="I140" i="3"/>
  <c r="B136" i="65"/>
  <c r="F136" i="65"/>
  <c r="F135" i="76"/>
  <c r="B135" i="76"/>
  <c r="I140" i="18"/>
  <c r="H140" i="18"/>
  <c r="D55" i="88"/>
  <c r="E55" i="88"/>
  <c r="F135" i="77"/>
  <c r="B135" i="77"/>
  <c r="H142" i="30"/>
  <c r="I142" i="30"/>
  <c r="D63" i="32"/>
  <c r="E63" i="32" s="1"/>
  <c r="E143" i="27"/>
  <c r="F143" i="27" s="1"/>
  <c r="I140" i="22"/>
  <c r="H140" i="22"/>
  <c r="D62" i="73" l="1"/>
  <c r="B62" i="73" s="1"/>
  <c r="I61" i="20"/>
  <c r="H56" i="66"/>
  <c r="I56" i="66" s="1"/>
  <c r="G135" i="25"/>
  <c r="D136" i="25"/>
  <c r="E134" i="87"/>
  <c r="D134" i="87"/>
  <c r="G133" i="87"/>
  <c r="I60" i="74"/>
  <c r="H57" i="63"/>
  <c r="I57" i="63" s="1"/>
  <c r="G54" i="84"/>
  <c r="I54" i="84" s="1"/>
  <c r="G58" i="53"/>
  <c r="I58" i="53" s="1"/>
  <c r="I64" i="31"/>
  <c r="D135" i="95"/>
  <c r="G134" i="95"/>
  <c r="E135" i="95"/>
  <c r="J134" i="25"/>
  <c r="J137" i="53"/>
  <c r="I60" i="73"/>
  <c r="E57" i="33"/>
  <c r="F57" i="33" s="1"/>
  <c r="H63" i="23"/>
  <c r="D64" i="23"/>
  <c r="I64" i="34"/>
  <c r="G56" i="65"/>
  <c r="E57" i="65"/>
  <c r="D57" i="65"/>
  <c r="H56" i="65"/>
  <c r="E55" i="92"/>
  <c r="D55" i="92"/>
  <c r="F55" i="81"/>
  <c r="B55" i="81"/>
  <c r="F55" i="85"/>
  <c r="H55" i="85" s="1"/>
  <c r="B55" i="85"/>
  <c r="G55" i="85"/>
  <c r="I133" i="97"/>
  <c r="H133" i="97"/>
  <c r="D56" i="79"/>
  <c r="E56" i="79"/>
  <c r="I134" i="33"/>
  <c r="J134" i="33" s="1"/>
  <c r="H134" i="33"/>
  <c r="D65" i="28"/>
  <c r="E65" i="28"/>
  <c r="F65" i="28" s="1"/>
  <c r="D66" i="28" s="1"/>
  <c r="B140" i="43"/>
  <c r="F140" i="43"/>
  <c r="G59" i="45"/>
  <c r="D60" i="45"/>
  <c r="F53" i="98"/>
  <c r="B53" i="98"/>
  <c r="H53" i="98"/>
  <c r="F56" i="77"/>
  <c r="G56" i="77" s="1"/>
  <c r="B56" i="77"/>
  <c r="D62" i="44"/>
  <c r="E62" i="44"/>
  <c r="F62" i="44" s="1"/>
  <c r="B56" i="76"/>
  <c r="F56" i="76"/>
  <c r="H56" i="76"/>
  <c r="E141" i="44"/>
  <c r="G140" i="44"/>
  <c r="D141" i="44"/>
  <c r="D57" i="68"/>
  <c r="E57" i="68"/>
  <c r="D59" i="58"/>
  <c r="E59" i="58"/>
  <c r="G59" i="72"/>
  <c r="B59" i="72"/>
  <c r="F59" i="72"/>
  <c r="H59" i="72" s="1"/>
  <c r="D55" i="83"/>
  <c r="E55" i="83"/>
  <c r="E135" i="33"/>
  <c r="B135" i="33"/>
  <c r="F135" i="33"/>
  <c r="D53" i="99"/>
  <c r="E53" i="99"/>
  <c r="G64" i="28"/>
  <c r="H139" i="43"/>
  <c r="I139" i="43"/>
  <c r="H139" i="42"/>
  <c r="I139" i="42"/>
  <c r="J139" i="42" s="1"/>
  <c r="B63" i="23"/>
  <c r="G63" i="23"/>
  <c r="I63" i="23" s="1"/>
  <c r="B62" i="42"/>
  <c r="H62" i="42"/>
  <c r="F62" i="42"/>
  <c r="G62" i="42" s="1"/>
  <c r="E59" i="57"/>
  <c r="D59" i="57"/>
  <c r="H54" i="92"/>
  <c r="B61" i="74"/>
  <c r="H57" i="60"/>
  <c r="I57" i="60" s="1"/>
  <c r="D58" i="60"/>
  <c r="E58" i="60"/>
  <c r="D135" i="26"/>
  <c r="G134" i="26"/>
  <c r="G55" i="79"/>
  <c r="H54" i="83"/>
  <c r="D62" i="20"/>
  <c r="E62" i="20"/>
  <c r="F62" i="20" s="1"/>
  <c r="D55" i="84"/>
  <c r="E55" i="84"/>
  <c r="D55" i="82"/>
  <c r="E55" i="82"/>
  <c r="H64" i="28"/>
  <c r="I64" i="28" s="1"/>
  <c r="J139" i="44"/>
  <c r="D59" i="56"/>
  <c r="E59" i="56"/>
  <c r="H59" i="45"/>
  <c r="I59" i="45" s="1"/>
  <c r="B61" i="73"/>
  <c r="G61" i="73"/>
  <c r="H61" i="73"/>
  <c r="I61" i="73" s="1"/>
  <c r="J133" i="26"/>
  <c r="I52" i="95"/>
  <c r="B140" i="42"/>
  <c r="F140" i="42"/>
  <c r="E59" i="53"/>
  <c r="D59" i="53"/>
  <c r="B65" i="31"/>
  <c r="F65" i="31"/>
  <c r="I61" i="17"/>
  <c r="H58" i="64"/>
  <c r="D64" i="69"/>
  <c r="E64" i="69" s="1"/>
  <c r="G61" i="44"/>
  <c r="I61" i="44" s="1"/>
  <c r="G54" i="92"/>
  <c r="F64" i="27"/>
  <c r="G64" i="27" s="1"/>
  <c r="B64" i="27"/>
  <c r="E61" i="74"/>
  <c r="F61" i="74" s="1"/>
  <c r="H56" i="68"/>
  <c r="I56" i="68" s="1"/>
  <c r="H56" i="67"/>
  <c r="I56" i="67" s="1"/>
  <c r="D57" i="67"/>
  <c r="E57" i="67"/>
  <c r="F134" i="97"/>
  <c r="B134" i="97"/>
  <c r="G53" i="97"/>
  <c r="B53" i="97"/>
  <c r="F53" i="97"/>
  <c r="H53" i="97" s="1"/>
  <c r="I53" i="97" s="1"/>
  <c r="H55" i="79"/>
  <c r="H58" i="58"/>
  <c r="I58" i="58" s="1"/>
  <c r="G54" i="83"/>
  <c r="E58" i="63"/>
  <c r="D58" i="63"/>
  <c r="G52" i="99"/>
  <c r="I52" i="99" s="1"/>
  <c r="G54" i="82"/>
  <c r="I54" i="82" s="1"/>
  <c r="E57" i="66"/>
  <c r="D57" i="66"/>
  <c r="I60" i="41"/>
  <c r="H58" i="56"/>
  <c r="I58" i="56" s="1"/>
  <c r="H63" i="69"/>
  <c r="I63" i="69" s="1"/>
  <c r="D53" i="95"/>
  <c r="E53" i="95"/>
  <c r="H58" i="46"/>
  <c r="I58" i="46" s="1"/>
  <c r="D59" i="46"/>
  <c r="E59" i="46"/>
  <c r="G63" i="24"/>
  <c r="F63" i="24"/>
  <c r="B63" i="24"/>
  <c r="H63" i="24"/>
  <c r="G61" i="41"/>
  <c r="I61" i="41" s="1"/>
  <c r="B61" i="41"/>
  <c r="F61" i="41"/>
  <c r="H61" i="41"/>
  <c r="H58" i="26"/>
  <c r="D59" i="26"/>
  <c r="G58" i="26"/>
  <c r="G53" i="25"/>
  <c r="D66" i="3"/>
  <c r="I60" i="43"/>
  <c r="C71" i="17"/>
  <c r="B62" i="17"/>
  <c r="G54" i="91"/>
  <c r="I54" i="91" s="1"/>
  <c r="I58" i="64"/>
  <c r="D143" i="31"/>
  <c r="E143" i="31" s="1"/>
  <c r="G142" i="31"/>
  <c r="G65" i="71"/>
  <c r="D66" i="71"/>
  <c r="E66" i="71" s="1"/>
  <c r="J135" i="65"/>
  <c r="J139" i="41"/>
  <c r="G58" i="61"/>
  <c r="I58" i="61" s="1"/>
  <c r="H65" i="3"/>
  <c r="G58" i="59"/>
  <c r="I58" i="59" s="1"/>
  <c r="D59" i="59"/>
  <c r="E59" i="59"/>
  <c r="D62" i="43"/>
  <c r="B55" i="80"/>
  <c r="F55" i="80"/>
  <c r="G55" i="80" s="1"/>
  <c r="B59" i="55"/>
  <c r="F59" i="55"/>
  <c r="H59" i="55"/>
  <c r="G65" i="3"/>
  <c r="I64" i="3"/>
  <c r="E59" i="64"/>
  <c r="D59" i="64"/>
  <c r="B61" i="43"/>
  <c r="G61" i="43"/>
  <c r="H61" i="43"/>
  <c r="E59" i="61"/>
  <c r="D59" i="61"/>
  <c r="E66" i="70"/>
  <c r="B66" i="70"/>
  <c r="F66" i="70"/>
  <c r="H66" i="70" s="1"/>
  <c r="E62" i="17"/>
  <c r="F62" i="17" s="1"/>
  <c r="D55" i="91"/>
  <c r="E55" i="91"/>
  <c r="I65" i="71"/>
  <c r="F55" i="86"/>
  <c r="G55" i="86" s="1"/>
  <c r="B55" i="86"/>
  <c r="E65" i="34"/>
  <c r="F65" i="34" s="1"/>
  <c r="B65" i="34"/>
  <c r="G138" i="60"/>
  <c r="D139" i="60"/>
  <c r="E139" i="60"/>
  <c r="J142" i="69"/>
  <c r="D146" i="17"/>
  <c r="G145" i="17"/>
  <c r="J138" i="62"/>
  <c r="J139" i="74"/>
  <c r="J136" i="59"/>
  <c r="J139" i="73"/>
  <c r="D147" i="70"/>
  <c r="G146" i="70"/>
  <c r="E147" i="70"/>
  <c r="H144" i="17"/>
  <c r="I144" i="17"/>
  <c r="J137" i="46"/>
  <c r="J137" i="56"/>
  <c r="J137" i="72"/>
  <c r="J137" i="58"/>
  <c r="J137" i="60"/>
  <c r="G143" i="27"/>
  <c r="D144" i="27"/>
  <c r="E144" i="27" s="1"/>
  <c r="F58" i="62"/>
  <c r="H58" i="62"/>
  <c r="G58" i="62"/>
  <c r="B58" i="62"/>
  <c r="I136" i="66"/>
  <c r="H136" i="66"/>
  <c r="F53" i="100"/>
  <c r="B53" i="100"/>
  <c r="F54" i="87"/>
  <c r="H54" i="87" s="1"/>
  <c r="B54" i="87"/>
  <c r="G138" i="56"/>
  <c r="D139" i="56"/>
  <c r="E139" i="56"/>
  <c r="G133" i="91"/>
  <c r="D134" i="91"/>
  <c r="E134" i="91"/>
  <c r="B63" i="32"/>
  <c r="F63" i="32"/>
  <c r="H63" i="32" s="1"/>
  <c r="D142" i="21"/>
  <c r="G141" i="21"/>
  <c r="E142" i="21"/>
  <c r="J134" i="76"/>
  <c r="B137" i="78"/>
  <c r="F137" i="78"/>
  <c r="J142" i="30"/>
  <c r="G144" i="28"/>
  <c r="D145" i="28"/>
  <c r="E145" i="28" s="1"/>
  <c r="D142" i="22"/>
  <c r="E142" i="22" s="1"/>
  <c r="G141" i="22"/>
  <c r="J143" i="28"/>
  <c r="F64" i="29"/>
  <c r="H64" i="29" s="1"/>
  <c r="G64" i="29"/>
  <c r="B64" i="29"/>
  <c r="B62" i="18"/>
  <c r="F62" i="18"/>
  <c r="H62" i="18" s="1"/>
  <c r="J134" i="77"/>
  <c r="J139" i="55"/>
  <c r="I53" i="25"/>
  <c r="J136" i="64"/>
  <c r="J137" i="54"/>
  <c r="D137" i="85"/>
  <c r="G136" i="85"/>
  <c r="E137" i="85"/>
  <c r="J134" i="79"/>
  <c r="B142" i="19"/>
  <c r="F142" i="19"/>
  <c r="D134" i="98"/>
  <c r="G133" i="98"/>
  <c r="E134" i="98"/>
  <c r="B64" i="19"/>
  <c r="F64" i="19"/>
  <c r="G64" i="19" s="1"/>
  <c r="B57" i="13"/>
  <c r="F57" i="13"/>
  <c r="G57" i="13" s="1"/>
  <c r="H141" i="34"/>
  <c r="I141" i="34"/>
  <c r="D141" i="73"/>
  <c r="G140" i="73"/>
  <c r="E141" i="73"/>
  <c r="J141" i="71"/>
  <c r="F146" i="29"/>
  <c r="B146" i="29"/>
  <c r="G134" i="83"/>
  <c r="D135" i="83"/>
  <c r="E135" i="83"/>
  <c r="G62" i="21"/>
  <c r="B62" i="21"/>
  <c r="F62" i="21"/>
  <c r="H62" i="21" s="1"/>
  <c r="J138" i="45"/>
  <c r="G134" i="80"/>
  <c r="D135" i="80"/>
  <c r="E135" i="80"/>
  <c r="G133" i="96"/>
  <c r="D134" i="96"/>
  <c r="E134" i="96"/>
  <c r="D134" i="92"/>
  <c r="G133" i="92"/>
  <c r="E134" i="92"/>
  <c r="E135" i="100"/>
  <c r="D135" i="100"/>
  <c r="G134" i="100"/>
  <c r="D137" i="65"/>
  <c r="G136" i="65"/>
  <c r="E137" i="65"/>
  <c r="D139" i="46"/>
  <c r="G138" i="46"/>
  <c r="E139" i="46"/>
  <c r="G133" i="90"/>
  <c r="D134" i="90"/>
  <c r="E134" i="90"/>
  <c r="I141" i="19"/>
  <c r="H141" i="19"/>
  <c r="D135" i="99"/>
  <c r="G134" i="99"/>
  <c r="E135" i="99"/>
  <c r="B144" i="23"/>
  <c r="H145" i="29"/>
  <c r="I145" i="29"/>
  <c r="B55" i="88"/>
  <c r="F55" i="88"/>
  <c r="G55" i="88" s="1"/>
  <c r="G142" i="71"/>
  <c r="D143" i="71"/>
  <c r="E143" i="71"/>
  <c r="D144" i="30"/>
  <c r="G143" i="30"/>
  <c r="G138" i="53"/>
  <c r="D139" i="53"/>
  <c r="E139" i="53"/>
  <c r="H137" i="63"/>
  <c r="I137" i="63"/>
  <c r="J137" i="63" s="1"/>
  <c r="D141" i="41"/>
  <c r="E141" i="41" s="1"/>
  <c r="G140" i="41"/>
  <c r="F62" i="22"/>
  <c r="H62" i="22" s="1"/>
  <c r="G62" i="22"/>
  <c r="B62" i="22"/>
  <c r="D134" i="86"/>
  <c r="G133" i="86"/>
  <c r="E134" i="86"/>
  <c r="B59" i="54"/>
  <c r="F59" i="54"/>
  <c r="G59" i="54" s="1"/>
  <c r="G133" i="84"/>
  <c r="D134" i="84"/>
  <c r="E134" i="84"/>
  <c r="D139" i="57"/>
  <c r="G138" i="57"/>
  <c r="E139" i="57"/>
  <c r="J140" i="22"/>
  <c r="J140" i="18"/>
  <c r="J140" i="3"/>
  <c r="B136" i="13"/>
  <c r="F136" i="13"/>
  <c r="E138" i="75"/>
  <c r="D138" i="75"/>
  <c r="G137" i="75"/>
  <c r="J139" i="39"/>
  <c r="D137" i="82"/>
  <c r="G136" i="82"/>
  <c r="E137" i="82"/>
  <c r="D54" i="25"/>
  <c r="E54" i="25" s="1"/>
  <c r="D143" i="32"/>
  <c r="E143" i="32" s="1"/>
  <c r="G142" i="32"/>
  <c r="G134" i="81"/>
  <c r="D135" i="81"/>
  <c r="E135" i="81"/>
  <c r="G141" i="3"/>
  <c r="D142" i="3"/>
  <c r="E142" i="3" s="1"/>
  <c r="G135" i="79"/>
  <c r="D136" i="79"/>
  <c r="E136" i="79"/>
  <c r="F54" i="90"/>
  <c r="G54" i="90" s="1"/>
  <c r="B54" i="90"/>
  <c r="H143" i="23"/>
  <c r="I143" i="23"/>
  <c r="B64" i="30"/>
  <c r="G135" i="76"/>
  <c r="D136" i="76"/>
  <c r="E136" i="76"/>
  <c r="D139" i="72"/>
  <c r="G138" i="72"/>
  <c r="E139" i="72"/>
  <c r="G136" i="68"/>
  <c r="D137" i="68"/>
  <c r="E137" i="68"/>
  <c r="G140" i="39"/>
  <c r="D141" i="39"/>
  <c r="E141" i="39"/>
  <c r="G133" i="88"/>
  <c r="D134" i="88"/>
  <c r="E134" i="88"/>
  <c r="G135" i="77"/>
  <c r="D136" i="77"/>
  <c r="E136" i="77"/>
  <c r="G142" i="24"/>
  <c r="D143" i="24"/>
  <c r="E143" i="24" s="1"/>
  <c r="I135" i="13"/>
  <c r="H135" i="13"/>
  <c r="H138" i="67"/>
  <c r="I138" i="67"/>
  <c r="J138" i="67" s="1"/>
  <c r="D140" i="45"/>
  <c r="G139" i="45"/>
  <c r="E140" i="45"/>
  <c r="G141" i="18"/>
  <c r="D142" i="18"/>
  <c r="E142" i="18" s="1"/>
  <c r="J136" i="75"/>
  <c r="D138" i="64"/>
  <c r="G137" i="64"/>
  <c r="E138" i="64"/>
  <c r="B61" i="39"/>
  <c r="F61" i="39"/>
  <c r="G61" i="39" s="1"/>
  <c r="E141" i="55"/>
  <c r="G140" i="55"/>
  <c r="D141" i="55"/>
  <c r="D140" i="62"/>
  <c r="G139" i="62"/>
  <c r="E140" i="62"/>
  <c r="D138" i="59"/>
  <c r="G137" i="59"/>
  <c r="E138" i="59"/>
  <c r="G133" i="89"/>
  <c r="D134" i="89"/>
  <c r="E134" i="89"/>
  <c r="G143" i="69"/>
  <c r="D144" i="69"/>
  <c r="E144" i="69"/>
  <c r="G138" i="58"/>
  <c r="D139" i="58"/>
  <c r="E139" i="58"/>
  <c r="E144" i="23"/>
  <c r="F144" i="23" s="1"/>
  <c r="F54" i="89"/>
  <c r="B54" i="89"/>
  <c r="G138" i="54"/>
  <c r="D139" i="54"/>
  <c r="E139" i="54"/>
  <c r="H136" i="78"/>
  <c r="I136" i="78"/>
  <c r="J136" i="78" s="1"/>
  <c r="B142" i="34"/>
  <c r="F142" i="34"/>
  <c r="F139" i="67"/>
  <c r="B139" i="67"/>
  <c r="F56" i="78"/>
  <c r="B56" i="78"/>
  <c r="E64" i="30"/>
  <c r="F64" i="30" s="1"/>
  <c r="J141" i="24"/>
  <c r="B56" i="75"/>
  <c r="F56" i="75"/>
  <c r="G56" i="75" s="1"/>
  <c r="F138" i="63"/>
  <c r="B138" i="63"/>
  <c r="G140" i="74"/>
  <c r="D141" i="74"/>
  <c r="E141" i="74"/>
  <c r="I63" i="19"/>
  <c r="B137" i="66"/>
  <c r="F137" i="66"/>
  <c r="G144" i="20"/>
  <c r="D145" i="20"/>
  <c r="E145" i="20" s="1"/>
  <c r="B53" i="96"/>
  <c r="F53" i="96"/>
  <c r="H53" i="96" s="1"/>
  <c r="G137" i="61"/>
  <c r="D138" i="61"/>
  <c r="E138" i="61"/>
  <c r="J142" i="27"/>
  <c r="B134" i="87" l="1"/>
  <c r="F134" i="87"/>
  <c r="F135" i="95"/>
  <c r="B135" i="95"/>
  <c r="I134" i="95"/>
  <c r="H134" i="95"/>
  <c r="I62" i="21"/>
  <c r="G66" i="70"/>
  <c r="J139" i="43"/>
  <c r="E136" i="25"/>
  <c r="B136" i="25"/>
  <c r="F136" i="25"/>
  <c r="E62" i="73"/>
  <c r="F62" i="73" s="1"/>
  <c r="H57" i="33"/>
  <c r="G57" i="33"/>
  <c r="D58" i="33"/>
  <c r="H133" i="87"/>
  <c r="I133" i="87"/>
  <c r="I135" i="25"/>
  <c r="H135" i="25"/>
  <c r="D62" i="74"/>
  <c r="E62" i="74" s="1"/>
  <c r="F62" i="74" s="1"/>
  <c r="G61" i="74"/>
  <c r="H61" i="74"/>
  <c r="H55" i="86"/>
  <c r="I55" i="86" s="1"/>
  <c r="D64" i="24"/>
  <c r="E64" i="24" s="1"/>
  <c r="E135" i="97"/>
  <c r="D135" i="97"/>
  <c r="G134" i="97"/>
  <c r="D65" i="27"/>
  <c r="E65" i="27" s="1"/>
  <c r="F65" i="27" s="1"/>
  <c r="D66" i="31"/>
  <c r="E66" i="31" s="1"/>
  <c r="F66" i="31" s="1"/>
  <c r="F59" i="53"/>
  <c r="D60" i="53" s="1"/>
  <c r="B59" i="53"/>
  <c r="I54" i="83"/>
  <c r="F59" i="57"/>
  <c r="G59" i="57" s="1"/>
  <c r="B59" i="57"/>
  <c r="F53" i="99"/>
  <c r="H53" i="99" s="1"/>
  <c r="B53" i="99"/>
  <c r="I140" i="44"/>
  <c r="J140" i="44" s="1"/>
  <c r="H140" i="44"/>
  <c r="B60" i="45"/>
  <c r="F60" i="45"/>
  <c r="E66" i="28"/>
  <c r="F66" i="28" s="1"/>
  <c r="B66" i="28"/>
  <c r="B55" i="92"/>
  <c r="F55" i="92"/>
  <c r="G55" i="92" s="1"/>
  <c r="E64" i="23"/>
  <c r="B64" i="23"/>
  <c r="F64" i="23"/>
  <c r="H64" i="23" s="1"/>
  <c r="B64" i="69"/>
  <c r="F64" i="69"/>
  <c r="H64" i="69" s="1"/>
  <c r="G65" i="31"/>
  <c r="B55" i="84"/>
  <c r="F55" i="84"/>
  <c r="G55" i="84" s="1"/>
  <c r="I55" i="79"/>
  <c r="F58" i="60"/>
  <c r="B58" i="60"/>
  <c r="D136" i="33"/>
  <c r="G135" i="33"/>
  <c r="F55" i="83"/>
  <c r="G55" i="83" s="1"/>
  <c r="B55" i="83"/>
  <c r="H55" i="83"/>
  <c r="D63" i="44"/>
  <c r="E63" i="44" s="1"/>
  <c r="H65" i="28"/>
  <c r="B65" i="28"/>
  <c r="G65" i="28"/>
  <c r="I55" i="85"/>
  <c r="G53" i="96"/>
  <c r="H55" i="88"/>
  <c r="H57" i="13"/>
  <c r="G62" i="18"/>
  <c r="I62" i="18" s="1"/>
  <c r="I63" i="24"/>
  <c r="F53" i="95"/>
  <c r="G53" i="95" s="1"/>
  <c r="B53" i="95"/>
  <c r="B57" i="66"/>
  <c r="F57" i="66"/>
  <c r="H57" i="66" s="1"/>
  <c r="B58" i="63"/>
  <c r="F58" i="63"/>
  <c r="B57" i="67"/>
  <c r="F57" i="67"/>
  <c r="H57" i="67"/>
  <c r="G57" i="67"/>
  <c r="H64" i="27"/>
  <c r="I64" i="27" s="1"/>
  <c r="H65" i="31"/>
  <c r="I65" i="31" s="1"/>
  <c r="D141" i="42"/>
  <c r="B141" i="42" s="1"/>
  <c r="G140" i="42"/>
  <c r="D63" i="20"/>
  <c r="E63" i="20" s="1"/>
  <c r="I134" i="26"/>
  <c r="H134" i="26"/>
  <c r="I62" i="42"/>
  <c r="I59" i="72"/>
  <c r="B57" i="68"/>
  <c r="F57" i="68"/>
  <c r="G57" i="68" s="1"/>
  <c r="B62" i="44"/>
  <c r="G62" i="44"/>
  <c r="H62" i="44"/>
  <c r="E57" i="77"/>
  <c r="D57" i="77"/>
  <c r="D54" i="98"/>
  <c r="E54" i="98"/>
  <c r="D141" i="43"/>
  <c r="G140" i="43"/>
  <c r="B56" i="79"/>
  <c r="H56" i="79"/>
  <c r="F56" i="79"/>
  <c r="G56" i="79" s="1"/>
  <c r="H55" i="81"/>
  <c r="D56" i="81"/>
  <c r="E56" i="81"/>
  <c r="I56" i="65"/>
  <c r="I53" i="96"/>
  <c r="H54" i="90"/>
  <c r="I54" i="90" s="1"/>
  <c r="I58" i="26"/>
  <c r="D62" i="41"/>
  <c r="B59" i="46"/>
  <c r="F59" i="46"/>
  <c r="G59" i="46" s="1"/>
  <c r="D54" i="97"/>
  <c r="E54" i="97"/>
  <c r="F59" i="56"/>
  <c r="G59" i="56" s="1"/>
  <c r="B59" i="56"/>
  <c r="F55" i="82"/>
  <c r="G55" i="82" s="1"/>
  <c r="B55" i="82"/>
  <c r="H55" i="82"/>
  <c r="B62" i="20"/>
  <c r="H62" i="20"/>
  <c r="G62" i="20"/>
  <c r="E135" i="26"/>
  <c r="F135" i="26" s="1"/>
  <c r="B135" i="26"/>
  <c r="I54" i="92"/>
  <c r="D63" i="42"/>
  <c r="D60" i="72"/>
  <c r="E60" i="72" s="1"/>
  <c r="F59" i="58"/>
  <c r="B59" i="58"/>
  <c r="F141" i="44"/>
  <c r="B141" i="44"/>
  <c r="G56" i="76"/>
  <c r="I56" i="76" s="1"/>
  <c r="D57" i="76"/>
  <c r="E57" i="76"/>
  <c r="H56" i="77"/>
  <c r="I56" i="77" s="1"/>
  <c r="G53" i="98"/>
  <c r="I53" i="98" s="1"/>
  <c r="E60" i="45"/>
  <c r="E56" i="85"/>
  <c r="D56" i="85"/>
  <c r="G55" i="81"/>
  <c r="B57" i="65"/>
  <c r="F57" i="65"/>
  <c r="H57" i="65" s="1"/>
  <c r="G65" i="34"/>
  <c r="D66" i="34"/>
  <c r="E66" i="34" s="1"/>
  <c r="H65" i="34"/>
  <c r="H62" i="17"/>
  <c r="D63" i="17"/>
  <c r="E63" i="17" s="1"/>
  <c r="G62" i="17"/>
  <c r="I66" i="70"/>
  <c r="I65" i="3"/>
  <c r="B66" i="3"/>
  <c r="E59" i="26"/>
  <c r="F59" i="26" s="1"/>
  <c r="B59" i="26"/>
  <c r="I64" i="29"/>
  <c r="B55" i="91"/>
  <c r="F55" i="91"/>
  <c r="D67" i="70"/>
  <c r="E67" i="70" s="1"/>
  <c r="F67" i="70" s="1"/>
  <c r="B62" i="43"/>
  <c r="I142" i="31"/>
  <c r="H142" i="31"/>
  <c r="E66" i="3"/>
  <c r="F66" i="3" s="1"/>
  <c r="H64" i="19"/>
  <c r="I64" i="19" s="1"/>
  <c r="I61" i="43"/>
  <c r="G59" i="55"/>
  <c r="I59" i="55" s="1"/>
  <c r="D60" i="55"/>
  <c r="E62" i="43"/>
  <c r="F62" i="43" s="1"/>
  <c r="F59" i="59"/>
  <c r="B59" i="59"/>
  <c r="E56" i="86"/>
  <c r="D56" i="86"/>
  <c r="B59" i="61"/>
  <c r="F59" i="61"/>
  <c r="H59" i="61" s="1"/>
  <c r="B59" i="64"/>
  <c r="F59" i="64"/>
  <c r="H59" i="64" s="1"/>
  <c r="H55" i="80"/>
  <c r="I55" i="80" s="1"/>
  <c r="D56" i="80"/>
  <c r="E56" i="80"/>
  <c r="F66" i="71"/>
  <c r="H66" i="71" s="1"/>
  <c r="B66" i="71"/>
  <c r="F143" i="31"/>
  <c r="B143" i="31"/>
  <c r="J144" i="17"/>
  <c r="J136" i="66"/>
  <c r="J145" i="29"/>
  <c r="J141" i="34"/>
  <c r="H145" i="17"/>
  <c r="I145" i="17"/>
  <c r="J145" i="17" s="1"/>
  <c r="F139" i="60"/>
  <c r="B139" i="60"/>
  <c r="E146" i="17"/>
  <c r="F146" i="17"/>
  <c r="B146" i="17"/>
  <c r="I138" i="60"/>
  <c r="H138" i="60"/>
  <c r="I146" i="70"/>
  <c r="H146" i="70"/>
  <c r="J143" i="23"/>
  <c r="F147" i="70"/>
  <c r="B147" i="70"/>
  <c r="D65" i="30"/>
  <c r="G64" i="30"/>
  <c r="H64" i="30"/>
  <c r="D145" i="23"/>
  <c r="E145" i="23"/>
  <c r="G144" i="23"/>
  <c r="E55" i="89"/>
  <c r="D55" i="89"/>
  <c r="H144" i="28"/>
  <c r="I144" i="28"/>
  <c r="E54" i="100"/>
  <c r="D54" i="100"/>
  <c r="H139" i="62"/>
  <c r="I139" i="62"/>
  <c r="J139" i="62" s="1"/>
  <c r="D62" i="39"/>
  <c r="B135" i="80"/>
  <c r="F135" i="80"/>
  <c r="I141" i="22"/>
  <c r="H141" i="22"/>
  <c r="D138" i="78"/>
  <c r="E138" i="78"/>
  <c r="G137" i="78"/>
  <c r="D64" i="32"/>
  <c r="E64" i="32" s="1"/>
  <c r="B144" i="27"/>
  <c r="F144" i="27"/>
  <c r="H138" i="58"/>
  <c r="I138" i="58"/>
  <c r="B140" i="62"/>
  <c r="F140" i="62"/>
  <c r="H140" i="39"/>
  <c r="I140" i="39"/>
  <c r="J140" i="39" s="1"/>
  <c r="H142" i="32"/>
  <c r="I142" i="32"/>
  <c r="I133" i="86"/>
  <c r="H133" i="86"/>
  <c r="D63" i="22"/>
  <c r="E63" i="22" s="1"/>
  <c r="J141" i="19"/>
  <c r="H134" i="80"/>
  <c r="I134" i="80"/>
  <c r="D58" i="13"/>
  <c r="E58" i="13" s="1"/>
  <c r="F142" i="22"/>
  <c r="B142" i="22"/>
  <c r="D55" i="87"/>
  <c r="E55" i="87"/>
  <c r="I58" i="62"/>
  <c r="H143" i="27"/>
  <c r="I143" i="27"/>
  <c r="J143" i="27" s="1"/>
  <c r="I137" i="61"/>
  <c r="J137" i="61" s="1"/>
  <c r="H137" i="61"/>
  <c r="D57" i="78"/>
  <c r="E57" i="78"/>
  <c r="I133" i="89"/>
  <c r="H133" i="89"/>
  <c r="B135" i="100"/>
  <c r="F135" i="100"/>
  <c r="E143" i="19"/>
  <c r="D143" i="19"/>
  <c r="G142" i="19"/>
  <c r="I133" i="91"/>
  <c r="H133" i="91"/>
  <c r="B139" i="58"/>
  <c r="F139" i="58"/>
  <c r="F141" i="39"/>
  <c r="B141" i="39"/>
  <c r="B144" i="30"/>
  <c r="B139" i="46"/>
  <c r="F139" i="46"/>
  <c r="B139" i="54"/>
  <c r="F139" i="54"/>
  <c r="F141" i="55"/>
  <c r="B141" i="55"/>
  <c r="B142" i="18"/>
  <c r="F142" i="18"/>
  <c r="E55" i="90"/>
  <c r="D55" i="90"/>
  <c r="B143" i="32"/>
  <c r="F143" i="32"/>
  <c r="B134" i="84"/>
  <c r="F134" i="84"/>
  <c r="B134" i="86"/>
  <c r="F134" i="86"/>
  <c r="B139" i="53"/>
  <c r="F139" i="53"/>
  <c r="F143" i="71"/>
  <c r="B143" i="71"/>
  <c r="H133" i="92"/>
  <c r="I133" i="92"/>
  <c r="D147" i="29"/>
  <c r="G146" i="29"/>
  <c r="D65" i="29"/>
  <c r="E65" i="29" s="1"/>
  <c r="G54" i="87"/>
  <c r="I54" i="87" s="1"/>
  <c r="E59" i="62"/>
  <c r="D59" i="62"/>
  <c r="F138" i="64"/>
  <c r="B138" i="64"/>
  <c r="I135" i="77"/>
  <c r="H135" i="77"/>
  <c r="G138" i="63"/>
  <c r="E139" i="63"/>
  <c r="D139" i="63"/>
  <c r="G139" i="67"/>
  <c r="E140" i="67"/>
  <c r="D140" i="67"/>
  <c r="H138" i="54"/>
  <c r="I138" i="54"/>
  <c r="B144" i="69"/>
  <c r="F144" i="69"/>
  <c r="H140" i="55"/>
  <c r="I140" i="55"/>
  <c r="J140" i="55" s="1"/>
  <c r="H141" i="18"/>
  <c r="I141" i="18"/>
  <c r="B143" i="24"/>
  <c r="F143" i="24"/>
  <c r="B137" i="68"/>
  <c r="F137" i="68"/>
  <c r="B142" i="3"/>
  <c r="F142" i="3"/>
  <c r="I137" i="75"/>
  <c r="H137" i="75"/>
  <c r="I133" i="84"/>
  <c r="H133" i="84"/>
  <c r="I140" i="41"/>
  <c r="H140" i="41"/>
  <c r="I138" i="53"/>
  <c r="H138" i="53"/>
  <c r="H142" i="71"/>
  <c r="I142" i="71"/>
  <c r="H136" i="65"/>
  <c r="I136" i="65"/>
  <c r="F134" i="92"/>
  <c r="B134" i="92"/>
  <c r="B135" i="83"/>
  <c r="F135" i="83"/>
  <c r="I133" i="98"/>
  <c r="H133" i="98"/>
  <c r="H136" i="85"/>
  <c r="I136" i="85"/>
  <c r="B139" i="56"/>
  <c r="F139" i="56"/>
  <c r="B139" i="72"/>
  <c r="F139" i="72"/>
  <c r="H134" i="81"/>
  <c r="I134" i="81"/>
  <c r="F135" i="99"/>
  <c r="B135" i="99"/>
  <c r="F145" i="20"/>
  <c r="B145" i="20"/>
  <c r="H144" i="20"/>
  <c r="I144" i="20"/>
  <c r="J144" i="20" s="1"/>
  <c r="D138" i="66"/>
  <c r="G137" i="66"/>
  <c r="E138" i="66"/>
  <c r="H56" i="78"/>
  <c r="H143" i="69"/>
  <c r="I143" i="69"/>
  <c r="J143" i="69" s="1"/>
  <c r="H142" i="24"/>
  <c r="I142" i="24"/>
  <c r="I136" i="68"/>
  <c r="H136" i="68"/>
  <c r="B136" i="79"/>
  <c r="F136" i="79"/>
  <c r="H141" i="3"/>
  <c r="I141" i="3"/>
  <c r="J141" i="3" s="1"/>
  <c r="I136" i="82"/>
  <c r="H136" i="82"/>
  <c r="F138" i="75"/>
  <c r="B138" i="75"/>
  <c r="H138" i="57"/>
  <c r="I138" i="57"/>
  <c r="F141" i="41"/>
  <c r="B141" i="41"/>
  <c r="B134" i="90"/>
  <c r="F134" i="90"/>
  <c r="F137" i="65"/>
  <c r="B137" i="65"/>
  <c r="D63" i="21"/>
  <c r="E63" i="21" s="1"/>
  <c r="I134" i="83"/>
  <c r="H134" i="83"/>
  <c r="I57" i="13"/>
  <c r="B134" i="98"/>
  <c r="F134" i="98"/>
  <c r="B137" i="85"/>
  <c r="F137" i="85"/>
  <c r="D63" i="18"/>
  <c r="E63" i="18" s="1"/>
  <c r="H141" i="21"/>
  <c r="I141" i="21"/>
  <c r="H138" i="56"/>
  <c r="I138" i="56"/>
  <c r="H53" i="100"/>
  <c r="G142" i="34"/>
  <c r="D143" i="34"/>
  <c r="E143" i="34"/>
  <c r="I135" i="76"/>
  <c r="H135" i="76"/>
  <c r="I143" i="30"/>
  <c r="H143" i="30"/>
  <c r="H138" i="46"/>
  <c r="I138" i="46"/>
  <c r="J138" i="46" s="1"/>
  <c r="D57" i="75"/>
  <c r="E57" i="75"/>
  <c r="H54" i="89"/>
  <c r="H137" i="59"/>
  <c r="I137" i="59"/>
  <c r="H139" i="45"/>
  <c r="I139" i="45"/>
  <c r="F134" i="88"/>
  <c r="B134" i="88"/>
  <c r="H135" i="79"/>
  <c r="I135" i="79"/>
  <c r="B137" i="82"/>
  <c r="F137" i="82"/>
  <c r="B139" i="57"/>
  <c r="F139" i="57"/>
  <c r="D60" i="54"/>
  <c r="E60" i="54" s="1"/>
  <c r="I55" i="88"/>
  <c r="I133" i="90"/>
  <c r="H133" i="90"/>
  <c r="B134" i="96"/>
  <c r="F134" i="96"/>
  <c r="H140" i="73"/>
  <c r="I140" i="73"/>
  <c r="F142" i="21"/>
  <c r="B142" i="21"/>
  <c r="G53" i="100"/>
  <c r="I140" i="74"/>
  <c r="H140" i="74"/>
  <c r="F138" i="61"/>
  <c r="B138" i="61"/>
  <c r="D54" i="96"/>
  <c r="E54" i="96"/>
  <c r="B141" i="74"/>
  <c r="F141" i="74"/>
  <c r="H56" i="75"/>
  <c r="I56" i="75" s="1"/>
  <c r="G56" i="78"/>
  <c r="G54" i="89"/>
  <c r="B134" i="89"/>
  <c r="F134" i="89"/>
  <c r="F138" i="59"/>
  <c r="B138" i="59"/>
  <c r="H61" i="39"/>
  <c r="I61" i="39" s="1"/>
  <c r="I137" i="64"/>
  <c r="H137" i="64"/>
  <c r="B140" i="45"/>
  <c r="F140" i="45"/>
  <c r="B136" i="77"/>
  <c r="F136" i="77"/>
  <c r="I133" i="88"/>
  <c r="H133" i="88"/>
  <c r="H138" i="72"/>
  <c r="I138" i="72"/>
  <c r="F136" i="76"/>
  <c r="B136" i="76"/>
  <c r="B135" i="81"/>
  <c r="F135" i="81"/>
  <c r="B54" i="25"/>
  <c r="F54" i="25"/>
  <c r="G54" i="25" s="1"/>
  <c r="G136" i="13"/>
  <c r="D137" i="13"/>
  <c r="E137" i="13" s="1"/>
  <c r="H59" i="54"/>
  <c r="I59" i="54" s="1"/>
  <c r="I62" i="22"/>
  <c r="E144" i="30"/>
  <c r="F144" i="30" s="1"/>
  <c r="E56" i="88"/>
  <c r="D56" i="88"/>
  <c r="I134" i="99"/>
  <c r="H134" i="99"/>
  <c r="I134" i="100"/>
  <c r="H134" i="100"/>
  <c r="I133" i="96"/>
  <c r="H133" i="96"/>
  <c r="B141" i="73"/>
  <c r="F141" i="73"/>
  <c r="D65" i="19"/>
  <c r="E65" i="19" s="1"/>
  <c r="F145" i="28"/>
  <c r="B145" i="28"/>
  <c r="G63" i="32"/>
  <c r="I63" i="32" s="1"/>
  <c r="F134" i="91"/>
  <c r="B134" i="91"/>
  <c r="J142" i="31" l="1"/>
  <c r="J134" i="26"/>
  <c r="I57" i="67"/>
  <c r="J135" i="25"/>
  <c r="E136" i="95"/>
  <c r="G135" i="95"/>
  <c r="D136" i="95"/>
  <c r="D137" i="25"/>
  <c r="G136" i="25"/>
  <c r="J136" i="65"/>
  <c r="I56" i="79"/>
  <c r="H57" i="68"/>
  <c r="I57" i="68" s="1"/>
  <c r="H59" i="57"/>
  <c r="I59" i="57" s="1"/>
  <c r="I57" i="33"/>
  <c r="D135" i="87"/>
  <c r="E135" i="87"/>
  <c r="G134" i="87"/>
  <c r="E58" i="33"/>
  <c r="F58" i="33" s="1"/>
  <c r="B58" i="33"/>
  <c r="H59" i="56"/>
  <c r="I59" i="56" s="1"/>
  <c r="I62" i="44"/>
  <c r="G62" i="73"/>
  <c r="H62" i="73"/>
  <c r="I62" i="73" s="1"/>
  <c r="D63" i="73"/>
  <c r="G135" i="26"/>
  <c r="D136" i="26"/>
  <c r="D67" i="31"/>
  <c r="B67" i="31" s="1"/>
  <c r="E67" i="31"/>
  <c r="F67" i="31" s="1"/>
  <c r="H67" i="31" s="1"/>
  <c r="D67" i="28"/>
  <c r="G66" i="28"/>
  <c r="H66" i="28"/>
  <c r="I66" i="28" s="1"/>
  <c r="D63" i="74"/>
  <c r="E63" i="74" s="1"/>
  <c r="F56" i="85"/>
  <c r="H56" i="85" s="1"/>
  <c r="B56" i="85"/>
  <c r="B63" i="42"/>
  <c r="I55" i="82"/>
  <c r="I55" i="83"/>
  <c r="D66" i="27"/>
  <c r="E66" i="27" s="1"/>
  <c r="F66" i="27" s="1"/>
  <c r="I65" i="34"/>
  <c r="G57" i="65"/>
  <c r="I57" i="65" s="1"/>
  <c r="D142" i="44"/>
  <c r="G141" i="44"/>
  <c r="F54" i="97"/>
  <c r="G54" i="97" s="1"/>
  <c r="B54" i="97"/>
  <c r="B62" i="41"/>
  <c r="I55" i="81"/>
  <c r="F54" i="98"/>
  <c r="G54" i="98"/>
  <c r="B54" i="98"/>
  <c r="H54" i="98"/>
  <c r="I54" i="98" s="1"/>
  <c r="F63" i="20"/>
  <c r="B63" i="20"/>
  <c r="H63" i="20"/>
  <c r="D58" i="67"/>
  <c r="E58" i="67"/>
  <c r="I65" i="28"/>
  <c r="E136" i="33"/>
  <c r="F136" i="33" s="1"/>
  <c r="B136" i="33"/>
  <c r="G64" i="23"/>
  <c r="I64" i="23" s="1"/>
  <c r="H55" i="92"/>
  <c r="I55" i="92" s="1"/>
  <c r="H59" i="53"/>
  <c r="I134" i="97"/>
  <c r="H134" i="97"/>
  <c r="F64" i="24"/>
  <c r="B64" i="24"/>
  <c r="H64" i="24"/>
  <c r="I61" i="74"/>
  <c r="G59" i="58"/>
  <c r="E60" i="58"/>
  <c r="D60" i="58"/>
  <c r="B56" i="81"/>
  <c r="F56" i="81"/>
  <c r="H56" i="81" s="1"/>
  <c r="H58" i="63"/>
  <c r="E59" i="63"/>
  <c r="D59" i="63"/>
  <c r="D54" i="95"/>
  <c r="E54" i="95"/>
  <c r="I135" i="33"/>
  <c r="H135" i="33"/>
  <c r="H58" i="60"/>
  <c r="E59" i="60"/>
  <c r="D59" i="60"/>
  <c r="G60" i="45"/>
  <c r="D61" i="45"/>
  <c r="E60" i="53"/>
  <c r="F60" i="53" s="1"/>
  <c r="B60" i="53"/>
  <c r="J139" i="45"/>
  <c r="G66" i="71"/>
  <c r="I66" i="71" s="1"/>
  <c r="B57" i="76"/>
  <c r="F57" i="76"/>
  <c r="G57" i="76" s="1"/>
  <c r="H57" i="76"/>
  <c r="H59" i="58"/>
  <c r="I59" i="58" s="1"/>
  <c r="B60" i="72"/>
  <c r="F60" i="72"/>
  <c r="G60" i="72" s="1"/>
  <c r="I60" i="72" s="1"/>
  <c r="H60" i="72"/>
  <c r="I62" i="20"/>
  <c r="E62" i="41"/>
  <c r="F62" i="41" s="1"/>
  <c r="I140" i="43"/>
  <c r="H140" i="43"/>
  <c r="B57" i="77"/>
  <c r="F57" i="77"/>
  <c r="H57" i="77"/>
  <c r="E58" i="68"/>
  <c r="D58" i="68"/>
  <c r="E141" i="42"/>
  <c r="F141" i="42" s="1"/>
  <c r="H53" i="95"/>
  <c r="I53" i="95" s="1"/>
  <c r="G58" i="60"/>
  <c r="G59" i="53"/>
  <c r="B66" i="31"/>
  <c r="H66" i="31"/>
  <c r="G66" i="31"/>
  <c r="B135" i="97"/>
  <c r="F135" i="97"/>
  <c r="D58" i="65"/>
  <c r="E58" i="65"/>
  <c r="E63" i="42"/>
  <c r="F63" i="42" s="1"/>
  <c r="H63" i="42" s="1"/>
  <c r="D56" i="82"/>
  <c r="E56" i="82"/>
  <c r="D60" i="56"/>
  <c r="E60" i="56" s="1"/>
  <c r="F60" i="56" s="1"/>
  <c r="H59" i="46"/>
  <c r="I59" i="46" s="1"/>
  <c r="D60" i="46"/>
  <c r="E57" i="79"/>
  <c r="D57" i="79"/>
  <c r="E141" i="43"/>
  <c r="F141" i="43"/>
  <c r="B141" i="43"/>
  <c r="H140" i="42"/>
  <c r="I140" i="42"/>
  <c r="J140" i="42" s="1"/>
  <c r="G58" i="63"/>
  <c r="I58" i="63" s="1"/>
  <c r="G57" i="66"/>
  <c r="I57" i="66" s="1"/>
  <c r="D58" i="66"/>
  <c r="E58" i="66"/>
  <c r="B63" i="44"/>
  <c r="F63" i="44"/>
  <c r="G63" i="44"/>
  <c r="H63" i="44"/>
  <c r="I63" i="44" s="1"/>
  <c r="D56" i="83"/>
  <c r="E56" i="83"/>
  <c r="H55" i="84"/>
  <c r="I55" i="84" s="1"/>
  <c r="D56" i="84"/>
  <c r="E56" i="84"/>
  <c r="G64" i="69"/>
  <c r="I64" i="69" s="1"/>
  <c r="D65" i="69"/>
  <c r="D65" i="23"/>
  <c r="E56" i="92"/>
  <c r="D56" i="92"/>
  <c r="H60" i="45"/>
  <c r="I60" i="45" s="1"/>
  <c r="G53" i="99"/>
  <c r="I53" i="99" s="1"/>
  <c r="D54" i="99"/>
  <c r="E54" i="99"/>
  <c r="D60" i="57"/>
  <c r="H65" i="27"/>
  <c r="G65" i="27"/>
  <c r="B65" i="27"/>
  <c r="B62" i="74"/>
  <c r="G62" i="74"/>
  <c r="H62" i="74"/>
  <c r="I62" i="74" s="1"/>
  <c r="G62" i="43"/>
  <c r="D63" i="43"/>
  <c r="H62" i="43"/>
  <c r="I62" i="43" s="1"/>
  <c r="D68" i="70"/>
  <c r="H59" i="26"/>
  <c r="D60" i="26"/>
  <c r="E60" i="26" s="1"/>
  <c r="G59" i="26"/>
  <c r="G67" i="31"/>
  <c r="D67" i="3"/>
  <c r="G66" i="3"/>
  <c r="H66" i="3"/>
  <c r="I64" i="30"/>
  <c r="B56" i="86"/>
  <c r="F56" i="86"/>
  <c r="G56" i="86" s="1"/>
  <c r="H59" i="59"/>
  <c r="D60" i="59"/>
  <c r="E60" i="55"/>
  <c r="F60" i="55" s="1"/>
  <c r="G60" i="55" s="1"/>
  <c r="B60" i="55"/>
  <c r="E56" i="91"/>
  <c r="D56" i="91"/>
  <c r="G59" i="64"/>
  <c r="I59" i="64" s="1"/>
  <c r="B67" i="70"/>
  <c r="G67" i="70"/>
  <c r="H67" i="70"/>
  <c r="C72" i="17"/>
  <c r="F63" i="17"/>
  <c r="H63" i="17" s="1"/>
  <c r="B63" i="17"/>
  <c r="G63" i="17"/>
  <c r="F66" i="34"/>
  <c r="G66" i="34" s="1"/>
  <c r="B66" i="34"/>
  <c r="B56" i="80"/>
  <c r="F56" i="80"/>
  <c r="G59" i="61"/>
  <c r="I59" i="61" s="1"/>
  <c r="D60" i="61"/>
  <c r="G59" i="59"/>
  <c r="G55" i="91"/>
  <c r="I62" i="17"/>
  <c r="G143" i="31"/>
  <c r="D144" i="31"/>
  <c r="B144" i="31" s="1"/>
  <c r="D67" i="71"/>
  <c r="E67" i="71" s="1"/>
  <c r="D60" i="64"/>
  <c r="E60" i="64" s="1"/>
  <c r="H55" i="91"/>
  <c r="I55" i="91" s="1"/>
  <c r="J138" i="53"/>
  <c r="J135" i="77"/>
  <c r="D147" i="17"/>
  <c r="G146" i="17"/>
  <c r="G147" i="70"/>
  <c r="E148" i="70"/>
  <c r="D148" i="70"/>
  <c r="J142" i="32"/>
  <c r="J138" i="58"/>
  <c r="J143" i="30"/>
  <c r="J146" i="70"/>
  <c r="J140" i="74"/>
  <c r="J138" i="60"/>
  <c r="E140" i="60"/>
  <c r="G139" i="60"/>
  <c r="D140" i="60"/>
  <c r="D145" i="30"/>
  <c r="E145" i="30" s="1"/>
  <c r="G144" i="30"/>
  <c r="D138" i="65"/>
  <c r="G137" i="65"/>
  <c r="E138" i="65"/>
  <c r="B147" i="29"/>
  <c r="D135" i="91"/>
  <c r="G134" i="91"/>
  <c r="E135" i="91"/>
  <c r="G136" i="76"/>
  <c r="D137" i="76"/>
  <c r="E137" i="76"/>
  <c r="D141" i="45"/>
  <c r="E141" i="45" s="1"/>
  <c r="G140" i="45"/>
  <c r="I53" i="100"/>
  <c r="D135" i="90"/>
  <c r="G134" i="90"/>
  <c r="E135" i="90"/>
  <c r="I56" i="78"/>
  <c r="J140" i="41"/>
  <c r="G137" i="68"/>
  <c r="D138" i="68"/>
  <c r="E138" i="68"/>
  <c r="D139" i="64"/>
  <c r="G138" i="64"/>
  <c r="E139" i="64"/>
  <c r="F65" i="29"/>
  <c r="G65" i="29" s="1"/>
  <c r="B65" i="29"/>
  <c r="G143" i="71"/>
  <c r="D144" i="71"/>
  <c r="E144" i="71"/>
  <c r="D136" i="100"/>
  <c r="G135" i="100"/>
  <c r="E136" i="100"/>
  <c r="B58" i="13"/>
  <c r="F58" i="13"/>
  <c r="G58" i="13" s="1"/>
  <c r="G144" i="27"/>
  <c r="D145" i="27"/>
  <c r="E145" i="27" s="1"/>
  <c r="B62" i="39"/>
  <c r="F55" i="89"/>
  <c r="H55" i="89" s="1"/>
  <c r="B55" i="89"/>
  <c r="I136" i="13"/>
  <c r="H136" i="13"/>
  <c r="G134" i="89"/>
  <c r="D135" i="89"/>
  <c r="E135" i="89"/>
  <c r="G142" i="21"/>
  <c r="D143" i="21"/>
  <c r="E143" i="21" s="1"/>
  <c r="E138" i="82"/>
  <c r="D138" i="82"/>
  <c r="G137" i="82"/>
  <c r="H138" i="63"/>
  <c r="I138" i="63"/>
  <c r="D140" i="54"/>
  <c r="G139" i="54"/>
  <c r="E140" i="54"/>
  <c r="J138" i="72"/>
  <c r="J140" i="73"/>
  <c r="J135" i="79"/>
  <c r="J137" i="59"/>
  <c r="J135" i="76"/>
  <c r="J138" i="56"/>
  <c r="G138" i="75"/>
  <c r="D139" i="75"/>
  <c r="E139" i="75"/>
  <c r="G145" i="20"/>
  <c r="D146" i="20"/>
  <c r="D140" i="56"/>
  <c r="G139" i="56"/>
  <c r="E140" i="56"/>
  <c r="D135" i="92"/>
  <c r="G134" i="92"/>
  <c r="E135" i="92"/>
  <c r="B59" i="62"/>
  <c r="F59" i="62"/>
  <c r="G59" i="62" s="1"/>
  <c r="D140" i="53"/>
  <c r="G139" i="53"/>
  <c r="E140" i="53"/>
  <c r="D144" i="32"/>
  <c r="E144" i="32" s="1"/>
  <c r="G143" i="32"/>
  <c r="E62" i="39"/>
  <c r="F62" i="39" s="1"/>
  <c r="G62" i="39" s="1"/>
  <c r="B65" i="30"/>
  <c r="F65" i="19"/>
  <c r="G65" i="19" s="1"/>
  <c r="B65" i="19"/>
  <c r="D55" i="25"/>
  <c r="E55" i="25" s="1"/>
  <c r="B57" i="75"/>
  <c r="F57" i="75"/>
  <c r="G57" i="75" s="1"/>
  <c r="D137" i="79"/>
  <c r="G136" i="79"/>
  <c r="E137" i="79"/>
  <c r="I137" i="66"/>
  <c r="J137" i="66" s="1"/>
  <c r="H137" i="66"/>
  <c r="G143" i="24"/>
  <c r="D144" i="24"/>
  <c r="E144" i="24" s="1"/>
  <c r="G144" i="69"/>
  <c r="D145" i="69"/>
  <c r="E145" i="69"/>
  <c r="F140" i="67"/>
  <c r="B140" i="67"/>
  <c r="D140" i="46"/>
  <c r="G139" i="46"/>
  <c r="E140" i="46"/>
  <c r="B63" i="22"/>
  <c r="F63" i="22"/>
  <c r="H63" i="22" s="1"/>
  <c r="G140" i="62"/>
  <c r="D141" i="62"/>
  <c r="E141" i="62" s="1"/>
  <c r="J141" i="22"/>
  <c r="E65" i="30"/>
  <c r="F65" i="30" s="1"/>
  <c r="D135" i="98"/>
  <c r="G134" i="98"/>
  <c r="E135" i="98"/>
  <c r="D146" i="28"/>
  <c r="E146" i="28" s="1"/>
  <c r="G145" i="28"/>
  <c r="G141" i="73"/>
  <c r="D142" i="73"/>
  <c r="E142" i="73"/>
  <c r="H54" i="25"/>
  <c r="I54" i="25" s="1"/>
  <c r="J137" i="64"/>
  <c r="F54" i="96"/>
  <c r="B54" i="96"/>
  <c r="G134" i="96"/>
  <c r="D135" i="96"/>
  <c r="E135" i="96"/>
  <c r="I54" i="89"/>
  <c r="B138" i="66"/>
  <c r="F138" i="66"/>
  <c r="G135" i="99"/>
  <c r="D136" i="99"/>
  <c r="E136" i="99"/>
  <c r="J142" i="71"/>
  <c r="D135" i="86"/>
  <c r="G134" i="86"/>
  <c r="E135" i="86"/>
  <c r="F55" i="90"/>
  <c r="H55" i="90" s="1"/>
  <c r="B55" i="90"/>
  <c r="G142" i="18"/>
  <c r="D143" i="18"/>
  <c r="B64" i="32"/>
  <c r="F64" i="32"/>
  <c r="H64" i="32" s="1"/>
  <c r="H144" i="23"/>
  <c r="I144" i="23"/>
  <c r="B56" i="88"/>
  <c r="F56" i="88"/>
  <c r="I139" i="67"/>
  <c r="H139" i="67"/>
  <c r="B55" i="87"/>
  <c r="F55" i="87"/>
  <c r="H55" i="87" s="1"/>
  <c r="I137" i="78"/>
  <c r="J137" i="78" s="1"/>
  <c r="H137" i="78"/>
  <c r="F54" i="100"/>
  <c r="H54" i="100" s="1"/>
  <c r="B54" i="100"/>
  <c r="F60" i="54"/>
  <c r="H60" i="54" s="1"/>
  <c r="B60" i="54"/>
  <c r="F63" i="18"/>
  <c r="H63" i="18" s="1"/>
  <c r="B63" i="18"/>
  <c r="G141" i="41"/>
  <c r="D142" i="41"/>
  <c r="E142" i="41" s="1"/>
  <c r="G135" i="81"/>
  <c r="D136" i="81"/>
  <c r="E136" i="81"/>
  <c r="G136" i="77"/>
  <c r="D137" i="77"/>
  <c r="E137" i="77"/>
  <c r="G141" i="74"/>
  <c r="D142" i="74"/>
  <c r="E142" i="74"/>
  <c r="G138" i="61"/>
  <c r="D139" i="61"/>
  <c r="E139" i="61"/>
  <c r="G139" i="57"/>
  <c r="D140" i="57"/>
  <c r="E140" i="57"/>
  <c r="F143" i="34"/>
  <c r="B143" i="34"/>
  <c r="J141" i="21"/>
  <c r="G137" i="85"/>
  <c r="D138" i="85"/>
  <c r="E138" i="85"/>
  <c r="B63" i="21"/>
  <c r="F63" i="21"/>
  <c r="G63" i="21" s="1"/>
  <c r="J138" i="57"/>
  <c r="J136" i="68"/>
  <c r="J137" i="75"/>
  <c r="J138" i="54"/>
  <c r="B139" i="63"/>
  <c r="F139" i="63"/>
  <c r="E147" i="29"/>
  <c r="F147" i="29" s="1"/>
  <c r="D135" i="84"/>
  <c r="G134" i="84"/>
  <c r="E135" i="84"/>
  <c r="D142" i="39"/>
  <c r="G141" i="39"/>
  <c r="H142" i="19"/>
  <c r="I142" i="19"/>
  <c r="J142" i="19" s="1"/>
  <c r="F57" i="78"/>
  <c r="H57" i="78" s="1"/>
  <c r="B57" i="78"/>
  <c r="B145" i="23"/>
  <c r="F145" i="23"/>
  <c r="F137" i="13"/>
  <c r="B137" i="13"/>
  <c r="G138" i="59"/>
  <c r="D139" i="59"/>
  <c r="E139" i="59"/>
  <c r="G134" i="88"/>
  <c r="D135" i="88"/>
  <c r="E135" i="88"/>
  <c r="I142" i="34"/>
  <c r="J142" i="34" s="1"/>
  <c r="H142" i="34"/>
  <c r="J142" i="24"/>
  <c r="G139" i="72"/>
  <c r="D140" i="72"/>
  <c r="E140" i="72"/>
  <c r="D136" i="83"/>
  <c r="G135" i="83"/>
  <c r="E136" i="83"/>
  <c r="D143" i="3"/>
  <c r="G142" i="3"/>
  <c r="E143" i="3"/>
  <c r="J141" i="18"/>
  <c r="H146" i="29"/>
  <c r="I146" i="29"/>
  <c r="D142" i="55"/>
  <c r="E142" i="55" s="1"/>
  <c r="G141" i="55"/>
  <c r="D140" i="58"/>
  <c r="G139" i="58"/>
  <c r="E140" i="58"/>
  <c r="F143" i="19"/>
  <c r="B143" i="19"/>
  <c r="G142" i="22"/>
  <c r="D143" i="22"/>
  <c r="E143" i="22"/>
  <c r="B138" i="78"/>
  <c r="F138" i="78"/>
  <c r="D136" i="80"/>
  <c r="G135" i="80"/>
  <c r="E136" i="80"/>
  <c r="J144" i="28"/>
  <c r="D59" i="33" l="1"/>
  <c r="H58" i="33"/>
  <c r="G58" i="33"/>
  <c r="D61" i="53"/>
  <c r="H60" i="53"/>
  <c r="F136" i="95"/>
  <c r="B136" i="95"/>
  <c r="E63" i="73"/>
  <c r="F63" i="73" s="1"/>
  <c r="H63" i="73" s="1"/>
  <c r="I63" i="73" s="1"/>
  <c r="B63" i="73"/>
  <c r="G63" i="73"/>
  <c r="H134" i="87"/>
  <c r="I134" i="87"/>
  <c r="H135" i="95"/>
  <c r="I135" i="95"/>
  <c r="H58" i="13"/>
  <c r="D68" i="31"/>
  <c r="I136" i="25"/>
  <c r="H136" i="25"/>
  <c r="F135" i="87"/>
  <c r="B135" i="87"/>
  <c r="E137" i="25"/>
  <c r="F137" i="25" s="1"/>
  <c r="B137" i="25"/>
  <c r="G62" i="41"/>
  <c r="D63" i="41"/>
  <c r="H62" i="41"/>
  <c r="I62" i="41" s="1"/>
  <c r="D137" i="33"/>
  <c r="G136" i="33"/>
  <c r="G66" i="27"/>
  <c r="D67" i="27"/>
  <c r="E67" i="27" s="1"/>
  <c r="F67" i="27" s="1"/>
  <c r="D68" i="27" s="1"/>
  <c r="D61" i="56"/>
  <c r="E61" i="56" s="1"/>
  <c r="G57" i="78"/>
  <c r="I57" i="78" s="1"/>
  <c r="B60" i="57"/>
  <c r="B65" i="23"/>
  <c r="B56" i="83"/>
  <c r="F56" i="83"/>
  <c r="H56" i="83" s="1"/>
  <c r="G141" i="43"/>
  <c r="D142" i="43"/>
  <c r="E60" i="46"/>
  <c r="F60" i="46" s="1"/>
  <c r="B60" i="46"/>
  <c r="B58" i="65"/>
  <c r="F58" i="65"/>
  <c r="E61" i="45"/>
  <c r="B61" i="45"/>
  <c r="F61" i="45"/>
  <c r="G61" i="45" s="1"/>
  <c r="I58" i="60"/>
  <c r="F54" i="95"/>
  <c r="H54" i="95" s="1"/>
  <c r="B54" i="95"/>
  <c r="D65" i="24"/>
  <c r="E65" i="24"/>
  <c r="H141" i="44"/>
  <c r="I141" i="44"/>
  <c r="J141" i="44" s="1"/>
  <c r="B67" i="28"/>
  <c r="H63" i="21"/>
  <c r="I63" i="21" s="1"/>
  <c r="H60" i="55"/>
  <c r="B56" i="92"/>
  <c r="F56" i="92"/>
  <c r="G56" i="92" s="1"/>
  <c r="B65" i="69"/>
  <c r="F56" i="84"/>
  <c r="H56" i="84" s="1"/>
  <c r="B56" i="84"/>
  <c r="F56" i="82"/>
  <c r="H56" i="82" s="1"/>
  <c r="B56" i="82"/>
  <c r="I66" i="31"/>
  <c r="B59" i="63"/>
  <c r="G59" i="63"/>
  <c r="H59" i="63"/>
  <c r="I59" i="63" s="1"/>
  <c r="F59" i="63"/>
  <c r="E57" i="81"/>
  <c r="D57" i="81"/>
  <c r="F60" i="58"/>
  <c r="B60" i="58"/>
  <c r="B142" i="44"/>
  <c r="B66" i="27"/>
  <c r="H66" i="27"/>
  <c r="I66" i="27" s="1"/>
  <c r="B63" i="74"/>
  <c r="F63" i="74"/>
  <c r="H63" i="74"/>
  <c r="E67" i="28"/>
  <c r="F67" i="28" s="1"/>
  <c r="E136" i="26"/>
  <c r="B136" i="26"/>
  <c r="F136" i="26"/>
  <c r="I65" i="27"/>
  <c r="B54" i="99"/>
  <c r="F54" i="99"/>
  <c r="G54" i="99"/>
  <c r="E65" i="69"/>
  <c r="F65" i="69" s="1"/>
  <c r="B58" i="66"/>
  <c r="F58" i="66"/>
  <c r="H58" i="66" s="1"/>
  <c r="F57" i="79"/>
  <c r="G57" i="79" s="1"/>
  <c r="B57" i="79"/>
  <c r="D64" i="42"/>
  <c r="D136" i="97"/>
  <c r="G135" i="97"/>
  <c r="E136" i="97"/>
  <c r="D142" i="42"/>
  <c r="B142" i="42" s="1"/>
  <c r="G141" i="42"/>
  <c r="E58" i="77"/>
  <c r="D58" i="77"/>
  <c r="J140" i="43"/>
  <c r="I57" i="76"/>
  <c r="G60" i="53"/>
  <c r="I60" i="53" s="1"/>
  <c r="B59" i="60"/>
  <c r="F59" i="60"/>
  <c r="G59" i="60" s="1"/>
  <c r="J135" i="33"/>
  <c r="G64" i="24"/>
  <c r="I64" i="24" s="1"/>
  <c r="D64" i="20"/>
  <c r="E64" i="20" s="1"/>
  <c r="F64" i="20" s="1"/>
  <c r="D65" i="20" s="1"/>
  <c r="H54" i="97"/>
  <c r="I54" i="97" s="1"/>
  <c r="E55" i="97"/>
  <c r="D55" i="97"/>
  <c r="G63" i="42"/>
  <c r="I63" i="42" s="1"/>
  <c r="G56" i="85"/>
  <c r="I56" i="85" s="1"/>
  <c r="D57" i="85"/>
  <c r="E57" i="85"/>
  <c r="I135" i="26"/>
  <c r="H135" i="26"/>
  <c r="G60" i="54"/>
  <c r="G63" i="22"/>
  <c r="I67" i="70"/>
  <c r="E60" i="57"/>
  <c r="F60" i="57" s="1"/>
  <c r="G60" i="57" s="1"/>
  <c r="E65" i="23"/>
  <c r="F65" i="23" s="1"/>
  <c r="G65" i="23" s="1"/>
  <c r="D64" i="44"/>
  <c r="E64" i="44" s="1"/>
  <c r="F64" i="44" s="1"/>
  <c r="B60" i="56"/>
  <c r="G60" i="56"/>
  <c r="H60" i="56"/>
  <c r="B58" i="68"/>
  <c r="F58" i="68"/>
  <c r="H58" i="68"/>
  <c r="G57" i="77"/>
  <c r="I57" i="77" s="1"/>
  <c r="D61" i="72"/>
  <c r="E58" i="76"/>
  <c r="D58" i="76"/>
  <c r="G56" i="81"/>
  <c r="I56" i="81" s="1"/>
  <c r="I59" i="53"/>
  <c r="G58" i="67"/>
  <c r="H58" i="67"/>
  <c r="I58" i="67" s="1"/>
  <c r="B58" i="67"/>
  <c r="F58" i="67"/>
  <c r="G63" i="20"/>
  <c r="I63" i="20" s="1"/>
  <c r="D55" i="98"/>
  <c r="E55" i="98"/>
  <c r="E142" i="44"/>
  <c r="F142" i="44" s="1"/>
  <c r="F60" i="64"/>
  <c r="G60" i="64" s="1"/>
  <c r="B60" i="64"/>
  <c r="E144" i="31"/>
  <c r="F144" i="31" s="1"/>
  <c r="I63" i="17"/>
  <c r="E60" i="59"/>
  <c r="F60" i="59" s="1"/>
  <c r="B60" i="59"/>
  <c r="B67" i="3"/>
  <c r="I67" i="31"/>
  <c r="D57" i="80"/>
  <c r="E57" i="80"/>
  <c r="I60" i="55"/>
  <c r="I59" i="59"/>
  <c r="D57" i="86"/>
  <c r="E57" i="86"/>
  <c r="I66" i="3"/>
  <c r="B63" i="43"/>
  <c r="H65" i="29"/>
  <c r="H143" i="31"/>
  <c r="I143" i="31"/>
  <c r="G56" i="80"/>
  <c r="D67" i="34"/>
  <c r="E67" i="34" s="1"/>
  <c r="D61" i="55"/>
  <c r="E61" i="55" s="1"/>
  <c r="B68" i="31"/>
  <c r="I59" i="26"/>
  <c r="B68" i="70"/>
  <c r="E63" i="43"/>
  <c r="F63" i="43" s="1"/>
  <c r="I60" i="54"/>
  <c r="F67" i="71"/>
  <c r="D68" i="71" s="1"/>
  <c r="B67" i="71"/>
  <c r="E60" i="61"/>
  <c r="F60" i="61" s="1"/>
  <c r="H60" i="61" s="1"/>
  <c r="B60" i="61"/>
  <c r="H56" i="80"/>
  <c r="I56" i="80" s="1"/>
  <c r="H66" i="34"/>
  <c r="D64" i="17"/>
  <c r="E64" i="17" s="1"/>
  <c r="B56" i="91"/>
  <c r="F56" i="91"/>
  <c r="H56" i="91" s="1"/>
  <c r="H56" i="86"/>
  <c r="I56" i="86" s="1"/>
  <c r="E67" i="3"/>
  <c r="F67" i="3" s="1"/>
  <c r="E68" i="31"/>
  <c r="F68" i="31" s="1"/>
  <c r="B60" i="26"/>
  <c r="F60" i="26"/>
  <c r="G60" i="26" s="1"/>
  <c r="E68" i="70"/>
  <c r="F68" i="70" s="1"/>
  <c r="B148" i="70"/>
  <c r="F148" i="70"/>
  <c r="F140" i="60"/>
  <c r="B140" i="60"/>
  <c r="J139" i="67"/>
  <c r="H139" i="60"/>
  <c r="I139" i="60"/>
  <c r="H147" i="70"/>
  <c r="I147" i="70"/>
  <c r="I146" i="17"/>
  <c r="H146" i="17"/>
  <c r="E147" i="17"/>
  <c r="F147" i="17" s="1"/>
  <c r="B147" i="17"/>
  <c r="J146" i="29"/>
  <c r="D148" i="29"/>
  <c r="E148" i="29" s="1"/>
  <c r="G147" i="29"/>
  <c r="B140" i="72"/>
  <c r="F140" i="72"/>
  <c r="B136" i="81"/>
  <c r="F136" i="81"/>
  <c r="H134" i="92"/>
  <c r="I134" i="92"/>
  <c r="B138" i="68"/>
  <c r="F138" i="68"/>
  <c r="B143" i="22"/>
  <c r="F143" i="22"/>
  <c r="H141" i="55"/>
  <c r="I141" i="55"/>
  <c r="F143" i="3"/>
  <c r="B143" i="3"/>
  <c r="H139" i="72"/>
  <c r="I139" i="72"/>
  <c r="D64" i="21"/>
  <c r="E64" i="21" s="1"/>
  <c r="H135" i="81"/>
  <c r="I135" i="81"/>
  <c r="G63" i="18"/>
  <c r="I63" i="18" s="1"/>
  <c r="G64" i="32"/>
  <c r="I64" i="32" s="1"/>
  <c r="H142" i="18"/>
  <c r="I142" i="18"/>
  <c r="J142" i="18" s="1"/>
  <c r="H134" i="96"/>
  <c r="I134" i="96"/>
  <c r="D64" i="22"/>
  <c r="E64" i="22" s="1"/>
  <c r="B144" i="24"/>
  <c r="F144" i="24"/>
  <c r="H57" i="75"/>
  <c r="I57" i="75" s="1"/>
  <c r="H65" i="19"/>
  <c r="I65" i="19" s="1"/>
  <c r="F140" i="53"/>
  <c r="B140" i="53"/>
  <c r="F135" i="92"/>
  <c r="B135" i="92"/>
  <c r="B139" i="75"/>
  <c r="F139" i="75"/>
  <c r="I137" i="82"/>
  <c r="H137" i="82"/>
  <c r="H134" i="89"/>
  <c r="I134" i="89"/>
  <c r="D66" i="29"/>
  <c r="E66" i="29" s="1"/>
  <c r="I137" i="68"/>
  <c r="J137" i="68" s="1"/>
  <c r="H137" i="68"/>
  <c r="B135" i="84"/>
  <c r="F135" i="84"/>
  <c r="F135" i="96"/>
  <c r="B135" i="96"/>
  <c r="F135" i="89"/>
  <c r="B135" i="89"/>
  <c r="I142" i="22"/>
  <c r="H142" i="22"/>
  <c r="B142" i="55"/>
  <c r="F142" i="55"/>
  <c r="B140" i="57"/>
  <c r="F140" i="57"/>
  <c r="B142" i="74"/>
  <c r="F142" i="74"/>
  <c r="G54" i="100"/>
  <c r="I54" i="100" s="1"/>
  <c r="G55" i="90"/>
  <c r="I55" i="90" s="1"/>
  <c r="B142" i="73"/>
  <c r="F142" i="73"/>
  <c r="I143" i="24"/>
  <c r="H143" i="24"/>
  <c r="H136" i="79"/>
  <c r="I136" i="79"/>
  <c r="H138" i="75"/>
  <c r="I138" i="75"/>
  <c r="F138" i="82"/>
  <c r="B138" i="82"/>
  <c r="G55" i="89"/>
  <c r="I55" i="89" s="1"/>
  <c r="D59" i="13"/>
  <c r="E59" i="13" s="1"/>
  <c r="I65" i="29"/>
  <c r="H140" i="45"/>
  <c r="I140" i="45"/>
  <c r="H134" i="88"/>
  <c r="I134" i="88"/>
  <c r="B135" i="86"/>
  <c r="F135" i="86"/>
  <c r="D66" i="30"/>
  <c r="E66" i="30" s="1"/>
  <c r="I139" i="53"/>
  <c r="H139" i="53"/>
  <c r="F136" i="100"/>
  <c r="B136" i="100"/>
  <c r="B138" i="65"/>
  <c r="F138" i="65"/>
  <c r="H135" i="83"/>
  <c r="I135" i="83"/>
  <c r="D58" i="78"/>
  <c r="E58" i="78"/>
  <c r="H139" i="57"/>
  <c r="I139" i="57"/>
  <c r="I141" i="74"/>
  <c r="H141" i="74"/>
  <c r="D64" i="18"/>
  <c r="E64" i="18" s="1"/>
  <c r="D56" i="87"/>
  <c r="E56" i="87"/>
  <c r="J144" i="23"/>
  <c r="I141" i="73"/>
  <c r="H141" i="73"/>
  <c r="B137" i="79"/>
  <c r="F137" i="79"/>
  <c r="D66" i="19"/>
  <c r="D60" i="62"/>
  <c r="E60" i="62" s="1"/>
  <c r="H139" i="56"/>
  <c r="I139" i="56"/>
  <c r="J139" i="56" s="1"/>
  <c r="I58" i="13"/>
  <c r="F141" i="45"/>
  <c r="B141" i="45"/>
  <c r="B142" i="39"/>
  <c r="F136" i="83"/>
  <c r="B136" i="83"/>
  <c r="B139" i="59"/>
  <c r="F139" i="59"/>
  <c r="D146" i="23"/>
  <c r="E146" i="23" s="1"/>
  <c r="G145" i="23"/>
  <c r="F138" i="85"/>
  <c r="B138" i="85"/>
  <c r="E55" i="100"/>
  <c r="D55" i="100"/>
  <c r="D55" i="96"/>
  <c r="E55" i="96"/>
  <c r="F141" i="62"/>
  <c r="B141" i="62"/>
  <c r="E141" i="67"/>
  <c r="D141" i="67"/>
  <c r="G140" i="67"/>
  <c r="F140" i="56"/>
  <c r="B140" i="56"/>
  <c r="E56" i="89"/>
  <c r="D56" i="89"/>
  <c r="I134" i="91"/>
  <c r="H134" i="91"/>
  <c r="I142" i="3"/>
  <c r="J142" i="3" s="1"/>
  <c r="H142" i="3"/>
  <c r="B143" i="18"/>
  <c r="H135" i="80"/>
  <c r="I135" i="80"/>
  <c r="H138" i="59"/>
  <c r="I138" i="59"/>
  <c r="H137" i="85"/>
  <c r="I137" i="85"/>
  <c r="B137" i="77"/>
  <c r="F137" i="77"/>
  <c r="G55" i="87"/>
  <c r="I55" i="87" s="1"/>
  <c r="E56" i="90"/>
  <c r="D56" i="90"/>
  <c r="G54" i="96"/>
  <c r="H145" i="28"/>
  <c r="I145" i="28"/>
  <c r="J145" i="28" s="1"/>
  <c r="I134" i="98"/>
  <c r="H134" i="98"/>
  <c r="I140" i="62"/>
  <c r="H140" i="62"/>
  <c r="H143" i="32"/>
  <c r="I143" i="32"/>
  <c r="H59" i="62"/>
  <c r="I59" i="62" s="1"/>
  <c r="B146" i="20"/>
  <c r="F146" i="20"/>
  <c r="H139" i="54"/>
  <c r="I139" i="54"/>
  <c r="F143" i="21"/>
  <c r="B143" i="21"/>
  <c r="H62" i="39"/>
  <c r="I62" i="39" s="1"/>
  <c r="H138" i="64"/>
  <c r="I138" i="64"/>
  <c r="B137" i="76"/>
  <c r="F137" i="76"/>
  <c r="B135" i="91"/>
  <c r="F135" i="91"/>
  <c r="G143" i="34"/>
  <c r="D144" i="34"/>
  <c r="H138" i="61"/>
  <c r="I138" i="61"/>
  <c r="D57" i="88"/>
  <c r="E57" i="88"/>
  <c r="D139" i="66"/>
  <c r="G138" i="66"/>
  <c r="E139" i="66"/>
  <c r="G143" i="19"/>
  <c r="D144" i="19"/>
  <c r="F136" i="80"/>
  <c r="B136" i="80"/>
  <c r="H139" i="58"/>
  <c r="I139" i="58"/>
  <c r="E142" i="39"/>
  <c r="F142" i="39" s="1"/>
  <c r="D140" i="63"/>
  <c r="G139" i="63"/>
  <c r="E140" i="63"/>
  <c r="H136" i="77"/>
  <c r="I136" i="77"/>
  <c r="B142" i="41"/>
  <c r="F142" i="41"/>
  <c r="D61" i="54"/>
  <c r="E61" i="54" s="1"/>
  <c r="H56" i="88"/>
  <c r="B136" i="99"/>
  <c r="F136" i="99"/>
  <c r="H54" i="96"/>
  <c r="B146" i="28"/>
  <c r="F146" i="28"/>
  <c r="F135" i="98"/>
  <c r="B135" i="98"/>
  <c r="H139" i="46"/>
  <c r="I139" i="46"/>
  <c r="B145" i="69"/>
  <c r="F145" i="69"/>
  <c r="H65" i="30"/>
  <c r="F144" i="32"/>
  <c r="B144" i="32"/>
  <c r="E146" i="20"/>
  <c r="F140" i="54"/>
  <c r="B140" i="54"/>
  <c r="H142" i="21"/>
  <c r="I142" i="21"/>
  <c r="J142" i="21" s="1"/>
  <c r="F145" i="27"/>
  <c r="B145" i="27"/>
  <c r="B144" i="71"/>
  <c r="F144" i="71"/>
  <c r="B139" i="64"/>
  <c r="F139" i="64"/>
  <c r="H134" i="90"/>
  <c r="I134" i="90"/>
  <c r="H136" i="76"/>
  <c r="I136" i="76"/>
  <c r="H144" i="30"/>
  <c r="I144" i="30"/>
  <c r="E139" i="78"/>
  <c r="G138" i="78"/>
  <c r="D139" i="78"/>
  <c r="F140" i="58"/>
  <c r="B140" i="58"/>
  <c r="B135" i="88"/>
  <c r="F135" i="88"/>
  <c r="D138" i="13"/>
  <c r="E138" i="13" s="1"/>
  <c r="G137" i="13"/>
  <c r="I141" i="39"/>
  <c r="H141" i="39"/>
  <c r="H134" i="84"/>
  <c r="I134" i="84"/>
  <c r="B139" i="61"/>
  <c r="F139" i="61"/>
  <c r="I141" i="41"/>
  <c r="H141" i="41"/>
  <c r="G56" i="88"/>
  <c r="D65" i="32"/>
  <c r="E65" i="32" s="1"/>
  <c r="E143" i="18"/>
  <c r="F143" i="18" s="1"/>
  <c r="H134" i="86"/>
  <c r="I134" i="86"/>
  <c r="H135" i="99"/>
  <c r="I135" i="99"/>
  <c r="I63" i="22"/>
  <c r="B140" i="46"/>
  <c r="F140" i="46"/>
  <c r="H144" i="69"/>
  <c r="I144" i="69"/>
  <c r="E58" i="75"/>
  <c r="D58" i="75"/>
  <c r="B55" i="25"/>
  <c r="F55" i="25"/>
  <c r="H55" i="25" s="1"/>
  <c r="G65" i="30"/>
  <c r="H145" i="20"/>
  <c r="I145" i="20"/>
  <c r="J138" i="63"/>
  <c r="D63" i="39"/>
  <c r="E63" i="39" s="1"/>
  <c r="H144" i="27"/>
  <c r="I144" i="27"/>
  <c r="H135" i="100"/>
  <c r="I135" i="100"/>
  <c r="H143" i="71"/>
  <c r="I143" i="71"/>
  <c r="J143" i="71" s="1"/>
  <c r="B135" i="90"/>
  <c r="F135" i="90"/>
  <c r="H137" i="65"/>
  <c r="I137" i="65"/>
  <c r="B145" i="30"/>
  <c r="F145" i="30"/>
  <c r="G137" i="25" l="1"/>
  <c r="D138" i="25"/>
  <c r="G56" i="91"/>
  <c r="I56" i="91" s="1"/>
  <c r="H67" i="71"/>
  <c r="J135" i="26"/>
  <c r="J136" i="25"/>
  <c r="D137" i="95"/>
  <c r="G136" i="95"/>
  <c r="E137" i="95"/>
  <c r="G67" i="71"/>
  <c r="H57" i="79"/>
  <c r="I57" i="79" s="1"/>
  <c r="G56" i="83"/>
  <c r="I56" i="83" s="1"/>
  <c r="I58" i="33"/>
  <c r="B61" i="53"/>
  <c r="J137" i="65"/>
  <c r="I54" i="96"/>
  <c r="J143" i="31"/>
  <c r="E142" i="42"/>
  <c r="F142" i="42" s="1"/>
  <c r="D136" i="87"/>
  <c r="G135" i="87"/>
  <c r="E136" i="87"/>
  <c r="D64" i="73"/>
  <c r="E64" i="73"/>
  <c r="F64" i="73" s="1"/>
  <c r="D65" i="73" s="1"/>
  <c r="E61" i="53"/>
  <c r="F61" i="53" s="1"/>
  <c r="E59" i="33"/>
  <c r="F59" i="33"/>
  <c r="B59" i="33"/>
  <c r="H60" i="46"/>
  <c r="D61" i="46"/>
  <c r="G60" i="46"/>
  <c r="D61" i="59"/>
  <c r="G60" i="59"/>
  <c r="D66" i="69"/>
  <c r="G65" i="69"/>
  <c r="H65" i="69"/>
  <c r="E65" i="20"/>
  <c r="F65" i="20" s="1"/>
  <c r="B65" i="20"/>
  <c r="D143" i="44"/>
  <c r="B143" i="44" s="1"/>
  <c r="G142" i="44"/>
  <c r="D65" i="44"/>
  <c r="B65" i="44" s="1"/>
  <c r="B61" i="72"/>
  <c r="H59" i="60"/>
  <c r="I59" i="60" s="1"/>
  <c r="B64" i="42"/>
  <c r="E58" i="79"/>
  <c r="D58" i="79"/>
  <c r="D64" i="74"/>
  <c r="D60" i="63"/>
  <c r="E60" i="63"/>
  <c r="E59" i="65"/>
  <c r="G58" i="65"/>
  <c r="H58" i="65"/>
  <c r="I58" i="65" s="1"/>
  <c r="D59" i="65"/>
  <c r="H65" i="23"/>
  <c r="I65" i="23" s="1"/>
  <c r="F55" i="98"/>
  <c r="G55" i="98"/>
  <c r="B55" i="98"/>
  <c r="H55" i="98"/>
  <c r="F58" i="76"/>
  <c r="B58" i="76"/>
  <c r="H58" i="76"/>
  <c r="I58" i="76" s="1"/>
  <c r="G58" i="76"/>
  <c r="I60" i="56"/>
  <c r="B64" i="44"/>
  <c r="G64" i="44"/>
  <c r="H64" i="44"/>
  <c r="B55" i="97"/>
  <c r="F55" i="97"/>
  <c r="G55" i="97" s="1"/>
  <c r="B64" i="20"/>
  <c r="G64" i="20"/>
  <c r="H64" i="20"/>
  <c r="D143" i="42"/>
  <c r="B143" i="42" s="1"/>
  <c r="G142" i="42"/>
  <c r="I135" i="97"/>
  <c r="H135" i="97"/>
  <c r="D68" i="28"/>
  <c r="E68" i="28" s="1"/>
  <c r="G60" i="58"/>
  <c r="D61" i="58"/>
  <c r="D57" i="92"/>
  <c r="E57" i="92"/>
  <c r="G67" i="28"/>
  <c r="H61" i="45"/>
  <c r="I61" i="45" s="1"/>
  <c r="D62" i="45"/>
  <c r="B61" i="56"/>
  <c r="F61" i="56"/>
  <c r="G61" i="56" s="1"/>
  <c r="H61" i="56"/>
  <c r="H136" i="33"/>
  <c r="I136" i="33"/>
  <c r="B63" i="41"/>
  <c r="D66" i="23"/>
  <c r="E66" i="23" s="1"/>
  <c r="F66" i="23" s="1"/>
  <c r="F57" i="85"/>
  <c r="H57" i="85" s="1"/>
  <c r="B57" i="85"/>
  <c r="D60" i="60"/>
  <c r="H141" i="42"/>
  <c r="I141" i="42"/>
  <c r="F136" i="97"/>
  <c r="B136" i="97"/>
  <c r="E59" i="66"/>
  <c r="D59" i="66"/>
  <c r="G136" i="26"/>
  <c r="D137" i="26"/>
  <c r="B57" i="81"/>
  <c r="F57" i="81"/>
  <c r="D57" i="82"/>
  <c r="E57" i="82"/>
  <c r="E57" i="84"/>
  <c r="D57" i="84"/>
  <c r="H67" i="28"/>
  <c r="I67" i="28" s="1"/>
  <c r="F65" i="24"/>
  <c r="H65" i="24" s="1"/>
  <c r="B65" i="24"/>
  <c r="D55" i="95"/>
  <c r="E55" i="95"/>
  <c r="E142" i="43"/>
  <c r="F142" i="43" s="1"/>
  <c r="B142" i="43"/>
  <c r="D57" i="83"/>
  <c r="E57" i="83"/>
  <c r="E68" i="27"/>
  <c r="B68" i="27"/>
  <c r="F68" i="27"/>
  <c r="G68" i="27" s="1"/>
  <c r="E137" i="33"/>
  <c r="B137" i="33"/>
  <c r="F137" i="33"/>
  <c r="E63" i="41"/>
  <c r="F63" i="41" s="1"/>
  <c r="D59" i="67"/>
  <c r="E59" i="67"/>
  <c r="E61" i="72"/>
  <c r="F61" i="72" s="1"/>
  <c r="D62" i="72" s="1"/>
  <c r="G58" i="68"/>
  <c r="I58" i="68" s="1"/>
  <c r="E59" i="68"/>
  <c r="D59" i="68"/>
  <c r="D61" i="57"/>
  <c r="E61" i="57" s="1"/>
  <c r="F61" i="57" s="1"/>
  <c r="B58" i="77"/>
  <c r="F58" i="77"/>
  <c r="H58" i="77" s="1"/>
  <c r="G58" i="77"/>
  <c r="E64" i="42"/>
  <c r="F64" i="42" s="1"/>
  <c r="D65" i="42" s="1"/>
  <c r="G58" i="66"/>
  <c r="I58" i="66" s="1"/>
  <c r="H54" i="99"/>
  <c r="I54" i="99" s="1"/>
  <c r="E55" i="99"/>
  <c r="D55" i="99"/>
  <c r="G63" i="74"/>
  <c r="I63" i="74" s="1"/>
  <c r="H60" i="58"/>
  <c r="I60" i="58" s="1"/>
  <c r="G56" i="82"/>
  <c r="I56" i="82" s="1"/>
  <c r="G56" i="84"/>
  <c r="I56" i="84" s="1"/>
  <c r="H56" i="92"/>
  <c r="I56" i="92" s="1"/>
  <c r="G54" i="95"/>
  <c r="I54" i="95" s="1"/>
  <c r="H141" i="43"/>
  <c r="I141" i="43"/>
  <c r="H60" i="57"/>
  <c r="I60" i="57" s="1"/>
  <c r="B67" i="27"/>
  <c r="H67" i="27"/>
  <c r="G67" i="27"/>
  <c r="D64" i="43"/>
  <c r="H63" i="43"/>
  <c r="G63" i="43"/>
  <c r="D69" i="70"/>
  <c r="H68" i="70"/>
  <c r="G68" i="70"/>
  <c r="E69" i="31"/>
  <c r="D69" i="31"/>
  <c r="H68" i="31"/>
  <c r="G68" i="31"/>
  <c r="G60" i="61"/>
  <c r="I60" i="61" s="1"/>
  <c r="E68" i="71"/>
  <c r="F68" i="71" s="1"/>
  <c r="B68" i="71"/>
  <c r="F57" i="80"/>
  <c r="H57" i="80" s="1"/>
  <c r="B57" i="80"/>
  <c r="H60" i="26"/>
  <c r="I60" i="26" s="1"/>
  <c r="D61" i="26"/>
  <c r="E61" i="26" s="1"/>
  <c r="D68" i="3"/>
  <c r="D57" i="91"/>
  <c r="E57" i="91"/>
  <c r="I67" i="71"/>
  <c r="F67" i="34"/>
  <c r="G67" i="34" s="1"/>
  <c r="B67" i="34"/>
  <c r="H67" i="3"/>
  <c r="E61" i="59"/>
  <c r="F61" i="59" s="1"/>
  <c r="B61" i="59"/>
  <c r="D145" i="31"/>
  <c r="E145" i="31" s="1"/>
  <c r="G144" i="31"/>
  <c r="D61" i="64"/>
  <c r="J139" i="54"/>
  <c r="D61" i="61"/>
  <c r="G67" i="3"/>
  <c r="I66" i="34"/>
  <c r="E65" i="73"/>
  <c r="F65" i="73" s="1"/>
  <c r="B65" i="73"/>
  <c r="F64" i="17"/>
  <c r="B64" i="17"/>
  <c r="B61" i="55"/>
  <c r="F61" i="55"/>
  <c r="D62" i="55" s="1"/>
  <c r="F57" i="86"/>
  <c r="B57" i="86"/>
  <c r="G57" i="86"/>
  <c r="H60" i="59"/>
  <c r="H60" i="64"/>
  <c r="I60" i="64" s="1"/>
  <c r="D148" i="17"/>
  <c r="E148" i="17" s="1"/>
  <c r="G147" i="17"/>
  <c r="J139" i="53"/>
  <c r="J146" i="17"/>
  <c r="J136" i="77"/>
  <c r="J140" i="62"/>
  <c r="J147" i="70"/>
  <c r="D141" i="60"/>
  <c r="G140" i="60"/>
  <c r="E141" i="60"/>
  <c r="G148" i="70"/>
  <c r="D149" i="70"/>
  <c r="J144" i="30"/>
  <c r="J136" i="76"/>
  <c r="J139" i="60"/>
  <c r="G142" i="39"/>
  <c r="D143" i="39"/>
  <c r="E143" i="39" s="1"/>
  <c r="G143" i="18"/>
  <c r="D144" i="18"/>
  <c r="E144" i="18"/>
  <c r="I138" i="78"/>
  <c r="H138" i="78"/>
  <c r="I65" i="30"/>
  <c r="G142" i="41"/>
  <c r="D143" i="41"/>
  <c r="E143" i="41" s="1"/>
  <c r="H138" i="66"/>
  <c r="I138" i="66"/>
  <c r="F63" i="39"/>
  <c r="G63" i="39" s="1"/>
  <c r="B63" i="39"/>
  <c r="D56" i="25"/>
  <c r="E56" i="25" s="1"/>
  <c r="D141" i="46"/>
  <c r="E141" i="46" s="1"/>
  <c r="G140" i="46"/>
  <c r="J141" i="39"/>
  <c r="G145" i="69"/>
  <c r="D146" i="69"/>
  <c r="E146" i="69"/>
  <c r="G136" i="80"/>
  <c r="D137" i="80"/>
  <c r="E137" i="80"/>
  <c r="B139" i="66"/>
  <c r="F139" i="66"/>
  <c r="H143" i="34"/>
  <c r="I143" i="34"/>
  <c r="J143" i="34" s="1"/>
  <c r="D138" i="76"/>
  <c r="G137" i="76"/>
  <c r="E138" i="76"/>
  <c r="D138" i="77"/>
  <c r="G137" i="77"/>
  <c r="E138" i="77"/>
  <c r="F141" i="67"/>
  <c r="B141" i="67"/>
  <c r="J141" i="74"/>
  <c r="J142" i="22"/>
  <c r="F66" i="29"/>
  <c r="H66" i="29" s="1"/>
  <c r="B66" i="29"/>
  <c r="D144" i="22"/>
  <c r="G143" i="22"/>
  <c r="E144" i="22"/>
  <c r="G135" i="90"/>
  <c r="D136" i="90"/>
  <c r="E136" i="90"/>
  <c r="G145" i="27"/>
  <c r="D146" i="27"/>
  <c r="E146" i="27" s="1"/>
  <c r="G140" i="57"/>
  <c r="D141" i="57"/>
  <c r="E141" i="57" s="1"/>
  <c r="G140" i="53"/>
  <c r="D141" i="53"/>
  <c r="E141" i="53" s="1"/>
  <c r="J141" i="41"/>
  <c r="I137" i="13"/>
  <c r="H137" i="13"/>
  <c r="G140" i="58"/>
  <c r="D141" i="58"/>
  <c r="E141" i="58"/>
  <c r="B55" i="100"/>
  <c r="F55" i="100"/>
  <c r="H55" i="100" s="1"/>
  <c r="D142" i="45"/>
  <c r="E142" i="45" s="1"/>
  <c r="G141" i="45"/>
  <c r="B66" i="19"/>
  <c r="J139" i="57"/>
  <c r="B66" i="30"/>
  <c r="F66" i="30"/>
  <c r="J136" i="79"/>
  <c r="G142" i="73"/>
  <c r="D143" i="73"/>
  <c r="E143" i="73"/>
  <c r="F64" i="22"/>
  <c r="G64" i="22" s="1"/>
  <c r="B64" i="22"/>
  <c r="G145" i="30"/>
  <c r="D146" i="30"/>
  <c r="E146" i="30" s="1"/>
  <c r="G55" i="25"/>
  <c r="I55" i="25" s="1"/>
  <c r="G139" i="61"/>
  <c r="D140" i="61"/>
  <c r="E140" i="61"/>
  <c r="D140" i="64"/>
  <c r="G139" i="64"/>
  <c r="E140" i="64"/>
  <c r="G135" i="98"/>
  <c r="D136" i="98"/>
  <c r="E136" i="98"/>
  <c r="D137" i="99"/>
  <c r="G136" i="99"/>
  <c r="E137" i="99"/>
  <c r="F57" i="88"/>
  <c r="H57" i="88" s="1"/>
  <c r="B57" i="88"/>
  <c r="J138" i="64"/>
  <c r="G146" i="20"/>
  <c r="D147" i="20"/>
  <c r="J138" i="59"/>
  <c r="E66" i="19"/>
  <c r="F66" i="19" s="1"/>
  <c r="G138" i="65"/>
  <c r="D139" i="65"/>
  <c r="E139" i="65"/>
  <c r="G135" i="86"/>
  <c r="D136" i="86"/>
  <c r="E136" i="86"/>
  <c r="J140" i="45"/>
  <c r="B59" i="13"/>
  <c r="F59" i="13"/>
  <c r="H59" i="13" s="1"/>
  <c r="E140" i="75"/>
  <c r="D140" i="75"/>
  <c r="G139" i="75"/>
  <c r="J139" i="72"/>
  <c r="B138" i="13"/>
  <c r="F138" i="13"/>
  <c r="G140" i="54"/>
  <c r="D141" i="54"/>
  <c r="E141" i="54"/>
  <c r="B55" i="96"/>
  <c r="F55" i="96"/>
  <c r="G55" i="96" s="1"/>
  <c r="G136" i="83"/>
  <c r="D137" i="83"/>
  <c r="E137" i="83"/>
  <c r="F56" i="87"/>
  <c r="H56" i="87" s="1"/>
  <c r="B56" i="87"/>
  <c r="H147" i="29"/>
  <c r="I147" i="29"/>
  <c r="B58" i="75"/>
  <c r="F58" i="75"/>
  <c r="H58" i="75" s="1"/>
  <c r="B144" i="19"/>
  <c r="J145" i="20"/>
  <c r="B65" i="32"/>
  <c r="F65" i="32"/>
  <c r="G65" i="32" s="1"/>
  <c r="G135" i="88"/>
  <c r="D136" i="88"/>
  <c r="E136" i="88"/>
  <c r="G144" i="71"/>
  <c r="D145" i="71"/>
  <c r="E145" i="71"/>
  <c r="J139" i="46"/>
  <c r="I56" i="88"/>
  <c r="I139" i="63"/>
  <c r="H139" i="63"/>
  <c r="H143" i="19"/>
  <c r="I143" i="19"/>
  <c r="J138" i="61"/>
  <c r="G138" i="85"/>
  <c r="D139" i="85"/>
  <c r="E139" i="85"/>
  <c r="H145" i="23"/>
  <c r="I145" i="23"/>
  <c r="J141" i="73"/>
  <c r="F58" i="78"/>
  <c r="G58" i="78" s="1"/>
  <c r="B58" i="78"/>
  <c r="J143" i="24"/>
  <c r="G144" i="24"/>
  <c r="D145" i="24"/>
  <c r="E145" i="24" s="1"/>
  <c r="G136" i="81"/>
  <c r="D137" i="81"/>
  <c r="E137" i="81"/>
  <c r="F148" i="29"/>
  <c r="B148" i="29"/>
  <c r="B144" i="34"/>
  <c r="I140" i="67"/>
  <c r="H140" i="67"/>
  <c r="J144" i="27"/>
  <c r="J144" i="69"/>
  <c r="G146" i="28"/>
  <c r="D147" i="28"/>
  <c r="B140" i="63"/>
  <c r="F140" i="63"/>
  <c r="J139" i="58"/>
  <c r="E144" i="19"/>
  <c r="F144" i="19" s="1"/>
  <c r="J143" i="32"/>
  <c r="F56" i="90"/>
  <c r="G56" i="90" s="1"/>
  <c r="B56" i="90"/>
  <c r="F56" i="89"/>
  <c r="H56" i="89" s="1"/>
  <c r="B56" i="89"/>
  <c r="D141" i="56"/>
  <c r="E141" i="56" s="1"/>
  <c r="G140" i="56"/>
  <c r="D142" i="62"/>
  <c r="E142" i="62" s="1"/>
  <c r="G141" i="62"/>
  <c r="F146" i="23"/>
  <c r="B146" i="23"/>
  <c r="G137" i="79"/>
  <c r="D138" i="79"/>
  <c r="E138" i="79"/>
  <c r="B64" i="18"/>
  <c r="F64" i="18"/>
  <c r="H64" i="18" s="1"/>
  <c r="E137" i="100"/>
  <c r="G136" i="100"/>
  <c r="D137" i="100"/>
  <c r="G138" i="82"/>
  <c r="D139" i="82"/>
  <c r="E139" i="82"/>
  <c r="G142" i="74"/>
  <c r="D143" i="74"/>
  <c r="E143" i="74"/>
  <c r="G142" i="55"/>
  <c r="D143" i="55"/>
  <c r="E143" i="55"/>
  <c r="G135" i="96"/>
  <c r="D136" i="96"/>
  <c r="E136" i="96"/>
  <c r="G135" i="92"/>
  <c r="E136" i="92"/>
  <c r="D136" i="92"/>
  <c r="B64" i="21"/>
  <c r="F64" i="21"/>
  <c r="G64" i="21" s="1"/>
  <c r="G143" i="3"/>
  <c r="D144" i="3"/>
  <c r="E144" i="3" s="1"/>
  <c r="F139" i="78"/>
  <c r="B139" i="78"/>
  <c r="G144" i="32"/>
  <c r="D145" i="32"/>
  <c r="E145" i="32"/>
  <c r="B61" i="54"/>
  <c r="F61" i="54"/>
  <c r="H61" i="54" s="1"/>
  <c r="E144" i="34"/>
  <c r="F144" i="34" s="1"/>
  <c r="D136" i="91"/>
  <c r="G135" i="91"/>
  <c r="E136" i="91"/>
  <c r="D144" i="21"/>
  <c r="E144" i="21" s="1"/>
  <c r="G143" i="21"/>
  <c r="G139" i="59"/>
  <c r="D140" i="59"/>
  <c r="E140" i="59"/>
  <c r="F60" i="62"/>
  <c r="H60" i="62" s="1"/>
  <c r="B60" i="62"/>
  <c r="J138" i="75"/>
  <c r="D136" i="89"/>
  <c r="G135" i="89"/>
  <c r="E136" i="89"/>
  <c r="G135" i="84"/>
  <c r="D136" i="84"/>
  <c r="E136" i="84"/>
  <c r="J141" i="55"/>
  <c r="D139" i="68"/>
  <c r="G138" i="68"/>
  <c r="E139" i="68"/>
  <c r="D141" i="72"/>
  <c r="G140" i="72"/>
  <c r="E141" i="72"/>
  <c r="D66" i="20" l="1"/>
  <c r="G65" i="20"/>
  <c r="H65" i="20"/>
  <c r="I65" i="20" s="1"/>
  <c r="D62" i="53"/>
  <c r="E62" i="53"/>
  <c r="F62" i="53" s="1"/>
  <c r="D63" i="53" s="1"/>
  <c r="H61" i="53"/>
  <c r="G61" i="53"/>
  <c r="I61" i="56"/>
  <c r="I135" i="87"/>
  <c r="H135" i="87"/>
  <c r="I63" i="43"/>
  <c r="I58" i="77"/>
  <c r="G65" i="24"/>
  <c r="I65" i="24" s="1"/>
  <c r="B136" i="87"/>
  <c r="F136" i="87"/>
  <c r="E138" i="25"/>
  <c r="B138" i="25"/>
  <c r="F138" i="25"/>
  <c r="B137" i="95"/>
  <c r="F137" i="95"/>
  <c r="G60" i="62"/>
  <c r="I60" i="59"/>
  <c r="G61" i="55"/>
  <c r="J141" i="42"/>
  <c r="I64" i="20"/>
  <c r="I60" i="46"/>
  <c r="H59" i="33"/>
  <c r="I59" i="33" s="1"/>
  <c r="G59" i="33"/>
  <c r="D60" i="33"/>
  <c r="B64" i="73"/>
  <c r="G64" i="73"/>
  <c r="H64" i="73"/>
  <c r="I137" i="25"/>
  <c r="H137" i="25"/>
  <c r="J141" i="43"/>
  <c r="I55" i="98"/>
  <c r="I136" i="95"/>
  <c r="H136" i="95"/>
  <c r="D143" i="43"/>
  <c r="G142" i="43"/>
  <c r="D62" i="57"/>
  <c r="E62" i="57"/>
  <c r="D64" i="41"/>
  <c r="G63" i="41"/>
  <c r="H63" i="41"/>
  <c r="G59" i="13"/>
  <c r="I67" i="27"/>
  <c r="B57" i="82"/>
  <c r="F57" i="82"/>
  <c r="G57" i="82" s="1"/>
  <c r="E137" i="97"/>
  <c r="G136" i="97"/>
  <c r="D137" i="97"/>
  <c r="B60" i="60"/>
  <c r="J136" i="33"/>
  <c r="I64" i="44"/>
  <c r="B64" i="74"/>
  <c r="G64" i="42"/>
  <c r="G61" i="72"/>
  <c r="E65" i="44"/>
  <c r="F65" i="44" s="1"/>
  <c r="I65" i="69"/>
  <c r="H61" i="57"/>
  <c r="G61" i="57"/>
  <c r="B61" i="57"/>
  <c r="E62" i="72"/>
  <c r="F62" i="72" s="1"/>
  <c r="B62" i="72"/>
  <c r="H62" i="72"/>
  <c r="B57" i="84"/>
  <c r="F57" i="84"/>
  <c r="G57" i="84" s="1"/>
  <c r="H57" i="84"/>
  <c r="E58" i="81"/>
  <c r="D58" i="81"/>
  <c r="F59" i="66"/>
  <c r="H59" i="66"/>
  <c r="G59" i="66"/>
  <c r="B59" i="66"/>
  <c r="D67" i="23"/>
  <c r="E67" i="23"/>
  <c r="E56" i="97"/>
  <c r="D56" i="97"/>
  <c r="B59" i="65"/>
  <c r="F59" i="65"/>
  <c r="B58" i="79"/>
  <c r="F58" i="79"/>
  <c r="H58" i="79" s="1"/>
  <c r="E66" i="69"/>
  <c r="F66" i="69" s="1"/>
  <c r="B66" i="69"/>
  <c r="E61" i="46"/>
  <c r="F61" i="46"/>
  <c r="G61" i="46" s="1"/>
  <c r="B61" i="46"/>
  <c r="E59" i="77"/>
  <c r="D59" i="77"/>
  <c r="F59" i="68"/>
  <c r="G59" i="68" s="1"/>
  <c r="B59" i="68"/>
  <c r="D138" i="33"/>
  <c r="B138" i="33" s="1"/>
  <c r="G137" i="33"/>
  <c r="H68" i="27"/>
  <c r="I68" i="27" s="1"/>
  <c r="D69" i="27"/>
  <c r="F57" i="83"/>
  <c r="B57" i="83"/>
  <c r="H57" i="81"/>
  <c r="E137" i="26"/>
  <c r="F137" i="26" s="1"/>
  <c r="B137" i="26"/>
  <c r="E58" i="85"/>
  <c r="D58" i="85"/>
  <c r="B66" i="23"/>
  <c r="G66" i="23"/>
  <c r="H66" i="23"/>
  <c r="E62" i="45"/>
  <c r="F62" i="45" s="1"/>
  <c r="B62" i="45"/>
  <c r="F57" i="92"/>
  <c r="H57" i="92" s="1"/>
  <c r="B57" i="92"/>
  <c r="B68" i="28"/>
  <c r="F68" i="28"/>
  <c r="E143" i="42"/>
  <c r="F143" i="42" s="1"/>
  <c r="F60" i="63"/>
  <c r="B60" i="63"/>
  <c r="E143" i="44"/>
  <c r="F143" i="44" s="1"/>
  <c r="H56" i="90"/>
  <c r="G58" i="75"/>
  <c r="I58" i="75" s="1"/>
  <c r="F55" i="99"/>
  <c r="B55" i="99"/>
  <c r="H55" i="99"/>
  <c r="E65" i="42"/>
  <c r="F65" i="42" s="1"/>
  <c r="B65" i="42"/>
  <c r="F59" i="67"/>
  <c r="B59" i="67"/>
  <c r="G59" i="67"/>
  <c r="F55" i="95"/>
  <c r="G55" i="95" s="1"/>
  <c r="B55" i="95"/>
  <c r="H55" i="95"/>
  <c r="D66" i="24"/>
  <c r="G57" i="81"/>
  <c r="I136" i="26"/>
  <c r="H136" i="26"/>
  <c r="E60" i="60"/>
  <c r="F60" i="60" s="1"/>
  <c r="G57" i="85"/>
  <c r="I57" i="85" s="1"/>
  <c r="D62" i="56"/>
  <c r="E62" i="56" s="1"/>
  <c r="E61" i="58"/>
  <c r="F61" i="58" s="1"/>
  <c r="G61" i="58" s="1"/>
  <c r="B61" i="58"/>
  <c r="I142" i="42"/>
  <c r="H142" i="42"/>
  <c r="H55" i="97"/>
  <c r="I55" i="97" s="1"/>
  <c r="D59" i="76"/>
  <c r="E59" i="76"/>
  <c r="E56" i="98"/>
  <c r="D56" i="98"/>
  <c r="E64" i="74"/>
  <c r="F64" i="74" s="1"/>
  <c r="H64" i="42"/>
  <c r="I64" i="42" s="1"/>
  <c r="H61" i="72"/>
  <c r="I61" i="72" s="1"/>
  <c r="I142" i="44"/>
  <c r="J142" i="44" s="1"/>
  <c r="H142" i="44"/>
  <c r="H68" i="71"/>
  <c r="D69" i="71"/>
  <c r="E69" i="71" s="1"/>
  <c r="G68" i="71"/>
  <c r="G61" i="59"/>
  <c r="D62" i="59"/>
  <c r="H61" i="59"/>
  <c r="G56" i="89"/>
  <c r="I56" i="89" s="1"/>
  <c r="H65" i="32"/>
  <c r="I65" i="32" s="1"/>
  <c r="H64" i="22"/>
  <c r="I64" i="22" s="1"/>
  <c r="G64" i="17"/>
  <c r="D65" i="17"/>
  <c r="G65" i="73"/>
  <c r="D66" i="73"/>
  <c r="B61" i="64"/>
  <c r="F57" i="91"/>
  <c r="B57" i="91"/>
  <c r="B68" i="3"/>
  <c r="B69" i="70"/>
  <c r="G66" i="29"/>
  <c r="I66" i="29" s="1"/>
  <c r="H63" i="39"/>
  <c r="H61" i="55"/>
  <c r="I61" i="55" s="1"/>
  <c r="I67" i="3"/>
  <c r="B64" i="43"/>
  <c r="D58" i="86"/>
  <c r="E58" i="86"/>
  <c r="B61" i="61"/>
  <c r="I144" i="31"/>
  <c r="H144" i="31"/>
  <c r="D68" i="34"/>
  <c r="E68" i="34" s="1"/>
  <c r="F68" i="34" s="1"/>
  <c r="F61" i="26"/>
  <c r="G61" i="26" s="1"/>
  <c r="B61" i="26"/>
  <c r="E58" i="80"/>
  <c r="D58" i="80"/>
  <c r="B63" i="53"/>
  <c r="I68" i="31"/>
  <c r="I68" i="70"/>
  <c r="E64" i="43"/>
  <c r="F64" i="43" s="1"/>
  <c r="I60" i="62"/>
  <c r="I59" i="13"/>
  <c r="H57" i="86"/>
  <c r="I57" i="86" s="1"/>
  <c r="E62" i="55"/>
  <c r="F62" i="55" s="1"/>
  <c r="H62" i="55" s="1"/>
  <c r="B62" i="55"/>
  <c r="H64" i="17"/>
  <c r="I64" i="17" s="1"/>
  <c r="H65" i="73"/>
  <c r="E61" i="61"/>
  <c r="F61" i="61" s="1"/>
  <c r="E61" i="64"/>
  <c r="F61" i="64" s="1"/>
  <c r="F145" i="31"/>
  <c r="B145" i="31"/>
  <c r="H67" i="34"/>
  <c r="E68" i="3"/>
  <c r="F68" i="3" s="1"/>
  <c r="G57" i="80"/>
  <c r="I57" i="80" s="1"/>
  <c r="E63" i="53"/>
  <c r="F63" i="53" s="1"/>
  <c r="B69" i="31"/>
  <c r="F69" i="31"/>
  <c r="H69" i="31" s="1"/>
  <c r="E69" i="70"/>
  <c r="F69" i="70" s="1"/>
  <c r="J139" i="63"/>
  <c r="H140" i="60"/>
  <c r="I140" i="60"/>
  <c r="J140" i="60" s="1"/>
  <c r="I148" i="70"/>
  <c r="H148" i="70"/>
  <c r="J138" i="78"/>
  <c r="F141" i="60"/>
  <c r="B141" i="60"/>
  <c r="I147" i="17"/>
  <c r="J147" i="17" s="1"/>
  <c r="H147" i="17"/>
  <c r="B149" i="70"/>
  <c r="E149" i="70"/>
  <c r="F149" i="70" s="1"/>
  <c r="F148" i="17"/>
  <c r="B148" i="17"/>
  <c r="D67" i="19"/>
  <c r="E67" i="19" s="1"/>
  <c r="H66" i="19"/>
  <c r="I66" i="19" s="1"/>
  <c r="G66" i="19"/>
  <c r="H138" i="82"/>
  <c r="I138" i="82"/>
  <c r="H142" i="55"/>
  <c r="I142" i="55"/>
  <c r="I137" i="79"/>
  <c r="H137" i="79"/>
  <c r="E149" i="29"/>
  <c r="D149" i="29"/>
  <c r="G148" i="29"/>
  <c r="B137" i="83"/>
  <c r="F137" i="83"/>
  <c r="D67" i="30"/>
  <c r="E67" i="30" s="1"/>
  <c r="I140" i="53"/>
  <c r="H140" i="53"/>
  <c r="H143" i="22"/>
  <c r="I143" i="22"/>
  <c r="J143" i="22" s="1"/>
  <c r="D142" i="67"/>
  <c r="E142" i="67" s="1"/>
  <c r="G141" i="67"/>
  <c r="D140" i="66"/>
  <c r="G139" i="66"/>
  <c r="E140" i="66"/>
  <c r="B141" i="72"/>
  <c r="F141" i="72"/>
  <c r="D61" i="62"/>
  <c r="E61" i="62" s="1"/>
  <c r="I135" i="91"/>
  <c r="H135" i="91"/>
  <c r="B141" i="56"/>
  <c r="F141" i="56"/>
  <c r="E57" i="90"/>
  <c r="D57" i="90"/>
  <c r="I146" i="28"/>
  <c r="H146" i="28"/>
  <c r="I138" i="85"/>
  <c r="H138" i="85"/>
  <c r="G56" i="87"/>
  <c r="I56" i="87" s="1"/>
  <c r="H136" i="83"/>
  <c r="I136" i="83"/>
  <c r="F136" i="86"/>
  <c r="B136" i="86"/>
  <c r="H146" i="20"/>
  <c r="I146" i="20"/>
  <c r="H139" i="64"/>
  <c r="I139" i="64"/>
  <c r="B141" i="58"/>
  <c r="F141" i="58"/>
  <c r="H135" i="90"/>
  <c r="I135" i="90"/>
  <c r="F144" i="22"/>
  <c r="B144" i="22"/>
  <c r="F56" i="25"/>
  <c r="G56" i="25" s="1"/>
  <c r="B56" i="25"/>
  <c r="F136" i="89"/>
  <c r="B136" i="89"/>
  <c r="F136" i="92"/>
  <c r="B136" i="92"/>
  <c r="I136" i="100"/>
  <c r="H136" i="100"/>
  <c r="H140" i="56"/>
  <c r="I140" i="56"/>
  <c r="B139" i="85"/>
  <c r="F139" i="85"/>
  <c r="I135" i="88"/>
  <c r="H135" i="88"/>
  <c r="B138" i="77"/>
  <c r="F138" i="77"/>
  <c r="F140" i="59"/>
  <c r="B140" i="59"/>
  <c r="F136" i="91"/>
  <c r="B136" i="91"/>
  <c r="F144" i="3"/>
  <c r="B144" i="3"/>
  <c r="H135" i="92"/>
  <c r="I135" i="92"/>
  <c r="B143" i="74"/>
  <c r="F143" i="74"/>
  <c r="G64" i="18"/>
  <c r="I64" i="18" s="1"/>
  <c r="D66" i="32"/>
  <c r="E66" i="32" s="1"/>
  <c r="D56" i="96"/>
  <c r="E56" i="96"/>
  <c r="I135" i="86"/>
  <c r="H135" i="86"/>
  <c r="B140" i="64"/>
  <c r="F140" i="64"/>
  <c r="B146" i="30"/>
  <c r="F146" i="30"/>
  <c r="G55" i="100"/>
  <c r="I55" i="100" s="1"/>
  <c r="H140" i="58"/>
  <c r="I140" i="58"/>
  <c r="J140" i="58" s="1"/>
  <c r="F141" i="57"/>
  <c r="B141" i="57"/>
  <c r="B146" i="69"/>
  <c r="F146" i="69"/>
  <c r="F143" i="41"/>
  <c r="B143" i="41"/>
  <c r="I140" i="72"/>
  <c r="J140" i="72" s="1"/>
  <c r="H140" i="72"/>
  <c r="E140" i="78"/>
  <c r="D140" i="78"/>
  <c r="G139" i="78"/>
  <c r="B147" i="28"/>
  <c r="B147" i="20"/>
  <c r="B136" i="90"/>
  <c r="F136" i="90"/>
  <c r="I138" i="68"/>
  <c r="H138" i="68"/>
  <c r="H139" i="59"/>
  <c r="I139" i="59"/>
  <c r="J139" i="59" s="1"/>
  <c r="B145" i="32"/>
  <c r="F145" i="32"/>
  <c r="H143" i="3"/>
  <c r="I143" i="3"/>
  <c r="I142" i="74"/>
  <c r="H142" i="74"/>
  <c r="D147" i="23"/>
  <c r="E147" i="23" s="1"/>
  <c r="G146" i="23"/>
  <c r="D57" i="89"/>
  <c r="E57" i="89"/>
  <c r="J140" i="67"/>
  <c r="B137" i="81"/>
  <c r="F137" i="81"/>
  <c r="H58" i="78"/>
  <c r="I58" i="78" s="1"/>
  <c r="D59" i="75"/>
  <c r="E59" i="75"/>
  <c r="H55" i="96"/>
  <c r="I55" i="96" s="1"/>
  <c r="B141" i="54"/>
  <c r="F141" i="54"/>
  <c r="G57" i="88"/>
  <c r="I57" i="88" s="1"/>
  <c r="H136" i="99"/>
  <c r="I136" i="99"/>
  <c r="H145" i="30"/>
  <c r="I145" i="30"/>
  <c r="D65" i="22"/>
  <c r="E65" i="22" s="1"/>
  <c r="B143" i="73"/>
  <c r="F143" i="73"/>
  <c r="H141" i="45"/>
  <c r="I141" i="45"/>
  <c r="I140" i="57"/>
  <c r="J140" i="57" s="1"/>
  <c r="H140" i="57"/>
  <c r="D67" i="29"/>
  <c r="E67" i="29" s="1"/>
  <c r="F137" i="80"/>
  <c r="B137" i="80"/>
  <c r="H145" i="69"/>
  <c r="I145" i="69"/>
  <c r="J145" i="69" s="1"/>
  <c r="H142" i="41"/>
  <c r="I142" i="41"/>
  <c r="B144" i="18"/>
  <c r="F144" i="18"/>
  <c r="D62" i="54"/>
  <c r="E62" i="54" s="1"/>
  <c r="F136" i="96"/>
  <c r="B136" i="96"/>
  <c r="D65" i="18"/>
  <c r="G144" i="34"/>
  <c r="D145" i="34"/>
  <c r="E145" i="34"/>
  <c r="I136" i="81"/>
  <c r="H136" i="81"/>
  <c r="F139" i="65"/>
  <c r="B139" i="65"/>
  <c r="F137" i="99"/>
  <c r="B137" i="99"/>
  <c r="B140" i="61"/>
  <c r="F140" i="61"/>
  <c r="H142" i="73"/>
  <c r="I142" i="73"/>
  <c r="B142" i="45"/>
  <c r="F142" i="45"/>
  <c r="D56" i="100"/>
  <c r="E56" i="100"/>
  <c r="H137" i="76"/>
  <c r="I137" i="76"/>
  <c r="H136" i="80"/>
  <c r="I136" i="80"/>
  <c r="I63" i="39"/>
  <c r="H143" i="18"/>
  <c r="I143" i="18"/>
  <c r="B139" i="68"/>
  <c r="F139" i="68"/>
  <c r="B136" i="84"/>
  <c r="F136" i="84"/>
  <c r="H144" i="32"/>
  <c r="I144" i="32"/>
  <c r="H64" i="21"/>
  <c r="I64" i="21" s="1"/>
  <c r="H141" i="62"/>
  <c r="I141" i="62"/>
  <c r="F145" i="71"/>
  <c r="B145" i="71"/>
  <c r="E57" i="87"/>
  <c r="D57" i="87"/>
  <c r="H140" i="54"/>
  <c r="I140" i="54"/>
  <c r="H139" i="75"/>
  <c r="I139" i="75"/>
  <c r="I135" i="84"/>
  <c r="H135" i="84"/>
  <c r="H135" i="96"/>
  <c r="I135" i="96"/>
  <c r="B139" i="82"/>
  <c r="F139" i="82"/>
  <c r="D141" i="63"/>
  <c r="E141" i="63" s="1"/>
  <c r="G140" i="63"/>
  <c r="J145" i="23"/>
  <c r="J143" i="19"/>
  <c r="H144" i="71"/>
  <c r="I144" i="71"/>
  <c r="D139" i="13"/>
  <c r="E139" i="13" s="1"/>
  <c r="G138" i="13"/>
  <c r="F140" i="75"/>
  <c r="B140" i="75"/>
  <c r="D60" i="13"/>
  <c r="H138" i="65"/>
  <c r="I138" i="65"/>
  <c r="H139" i="61"/>
  <c r="I139" i="61"/>
  <c r="B146" i="27"/>
  <c r="F146" i="27"/>
  <c r="F138" i="76"/>
  <c r="B138" i="76"/>
  <c r="D64" i="39"/>
  <c r="E64" i="39" s="1"/>
  <c r="I143" i="21"/>
  <c r="J143" i="21" s="1"/>
  <c r="H143" i="21"/>
  <c r="F142" i="62"/>
  <c r="B142" i="62"/>
  <c r="B145" i="24"/>
  <c r="F145" i="24"/>
  <c r="D59" i="78"/>
  <c r="E59" i="78"/>
  <c r="D145" i="19"/>
  <c r="G144" i="19"/>
  <c r="E145" i="19"/>
  <c r="D58" i="88"/>
  <c r="E58" i="88"/>
  <c r="F136" i="98"/>
  <c r="B136" i="98"/>
  <c r="G66" i="30"/>
  <c r="H145" i="27"/>
  <c r="I145" i="27"/>
  <c r="H140" i="46"/>
  <c r="I140" i="46"/>
  <c r="B143" i="39"/>
  <c r="F143" i="39"/>
  <c r="D65" i="21"/>
  <c r="E65" i="21" s="1"/>
  <c r="I135" i="89"/>
  <c r="H135" i="89"/>
  <c r="B144" i="21"/>
  <c r="F144" i="21"/>
  <c r="G61" i="54"/>
  <c r="I61" i="54" s="1"/>
  <c r="F143" i="55"/>
  <c r="B143" i="55"/>
  <c r="B137" i="100"/>
  <c r="F137" i="100"/>
  <c r="F138" i="79"/>
  <c r="B138" i="79"/>
  <c r="I56" i="90"/>
  <c r="E147" i="28"/>
  <c r="F147" i="28" s="1"/>
  <c r="H144" i="24"/>
  <c r="I144" i="24"/>
  <c r="B136" i="88"/>
  <c r="F136" i="88"/>
  <c r="J147" i="29"/>
  <c r="E147" i="20"/>
  <c r="F147" i="20" s="1"/>
  <c r="H135" i="98"/>
  <c r="I135" i="98"/>
  <c r="H66" i="30"/>
  <c r="F141" i="53"/>
  <c r="B141" i="53"/>
  <c r="I137" i="77"/>
  <c r="H137" i="77"/>
  <c r="B141" i="46"/>
  <c r="F141" i="46"/>
  <c r="J138" i="66"/>
  <c r="H142" i="39"/>
  <c r="I142" i="39"/>
  <c r="I55" i="95" l="1"/>
  <c r="E137" i="87"/>
  <c r="G136" i="87"/>
  <c r="D137" i="87"/>
  <c r="J136" i="26"/>
  <c r="G138" i="25"/>
  <c r="D139" i="25"/>
  <c r="I61" i="53"/>
  <c r="I68" i="71"/>
  <c r="G58" i="79"/>
  <c r="I58" i="79" s="1"/>
  <c r="I59" i="66"/>
  <c r="I61" i="57"/>
  <c r="J137" i="25"/>
  <c r="E60" i="33"/>
  <c r="F60" i="33" s="1"/>
  <c r="B60" i="33"/>
  <c r="E66" i="20"/>
  <c r="B66" i="20"/>
  <c r="F66" i="20"/>
  <c r="I64" i="73"/>
  <c r="E138" i="95"/>
  <c r="D138" i="95"/>
  <c r="G137" i="95"/>
  <c r="B62" i="53"/>
  <c r="G62" i="53"/>
  <c r="H62" i="53"/>
  <c r="I62" i="53" s="1"/>
  <c r="D67" i="69"/>
  <c r="G66" i="69"/>
  <c r="H66" i="69"/>
  <c r="D65" i="74"/>
  <c r="G64" i="74"/>
  <c r="H64" i="74"/>
  <c r="I64" i="74" s="1"/>
  <c r="G60" i="60"/>
  <c r="D61" i="60"/>
  <c r="H60" i="60"/>
  <c r="I60" i="60" s="1"/>
  <c r="D138" i="26"/>
  <c r="G137" i="26"/>
  <c r="G65" i="42"/>
  <c r="D66" i="42"/>
  <c r="E66" i="42" s="1"/>
  <c r="H65" i="42"/>
  <c r="H62" i="45"/>
  <c r="D63" i="45"/>
  <c r="G62" i="45"/>
  <c r="F56" i="98"/>
  <c r="H56" i="98" s="1"/>
  <c r="B56" i="98"/>
  <c r="B66" i="24"/>
  <c r="D60" i="67"/>
  <c r="E60" i="67"/>
  <c r="H68" i="28"/>
  <c r="D69" i="28"/>
  <c r="E69" i="28" s="1"/>
  <c r="F69" i="28" s="1"/>
  <c r="D58" i="92"/>
  <c r="E58" i="92"/>
  <c r="B69" i="27"/>
  <c r="D60" i="68"/>
  <c r="H61" i="46"/>
  <c r="I61" i="46" s="1"/>
  <c r="D62" i="46"/>
  <c r="D60" i="65"/>
  <c r="H59" i="65"/>
  <c r="D63" i="72"/>
  <c r="E63" i="72"/>
  <c r="F63" i="72" s="1"/>
  <c r="D62" i="58"/>
  <c r="F62" i="56"/>
  <c r="D63" i="56" s="1"/>
  <c r="B62" i="56"/>
  <c r="H60" i="63"/>
  <c r="D61" i="63"/>
  <c r="F58" i="85"/>
  <c r="B58" i="85"/>
  <c r="G58" i="85"/>
  <c r="D58" i="83"/>
  <c r="E58" i="83"/>
  <c r="B59" i="77"/>
  <c r="F59" i="77"/>
  <c r="G59" i="77" s="1"/>
  <c r="I57" i="84"/>
  <c r="D66" i="44"/>
  <c r="G65" i="44"/>
  <c r="H65" i="44"/>
  <c r="I65" i="44" s="1"/>
  <c r="B137" i="97"/>
  <c r="F137" i="97"/>
  <c r="E58" i="82"/>
  <c r="D58" i="82"/>
  <c r="E64" i="41"/>
  <c r="F64" i="41" s="1"/>
  <c r="B64" i="41"/>
  <c r="I142" i="43"/>
  <c r="H142" i="43"/>
  <c r="G69" i="31"/>
  <c r="I69" i="31" s="1"/>
  <c r="I65" i="73"/>
  <c r="J142" i="42"/>
  <c r="H59" i="67"/>
  <c r="I59" i="67" s="1"/>
  <c r="G143" i="44"/>
  <c r="D144" i="44"/>
  <c r="B144" i="44" s="1"/>
  <c r="G143" i="42"/>
  <c r="D144" i="42"/>
  <c r="E144" i="42" s="1"/>
  <c r="I66" i="23"/>
  <c r="I57" i="81"/>
  <c r="G57" i="83"/>
  <c r="E138" i="33"/>
  <c r="F138" i="33" s="1"/>
  <c r="H59" i="68"/>
  <c r="I59" i="68" s="1"/>
  <c r="E59" i="79"/>
  <c r="D59" i="79"/>
  <c r="G59" i="65"/>
  <c r="B67" i="23"/>
  <c r="F67" i="23"/>
  <c r="H67" i="23"/>
  <c r="D60" i="66"/>
  <c r="G62" i="72"/>
  <c r="I62" i="72" s="1"/>
  <c r="H136" i="97"/>
  <c r="I136" i="97"/>
  <c r="H57" i="82"/>
  <c r="I57" i="82" s="1"/>
  <c r="E143" i="43"/>
  <c r="F143" i="43"/>
  <c r="B143" i="43"/>
  <c r="F59" i="76"/>
  <c r="B59" i="76"/>
  <c r="G59" i="76"/>
  <c r="H61" i="58"/>
  <c r="I61" i="58" s="1"/>
  <c r="E66" i="24"/>
  <c r="F66" i="24" s="1"/>
  <c r="E56" i="95"/>
  <c r="D56" i="95"/>
  <c r="G55" i="99"/>
  <c r="I55" i="99" s="1"/>
  <c r="E56" i="99"/>
  <c r="D56" i="99"/>
  <c r="G60" i="63"/>
  <c r="I60" i="63" s="1"/>
  <c r="G68" i="28"/>
  <c r="I68" i="28" s="1"/>
  <c r="G57" i="92"/>
  <c r="I57" i="92" s="1"/>
  <c r="H57" i="83"/>
  <c r="E69" i="27"/>
  <c r="F69" i="27" s="1"/>
  <c r="H137" i="33"/>
  <c r="I137" i="33"/>
  <c r="B56" i="97"/>
  <c r="F56" i="97"/>
  <c r="B58" i="81"/>
  <c r="F58" i="81"/>
  <c r="D58" i="84"/>
  <c r="E58" i="84"/>
  <c r="I63" i="41"/>
  <c r="F62" i="57"/>
  <c r="D63" i="57" s="1"/>
  <c r="B62" i="57"/>
  <c r="H62" i="57"/>
  <c r="G61" i="61"/>
  <c r="D62" i="61"/>
  <c r="E62" i="61" s="1"/>
  <c r="F62" i="61" s="1"/>
  <c r="H61" i="61"/>
  <c r="I61" i="61" s="1"/>
  <c r="D65" i="43"/>
  <c r="E65" i="43" s="1"/>
  <c r="G64" i="43"/>
  <c r="H64" i="43"/>
  <c r="D70" i="70"/>
  <c r="H69" i="70"/>
  <c r="G69" i="70"/>
  <c r="G68" i="3"/>
  <c r="D69" i="3"/>
  <c r="H68" i="3"/>
  <c r="D64" i="53"/>
  <c r="H63" i="53"/>
  <c r="G63" i="53"/>
  <c r="I67" i="34"/>
  <c r="D62" i="64"/>
  <c r="D62" i="26"/>
  <c r="H61" i="64"/>
  <c r="B65" i="17"/>
  <c r="E62" i="59"/>
  <c r="B62" i="59"/>
  <c r="G62" i="59"/>
  <c r="F62" i="59"/>
  <c r="D63" i="59" s="1"/>
  <c r="F58" i="80"/>
  <c r="H58" i="80" s="1"/>
  <c r="B58" i="80"/>
  <c r="H57" i="91"/>
  <c r="E58" i="91"/>
  <c r="D58" i="91"/>
  <c r="E65" i="17"/>
  <c r="F65" i="17" s="1"/>
  <c r="D63" i="55"/>
  <c r="E63" i="55" s="1"/>
  <c r="D69" i="34"/>
  <c r="E66" i="73"/>
  <c r="F66" i="73" s="1"/>
  <c r="B66" i="73"/>
  <c r="D70" i="31"/>
  <c r="E70" i="31" s="1"/>
  <c r="F70" i="31" s="1"/>
  <c r="G145" i="31"/>
  <c r="D146" i="31"/>
  <c r="B146" i="31" s="1"/>
  <c r="G62" i="55"/>
  <c r="I62" i="55" s="1"/>
  <c r="H61" i="26"/>
  <c r="I61" i="26" s="1"/>
  <c r="B68" i="34"/>
  <c r="G68" i="34"/>
  <c r="H68" i="34"/>
  <c r="I68" i="34" s="1"/>
  <c r="J144" i="31"/>
  <c r="F58" i="86"/>
  <c r="B58" i="86"/>
  <c r="G57" i="91"/>
  <c r="I57" i="91" s="1"/>
  <c r="G61" i="64"/>
  <c r="I61" i="59"/>
  <c r="B69" i="71"/>
  <c r="F69" i="71"/>
  <c r="D70" i="71" s="1"/>
  <c r="G69" i="71"/>
  <c r="D150" i="70"/>
  <c r="G149" i="70"/>
  <c r="J139" i="61"/>
  <c r="J144" i="32"/>
  <c r="J143" i="18"/>
  <c r="J142" i="73"/>
  <c r="J138" i="68"/>
  <c r="J137" i="79"/>
  <c r="G141" i="60"/>
  <c r="D142" i="60"/>
  <c r="E142" i="60"/>
  <c r="G148" i="17"/>
  <c r="E149" i="17"/>
  <c r="D149" i="17"/>
  <c r="J140" i="46"/>
  <c r="J140" i="56"/>
  <c r="J148" i="70"/>
  <c r="J141" i="45"/>
  <c r="J139" i="75"/>
  <c r="J141" i="62"/>
  <c r="J140" i="53"/>
  <c r="G147" i="28"/>
  <c r="D148" i="28"/>
  <c r="E148" i="28" s="1"/>
  <c r="G147" i="20"/>
  <c r="D148" i="20"/>
  <c r="E148" i="20" s="1"/>
  <c r="I138" i="13"/>
  <c r="H138" i="13"/>
  <c r="G145" i="71"/>
  <c r="D146" i="71"/>
  <c r="E146" i="71"/>
  <c r="G142" i="62"/>
  <c r="D143" i="62"/>
  <c r="E143" i="62" s="1"/>
  <c r="B65" i="18"/>
  <c r="D147" i="30"/>
  <c r="E147" i="30" s="1"/>
  <c r="G146" i="30"/>
  <c r="D140" i="85"/>
  <c r="E140" i="85"/>
  <c r="G139" i="85"/>
  <c r="J142" i="39"/>
  <c r="J145" i="27"/>
  <c r="I144" i="19"/>
  <c r="J144" i="19" s="1"/>
  <c r="H144" i="19"/>
  <c r="J138" i="65"/>
  <c r="G139" i="82"/>
  <c r="D140" i="82"/>
  <c r="E140" i="82"/>
  <c r="G139" i="68"/>
  <c r="D140" i="68"/>
  <c r="E140" i="68"/>
  <c r="D141" i="61"/>
  <c r="G140" i="61"/>
  <c r="E141" i="61"/>
  <c r="E65" i="18"/>
  <c r="F65" i="18" s="1"/>
  <c r="D142" i="54"/>
  <c r="E142" i="54" s="1"/>
  <c r="G141" i="54"/>
  <c r="J142" i="74"/>
  <c r="B56" i="96"/>
  <c r="F56" i="96"/>
  <c r="H56" i="96" s="1"/>
  <c r="G138" i="77"/>
  <c r="D139" i="77"/>
  <c r="E139" i="77"/>
  <c r="D137" i="89"/>
  <c r="G136" i="89"/>
  <c r="E137" i="89"/>
  <c r="J146" i="20"/>
  <c r="J146" i="28"/>
  <c r="B67" i="30"/>
  <c r="F67" i="30"/>
  <c r="G67" i="30" s="1"/>
  <c r="J137" i="77"/>
  <c r="B139" i="13"/>
  <c r="F139" i="13"/>
  <c r="D137" i="90"/>
  <c r="G136" i="90"/>
  <c r="E137" i="90"/>
  <c r="G141" i="53"/>
  <c r="D142" i="53"/>
  <c r="E142" i="53" s="1"/>
  <c r="G143" i="55"/>
  <c r="D144" i="55"/>
  <c r="E144" i="55" s="1"/>
  <c r="B145" i="19"/>
  <c r="F145" i="19"/>
  <c r="J144" i="71"/>
  <c r="J140" i="54"/>
  <c r="B56" i="100"/>
  <c r="F56" i="100"/>
  <c r="H56" i="100" s="1"/>
  <c r="D140" i="65"/>
  <c r="G139" i="65"/>
  <c r="E140" i="65"/>
  <c r="J143" i="3"/>
  <c r="G143" i="41"/>
  <c r="D144" i="41"/>
  <c r="E144" i="41" s="1"/>
  <c r="D141" i="64"/>
  <c r="E141" i="64" s="1"/>
  <c r="G140" i="64"/>
  <c r="G144" i="3"/>
  <c r="D145" i="3"/>
  <c r="E145" i="3" s="1"/>
  <c r="G140" i="59"/>
  <c r="D141" i="59"/>
  <c r="E141" i="59" s="1"/>
  <c r="H56" i="25"/>
  <c r="I56" i="25" s="1"/>
  <c r="F57" i="90"/>
  <c r="G57" i="90" s="1"/>
  <c r="B57" i="90"/>
  <c r="I139" i="66"/>
  <c r="H139" i="66"/>
  <c r="D139" i="76"/>
  <c r="G138" i="76"/>
  <c r="E139" i="76"/>
  <c r="D144" i="73"/>
  <c r="G143" i="73"/>
  <c r="E144" i="73"/>
  <c r="G136" i="98"/>
  <c r="D137" i="98"/>
  <c r="E137" i="98"/>
  <c r="D147" i="27"/>
  <c r="E147" i="27" s="1"/>
  <c r="G146" i="27"/>
  <c r="B60" i="13"/>
  <c r="G142" i="45"/>
  <c r="D143" i="45"/>
  <c r="E143" i="45" s="1"/>
  <c r="G136" i="96"/>
  <c r="D137" i="96"/>
  <c r="E137" i="96"/>
  <c r="D138" i="80"/>
  <c r="G137" i="80"/>
  <c r="E138" i="80"/>
  <c r="H65" i="22"/>
  <c r="B65" i="22"/>
  <c r="F65" i="22"/>
  <c r="D147" i="69"/>
  <c r="G146" i="69"/>
  <c r="E147" i="69"/>
  <c r="B66" i="32"/>
  <c r="F66" i="32"/>
  <c r="G66" i="32" s="1"/>
  <c r="D145" i="22"/>
  <c r="G144" i="22"/>
  <c r="J139" i="64"/>
  <c r="F140" i="66"/>
  <c r="B140" i="66"/>
  <c r="J142" i="55"/>
  <c r="F141" i="63"/>
  <c r="B141" i="63"/>
  <c r="I66" i="30"/>
  <c r="D137" i="88"/>
  <c r="G136" i="88"/>
  <c r="E137" i="88"/>
  <c r="G144" i="21"/>
  <c r="D145" i="21"/>
  <c r="E145" i="21" s="1"/>
  <c r="F65" i="21"/>
  <c r="G65" i="21"/>
  <c r="B65" i="21"/>
  <c r="H65" i="21"/>
  <c r="I65" i="21" s="1"/>
  <c r="F59" i="78"/>
  <c r="G59" i="78" s="1"/>
  <c r="B59" i="78"/>
  <c r="F64" i="39"/>
  <c r="G64" i="39" s="1"/>
  <c r="B64" i="39"/>
  <c r="E60" i="13"/>
  <c r="F60" i="13" s="1"/>
  <c r="F57" i="87"/>
  <c r="G57" i="87" s="1"/>
  <c r="B57" i="87"/>
  <c r="J137" i="76"/>
  <c r="D138" i="99"/>
  <c r="G137" i="99"/>
  <c r="E138" i="99"/>
  <c r="F62" i="54"/>
  <c r="H62" i="54" s="1"/>
  <c r="B62" i="54"/>
  <c r="G144" i="18"/>
  <c r="D145" i="18"/>
  <c r="E145" i="18" s="1"/>
  <c r="J145" i="30"/>
  <c r="F57" i="89"/>
  <c r="H57" i="89" s="1"/>
  <c r="B57" i="89"/>
  <c r="G141" i="57"/>
  <c r="D142" i="57"/>
  <c r="E142" i="57" s="1"/>
  <c r="G141" i="56"/>
  <c r="D142" i="56"/>
  <c r="E142" i="56" s="1"/>
  <c r="F61" i="62"/>
  <c r="H61" i="62" s="1"/>
  <c r="B61" i="62"/>
  <c r="D138" i="83"/>
  <c r="G137" i="83"/>
  <c r="E138" i="83"/>
  <c r="D142" i="46"/>
  <c r="E142" i="46" s="1"/>
  <c r="G141" i="46"/>
  <c r="F58" i="88"/>
  <c r="G58" i="88" s="1"/>
  <c r="B58" i="88"/>
  <c r="G145" i="24"/>
  <c r="D146" i="24"/>
  <c r="E146" i="24" s="1"/>
  <c r="B59" i="75"/>
  <c r="F59" i="75"/>
  <c r="H59" i="75" s="1"/>
  <c r="G143" i="74"/>
  <c r="D144" i="74"/>
  <c r="E144" i="74"/>
  <c r="D57" i="25"/>
  <c r="E57" i="25" s="1"/>
  <c r="D137" i="86"/>
  <c r="G136" i="86"/>
  <c r="E137" i="86"/>
  <c r="H141" i="67"/>
  <c r="I141" i="67"/>
  <c r="D137" i="84"/>
  <c r="G136" i="84"/>
  <c r="E137" i="84"/>
  <c r="G143" i="39"/>
  <c r="D144" i="39"/>
  <c r="E144" i="39" s="1"/>
  <c r="G137" i="81"/>
  <c r="D138" i="81"/>
  <c r="E138" i="81"/>
  <c r="J144" i="24"/>
  <c r="G138" i="79"/>
  <c r="D139" i="79"/>
  <c r="E139" i="79"/>
  <c r="D141" i="75"/>
  <c r="G140" i="75"/>
  <c r="E141" i="75"/>
  <c r="H140" i="63"/>
  <c r="I140" i="63"/>
  <c r="B145" i="34"/>
  <c r="F145" i="34"/>
  <c r="J142" i="41"/>
  <c r="B67" i="29"/>
  <c r="F67" i="29"/>
  <c r="G67" i="29" s="1"/>
  <c r="H146" i="23"/>
  <c r="I146" i="23"/>
  <c r="D146" i="32"/>
  <c r="G145" i="32"/>
  <c r="E146" i="32"/>
  <c r="H139" i="78"/>
  <c r="I139" i="78"/>
  <c r="J139" i="78" s="1"/>
  <c r="G136" i="91"/>
  <c r="D137" i="91"/>
  <c r="E137" i="91"/>
  <c r="G141" i="58"/>
  <c r="D142" i="58"/>
  <c r="E142" i="58" s="1"/>
  <c r="F142" i="67"/>
  <c r="B142" i="67"/>
  <c r="H148" i="29"/>
  <c r="I148" i="29"/>
  <c r="D138" i="100"/>
  <c r="E138" i="100"/>
  <c r="G137" i="100"/>
  <c r="I144" i="34"/>
  <c r="H144" i="34"/>
  <c r="F147" i="23"/>
  <c r="B147" i="23"/>
  <c r="F140" i="78"/>
  <c r="B140" i="78"/>
  <c r="D137" i="92"/>
  <c r="G136" i="92"/>
  <c r="E137" i="92"/>
  <c r="D142" i="72"/>
  <c r="G141" i="72"/>
  <c r="E142" i="72"/>
  <c r="B149" i="29"/>
  <c r="F149" i="29"/>
  <c r="F67" i="19"/>
  <c r="G67" i="19" s="1"/>
  <c r="B67" i="19"/>
  <c r="E139" i="25" l="1"/>
  <c r="F139" i="25"/>
  <c r="B139" i="25"/>
  <c r="I57" i="83"/>
  <c r="J142" i="43"/>
  <c r="H62" i="56"/>
  <c r="G56" i="98"/>
  <c r="I56" i="98" s="1"/>
  <c r="H137" i="95"/>
  <c r="I137" i="95"/>
  <c r="H66" i="20"/>
  <c r="G66" i="20"/>
  <c r="I66" i="20" s="1"/>
  <c r="D67" i="20"/>
  <c r="G60" i="33"/>
  <c r="H60" i="33"/>
  <c r="I60" i="33" s="1"/>
  <c r="D61" i="33"/>
  <c r="I138" i="25"/>
  <c r="H138" i="25"/>
  <c r="I63" i="53"/>
  <c r="G62" i="56"/>
  <c r="I62" i="56" s="1"/>
  <c r="B138" i="95"/>
  <c r="F138" i="95"/>
  <c r="I136" i="87"/>
  <c r="H136" i="87"/>
  <c r="H57" i="90"/>
  <c r="H62" i="59"/>
  <c r="F137" i="87"/>
  <c r="B137" i="87"/>
  <c r="D67" i="24"/>
  <c r="E67" i="24" s="1"/>
  <c r="F67" i="24" s="1"/>
  <c r="H66" i="24"/>
  <c r="G66" i="24"/>
  <c r="D65" i="41"/>
  <c r="E65" i="41" s="1"/>
  <c r="F65" i="41" s="1"/>
  <c r="H64" i="41"/>
  <c r="I64" i="41" s="1"/>
  <c r="G64" i="41"/>
  <c r="D70" i="28"/>
  <c r="E70" i="28"/>
  <c r="D67" i="73"/>
  <c r="G66" i="73"/>
  <c r="H67" i="29"/>
  <c r="D59" i="81"/>
  <c r="E59" i="81"/>
  <c r="G56" i="97"/>
  <c r="E57" i="97"/>
  <c r="D57" i="97"/>
  <c r="D70" i="27"/>
  <c r="E70" i="27" s="1"/>
  <c r="F70" i="27" s="1"/>
  <c r="B56" i="95"/>
  <c r="F56" i="95"/>
  <c r="G56" i="95" s="1"/>
  <c r="B60" i="66"/>
  <c r="G138" i="33"/>
  <c r="D139" i="33"/>
  <c r="B62" i="58"/>
  <c r="E60" i="65"/>
  <c r="F60" i="65" s="1"/>
  <c r="B60" i="65"/>
  <c r="B60" i="68"/>
  <c r="E63" i="45"/>
  <c r="F63" i="45" s="1"/>
  <c r="B63" i="45"/>
  <c r="E138" i="26"/>
  <c r="F138" i="26" s="1"/>
  <c r="B138" i="26"/>
  <c r="B65" i="74"/>
  <c r="I69" i="70"/>
  <c r="B56" i="99"/>
  <c r="F56" i="99"/>
  <c r="H56" i="99" s="1"/>
  <c r="D144" i="43"/>
  <c r="G143" i="43"/>
  <c r="B59" i="79"/>
  <c r="F59" i="79"/>
  <c r="D60" i="79" s="1"/>
  <c r="B144" i="42"/>
  <c r="F144" i="42"/>
  <c r="H143" i="44"/>
  <c r="I143" i="44"/>
  <c r="F58" i="82"/>
  <c r="B58" i="82"/>
  <c r="H58" i="85"/>
  <c r="E59" i="85"/>
  <c r="D59" i="85"/>
  <c r="D64" i="72"/>
  <c r="E64" i="72" s="1"/>
  <c r="E62" i="46"/>
  <c r="F62" i="46" s="1"/>
  <c r="B62" i="46"/>
  <c r="H69" i="27"/>
  <c r="B58" i="92"/>
  <c r="F58" i="92"/>
  <c r="G58" i="92"/>
  <c r="I62" i="45"/>
  <c r="G62" i="57"/>
  <c r="I62" i="57" s="1"/>
  <c r="B58" i="84"/>
  <c r="F58" i="84"/>
  <c r="H58" i="84" s="1"/>
  <c r="G58" i="81"/>
  <c r="J137" i="33"/>
  <c r="H59" i="76"/>
  <c r="I59" i="76" s="1"/>
  <c r="D60" i="76"/>
  <c r="G67" i="23"/>
  <c r="I67" i="23" s="1"/>
  <c r="D68" i="23"/>
  <c r="E68" i="23" s="1"/>
  <c r="H143" i="42"/>
  <c r="I143" i="42"/>
  <c r="B58" i="83"/>
  <c r="F58" i="83"/>
  <c r="G58" i="83" s="1"/>
  <c r="E63" i="56"/>
  <c r="B63" i="56"/>
  <c r="F63" i="56"/>
  <c r="G63" i="56" s="1"/>
  <c r="B63" i="72"/>
  <c r="H63" i="72"/>
  <c r="G63" i="72"/>
  <c r="G69" i="27"/>
  <c r="F60" i="67"/>
  <c r="B60" i="67"/>
  <c r="D57" i="98"/>
  <c r="E57" i="98"/>
  <c r="I65" i="42"/>
  <c r="E61" i="60"/>
  <c r="F61" i="60"/>
  <c r="G61" i="60"/>
  <c r="B61" i="60"/>
  <c r="I66" i="69"/>
  <c r="G59" i="75"/>
  <c r="I59" i="75" s="1"/>
  <c r="H69" i="71"/>
  <c r="E63" i="57"/>
  <c r="G63" i="57"/>
  <c r="B63" i="57"/>
  <c r="F63" i="57"/>
  <c r="H63" i="57" s="1"/>
  <c r="H58" i="81"/>
  <c r="H56" i="97"/>
  <c r="I56" i="97" s="1"/>
  <c r="E60" i="66"/>
  <c r="F60" i="66" s="1"/>
  <c r="D61" i="66" s="1"/>
  <c r="E144" i="44"/>
  <c r="F144" i="44" s="1"/>
  <c r="E138" i="97"/>
  <c r="D138" i="97"/>
  <c r="G137" i="97"/>
  <c r="E66" i="44"/>
  <c r="B66" i="44"/>
  <c r="F66" i="44"/>
  <c r="H59" i="77"/>
  <c r="I59" i="77" s="1"/>
  <c r="D60" i="77"/>
  <c r="I58" i="85"/>
  <c r="E61" i="63"/>
  <c r="F61" i="63" s="1"/>
  <c r="B61" i="63"/>
  <c r="E62" i="58"/>
  <c r="F62" i="58" s="1"/>
  <c r="D63" i="58" s="1"/>
  <c r="I59" i="65"/>
  <c r="E60" i="68"/>
  <c r="F60" i="68" s="1"/>
  <c r="H60" i="68" s="1"/>
  <c r="B69" i="28"/>
  <c r="H69" i="28"/>
  <c r="G69" i="28"/>
  <c r="B66" i="42"/>
  <c r="F66" i="42"/>
  <c r="I137" i="26"/>
  <c r="H137" i="26"/>
  <c r="E65" i="74"/>
  <c r="F65" i="74" s="1"/>
  <c r="E67" i="69"/>
  <c r="F67" i="69" s="1"/>
  <c r="B67" i="69"/>
  <c r="D66" i="17"/>
  <c r="E66" i="17" s="1"/>
  <c r="F66" i="17" s="1"/>
  <c r="H65" i="17"/>
  <c r="G65" i="17"/>
  <c r="D63" i="61"/>
  <c r="G62" i="54"/>
  <c r="I62" i="54" s="1"/>
  <c r="H59" i="78"/>
  <c r="I69" i="71"/>
  <c r="D59" i="80"/>
  <c r="E59" i="80"/>
  <c r="I62" i="59"/>
  <c r="B62" i="64"/>
  <c r="B64" i="53"/>
  <c r="B70" i="70"/>
  <c r="I57" i="90"/>
  <c r="G58" i="86"/>
  <c r="E59" i="86"/>
  <c r="D59" i="86"/>
  <c r="D71" i="31"/>
  <c r="E71" i="31"/>
  <c r="F71" i="31" s="1"/>
  <c r="B69" i="34"/>
  <c r="B58" i="91"/>
  <c r="F58" i="91"/>
  <c r="H58" i="91" s="1"/>
  <c r="B62" i="26"/>
  <c r="I68" i="3"/>
  <c r="E70" i="71"/>
  <c r="F70" i="71" s="1"/>
  <c r="D71" i="71" s="1"/>
  <c r="B70" i="71"/>
  <c r="H145" i="31"/>
  <c r="I145" i="31"/>
  <c r="B70" i="31"/>
  <c r="G70" i="31"/>
  <c r="H70" i="31"/>
  <c r="H66" i="73"/>
  <c r="I66" i="73" s="1"/>
  <c r="E69" i="34"/>
  <c r="F69" i="34" s="1"/>
  <c r="F63" i="55"/>
  <c r="H63" i="55" s="1"/>
  <c r="B63" i="55"/>
  <c r="G58" i="80"/>
  <c r="I58" i="80" s="1"/>
  <c r="I61" i="64"/>
  <c r="E62" i="26"/>
  <c r="F62" i="26" s="1"/>
  <c r="B69" i="3"/>
  <c r="F65" i="43"/>
  <c r="H65" i="43" s="1"/>
  <c r="B65" i="43"/>
  <c r="B62" i="61"/>
  <c r="G62" i="61"/>
  <c r="H62" i="61"/>
  <c r="H66" i="32"/>
  <c r="H58" i="86"/>
  <c r="I58" i="86" s="1"/>
  <c r="E146" i="31"/>
  <c r="F146" i="31" s="1"/>
  <c r="E67" i="73"/>
  <c r="F67" i="73" s="1"/>
  <c r="G67" i="73" s="1"/>
  <c r="B67" i="73"/>
  <c r="E63" i="59"/>
  <c r="F63" i="59" s="1"/>
  <c r="D64" i="59" s="1"/>
  <c r="B63" i="59"/>
  <c r="E62" i="64"/>
  <c r="F62" i="64" s="1"/>
  <c r="E64" i="53"/>
  <c r="F64" i="53" s="1"/>
  <c r="D65" i="53" s="1"/>
  <c r="E69" i="3"/>
  <c r="F69" i="3" s="1"/>
  <c r="E70" i="70"/>
  <c r="F70" i="70" s="1"/>
  <c r="H70" i="70" s="1"/>
  <c r="I64" i="43"/>
  <c r="I148" i="17"/>
  <c r="H148" i="17"/>
  <c r="B142" i="60"/>
  <c r="F142" i="60"/>
  <c r="H149" i="70"/>
  <c r="I149" i="70"/>
  <c r="J149" i="70" s="1"/>
  <c r="J140" i="63"/>
  <c r="F149" i="17"/>
  <c r="B149" i="17"/>
  <c r="I141" i="60"/>
  <c r="H141" i="60"/>
  <c r="E150" i="70"/>
  <c r="F150" i="70" s="1"/>
  <c r="B150" i="70"/>
  <c r="D61" i="13"/>
  <c r="E61" i="13" s="1"/>
  <c r="G60" i="13"/>
  <c r="H60" i="13"/>
  <c r="D66" i="18"/>
  <c r="E66" i="18" s="1"/>
  <c r="H65" i="18"/>
  <c r="G65" i="18"/>
  <c r="H141" i="72"/>
  <c r="I141" i="72"/>
  <c r="E59" i="88"/>
  <c r="D59" i="88"/>
  <c r="D62" i="62"/>
  <c r="E62" i="62" s="1"/>
  <c r="B145" i="22"/>
  <c r="F140" i="65"/>
  <c r="B140" i="65"/>
  <c r="F140" i="85"/>
  <c r="B140" i="85"/>
  <c r="H67" i="19"/>
  <c r="I67" i="19" s="1"/>
  <c r="G149" i="29"/>
  <c r="D150" i="29"/>
  <c r="G140" i="78"/>
  <c r="D141" i="78"/>
  <c r="E141" i="78" s="1"/>
  <c r="H145" i="32"/>
  <c r="I145" i="32"/>
  <c r="D68" i="29"/>
  <c r="E68" i="29" s="1"/>
  <c r="F139" i="79"/>
  <c r="B139" i="79"/>
  <c r="I136" i="86"/>
  <c r="H136" i="86"/>
  <c r="F144" i="74"/>
  <c r="B144" i="74"/>
  <c r="D60" i="78"/>
  <c r="D66" i="21"/>
  <c r="E66" i="21" s="1"/>
  <c r="D66" i="22"/>
  <c r="B137" i="96"/>
  <c r="F137" i="96"/>
  <c r="I136" i="98"/>
  <c r="H136" i="98"/>
  <c r="F145" i="3"/>
  <c r="B145" i="3"/>
  <c r="E57" i="100"/>
  <c r="D57" i="100"/>
  <c r="B141" i="61"/>
  <c r="F141" i="61"/>
  <c r="B143" i="62"/>
  <c r="F143" i="62"/>
  <c r="H137" i="100"/>
  <c r="I137" i="100"/>
  <c r="I59" i="78"/>
  <c r="G141" i="63"/>
  <c r="D142" i="63"/>
  <c r="F137" i="98"/>
  <c r="B137" i="98"/>
  <c r="B137" i="89"/>
  <c r="F137" i="89"/>
  <c r="H140" i="61"/>
  <c r="I140" i="61"/>
  <c r="H136" i="92"/>
  <c r="I136" i="92"/>
  <c r="F138" i="100"/>
  <c r="B138" i="100"/>
  <c r="D143" i="67"/>
  <c r="E143" i="67" s="1"/>
  <c r="G142" i="67"/>
  <c r="F146" i="32"/>
  <c r="B146" i="32"/>
  <c r="H140" i="75"/>
  <c r="I140" i="75"/>
  <c r="J140" i="75" s="1"/>
  <c r="I138" i="79"/>
  <c r="H138" i="79"/>
  <c r="B138" i="81"/>
  <c r="F138" i="81"/>
  <c r="J141" i="67"/>
  <c r="B137" i="86"/>
  <c r="F137" i="86"/>
  <c r="I143" i="74"/>
  <c r="H143" i="74"/>
  <c r="B142" i="56"/>
  <c r="F142" i="56"/>
  <c r="H137" i="99"/>
  <c r="I137" i="99"/>
  <c r="H146" i="69"/>
  <c r="I146" i="69"/>
  <c r="J146" i="69" s="1"/>
  <c r="G65" i="22"/>
  <c r="I65" i="22" s="1"/>
  <c r="H136" i="96"/>
  <c r="I136" i="96"/>
  <c r="H144" i="3"/>
  <c r="I144" i="3"/>
  <c r="F139" i="77"/>
  <c r="B139" i="77"/>
  <c r="I146" i="30"/>
  <c r="H146" i="30"/>
  <c r="H142" i="62"/>
  <c r="I142" i="62"/>
  <c r="F148" i="20"/>
  <c r="B148" i="20"/>
  <c r="F142" i="46"/>
  <c r="B142" i="46"/>
  <c r="E58" i="89"/>
  <c r="D58" i="89"/>
  <c r="I66" i="32"/>
  <c r="B137" i="92"/>
  <c r="F137" i="92"/>
  <c r="F137" i="91"/>
  <c r="B137" i="91"/>
  <c r="J146" i="23"/>
  <c r="F141" i="75"/>
  <c r="B141" i="75"/>
  <c r="H137" i="81"/>
  <c r="I137" i="81"/>
  <c r="F144" i="39"/>
  <c r="B144" i="39"/>
  <c r="F57" i="25"/>
  <c r="H57" i="25" s="1"/>
  <c r="B57" i="25"/>
  <c r="F146" i="24"/>
  <c r="B146" i="24"/>
  <c r="I137" i="83"/>
  <c r="H137" i="83"/>
  <c r="I141" i="56"/>
  <c r="H141" i="56"/>
  <c r="F142" i="57"/>
  <c r="B142" i="57"/>
  <c r="F145" i="18"/>
  <c r="B145" i="18"/>
  <c r="B138" i="99"/>
  <c r="F138" i="99"/>
  <c r="F145" i="21"/>
  <c r="B145" i="21"/>
  <c r="B147" i="69"/>
  <c r="F147" i="69"/>
  <c r="H143" i="73"/>
  <c r="I143" i="73"/>
  <c r="J139" i="66"/>
  <c r="B144" i="41"/>
  <c r="F144" i="41"/>
  <c r="G56" i="100"/>
  <c r="I56" i="100" s="1"/>
  <c r="G145" i="19"/>
  <c r="D146" i="19"/>
  <c r="F142" i="53"/>
  <c r="B142" i="53"/>
  <c r="D140" i="13"/>
  <c r="E140" i="13" s="1"/>
  <c r="G139" i="13"/>
  <c r="I138" i="77"/>
  <c r="H138" i="77"/>
  <c r="B140" i="68"/>
  <c r="F140" i="68"/>
  <c r="B147" i="30"/>
  <c r="F147" i="30"/>
  <c r="H147" i="20"/>
  <c r="I147" i="20"/>
  <c r="D68" i="19"/>
  <c r="H145" i="24"/>
  <c r="I145" i="24"/>
  <c r="F138" i="83"/>
  <c r="B138" i="83"/>
  <c r="H141" i="57"/>
  <c r="I141" i="57"/>
  <c r="H144" i="18"/>
  <c r="I144" i="18"/>
  <c r="D65" i="39"/>
  <c r="E65" i="39" s="1"/>
  <c r="H144" i="21"/>
  <c r="I144" i="21"/>
  <c r="G140" i="66"/>
  <c r="D141" i="66"/>
  <c r="E141" i="66"/>
  <c r="B143" i="45"/>
  <c r="F143" i="45"/>
  <c r="F144" i="73"/>
  <c r="B144" i="73"/>
  <c r="H140" i="64"/>
  <c r="I140" i="64"/>
  <c r="H143" i="41"/>
  <c r="I143" i="41"/>
  <c r="H141" i="53"/>
  <c r="I141" i="53"/>
  <c r="G56" i="96"/>
  <c r="I56" i="96" s="1"/>
  <c r="H141" i="54"/>
  <c r="I141" i="54"/>
  <c r="H139" i="68"/>
  <c r="I139" i="68"/>
  <c r="F146" i="71"/>
  <c r="B146" i="71"/>
  <c r="H136" i="91"/>
  <c r="I136" i="91"/>
  <c r="H143" i="39"/>
  <c r="I143" i="39"/>
  <c r="J143" i="39" s="1"/>
  <c r="J144" i="34"/>
  <c r="G145" i="34"/>
  <c r="D146" i="34"/>
  <c r="E146" i="34" s="1"/>
  <c r="G61" i="62"/>
  <c r="I61" i="62" s="1"/>
  <c r="H64" i="39"/>
  <c r="I64" i="39" s="1"/>
  <c r="I142" i="45"/>
  <c r="H142" i="45"/>
  <c r="H146" i="27"/>
  <c r="I146" i="27"/>
  <c r="J146" i="27" s="1"/>
  <c r="B141" i="64"/>
  <c r="F141" i="64"/>
  <c r="B142" i="54"/>
  <c r="F142" i="54"/>
  <c r="H145" i="71"/>
  <c r="I145" i="71"/>
  <c r="F142" i="58"/>
  <c r="B142" i="58"/>
  <c r="I136" i="84"/>
  <c r="H136" i="84"/>
  <c r="E58" i="87"/>
  <c r="D58" i="87"/>
  <c r="H136" i="88"/>
  <c r="I136" i="88"/>
  <c r="E145" i="22"/>
  <c r="F145" i="22" s="1"/>
  <c r="D67" i="32"/>
  <c r="E67" i="32" s="1"/>
  <c r="H137" i="80"/>
  <c r="I137" i="80"/>
  <c r="F147" i="27"/>
  <c r="B147" i="27"/>
  <c r="H138" i="76"/>
  <c r="I138" i="76"/>
  <c r="B141" i="59"/>
  <c r="F141" i="59"/>
  <c r="F144" i="55"/>
  <c r="B144" i="55"/>
  <c r="H136" i="90"/>
  <c r="I136" i="90"/>
  <c r="D68" i="30"/>
  <c r="E68" i="30" s="1"/>
  <c r="E57" i="96"/>
  <c r="D57" i="96"/>
  <c r="B140" i="82"/>
  <c r="F140" i="82"/>
  <c r="H139" i="85"/>
  <c r="I139" i="85"/>
  <c r="F148" i="28"/>
  <c r="B148" i="28"/>
  <c r="B142" i="72"/>
  <c r="F142" i="72"/>
  <c r="D148" i="23"/>
  <c r="G147" i="23"/>
  <c r="E148" i="23"/>
  <c r="J148" i="29"/>
  <c r="H141" i="58"/>
  <c r="I141" i="58"/>
  <c r="I67" i="29"/>
  <c r="F137" i="84"/>
  <c r="B137" i="84"/>
  <c r="D60" i="75"/>
  <c r="E60" i="75" s="1"/>
  <c r="H58" i="88"/>
  <c r="I58" i="88" s="1"/>
  <c r="I141" i="46"/>
  <c r="H141" i="46"/>
  <c r="G57" i="89"/>
  <c r="I57" i="89" s="1"/>
  <c r="D63" i="54"/>
  <c r="E63" i="54" s="1"/>
  <c r="H57" i="87"/>
  <c r="I57" i="87" s="1"/>
  <c r="F137" i="88"/>
  <c r="B137" i="88"/>
  <c r="I144" i="22"/>
  <c r="H144" i="22"/>
  <c r="B138" i="80"/>
  <c r="F138" i="80"/>
  <c r="F139" i="76"/>
  <c r="B139" i="76"/>
  <c r="E58" i="90"/>
  <c r="D58" i="90"/>
  <c r="H140" i="59"/>
  <c r="I140" i="59"/>
  <c r="H139" i="65"/>
  <c r="I139" i="65"/>
  <c r="I143" i="55"/>
  <c r="H143" i="55"/>
  <c r="B137" i="90"/>
  <c r="F137" i="90"/>
  <c r="H67" i="30"/>
  <c r="I67" i="30" s="1"/>
  <c r="I136" i="89"/>
  <c r="H136" i="89"/>
  <c r="H139" i="82"/>
  <c r="I139" i="82"/>
  <c r="H147" i="28"/>
  <c r="I147" i="28"/>
  <c r="J147" i="28" s="1"/>
  <c r="D138" i="87" l="1"/>
  <c r="E138" i="87"/>
  <c r="G137" i="87"/>
  <c r="D140" i="25"/>
  <c r="G139" i="25"/>
  <c r="I65" i="18"/>
  <c r="J137" i="26"/>
  <c r="I58" i="81"/>
  <c r="I63" i="72"/>
  <c r="J143" i="44"/>
  <c r="D139" i="95"/>
  <c r="G138" i="95"/>
  <c r="E139" i="95"/>
  <c r="E61" i="33"/>
  <c r="F61" i="33"/>
  <c r="B61" i="33"/>
  <c r="J139" i="65"/>
  <c r="I65" i="17"/>
  <c r="I63" i="57"/>
  <c r="J138" i="25"/>
  <c r="B67" i="20"/>
  <c r="E67" i="20"/>
  <c r="F67" i="20" s="1"/>
  <c r="D66" i="74"/>
  <c r="E66" i="74"/>
  <c r="F66" i="74" s="1"/>
  <c r="G65" i="74"/>
  <c r="H65" i="74"/>
  <c r="I65" i="74" s="1"/>
  <c r="D61" i="65"/>
  <c r="H60" i="65"/>
  <c r="I60" i="65" s="1"/>
  <c r="G60" i="65"/>
  <c r="D66" i="41"/>
  <c r="D62" i="63"/>
  <c r="H61" i="63"/>
  <c r="G61" i="63"/>
  <c r="G63" i="45"/>
  <c r="D64" i="45"/>
  <c r="H63" i="45"/>
  <c r="I63" i="45" s="1"/>
  <c r="D63" i="46"/>
  <c r="H62" i="46"/>
  <c r="G62" i="46"/>
  <c r="D68" i="69"/>
  <c r="E68" i="69" s="1"/>
  <c r="H67" i="69"/>
  <c r="G67" i="69"/>
  <c r="G138" i="26"/>
  <c r="D139" i="26"/>
  <c r="G70" i="27"/>
  <c r="D71" i="27"/>
  <c r="B71" i="27" s="1"/>
  <c r="E71" i="27"/>
  <c r="F71" i="27" s="1"/>
  <c r="G71" i="27" s="1"/>
  <c r="D68" i="24"/>
  <c r="E68" i="24" s="1"/>
  <c r="J146" i="30"/>
  <c r="G58" i="91"/>
  <c r="H66" i="42"/>
  <c r="D67" i="42"/>
  <c r="I69" i="28"/>
  <c r="E63" i="58"/>
  <c r="F63" i="58" s="1"/>
  <c r="B63" i="58"/>
  <c r="B60" i="77"/>
  <c r="H61" i="60"/>
  <c r="I61" i="60" s="1"/>
  <c r="D62" i="60"/>
  <c r="B57" i="98"/>
  <c r="F57" i="98"/>
  <c r="G57" i="98" s="1"/>
  <c r="H57" i="98"/>
  <c r="E61" i="67"/>
  <c r="D61" i="67"/>
  <c r="H58" i="92"/>
  <c r="D59" i="92"/>
  <c r="E59" i="92"/>
  <c r="E59" i="82"/>
  <c r="D59" i="82"/>
  <c r="B144" i="43"/>
  <c r="E139" i="33"/>
  <c r="F139" i="33" s="1"/>
  <c r="B139" i="33"/>
  <c r="E60" i="77"/>
  <c r="F60" i="77" s="1"/>
  <c r="G60" i="77" s="1"/>
  <c r="G144" i="44"/>
  <c r="D145" i="44"/>
  <c r="B145" i="44" s="1"/>
  <c r="G60" i="67"/>
  <c r="H63" i="56"/>
  <c r="I63" i="56" s="1"/>
  <c r="J143" i="42"/>
  <c r="B64" i="72"/>
  <c r="F64" i="72"/>
  <c r="G64" i="72" s="1"/>
  <c r="H64" i="72"/>
  <c r="G58" i="82"/>
  <c r="H59" i="79"/>
  <c r="G56" i="99"/>
  <c r="I56" i="99" s="1"/>
  <c r="G62" i="58"/>
  <c r="I138" i="33"/>
  <c r="J138" i="33" s="1"/>
  <c r="H138" i="33"/>
  <c r="H56" i="95"/>
  <c r="I56" i="95" s="1"/>
  <c r="I66" i="24"/>
  <c r="I62" i="61"/>
  <c r="J145" i="31"/>
  <c r="G66" i="42"/>
  <c r="D61" i="68"/>
  <c r="E61" i="68" s="1"/>
  <c r="F61" i="68" s="1"/>
  <c r="I137" i="97"/>
  <c r="H137" i="97"/>
  <c r="E61" i="66"/>
  <c r="F61" i="66" s="1"/>
  <c r="B61" i="66"/>
  <c r="D64" i="57"/>
  <c r="E64" i="57" s="1"/>
  <c r="H60" i="67"/>
  <c r="I60" i="67" s="1"/>
  <c r="E60" i="76"/>
  <c r="F60" i="76" s="1"/>
  <c r="B60" i="76"/>
  <c r="H60" i="76"/>
  <c r="I60" i="76" s="1"/>
  <c r="G60" i="76"/>
  <c r="I69" i="27"/>
  <c r="F59" i="85"/>
  <c r="B59" i="85"/>
  <c r="H58" i="82"/>
  <c r="G59" i="79"/>
  <c r="H143" i="43"/>
  <c r="I143" i="43"/>
  <c r="G60" i="68"/>
  <c r="I60" i="68" s="1"/>
  <c r="H62" i="58"/>
  <c r="H60" i="66"/>
  <c r="B70" i="27"/>
  <c r="H70" i="27"/>
  <c r="I70" i="27" s="1"/>
  <c r="F70" i="28"/>
  <c r="B70" i="28"/>
  <c r="G70" i="28"/>
  <c r="G66" i="44"/>
  <c r="H66" i="44"/>
  <c r="D67" i="44"/>
  <c r="F138" i="97"/>
  <c r="B138" i="97"/>
  <c r="D64" i="56"/>
  <c r="E64" i="56" s="1"/>
  <c r="F64" i="56" s="1"/>
  <c r="D65" i="56" s="1"/>
  <c r="H58" i="83"/>
  <c r="I58" i="83" s="1"/>
  <c r="E59" i="83"/>
  <c r="D59" i="83"/>
  <c r="B68" i="23"/>
  <c r="F68" i="23"/>
  <c r="G68" i="23" s="1"/>
  <c r="G58" i="84"/>
  <c r="I58" i="84" s="1"/>
  <c r="E59" i="84"/>
  <c r="D59" i="84"/>
  <c r="I58" i="92"/>
  <c r="D145" i="42"/>
  <c r="B145" i="42" s="1"/>
  <c r="G144" i="42"/>
  <c r="E145" i="42"/>
  <c r="F145" i="42" s="1"/>
  <c r="E60" i="79"/>
  <c r="F60" i="79" s="1"/>
  <c r="B60" i="79"/>
  <c r="E144" i="43"/>
  <c r="F144" i="43" s="1"/>
  <c r="E57" i="99"/>
  <c r="D57" i="99"/>
  <c r="G60" i="66"/>
  <c r="D57" i="95"/>
  <c r="E57" i="95"/>
  <c r="B57" i="97"/>
  <c r="F57" i="97"/>
  <c r="H57" i="97" s="1"/>
  <c r="F59" i="81"/>
  <c r="B59" i="81"/>
  <c r="H59" i="81"/>
  <c r="B65" i="41"/>
  <c r="H65" i="41"/>
  <c r="G65" i="41"/>
  <c r="G67" i="24"/>
  <c r="B67" i="24"/>
  <c r="H67" i="24"/>
  <c r="D70" i="3"/>
  <c r="H69" i="3"/>
  <c r="G69" i="3"/>
  <c r="H62" i="64"/>
  <c r="D63" i="64"/>
  <c r="E63" i="64" s="1"/>
  <c r="F63" i="64" s="1"/>
  <c r="G62" i="64"/>
  <c r="D63" i="26"/>
  <c r="E63" i="26" s="1"/>
  <c r="F63" i="26" s="1"/>
  <c r="H62" i="26"/>
  <c r="G62" i="26"/>
  <c r="D70" i="34"/>
  <c r="G69" i="34"/>
  <c r="H69" i="34"/>
  <c r="D67" i="17"/>
  <c r="E64" i="59"/>
  <c r="F64" i="59" s="1"/>
  <c r="B64" i="59"/>
  <c r="E71" i="71"/>
  <c r="F71" i="71" s="1"/>
  <c r="B71" i="71"/>
  <c r="E59" i="91"/>
  <c r="D59" i="91"/>
  <c r="B71" i="31"/>
  <c r="G71" i="31"/>
  <c r="H71" i="31"/>
  <c r="G70" i="70"/>
  <c r="I70" i="70" s="1"/>
  <c r="B63" i="61"/>
  <c r="E65" i="53"/>
  <c r="F65" i="53" s="1"/>
  <c r="G65" i="53" s="1"/>
  <c r="B65" i="53"/>
  <c r="H63" i="59"/>
  <c r="G65" i="43"/>
  <c r="D66" i="43"/>
  <c r="E66" i="43" s="1"/>
  <c r="H64" i="53"/>
  <c r="B59" i="80"/>
  <c r="F59" i="80"/>
  <c r="G59" i="80" s="1"/>
  <c r="B66" i="17"/>
  <c r="G66" i="17"/>
  <c r="H66" i="17"/>
  <c r="J142" i="45"/>
  <c r="I70" i="31"/>
  <c r="G70" i="71"/>
  <c r="G64" i="53"/>
  <c r="D71" i="70"/>
  <c r="E71" i="70" s="1"/>
  <c r="F71" i="70" s="1"/>
  <c r="D72" i="70" s="1"/>
  <c r="G63" i="59"/>
  <c r="H67" i="73"/>
  <c r="I67" i="73" s="1"/>
  <c r="D68" i="73"/>
  <c r="E68" i="73" s="1"/>
  <c r="D147" i="31"/>
  <c r="B147" i="31" s="1"/>
  <c r="G146" i="31"/>
  <c r="I65" i="43"/>
  <c r="G63" i="55"/>
  <c r="I63" i="55" s="1"/>
  <c r="D64" i="55"/>
  <c r="E64" i="55" s="1"/>
  <c r="H70" i="71"/>
  <c r="I58" i="91"/>
  <c r="D72" i="31"/>
  <c r="E72" i="31" s="1"/>
  <c r="E73" i="31" s="1"/>
  <c r="F59" i="86"/>
  <c r="G59" i="86" s="1"/>
  <c r="B59" i="86"/>
  <c r="E63" i="61"/>
  <c r="F63" i="61" s="1"/>
  <c r="G150" i="70"/>
  <c r="D151" i="70"/>
  <c r="E151" i="70"/>
  <c r="J145" i="32"/>
  <c r="J141" i="60"/>
  <c r="J141" i="58"/>
  <c r="G149" i="17"/>
  <c r="D150" i="17"/>
  <c r="J140" i="59"/>
  <c r="J148" i="17"/>
  <c r="J141" i="56"/>
  <c r="J139" i="68"/>
  <c r="J147" i="20"/>
  <c r="D143" i="60"/>
  <c r="E143" i="60" s="1"/>
  <c r="G142" i="60"/>
  <c r="H71" i="27"/>
  <c r="G145" i="22"/>
  <c r="D146" i="22"/>
  <c r="E146" i="22" s="1"/>
  <c r="G141" i="64"/>
  <c r="D142" i="64"/>
  <c r="E142" i="64" s="1"/>
  <c r="D139" i="83"/>
  <c r="G138" i="83"/>
  <c r="E139" i="83"/>
  <c r="G145" i="21"/>
  <c r="D146" i="21"/>
  <c r="E142" i="75"/>
  <c r="G141" i="75"/>
  <c r="D142" i="75"/>
  <c r="E138" i="92"/>
  <c r="D138" i="92"/>
  <c r="G137" i="92"/>
  <c r="D138" i="86"/>
  <c r="G137" i="86"/>
  <c r="E138" i="86"/>
  <c r="D138" i="98"/>
  <c r="G137" i="98"/>
  <c r="E138" i="98"/>
  <c r="B150" i="29"/>
  <c r="F58" i="90"/>
  <c r="G58" i="90" s="1"/>
  <c r="B58" i="90"/>
  <c r="G138" i="80"/>
  <c r="D139" i="80"/>
  <c r="E139" i="80"/>
  <c r="D138" i="88"/>
  <c r="G137" i="88"/>
  <c r="E138" i="88"/>
  <c r="J141" i="46"/>
  <c r="I147" i="23"/>
  <c r="H147" i="23"/>
  <c r="E145" i="55"/>
  <c r="G144" i="55"/>
  <c r="D145" i="55"/>
  <c r="G146" i="71"/>
  <c r="D147" i="71"/>
  <c r="E147" i="71"/>
  <c r="J143" i="41"/>
  <c r="D144" i="45"/>
  <c r="E144" i="45" s="1"/>
  <c r="G143" i="45"/>
  <c r="J138" i="77"/>
  <c r="I145" i="19"/>
  <c r="H145" i="19"/>
  <c r="D58" i="25"/>
  <c r="E58" i="25" s="1"/>
  <c r="J144" i="3"/>
  <c r="G137" i="89"/>
  <c r="D138" i="89"/>
  <c r="E138" i="89"/>
  <c r="B142" i="63"/>
  <c r="F142" i="63"/>
  <c r="E150" i="29"/>
  <c r="F150" i="29" s="1"/>
  <c r="G137" i="90"/>
  <c r="D138" i="90"/>
  <c r="E138" i="90"/>
  <c r="G137" i="84"/>
  <c r="D138" i="84"/>
  <c r="E138" i="84"/>
  <c r="J144" i="22"/>
  <c r="J143" i="55"/>
  <c r="G140" i="82"/>
  <c r="D141" i="82"/>
  <c r="E141" i="82" s="1"/>
  <c r="B146" i="19"/>
  <c r="G138" i="100"/>
  <c r="D139" i="100"/>
  <c r="E139" i="100"/>
  <c r="B66" i="22"/>
  <c r="F148" i="23"/>
  <c r="B148" i="23"/>
  <c r="H57" i="96"/>
  <c r="F57" i="96"/>
  <c r="B57" i="96"/>
  <c r="G141" i="59"/>
  <c r="D142" i="59"/>
  <c r="E142" i="59" s="1"/>
  <c r="B65" i="39"/>
  <c r="F65" i="39"/>
  <c r="H65" i="39" s="1"/>
  <c r="G147" i="30"/>
  <c r="D148" i="30"/>
  <c r="E148" i="30" s="1"/>
  <c r="G57" i="25"/>
  <c r="I57" i="25" s="1"/>
  <c r="D143" i="46"/>
  <c r="E143" i="46" s="1"/>
  <c r="G142" i="46"/>
  <c r="G139" i="77"/>
  <c r="D140" i="77"/>
  <c r="E140" i="77"/>
  <c r="H141" i="63"/>
  <c r="I141" i="63"/>
  <c r="H149" i="29"/>
  <c r="I149" i="29"/>
  <c r="F61" i="13"/>
  <c r="G61" i="13" s="1"/>
  <c r="B61" i="13"/>
  <c r="F58" i="87"/>
  <c r="H58" i="87" s="1"/>
  <c r="B58" i="87"/>
  <c r="G142" i="57"/>
  <c r="D143" i="57"/>
  <c r="G141" i="61"/>
  <c r="D142" i="61"/>
  <c r="E142" i="61"/>
  <c r="B60" i="78"/>
  <c r="B60" i="75"/>
  <c r="F60" i="75"/>
  <c r="G60" i="75" s="1"/>
  <c r="D149" i="28"/>
  <c r="E149" i="28" s="1"/>
  <c r="G148" i="28"/>
  <c r="D143" i="58"/>
  <c r="E143" i="58" s="1"/>
  <c r="G142" i="58"/>
  <c r="B146" i="34"/>
  <c r="F146" i="34"/>
  <c r="J140" i="64"/>
  <c r="J144" i="18"/>
  <c r="J145" i="24"/>
  <c r="H139" i="13"/>
  <c r="I139" i="13"/>
  <c r="D145" i="41"/>
  <c r="E145" i="41" s="1"/>
  <c r="G144" i="41"/>
  <c r="G147" i="69"/>
  <c r="D148" i="69"/>
  <c r="E148" i="69"/>
  <c r="G138" i="99"/>
  <c r="D139" i="99"/>
  <c r="E139" i="99"/>
  <c r="D138" i="91"/>
  <c r="G137" i="91"/>
  <c r="E138" i="91"/>
  <c r="D143" i="56"/>
  <c r="G142" i="56"/>
  <c r="E143" i="56"/>
  <c r="G146" i="32"/>
  <c r="D147" i="32"/>
  <c r="E147" i="32" s="1"/>
  <c r="E142" i="63"/>
  <c r="F62" i="62"/>
  <c r="H62" i="62" s="1"/>
  <c r="B62" i="62"/>
  <c r="D140" i="76"/>
  <c r="G139" i="76"/>
  <c r="E140" i="76"/>
  <c r="B63" i="54"/>
  <c r="F63" i="54"/>
  <c r="H63" i="54" s="1"/>
  <c r="G142" i="72"/>
  <c r="D143" i="72"/>
  <c r="E143" i="72"/>
  <c r="J138" i="76"/>
  <c r="B67" i="32"/>
  <c r="F67" i="32"/>
  <c r="G67" i="32" s="1"/>
  <c r="J145" i="71"/>
  <c r="H145" i="34"/>
  <c r="I145" i="34"/>
  <c r="J141" i="54"/>
  <c r="F140" i="13"/>
  <c r="B140" i="13"/>
  <c r="D145" i="39"/>
  <c r="E145" i="39" s="1"/>
  <c r="G144" i="39"/>
  <c r="D149" i="20"/>
  <c r="E149" i="20" s="1"/>
  <c r="G148" i="20"/>
  <c r="G138" i="81"/>
  <c r="D139" i="81"/>
  <c r="E139" i="81"/>
  <c r="B57" i="100"/>
  <c r="F57" i="100"/>
  <c r="H57" i="100" s="1"/>
  <c r="F141" i="78"/>
  <c r="B141" i="78"/>
  <c r="B59" i="88"/>
  <c r="F59" i="88"/>
  <c r="H59" i="88" s="1"/>
  <c r="J141" i="72"/>
  <c r="F68" i="30"/>
  <c r="G68" i="30" s="1"/>
  <c r="B68" i="30"/>
  <c r="B141" i="66"/>
  <c r="F141" i="66"/>
  <c r="J141" i="57"/>
  <c r="J142" i="62"/>
  <c r="H142" i="67"/>
  <c r="I142" i="67"/>
  <c r="J142" i="67" s="1"/>
  <c r="D144" i="62"/>
  <c r="E144" i="62" s="1"/>
  <c r="G143" i="62"/>
  <c r="D138" i="96"/>
  <c r="G137" i="96"/>
  <c r="E138" i="96"/>
  <c r="F66" i="21"/>
  <c r="H66" i="21" s="1"/>
  <c r="B66" i="21"/>
  <c r="G139" i="79"/>
  <c r="D140" i="79"/>
  <c r="E140" i="79"/>
  <c r="H140" i="78"/>
  <c r="I140" i="78"/>
  <c r="D141" i="85"/>
  <c r="G140" i="85"/>
  <c r="E141" i="85"/>
  <c r="D143" i="54"/>
  <c r="E143" i="54" s="1"/>
  <c r="G142" i="54"/>
  <c r="D145" i="73"/>
  <c r="G144" i="73"/>
  <c r="E145" i="73"/>
  <c r="I140" i="66"/>
  <c r="H140" i="66"/>
  <c r="B68" i="19"/>
  <c r="G140" i="68"/>
  <c r="D141" i="68"/>
  <c r="E141" i="68"/>
  <c r="D143" i="53"/>
  <c r="E143" i="53" s="1"/>
  <c r="G142" i="53"/>
  <c r="G145" i="18"/>
  <c r="D146" i="18"/>
  <c r="G146" i="24"/>
  <c r="D147" i="24"/>
  <c r="E147" i="24" s="1"/>
  <c r="F143" i="67"/>
  <c r="B143" i="67"/>
  <c r="D145" i="74"/>
  <c r="G144" i="74"/>
  <c r="E145" i="74"/>
  <c r="B66" i="18"/>
  <c r="F66" i="18"/>
  <c r="H66" i="18" s="1"/>
  <c r="G147" i="27"/>
  <c r="D148" i="27"/>
  <c r="E148" i="27"/>
  <c r="J141" i="53"/>
  <c r="J144" i="21"/>
  <c r="E68" i="19"/>
  <c r="F68" i="19" s="1"/>
  <c r="E146" i="19"/>
  <c r="F146" i="19" s="1"/>
  <c r="J143" i="73"/>
  <c r="F58" i="89"/>
  <c r="H58" i="89" s="1"/>
  <c r="B58" i="89"/>
  <c r="J143" i="74"/>
  <c r="J138" i="79"/>
  <c r="J140" i="61"/>
  <c r="D146" i="3"/>
  <c r="G145" i="3"/>
  <c r="E66" i="22"/>
  <c r="F66" i="22" s="1"/>
  <c r="E60" i="78"/>
  <c r="F60" i="78" s="1"/>
  <c r="F68" i="29"/>
  <c r="G68" i="29" s="1"/>
  <c r="B68" i="29"/>
  <c r="D141" i="65"/>
  <c r="E141" i="65" s="1"/>
  <c r="G140" i="65"/>
  <c r="I60" i="13"/>
  <c r="H138" i="95" l="1"/>
  <c r="I138" i="95"/>
  <c r="H61" i="33"/>
  <c r="G61" i="33"/>
  <c r="D62" i="33"/>
  <c r="B139" i="95"/>
  <c r="F139" i="95"/>
  <c r="I137" i="87"/>
  <c r="H137" i="87"/>
  <c r="D72" i="27"/>
  <c r="G66" i="21"/>
  <c r="I62" i="26"/>
  <c r="I67" i="24"/>
  <c r="H68" i="23"/>
  <c r="I62" i="46"/>
  <c r="D68" i="20"/>
  <c r="H67" i="20"/>
  <c r="I67" i="20" s="1"/>
  <c r="G67" i="20"/>
  <c r="E140" i="25"/>
  <c r="F140" i="25" s="1"/>
  <c r="B140" i="25"/>
  <c r="G58" i="89"/>
  <c r="H67" i="32"/>
  <c r="I67" i="32" s="1"/>
  <c r="I61" i="63"/>
  <c r="H139" i="25"/>
  <c r="I139" i="25"/>
  <c r="J139" i="25" s="1"/>
  <c r="F138" i="87"/>
  <c r="B138" i="87"/>
  <c r="G144" i="43"/>
  <c r="D145" i="43"/>
  <c r="E65" i="56"/>
  <c r="F65" i="56" s="1"/>
  <c r="B65" i="56"/>
  <c r="H61" i="66"/>
  <c r="D62" i="66"/>
  <c r="E62" i="66" s="1"/>
  <c r="G61" i="66"/>
  <c r="I61" i="66" s="1"/>
  <c r="H60" i="79"/>
  <c r="D61" i="79"/>
  <c r="E61" i="79" s="1"/>
  <c r="G60" i="79"/>
  <c r="I60" i="79" s="1"/>
  <c r="D62" i="68"/>
  <c r="E62" i="68" s="1"/>
  <c r="F62" i="68" s="1"/>
  <c r="G63" i="58"/>
  <c r="D64" i="58"/>
  <c r="H63" i="58"/>
  <c r="I63" i="58" s="1"/>
  <c r="I58" i="89"/>
  <c r="G57" i="100"/>
  <c r="G145" i="42"/>
  <c r="D146" i="42"/>
  <c r="B146" i="42" s="1"/>
  <c r="B59" i="84"/>
  <c r="F59" i="84"/>
  <c r="D60" i="84" s="1"/>
  <c r="D71" i="28"/>
  <c r="I62" i="58"/>
  <c r="I58" i="82"/>
  <c r="E145" i="44"/>
  <c r="F145" i="44" s="1"/>
  <c r="D140" i="33"/>
  <c r="E140" i="33" s="1"/>
  <c r="G139" i="33"/>
  <c r="B59" i="92"/>
  <c r="F59" i="92"/>
  <c r="G59" i="92" s="1"/>
  <c r="H59" i="92"/>
  <c r="I57" i="98"/>
  <c r="E62" i="60"/>
  <c r="F62" i="60" s="1"/>
  <c r="B62" i="60"/>
  <c r="H60" i="77"/>
  <c r="I60" i="77" s="1"/>
  <c r="B67" i="42"/>
  <c r="B63" i="46"/>
  <c r="B62" i="63"/>
  <c r="F57" i="99"/>
  <c r="G57" i="99" s="1"/>
  <c r="B57" i="99"/>
  <c r="I144" i="42"/>
  <c r="H144" i="42"/>
  <c r="I68" i="23"/>
  <c r="E139" i="97"/>
  <c r="G138" i="97"/>
  <c r="D139" i="97"/>
  <c r="D60" i="85"/>
  <c r="E60" i="85"/>
  <c r="F60" i="85" s="1"/>
  <c r="D61" i="85" s="1"/>
  <c r="B64" i="57"/>
  <c r="F64" i="57"/>
  <c r="G64" i="57" s="1"/>
  <c r="B61" i="68"/>
  <c r="G61" i="68"/>
  <c r="H61" i="68"/>
  <c r="I64" i="72"/>
  <c r="B59" i="82"/>
  <c r="F59" i="82"/>
  <c r="D60" i="82" s="1"/>
  <c r="I66" i="42"/>
  <c r="F68" i="24"/>
  <c r="G68" i="24" s="1"/>
  <c r="B68" i="24"/>
  <c r="E139" i="26"/>
  <c r="F139" i="26"/>
  <c r="B139" i="26"/>
  <c r="I67" i="69"/>
  <c r="B66" i="41"/>
  <c r="B61" i="65"/>
  <c r="I71" i="27"/>
  <c r="H59" i="86"/>
  <c r="I65" i="41"/>
  <c r="G59" i="81"/>
  <c r="I59" i="81" s="1"/>
  <c r="D60" i="81"/>
  <c r="E67" i="44"/>
  <c r="F67" i="44" s="1"/>
  <c r="B67" i="44"/>
  <c r="G67" i="44"/>
  <c r="H70" i="28"/>
  <c r="J143" i="43"/>
  <c r="G59" i="85"/>
  <c r="D61" i="76"/>
  <c r="E61" i="76" s="1"/>
  <c r="F61" i="76" s="1"/>
  <c r="D62" i="76" s="1"/>
  <c r="I144" i="44"/>
  <c r="H144" i="44"/>
  <c r="F61" i="67"/>
  <c r="H61" i="67" s="1"/>
  <c r="B61" i="67"/>
  <c r="D58" i="98"/>
  <c r="E58" i="98"/>
  <c r="I138" i="26"/>
  <c r="H138" i="26"/>
  <c r="E64" i="45"/>
  <c r="F64" i="45" s="1"/>
  <c r="B64" i="45"/>
  <c r="E66" i="41"/>
  <c r="F66" i="41" s="1"/>
  <c r="E61" i="65"/>
  <c r="F61" i="65" s="1"/>
  <c r="D67" i="74"/>
  <c r="E67" i="74" s="1"/>
  <c r="G57" i="97"/>
  <c r="I57" i="97" s="1"/>
  <c r="D58" i="97"/>
  <c r="E58" i="97"/>
  <c r="F57" i="95"/>
  <c r="B57" i="95"/>
  <c r="G57" i="95"/>
  <c r="D69" i="23"/>
  <c r="E69" i="23" s="1"/>
  <c r="F69" i="23" s="1"/>
  <c r="F59" i="83"/>
  <c r="B59" i="83"/>
  <c r="H59" i="83"/>
  <c r="B64" i="56"/>
  <c r="G64" i="56"/>
  <c r="H64" i="56"/>
  <c r="I66" i="44"/>
  <c r="I60" i="66"/>
  <c r="H59" i="85"/>
  <c r="I59" i="85" s="1"/>
  <c r="I59" i="79"/>
  <c r="D65" i="72"/>
  <c r="E65" i="72" s="1"/>
  <c r="F65" i="72" s="1"/>
  <c r="D61" i="77"/>
  <c r="E61" i="77" s="1"/>
  <c r="E67" i="42"/>
  <c r="F67" i="42" s="1"/>
  <c r="F68" i="69"/>
  <c r="G68" i="69"/>
  <c r="B68" i="69"/>
  <c r="E63" i="46"/>
  <c r="F63" i="46" s="1"/>
  <c r="E62" i="63"/>
  <c r="F62" i="63" s="1"/>
  <c r="B66" i="74"/>
  <c r="G66" i="74"/>
  <c r="H66" i="74"/>
  <c r="D64" i="61"/>
  <c r="G63" i="61"/>
  <c r="H63" i="61"/>
  <c r="D65" i="59"/>
  <c r="E65" i="59" s="1"/>
  <c r="H64" i="59"/>
  <c r="G64" i="59"/>
  <c r="E72" i="70"/>
  <c r="E73" i="70" s="1"/>
  <c r="B72" i="70"/>
  <c r="D72" i="71"/>
  <c r="H71" i="71"/>
  <c r="G71" i="71"/>
  <c r="D64" i="64"/>
  <c r="E64" i="64" s="1"/>
  <c r="G66" i="18"/>
  <c r="H61" i="13"/>
  <c r="I61" i="13" s="1"/>
  <c r="I59" i="86"/>
  <c r="I146" i="31"/>
  <c r="H146" i="31"/>
  <c r="I63" i="59"/>
  <c r="F59" i="91"/>
  <c r="G59" i="91" s="1"/>
  <c r="B59" i="91"/>
  <c r="I69" i="34"/>
  <c r="B72" i="31"/>
  <c r="F72" i="31"/>
  <c r="G72" i="31" s="1"/>
  <c r="G73" i="31" s="1"/>
  <c r="F64" i="55"/>
  <c r="B64" i="55"/>
  <c r="B71" i="70"/>
  <c r="G71" i="70"/>
  <c r="H71" i="70"/>
  <c r="I64" i="53"/>
  <c r="B66" i="43"/>
  <c r="F66" i="43"/>
  <c r="H66" i="43" s="1"/>
  <c r="I71" i="31"/>
  <c r="I69" i="3"/>
  <c r="B61" i="85"/>
  <c r="G59" i="88"/>
  <c r="G63" i="54"/>
  <c r="I63" i="54" s="1"/>
  <c r="G62" i="62"/>
  <c r="I62" i="62" s="1"/>
  <c r="H60" i="75"/>
  <c r="G65" i="39"/>
  <c r="I70" i="71"/>
  <c r="D66" i="53"/>
  <c r="E66" i="53"/>
  <c r="F66" i="53" s="1"/>
  <c r="B67" i="17"/>
  <c r="E70" i="34"/>
  <c r="F70" i="34" s="1"/>
  <c r="B70" i="34"/>
  <c r="D64" i="26"/>
  <c r="E64" i="26" s="1"/>
  <c r="B63" i="64"/>
  <c r="G63" i="64"/>
  <c r="H63" i="64"/>
  <c r="E70" i="3"/>
  <c r="F70" i="3" s="1"/>
  <c r="H70" i="3" s="1"/>
  <c r="B70" i="3"/>
  <c r="E61" i="85"/>
  <c r="F61" i="85" s="1"/>
  <c r="I59" i="88"/>
  <c r="I57" i="100"/>
  <c r="I65" i="39"/>
  <c r="D60" i="86"/>
  <c r="E60" i="86" s="1"/>
  <c r="E147" i="31"/>
  <c r="F147" i="31" s="1"/>
  <c r="F68" i="73"/>
  <c r="B68" i="73"/>
  <c r="I66" i="17"/>
  <c r="H59" i="80"/>
  <c r="I59" i="80" s="1"/>
  <c r="D60" i="80"/>
  <c r="H65" i="53"/>
  <c r="I65" i="53" s="1"/>
  <c r="E67" i="17"/>
  <c r="F67" i="17" s="1"/>
  <c r="B63" i="26"/>
  <c r="G63" i="26"/>
  <c r="H63" i="26"/>
  <c r="I62" i="64"/>
  <c r="H142" i="60"/>
  <c r="I142" i="60"/>
  <c r="J142" i="60" s="1"/>
  <c r="F143" i="60"/>
  <c r="B143" i="60"/>
  <c r="E150" i="17"/>
  <c r="F150" i="17"/>
  <c r="B150" i="17"/>
  <c r="J141" i="63"/>
  <c r="H149" i="17"/>
  <c r="I149" i="17"/>
  <c r="B151" i="70"/>
  <c r="F151" i="70"/>
  <c r="J140" i="78"/>
  <c r="I150" i="70"/>
  <c r="H150" i="70"/>
  <c r="G146" i="19"/>
  <c r="D147" i="19"/>
  <c r="E147" i="19" s="1"/>
  <c r="D69" i="19"/>
  <c r="G68" i="19"/>
  <c r="H68" i="19"/>
  <c r="D61" i="78"/>
  <c r="E61" i="78" s="1"/>
  <c r="G60" i="78"/>
  <c r="H60" i="78"/>
  <c r="D67" i="22"/>
  <c r="E67" i="22" s="1"/>
  <c r="H66" i="22"/>
  <c r="G66" i="22"/>
  <c r="D151" i="29"/>
  <c r="E151" i="29" s="1"/>
  <c r="G150" i="29"/>
  <c r="B146" i="18"/>
  <c r="B146" i="3"/>
  <c r="B141" i="68"/>
  <c r="F141" i="68"/>
  <c r="I66" i="21"/>
  <c r="H139" i="76"/>
  <c r="I139" i="76"/>
  <c r="B145" i="41"/>
  <c r="F145" i="41"/>
  <c r="F138" i="84"/>
  <c r="B138" i="84"/>
  <c r="H137" i="89"/>
  <c r="I137" i="89"/>
  <c r="E59" i="90"/>
  <c r="D59" i="90"/>
  <c r="B146" i="21"/>
  <c r="H68" i="29"/>
  <c r="I68" i="29" s="1"/>
  <c r="G143" i="67"/>
  <c r="D144" i="67"/>
  <c r="E144" i="67" s="1"/>
  <c r="H140" i="68"/>
  <c r="I140" i="68"/>
  <c r="H144" i="73"/>
  <c r="I144" i="73"/>
  <c r="J144" i="73" s="1"/>
  <c r="D67" i="21"/>
  <c r="E67" i="21"/>
  <c r="D68" i="32"/>
  <c r="E68" i="32" s="1"/>
  <c r="B140" i="76"/>
  <c r="F140" i="76"/>
  <c r="F139" i="99"/>
  <c r="B139" i="99"/>
  <c r="H142" i="57"/>
  <c r="I142" i="57"/>
  <c r="D62" i="13"/>
  <c r="E62" i="13" s="1"/>
  <c r="F148" i="30"/>
  <c r="B148" i="30"/>
  <c r="D149" i="23"/>
  <c r="E149" i="23" s="1"/>
  <c r="G148" i="23"/>
  <c r="I137" i="84"/>
  <c r="H137" i="84"/>
  <c r="I143" i="45"/>
  <c r="H143" i="45"/>
  <c r="J147" i="23"/>
  <c r="B138" i="88"/>
  <c r="F138" i="88"/>
  <c r="H137" i="92"/>
  <c r="I137" i="92"/>
  <c r="H145" i="21"/>
  <c r="I145" i="21"/>
  <c r="J145" i="21" s="1"/>
  <c r="F146" i="22"/>
  <c r="B146" i="22"/>
  <c r="B72" i="27"/>
  <c r="I146" i="24"/>
  <c r="H146" i="24"/>
  <c r="I66" i="18"/>
  <c r="H147" i="27"/>
  <c r="I147" i="27"/>
  <c r="D69" i="30"/>
  <c r="D141" i="13"/>
  <c r="E141" i="13" s="1"/>
  <c r="G140" i="13"/>
  <c r="B143" i="56"/>
  <c r="F143" i="56"/>
  <c r="B143" i="57"/>
  <c r="H138" i="100"/>
  <c r="I138" i="100"/>
  <c r="I137" i="88"/>
  <c r="H137" i="88"/>
  <c r="B138" i="86"/>
  <c r="F138" i="86"/>
  <c r="I144" i="74"/>
  <c r="H144" i="74"/>
  <c r="F145" i="73"/>
  <c r="B145" i="73"/>
  <c r="H148" i="20"/>
  <c r="I148" i="20"/>
  <c r="J148" i="20" s="1"/>
  <c r="J145" i="34"/>
  <c r="D63" i="62"/>
  <c r="E63" i="62" s="1"/>
  <c r="I138" i="99"/>
  <c r="H138" i="99"/>
  <c r="J149" i="29"/>
  <c r="I147" i="30"/>
  <c r="H147" i="30"/>
  <c r="F142" i="59"/>
  <c r="B142" i="59"/>
  <c r="F144" i="45"/>
  <c r="B144" i="45"/>
  <c r="F138" i="92"/>
  <c r="B138" i="92"/>
  <c r="I145" i="22"/>
  <c r="H145" i="22"/>
  <c r="E72" i="27"/>
  <c r="E73" i="27" s="1"/>
  <c r="F141" i="65"/>
  <c r="B141" i="65"/>
  <c r="I145" i="3"/>
  <c r="H145" i="3"/>
  <c r="D69" i="29"/>
  <c r="E69" i="29" s="1"/>
  <c r="F141" i="85"/>
  <c r="B141" i="85"/>
  <c r="H140" i="65"/>
  <c r="I140" i="65"/>
  <c r="D67" i="18"/>
  <c r="F145" i="74"/>
  <c r="B145" i="74"/>
  <c r="B147" i="24"/>
  <c r="F147" i="24"/>
  <c r="I137" i="96"/>
  <c r="H137" i="96"/>
  <c r="G141" i="66"/>
  <c r="D142" i="66"/>
  <c r="E142" i="66" s="1"/>
  <c r="D142" i="78"/>
  <c r="E142" i="78" s="1"/>
  <c r="G141" i="78"/>
  <c r="B149" i="20"/>
  <c r="F149" i="20"/>
  <c r="H142" i="58"/>
  <c r="I142" i="58"/>
  <c r="D61" i="75"/>
  <c r="E61" i="75" s="1"/>
  <c r="B140" i="77"/>
  <c r="F140" i="77"/>
  <c r="H141" i="59"/>
  <c r="I141" i="59"/>
  <c r="B138" i="90"/>
  <c r="F138" i="90"/>
  <c r="F58" i="25"/>
  <c r="G58" i="25" s="1"/>
  <c r="B58" i="25"/>
  <c r="F145" i="55"/>
  <c r="B145" i="55"/>
  <c r="F139" i="80"/>
  <c r="B139" i="80"/>
  <c r="I138" i="83"/>
  <c r="H138" i="83"/>
  <c r="I142" i="54"/>
  <c r="H142" i="54"/>
  <c r="B138" i="96"/>
  <c r="F138" i="96"/>
  <c r="F147" i="32"/>
  <c r="B147" i="32"/>
  <c r="B148" i="69"/>
  <c r="F148" i="69"/>
  <c r="F143" i="58"/>
  <c r="B143" i="58"/>
  <c r="I60" i="75"/>
  <c r="E59" i="87"/>
  <c r="D59" i="87"/>
  <c r="H139" i="77"/>
  <c r="I139" i="77"/>
  <c r="I137" i="90"/>
  <c r="H137" i="90"/>
  <c r="G142" i="63"/>
  <c r="D143" i="63"/>
  <c r="E143" i="63"/>
  <c r="I144" i="55"/>
  <c r="H144" i="55"/>
  <c r="H138" i="80"/>
  <c r="I138" i="80"/>
  <c r="I137" i="98"/>
  <c r="H137" i="98"/>
  <c r="F142" i="75"/>
  <c r="B142" i="75"/>
  <c r="B139" i="83"/>
  <c r="F139" i="83"/>
  <c r="F140" i="79"/>
  <c r="B140" i="79"/>
  <c r="E146" i="3"/>
  <c r="F146" i="3" s="1"/>
  <c r="D59" i="89"/>
  <c r="E59" i="89"/>
  <c r="E146" i="18"/>
  <c r="F146" i="18" s="1"/>
  <c r="H142" i="53"/>
  <c r="I142" i="53"/>
  <c r="F143" i="54"/>
  <c r="B143" i="54"/>
  <c r="I139" i="79"/>
  <c r="H139" i="79"/>
  <c r="H68" i="30"/>
  <c r="I68" i="30" s="1"/>
  <c r="E58" i="100"/>
  <c r="D58" i="100"/>
  <c r="F139" i="81"/>
  <c r="B139" i="81"/>
  <c r="H144" i="39"/>
  <c r="I144" i="39"/>
  <c r="B143" i="72"/>
  <c r="F143" i="72"/>
  <c r="H146" i="32"/>
  <c r="I146" i="32"/>
  <c r="I147" i="69"/>
  <c r="H147" i="69"/>
  <c r="F142" i="61"/>
  <c r="B142" i="61"/>
  <c r="G58" i="87"/>
  <c r="I58" i="87" s="1"/>
  <c r="D66" i="39"/>
  <c r="E66" i="39" s="1"/>
  <c r="D58" i="96"/>
  <c r="E58" i="96"/>
  <c r="F141" i="82"/>
  <c r="B141" i="82"/>
  <c r="J145" i="19"/>
  <c r="B147" i="71"/>
  <c r="F147" i="71"/>
  <c r="H58" i="90"/>
  <c r="I58" i="90" s="1"/>
  <c r="B138" i="98"/>
  <c r="F138" i="98"/>
  <c r="I141" i="75"/>
  <c r="H141" i="75"/>
  <c r="H143" i="62"/>
  <c r="I143" i="62"/>
  <c r="H138" i="81"/>
  <c r="I138" i="81"/>
  <c r="F145" i="39"/>
  <c r="B145" i="39"/>
  <c r="I142" i="72"/>
  <c r="H142" i="72"/>
  <c r="I137" i="91"/>
  <c r="H137" i="91"/>
  <c r="H148" i="28"/>
  <c r="I148" i="28"/>
  <c r="J148" i="28" s="1"/>
  <c r="H141" i="61"/>
  <c r="I141" i="61"/>
  <c r="H142" i="46"/>
  <c r="I142" i="46"/>
  <c r="H140" i="82"/>
  <c r="I140" i="82"/>
  <c r="H146" i="71"/>
  <c r="I146" i="71"/>
  <c r="B142" i="64"/>
  <c r="F142" i="64"/>
  <c r="B143" i="53"/>
  <c r="F143" i="53"/>
  <c r="B148" i="27"/>
  <c r="F148" i="27"/>
  <c r="H145" i="18"/>
  <c r="I145" i="18"/>
  <c r="J140" i="66"/>
  <c r="I140" i="85"/>
  <c r="H140" i="85"/>
  <c r="F144" i="62"/>
  <c r="B144" i="62"/>
  <c r="D60" i="88"/>
  <c r="E60" i="88" s="1"/>
  <c r="D64" i="54"/>
  <c r="E64" i="54" s="1"/>
  <c r="I142" i="56"/>
  <c r="H142" i="56"/>
  <c r="F138" i="91"/>
  <c r="B138" i="91"/>
  <c r="H144" i="41"/>
  <c r="I144" i="41"/>
  <c r="D147" i="34"/>
  <c r="E147" i="34" s="1"/>
  <c r="G146" i="34"/>
  <c r="B149" i="28"/>
  <c r="F149" i="28"/>
  <c r="E143" i="57"/>
  <c r="F143" i="57" s="1"/>
  <c r="B143" i="46"/>
  <c r="F143" i="46"/>
  <c r="G57" i="96"/>
  <c r="I57" i="96" s="1"/>
  <c r="B139" i="100"/>
  <c r="F139" i="100"/>
  <c r="B138" i="89"/>
  <c r="F138" i="89"/>
  <c r="I137" i="86"/>
  <c r="H137" i="86"/>
  <c r="E146" i="21"/>
  <c r="F146" i="21" s="1"/>
  <c r="H141" i="64"/>
  <c r="I141" i="64"/>
  <c r="J141" i="64" s="1"/>
  <c r="G140" i="25" l="1"/>
  <c r="D141" i="25"/>
  <c r="B68" i="20"/>
  <c r="G68" i="20"/>
  <c r="E68" i="20"/>
  <c r="F68" i="20" s="1"/>
  <c r="D140" i="95"/>
  <c r="E140" i="95"/>
  <c r="G139" i="95"/>
  <c r="I61" i="33"/>
  <c r="D139" i="87"/>
  <c r="G138" i="87"/>
  <c r="E139" i="87"/>
  <c r="J144" i="44"/>
  <c r="E62" i="33"/>
  <c r="F62" i="33" s="1"/>
  <c r="B62" i="33"/>
  <c r="H64" i="45"/>
  <c r="D65" i="45"/>
  <c r="G64" i="45"/>
  <c r="D70" i="23"/>
  <c r="E70" i="23" s="1"/>
  <c r="F70" i="23" s="1"/>
  <c r="D62" i="65"/>
  <c r="H61" i="65"/>
  <c r="G61" i="65"/>
  <c r="E62" i="76"/>
  <c r="F62" i="76" s="1"/>
  <c r="B62" i="76"/>
  <c r="G62" i="60"/>
  <c r="D63" i="60"/>
  <c r="H62" i="60"/>
  <c r="I62" i="60" s="1"/>
  <c r="H62" i="68"/>
  <c r="D63" i="68"/>
  <c r="D66" i="56"/>
  <c r="E66" i="56" s="1"/>
  <c r="F66" i="56" s="1"/>
  <c r="D67" i="56" s="1"/>
  <c r="G65" i="56"/>
  <c r="H65" i="56"/>
  <c r="I65" i="56" s="1"/>
  <c r="D66" i="72"/>
  <c r="E66" i="72" s="1"/>
  <c r="H66" i="41"/>
  <c r="D67" i="41"/>
  <c r="G66" i="41"/>
  <c r="G67" i="42"/>
  <c r="D68" i="42"/>
  <c r="E68" i="42" s="1"/>
  <c r="F68" i="42" s="1"/>
  <c r="D69" i="42" s="1"/>
  <c r="H67" i="42"/>
  <c r="G66" i="43"/>
  <c r="I66" i="43" s="1"/>
  <c r="D63" i="63"/>
  <c r="E63" i="63" s="1"/>
  <c r="F63" i="63" s="1"/>
  <c r="H68" i="69"/>
  <c r="I68" i="69" s="1"/>
  <c r="D69" i="69"/>
  <c r="E69" i="69" s="1"/>
  <c r="H57" i="95"/>
  <c r="I57" i="95" s="1"/>
  <c r="D58" i="95"/>
  <c r="E58" i="95"/>
  <c r="H59" i="82"/>
  <c r="H64" i="57"/>
  <c r="I64" i="57" s="1"/>
  <c r="G62" i="63"/>
  <c r="G145" i="44"/>
  <c r="D146" i="44"/>
  <c r="B146" i="44" s="1"/>
  <c r="B71" i="28"/>
  <c r="E64" i="58"/>
  <c r="B64" i="58"/>
  <c r="F64" i="58"/>
  <c r="D65" i="58" s="1"/>
  <c r="I66" i="74"/>
  <c r="G63" i="46"/>
  <c r="D64" i="46"/>
  <c r="B65" i="72"/>
  <c r="H65" i="72"/>
  <c r="G65" i="72"/>
  <c r="G69" i="23"/>
  <c r="H69" i="23"/>
  <c r="B69" i="23"/>
  <c r="B67" i="74"/>
  <c r="F67" i="74"/>
  <c r="D68" i="74" s="1"/>
  <c r="J138" i="26"/>
  <c r="I70" i="28"/>
  <c r="D68" i="44"/>
  <c r="E68" i="44" s="1"/>
  <c r="G59" i="82"/>
  <c r="I61" i="68"/>
  <c r="B60" i="85"/>
  <c r="H60" i="85"/>
  <c r="G60" i="85"/>
  <c r="H59" i="84"/>
  <c r="E146" i="42"/>
  <c r="F146" i="42" s="1"/>
  <c r="B58" i="97"/>
  <c r="F58" i="97"/>
  <c r="H58" i="97" s="1"/>
  <c r="G61" i="67"/>
  <c r="I61" i="67" s="1"/>
  <c r="D62" i="67"/>
  <c r="E62" i="67" s="1"/>
  <c r="F62" i="67" s="1"/>
  <c r="B61" i="76"/>
  <c r="G61" i="76"/>
  <c r="H61" i="76"/>
  <c r="E60" i="81"/>
  <c r="F60" i="81" s="1"/>
  <c r="G60" i="81" s="1"/>
  <c r="H60" i="81"/>
  <c r="B60" i="81"/>
  <c r="D140" i="26"/>
  <c r="G139" i="26"/>
  <c r="H68" i="24"/>
  <c r="I68" i="24" s="1"/>
  <c r="D69" i="24"/>
  <c r="E60" i="82"/>
  <c r="F60" i="82" s="1"/>
  <c r="H60" i="82" s="1"/>
  <c r="B60" i="82"/>
  <c r="D65" i="57"/>
  <c r="E65" i="57" s="1"/>
  <c r="B139" i="97"/>
  <c r="F139" i="97"/>
  <c r="H57" i="99"/>
  <c r="I57" i="99" s="1"/>
  <c r="D58" i="99"/>
  <c r="E58" i="99"/>
  <c r="H63" i="46"/>
  <c r="I63" i="46" s="1"/>
  <c r="I59" i="92"/>
  <c r="H139" i="33"/>
  <c r="I139" i="33"/>
  <c r="E60" i="84"/>
  <c r="F60" i="84" s="1"/>
  <c r="G60" i="84" s="1"/>
  <c r="H60" i="84"/>
  <c r="B60" i="84"/>
  <c r="B61" i="79"/>
  <c r="F61" i="79"/>
  <c r="G61" i="79"/>
  <c r="H61" i="79"/>
  <c r="E145" i="43"/>
  <c r="F145" i="43" s="1"/>
  <c r="B145" i="43"/>
  <c r="J142" i="56"/>
  <c r="H58" i="25"/>
  <c r="H59" i="91"/>
  <c r="J146" i="31"/>
  <c r="I64" i="59"/>
  <c r="B61" i="77"/>
  <c r="F61" i="77"/>
  <c r="H61" i="77"/>
  <c r="I64" i="56"/>
  <c r="G59" i="83"/>
  <c r="I59" i="83" s="1"/>
  <c r="D60" i="83"/>
  <c r="E60" i="83"/>
  <c r="B58" i="98"/>
  <c r="F58" i="98"/>
  <c r="H58" i="98" s="1"/>
  <c r="H67" i="44"/>
  <c r="I67" i="44" s="1"/>
  <c r="H138" i="97"/>
  <c r="I138" i="97"/>
  <c r="J144" i="42"/>
  <c r="H62" i="63"/>
  <c r="I62" i="63" s="1"/>
  <c r="D60" i="92"/>
  <c r="E60" i="92" s="1"/>
  <c r="F140" i="33"/>
  <c r="B140" i="33"/>
  <c r="E71" i="28"/>
  <c r="F71" i="28" s="1"/>
  <c r="H71" i="28" s="1"/>
  <c r="G59" i="84"/>
  <c r="H145" i="42"/>
  <c r="I145" i="42"/>
  <c r="B62" i="68"/>
  <c r="G62" i="68"/>
  <c r="I62" i="68" s="1"/>
  <c r="B62" i="66"/>
  <c r="F62" i="66"/>
  <c r="H62" i="66" s="1"/>
  <c r="I144" i="43"/>
  <c r="H144" i="43"/>
  <c r="H70" i="34"/>
  <c r="D71" i="34"/>
  <c r="E71" i="34" s="1"/>
  <c r="G70" i="34"/>
  <c r="D68" i="17"/>
  <c r="E68" i="17" s="1"/>
  <c r="F68" i="17" s="1"/>
  <c r="G67" i="17"/>
  <c r="H67" i="17"/>
  <c r="I67" i="17" s="1"/>
  <c r="H61" i="85"/>
  <c r="D62" i="85"/>
  <c r="E62" i="85" s="1"/>
  <c r="G61" i="85"/>
  <c r="H68" i="73"/>
  <c r="D69" i="73"/>
  <c r="E69" i="73"/>
  <c r="D67" i="53"/>
  <c r="D65" i="55"/>
  <c r="E65" i="55" s="1"/>
  <c r="I59" i="91"/>
  <c r="J142" i="53"/>
  <c r="J142" i="54"/>
  <c r="D148" i="31"/>
  <c r="E148" i="31" s="1"/>
  <c r="G147" i="31"/>
  <c r="G70" i="3"/>
  <c r="I70" i="3" s="1"/>
  <c r="D71" i="3"/>
  <c r="B66" i="53"/>
  <c r="H66" i="53"/>
  <c r="G66" i="53"/>
  <c r="H64" i="55"/>
  <c r="E72" i="71"/>
  <c r="E73" i="71" s="1"/>
  <c r="B72" i="71"/>
  <c r="F72" i="71"/>
  <c r="H72" i="71" s="1"/>
  <c r="B64" i="61"/>
  <c r="F72" i="27"/>
  <c r="I68" i="19"/>
  <c r="E60" i="80"/>
  <c r="F60" i="80" s="1"/>
  <c r="B60" i="80"/>
  <c r="G68" i="73"/>
  <c r="F60" i="86"/>
  <c r="G60" i="86" s="1"/>
  <c r="B60" i="86"/>
  <c r="D67" i="43"/>
  <c r="E67" i="43" s="1"/>
  <c r="I71" i="70"/>
  <c r="H72" i="31"/>
  <c r="F64" i="64"/>
  <c r="H64" i="64" s="1"/>
  <c r="B64" i="64"/>
  <c r="F72" i="70"/>
  <c r="B65" i="59"/>
  <c r="F65" i="59"/>
  <c r="H65" i="59" s="1"/>
  <c r="E64" i="61"/>
  <c r="F64" i="61" s="1"/>
  <c r="I60" i="78"/>
  <c r="I63" i="26"/>
  <c r="I63" i="64"/>
  <c r="B64" i="26"/>
  <c r="F64" i="26"/>
  <c r="H64" i="26" s="1"/>
  <c r="G64" i="55"/>
  <c r="D60" i="91"/>
  <c r="E60" i="91" s="1"/>
  <c r="F60" i="91" s="1"/>
  <c r="I71" i="71"/>
  <c r="I63" i="61"/>
  <c r="J145" i="3"/>
  <c r="J149" i="17"/>
  <c r="J143" i="45"/>
  <c r="J144" i="74"/>
  <c r="J143" i="62"/>
  <c r="J146" i="32"/>
  <c r="J144" i="39"/>
  <c r="J147" i="30"/>
  <c r="J150" i="70"/>
  <c r="J142" i="57"/>
  <c r="G150" i="17"/>
  <c r="D151" i="17"/>
  <c r="J142" i="58"/>
  <c r="D144" i="60"/>
  <c r="G143" i="60"/>
  <c r="J145" i="18"/>
  <c r="J142" i="46"/>
  <c r="G151" i="70"/>
  <c r="D152" i="70"/>
  <c r="D147" i="21"/>
  <c r="E147" i="21" s="1"/>
  <c r="G146" i="21"/>
  <c r="G146" i="18"/>
  <c r="D147" i="18"/>
  <c r="E147" i="18"/>
  <c r="G146" i="3"/>
  <c r="D147" i="3"/>
  <c r="E147" i="3" s="1"/>
  <c r="D144" i="57"/>
  <c r="E144" i="57" s="1"/>
  <c r="G143" i="57"/>
  <c r="G143" i="53"/>
  <c r="D144" i="53"/>
  <c r="E144" i="53" s="1"/>
  <c r="G139" i="100"/>
  <c r="D140" i="100"/>
  <c r="E140" i="100"/>
  <c r="D148" i="32"/>
  <c r="E148" i="32" s="1"/>
  <c r="G147" i="32"/>
  <c r="D139" i="92"/>
  <c r="G138" i="92"/>
  <c r="E139" i="92"/>
  <c r="D146" i="73"/>
  <c r="E146" i="73" s="1"/>
  <c r="G145" i="73"/>
  <c r="G140" i="76"/>
  <c r="D141" i="76"/>
  <c r="E141" i="76"/>
  <c r="G141" i="68"/>
  <c r="D142" i="68"/>
  <c r="E142" i="68"/>
  <c r="G143" i="46"/>
  <c r="D144" i="46"/>
  <c r="G145" i="39"/>
  <c r="D146" i="39"/>
  <c r="E146" i="39" s="1"/>
  <c r="G147" i="71"/>
  <c r="D148" i="71"/>
  <c r="E148" i="71"/>
  <c r="D142" i="82"/>
  <c r="G141" i="82"/>
  <c r="J139" i="79"/>
  <c r="D143" i="75"/>
  <c r="E143" i="75" s="1"/>
  <c r="G142" i="75"/>
  <c r="F143" i="63"/>
  <c r="B143" i="63"/>
  <c r="D141" i="77"/>
  <c r="G140" i="77"/>
  <c r="E141" i="77"/>
  <c r="B142" i="66"/>
  <c r="F142" i="66"/>
  <c r="G142" i="59"/>
  <c r="D143" i="59"/>
  <c r="E143" i="59" s="1"/>
  <c r="B141" i="13"/>
  <c r="F141" i="13"/>
  <c r="J146" i="24"/>
  <c r="G148" i="30"/>
  <c r="D149" i="30"/>
  <c r="E149" i="30" s="1"/>
  <c r="D146" i="41"/>
  <c r="E146" i="41" s="1"/>
  <c r="G145" i="41"/>
  <c r="I66" i="22"/>
  <c r="G149" i="28"/>
  <c r="D150" i="28"/>
  <c r="E150" i="28" s="1"/>
  <c r="D139" i="91"/>
  <c r="G138" i="91"/>
  <c r="E139" i="91"/>
  <c r="B59" i="87"/>
  <c r="F59" i="87"/>
  <c r="G59" i="87" s="1"/>
  <c r="G145" i="55"/>
  <c r="D146" i="55"/>
  <c r="D144" i="72"/>
  <c r="G143" i="72"/>
  <c r="E144" i="72"/>
  <c r="B59" i="89"/>
  <c r="F59" i="89"/>
  <c r="G59" i="89" s="1"/>
  <c r="H142" i="63"/>
  <c r="I142" i="63"/>
  <c r="I141" i="66"/>
  <c r="J141" i="66" s="1"/>
  <c r="H141" i="66"/>
  <c r="D148" i="24"/>
  <c r="E148" i="24" s="1"/>
  <c r="G147" i="24"/>
  <c r="J140" i="65"/>
  <c r="D142" i="85"/>
  <c r="E142" i="85" s="1"/>
  <c r="G141" i="85"/>
  <c r="D142" i="65"/>
  <c r="E142" i="65" s="1"/>
  <c r="G141" i="65"/>
  <c r="B62" i="13"/>
  <c r="F62" i="13"/>
  <c r="H62" i="13" s="1"/>
  <c r="B68" i="32"/>
  <c r="F68" i="32"/>
  <c r="G68" i="32" s="1"/>
  <c r="J140" i="68"/>
  <c r="B59" i="90"/>
  <c r="F59" i="90"/>
  <c r="H59" i="90" s="1"/>
  <c r="H146" i="34"/>
  <c r="I146" i="34"/>
  <c r="D143" i="64"/>
  <c r="E143" i="64" s="1"/>
  <c r="G142" i="64"/>
  <c r="J141" i="61"/>
  <c r="F58" i="96"/>
  <c r="H58" i="96" s="1"/>
  <c r="B58" i="96"/>
  <c r="D140" i="81"/>
  <c r="G139" i="81"/>
  <c r="E140" i="81"/>
  <c r="D144" i="54"/>
  <c r="E144" i="54" s="1"/>
  <c r="G143" i="54"/>
  <c r="D139" i="96"/>
  <c r="G138" i="96"/>
  <c r="E139" i="96"/>
  <c r="D59" i="25"/>
  <c r="E59" i="25" s="1"/>
  <c r="G149" i="20"/>
  <c r="D150" i="20"/>
  <c r="E150" i="20" s="1"/>
  <c r="F69" i="29"/>
  <c r="H69" i="29" s="1"/>
  <c r="B69" i="29"/>
  <c r="D139" i="86"/>
  <c r="G138" i="86"/>
  <c r="E139" i="86"/>
  <c r="J139" i="76"/>
  <c r="F67" i="22"/>
  <c r="G67" i="22" s="1"/>
  <c r="B67" i="22"/>
  <c r="F61" i="78"/>
  <c r="H61" i="78" s="1"/>
  <c r="B61" i="78"/>
  <c r="B64" i="54"/>
  <c r="H64" i="54"/>
  <c r="F64" i="54"/>
  <c r="G64" i="54"/>
  <c r="G148" i="27"/>
  <c r="D149" i="27"/>
  <c r="E149" i="27" s="1"/>
  <c r="F58" i="100"/>
  <c r="B58" i="100"/>
  <c r="G143" i="58"/>
  <c r="D144" i="58"/>
  <c r="E144" i="58" s="1"/>
  <c r="D140" i="80"/>
  <c r="G139" i="80"/>
  <c r="E140" i="80"/>
  <c r="I58" i="25"/>
  <c r="G144" i="45"/>
  <c r="D145" i="45"/>
  <c r="E145" i="45" s="1"/>
  <c r="B69" i="30"/>
  <c r="G138" i="88"/>
  <c r="D139" i="88"/>
  <c r="E139" i="88"/>
  <c r="B147" i="34"/>
  <c r="F147" i="34"/>
  <c r="D139" i="89"/>
  <c r="G138" i="89"/>
  <c r="E139" i="89"/>
  <c r="J144" i="41"/>
  <c r="G144" i="62"/>
  <c r="D145" i="62"/>
  <c r="E145" i="62" s="1"/>
  <c r="J146" i="71"/>
  <c r="J141" i="75"/>
  <c r="F66" i="39"/>
  <c r="G66" i="39" s="1"/>
  <c r="B66" i="39"/>
  <c r="G142" i="61"/>
  <c r="D143" i="61"/>
  <c r="E143" i="61"/>
  <c r="G140" i="79"/>
  <c r="D141" i="79"/>
  <c r="E141" i="79"/>
  <c r="J139" i="77"/>
  <c r="G148" i="69"/>
  <c r="D149" i="69"/>
  <c r="E149" i="69" s="1"/>
  <c r="D139" i="90"/>
  <c r="G138" i="90"/>
  <c r="E139" i="90"/>
  <c r="F61" i="75"/>
  <c r="H61" i="75" s="1"/>
  <c r="B61" i="75"/>
  <c r="G145" i="74"/>
  <c r="D146" i="74"/>
  <c r="E146" i="74" s="1"/>
  <c r="J145" i="22"/>
  <c r="B63" i="62"/>
  <c r="F63" i="62"/>
  <c r="D144" i="56"/>
  <c r="E144" i="56" s="1"/>
  <c r="G143" i="56"/>
  <c r="E69" i="30"/>
  <c r="F69" i="30" s="1"/>
  <c r="H148" i="23"/>
  <c r="I148" i="23"/>
  <c r="F144" i="67"/>
  <c r="B144" i="67"/>
  <c r="G138" i="98"/>
  <c r="D139" i="98"/>
  <c r="E139" i="98"/>
  <c r="D140" i="83"/>
  <c r="G139" i="83"/>
  <c r="E140" i="83"/>
  <c r="H141" i="78"/>
  <c r="I141" i="78"/>
  <c r="B67" i="18"/>
  <c r="I143" i="67"/>
  <c r="H143" i="67"/>
  <c r="H150" i="29"/>
  <c r="I150" i="29"/>
  <c r="J150" i="29" s="1"/>
  <c r="B69" i="19"/>
  <c r="B147" i="19"/>
  <c r="F147" i="19"/>
  <c r="F60" i="88"/>
  <c r="G60" i="88" s="1"/>
  <c r="B60" i="88"/>
  <c r="J142" i="72"/>
  <c r="J147" i="69"/>
  <c r="J144" i="55"/>
  <c r="J141" i="59"/>
  <c r="F142" i="78"/>
  <c r="B142" i="78"/>
  <c r="E67" i="18"/>
  <c r="F67" i="18" s="1"/>
  <c r="I140" i="13"/>
  <c r="H140" i="13"/>
  <c r="J147" i="27"/>
  <c r="D147" i="22"/>
  <c r="G146" i="22"/>
  <c r="E147" i="22"/>
  <c r="B149" i="23"/>
  <c r="F149" i="23"/>
  <c r="D140" i="99"/>
  <c r="G139" i="99"/>
  <c r="E140" i="99"/>
  <c r="B67" i="21"/>
  <c r="F67" i="21"/>
  <c r="H67" i="21" s="1"/>
  <c r="G67" i="21"/>
  <c r="G138" i="84"/>
  <c r="D139" i="84"/>
  <c r="E139" i="84"/>
  <c r="B151" i="29"/>
  <c r="F151" i="29"/>
  <c r="E69" i="19"/>
  <c r="F69" i="19" s="1"/>
  <c r="H146" i="19"/>
  <c r="I146" i="19"/>
  <c r="I139" i="95" l="1"/>
  <c r="H139" i="95"/>
  <c r="H66" i="39"/>
  <c r="H67" i="22"/>
  <c r="J144" i="43"/>
  <c r="G60" i="82"/>
  <c r="I60" i="85"/>
  <c r="E146" i="44"/>
  <c r="F146" i="44" s="1"/>
  <c r="I138" i="87"/>
  <c r="H138" i="87"/>
  <c r="G62" i="33"/>
  <c r="H62" i="33"/>
  <c r="D63" i="33"/>
  <c r="F139" i="87"/>
  <c r="B139" i="87"/>
  <c r="F140" i="95"/>
  <c r="B140" i="95"/>
  <c r="E141" i="25"/>
  <c r="F141" i="25" s="1"/>
  <c r="B141" i="25"/>
  <c r="G58" i="96"/>
  <c r="G62" i="13"/>
  <c r="I62" i="13" s="1"/>
  <c r="I68" i="73"/>
  <c r="G58" i="98"/>
  <c r="I58" i="98" s="1"/>
  <c r="I61" i="76"/>
  <c r="I65" i="72"/>
  <c r="H68" i="20"/>
  <c r="I68" i="20" s="1"/>
  <c r="D69" i="20"/>
  <c r="E69" i="20" s="1"/>
  <c r="H140" i="25"/>
  <c r="I140" i="25"/>
  <c r="D63" i="67"/>
  <c r="E63" i="67" s="1"/>
  <c r="D63" i="76"/>
  <c r="E63" i="76" s="1"/>
  <c r="F63" i="76" s="1"/>
  <c r="G62" i="76"/>
  <c r="H62" i="76"/>
  <c r="D71" i="23"/>
  <c r="E71" i="23" s="1"/>
  <c r="E69" i="42"/>
  <c r="F69" i="42" s="1"/>
  <c r="B69" i="42"/>
  <c r="E67" i="56"/>
  <c r="B67" i="56"/>
  <c r="F67" i="56"/>
  <c r="D64" i="63"/>
  <c r="E64" i="63" s="1"/>
  <c r="F64" i="63" s="1"/>
  <c r="I67" i="21"/>
  <c r="G61" i="78"/>
  <c r="B60" i="92"/>
  <c r="F60" i="92"/>
  <c r="B60" i="83"/>
  <c r="F60" i="83"/>
  <c r="G61" i="77"/>
  <c r="D62" i="77"/>
  <c r="E62" i="77" s="1"/>
  <c r="F62" i="77" s="1"/>
  <c r="D62" i="79"/>
  <c r="E62" i="79" s="1"/>
  <c r="F65" i="57"/>
  <c r="B65" i="57"/>
  <c r="D61" i="82"/>
  <c r="E61" i="82" s="1"/>
  <c r="I139" i="26"/>
  <c r="H139" i="26"/>
  <c r="G146" i="42"/>
  <c r="D147" i="42"/>
  <c r="B147" i="42" s="1"/>
  <c r="F68" i="44"/>
  <c r="B68" i="44"/>
  <c r="G68" i="44"/>
  <c r="H68" i="44"/>
  <c r="G67" i="74"/>
  <c r="G64" i="58"/>
  <c r="H145" i="44"/>
  <c r="I145" i="44"/>
  <c r="I66" i="41"/>
  <c r="B63" i="68"/>
  <c r="I61" i="65"/>
  <c r="D63" i="66"/>
  <c r="E63" i="66" s="1"/>
  <c r="D72" i="28"/>
  <c r="D59" i="98"/>
  <c r="E59" i="98"/>
  <c r="D61" i="84"/>
  <c r="E61" i="84" s="1"/>
  <c r="D140" i="97"/>
  <c r="E140" i="97"/>
  <c r="G139" i="97"/>
  <c r="I60" i="82"/>
  <c r="B69" i="24"/>
  <c r="E140" i="26"/>
  <c r="F140" i="26" s="1"/>
  <c r="B140" i="26"/>
  <c r="D61" i="81"/>
  <c r="E61" i="81" s="1"/>
  <c r="G58" i="97"/>
  <c r="I58" i="97" s="1"/>
  <c r="E59" i="97"/>
  <c r="D59" i="97"/>
  <c r="I59" i="84"/>
  <c r="H67" i="74"/>
  <c r="I67" i="74" s="1"/>
  <c r="I69" i="23"/>
  <c r="F58" i="95"/>
  <c r="B58" i="95"/>
  <c r="H58" i="95"/>
  <c r="I67" i="42"/>
  <c r="B62" i="65"/>
  <c r="G62" i="66"/>
  <c r="I62" i="66" s="1"/>
  <c r="J145" i="42"/>
  <c r="I61" i="79"/>
  <c r="J139" i="33"/>
  <c r="E69" i="24"/>
  <c r="F69" i="24" s="1"/>
  <c r="B62" i="67"/>
  <c r="H62" i="67"/>
  <c r="I62" i="67" s="1"/>
  <c r="G62" i="67"/>
  <c r="E68" i="74"/>
  <c r="F68" i="74" s="1"/>
  <c r="B68" i="74"/>
  <c r="H64" i="58"/>
  <c r="I64" i="58" s="1"/>
  <c r="B66" i="72"/>
  <c r="F66" i="72"/>
  <c r="G66" i="72" s="1"/>
  <c r="B66" i="56"/>
  <c r="G66" i="56"/>
  <c r="H66" i="56"/>
  <c r="E62" i="65"/>
  <c r="F62" i="65" s="1"/>
  <c r="E65" i="45"/>
  <c r="F65" i="45" s="1"/>
  <c r="B65" i="45"/>
  <c r="D141" i="33"/>
  <c r="G140" i="33"/>
  <c r="I61" i="77"/>
  <c r="G145" i="43"/>
  <c r="D146" i="43"/>
  <c r="I60" i="84"/>
  <c r="F58" i="99"/>
  <c r="H58" i="99" s="1"/>
  <c r="B58" i="99"/>
  <c r="I60" i="81"/>
  <c r="E64" i="46"/>
  <c r="F64" i="46" s="1"/>
  <c r="B64" i="46"/>
  <c r="E65" i="58"/>
  <c r="F65" i="58"/>
  <c r="G65" i="58" s="1"/>
  <c r="B65" i="58"/>
  <c r="G71" i="28"/>
  <c r="I71" i="28" s="1"/>
  <c r="D147" i="44"/>
  <c r="B147" i="44" s="1"/>
  <c r="G146" i="44"/>
  <c r="I59" i="82"/>
  <c r="B69" i="69"/>
  <c r="F69" i="69"/>
  <c r="G69" i="69"/>
  <c r="B63" i="63"/>
  <c r="H63" i="63"/>
  <c r="G63" i="63"/>
  <c r="B68" i="42"/>
  <c r="H68" i="42"/>
  <c r="G68" i="42"/>
  <c r="E67" i="41"/>
  <c r="F67" i="41" s="1"/>
  <c r="G67" i="41" s="1"/>
  <c r="B67" i="41"/>
  <c r="E63" i="68"/>
  <c r="F63" i="68" s="1"/>
  <c r="G63" i="68" s="1"/>
  <c r="E63" i="60"/>
  <c r="F63" i="60" s="1"/>
  <c r="G63" i="60" s="1"/>
  <c r="B63" i="60"/>
  <c r="B70" i="23"/>
  <c r="G70" i="23"/>
  <c r="H70" i="23"/>
  <c r="I64" i="45"/>
  <c r="D61" i="91"/>
  <c r="E61" i="91" s="1"/>
  <c r="F61" i="91" s="1"/>
  <c r="H73" i="71"/>
  <c r="D69" i="17"/>
  <c r="H69" i="30"/>
  <c r="G69" i="30"/>
  <c r="D61" i="80"/>
  <c r="E61" i="80" s="1"/>
  <c r="H60" i="80"/>
  <c r="G60" i="80"/>
  <c r="D65" i="61"/>
  <c r="H64" i="61"/>
  <c r="G64" i="61"/>
  <c r="I64" i="54"/>
  <c r="G59" i="90"/>
  <c r="H59" i="89"/>
  <c r="I59" i="89" s="1"/>
  <c r="H59" i="87"/>
  <c r="I59" i="87" s="1"/>
  <c r="B67" i="43"/>
  <c r="F67" i="43"/>
  <c r="H67" i="43" s="1"/>
  <c r="H60" i="86"/>
  <c r="I60" i="86" s="1"/>
  <c r="G72" i="71"/>
  <c r="G73" i="71" s="1"/>
  <c r="I147" i="31"/>
  <c r="H147" i="31"/>
  <c r="B67" i="53"/>
  <c r="B62" i="85"/>
  <c r="F62" i="85"/>
  <c r="D63" i="85" s="1"/>
  <c r="B60" i="91"/>
  <c r="G60" i="91"/>
  <c r="H60" i="91"/>
  <c r="G65" i="59"/>
  <c r="I65" i="59" s="1"/>
  <c r="D66" i="59"/>
  <c r="E71" i="3"/>
  <c r="F71" i="3" s="1"/>
  <c r="H71" i="3" s="1"/>
  <c r="B71" i="3"/>
  <c r="F148" i="31"/>
  <c r="B148" i="31"/>
  <c r="I61" i="85"/>
  <c r="B68" i="17"/>
  <c r="G68" i="17"/>
  <c r="H68" i="17"/>
  <c r="G64" i="26"/>
  <c r="I64" i="26" s="1"/>
  <c r="D65" i="26"/>
  <c r="E65" i="26" s="1"/>
  <c r="G72" i="27"/>
  <c r="G73" i="27" s="1"/>
  <c r="H72" i="27"/>
  <c r="I64" i="55"/>
  <c r="B71" i="34"/>
  <c r="F71" i="34"/>
  <c r="H71" i="34" s="1"/>
  <c r="H60" i="88"/>
  <c r="I60" i="88" s="1"/>
  <c r="G69" i="29"/>
  <c r="I69" i="29" s="1"/>
  <c r="H72" i="70"/>
  <c r="G72" i="70"/>
  <c r="G73" i="70" s="1"/>
  <c r="G64" i="64"/>
  <c r="I64" i="64" s="1"/>
  <c r="D65" i="64"/>
  <c r="E65" i="64" s="1"/>
  <c r="I72" i="31"/>
  <c r="I73" i="31" s="1"/>
  <c r="H73" i="31"/>
  <c r="D61" i="86"/>
  <c r="E61" i="86" s="1"/>
  <c r="I66" i="53"/>
  <c r="B65" i="55"/>
  <c r="F65" i="55"/>
  <c r="H65" i="55" s="1"/>
  <c r="E67" i="53"/>
  <c r="F67" i="53" s="1"/>
  <c r="B69" i="73"/>
  <c r="F69" i="73"/>
  <c r="I70" i="34"/>
  <c r="H150" i="17"/>
  <c r="I150" i="17"/>
  <c r="J150" i="17" s="1"/>
  <c r="E152" i="70"/>
  <c r="B152" i="70"/>
  <c r="F152" i="70"/>
  <c r="H151" i="70"/>
  <c r="I151" i="70"/>
  <c r="H143" i="60"/>
  <c r="I143" i="60"/>
  <c r="J143" i="60" s="1"/>
  <c r="E144" i="60"/>
  <c r="F144" i="60"/>
  <c r="B144" i="60"/>
  <c r="J146" i="19"/>
  <c r="J143" i="67"/>
  <c r="J141" i="78"/>
  <c r="E151" i="17"/>
  <c r="F151" i="17"/>
  <c r="B151" i="17"/>
  <c r="D70" i="19"/>
  <c r="E70" i="19" s="1"/>
  <c r="G69" i="19"/>
  <c r="H69" i="19"/>
  <c r="D68" i="18"/>
  <c r="H67" i="18"/>
  <c r="G67" i="18"/>
  <c r="B140" i="83"/>
  <c r="F140" i="83"/>
  <c r="F139" i="88"/>
  <c r="B139" i="88"/>
  <c r="H139" i="80"/>
  <c r="I139" i="80"/>
  <c r="B146" i="55"/>
  <c r="F146" i="55"/>
  <c r="B142" i="82"/>
  <c r="B139" i="92"/>
  <c r="F139" i="92"/>
  <c r="D68" i="21"/>
  <c r="E68" i="21" s="1"/>
  <c r="H146" i="22"/>
  <c r="I146" i="22"/>
  <c r="J148" i="23"/>
  <c r="D148" i="34"/>
  <c r="G147" i="34"/>
  <c r="H138" i="88"/>
  <c r="I138" i="88"/>
  <c r="F140" i="80"/>
  <c r="B140" i="80"/>
  <c r="F139" i="86"/>
  <c r="B139" i="86"/>
  <c r="B150" i="20"/>
  <c r="F150" i="20"/>
  <c r="H143" i="54"/>
  <c r="I143" i="54"/>
  <c r="E59" i="96"/>
  <c r="D59" i="96"/>
  <c r="I59" i="90"/>
  <c r="H145" i="55"/>
  <c r="I145" i="55"/>
  <c r="J145" i="55" s="1"/>
  <c r="F139" i="91"/>
  <c r="B139" i="91"/>
  <c r="F146" i="41"/>
  <c r="B146" i="41"/>
  <c r="F143" i="59"/>
  <c r="B143" i="59"/>
  <c r="D144" i="63"/>
  <c r="E144" i="63"/>
  <c r="G143" i="63"/>
  <c r="H143" i="46"/>
  <c r="I143" i="46"/>
  <c r="B147" i="18"/>
  <c r="F147" i="18"/>
  <c r="I138" i="84"/>
  <c r="H138" i="84"/>
  <c r="D62" i="75"/>
  <c r="E62" i="75" s="1"/>
  <c r="D59" i="100"/>
  <c r="E59" i="100"/>
  <c r="I138" i="86"/>
  <c r="H138" i="86"/>
  <c r="H138" i="91"/>
  <c r="I138" i="91"/>
  <c r="I145" i="41"/>
  <c r="H145" i="41"/>
  <c r="B144" i="46"/>
  <c r="I139" i="100"/>
  <c r="H139" i="100"/>
  <c r="D152" i="29"/>
  <c r="G151" i="29"/>
  <c r="F147" i="22"/>
  <c r="B147" i="22"/>
  <c r="D143" i="78"/>
  <c r="E143" i="78" s="1"/>
  <c r="G142" i="78"/>
  <c r="B146" i="74"/>
  <c r="F146" i="74"/>
  <c r="B141" i="79"/>
  <c r="F141" i="79"/>
  <c r="D67" i="39"/>
  <c r="E67" i="39" s="1"/>
  <c r="B149" i="27"/>
  <c r="F149" i="27"/>
  <c r="D68" i="22"/>
  <c r="I149" i="20"/>
  <c r="J149" i="20" s="1"/>
  <c r="H149" i="20"/>
  <c r="B144" i="54"/>
  <c r="F144" i="54"/>
  <c r="D60" i="90"/>
  <c r="E60" i="90" s="1"/>
  <c r="D63" i="13"/>
  <c r="E63" i="13" s="1"/>
  <c r="F142" i="85"/>
  <c r="B142" i="85"/>
  <c r="H143" i="72"/>
  <c r="I143" i="72"/>
  <c r="E146" i="55"/>
  <c r="H142" i="59"/>
  <c r="I142" i="59"/>
  <c r="H140" i="77"/>
  <c r="I140" i="77"/>
  <c r="H142" i="75"/>
  <c r="I142" i="75"/>
  <c r="B148" i="71"/>
  <c r="F148" i="71"/>
  <c r="H146" i="18"/>
  <c r="I146" i="18"/>
  <c r="I141" i="85"/>
  <c r="H141" i="85"/>
  <c r="I145" i="74"/>
  <c r="J145" i="74" s="1"/>
  <c r="H145" i="74"/>
  <c r="I138" i="90"/>
  <c r="H138" i="90"/>
  <c r="H140" i="79"/>
  <c r="I140" i="79"/>
  <c r="J140" i="79" s="1"/>
  <c r="B145" i="62"/>
  <c r="F145" i="62"/>
  <c r="F144" i="58"/>
  <c r="B144" i="58"/>
  <c r="H148" i="27"/>
  <c r="I148" i="27"/>
  <c r="I67" i="22"/>
  <c r="B59" i="25"/>
  <c r="F59" i="25"/>
  <c r="H59" i="25" s="1"/>
  <c r="J142" i="63"/>
  <c r="F144" i="72"/>
  <c r="B144" i="72"/>
  <c r="D60" i="87"/>
  <c r="E60" i="87" s="1"/>
  <c r="F150" i="28"/>
  <c r="B150" i="28"/>
  <c r="B149" i="30"/>
  <c r="F149" i="30"/>
  <c r="E143" i="66"/>
  <c r="G142" i="66"/>
  <c r="D143" i="66"/>
  <c r="F141" i="77"/>
  <c r="B141" i="77"/>
  <c r="H147" i="71"/>
  <c r="I147" i="71"/>
  <c r="F142" i="68"/>
  <c r="B142" i="68"/>
  <c r="I143" i="57"/>
  <c r="H143" i="57"/>
  <c r="I139" i="99"/>
  <c r="H139" i="99"/>
  <c r="D64" i="62"/>
  <c r="E64" i="62" s="1"/>
  <c r="F145" i="45"/>
  <c r="B145" i="45"/>
  <c r="H143" i="58"/>
  <c r="I143" i="58"/>
  <c r="H139" i="81"/>
  <c r="I139" i="81"/>
  <c r="H149" i="28"/>
  <c r="I149" i="28"/>
  <c r="J149" i="28" s="1"/>
  <c r="H148" i="30"/>
  <c r="I148" i="30"/>
  <c r="J148" i="30" s="1"/>
  <c r="B143" i="75"/>
  <c r="F143" i="75"/>
  <c r="H141" i="68"/>
  <c r="I141" i="68"/>
  <c r="J141" i="68" s="1"/>
  <c r="H145" i="73"/>
  <c r="I145" i="73"/>
  <c r="J145" i="73" s="1"/>
  <c r="B144" i="53"/>
  <c r="F144" i="53"/>
  <c r="B144" i="57"/>
  <c r="F144" i="57"/>
  <c r="I146" i="21"/>
  <c r="H146" i="21"/>
  <c r="B139" i="98"/>
  <c r="F139" i="98"/>
  <c r="B139" i="90"/>
  <c r="F139" i="90"/>
  <c r="I144" i="62"/>
  <c r="J144" i="62" s="1"/>
  <c r="H144" i="62"/>
  <c r="I138" i="89"/>
  <c r="H138" i="89"/>
  <c r="B139" i="84"/>
  <c r="F139" i="84"/>
  <c r="B140" i="99"/>
  <c r="F140" i="99"/>
  <c r="D61" i="88"/>
  <c r="E61" i="88" s="1"/>
  <c r="H138" i="98"/>
  <c r="I138" i="98"/>
  <c r="H143" i="56"/>
  <c r="I143" i="56"/>
  <c r="H63" i="62"/>
  <c r="B143" i="61"/>
  <c r="F143" i="61"/>
  <c r="B139" i="89"/>
  <c r="F139" i="89"/>
  <c r="I144" i="45"/>
  <c r="H144" i="45"/>
  <c r="G58" i="100"/>
  <c r="D65" i="54"/>
  <c r="E65" i="54" s="1"/>
  <c r="D62" i="78"/>
  <c r="D70" i="29"/>
  <c r="E70" i="29" s="1"/>
  <c r="F140" i="81"/>
  <c r="B140" i="81"/>
  <c r="H142" i="64"/>
  <c r="I142" i="64"/>
  <c r="H147" i="24"/>
  <c r="I147" i="24"/>
  <c r="B146" i="39"/>
  <c r="F146" i="39"/>
  <c r="F146" i="73"/>
  <c r="B146" i="73"/>
  <c r="H143" i="53"/>
  <c r="I143" i="53"/>
  <c r="F147" i="21"/>
  <c r="B147" i="21"/>
  <c r="B144" i="56"/>
  <c r="F144" i="56"/>
  <c r="B149" i="69"/>
  <c r="F149" i="69"/>
  <c r="H142" i="61"/>
  <c r="I142" i="61"/>
  <c r="J142" i="61" s="1"/>
  <c r="H138" i="96"/>
  <c r="I138" i="96"/>
  <c r="F143" i="64"/>
  <c r="B143" i="64"/>
  <c r="D69" i="32"/>
  <c r="H141" i="65"/>
  <c r="I141" i="65"/>
  <c r="F148" i="24"/>
  <c r="B148" i="24"/>
  <c r="D142" i="13"/>
  <c r="E142" i="13" s="1"/>
  <c r="G141" i="13"/>
  <c r="H141" i="82"/>
  <c r="I141" i="82"/>
  <c r="H145" i="39"/>
  <c r="I145" i="39"/>
  <c r="F141" i="76"/>
  <c r="B141" i="76"/>
  <c r="I147" i="32"/>
  <c r="H147" i="32"/>
  <c r="F147" i="3"/>
  <c r="B147" i="3"/>
  <c r="G149" i="23"/>
  <c r="D150" i="23"/>
  <c r="E150" i="23" s="1"/>
  <c r="D148" i="19"/>
  <c r="E148" i="19" s="1"/>
  <c r="G147" i="19"/>
  <c r="I139" i="83"/>
  <c r="H139" i="83"/>
  <c r="D145" i="67"/>
  <c r="E145" i="67"/>
  <c r="G144" i="67"/>
  <c r="G63" i="62"/>
  <c r="G61" i="75"/>
  <c r="I61" i="75" s="1"/>
  <c r="H148" i="69"/>
  <c r="I148" i="69"/>
  <c r="I66" i="39"/>
  <c r="D70" i="30"/>
  <c r="E70" i="30" s="1"/>
  <c r="H58" i="100"/>
  <c r="I61" i="78"/>
  <c r="B139" i="96"/>
  <c r="F139" i="96"/>
  <c r="I58" i="96"/>
  <c r="J146" i="34"/>
  <c r="H68" i="32"/>
  <c r="I68" i="32" s="1"/>
  <c r="F142" i="65"/>
  <c r="B142" i="65"/>
  <c r="D60" i="89"/>
  <c r="E142" i="82"/>
  <c r="F142" i="82" s="1"/>
  <c r="E144" i="46"/>
  <c r="F144" i="46" s="1"/>
  <c r="H140" i="76"/>
  <c r="I140" i="76"/>
  <c r="I138" i="92"/>
  <c r="H138" i="92"/>
  <c r="B148" i="32"/>
  <c r="F148" i="32"/>
  <c r="B140" i="100"/>
  <c r="F140" i="100"/>
  <c r="H146" i="3"/>
  <c r="I146" i="3"/>
  <c r="G141" i="25" l="1"/>
  <c r="D142" i="25"/>
  <c r="I67" i="18"/>
  <c r="I66" i="56"/>
  <c r="D140" i="87"/>
  <c r="G139" i="87"/>
  <c r="E140" i="87"/>
  <c r="I58" i="100"/>
  <c r="G59" i="25"/>
  <c r="I63" i="63"/>
  <c r="H69" i="20"/>
  <c r="B69" i="20"/>
  <c r="F69" i="20"/>
  <c r="G69" i="20"/>
  <c r="E63" i="33"/>
  <c r="F63" i="33"/>
  <c r="B63" i="33"/>
  <c r="G71" i="34"/>
  <c r="H62" i="85"/>
  <c r="I70" i="23"/>
  <c r="J139" i="26"/>
  <c r="J140" i="25"/>
  <c r="D141" i="95"/>
  <c r="G140" i="95"/>
  <c r="I62" i="33"/>
  <c r="G64" i="46"/>
  <c r="D65" i="46"/>
  <c r="H64" i="46"/>
  <c r="H65" i="45"/>
  <c r="D66" i="45"/>
  <c r="G65" i="45"/>
  <c r="G62" i="65"/>
  <c r="D63" i="65"/>
  <c r="B63" i="65" s="1"/>
  <c r="H62" i="65"/>
  <c r="H68" i="74"/>
  <c r="I68" i="74" s="1"/>
  <c r="D69" i="74"/>
  <c r="E69" i="74"/>
  <c r="F69" i="74" s="1"/>
  <c r="G68" i="74"/>
  <c r="D70" i="24"/>
  <c r="H69" i="24"/>
  <c r="G69" i="24"/>
  <c r="D63" i="77"/>
  <c r="E63" i="77"/>
  <c r="D65" i="63"/>
  <c r="D70" i="42"/>
  <c r="G69" i="42"/>
  <c r="H69" i="42"/>
  <c r="I69" i="42" s="1"/>
  <c r="D64" i="76"/>
  <c r="E64" i="76"/>
  <c r="F64" i="76" s="1"/>
  <c r="I68" i="17"/>
  <c r="I69" i="30"/>
  <c r="H67" i="41"/>
  <c r="D68" i="41"/>
  <c r="E68" i="41" s="1"/>
  <c r="F68" i="41" s="1"/>
  <c r="I68" i="42"/>
  <c r="G58" i="99"/>
  <c r="E59" i="99"/>
  <c r="D59" i="99"/>
  <c r="H145" i="43"/>
  <c r="I145" i="43"/>
  <c r="I139" i="97"/>
  <c r="H139" i="97"/>
  <c r="B72" i="28"/>
  <c r="G60" i="83"/>
  <c r="D61" i="83"/>
  <c r="E61" i="83" s="1"/>
  <c r="F61" i="83" s="1"/>
  <c r="D61" i="92"/>
  <c r="E61" i="92" s="1"/>
  <c r="D68" i="56"/>
  <c r="E68" i="56" s="1"/>
  <c r="F68" i="56" s="1"/>
  <c r="I62" i="76"/>
  <c r="I69" i="19"/>
  <c r="E147" i="44"/>
  <c r="F147" i="44" s="1"/>
  <c r="I58" i="99"/>
  <c r="H66" i="72"/>
  <c r="I66" i="72" s="1"/>
  <c r="D67" i="72"/>
  <c r="E67" i="72" s="1"/>
  <c r="F67" i="72" s="1"/>
  <c r="D141" i="26"/>
  <c r="E141" i="26" s="1"/>
  <c r="G140" i="26"/>
  <c r="H146" i="42"/>
  <c r="I146" i="42"/>
  <c r="B61" i="82"/>
  <c r="F61" i="82"/>
  <c r="H61" i="82"/>
  <c r="D66" i="57"/>
  <c r="E66" i="57"/>
  <c r="B62" i="77"/>
  <c r="H62" i="77"/>
  <c r="G62" i="77"/>
  <c r="B64" i="63"/>
  <c r="G64" i="63"/>
  <c r="H64" i="63"/>
  <c r="I64" i="63" s="1"/>
  <c r="B63" i="67"/>
  <c r="F63" i="67"/>
  <c r="I71" i="34"/>
  <c r="G62" i="85"/>
  <c r="H63" i="68"/>
  <c r="I63" i="68" s="1"/>
  <c r="D64" i="68"/>
  <c r="E64" i="68" s="1"/>
  <c r="F64" i="68" s="1"/>
  <c r="H69" i="69"/>
  <c r="I69" i="69" s="1"/>
  <c r="D70" i="69"/>
  <c r="E70" i="69" s="1"/>
  <c r="H146" i="44"/>
  <c r="I146" i="44"/>
  <c r="H140" i="33"/>
  <c r="I140" i="33"/>
  <c r="F140" i="97"/>
  <c r="B140" i="97"/>
  <c r="B59" i="98"/>
  <c r="F59" i="98"/>
  <c r="H59" i="98" s="1"/>
  <c r="G59" i="98"/>
  <c r="F63" i="66"/>
  <c r="H63" i="66" s="1"/>
  <c r="B63" i="66"/>
  <c r="G63" i="66"/>
  <c r="D69" i="44"/>
  <c r="H65" i="57"/>
  <c r="G60" i="92"/>
  <c r="G67" i="56"/>
  <c r="H63" i="60"/>
  <c r="I63" i="60" s="1"/>
  <c r="D64" i="60"/>
  <c r="E64" i="60"/>
  <c r="I67" i="41"/>
  <c r="H65" i="58"/>
  <c r="I65" i="58" s="1"/>
  <c r="D66" i="58"/>
  <c r="E66" i="58"/>
  <c r="F66" i="58" s="1"/>
  <c r="E146" i="43"/>
  <c r="F146" i="43"/>
  <c r="B146" i="43"/>
  <c r="E141" i="33"/>
  <c r="F141" i="33" s="1"/>
  <c r="B141" i="33"/>
  <c r="G58" i="95"/>
  <c r="I58" i="95" s="1"/>
  <c r="E59" i="95"/>
  <c r="D59" i="95"/>
  <c r="F59" i="97"/>
  <c r="H59" i="97" s="1"/>
  <c r="B59" i="97"/>
  <c r="B61" i="81"/>
  <c r="F61" i="81"/>
  <c r="G61" i="81" s="1"/>
  <c r="H61" i="81"/>
  <c r="B61" i="84"/>
  <c r="F61" i="84"/>
  <c r="G61" i="84" s="1"/>
  <c r="E72" i="28"/>
  <c r="E73" i="28" s="1"/>
  <c r="J145" i="44"/>
  <c r="I68" i="44"/>
  <c r="E147" i="42"/>
  <c r="F147" i="42" s="1"/>
  <c r="G65" i="57"/>
  <c r="B62" i="79"/>
  <c r="F62" i="79"/>
  <c r="H62" i="79" s="1"/>
  <c r="H60" i="83"/>
  <c r="I60" i="83" s="1"/>
  <c r="H60" i="92"/>
  <c r="I60" i="92" s="1"/>
  <c r="H67" i="56"/>
  <c r="I67" i="56" s="1"/>
  <c r="F71" i="23"/>
  <c r="G71" i="23" s="1"/>
  <c r="B71" i="23"/>
  <c r="B63" i="76"/>
  <c r="G63" i="76"/>
  <c r="H63" i="76"/>
  <c r="H67" i="53"/>
  <c r="D68" i="53"/>
  <c r="E68" i="53" s="1"/>
  <c r="F68" i="53" s="1"/>
  <c r="G67" i="53"/>
  <c r="I72" i="27"/>
  <c r="I73" i="27" s="1"/>
  <c r="H73" i="27"/>
  <c r="G148" i="31"/>
  <c r="D149" i="31"/>
  <c r="J147" i="31"/>
  <c r="D68" i="43"/>
  <c r="E68" i="43" s="1"/>
  <c r="B69" i="17"/>
  <c r="J145" i="41"/>
  <c r="B65" i="64"/>
  <c r="F65" i="64"/>
  <c r="G65" i="64" s="1"/>
  <c r="I72" i="70"/>
  <c r="I73" i="70" s="1"/>
  <c r="H73" i="70"/>
  <c r="B65" i="26"/>
  <c r="F65" i="26"/>
  <c r="G65" i="26" s="1"/>
  <c r="I60" i="91"/>
  <c r="E63" i="85"/>
  <c r="F63" i="85" s="1"/>
  <c r="B63" i="85"/>
  <c r="G67" i="43"/>
  <c r="I67" i="43" s="1"/>
  <c r="I64" i="61"/>
  <c r="I60" i="80"/>
  <c r="I59" i="25"/>
  <c r="H69" i="73"/>
  <c r="D70" i="73"/>
  <c r="E70" i="73" s="1"/>
  <c r="G65" i="55"/>
  <c r="I65" i="55" s="1"/>
  <c r="D66" i="55"/>
  <c r="B61" i="86"/>
  <c r="F61" i="86"/>
  <c r="H61" i="86" s="1"/>
  <c r="G61" i="86"/>
  <c r="G71" i="3"/>
  <c r="I71" i="3" s="1"/>
  <c r="D72" i="3"/>
  <c r="B65" i="61"/>
  <c r="F61" i="80"/>
  <c r="H61" i="80" s="1"/>
  <c r="B61" i="80"/>
  <c r="I72" i="71"/>
  <c r="I73" i="71" s="1"/>
  <c r="D62" i="91"/>
  <c r="E62" i="91" s="1"/>
  <c r="G69" i="73"/>
  <c r="D72" i="34"/>
  <c r="E72" i="34" s="1"/>
  <c r="E73" i="34" s="1"/>
  <c r="E66" i="59"/>
  <c r="F66" i="59" s="1"/>
  <c r="B66" i="59"/>
  <c r="E65" i="61"/>
  <c r="F65" i="61" s="1"/>
  <c r="E69" i="17"/>
  <c r="F69" i="17" s="1"/>
  <c r="B61" i="91"/>
  <c r="G61" i="91"/>
  <c r="H61" i="91"/>
  <c r="G144" i="60"/>
  <c r="D145" i="60"/>
  <c r="D153" i="70"/>
  <c r="B153" i="70" s="1"/>
  <c r="G152" i="70"/>
  <c r="E153" i="70"/>
  <c r="F153" i="70" s="1"/>
  <c r="J148" i="27"/>
  <c r="J143" i="46"/>
  <c r="D152" i="17"/>
  <c r="G151" i="17"/>
  <c r="J141" i="65"/>
  <c r="J143" i="72"/>
  <c r="J151" i="70"/>
  <c r="G144" i="46"/>
  <c r="D145" i="46"/>
  <c r="E145" i="46" s="1"/>
  <c r="D143" i="82"/>
  <c r="E143" i="82" s="1"/>
  <c r="G142" i="82"/>
  <c r="B62" i="78"/>
  <c r="D151" i="28"/>
  <c r="E151" i="28" s="1"/>
  <c r="G150" i="28"/>
  <c r="B152" i="29"/>
  <c r="B148" i="34"/>
  <c r="B68" i="18"/>
  <c r="G148" i="32"/>
  <c r="D149" i="32"/>
  <c r="E149" i="32" s="1"/>
  <c r="G142" i="65"/>
  <c r="D143" i="65"/>
  <c r="E143" i="65" s="1"/>
  <c r="F145" i="67"/>
  <c r="B145" i="67"/>
  <c r="G141" i="76"/>
  <c r="D142" i="76"/>
  <c r="E142" i="76"/>
  <c r="F61" i="88"/>
  <c r="G61" i="88" s="1"/>
  <c r="B61" i="88"/>
  <c r="J146" i="21"/>
  <c r="J143" i="57"/>
  <c r="B143" i="66"/>
  <c r="F143" i="66"/>
  <c r="B60" i="87"/>
  <c r="F60" i="87"/>
  <c r="H60" i="87" s="1"/>
  <c r="D149" i="71"/>
  <c r="E149" i="71" s="1"/>
  <c r="G148" i="71"/>
  <c r="H142" i="78"/>
  <c r="I142" i="78"/>
  <c r="D147" i="41"/>
  <c r="G146" i="41"/>
  <c r="F59" i="96"/>
  <c r="G59" i="96" s="1"/>
  <c r="B59" i="96"/>
  <c r="G139" i="88"/>
  <c r="D140" i="88"/>
  <c r="E140" i="88"/>
  <c r="I141" i="13"/>
  <c r="H141" i="13"/>
  <c r="D148" i="21"/>
  <c r="E148" i="21" s="1"/>
  <c r="G147" i="21"/>
  <c r="G140" i="81"/>
  <c r="D141" i="81"/>
  <c r="E141" i="81" s="1"/>
  <c r="D144" i="61"/>
  <c r="G143" i="61"/>
  <c r="D146" i="45"/>
  <c r="E146" i="45" s="1"/>
  <c r="G145" i="45"/>
  <c r="G141" i="77"/>
  <c r="D142" i="77"/>
  <c r="E142" i="77"/>
  <c r="G144" i="54"/>
  <c r="D145" i="54"/>
  <c r="E145" i="54" s="1"/>
  <c r="G149" i="27"/>
  <c r="D150" i="27"/>
  <c r="E150" i="27" s="1"/>
  <c r="G146" i="74"/>
  <c r="D147" i="74"/>
  <c r="G139" i="86"/>
  <c r="D140" i="86"/>
  <c r="E140" i="86"/>
  <c r="D140" i="92"/>
  <c r="E140" i="92"/>
  <c r="G139" i="92"/>
  <c r="J148" i="69"/>
  <c r="J145" i="39"/>
  <c r="B142" i="13"/>
  <c r="F142" i="13"/>
  <c r="J143" i="53"/>
  <c r="B70" i="29"/>
  <c r="F70" i="29"/>
  <c r="H70" i="29" s="1"/>
  <c r="B65" i="54"/>
  <c r="G65" i="54"/>
  <c r="F65" i="54"/>
  <c r="H65" i="54" s="1"/>
  <c r="I63" i="62"/>
  <c r="D141" i="99"/>
  <c r="G140" i="99"/>
  <c r="E141" i="99"/>
  <c r="G144" i="57"/>
  <c r="D145" i="57"/>
  <c r="E145" i="57" s="1"/>
  <c r="D144" i="75"/>
  <c r="G143" i="75"/>
  <c r="E144" i="75"/>
  <c r="H142" i="66"/>
  <c r="I142" i="66"/>
  <c r="J146" i="22"/>
  <c r="D141" i="83"/>
  <c r="G140" i="83"/>
  <c r="E141" i="83"/>
  <c r="D149" i="24"/>
  <c r="E149" i="24" s="1"/>
  <c r="G148" i="24"/>
  <c r="J146" i="3"/>
  <c r="I147" i="19"/>
  <c r="J147" i="19" s="1"/>
  <c r="H147" i="19"/>
  <c r="G143" i="64"/>
  <c r="D144" i="64"/>
  <c r="E144" i="64" s="1"/>
  <c r="D150" i="69"/>
  <c r="E150" i="69" s="1"/>
  <c r="G149" i="69"/>
  <c r="J147" i="24"/>
  <c r="J143" i="56"/>
  <c r="D60" i="25"/>
  <c r="E60" i="25" s="1"/>
  <c r="G144" i="58"/>
  <c r="D145" i="58"/>
  <c r="E145" i="58" s="1"/>
  <c r="J142" i="75"/>
  <c r="G142" i="85"/>
  <c r="D143" i="85"/>
  <c r="F143" i="78"/>
  <c r="B143" i="78"/>
  <c r="B62" i="75"/>
  <c r="F62" i="75"/>
  <c r="H62" i="75" s="1"/>
  <c r="D148" i="18"/>
  <c r="G147" i="18"/>
  <c r="H143" i="63"/>
  <c r="I143" i="63"/>
  <c r="G139" i="91"/>
  <c r="D140" i="91"/>
  <c r="E140" i="91"/>
  <c r="J143" i="54"/>
  <c r="D141" i="80"/>
  <c r="G140" i="80"/>
  <c r="E141" i="80"/>
  <c r="B69" i="32"/>
  <c r="D140" i="84"/>
  <c r="G139" i="84"/>
  <c r="E140" i="84"/>
  <c r="G139" i="90"/>
  <c r="D140" i="90"/>
  <c r="E140" i="90"/>
  <c r="D145" i="53"/>
  <c r="E145" i="53" s="1"/>
  <c r="G144" i="53"/>
  <c r="B64" i="62"/>
  <c r="F64" i="62"/>
  <c r="G64" i="62" s="1"/>
  <c r="G142" i="68"/>
  <c r="D143" i="68"/>
  <c r="E143" i="68" s="1"/>
  <c r="D145" i="72"/>
  <c r="E145" i="72" s="1"/>
  <c r="G144" i="72"/>
  <c r="D146" i="62"/>
  <c r="G145" i="62"/>
  <c r="B68" i="22"/>
  <c r="G146" i="55"/>
  <c r="D147" i="55"/>
  <c r="E147" i="55" s="1"/>
  <c r="B70" i="19"/>
  <c r="F70" i="19"/>
  <c r="H70" i="19" s="1"/>
  <c r="F70" i="30"/>
  <c r="B70" i="30"/>
  <c r="F148" i="19"/>
  <c r="B148" i="19"/>
  <c r="J140" i="76"/>
  <c r="G139" i="96"/>
  <c r="D140" i="96"/>
  <c r="E140" i="96"/>
  <c r="D148" i="3"/>
  <c r="E148" i="3" s="1"/>
  <c r="G147" i="3"/>
  <c r="E69" i="32"/>
  <c r="F69" i="32" s="1"/>
  <c r="H69" i="32" s="1"/>
  <c r="D145" i="56"/>
  <c r="E145" i="56" s="1"/>
  <c r="G144" i="56"/>
  <c r="G146" i="73"/>
  <c r="D147" i="73"/>
  <c r="E147" i="73" s="1"/>
  <c r="J142" i="64"/>
  <c r="J144" i="45"/>
  <c r="J143" i="58"/>
  <c r="J147" i="71"/>
  <c r="G149" i="30"/>
  <c r="D150" i="30"/>
  <c r="E150" i="30" s="1"/>
  <c r="J146" i="18"/>
  <c r="J140" i="77"/>
  <c r="F63" i="13"/>
  <c r="G63" i="13" s="1"/>
  <c r="B63" i="13"/>
  <c r="E68" i="22"/>
  <c r="F68" i="22" s="1"/>
  <c r="G68" i="22" s="1"/>
  <c r="F67" i="39"/>
  <c r="G67" i="39" s="1"/>
  <c r="B67" i="39"/>
  <c r="D148" i="22"/>
  <c r="E148" i="22" s="1"/>
  <c r="G147" i="22"/>
  <c r="F144" i="63"/>
  <c r="B144" i="63"/>
  <c r="G150" i="20"/>
  <c r="D151" i="20"/>
  <c r="E151" i="20" s="1"/>
  <c r="F68" i="21"/>
  <c r="G68" i="21" s="1"/>
  <c r="B68" i="21"/>
  <c r="G146" i="39"/>
  <c r="D147" i="39"/>
  <c r="D140" i="89"/>
  <c r="G139" i="89"/>
  <c r="E140" i="89"/>
  <c r="G139" i="98"/>
  <c r="D140" i="98"/>
  <c r="E140" i="98"/>
  <c r="D142" i="79"/>
  <c r="E142" i="79" s="1"/>
  <c r="G141" i="79"/>
  <c r="I151" i="29"/>
  <c r="H151" i="29"/>
  <c r="F59" i="100"/>
  <c r="G59" i="100" s="1"/>
  <c r="B59" i="100"/>
  <c r="E148" i="34"/>
  <c r="F148" i="34" s="1"/>
  <c r="B60" i="89"/>
  <c r="B150" i="23"/>
  <c r="F150" i="23"/>
  <c r="E141" i="100"/>
  <c r="D141" i="100"/>
  <c r="G140" i="100"/>
  <c r="E60" i="89"/>
  <c r="F60" i="89" s="1"/>
  <c r="I144" i="67"/>
  <c r="H144" i="67"/>
  <c r="I149" i="23"/>
  <c r="H149" i="23"/>
  <c r="J147" i="32"/>
  <c r="E62" i="78"/>
  <c r="F62" i="78" s="1"/>
  <c r="J142" i="59"/>
  <c r="B60" i="90"/>
  <c r="F60" i="90"/>
  <c r="G60" i="90" s="1"/>
  <c r="E152" i="29"/>
  <c r="F152" i="29" s="1"/>
  <c r="G143" i="59"/>
  <c r="D144" i="59"/>
  <c r="E144" i="59" s="1"/>
  <c r="I147" i="34"/>
  <c r="H147" i="34"/>
  <c r="E68" i="18"/>
  <c r="F68" i="18" s="1"/>
  <c r="E141" i="95" l="1"/>
  <c r="F141" i="95"/>
  <c r="B141" i="95"/>
  <c r="H63" i="33"/>
  <c r="I63" i="33" s="1"/>
  <c r="D64" i="33"/>
  <c r="E64" i="33"/>
  <c r="H61" i="84"/>
  <c r="I59" i="98"/>
  <c r="J140" i="33"/>
  <c r="J146" i="42"/>
  <c r="I69" i="20"/>
  <c r="I62" i="85"/>
  <c r="I139" i="87"/>
  <c r="H139" i="87"/>
  <c r="E142" i="25"/>
  <c r="F142" i="25"/>
  <c r="B142" i="25"/>
  <c r="H59" i="96"/>
  <c r="I63" i="76"/>
  <c r="J146" i="44"/>
  <c r="J145" i="43"/>
  <c r="I64" i="46"/>
  <c r="I140" i="95"/>
  <c r="H140" i="95"/>
  <c r="G63" i="33"/>
  <c r="D70" i="20"/>
  <c r="E70" i="20"/>
  <c r="F70" i="20" s="1"/>
  <c r="D71" i="20" s="1"/>
  <c r="F140" i="87"/>
  <c r="B140" i="87"/>
  <c r="I141" i="25"/>
  <c r="H141" i="25"/>
  <c r="D142" i="33"/>
  <c r="G141" i="33"/>
  <c r="D62" i="83"/>
  <c r="E62" i="83" s="1"/>
  <c r="D65" i="68"/>
  <c r="E65" i="68" s="1"/>
  <c r="F65" i="68" s="1"/>
  <c r="D69" i="56"/>
  <c r="E69" i="56" s="1"/>
  <c r="I61" i="86"/>
  <c r="B66" i="58"/>
  <c r="H66" i="58"/>
  <c r="G66" i="58"/>
  <c r="B64" i="60"/>
  <c r="F64" i="60"/>
  <c r="D65" i="60" s="1"/>
  <c r="H64" i="60"/>
  <c r="I65" i="57"/>
  <c r="D141" i="97"/>
  <c r="G140" i="97"/>
  <c r="D62" i="82"/>
  <c r="E62" i="82"/>
  <c r="F62" i="82" s="1"/>
  <c r="B64" i="76"/>
  <c r="G64" i="76"/>
  <c r="H64" i="76"/>
  <c r="B63" i="77"/>
  <c r="F63" i="77"/>
  <c r="I62" i="65"/>
  <c r="H67" i="39"/>
  <c r="H63" i="13"/>
  <c r="I63" i="13" s="1"/>
  <c r="G61" i="80"/>
  <c r="D62" i="84"/>
  <c r="E62" i="84"/>
  <c r="F62" i="84" s="1"/>
  <c r="D63" i="84" s="1"/>
  <c r="D62" i="81"/>
  <c r="G59" i="97"/>
  <c r="D60" i="97"/>
  <c r="D147" i="43"/>
  <c r="B147" i="43" s="1"/>
  <c r="G146" i="43"/>
  <c r="B69" i="44"/>
  <c r="D60" i="98"/>
  <c r="E60" i="98"/>
  <c r="B64" i="68"/>
  <c r="G64" i="68"/>
  <c r="H64" i="68"/>
  <c r="I64" i="68" s="1"/>
  <c r="G63" i="67"/>
  <c r="D64" i="67"/>
  <c r="E64" i="67" s="1"/>
  <c r="F64" i="67" s="1"/>
  <c r="D65" i="67" s="1"/>
  <c r="H63" i="67"/>
  <c r="D68" i="72"/>
  <c r="D148" i="44"/>
  <c r="G147" i="44"/>
  <c r="F61" i="92"/>
  <c r="B61" i="92"/>
  <c r="B59" i="99"/>
  <c r="F59" i="99"/>
  <c r="D69" i="41"/>
  <c r="E69" i="41"/>
  <c r="F69" i="41" s="1"/>
  <c r="B65" i="63"/>
  <c r="D70" i="74"/>
  <c r="I61" i="91"/>
  <c r="I61" i="80"/>
  <c r="H71" i="23"/>
  <c r="D72" i="23"/>
  <c r="D63" i="79"/>
  <c r="E63" i="79" s="1"/>
  <c r="B59" i="95"/>
  <c r="F59" i="95"/>
  <c r="H59" i="95" s="1"/>
  <c r="E69" i="44"/>
  <c r="F69" i="44" s="1"/>
  <c r="D64" i="66"/>
  <c r="E64" i="66"/>
  <c r="F64" i="66" s="1"/>
  <c r="D65" i="66" s="1"/>
  <c r="B70" i="69"/>
  <c r="F70" i="69"/>
  <c r="H70" i="69" s="1"/>
  <c r="I62" i="77"/>
  <c r="F66" i="57"/>
  <c r="H66" i="57" s="1"/>
  <c r="B66" i="57"/>
  <c r="G61" i="82"/>
  <c r="I140" i="26"/>
  <c r="H140" i="26"/>
  <c r="B67" i="72"/>
  <c r="G67" i="72"/>
  <c r="H67" i="72"/>
  <c r="I67" i="72" s="1"/>
  <c r="B68" i="41"/>
  <c r="G68" i="41"/>
  <c r="H68" i="41"/>
  <c r="E65" i="63"/>
  <c r="F65" i="63" s="1"/>
  <c r="I69" i="24"/>
  <c r="G69" i="74"/>
  <c r="H69" i="74"/>
  <c r="I69" i="74" s="1"/>
  <c r="B69" i="74"/>
  <c r="E63" i="65"/>
  <c r="F63" i="65" s="1"/>
  <c r="I65" i="45"/>
  <c r="E65" i="46"/>
  <c r="F65" i="46"/>
  <c r="B65" i="46"/>
  <c r="G62" i="79"/>
  <c r="I62" i="79" s="1"/>
  <c r="G147" i="42"/>
  <c r="D148" i="42"/>
  <c r="I61" i="84"/>
  <c r="I61" i="81"/>
  <c r="I59" i="97"/>
  <c r="D67" i="58"/>
  <c r="E67" i="58" s="1"/>
  <c r="I63" i="66"/>
  <c r="I61" i="82"/>
  <c r="B141" i="26"/>
  <c r="F141" i="26"/>
  <c r="B68" i="56"/>
  <c r="G68" i="56"/>
  <c r="H68" i="56"/>
  <c r="I68" i="56" s="1"/>
  <c r="B61" i="83"/>
  <c r="H61" i="83"/>
  <c r="G61" i="83"/>
  <c r="F72" i="28"/>
  <c r="D65" i="76"/>
  <c r="E65" i="76" s="1"/>
  <c r="E70" i="42"/>
  <c r="F70" i="42"/>
  <c r="B70" i="42"/>
  <c r="E70" i="24"/>
  <c r="F70" i="24" s="1"/>
  <c r="B70" i="24"/>
  <c r="E66" i="45"/>
  <c r="F66" i="45" s="1"/>
  <c r="B66" i="45"/>
  <c r="H69" i="17"/>
  <c r="D70" i="17"/>
  <c r="E70" i="17" s="1"/>
  <c r="F70" i="17" s="1"/>
  <c r="D71" i="17" s="1"/>
  <c r="G69" i="17"/>
  <c r="G65" i="61"/>
  <c r="D66" i="61"/>
  <c r="E66" i="61" s="1"/>
  <c r="F66" i="61" s="1"/>
  <c r="H65" i="61"/>
  <c r="H66" i="59"/>
  <c r="D67" i="59"/>
  <c r="G66" i="59"/>
  <c r="G63" i="85"/>
  <c r="D64" i="85"/>
  <c r="H63" i="85"/>
  <c r="H68" i="22"/>
  <c r="H64" i="62"/>
  <c r="E72" i="3"/>
  <c r="E73" i="3" s="1"/>
  <c r="B72" i="3"/>
  <c r="I148" i="31"/>
  <c r="H148" i="31"/>
  <c r="B71" i="20"/>
  <c r="G70" i="19"/>
  <c r="I70" i="19" s="1"/>
  <c r="B72" i="34"/>
  <c r="F72" i="34"/>
  <c r="H72" i="34" s="1"/>
  <c r="G72" i="34"/>
  <c r="G73" i="34" s="1"/>
  <c r="H65" i="26"/>
  <c r="I65" i="26" s="1"/>
  <c r="D66" i="26"/>
  <c r="E66" i="26" s="1"/>
  <c r="F68" i="43"/>
  <c r="G68" i="43" s="1"/>
  <c r="B68" i="43"/>
  <c r="D69" i="53"/>
  <c r="E69" i="53" s="1"/>
  <c r="B70" i="73"/>
  <c r="F70" i="73"/>
  <c r="H70" i="73" s="1"/>
  <c r="B149" i="31"/>
  <c r="B68" i="53"/>
  <c r="H68" i="53"/>
  <c r="G68" i="53"/>
  <c r="I67" i="39"/>
  <c r="I65" i="54"/>
  <c r="B62" i="91"/>
  <c r="F62" i="91"/>
  <c r="G62" i="91" s="1"/>
  <c r="D62" i="80"/>
  <c r="D62" i="86"/>
  <c r="E62" i="86" s="1"/>
  <c r="F62" i="86" s="1"/>
  <c r="D63" i="86" s="1"/>
  <c r="E66" i="55"/>
  <c r="F66" i="55" s="1"/>
  <c r="B66" i="55"/>
  <c r="I69" i="73"/>
  <c r="H65" i="64"/>
  <c r="D66" i="64"/>
  <c r="E149" i="31"/>
  <c r="F149" i="31" s="1"/>
  <c r="I67" i="53"/>
  <c r="J147" i="34"/>
  <c r="D154" i="70"/>
  <c r="G153" i="70"/>
  <c r="E154" i="70"/>
  <c r="E155" i="70" s="1"/>
  <c r="I152" i="70"/>
  <c r="H152" i="70"/>
  <c r="J144" i="67"/>
  <c r="H151" i="17"/>
  <c r="I151" i="17"/>
  <c r="J151" i="17" s="1"/>
  <c r="J151" i="29"/>
  <c r="E152" i="17"/>
  <c r="F152" i="17"/>
  <c r="B152" i="17"/>
  <c r="E145" i="60"/>
  <c r="B145" i="60"/>
  <c r="F145" i="60"/>
  <c r="I144" i="60"/>
  <c r="J144" i="60" s="1"/>
  <c r="H144" i="60"/>
  <c r="D63" i="78"/>
  <c r="E63" i="78" s="1"/>
  <c r="G62" i="78"/>
  <c r="H62" i="78"/>
  <c r="D61" i="89"/>
  <c r="H60" i="89"/>
  <c r="G60" i="89"/>
  <c r="D149" i="34"/>
  <c r="G148" i="34"/>
  <c r="E149" i="34"/>
  <c r="D69" i="18"/>
  <c r="E69" i="18" s="1"/>
  <c r="H68" i="18"/>
  <c r="G68" i="18"/>
  <c r="B146" i="62"/>
  <c r="B148" i="18"/>
  <c r="I143" i="64"/>
  <c r="H143" i="64"/>
  <c r="B144" i="61"/>
  <c r="B147" i="41"/>
  <c r="H148" i="32"/>
  <c r="I148" i="32"/>
  <c r="J148" i="32" s="1"/>
  <c r="F144" i="59"/>
  <c r="B144" i="59"/>
  <c r="J149" i="23"/>
  <c r="H139" i="98"/>
  <c r="I139" i="98"/>
  <c r="I146" i="39"/>
  <c r="H146" i="39"/>
  <c r="H68" i="21"/>
  <c r="I68" i="21" s="1"/>
  <c r="D68" i="39"/>
  <c r="E68" i="39" s="1"/>
  <c r="F147" i="73"/>
  <c r="B147" i="73"/>
  <c r="B148" i="3"/>
  <c r="F148" i="3"/>
  <c r="G62" i="75"/>
  <c r="I62" i="75" s="1"/>
  <c r="H142" i="85"/>
  <c r="I142" i="85"/>
  <c r="B144" i="75"/>
  <c r="F144" i="75"/>
  <c r="D66" i="54"/>
  <c r="E66" i="54" s="1"/>
  <c r="I139" i="92"/>
  <c r="H139" i="92"/>
  <c r="H146" i="74"/>
  <c r="I146" i="74"/>
  <c r="J146" i="74" s="1"/>
  <c r="F142" i="77"/>
  <c r="B142" i="77"/>
  <c r="G60" i="87"/>
  <c r="I60" i="87" s="1"/>
  <c r="D62" i="88"/>
  <c r="E62" i="88" s="1"/>
  <c r="D71" i="30"/>
  <c r="E71" i="30" s="1"/>
  <c r="I64" i="62"/>
  <c r="F141" i="83"/>
  <c r="B141" i="83"/>
  <c r="H143" i="75"/>
  <c r="I143" i="75"/>
  <c r="B147" i="74"/>
  <c r="G145" i="67"/>
  <c r="D146" i="67"/>
  <c r="D153" i="29"/>
  <c r="E153" i="29" s="1"/>
  <c r="G152" i="29"/>
  <c r="I143" i="59"/>
  <c r="H143" i="59"/>
  <c r="H147" i="22"/>
  <c r="I147" i="22"/>
  <c r="B150" i="30"/>
  <c r="F150" i="30"/>
  <c r="I146" i="73"/>
  <c r="J146" i="73" s="1"/>
  <c r="H146" i="73"/>
  <c r="D71" i="19"/>
  <c r="E71" i="19" s="1"/>
  <c r="H144" i="72"/>
  <c r="I144" i="72"/>
  <c r="I139" i="84"/>
  <c r="H139" i="84"/>
  <c r="B140" i="91"/>
  <c r="F140" i="91"/>
  <c r="H141" i="77"/>
  <c r="I141" i="77"/>
  <c r="F141" i="81"/>
  <c r="B141" i="81"/>
  <c r="J142" i="78"/>
  <c r="H61" i="88"/>
  <c r="I61" i="88" s="1"/>
  <c r="I150" i="28"/>
  <c r="H150" i="28"/>
  <c r="H142" i="82"/>
  <c r="I142" i="82"/>
  <c r="B143" i="85"/>
  <c r="I139" i="89"/>
  <c r="H139" i="89"/>
  <c r="D69" i="21"/>
  <c r="E69" i="21" s="1"/>
  <c r="B140" i="96"/>
  <c r="F140" i="96"/>
  <c r="D69" i="22"/>
  <c r="E69" i="22" s="1"/>
  <c r="F145" i="72"/>
  <c r="B145" i="72"/>
  <c r="F140" i="84"/>
  <c r="B140" i="84"/>
  <c r="H139" i="91"/>
  <c r="I139" i="91"/>
  <c r="D63" i="75"/>
  <c r="F145" i="57"/>
  <c r="B145" i="57"/>
  <c r="D143" i="13"/>
  <c r="E143" i="13" s="1"/>
  <c r="G142" i="13"/>
  <c r="F140" i="92"/>
  <c r="B140" i="92"/>
  <c r="B150" i="27"/>
  <c r="F150" i="27"/>
  <c r="H140" i="81"/>
  <c r="I140" i="81"/>
  <c r="I59" i="96"/>
  <c r="D61" i="87"/>
  <c r="E61" i="87" s="1"/>
  <c r="F143" i="65"/>
  <c r="B143" i="65"/>
  <c r="F151" i="28"/>
  <c r="B151" i="28"/>
  <c r="B143" i="82"/>
  <c r="F143" i="82"/>
  <c r="B147" i="39"/>
  <c r="E145" i="63"/>
  <c r="G144" i="63"/>
  <c r="D145" i="63"/>
  <c r="I146" i="55"/>
  <c r="J146" i="55" s="1"/>
  <c r="H146" i="55"/>
  <c r="H139" i="90"/>
  <c r="I139" i="90"/>
  <c r="I141" i="79"/>
  <c r="J141" i="79" s="1"/>
  <c r="H141" i="79"/>
  <c r="F148" i="22"/>
  <c r="B148" i="22"/>
  <c r="H149" i="30"/>
  <c r="I149" i="30"/>
  <c r="H140" i="100"/>
  <c r="I140" i="100"/>
  <c r="F142" i="79"/>
  <c r="B142" i="79"/>
  <c r="F140" i="89"/>
  <c r="B140" i="89"/>
  <c r="I144" i="56"/>
  <c r="H144" i="56"/>
  <c r="I139" i="96"/>
  <c r="H139" i="96"/>
  <c r="G148" i="19"/>
  <c r="D149" i="19"/>
  <c r="E149" i="19" s="1"/>
  <c r="H144" i="53"/>
  <c r="I144" i="53"/>
  <c r="G69" i="32"/>
  <c r="I69" i="32" s="1"/>
  <c r="J143" i="63"/>
  <c r="F145" i="58"/>
  <c r="B145" i="58"/>
  <c r="H149" i="69"/>
  <c r="I149" i="69"/>
  <c r="I148" i="24"/>
  <c r="J148" i="24" s="1"/>
  <c r="H148" i="24"/>
  <c r="J142" i="66"/>
  <c r="H144" i="57"/>
  <c r="I144" i="57"/>
  <c r="J144" i="57" s="1"/>
  <c r="H149" i="27"/>
  <c r="I149" i="27"/>
  <c r="J149" i="27" s="1"/>
  <c r="H145" i="45"/>
  <c r="I145" i="45"/>
  <c r="F140" i="88"/>
  <c r="B140" i="88"/>
  <c r="D60" i="96"/>
  <c r="F142" i="76"/>
  <c r="B142" i="76"/>
  <c r="H142" i="65"/>
  <c r="I142" i="65"/>
  <c r="F140" i="98"/>
  <c r="B140" i="98"/>
  <c r="B151" i="20"/>
  <c r="F151" i="20"/>
  <c r="F145" i="56"/>
  <c r="B145" i="56"/>
  <c r="H70" i="30"/>
  <c r="I68" i="22"/>
  <c r="F143" i="68"/>
  <c r="B143" i="68"/>
  <c r="F145" i="53"/>
  <c r="B145" i="53"/>
  <c r="H144" i="58"/>
  <c r="I144" i="58"/>
  <c r="J144" i="58" s="1"/>
  <c r="F150" i="69"/>
  <c r="B150" i="69"/>
  <c r="B149" i="24"/>
  <c r="F149" i="24"/>
  <c r="G70" i="29"/>
  <c r="I70" i="29" s="1"/>
  <c r="B140" i="86"/>
  <c r="F140" i="86"/>
  <c r="B146" i="45"/>
  <c r="F146" i="45"/>
  <c r="H147" i="21"/>
  <c r="I147" i="21"/>
  <c r="I139" i="88"/>
  <c r="H139" i="88"/>
  <c r="H148" i="71"/>
  <c r="I148" i="71"/>
  <c r="D144" i="66"/>
  <c r="E144" i="66" s="1"/>
  <c r="G143" i="66"/>
  <c r="I141" i="76"/>
  <c r="H141" i="76"/>
  <c r="D60" i="100"/>
  <c r="H147" i="3"/>
  <c r="I147" i="3"/>
  <c r="J147" i="3" s="1"/>
  <c r="D61" i="90"/>
  <c r="E61" i="90" s="1"/>
  <c r="F141" i="100"/>
  <c r="B141" i="100"/>
  <c r="H60" i="90"/>
  <c r="I60" i="90" s="1"/>
  <c r="I150" i="20"/>
  <c r="H150" i="20"/>
  <c r="D64" i="13"/>
  <c r="E64" i="13" s="1"/>
  <c r="G70" i="30"/>
  <c r="E146" i="62"/>
  <c r="F146" i="62" s="1"/>
  <c r="H142" i="68"/>
  <c r="I142" i="68"/>
  <c r="H140" i="80"/>
  <c r="I140" i="80"/>
  <c r="E148" i="18"/>
  <c r="F148" i="18" s="1"/>
  <c r="D144" i="78"/>
  <c r="E144" i="78" s="1"/>
  <c r="G143" i="78"/>
  <c r="B60" i="25"/>
  <c r="F60" i="25"/>
  <c r="G60" i="25" s="1"/>
  <c r="H60" i="25"/>
  <c r="H140" i="99"/>
  <c r="I140" i="99"/>
  <c r="I139" i="86"/>
  <c r="H139" i="86"/>
  <c r="F145" i="54"/>
  <c r="B145" i="54"/>
  <c r="E144" i="61"/>
  <c r="F144" i="61" s="1"/>
  <c r="B148" i="21"/>
  <c r="F148" i="21"/>
  <c r="E147" i="41"/>
  <c r="F147" i="41" s="1"/>
  <c r="B149" i="71"/>
  <c r="F149" i="71"/>
  <c r="B145" i="46"/>
  <c r="F145" i="46"/>
  <c r="D151" i="23"/>
  <c r="E151" i="23" s="1"/>
  <c r="G150" i="23"/>
  <c r="H59" i="100"/>
  <c r="I59" i="100" s="1"/>
  <c r="E147" i="39"/>
  <c r="F147" i="39" s="1"/>
  <c r="B147" i="55"/>
  <c r="F147" i="55"/>
  <c r="H145" i="62"/>
  <c r="I145" i="62"/>
  <c r="D65" i="62"/>
  <c r="E65" i="62" s="1"/>
  <c r="F140" i="90"/>
  <c r="B140" i="90"/>
  <c r="D70" i="32"/>
  <c r="F141" i="80"/>
  <c r="B141" i="80"/>
  <c r="H147" i="18"/>
  <c r="I147" i="18"/>
  <c r="E143" i="85"/>
  <c r="F143" i="85" s="1"/>
  <c r="B144" i="64"/>
  <c r="F144" i="64"/>
  <c r="I140" i="83"/>
  <c r="H140" i="83"/>
  <c r="F141" i="99"/>
  <c r="B141" i="99"/>
  <c r="D71" i="29"/>
  <c r="E71" i="29" s="1"/>
  <c r="E147" i="74"/>
  <c r="F147" i="74" s="1"/>
  <c r="H144" i="54"/>
  <c r="I144" i="54"/>
  <c r="H143" i="61"/>
  <c r="I143" i="61"/>
  <c r="H146" i="41"/>
  <c r="I146" i="41"/>
  <c r="B149" i="32"/>
  <c r="F149" i="32"/>
  <c r="H144" i="46"/>
  <c r="I144" i="46"/>
  <c r="D141" i="87" l="1"/>
  <c r="G140" i="87"/>
  <c r="I66" i="58"/>
  <c r="J141" i="25"/>
  <c r="B70" i="20"/>
  <c r="H70" i="20"/>
  <c r="G70" i="20"/>
  <c r="G141" i="95"/>
  <c r="D142" i="95"/>
  <c r="G142" i="25"/>
  <c r="D143" i="25"/>
  <c r="E71" i="20"/>
  <c r="F71" i="20" s="1"/>
  <c r="H71" i="20" s="1"/>
  <c r="I71" i="20" s="1"/>
  <c r="I63" i="67"/>
  <c r="F64" i="33"/>
  <c r="B64" i="33"/>
  <c r="G66" i="45"/>
  <c r="D67" i="45"/>
  <c r="H66" i="45"/>
  <c r="D66" i="63"/>
  <c r="E66" i="63" s="1"/>
  <c r="G65" i="63"/>
  <c r="H65" i="63"/>
  <c r="D66" i="68"/>
  <c r="E66" i="68"/>
  <c r="F66" i="68" s="1"/>
  <c r="D70" i="44"/>
  <c r="H69" i="44"/>
  <c r="G69" i="44"/>
  <c r="E65" i="67"/>
  <c r="F65" i="67" s="1"/>
  <c r="B65" i="67"/>
  <c r="D71" i="24"/>
  <c r="D71" i="42"/>
  <c r="E71" i="42" s="1"/>
  <c r="F71" i="42" s="1"/>
  <c r="H72" i="28"/>
  <c r="G72" i="28"/>
  <c r="G73" i="28" s="1"/>
  <c r="E148" i="42"/>
  <c r="B148" i="42"/>
  <c r="F148" i="42"/>
  <c r="G63" i="65"/>
  <c r="D64" i="65"/>
  <c r="H63" i="65"/>
  <c r="B70" i="74"/>
  <c r="G59" i="99"/>
  <c r="D60" i="99"/>
  <c r="H61" i="92"/>
  <c r="D62" i="92"/>
  <c r="B68" i="72"/>
  <c r="B62" i="81"/>
  <c r="G63" i="77"/>
  <c r="D64" i="77"/>
  <c r="E141" i="97"/>
  <c r="F141" i="97" s="1"/>
  <c r="B141" i="97"/>
  <c r="E65" i="60"/>
  <c r="F65" i="60" s="1"/>
  <c r="B65" i="60"/>
  <c r="H141" i="33"/>
  <c r="I141" i="33"/>
  <c r="G70" i="73"/>
  <c r="G70" i="24"/>
  <c r="H70" i="42"/>
  <c r="I147" i="42"/>
  <c r="H147" i="42"/>
  <c r="G65" i="46"/>
  <c r="D66" i="46"/>
  <c r="E65" i="66"/>
  <c r="F65" i="66" s="1"/>
  <c r="D66" i="66" s="1"/>
  <c r="H65" i="66"/>
  <c r="B65" i="66"/>
  <c r="D60" i="95"/>
  <c r="E60" i="95" s="1"/>
  <c r="F63" i="79"/>
  <c r="D64" i="79" s="1"/>
  <c r="H63" i="79"/>
  <c r="B63" i="79"/>
  <c r="D70" i="41"/>
  <c r="I147" i="44"/>
  <c r="H147" i="44"/>
  <c r="F60" i="98"/>
  <c r="B60" i="98"/>
  <c r="E60" i="97"/>
  <c r="F60" i="97" s="1"/>
  <c r="B60" i="97"/>
  <c r="E63" i="84"/>
  <c r="F63" i="84" s="1"/>
  <c r="B63" i="84"/>
  <c r="D63" i="82"/>
  <c r="B65" i="68"/>
  <c r="G65" i="68"/>
  <c r="H65" i="68"/>
  <c r="E142" i="33"/>
  <c r="F142" i="33" s="1"/>
  <c r="B142" i="33"/>
  <c r="I61" i="83"/>
  <c r="J140" i="26"/>
  <c r="D67" i="57"/>
  <c r="E67" i="57" s="1"/>
  <c r="F67" i="57" s="1"/>
  <c r="D71" i="69"/>
  <c r="B64" i="66"/>
  <c r="G64" i="66"/>
  <c r="H64" i="66"/>
  <c r="I64" i="66" s="1"/>
  <c r="F72" i="23"/>
  <c r="G72" i="23" s="1"/>
  <c r="G73" i="23" s="1"/>
  <c r="B72" i="23"/>
  <c r="B69" i="41"/>
  <c r="G69" i="41"/>
  <c r="H69" i="41"/>
  <c r="G61" i="92"/>
  <c r="E148" i="44"/>
  <c r="F148" i="44" s="1"/>
  <c r="B148" i="44"/>
  <c r="E147" i="43"/>
  <c r="F147" i="43" s="1"/>
  <c r="B62" i="84"/>
  <c r="G62" i="84"/>
  <c r="H62" i="84"/>
  <c r="I64" i="76"/>
  <c r="B62" i="82"/>
  <c r="H62" i="82"/>
  <c r="G62" i="82"/>
  <c r="G64" i="60"/>
  <c r="I64" i="60" s="1"/>
  <c r="H70" i="24"/>
  <c r="G70" i="42"/>
  <c r="B65" i="76"/>
  <c r="F65" i="76"/>
  <c r="D142" i="26"/>
  <c r="G141" i="26"/>
  <c r="B67" i="58"/>
  <c r="F67" i="58"/>
  <c r="H65" i="46"/>
  <c r="I65" i="46" s="1"/>
  <c r="I68" i="41"/>
  <c r="G66" i="57"/>
  <c r="I66" i="57" s="1"/>
  <c r="G70" i="69"/>
  <c r="I70" i="69" s="1"/>
  <c r="G59" i="95"/>
  <c r="I59" i="95" s="1"/>
  <c r="E72" i="23"/>
  <c r="E73" i="23" s="1"/>
  <c r="E70" i="74"/>
  <c r="F70" i="74" s="1"/>
  <c r="H59" i="99"/>
  <c r="E68" i="72"/>
  <c r="F68" i="72" s="1"/>
  <c r="G68" i="72" s="1"/>
  <c r="B64" i="67"/>
  <c r="G64" i="67"/>
  <c r="H64" i="67"/>
  <c r="I146" i="43"/>
  <c r="J146" i="43" s="1"/>
  <c r="H146" i="43"/>
  <c r="E62" i="81"/>
  <c r="F62" i="81" s="1"/>
  <c r="H63" i="77"/>
  <c r="I63" i="77" s="1"/>
  <c r="I140" i="97"/>
  <c r="H140" i="97"/>
  <c r="F69" i="56"/>
  <c r="H69" i="56" s="1"/>
  <c r="B69" i="56"/>
  <c r="F62" i="83"/>
  <c r="B62" i="83"/>
  <c r="I71" i="23"/>
  <c r="D67" i="55"/>
  <c r="E67" i="55" s="1"/>
  <c r="H66" i="55"/>
  <c r="G66" i="55"/>
  <c r="E63" i="86"/>
  <c r="F63" i="86" s="1"/>
  <c r="B63" i="86"/>
  <c r="D150" i="31"/>
  <c r="E150" i="31" s="1"/>
  <c r="G149" i="31"/>
  <c r="I70" i="73"/>
  <c r="E71" i="17"/>
  <c r="F71" i="17" s="1"/>
  <c r="B71" i="17"/>
  <c r="G71" i="20"/>
  <c r="D67" i="61"/>
  <c r="E67" i="61" s="1"/>
  <c r="I70" i="30"/>
  <c r="J149" i="30"/>
  <c r="I62" i="78"/>
  <c r="H62" i="91"/>
  <c r="I62" i="91" s="1"/>
  <c r="D63" i="91"/>
  <c r="I68" i="53"/>
  <c r="H68" i="43"/>
  <c r="F66" i="26"/>
  <c r="B66" i="26"/>
  <c r="H66" i="26"/>
  <c r="I63" i="85"/>
  <c r="E67" i="59"/>
  <c r="B67" i="59"/>
  <c r="F67" i="59"/>
  <c r="H67" i="59" s="1"/>
  <c r="I65" i="61"/>
  <c r="I60" i="25"/>
  <c r="E66" i="64"/>
  <c r="F66" i="64" s="1"/>
  <c r="H66" i="64" s="1"/>
  <c r="B66" i="64"/>
  <c r="B62" i="86"/>
  <c r="G62" i="86"/>
  <c r="H62" i="86"/>
  <c r="B62" i="80"/>
  <c r="D71" i="73"/>
  <c r="F72" i="3"/>
  <c r="E64" i="85"/>
  <c r="F64" i="85" s="1"/>
  <c r="B64" i="85"/>
  <c r="I66" i="59"/>
  <c r="I60" i="89"/>
  <c r="I65" i="64"/>
  <c r="E62" i="80"/>
  <c r="F62" i="80" s="1"/>
  <c r="I72" i="34"/>
  <c r="I73" i="34" s="1"/>
  <c r="H73" i="34"/>
  <c r="J148" i="31"/>
  <c r="B66" i="61"/>
  <c r="G66" i="61"/>
  <c r="H66" i="61"/>
  <c r="I66" i="61" s="1"/>
  <c r="B70" i="17"/>
  <c r="G70" i="17"/>
  <c r="H70" i="17"/>
  <c r="F69" i="53"/>
  <c r="H69" i="53" s="1"/>
  <c r="B69" i="53"/>
  <c r="D69" i="43"/>
  <c r="E69" i="43" s="1"/>
  <c r="F69" i="43" s="1"/>
  <c r="I69" i="17"/>
  <c r="D146" i="60"/>
  <c r="G145" i="60"/>
  <c r="I153" i="70"/>
  <c r="J153" i="70" s="1"/>
  <c r="H153" i="70"/>
  <c r="B154" i="70"/>
  <c r="F154" i="70"/>
  <c r="G154" i="70" s="1"/>
  <c r="J144" i="46"/>
  <c r="J145" i="62"/>
  <c r="J141" i="77"/>
  <c r="J143" i="75"/>
  <c r="G152" i="17"/>
  <c r="D153" i="17"/>
  <c r="J149" i="69"/>
  <c r="J152" i="70"/>
  <c r="J150" i="28"/>
  <c r="J144" i="72"/>
  <c r="J147" i="22"/>
  <c r="J143" i="64"/>
  <c r="D147" i="62"/>
  <c r="E147" i="62" s="1"/>
  <c r="G146" i="62"/>
  <c r="D144" i="85"/>
  <c r="E144" i="85" s="1"/>
  <c r="G143" i="85"/>
  <c r="G147" i="39"/>
  <c r="D148" i="39"/>
  <c r="D145" i="61"/>
  <c r="G144" i="61"/>
  <c r="E145" i="61"/>
  <c r="D149" i="18"/>
  <c r="E149" i="18" s="1"/>
  <c r="G148" i="18"/>
  <c r="G147" i="74"/>
  <c r="D148" i="74"/>
  <c r="E148" i="74" s="1"/>
  <c r="G140" i="89"/>
  <c r="D141" i="89"/>
  <c r="E141" i="89" s="1"/>
  <c r="F71" i="29"/>
  <c r="G71" i="29" s="1"/>
  <c r="B71" i="29"/>
  <c r="J147" i="18"/>
  <c r="G145" i="54"/>
  <c r="D146" i="54"/>
  <c r="D61" i="25"/>
  <c r="E61" i="25" s="1"/>
  <c r="J150" i="20"/>
  <c r="D146" i="56"/>
  <c r="E146" i="56" s="1"/>
  <c r="G145" i="56"/>
  <c r="D143" i="76"/>
  <c r="G142" i="76"/>
  <c r="B149" i="19"/>
  <c r="F149" i="19"/>
  <c r="F145" i="63"/>
  <c r="B145" i="63"/>
  <c r="H145" i="67"/>
  <c r="I145" i="67"/>
  <c r="J145" i="67" s="1"/>
  <c r="G144" i="75"/>
  <c r="D145" i="75"/>
  <c r="F68" i="39"/>
  <c r="G68" i="39" s="1"/>
  <c r="B68" i="39"/>
  <c r="B61" i="89"/>
  <c r="G140" i="96"/>
  <c r="D141" i="96"/>
  <c r="E141" i="96" s="1"/>
  <c r="J143" i="61"/>
  <c r="B65" i="62"/>
  <c r="F65" i="62"/>
  <c r="G65" i="62" s="1"/>
  <c r="H65" i="62"/>
  <c r="J142" i="68"/>
  <c r="G141" i="100"/>
  <c r="D142" i="100"/>
  <c r="E142" i="100" s="1"/>
  <c r="J141" i="76"/>
  <c r="J147" i="21"/>
  <c r="G151" i="20"/>
  <c r="D152" i="20"/>
  <c r="E152" i="20"/>
  <c r="H148" i="19"/>
  <c r="I148" i="19"/>
  <c r="G142" i="79"/>
  <c r="D143" i="79"/>
  <c r="E143" i="79" s="1"/>
  <c r="H144" i="63"/>
  <c r="I144" i="63"/>
  <c r="D144" i="82"/>
  <c r="E144" i="82" s="1"/>
  <c r="G143" i="82"/>
  <c r="G140" i="92"/>
  <c r="D141" i="92"/>
  <c r="E141" i="92" s="1"/>
  <c r="G141" i="81"/>
  <c r="D142" i="81"/>
  <c r="E142" i="81" s="1"/>
  <c r="G142" i="77"/>
  <c r="D143" i="77"/>
  <c r="E143" i="77" s="1"/>
  <c r="E61" i="89"/>
  <c r="F61" i="89" s="1"/>
  <c r="I143" i="66"/>
  <c r="J143" i="66" s="1"/>
  <c r="H143" i="66"/>
  <c r="G149" i="24"/>
  <c r="D150" i="24"/>
  <c r="E150" i="24"/>
  <c r="D146" i="53"/>
  <c r="E146" i="53" s="1"/>
  <c r="G145" i="53"/>
  <c r="B60" i="96"/>
  <c r="D146" i="58"/>
  <c r="E146" i="58" s="1"/>
  <c r="G145" i="58"/>
  <c r="B61" i="87"/>
  <c r="F61" i="87"/>
  <c r="H61" i="87" s="1"/>
  <c r="I142" i="13"/>
  <c r="H142" i="13"/>
  <c r="B63" i="75"/>
  <c r="D141" i="84"/>
  <c r="E141" i="84" s="1"/>
  <c r="G140" i="84"/>
  <c r="F69" i="21"/>
  <c r="H69" i="21" s="1"/>
  <c r="B69" i="21"/>
  <c r="G150" i="30"/>
  <c r="D151" i="30"/>
  <c r="E151" i="30" s="1"/>
  <c r="J143" i="59"/>
  <c r="D142" i="83"/>
  <c r="E142" i="83" s="1"/>
  <c r="G141" i="83"/>
  <c r="I68" i="18"/>
  <c r="J144" i="54"/>
  <c r="D142" i="80"/>
  <c r="E142" i="80" s="1"/>
  <c r="G141" i="80"/>
  <c r="H143" i="78"/>
  <c r="I143" i="78"/>
  <c r="J143" i="78" s="1"/>
  <c r="F61" i="90"/>
  <c r="H61" i="90" s="1"/>
  <c r="B61" i="90"/>
  <c r="G146" i="45"/>
  <c r="D147" i="45"/>
  <c r="E147" i="45" s="1"/>
  <c r="G140" i="98"/>
  <c r="D141" i="98"/>
  <c r="E141" i="98"/>
  <c r="E60" i="96"/>
  <c r="F60" i="96" s="1"/>
  <c r="E63" i="75"/>
  <c r="F63" i="75" s="1"/>
  <c r="G148" i="3"/>
  <c r="D149" i="3"/>
  <c r="E149" i="3"/>
  <c r="J146" i="39"/>
  <c r="G144" i="59"/>
  <c r="D145" i="59"/>
  <c r="D141" i="90"/>
  <c r="E141" i="90" s="1"/>
  <c r="G140" i="90"/>
  <c r="B146" i="67"/>
  <c r="G149" i="32"/>
  <c r="D150" i="32"/>
  <c r="E150" i="32" s="1"/>
  <c r="B70" i="32"/>
  <c r="G147" i="55"/>
  <c r="D148" i="55"/>
  <c r="E148" i="55" s="1"/>
  <c r="H150" i="23"/>
  <c r="I150" i="23"/>
  <c r="D149" i="21"/>
  <c r="E149" i="21" s="1"/>
  <c r="G148" i="21"/>
  <c r="B144" i="66"/>
  <c r="F144" i="66"/>
  <c r="G143" i="68"/>
  <c r="D144" i="68"/>
  <c r="E144" i="68" s="1"/>
  <c r="D152" i="28"/>
  <c r="G151" i="28"/>
  <c r="F143" i="13"/>
  <c r="B143" i="13"/>
  <c r="G145" i="72"/>
  <c r="D146" i="72"/>
  <c r="E146" i="72" s="1"/>
  <c r="H152" i="29"/>
  <c r="I152" i="29"/>
  <c r="F62" i="88"/>
  <c r="H62" i="88" s="1"/>
  <c r="G62" i="88"/>
  <c r="B62" i="88"/>
  <c r="B69" i="18"/>
  <c r="F69" i="18"/>
  <c r="H69" i="18" s="1"/>
  <c r="H148" i="34"/>
  <c r="I148" i="34"/>
  <c r="B60" i="100"/>
  <c r="D148" i="41"/>
  <c r="E148" i="41" s="1"/>
  <c r="G147" i="41"/>
  <c r="G141" i="99"/>
  <c r="D142" i="99"/>
  <c r="E142" i="99" s="1"/>
  <c r="D146" i="46"/>
  <c r="E146" i="46" s="1"/>
  <c r="G145" i="46"/>
  <c r="G144" i="64"/>
  <c r="D145" i="64"/>
  <c r="E145" i="64" s="1"/>
  <c r="E70" i="32"/>
  <c r="F70" i="32" s="1"/>
  <c r="F144" i="78"/>
  <c r="B144" i="78"/>
  <c r="B64" i="13"/>
  <c r="F64" i="13"/>
  <c r="H64" i="13" s="1"/>
  <c r="J148" i="71"/>
  <c r="D141" i="86"/>
  <c r="E141" i="86" s="1"/>
  <c r="G140" i="86"/>
  <c r="J142" i="65"/>
  <c r="G140" i="88"/>
  <c r="D141" i="88"/>
  <c r="E141" i="88" s="1"/>
  <c r="J144" i="53"/>
  <c r="J144" i="56"/>
  <c r="G148" i="22"/>
  <c r="D149" i="22"/>
  <c r="B153" i="29"/>
  <c r="F153" i="29"/>
  <c r="B71" i="30"/>
  <c r="F71" i="30"/>
  <c r="H71" i="30" s="1"/>
  <c r="F149" i="34"/>
  <c r="B149" i="34"/>
  <c r="G149" i="71"/>
  <c r="D150" i="71"/>
  <c r="E150" i="71" s="1"/>
  <c r="J146" i="41"/>
  <c r="B151" i="23"/>
  <c r="F151" i="23"/>
  <c r="E60" i="100"/>
  <c r="F60" i="100" s="1"/>
  <c r="D151" i="69"/>
  <c r="E151" i="69" s="1"/>
  <c r="G150" i="69"/>
  <c r="J145" i="45"/>
  <c r="G143" i="65"/>
  <c r="D144" i="65"/>
  <c r="E144" i="65" s="1"/>
  <c r="G150" i="27"/>
  <c r="D151" i="27"/>
  <c r="G145" i="57"/>
  <c r="D146" i="57"/>
  <c r="E146" i="57" s="1"/>
  <c r="B69" i="22"/>
  <c r="F69" i="22"/>
  <c r="H69" i="22" s="1"/>
  <c r="G140" i="91"/>
  <c r="D141" i="91"/>
  <c r="E141" i="91" s="1"/>
  <c r="B71" i="19"/>
  <c r="F71" i="19"/>
  <c r="G71" i="19" s="1"/>
  <c r="E146" i="67"/>
  <c r="F146" i="67" s="1"/>
  <c r="B66" i="54"/>
  <c r="F66" i="54"/>
  <c r="G66" i="54" s="1"/>
  <c r="G147" i="73"/>
  <c r="D148" i="73"/>
  <c r="B63" i="78"/>
  <c r="F63" i="78"/>
  <c r="G63" i="78" s="1"/>
  <c r="H63" i="78"/>
  <c r="I141" i="95" l="1"/>
  <c r="H141" i="95"/>
  <c r="D72" i="20"/>
  <c r="E72" i="20" s="1"/>
  <c r="E73" i="20" s="1"/>
  <c r="I69" i="56"/>
  <c r="I59" i="99"/>
  <c r="I63" i="79"/>
  <c r="E143" i="25"/>
  <c r="F143" i="25" s="1"/>
  <c r="B143" i="25"/>
  <c r="J147" i="44"/>
  <c r="I63" i="65"/>
  <c r="I66" i="45"/>
  <c r="G64" i="33"/>
  <c r="D65" i="33"/>
  <c r="H64" i="33"/>
  <c r="I64" i="33" s="1"/>
  <c r="H142" i="25"/>
  <c r="I142" i="25"/>
  <c r="I70" i="20"/>
  <c r="H140" i="87"/>
  <c r="I140" i="87"/>
  <c r="G69" i="53"/>
  <c r="G69" i="56"/>
  <c r="I62" i="82"/>
  <c r="I65" i="68"/>
  <c r="G63" i="79"/>
  <c r="J147" i="42"/>
  <c r="J141" i="33"/>
  <c r="E142" i="95"/>
  <c r="F142" i="95" s="1"/>
  <c r="B142" i="95"/>
  <c r="B141" i="87"/>
  <c r="E141" i="87"/>
  <c r="F141" i="87" s="1"/>
  <c r="H65" i="67"/>
  <c r="G65" i="67"/>
  <c r="D66" i="67"/>
  <c r="B66" i="67" s="1"/>
  <c r="D63" i="81"/>
  <c r="H62" i="81"/>
  <c r="G62" i="81"/>
  <c r="H70" i="74"/>
  <c r="D71" i="74"/>
  <c r="G70" i="74"/>
  <c r="D68" i="57"/>
  <c r="D143" i="33"/>
  <c r="G142" i="33"/>
  <c r="G60" i="97"/>
  <c r="D61" i="97"/>
  <c r="H60" i="97"/>
  <c r="G65" i="60"/>
  <c r="H65" i="60"/>
  <c r="D66" i="60"/>
  <c r="D72" i="42"/>
  <c r="E72" i="42"/>
  <c r="E73" i="42" s="1"/>
  <c r="D149" i="44"/>
  <c r="G148" i="44"/>
  <c r="E149" i="44"/>
  <c r="G64" i="85"/>
  <c r="H64" i="85"/>
  <c r="G141" i="97"/>
  <c r="D142" i="97"/>
  <c r="D66" i="76"/>
  <c r="I70" i="24"/>
  <c r="B71" i="69"/>
  <c r="B63" i="82"/>
  <c r="D64" i="84"/>
  <c r="E64" i="84" s="1"/>
  <c r="D61" i="98"/>
  <c r="E61" i="98" s="1"/>
  <c r="F61" i="98" s="1"/>
  <c r="B70" i="41"/>
  <c r="E66" i="46"/>
  <c r="F66" i="46" s="1"/>
  <c r="B66" i="46"/>
  <c r="I70" i="42"/>
  <c r="E62" i="92"/>
  <c r="F62" i="92" s="1"/>
  <c r="G62" i="92"/>
  <c r="H62" i="92"/>
  <c r="B62" i="92"/>
  <c r="G148" i="42"/>
  <c r="D149" i="42"/>
  <c r="E149" i="42" s="1"/>
  <c r="I72" i="28"/>
  <c r="I73" i="28" s="1"/>
  <c r="H73" i="28"/>
  <c r="B71" i="24"/>
  <c r="B70" i="44"/>
  <c r="I65" i="63"/>
  <c r="H66" i="54"/>
  <c r="I66" i="54" s="1"/>
  <c r="G71" i="30"/>
  <c r="I71" i="30" s="1"/>
  <c r="G61" i="90"/>
  <c r="I61" i="90" s="1"/>
  <c r="G61" i="87"/>
  <c r="I141" i="26"/>
  <c r="H141" i="26"/>
  <c r="G147" i="43"/>
  <c r="D148" i="43"/>
  <c r="H72" i="23"/>
  <c r="G63" i="84"/>
  <c r="G60" i="98"/>
  <c r="G65" i="66"/>
  <c r="I65" i="66" s="1"/>
  <c r="I61" i="92"/>
  <c r="D67" i="68"/>
  <c r="E67" i="68"/>
  <c r="F67" i="68" s="1"/>
  <c r="B67" i="45"/>
  <c r="D69" i="72"/>
  <c r="E142" i="26"/>
  <c r="F142" i="26" s="1"/>
  <c r="B142" i="26"/>
  <c r="G65" i="76"/>
  <c r="I62" i="84"/>
  <c r="I69" i="41"/>
  <c r="B67" i="57"/>
  <c r="H67" i="57"/>
  <c r="G67" i="57"/>
  <c r="H63" i="84"/>
  <c r="I63" i="84" s="1"/>
  <c r="H60" i="98"/>
  <c r="I60" i="98" s="1"/>
  <c r="F60" i="95"/>
  <c r="D61" i="95" s="1"/>
  <c r="B60" i="95"/>
  <c r="E66" i="66"/>
  <c r="B66" i="66"/>
  <c r="F66" i="66"/>
  <c r="H66" i="66" s="1"/>
  <c r="H68" i="72"/>
  <c r="I68" i="72" s="1"/>
  <c r="E60" i="99"/>
  <c r="B60" i="99"/>
  <c r="F60" i="99"/>
  <c r="G60" i="99" s="1"/>
  <c r="B64" i="65"/>
  <c r="E64" i="65"/>
  <c r="F64" i="65" s="1"/>
  <c r="B71" i="42"/>
  <c r="H71" i="42"/>
  <c r="G71" i="42"/>
  <c r="I69" i="44"/>
  <c r="H66" i="68"/>
  <c r="I66" i="68" s="1"/>
  <c r="B66" i="68"/>
  <c r="G66" i="68"/>
  <c r="E67" i="45"/>
  <c r="F67" i="45" s="1"/>
  <c r="I62" i="88"/>
  <c r="I70" i="17"/>
  <c r="D63" i="83"/>
  <c r="E63" i="83" s="1"/>
  <c r="F63" i="83" s="1"/>
  <c r="G62" i="83"/>
  <c r="H62" i="83"/>
  <c r="D70" i="56"/>
  <c r="E70" i="56" s="1"/>
  <c r="F70" i="56" s="1"/>
  <c r="I64" i="67"/>
  <c r="H67" i="58"/>
  <c r="D68" i="58"/>
  <c r="G67" i="58"/>
  <c r="H65" i="76"/>
  <c r="E71" i="69"/>
  <c r="F71" i="69" s="1"/>
  <c r="E63" i="82"/>
  <c r="F63" i="82" s="1"/>
  <c r="H63" i="82" s="1"/>
  <c r="E70" i="41"/>
  <c r="F70" i="41" s="1"/>
  <c r="D71" i="41" s="1"/>
  <c r="E64" i="79"/>
  <c r="B64" i="79"/>
  <c r="F64" i="79"/>
  <c r="G64" i="79" s="1"/>
  <c r="E64" i="77"/>
  <c r="B64" i="77"/>
  <c r="F64" i="77"/>
  <c r="G64" i="77" s="1"/>
  <c r="E71" i="24"/>
  <c r="F71" i="24" s="1"/>
  <c r="G71" i="24" s="1"/>
  <c r="E70" i="44"/>
  <c r="F70" i="44" s="1"/>
  <c r="F66" i="63"/>
  <c r="D67" i="63" s="1"/>
  <c r="B66" i="63"/>
  <c r="H66" i="63"/>
  <c r="H71" i="17"/>
  <c r="D72" i="17"/>
  <c r="G71" i="17"/>
  <c r="H62" i="80"/>
  <c r="D63" i="80"/>
  <c r="E63" i="80" s="1"/>
  <c r="G62" i="80"/>
  <c r="H63" i="86"/>
  <c r="G63" i="86"/>
  <c r="D64" i="86"/>
  <c r="H68" i="39"/>
  <c r="D70" i="43"/>
  <c r="G66" i="64"/>
  <c r="I66" i="64" s="1"/>
  <c r="G67" i="59"/>
  <c r="I67" i="59" s="1"/>
  <c r="G66" i="26"/>
  <c r="D67" i="26"/>
  <c r="B69" i="43"/>
  <c r="G69" i="43"/>
  <c r="H69" i="43"/>
  <c r="D70" i="53"/>
  <c r="I62" i="86"/>
  <c r="I68" i="43"/>
  <c r="F72" i="20"/>
  <c r="G72" i="20" s="1"/>
  <c r="G73" i="20" s="1"/>
  <c r="I149" i="31"/>
  <c r="H149" i="31"/>
  <c r="I66" i="55"/>
  <c r="I69" i="53"/>
  <c r="G72" i="3"/>
  <c r="G73" i="3" s="1"/>
  <c r="H72" i="3"/>
  <c r="B71" i="73"/>
  <c r="D67" i="64"/>
  <c r="E67" i="64"/>
  <c r="F67" i="64" s="1"/>
  <c r="D68" i="59"/>
  <c r="I66" i="26"/>
  <c r="E63" i="91"/>
  <c r="F63" i="91" s="1"/>
  <c r="B63" i="91"/>
  <c r="B67" i="61"/>
  <c r="F67" i="61"/>
  <c r="G67" i="61" s="1"/>
  <c r="B150" i="31"/>
  <c r="F150" i="31"/>
  <c r="D65" i="85"/>
  <c r="E65" i="85" s="1"/>
  <c r="E71" i="73"/>
  <c r="F71" i="73" s="1"/>
  <c r="E66" i="67"/>
  <c r="F66" i="67" s="1"/>
  <c r="B67" i="55"/>
  <c r="F67" i="55"/>
  <c r="D68" i="55" s="1"/>
  <c r="H67" i="55"/>
  <c r="I154" i="70"/>
  <c r="H154" i="70"/>
  <c r="H155" i="70" s="1"/>
  <c r="B153" i="17"/>
  <c r="H152" i="17"/>
  <c r="I152" i="17"/>
  <c r="J152" i="17" s="1"/>
  <c r="H145" i="60"/>
  <c r="I145" i="60"/>
  <c r="J145" i="60" s="1"/>
  <c r="I155" i="70"/>
  <c r="E153" i="17"/>
  <c r="F153" i="17" s="1"/>
  <c r="E146" i="60"/>
  <c r="F146" i="60"/>
  <c r="B146" i="60"/>
  <c r="D62" i="89"/>
  <c r="E62" i="89" s="1"/>
  <c r="G61" i="89"/>
  <c r="H61" i="89"/>
  <c r="I61" i="89" s="1"/>
  <c r="D61" i="100"/>
  <c r="E61" i="100" s="1"/>
  <c r="G60" i="100"/>
  <c r="H60" i="100"/>
  <c r="I60" i="100" s="1"/>
  <c r="G146" i="67"/>
  <c r="D147" i="67"/>
  <c r="D64" i="75"/>
  <c r="H63" i="75"/>
  <c r="G63" i="75"/>
  <c r="D71" i="32"/>
  <c r="E71" i="32" s="1"/>
  <c r="H70" i="32"/>
  <c r="G70" i="32"/>
  <c r="D61" i="96"/>
  <c r="H60" i="96"/>
  <c r="G60" i="96"/>
  <c r="I142" i="77"/>
  <c r="H142" i="77"/>
  <c r="H142" i="79"/>
  <c r="I142" i="79"/>
  <c r="H147" i="74"/>
  <c r="I147" i="74"/>
  <c r="I147" i="73"/>
  <c r="H147" i="73"/>
  <c r="H150" i="27"/>
  <c r="I150" i="27"/>
  <c r="J150" i="27" s="1"/>
  <c r="H148" i="22"/>
  <c r="I148" i="22"/>
  <c r="J148" i="22" s="1"/>
  <c r="I140" i="86"/>
  <c r="H140" i="86"/>
  <c r="D65" i="13"/>
  <c r="E65" i="13" s="1"/>
  <c r="B145" i="64"/>
  <c r="F145" i="64"/>
  <c r="F142" i="99"/>
  <c r="B142" i="99"/>
  <c r="B152" i="28"/>
  <c r="H144" i="59"/>
  <c r="I144" i="59"/>
  <c r="J144" i="59" s="1"/>
  <c r="I140" i="84"/>
  <c r="H140" i="84"/>
  <c r="D62" i="87"/>
  <c r="E62" i="87" s="1"/>
  <c r="I145" i="53"/>
  <c r="H145" i="53"/>
  <c r="I140" i="92"/>
  <c r="H140" i="92"/>
  <c r="J148" i="19"/>
  <c r="D69" i="39"/>
  <c r="H145" i="54"/>
  <c r="I145" i="54"/>
  <c r="J145" i="54" s="1"/>
  <c r="I140" i="89"/>
  <c r="H140" i="89"/>
  <c r="H147" i="39"/>
  <c r="I147" i="39"/>
  <c r="B149" i="22"/>
  <c r="B148" i="39"/>
  <c r="D67" i="54"/>
  <c r="E67" i="54"/>
  <c r="F141" i="86"/>
  <c r="B141" i="86"/>
  <c r="H144" i="64"/>
  <c r="I144" i="64"/>
  <c r="H141" i="99"/>
  <c r="I141" i="99"/>
  <c r="H148" i="21"/>
  <c r="I148" i="21"/>
  <c r="F141" i="98"/>
  <c r="B141" i="98"/>
  <c r="E62" i="90"/>
  <c r="D62" i="90"/>
  <c r="F151" i="30"/>
  <c r="B151" i="30"/>
  <c r="B141" i="84"/>
  <c r="F141" i="84"/>
  <c r="H145" i="58"/>
  <c r="I145" i="58"/>
  <c r="B146" i="53"/>
  <c r="F146" i="53"/>
  <c r="B141" i="96"/>
  <c r="F141" i="96"/>
  <c r="B145" i="75"/>
  <c r="H145" i="56"/>
  <c r="I145" i="56"/>
  <c r="I148" i="18"/>
  <c r="H148" i="18"/>
  <c r="H143" i="85"/>
  <c r="I143" i="85"/>
  <c r="F144" i="65"/>
  <c r="B144" i="65"/>
  <c r="F146" i="72"/>
  <c r="B146" i="72"/>
  <c r="B144" i="68"/>
  <c r="F144" i="68"/>
  <c r="F149" i="21"/>
  <c r="B149" i="21"/>
  <c r="H140" i="98"/>
  <c r="I140" i="98"/>
  <c r="I150" i="30"/>
  <c r="H150" i="30"/>
  <c r="B146" i="58"/>
  <c r="F146" i="58"/>
  <c r="H143" i="82"/>
  <c r="I143" i="82"/>
  <c r="H140" i="96"/>
  <c r="I140" i="96"/>
  <c r="H144" i="75"/>
  <c r="I144" i="75"/>
  <c r="D146" i="63"/>
  <c r="E146" i="63" s="1"/>
  <c r="G145" i="63"/>
  <c r="F146" i="56"/>
  <c r="B146" i="56"/>
  <c r="F149" i="18"/>
  <c r="B149" i="18"/>
  <c r="D70" i="22"/>
  <c r="I151" i="28"/>
  <c r="H151" i="28"/>
  <c r="H147" i="55"/>
  <c r="I147" i="55"/>
  <c r="B143" i="76"/>
  <c r="I63" i="78"/>
  <c r="G69" i="22"/>
  <c r="I69" i="22" s="1"/>
  <c r="D64" i="78"/>
  <c r="B141" i="91"/>
  <c r="F141" i="91"/>
  <c r="H143" i="65"/>
  <c r="I143" i="65"/>
  <c r="J143" i="65" s="1"/>
  <c r="I150" i="69"/>
  <c r="H150" i="69"/>
  <c r="F150" i="71"/>
  <c r="B150" i="71"/>
  <c r="D72" i="30"/>
  <c r="E72" i="30" s="1"/>
  <c r="E73" i="30" s="1"/>
  <c r="G144" i="78"/>
  <c r="D145" i="78"/>
  <c r="I147" i="41"/>
  <c r="H147" i="41"/>
  <c r="J148" i="34"/>
  <c r="H145" i="72"/>
  <c r="I145" i="72"/>
  <c r="J145" i="72" s="1"/>
  <c r="H143" i="68"/>
  <c r="I143" i="68"/>
  <c r="J150" i="23"/>
  <c r="F149" i="3"/>
  <c r="B149" i="3"/>
  <c r="I61" i="87"/>
  <c r="F150" i="24"/>
  <c r="B150" i="24"/>
  <c r="F152" i="20"/>
  <c r="B152" i="20"/>
  <c r="B142" i="100"/>
  <c r="F142" i="100"/>
  <c r="E145" i="75"/>
  <c r="F145" i="75" s="1"/>
  <c r="G149" i="19"/>
  <c r="E150" i="19"/>
  <c r="D150" i="19"/>
  <c r="F144" i="85"/>
  <c r="B144" i="85"/>
  <c r="D72" i="19"/>
  <c r="E72" i="19" s="1"/>
  <c r="E73" i="19" s="1"/>
  <c r="B145" i="59"/>
  <c r="B141" i="92"/>
  <c r="F141" i="92"/>
  <c r="B64" i="86"/>
  <c r="B151" i="69"/>
  <c r="F151" i="69"/>
  <c r="H149" i="71"/>
  <c r="I149" i="71"/>
  <c r="F141" i="88"/>
  <c r="B141" i="88"/>
  <c r="B148" i="41"/>
  <c r="F148" i="41"/>
  <c r="H140" i="90"/>
  <c r="I140" i="90"/>
  <c r="H148" i="3"/>
  <c r="I148" i="3"/>
  <c r="J148" i="3" s="1"/>
  <c r="F147" i="45"/>
  <c r="B147" i="45"/>
  <c r="I141" i="83"/>
  <c r="H141" i="83"/>
  <c r="D70" i="21"/>
  <c r="E70" i="21" s="1"/>
  <c r="H149" i="24"/>
  <c r="I149" i="24"/>
  <c r="J149" i="24" s="1"/>
  <c r="F144" i="82"/>
  <c r="B144" i="82"/>
  <c r="H151" i="20"/>
  <c r="I151" i="20"/>
  <c r="J151" i="20" s="1"/>
  <c r="I141" i="100"/>
  <c r="H141" i="100"/>
  <c r="I65" i="62"/>
  <c r="D72" i="29"/>
  <c r="E72" i="29" s="1"/>
  <c r="E73" i="29" s="1"/>
  <c r="I144" i="61"/>
  <c r="H144" i="61"/>
  <c r="H146" i="62"/>
  <c r="I146" i="62"/>
  <c r="J146" i="62" s="1"/>
  <c r="B148" i="73"/>
  <c r="B146" i="54"/>
  <c r="B146" i="57"/>
  <c r="F146" i="57"/>
  <c r="H145" i="57"/>
  <c r="I145" i="57"/>
  <c r="J145" i="57" s="1"/>
  <c r="E64" i="86"/>
  <c r="F64" i="86" s="1"/>
  <c r="G151" i="23"/>
  <c r="D152" i="23"/>
  <c r="E152" i="23" s="1"/>
  <c r="I140" i="88"/>
  <c r="H140" i="88"/>
  <c r="H145" i="46"/>
  <c r="I145" i="46"/>
  <c r="D63" i="88"/>
  <c r="E63" i="88" s="1"/>
  <c r="D144" i="13"/>
  <c r="E144" i="13" s="1"/>
  <c r="G143" i="13"/>
  <c r="B150" i="32"/>
  <c r="F150" i="32"/>
  <c r="F141" i="90"/>
  <c r="B141" i="90"/>
  <c r="I146" i="45"/>
  <c r="H146" i="45"/>
  <c r="F142" i="83"/>
  <c r="B142" i="83"/>
  <c r="G69" i="21"/>
  <c r="B142" i="81"/>
  <c r="F142" i="81"/>
  <c r="J144" i="63"/>
  <c r="D66" i="62"/>
  <c r="E143" i="76"/>
  <c r="F143" i="76" s="1"/>
  <c r="B61" i="25"/>
  <c r="F61" i="25"/>
  <c r="G61" i="25" s="1"/>
  <c r="H71" i="29"/>
  <c r="I71" i="29" s="1"/>
  <c r="F145" i="61"/>
  <c r="B145" i="61"/>
  <c r="B151" i="27"/>
  <c r="D70" i="18"/>
  <c r="E70" i="18" s="1"/>
  <c r="F142" i="80"/>
  <c r="B142" i="80"/>
  <c r="B141" i="89"/>
  <c r="F141" i="89"/>
  <c r="H140" i="91"/>
  <c r="I140" i="91"/>
  <c r="E148" i="73"/>
  <c r="F148" i="73" s="1"/>
  <c r="H71" i="19"/>
  <c r="I71" i="19" s="1"/>
  <c r="E151" i="27"/>
  <c r="F151" i="27" s="1"/>
  <c r="D150" i="34"/>
  <c r="E150" i="34" s="1"/>
  <c r="G149" i="34"/>
  <c r="D154" i="29"/>
  <c r="G153" i="29"/>
  <c r="E149" i="22"/>
  <c r="F149" i="22" s="1"/>
  <c r="G64" i="13"/>
  <c r="I64" i="13" s="1"/>
  <c r="F146" i="46"/>
  <c r="B146" i="46"/>
  <c r="G69" i="18"/>
  <c r="I69" i="18" s="1"/>
  <c r="J152" i="29"/>
  <c r="E152" i="28"/>
  <c r="F152" i="28" s="1"/>
  <c r="D145" i="66"/>
  <c r="E145" i="66" s="1"/>
  <c r="G144" i="66"/>
  <c r="B148" i="55"/>
  <c r="F148" i="55"/>
  <c r="H149" i="32"/>
  <c r="I149" i="32"/>
  <c r="J149" i="32" s="1"/>
  <c r="E145" i="59"/>
  <c r="F145" i="59" s="1"/>
  <c r="H141" i="80"/>
  <c r="I141" i="80"/>
  <c r="I69" i="21"/>
  <c r="B143" i="77"/>
  <c r="F143" i="77"/>
  <c r="H141" i="81"/>
  <c r="I141" i="81"/>
  <c r="F143" i="79"/>
  <c r="B143" i="79"/>
  <c r="I68" i="39"/>
  <c r="H142" i="76"/>
  <c r="I142" i="76"/>
  <c r="J142" i="76" s="1"/>
  <c r="E146" i="54"/>
  <c r="F146" i="54" s="1"/>
  <c r="F148" i="74"/>
  <c r="B148" i="74"/>
  <c r="E148" i="39"/>
  <c r="F148" i="39" s="1"/>
  <c r="F147" i="62"/>
  <c r="B147" i="62"/>
  <c r="D143" i="95" l="1"/>
  <c r="G142" i="95"/>
  <c r="G143" i="25"/>
  <c r="D144" i="25"/>
  <c r="B144" i="25" s="1"/>
  <c r="D142" i="87"/>
  <c r="G141" i="87"/>
  <c r="B72" i="20"/>
  <c r="I65" i="76"/>
  <c r="E65" i="33"/>
  <c r="B65" i="33"/>
  <c r="F65" i="33"/>
  <c r="I67" i="58"/>
  <c r="J141" i="26"/>
  <c r="I65" i="60"/>
  <c r="J142" i="25"/>
  <c r="H71" i="69"/>
  <c r="D72" i="69"/>
  <c r="G71" i="69"/>
  <c r="H67" i="45"/>
  <c r="I67" i="45" s="1"/>
  <c r="D68" i="45"/>
  <c r="G67" i="45"/>
  <c r="G64" i="65"/>
  <c r="H64" i="65"/>
  <c r="I64" i="65" s="1"/>
  <c r="D65" i="65"/>
  <c r="H66" i="46"/>
  <c r="D67" i="46"/>
  <c r="G66" i="46"/>
  <c r="D64" i="83"/>
  <c r="B64" i="83" s="1"/>
  <c r="G142" i="26"/>
  <c r="D143" i="26"/>
  <c r="B143" i="26" s="1"/>
  <c r="E143" i="26"/>
  <c r="F143" i="26" s="1"/>
  <c r="G143" i="26" s="1"/>
  <c r="D71" i="44"/>
  <c r="E71" i="44" s="1"/>
  <c r="F71" i="44" s="1"/>
  <c r="D72" i="44" s="1"/>
  <c r="H70" i="44"/>
  <c r="G70" i="44"/>
  <c r="D71" i="56"/>
  <c r="B71" i="56" s="1"/>
  <c r="D62" i="98"/>
  <c r="E62" i="98"/>
  <c r="H61" i="25"/>
  <c r="G67" i="55"/>
  <c r="H72" i="20"/>
  <c r="G66" i="63"/>
  <c r="I66" i="63" s="1"/>
  <c r="I62" i="83"/>
  <c r="I71" i="42"/>
  <c r="B67" i="68"/>
  <c r="G67" i="68"/>
  <c r="H67" i="68"/>
  <c r="I62" i="92"/>
  <c r="B66" i="76"/>
  <c r="B61" i="97"/>
  <c r="B68" i="57"/>
  <c r="B63" i="81"/>
  <c r="D72" i="24"/>
  <c r="E72" i="24" s="1"/>
  <c r="E73" i="24" s="1"/>
  <c r="E61" i="95"/>
  <c r="F61" i="95" s="1"/>
  <c r="D62" i="95" s="1"/>
  <c r="B61" i="95"/>
  <c r="I72" i="23"/>
  <c r="I73" i="23" s="1"/>
  <c r="H73" i="23"/>
  <c r="B149" i="42"/>
  <c r="F149" i="42"/>
  <c r="H70" i="41"/>
  <c r="B61" i="98"/>
  <c r="G61" i="98"/>
  <c r="H61" i="98"/>
  <c r="E142" i="97"/>
  <c r="B142" i="97"/>
  <c r="F142" i="97"/>
  <c r="F72" i="42"/>
  <c r="H72" i="42" s="1"/>
  <c r="H73" i="42" s="1"/>
  <c r="B72" i="42"/>
  <c r="G72" i="42"/>
  <c r="G73" i="42" s="1"/>
  <c r="E68" i="57"/>
  <c r="F68" i="57" s="1"/>
  <c r="I69" i="43"/>
  <c r="E71" i="41"/>
  <c r="F71" i="41" s="1"/>
  <c r="G71" i="41" s="1"/>
  <c r="B71" i="41"/>
  <c r="H60" i="99"/>
  <c r="I60" i="99" s="1"/>
  <c r="D61" i="99"/>
  <c r="E61" i="99" s="1"/>
  <c r="F61" i="99" s="1"/>
  <c r="D67" i="66"/>
  <c r="E67" i="66" s="1"/>
  <c r="G60" i="95"/>
  <c r="I67" i="57"/>
  <c r="B69" i="72"/>
  <c r="H69" i="72"/>
  <c r="E148" i="43"/>
  <c r="F148" i="43" s="1"/>
  <c r="B148" i="43"/>
  <c r="I148" i="42"/>
  <c r="H148" i="42"/>
  <c r="D63" i="92"/>
  <c r="E63" i="92" s="1"/>
  <c r="F63" i="92" s="1"/>
  <c r="G70" i="41"/>
  <c r="H141" i="97"/>
  <c r="I141" i="97"/>
  <c r="I148" i="44"/>
  <c r="H148" i="44"/>
  <c r="B66" i="60"/>
  <c r="I60" i="97"/>
  <c r="H142" i="33"/>
  <c r="I142" i="33"/>
  <c r="I70" i="74"/>
  <c r="I62" i="81"/>
  <c r="E67" i="63"/>
  <c r="F67" i="63" s="1"/>
  <c r="B67" i="63"/>
  <c r="H64" i="77"/>
  <c r="I64" i="77" s="1"/>
  <c r="D65" i="77"/>
  <c r="E65" i="77" s="1"/>
  <c r="F65" i="77" s="1"/>
  <c r="H64" i="79"/>
  <c r="I64" i="79" s="1"/>
  <c r="D65" i="79"/>
  <c r="G63" i="82"/>
  <c r="I63" i="82" s="1"/>
  <c r="D64" i="82"/>
  <c r="B68" i="58"/>
  <c r="E68" i="58"/>
  <c r="F68" i="58" s="1"/>
  <c r="B70" i="56"/>
  <c r="H70" i="56"/>
  <c r="G70" i="56"/>
  <c r="B63" i="83"/>
  <c r="G63" i="83"/>
  <c r="H63" i="83"/>
  <c r="G66" i="66"/>
  <c r="I66" i="66" s="1"/>
  <c r="H60" i="95"/>
  <c r="I60" i="95" s="1"/>
  <c r="E69" i="72"/>
  <c r="F69" i="72" s="1"/>
  <c r="G69" i="72" s="1"/>
  <c r="D68" i="68"/>
  <c r="E68" i="68" s="1"/>
  <c r="H147" i="43"/>
  <c r="I147" i="43"/>
  <c r="H71" i="24"/>
  <c r="F64" i="84"/>
  <c r="B64" i="84"/>
  <c r="E66" i="76"/>
  <c r="F66" i="76" s="1"/>
  <c r="I64" i="85"/>
  <c r="B149" i="44"/>
  <c r="F149" i="44"/>
  <c r="E66" i="60"/>
  <c r="F66" i="60" s="1"/>
  <c r="E61" i="97"/>
  <c r="F61" i="97" s="1"/>
  <c r="E143" i="33"/>
  <c r="F143" i="33" s="1"/>
  <c r="B143" i="33"/>
  <c r="E71" i="74"/>
  <c r="F71" i="74" s="1"/>
  <c r="B71" i="74"/>
  <c r="E63" i="81"/>
  <c r="F63" i="81" s="1"/>
  <c r="D64" i="81" s="1"/>
  <c r="I65" i="67"/>
  <c r="D64" i="91"/>
  <c r="E64" i="91"/>
  <c r="F64" i="91" s="1"/>
  <c r="G63" i="91"/>
  <c r="H63" i="91"/>
  <c r="G71" i="73"/>
  <c r="D72" i="73"/>
  <c r="E72" i="73" s="1"/>
  <c r="E73" i="73" s="1"/>
  <c r="H71" i="73"/>
  <c r="H66" i="67"/>
  <c r="D67" i="67"/>
  <c r="B68" i="59"/>
  <c r="B70" i="53"/>
  <c r="B67" i="26"/>
  <c r="B70" i="43"/>
  <c r="B72" i="17"/>
  <c r="J145" i="56"/>
  <c r="F65" i="85"/>
  <c r="H65" i="85" s="1"/>
  <c r="B65" i="85"/>
  <c r="G65" i="85"/>
  <c r="E70" i="53"/>
  <c r="F70" i="53" s="1"/>
  <c r="B63" i="80"/>
  <c r="F63" i="80"/>
  <c r="G63" i="80" s="1"/>
  <c r="I67" i="55"/>
  <c r="G66" i="67"/>
  <c r="D151" i="31"/>
  <c r="G150" i="31"/>
  <c r="D68" i="61"/>
  <c r="E68" i="61" s="1"/>
  <c r="D68" i="64"/>
  <c r="E68" i="64" s="1"/>
  <c r="I72" i="20"/>
  <c r="I73" i="20" s="1"/>
  <c r="H73" i="20"/>
  <c r="I63" i="86"/>
  <c r="I71" i="17"/>
  <c r="E68" i="55"/>
  <c r="B68" i="55"/>
  <c r="F68" i="55"/>
  <c r="G68" i="55" s="1"/>
  <c r="H67" i="61"/>
  <c r="E68" i="59"/>
  <c r="F68" i="59" s="1"/>
  <c r="B67" i="64"/>
  <c r="G67" i="64"/>
  <c r="H67" i="64"/>
  <c r="I72" i="3"/>
  <c r="I73" i="3" s="1"/>
  <c r="H73" i="3"/>
  <c r="J149" i="31"/>
  <c r="E67" i="26"/>
  <c r="F67" i="26" s="1"/>
  <c r="E70" i="43"/>
  <c r="F70" i="43" s="1"/>
  <c r="G70" i="43" s="1"/>
  <c r="I62" i="80"/>
  <c r="E72" i="17"/>
  <c r="E73" i="17" s="1"/>
  <c r="G153" i="17"/>
  <c r="D154" i="17"/>
  <c r="E154" i="17" s="1"/>
  <c r="E155" i="17" s="1"/>
  <c r="J150" i="30"/>
  <c r="J148" i="18"/>
  <c r="J144" i="61"/>
  <c r="J146" i="45"/>
  <c r="J147" i="39"/>
  <c r="J147" i="74"/>
  <c r="D147" i="60"/>
  <c r="G146" i="60"/>
  <c r="J154" i="70"/>
  <c r="J155" i="70" s="1"/>
  <c r="G148" i="39"/>
  <c r="D149" i="39"/>
  <c r="E149" i="39" s="1"/>
  <c r="D144" i="26"/>
  <c r="G146" i="54"/>
  <c r="D147" i="54"/>
  <c r="G152" i="28"/>
  <c r="D153" i="28"/>
  <c r="E153" i="28" s="1"/>
  <c r="G148" i="73"/>
  <c r="D149" i="73"/>
  <c r="E149" i="73" s="1"/>
  <c r="G145" i="75"/>
  <c r="D146" i="75"/>
  <c r="E146" i="75"/>
  <c r="G151" i="27"/>
  <c r="D152" i="27"/>
  <c r="E152" i="27" s="1"/>
  <c r="D146" i="59"/>
  <c r="G145" i="59"/>
  <c r="E146" i="59"/>
  <c r="G143" i="76"/>
  <c r="D144" i="76"/>
  <c r="E144" i="76" s="1"/>
  <c r="D65" i="86"/>
  <c r="E65" i="86" s="1"/>
  <c r="G64" i="86"/>
  <c r="H64" i="86"/>
  <c r="B66" i="62"/>
  <c r="D144" i="77"/>
  <c r="G143" i="77"/>
  <c r="I61" i="25"/>
  <c r="F72" i="29"/>
  <c r="H72" i="29" s="1"/>
  <c r="B72" i="29"/>
  <c r="G144" i="85"/>
  <c r="D145" i="85"/>
  <c r="D151" i="24"/>
  <c r="E151" i="24" s="1"/>
  <c r="G150" i="24"/>
  <c r="B145" i="78"/>
  <c r="G150" i="71"/>
  <c r="D151" i="71"/>
  <c r="B64" i="78"/>
  <c r="G141" i="98"/>
  <c r="D142" i="98"/>
  <c r="E142" i="98" s="1"/>
  <c r="G141" i="86"/>
  <c r="D142" i="86"/>
  <c r="E142" i="86" s="1"/>
  <c r="B69" i="39"/>
  <c r="J145" i="53"/>
  <c r="B154" i="29"/>
  <c r="G142" i="80"/>
  <c r="D143" i="80"/>
  <c r="E143" i="80"/>
  <c r="D145" i="82"/>
  <c r="E145" i="82" s="1"/>
  <c r="G144" i="82"/>
  <c r="G148" i="41"/>
  <c r="D149" i="41"/>
  <c r="E149" i="41" s="1"/>
  <c r="E154" i="29"/>
  <c r="E155" i="29" s="1"/>
  <c r="F70" i="18"/>
  <c r="G70" i="18" s="1"/>
  <c r="H70" i="18"/>
  <c r="B70" i="18"/>
  <c r="D62" i="25"/>
  <c r="D143" i="81"/>
  <c r="E143" i="81" s="1"/>
  <c r="G142" i="81"/>
  <c r="D142" i="90"/>
  <c r="E142" i="90" s="1"/>
  <c r="G141" i="90"/>
  <c r="J145" i="46"/>
  <c r="B152" i="23"/>
  <c r="F152" i="23"/>
  <c r="D147" i="57"/>
  <c r="E147" i="57" s="1"/>
  <c r="G146" i="57"/>
  <c r="G151" i="69"/>
  <c r="D152" i="69"/>
  <c r="E152" i="69" s="1"/>
  <c r="G141" i="92"/>
  <c r="D142" i="92"/>
  <c r="E142" i="92" s="1"/>
  <c r="F150" i="19"/>
  <c r="B150" i="19"/>
  <c r="G142" i="100"/>
  <c r="D143" i="100"/>
  <c r="E145" i="78"/>
  <c r="F145" i="78" s="1"/>
  <c r="E64" i="78"/>
  <c r="F64" i="78" s="1"/>
  <c r="J151" i="28"/>
  <c r="G146" i="56"/>
  <c r="D147" i="56"/>
  <c r="E147" i="56" s="1"/>
  <c r="J148" i="21"/>
  <c r="E69" i="39"/>
  <c r="F69" i="39" s="1"/>
  <c r="J142" i="77"/>
  <c r="I60" i="96"/>
  <c r="I145" i="63"/>
  <c r="H145" i="63"/>
  <c r="G151" i="30"/>
  <c r="D152" i="30"/>
  <c r="E152" i="30" s="1"/>
  <c r="F62" i="87"/>
  <c r="H62" i="87" s="1"/>
  <c r="B62" i="87"/>
  <c r="B61" i="96"/>
  <c r="D147" i="46"/>
  <c r="E147" i="46" s="1"/>
  <c r="G146" i="46"/>
  <c r="F150" i="34"/>
  <c r="B150" i="34"/>
  <c r="F70" i="21"/>
  <c r="B70" i="21"/>
  <c r="I149" i="19"/>
  <c r="H149" i="19"/>
  <c r="G149" i="3"/>
  <c r="D150" i="3"/>
  <c r="E150" i="3" s="1"/>
  <c r="J147" i="41"/>
  <c r="J150" i="69"/>
  <c r="D150" i="21"/>
  <c r="E150" i="21" s="1"/>
  <c r="G149" i="21"/>
  <c r="D145" i="65"/>
  <c r="G144" i="65"/>
  <c r="G146" i="53"/>
  <c r="D147" i="53"/>
  <c r="E147" i="53" s="1"/>
  <c r="B67" i="54"/>
  <c r="F67" i="54"/>
  <c r="H67" i="54" s="1"/>
  <c r="J147" i="73"/>
  <c r="E61" i="96"/>
  <c r="F61" i="96" s="1"/>
  <c r="I63" i="75"/>
  <c r="F61" i="100"/>
  <c r="B61" i="100"/>
  <c r="G148" i="74"/>
  <c r="D149" i="74"/>
  <c r="E149" i="74" s="1"/>
  <c r="G148" i="55"/>
  <c r="D149" i="55"/>
  <c r="E149" i="55" s="1"/>
  <c r="G150" i="32"/>
  <c r="D151" i="32"/>
  <c r="E151" i="32" s="1"/>
  <c r="H151" i="23"/>
  <c r="I151" i="23"/>
  <c r="J151" i="23" s="1"/>
  <c r="H144" i="66"/>
  <c r="I144" i="66"/>
  <c r="J144" i="66" s="1"/>
  <c r="G141" i="89"/>
  <c r="D142" i="89"/>
  <c r="E142" i="89" s="1"/>
  <c r="G141" i="88"/>
  <c r="D142" i="88"/>
  <c r="E142" i="88" s="1"/>
  <c r="G152" i="20"/>
  <c r="D153" i="20"/>
  <c r="E153" i="20" s="1"/>
  <c r="B70" i="22"/>
  <c r="F146" i="63"/>
  <c r="B146" i="63"/>
  <c r="G146" i="58"/>
  <c r="D147" i="58"/>
  <c r="E147" i="58"/>
  <c r="D145" i="68"/>
  <c r="E145" i="68" s="1"/>
  <c r="G144" i="68"/>
  <c r="G142" i="99"/>
  <c r="D143" i="99"/>
  <c r="E143" i="99" s="1"/>
  <c r="B64" i="75"/>
  <c r="G143" i="79"/>
  <c r="D144" i="79"/>
  <c r="E144" i="79" s="1"/>
  <c r="D146" i="61"/>
  <c r="G145" i="61"/>
  <c r="G142" i="83"/>
  <c r="D143" i="83"/>
  <c r="E143" i="83" s="1"/>
  <c r="H143" i="13"/>
  <c r="I143" i="13"/>
  <c r="J149" i="71"/>
  <c r="J143" i="68"/>
  <c r="E70" i="22"/>
  <c r="F70" i="22" s="1"/>
  <c r="J144" i="75"/>
  <c r="J145" i="58"/>
  <c r="F62" i="90"/>
  <c r="H62" i="90" s="1"/>
  <c r="B62" i="90"/>
  <c r="J144" i="64"/>
  <c r="G145" i="64"/>
  <c r="D146" i="64"/>
  <c r="E146" i="64" s="1"/>
  <c r="I70" i="32"/>
  <c r="E64" i="75"/>
  <c r="F64" i="75" s="1"/>
  <c r="B147" i="67"/>
  <c r="I149" i="34"/>
  <c r="H149" i="34"/>
  <c r="H144" i="78"/>
  <c r="I144" i="78"/>
  <c r="F145" i="66"/>
  <c r="B145" i="66"/>
  <c r="I153" i="29"/>
  <c r="H153" i="29"/>
  <c r="E66" i="62"/>
  <c r="F66" i="62" s="1"/>
  <c r="F144" i="13"/>
  <c r="B144" i="13"/>
  <c r="B72" i="19"/>
  <c r="F72" i="19"/>
  <c r="G72" i="19" s="1"/>
  <c r="G73" i="19" s="1"/>
  <c r="B72" i="30"/>
  <c r="F72" i="30"/>
  <c r="H72" i="30" s="1"/>
  <c r="G72" i="30"/>
  <c r="G73" i="30" s="1"/>
  <c r="D142" i="91"/>
  <c r="E142" i="91" s="1"/>
  <c r="G141" i="91"/>
  <c r="J147" i="55"/>
  <c r="J142" i="79"/>
  <c r="E147" i="67"/>
  <c r="F147" i="67" s="1"/>
  <c r="G147" i="62"/>
  <c r="D148" i="62"/>
  <c r="B63" i="88"/>
  <c r="F63" i="88"/>
  <c r="H63" i="88" s="1"/>
  <c r="G63" i="88"/>
  <c r="D148" i="45"/>
  <c r="G147" i="45"/>
  <c r="G149" i="18"/>
  <c r="D150" i="18"/>
  <c r="E150" i="18" s="1"/>
  <c r="G146" i="72"/>
  <c r="D147" i="72"/>
  <c r="E147" i="72"/>
  <c r="D142" i="96"/>
  <c r="E142" i="96" s="1"/>
  <c r="G141" i="96"/>
  <c r="G141" i="84"/>
  <c r="D142" i="84"/>
  <c r="E142" i="84" s="1"/>
  <c r="D150" i="22"/>
  <c r="G149" i="22"/>
  <c r="B65" i="13"/>
  <c r="F65" i="13"/>
  <c r="H65" i="13" s="1"/>
  <c r="B71" i="32"/>
  <c r="F71" i="32"/>
  <c r="H71" i="32" s="1"/>
  <c r="H146" i="67"/>
  <c r="I146" i="67"/>
  <c r="F62" i="89"/>
  <c r="H62" i="89" s="1"/>
  <c r="B62" i="89"/>
  <c r="H65" i="33" l="1"/>
  <c r="D66" i="33"/>
  <c r="G65" i="33"/>
  <c r="I65" i="33" s="1"/>
  <c r="I143" i="25"/>
  <c r="J143" i="25" s="1"/>
  <c r="H143" i="25"/>
  <c r="G62" i="87"/>
  <c r="I65" i="85"/>
  <c r="B142" i="87"/>
  <c r="E142" i="87"/>
  <c r="F142" i="87" s="1"/>
  <c r="H142" i="95"/>
  <c r="I142" i="95"/>
  <c r="J148" i="42"/>
  <c r="H141" i="87"/>
  <c r="I141" i="87"/>
  <c r="E144" i="25"/>
  <c r="F144" i="25" s="1"/>
  <c r="E143" i="95"/>
  <c r="F143" i="95" s="1"/>
  <c r="B143" i="95"/>
  <c r="H61" i="97"/>
  <c r="D62" i="97"/>
  <c r="G61" i="97"/>
  <c r="D66" i="77"/>
  <c r="D69" i="57"/>
  <c r="E69" i="57" s="1"/>
  <c r="G68" i="57"/>
  <c r="I68" i="57" s="1"/>
  <c r="H68" i="57"/>
  <c r="D72" i="74"/>
  <c r="E72" i="74" s="1"/>
  <c r="E73" i="74" s="1"/>
  <c r="H71" i="74"/>
  <c r="G71" i="74"/>
  <c r="H66" i="60"/>
  <c r="D67" i="60"/>
  <c r="E67" i="60" s="1"/>
  <c r="G66" i="60"/>
  <c r="D67" i="76"/>
  <c r="G66" i="76"/>
  <c r="H66" i="76"/>
  <c r="D62" i="99"/>
  <c r="E62" i="99"/>
  <c r="D144" i="33"/>
  <c r="G143" i="33"/>
  <c r="D64" i="92"/>
  <c r="E64" i="92"/>
  <c r="D149" i="43"/>
  <c r="G148" i="43"/>
  <c r="E72" i="44"/>
  <c r="E73" i="44" s="1"/>
  <c r="F72" i="44"/>
  <c r="H72" i="44" s="1"/>
  <c r="B72" i="44"/>
  <c r="D69" i="58"/>
  <c r="G68" i="58"/>
  <c r="H68" i="58"/>
  <c r="I68" i="58" s="1"/>
  <c r="E65" i="79"/>
  <c r="F65" i="79"/>
  <c r="G65" i="79" s="1"/>
  <c r="B65" i="79"/>
  <c r="H65" i="79"/>
  <c r="D68" i="63"/>
  <c r="E68" i="63"/>
  <c r="F68" i="63" s="1"/>
  <c r="D143" i="97"/>
  <c r="G142" i="97"/>
  <c r="E62" i="95"/>
  <c r="F62" i="95" s="1"/>
  <c r="G62" i="95"/>
  <c r="H62" i="95"/>
  <c r="I62" i="95" s="1"/>
  <c r="B62" i="95"/>
  <c r="G63" i="81"/>
  <c r="E65" i="65"/>
  <c r="F65" i="65" s="1"/>
  <c r="D66" i="65" s="1"/>
  <c r="B65" i="65"/>
  <c r="E68" i="45"/>
  <c r="F68" i="45" s="1"/>
  <c r="B68" i="45"/>
  <c r="I71" i="69"/>
  <c r="G62" i="89"/>
  <c r="D65" i="84"/>
  <c r="E65" i="84" s="1"/>
  <c r="F65" i="84" s="1"/>
  <c r="D66" i="84" s="1"/>
  <c r="I69" i="72"/>
  <c r="B61" i="99"/>
  <c r="H61" i="99"/>
  <c r="I61" i="99" s="1"/>
  <c r="G61" i="99"/>
  <c r="B72" i="24"/>
  <c r="F72" i="24"/>
  <c r="G72" i="24" s="1"/>
  <c r="G73" i="24" s="1"/>
  <c r="H72" i="24"/>
  <c r="F62" i="98"/>
  <c r="H62" i="98" s="1"/>
  <c r="I62" i="98" s="1"/>
  <c r="B62" i="98"/>
  <c r="G62" i="98"/>
  <c r="I70" i="44"/>
  <c r="D150" i="44"/>
  <c r="E150" i="44" s="1"/>
  <c r="G149" i="44"/>
  <c r="H64" i="84"/>
  <c r="I71" i="24"/>
  <c r="B68" i="68"/>
  <c r="F68" i="68"/>
  <c r="G68" i="68"/>
  <c r="I63" i="83"/>
  <c r="I70" i="56"/>
  <c r="E64" i="82"/>
  <c r="B64" i="82"/>
  <c r="F64" i="82"/>
  <c r="H64" i="82" s="1"/>
  <c r="G67" i="63"/>
  <c r="J148" i="44"/>
  <c r="I70" i="41"/>
  <c r="G61" i="95"/>
  <c r="I67" i="68"/>
  <c r="E71" i="56"/>
  <c r="F71" i="56" s="1"/>
  <c r="I142" i="26"/>
  <c r="H142" i="26"/>
  <c r="E67" i="46"/>
  <c r="F67" i="46" s="1"/>
  <c r="B67" i="46"/>
  <c r="H63" i="80"/>
  <c r="I63" i="91"/>
  <c r="E64" i="81"/>
  <c r="F64" i="81" s="1"/>
  <c r="G64" i="81" s="1"/>
  <c r="B64" i="81"/>
  <c r="G64" i="84"/>
  <c r="I64" i="84" s="1"/>
  <c r="J147" i="43"/>
  <c r="D70" i="72"/>
  <c r="E70" i="72" s="1"/>
  <c r="B65" i="77"/>
  <c r="G65" i="77"/>
  <c r="H65" i="77"/>
  <c r="I65" i="77" s="1"/>
  <c r="H67" i="63"/>
  <c r="J142" i="33"/>
  <c r="B63" i="92"/>
  <c r="H63" i="92"/>
  <c r="I63" i="92" s="1"/>
  <c r="G63" i="92"/>
  <c r="B67" i="66"/>
  <c r="F67" i="66"/>
  <c r="H67" i="66"/>
  <c r="H71" i="41"/>
  <c r="I71" i="41" s="1"/>
  <c r="D72" i="41"/>
  <c r="E72" i="41"/>
  <c r="E73" i="41" s="1"/>
  <c r="I72" i="42"/>
  <c r="I73" i="42" s="1"/>
  <c r="I61" i="98"/>
  <c r="G149" i="42"/>
  <c r="D150" i="42"/>
  <c r="B150" i="42" s="1"/>
  <c r="H61" i="95"/>
  <c r="I61" i="95" s="1"/>
  <c r="H63" i="81"/>
  <c r="I63" i="81" s="1"/>
  <c r="B71" i="44"/>
  <c r="H71" i="44"/>
  <c r="G71" i="44"/>
  <c r="E64" i="83"/>
  <c r="F64" i="83" s="1"/>
  <c r="I66" i="46"/>
  <c r="E72" i="69"/>
  <c r="E73" i="69" s="1"/>
  <c r="B72" i="69"/>
  <c r="D68" i="26"/>
  <c r="E68" i="26" s="1"/>
  <c r="F68" i="26" s="1"/>
  <c r="H67" i="26"/>
  <c r="G67" i="26"/>
  <c r="G70" i="53"/>
  <c r="D71" i="53"/>
  <c r="E71" i="53" s="1"/>
  <c r="H70" i="53"/>
  <c r="G68" i="59"/>
  <c r="D69" i="59"/>
  <c r="E69" i="59" s="1"/>
  <c r="H68" i="59"/>
  <c r="I70" i="18"/>
  <c r="G72" i="29"/>
  <c r="G73" i="29" s="1"/>
  <c r="I67" i="64"/>
  <c r="I67" i="61"/>
  <c r="B68" i="61"/>
  <c r="F68" i="61"/>
  <c r="G68" i="61" s="1"/>
  <c r="I71" i="73"/>
  <c r="D64" i="80"/>
  <c r="E64" i="80" s="1"/>
  <c r="D66" i="85"/>
  <c r="E66" i="85" s="1"/>
  <c r="E67" i="67"/>
  <c r="F67" i="67" s="1"/>
  <c r="B67" i="67"/>
  <c r="H150" i="31"/>
  <c r="I150" i="31"/>
  <c r="J150" i="31" s="1"/>
  <c r="I66" i="67"/>
  <c r="B72" i="73"/>
  <c r="F72" i="73"/>
  <c r="G72" i="73" s="1"/>
  <c r="G73" i="73" s="1"/>
  <c r="D65" i="91"/>
  <c r="E65" i="91" s="1"/>
  <c r="D71" i="43"/>
  <c r="E71" i="43" s="1"/>
  <c r="H68" i="55"/>
  <c r="D69" i="55"/>
  <c r="E69" i="55" s="1"/>
  <c r="F68" i="64"/>
  <c r="G68" i="64" s="1"/>
  <c r="B68" i="64"/>
  <c r="E151" i="31"/>
  <c r="F151" i="31" s="1"/>
  <c r="B151" i="31"/>
  <c r="I63" i="80"/>
  <c r="F72" i="17"/>
  <c r="H70" i="43"/>
  <c r="I70" i="43" s="1"/>
  <c r="B64" i="91"/>
  <c r="H64" i="91"/>
  <c r="G64" i="91"/>
  <c r="J146" i="67"/>
  <c r="I146" i="60"/>
  <c r="H146" i="60"/>
  <c r="F154" i="17"/>
  <c r="G154" i="17" s="1"/>
  <c r="B154" i="17"/>
  <c r="E147" i="60"/>
  <c r="B147" i="60"/>
  <c r="F147" i="60"/>
  <c r="I153" i="17"/>
  <c r="J153" i="17" s="1"/>
  <c r="H153" i="17"/>
  <c r="D65" i="78"/>
  <c r="E65" i="78" s="1"/>
  <c r="H64" i="78"/>
  <c r="G64" i="78"/>
  <c r="D146" i="78"/>
  <c r="E146" i="78" s="1"/>
  <c r="G145" i="78"/>
  <c r="G147" i="67"/>
  <c r="D148" i="67"/>
  <c r="E148" i="67" s="1"/>
  <c r="D70" i="39"/>
  <c r="G69" i="39"/>
  <c r="H69" i="39"/>
  <c r="D71" i="22"/>
  <c r="E71" i="22" s="1"/>
  <c r="G70" i="22"/>
  <c r="H70" i="22"/>
  <c r="I70" i="22" s="1"/>
  <c r="D67" i="62"/>
  <c r="H66" i="62"/>
  <c r="G66" i="62"/>
  <c r="D62" i="96"/>
  <c r="E62" i="96" s="1"/>
  <c r="H61" i="96"/>
  <c r="G61" i="96"/>
  <c r="I72" i="29"/>
  <c r="I73" i="29" s="1"/>
  <c r="H73" i="29"/>
  <c r="B148" i="45"/>
  <c r="J144" i="78"/>
  <c r="H145" i="64"/>
  <c r="I145" i="64"/>
  <c r="I145" i="61"/>
  <c r="H145" i="61"/>
  <c r="H143" i="79"/>
  <c r="I143" i="79"/>
  <c r="J143" i="79" s="1"/>
  <c r="D65" i="75"/>
  <c r="E65" i="75" s="1"/>
  <c r="I142" i="99"/>
  <c r="H142" i="99"/>
  <c r="D147" i="63"/>
  <c r="G146" i="63"/>
  <c r="F142" i="88"/>
  <c r="B142" i="88"/>
  <c r="I141" i="89"/>
  <c r="H141" i="89"/>
  <c r="D62" i="100"/>
  <c r="E62" i="100" s="1"/>
  <c r="B145" i="65"/>
  <c r="D71" i="21"/>
  <c r="E71" i="21" s="1"/>
  <c r="H146" i="56"/>
  <c r="I146" i="56"/>
  <c r="D151" i="19"/>
  <c r="E151" i="19" s="1"/>
  <c r="G150" i="19"/>
  <c r="B151" i="71"/>
  <c r="B145" i="85"/>
  <c r="H143" i="77"/>
  <c r="I143" i="77"/>
  <c r="I145" i="75"/>
  <c r="J145" i="75" s="1"/>
  <c r="H145" i="75"/>
  <c r="B147" i="54"/>
  <c r="B150" i="22"/>
  <c r="D145" i="13"/>
  <c r="E145" i="13" s="1"/>
  <c r="G144" i="13"/>
  <c r="B146" i="61"/>
  <c r="I141" i="88"/>
  <c r="H141" i="88"/>
  <c r="B149" i="55"/>
  <c r="F149" i="55"/>
  <c r="G61" i="100"/>
  <c r="D68" i="54"/>
  <c r="E68" i="54"/>
  <c r="B150" i="3"/>
  <c r="F150" i="3"/>
  <c r="H141" i="90"/>
  <c r="I141" i="90"/>
  <c r="F142" i="98"/>
  <c r="B142" i="98"/>
  <c r="H150" i="71"/>
  <c r="I150" i="71"/>
  <c r="I144" i="85"/>
  <c r="H144" i="85"/>
  <c r="B144" i="77"/>
  <c r="F65" i="86"/>
  <c r="G65" i="86" s="1"/>
  <c r="B65" i="86"/>
  <c r="H146" i="54"/>
  <c r="I146" i="54"/>
  <c r="B147" i="72"/>
  <c r="F147" i="72"/>
  <c r="D63" i="89"/>
  <c r="I146" i="72"/>
  <c r="H146" i="72"/>
  <c r="D64" i="88"/>
  <c r="E64" i="88" s="1"/>
  <c r="H141" i="91"/>
  <c r="I141" i="91"/>
  <c r="I144" i="68"/>
  <c r="H144" i="68"/>
  <c r="I148" i="55"/>
  <c r="J148" i="55" s="1"/>
  <c r="H148" i="55"/>
  <c r="I149" i="21"/>
  <c r="H149" i="21"/>
  <c r="H149" i="3"/>
  <c r="I149" i="3"/>
  <c r="G150" i="34"/>
  <c r="D151" i="34"/>
  <c r="E151" i="34"/>
  <c r="I62" i="87"/>
  <c r="B142" i="92"/>
  <c r="F142" i="92"/>
  <c r="B142" i="90"/>
  <c r="F142" i="90"/>
  <c r="D71" i="18"/>
  <c r="E71" i="18" s="1"/>
  <c r="B149" i="41"/>
  <c r="F149" i="41"/>
  <c r="B143" i="80"/>
  <c r="F143" i="80"/>
  <c r="H141" i="98"/>
  <c r="I141" i="98"/>
  <c r="F149" i="73"/>
  <c r="B149" i="73"/>
  <c r="I143" i="26"/>
  <c r="H143" i="26"/>
  <c r="I63" i="88"/>
  <c r="B142" i="91"/>
  <c r="F142" i="91"/>
  <c r="B145" i="68"/>
  <c r="F145" i="68"/>
  <c r="B153" i="20"/>
  <c r="F153" i="20"/>
  <c r="B150" i="21"/>
  <c r="F150" i="21"/>
  <c r="D63" i="87"/>
  <c r="I141" i="92"/>
  <c r="H141" i="92"/>
  <c r="H146" i="57"/>
  <c r="I146" i="57"/>
  <c r="I148" i="41"/>
  <c r="H148" i="41"/>
  <c r="H142" i="80"/>
  <c r="I142" i="80"/>
  <c r="F144" i="76"/>
  <c r="B144" i="76"/>
  <c r="I148" i="73"/>
  <c r="H148" i="73"/>
  <c r="B144" i="26"/>
  <c r="D66" i="13"/>
  <c r="E66" i="13" s="1"/>
  <c r="H141" i="84"/>
  <c r="I141" i="84"/>
  <c r="B150" i="18"/>
  <c r="F150" i="18"/>
  <c r="I72" i="30"/>
  <c r="I73" i="30" s="1"/>
  <c r="H73" i="30"/>
  <c r="J153" i="29"/>
  <c r="G62" i="90"/>
  <c r="I62" i="90" s="1"/>
  <c r="F143" i="83"/>
  <c r="B143" i="83"/>
  <c r="H152" i="20"/>
  <c r="I152" i="20"/>
  <c r="F149" i="74"/>
  <c r="B149" i="74"/>
  <c r="F147" i="53"/>
  <c r="B147" i="53"/>
  <c r="J149" i="19"/>
  <c r="H146" i="46"/>
  <c r="I146" i="46"/>
  <c r="J145" i="63"/>
  <c r="B143" i="100"/>
  <c r="B147" i="57"/>
  <c r="F147" i="57"/>
  <c r="I142" i="81"/>
  <c r="H142" i="81"/>
  <c r="F154" i="29"/>
  <c r="G154" i="29" s="1"/>
  <c r="H143" i="76"/>
  <c r="I143" i="76"/>
  <c r="J143" i="76" s="1"/>
  <c r="F152" i="27"/>
  <c r="B152" i="27"/>
  <c r="E144" i="26"/>
  <c r="F144" i="26" s="1"/>
  <c r="I149" i="22"/>
  <c r="H149" i="22"/>
  <c r="F142" i="84"/>
  <c r="B142" i="84"/>
  <c r="G65" i="13"/>
  <c r="I149" i="18"/>
  <c r="H149" i="18"/>
  <c r="B148" i="62"/>
  <c r="H72" i="19"/>
  <c r="J149" i="34"/>
  <c r="I142" i="83"/>
  <c r="H142" i="83"/>
  <c r="B147" i="58"/>
  <c r="F147" i="58"/>
  <c r="I148" i="74"/>
  <c r="H148" i="74"/>
  <c r="H146" i="53"/>
  <c r="I146" i="53"/>
  <c r="F147" i="46"/>
  <c r="B147" i="46"/>
  <c r="F152" i="30"/>
  <c r="B152" i="30"/>
  <c r="E143" i="100"/>
  <c r="F143" i="100" s="1"/>
  <c r="B152" i="69"/>
  <c r="F152" i="69"/>
  <c r="G152" i="23"/>
  <c r="D153" i="23"/>
  <c r="E153" i="23" s="1"/>
  <c r="B143" i="81"/>
  <c r="F143" i="81"/>
  <c r="I144" i="82"/>
  <c r="H144" i="82"/>
  <c r="I150" i="24"/>
  <c r="H150" i="24"/>
  <c r="H151" i="27"/>
  <c r="I151" i="27"/>
  <c r="J151" i="27" s="1"/>
  <c r="F153" i="28"/>
  <c r="B153" i="28"/>
  <c r="D72" i="32"/>
  <c r="E72" i="32" s="1"/>
  <c r="E73" i="32" s="1"/>
  <c r="I62" i="89"/>
  <c r="I65" i="13"/>
  <c r="H141" i="96"/>
  <c r="I141" i="96"/>
  <c r="E148" i="45"/>
  <c r="F148" i="45" s="1"/>
  <c r="E148" i="62"/>
  <c r="F148" i="62" s="1"/>
  <c r="G145" i="66"/>
  <c r="D146" i="66"/>
  <c r="E146" i="66" s="1"/>
  <c r="H64" i="75"/>
  <c r="H146" i="58"/>
  <c r="I146" i="58"/>
  <c r="J146" i="58" s="1"/>
  <c r="F151" i="32"/>
  <c r="B151" i="32"/>
  <c r="H61" i="100"/>
  <c r="I61" i="100" s="1"/>
  <c r="E145" i="65"/>
  <c r="F145" i="65" s="1"/>
  <c r="H70" i="21"/>
  <c r="H151" i="30"/>
  <c r="I151" i="30"/>
  <c r="I142" i="100"/>
  <c r="H142" i="100"/>
  <c r="I151" i="69"/>
  <c r="J151" i="69" s="1"/>
  <c r="H151" i="69"/>
  <c r="B62" i="25"/>
  <c r="F145" i="82"/>
  <c r="B145" i="82"/>
  <c r="B142" i="86"/>
  <c r="F142" i="86"/>
  <c r="B151" i="24"/>
  <c r="F151" i="24"/>
  <c r="I64" i="86"/>
  <c r="H145" i="59"/>
  <c r="I145" i="59"/>
  <c r="H152" i="28"/>
  <c r="I152" i="28"/>
  <c r="F149" i="39"/>
  <c r="B149" i="39"/>
  <c r="G71" i="32"/>
  <c r="I71" i="32" s="1"/>
  <c r="E150" i="22"/>
  <c r="F150" i="22" s="1"/>
  <c r="F142" i="96"/>
  <c r="B142" i="96"/>
  <c r="I147" i="45"/>
  <c r="H147" i="45"/>
  <c r="H147" i="62"/>
  <c r="I147" i="62"/>
  <c r="J147" i="62" s="1"/>
  <c r="B146" i="64"/>
  <c r="F146" i="64"/>
  <c r="D63" i="90"/>
  <c r="E146" i="61"/>
  <c r="F146" i="61" s="1"/>
  <c r="F144" i="79"/>
  <c r="B144" i="79"/>
  <c r="G64" i="75"/>
  <c r="F143" i="99"/>
  <c r="B143" i="99"/>
  <c r="B142" i="89"/>
  <c r="F142" i="89"/>
  <c r="H150" i="32"/>
  <c r="I150" i="32"/>
  <c r="G67" i="54"/>
  <c r="I67" i="54" s="1"/>
  <c r="H144" i="65"/>
  <c r="I144" i="65"/>
  <c r="G70" i="21"/>
  <c r="F147" i="56"/>
  <c r="B147" i="56"/>
  <c r="E62" i="25"/>
  <c r="F62" i="25" s="1"/>
  <c r="I141" i="86"/>
  <c r="H141" i="86"/>
  <c r="E151" i="71"/>
  <c r="F151" i="71" s="1"/>
  <c r="E145" i="85"/>
  <c r="F145" i="85" s="1"/>
  <c r="E144" i="77"/>
  <c r="F144" i="77" s="1"/>
  <c r="F146" i="59"/>
  <c r="B146" i="59"/>
  <c r="B146" i="75"/>
  <c r="F146" i="75"/>
  <c r="E147" i="54"/>
  <c r="F147" i="54" s="1"/>
  <c r="H148" i="39"/>
  <c r="I148" i="39"/>
  <c r="D144" i="95" l="1"/>
  <c r="G143" i="95"/>
  <c r="I72" i="24"/>
  <c r="I73" i="24" s="1"/>
  <c r="I71" i="44"/>
  <c r="D145" i="25"/>
  <c r="G144" i="25"/>
  <c r="E66" i="33"/>
  <c r="F66" i="33" s="1"/>
  <c r="B66" i="33"/>
  <c r="H73" i="24"/>
  <c r="I71" i="74"/>
  <c r="H68" i="64"/>
  <c r="F72" i="69"/>
  <c r="G72" i="69" s="1"/>
  <c r="G73" i="69" s="1"/>
  <c r="I67" i="63"/>
  <c r="I66" i="60"/>
  <c r="D143" i="87"/>
  <c r="G142" i="87"/>
  <c r="H67" i="46"/>
  <c r="D68" i="46"/>
  <c r="G67" i="46"/>
  <c r="H68" i="45"/>
  <c r="D69" i="45"/>
  <c r="E69" i="45"/>
  <c r="G68" i="45"/>
  <c r="I68" i="45" s="1"/>
  <c r="J146" i="54"/>
  <c r="H72" i="69"/>
  <c r="J142" i="26"/>
  <c r="H149" i="44"/>
  <c r="I149" i="44"/>
  <c r="D63" i="98"/>
  <c r="G65" i="65"/>
  <c r="H142" i="97"/>
  <c r="I142" i="97"/>
  <c r="G72" i="44"/>
  <c r="G73" i="44" s="1"/>
  <c r="H148" i="43"/>
  <c r="I148" i="43"/>
  <c r="I143" i="33"/>
  <c r="H143" i="33"/>
  <c r="I66" i="76"/>
  <c r="B66" i="77"/>
  <c r="E150" i="42"/>
  <c r="F150" i="42" s="1"/>
  <c r="F70" i="72"/>
  <c r="D71" i="72" s="1"/>
  <c r="B70" i="72"/>
  <c r="D65" i="81"/>
  <c r="G71" i="56"/>
  <c r="D72" i="56"/>
  <c r="H71" i="56"/>
  <c r="G64" i="82"/>
  <c r="I64" i="82" s="1"/>
  <c r="D65" i="82"/>
  <c r="B143" i="97"/>
  <c r="E143" i="97"/>
  <c r="F143" i="97" s="1"/>
  <c r="I65" i="79"/>
  <c r="E149" i="43"/>
  <c r="F149" i="43" s="1"/>
  <c r="B149" i="43"/>
  <c r="E144" i="33"/>
  <c r="F144" i="33" s="1"/>
  <c r="B144" i="33"/>
  <c r="F67" i="60"/>
  <c r="D68" i="60" s="1"/>
  <c r="B67" i="60"/>
  <c r="G67" i="60"/>
  <c r="G67" i="66"/>
  <c r="I67" i="66" s="1"/>
  <c r="D68" i="66"/>
  <c r="E68" i="66"/>
  <c r="F68" i="66" s="1"/>
  <c r="D69" i="66" s="1"/>
  <c r="B150" i="44"/>
  <c r="F150" i="44"/>
  <c r="E66" i="84"/>
  <c r="F66" i="84" s="1"/>
  <c r="B66" i="84"/>
  <c r="E66" i="65"/>
  <c r="F66" i="65" s="1"/>
  <c r="B66" i="65"/>
  <c r="G66" i="65"/>
  <c r="E69" i="63"/>
  <c r="D69" i="63"/>
  <c r="E67" i="76"/>
  <c r="F67" i="76" s="1"/>
  <c r="H67" i="76"/>
  <c r="B67" i="76"/>
  <c r="F72" i="74"/>
  <c r="H72" i="74" s="1"/>
  <c r="B72" i="74"/>
  <c r="B69" i="57"/>
  <c r="F69" i="57"/>
  <c r="H69" i="57" s="1"/>
  <c r="E62" i="97"/>
  <c r="F62" i="97" s="1"/>
  <c r="B62" i="97"/>
  <c r="G64" i="83"/>
  <c r="D65" i="83"/>
  <c r="H64" i="83"/>
  <c r="I149" i="42"/>
  <c r="H149" i="42"/>
  <c r="F72" i="41"/>
  <c r="H72" i="41" s="1"/>
  <c r="B72" i="41"/>
  <c r="H64" i="81"/>
  <c r="I64" i="81" s="1"/>
  <c r="H68" i="68"/>
  <c r="I68" i="68" s="1"/>
  <c r="D69" i="68"/>
  <c r="H73" i="44"/>
  <c r="B65" i="84"/>
  <c r="H65" i="84"/>
  <c r="G65" i="84"/>
  <c r="H65" i="65"/>
  <c r="D63" i="95"/>
  <c r="E63" i="95" s="1"/>
  <c r="F63" i="95" s="1"/>
  <c r="B68" i="63"/>
  <c r="G68" i="63"/>
  <c r="H68" i="63"/>
  <c r="D66" i="79"/>
  <c r="B69" i="58"/>
  <c r="E69" i="58"/>
  <c r="F69" i="58" s="1"/>
  <c r="B64" i="92"/>
  <c r="F64" i="92"/>
  <c r="H64" i="92"/>
  <c r="F62" i="99"/>
  <c r="B62" i="99"/>
  <c r="E66" i="77"/>
  <c r="F66" i="77" s="1"/>
  <c r="D67" i="77" s="1"/>
  <c r="I61" i="97"/>
  <c r="G67" i="67"/>
  <c r="D68" i="67"/>
  <c r="H67" i="67"/>
  <c r="G151" i="31"/>
  <c r="D152" i="31"/>
  <c r="E152" i="31" s="1"/>
  <c r="D69" i="26"/>
  <c r="E69" i="26" s="1"/>
  <c r="F69" i="26" s="1"/>
  <c r="J148" i="41"/>
  <c r="H65" i="86"/>
  <c r="I64" i="91"/>
  <c r="B69" i="55"/>
  <c r="F69" i="55"/>
  <c r="H69" i="55" s="1"/>
  <c r="H68" i="61"/>
  <c r="I68" i="61" s="1"/>
  <c r="D69" i="61"/>
  <c r="I69" i="39"/>
  <c r="I68" i="55"/>
  <c r="B71" i="43"/>
  <c r="F71" i="43"/>
  <c r="G71" i="43" s="1"/>
  <c r="H72" i="73"/>
  <c r="F66" i="85"/>
  <c r="D67" i="85" s="1"/>
  <c r="B66" i="85"/>
  <c r="B64" i="80"/>
  <c r="F64" i="80"/>
  <c r="G64" i="80" s="1"/>
  <c r="I68" i="59"/>
  <c r="I70" i="53"/>
  <c r="I67" i="26"/>
  <c r="H72" i="17"/>
  <c r="G72" i="17"/>
  <c r="G73" i="17" s="1"/>
  <c r="D69" i="64"/>
  <c r="E69" i="64"/>
  <c r="F69" i="64" s="1"/>
  <c r="B65" i="91"/>
  <c r="F65" i="91"/>
  <c r="B69" i="66"/>
  <c r="I68" i="64"/>
  <c r="B69" i="59"/>
  <c r="F69" i="59"/>
  <c r="D70" i="59" s="1"/>
  <c r="G69" i="59"/>
  <c r="B71" i="53"/>
  <c r="F71" i="53"/>
  <c r="G71" i="53" s="1"/>
  <c r="B68" i="26"/>
  <c r="G68" i="26"/>
  <c r="H68" i="26"/>
  <c r="J149" i="22"/>
  <c r="J143" i="77"/>
  <c r="H154" i="17"/>
  <c r="H155" i="17" s="1"/>
  <c r="I154" i="17"/>
  <c r="J154" i="17" s="1"/>
  <c r="J155" i="17" s="1"/>
  <c r="J148" i="39"/>
  <c r="J150" i="24"/>
  <c r="J149" i="3"/>
  <c r="D148" i="60"/>
  <c r="E148" i="60" s="1"/>
  <c r="G147" i="60"/>
  <c r="J146" i="60"/>
  <c r="J148" i="73"/>
  <c r="J143" i="26"/>
  <c r="J150" i="71"/>
  <c r="J146" i="72"/>
  <c r="J152" i="28"/>
  <c r="G148" i="62"/>
  <c r="D149" i="62"/>
  <c r="E149" i="62"/>
  <c r="G148" i="45"/>
  <c r="D149" i="45"/>
  <c r="E149" i="45" s="1"/>
  <c r="D63" i="25"/>
  <c r="E63" i="25" s="1"/>
  <c r="G62" i="25"/>
  <c r="H62" i="25"/>
  <c r="G145" i="85"/>
  <c r="D146" i="85"/>
  <c r="G150" i="22"/>
  <c r="D151" i="22"/>
  <c r="E151" i="22" s="1"/>
  <c r="D146" i="65"/>
  <c r="E146" i="65" s="1"/>
  <c r="G145" i="65"/>
  <c r="D145" i="77"/>
  <c r="G144" i="77"/>
  <c r="D152" i="71"/>
  <c r="E152" i="71" s="1"/>
  <c r="G151" i="71"/>
  <c r="G147" i="54"/>
  <c r="D148" i="54"/>
  <c r="E148" i="54" s="1"/>
  <c r="D147" i="61"/>
  <c r="G146" i="61"/>
  <c r="B63" i="90"/>
  <c r="D152" i="32"/>
  <c r="G151" i="32"/>
  <c r="D146" i="68"/>
  <c r="G145" i="68"/>
  <c r="E146" i="68"/>
  <c r="J149" i="21"/>
  <c r="D150" i="55"/>
  <c r="G149" i="55"/>
  <c r="E150" i="55"/>
  <c r="B147" i="63"/>
  <c r="J145" i="61"/>
  <c r="B70" i="39"/>
  <c r="I145" i="78"/>
  <c r="J145" i="78" s="1"/>
  <c r="H145" i="78"/>
  <c r="D143" i="96"/>
  <c r="G142" i="96"/>
  <c r="J150" i="32"/>
  <c r="D145" i="79"/>
  <c r="G144" i="79"/>
  <c r="D147" i="64"/>
  <c r="E147" i="64" s="1"/>
  <c r="G146" i="64"/>
  <c r="J151" i="30"/>
  <c r="D154" i="28"/>
  <c r="G153" i="28"/>
  <c r="D144" i="83"/>
  <c r="G143" i="83"/>
  <c r="E144" i="83"/>
  <c r="G150" i="18"/>
  <c r="D151" i="18"/>
  <c r="G149" i="73"/>
  <c r="D150" i="73"/>
  <c r="E150" i="73" s="1"/>
  <c r="B71" i="18"/>
  <c r="F71" i="18"/>
  <c r="H71" i="18" s="1"/>
  <c r="H144" i="13"/>
  <c r="I144" i="13"/>
  <c r="J145" i="64"/>
  <c r="I61" i="96"/>
  <c r="I66" i="62"/>
  <c r="D147" i="75"/>
  <c r="E147" i="75" s="1"/>
  <c r="G146" i="75"/>
  <c r="G151" i="24"/>
  <c r="D152" i="24"/>
  <c r="E152" i="24"/>
  <c r="D144" i="81"/>
  <c r="E144" i="81" s="1"/>
  <c r="G143" i="81"/>
  <c r="D148" i="57"/>
  <c r="G147" i="57"/>
  <c r="B63" i="87"/>
  <c r="F145" i="13"/>
  <c r="B145" i="13"/>
  <c r="F71" i="21"/>
  <c r="B71" i="21"/>
  <c r="B67" i="62"/>
  <c r="F146" i="78"/>
  <c r="B146" i="78"/>
  <c r="D148" i="56"/>
  <c r="E148" i="56" s="1"/>
  <c r="G147" i="56"/>
  <c r="D143" i="89"/>
  <c r="E143" i="89" s="1"/>
  <c r="G142" i="89"/>
  <c r="I70" i="21"/>
  <c r="D153" i="30"/>
  <c r="E153" i="30" s="1"/>
  <c r="G152" i="30"/>
  <c r="J148" i="74"/>
  <c r="J149" i="18"/>
  <c r="G152" i="27"/>
  <c r="D153" i="27"/>
  <c r="D148" i="53"/>
  <c r="E148" i="53" s="1"/>
  <c r="G147" i="53"/>
  <c r="G144" i="26"/>
  <c r="D145" i="26"/>
  <c r="E145" i="26" s="1"/>
  <c r="E63" i="87"/>
  <c r="F63" i="87" s="1"/>
  <c r="G142" i="91"/>
  <c r="D143" i="91"/>
  <c r="E143" i="91" s="1"/>
  <c r="D143" i="90"/>
  <c r="E143" i="90" s="1"/>
  <c r="G142" i="90"/>
  <c r="F151" i="34"/>
  <c r="B151" i="34"/>
  <c r="B63" i="89"/>
  <c r="G150" i="3"/>
  <c r="D151" i="3"/>
  <c r="D143" i="88"/>
  <c r="E143" i="88" s="1"/>
  <c r="G142" i="88"/>
  <c r="F62" i="96"/>
  <c r="G62" i="96" s="1"/>
  <c r="B62" i="96"/>
  <c r="E67" i="62"/>
  <c r="F67" i="62" s="1"/>
  <c r="G149" i="39"/>
  <c r="D150" i="39"/>
  <c r="E150" i="39" s="1"/>
  <c r="D143" i="86"/>
  <c r="G142" i="86"/>
  <c r="I64" i="75"/>
  <c r="D144" i="100"/>
  <c r="E144" i="100" s="1"/>
  <c r="G143" i="100"/>
  <c r="D151" i="21"/>
  <c r="E151" i="21" s="1"/>
  <c r="G150" i="21"/>
  <c r="H150" i="34"/>
  <c r="I150" i="34"/>
  <c r="J144" i="68"/>
  <c r="E63" i="89"/>
  <c r="F63" i="89" s="1"/>
  <c r="I65" i="86"/>
  <c r="H150" i="19"/>
  <c r="I150" i="19"/>
  <c r="J150" i="19" s="1"/>
  <c r="B65" i="75"/>
  <c r="F65" i="75"/>
  <c r="G65" i="75" s="1"/>
  <c r="H65" i="75"/>
  <c r="I64" i="78"/>
  <c r="B146" i="66"/>
  <c r="F146" i="66"/>
  <c r="F153" i="23"/>
  <c r="B153" i="23"/>
  <c r="G147" i="46"/>
  <c r="D148" i="46"/>
  <c r="E148" i="46" s="1"/>
  <c r="G147" i="58"/>
  <c r="D148" i="58"/>
  <c r="E148" i="58" s="1"/>
  <c r="I72" i="19"/>
  <c r="I73" i="19" s="1"/>
  <c r="H73" i="19"/>
  <c r="D150" i="74"/>
  <c r="E150" i="74" s="1"/>
  <c r="G149" i="74"/>
  <c r="G143" i="80"/>
  <c r="D144" i="80"/>
  <c r="E144" i="80" s="1"/>
  <c r="G142" i="92"/>
  <c r="D143" i="92"/>
  <c r="E143" i="92" s="1"/>
  <c r="B68" i="60"/>
  <c r="D148" i="72"/>
  <c r="G147" i="72"/>
  <c r="E148" i="72"/>
  <c r="F151" i="19"/>
  <c r="B151" i="19"/>
  <c r="B148" i="67"/>
  <c r="F148" i="67"/>
  <c r="D147" i="59"/>
  <c r="G146" i="59"/>
  <c r="J144" i="65"/>
  <c r="G143" i="99"/>
  <c r="D144" i="99"/>
  <c r="E144" i="99" s="1"/>
  <c r="J147" i="45"/>
  <c r="H145" i="66"/>
  <c r="I145" i="66"/>
  <c r="J145" i="66" s="1"/>
  <c r="H152" i="23"/>
  <c r="I152" i="23"/>
  <c r="J146" i="53"/>
  <c r="D143" i="84"/>
  <c r="E143" i="84" s="1"/>
  <c r="G142" i="84"/>
  <c r="J152" i="20"/>
  <c r="F66" i="13"/>
  <c r="B66" i="13"/>
  <c r="J146" i="57"/>
  <c r="G153" i="20"/>
  <c r="D154" i="20"/>
  <c r="E68" i="60"/>
  <c r="F68" i="60" s="1"/>
  <c r="D66" i="86"/>
  <c r="G142" i="98"/>
  <c r="D143" i="98"/>
  <c r="E143" i="98" s="1"/>
  <c r="F68" i="54"/>
  <c r="H68" i="54" s="1"/>
  <c r="B68" i="54"/>
  <c r="J146" i="56"/>
  <c r="E147" i="63"/>
  <c r="F147" i="63" s="1"/>
  <c r="H147" i="67"/>
  <c r="I147" i="67"/>
  <c r="B65" i="78"/>
  <c r="F65" i="78"/>
  <c r="H65" i="78" s="1"/>
  <c r="E63" i="90"/>
  <c r="F63" i="90" s="1"/>
  <c r="J145" i="59"/>
  <c r="G145" i="82"/>
  <c r="D146" i="82"/>
  <c r="E146" i="82" s="1"/>
  <c r="B72" i="32"/>
  <c r="F72" i="32"/>
  <c r="G72" i="32" s="1"/>
  <c r="G73" i="32" s="1"/>
  <c r="D153" i="69"/>
  <c r="G152" i="69"/>
  <c r="E153" i="69"/>
  <c r="I154" i="29"/>
  <c r="H154" i="29"/>
  <c r="H155" i="29" s="1"/>
  <c r="J146" i="46"/>
  <c r="G144" i="76"/>
  <c r="D145" i="76"/>
  <c r="E145" i="76"/>
  <c r="G149" i="41"/>
  <c r="D150" i="41"/>
  <c r="E150" i="41" s="1"/>
  <c r="F64" i="88"/>
  <c r="H64" i="88" s="1"/>
  <c r="B64" i="88"/>
  <c r="B62" i="100"/>
  <c r="F62" i="100"/>
  <c r="H62" i="100" s="1"/>
  <c r="H146" i="63"/>
  <c r="I146" i="63"/>
  <c r="J146" i="63" s="1"/>
  <c r="F71" i="22"/>
  <c r="G71" i="22" s="1"/>
  <c r="H71" i="22"/>
  <c r="B71" i="22"/>
  <c r="E70" i="39"/>
  <c r="F70" i="39" s="1"/>
  <c r="D67" i="33" l="1"/>
  <c r="G66" i="33"/>
  <c r="H66" i="33"/>
  <c r="I65" i="65"/>
  <c r="E69" i="66"/>
  <c r="F69" i="66" s="1"/>
  <c r="I72" i="44"/>
  <c r="I73" i="44" s="1"/>
  <c r="I71" i="56"/>
  <c r="H70" i="72"/>
  <c r="I70" i="72" s="1"/>
  <c r="J149" i="44"/>
  <c r="I142" i="87"/>
  <c r="H142" i="87"/>
  <c r="I144" i="25"/>
  <c r="J144" i="25" s="1"/>
  <c r="H144" i="25"/>
  <c r="I143" i="95"/>
  <c r="H143" i="95"/>
  <c r="I65" i="84"/>
  <c r="I64" i="83"/>
  <c r="G70" i="72"/>
  <c r="J148" i="43"/>
  <c r="E143" i="87"/>
  <c r="F143" i="87" s="1"/>
  <c r="B143" i="87"/>
  <c r="E145" i="25"/>
  <c r="F145" i="25"/>
  <c r="B145" i="25"/>
  <c r="E144" i="95"/>
  <c r="F144" i="95"/>
  <c r="B144" i="95"/>
  <c r="D70" i="26"/>
  <c r="B70" i="26" s="1"/>
  <c r="H62" i="97"/>
  <c r="D63" i="97"/>
  <c r="G62" i="97"/>
  <c r="I62" i="97" s="1"/>
  <c r="D67" i="84"/>
  <c r="E67" i="84" s="1"/>
  <c r="G66" i="84"/>
  <c r="H66" i="84"/>
  <c r="I66" i="84" s="1"/>
  <c r="B66" i="79"/>
  <c r="D64" i="95"/>
  <c r="E64" i="95" s="1"/>
  <c r="F64" i="95" s="1"/>
  <c r="B69" i="68"/>
  <c r="D67" i="65"/>
  <c r="E67" i="65" s="1"/>
  <c r="D144" i="97"/>
  <c r="G143" i="97"/>
  <c r="B65" i="81"/>
  <c r="E71" i="72"/>
  <c r="F71" i="72" s="1"/>
  <c r="H71" i="72" s="1"/>
  <c r="B71" i="72"/>
  <c r="G71" i="72"/>
  <c r="H66" i="77"/>
  <c r="J143" i="33"/>
  <c r="B63" i="98"/>
  <c r="G71" i="18"/>
  <c r="G66" i="85"/>
  <c r="H71" i="43"/>
  <c r="I71" i="43" s="1"/>
  <c r="G62" i="99"/>
  <c r="D63" i="99"/>
  <c r="H62" i="99"/>
  <c r="D70" i="58"/>
  <c r="H69" i="58"/>
  <c r="G69" i="58"/>
  <c r="I68" i="63"/>
  <c r="B63" i="95"/>
  <c r="G63" i="95"/>
  <c r="H63" i="95"/>
  <c r="B65" i="83"/>
  <c r="E65" i="83"/>
  <c r="F65" i="83" s="1"/>
  <c r="D70" i="57"/>
  <c r="E70" i="57"/>
  <c r="H73" i="74"/>
  <c r="D68" i="76"/>
  <c r="H66" i="65"/>
  <c r="I66" i="65" s="1"/>
  <c r="G144" i="33"/>
  <c r="D145" i="33"/>
  <c r="B145" i="33" s="1"/>
  <c r="D150" i="43"/>
  <c r="B150" i="43" s="1"/>
  <c r="G149" i="43"/>
  <c r="E72" i="56"/>
  <c r="E73" i="56" s="1"/>
  <c r="B72" i="56"/>
  <c r="I72" i="69"/>
  <c r="I73" i="69" s="1"/>
  <c r="H73" i="69"/>
  <c r="E68" i="46"/>
  <c r="B68" i="46"/>
  <c r="F68" i="46"/>
  <c r="H68" i="46"/>
  <c r="E67" i="77"/>
  <c r="F67" i="77" s="1"/>
  <c r="B67" i="77"/>
  <c r="G67" i="77"/>
  <c r="H67" i="77"/>
  <c r="I67" i="77" s="1"/>
  <c r="E65" i="82"/>
  <c r="F65" i="82" s="1"/>
  <c r="B65" i="82"/>
  <c r="D151" i="42"/>
  <c r="B151" i="42" s="1"/>
  <c r="G150" i="42"/>
  <c r="F69" i="45"/>
  <c r="D70" i="45" s="1"/>
  <c r="B69" i="45"/>
  <c r="I67" i="46"/>
  <c r="G62" i="100"/>
  <c r="I62" i="100" s="1"/>
  <c r="H69" i="59"/>
  <c r="I69" i="59" s="1"/>
  <c r="G64" i="92"/>
  <c r="I64" i="92" s="1"/>
  <c r="D65" i="92"/>
  <c r="E65" i="92" s="1"/>
  <c r="E66" i="79"/>
  <c r="F66" i="79" s="1"/>
  <c r="E69" i="68"/>
  <c r="F69" i="68" s="1"/>
  <c r="D70" i="68" s="1"/>
  <c r="G72" i="41"/>
  <c r="G73" i="41" s="1"/>
  <c r="J149" i="42"/>
  <c r="G69" i="57"/>
  <c r="I69" i="57" s="1"/>
  <c r="G72" i="74"/>
  <c r="G73" i="74" s="1"/>
  <c r="G67" i="76"/>
  <c r="I67" i="76" s="1"/>
  <c r="F69" i="63"/>
  <c r="B69" i="63"/>
  <c r="G150" i="44"/>
  <c r="D151" i="44"/>
  <c r="B68" i="66"/>
  <c r="G68" i="66"/>
  <c r="H68" i="66"/>
  <c r="H67" i="60"/>
  <c r="I67" i="60" s="1"/>
  <c r="E65" i="81"/>
  <c r="F65" i="81" s="1"/>
  <c r="G65" i="81" s="1"/>
  <c r="G66" i="77"/>
  <c r="E63" i="98"/>
  <c r="F63" i="98" s="1"/>
  <c r="D64" i="98" s="1"/>
  <c r="H73" i="41"/>
  <c r="H67" i="62"/>
  <c r="G67" i="62"/>
  <c r="D70" i="66"/>
  <c r="G69" i="66"/>
  <c r="H69" i="66"/>
  <c r="H72" i="32"/>
  <c r="H65" i="91"/>
  <c r="D66" i="91"/>
  <c r="D70" i="64"/>
  <c r="E70" i="64" s="1"/>
  <c r="E67" i="85"/>
  <c r="F67" i="85"/>
  <c r="H67" i="85" s="1"/>
  <c r="B67" i="85"/>
  <c r="H71" i="53"/>
  <c r="E70" i="59"/>
  <c r="F70" i="59" s="1"/>
  <c r="H70" i="59" s="1"/>
  <c r="B70" i="59"/>
  <c r="B69" i="64"/>
  <c r="H69" i="64"/>
  <c r="G69" i="64"/>
  <c r="I72" i="73"/>
  <c r="I73" i="73" s="1"/>
  <c r="H73" i="73"/>
  <c r="B69" i="26"/>
  <c r="G69" i="26"/>
  <c r="H69" i="26"/>
  <c r="I69" i="26" s="1"/>
  <c r="H151" i="31"/>
  <c r="I151" i="31"/>
  <c r="I62" i="25"/>
  <c r="I68" i="26"/>
  <c r="G65" i="91"/>
  <c r="H66" i="85"/>
  <c r="I66" i="85" s="1"/>
  <c r="D72" i="43"/>
  <c r="I67" i="67"/>
  <c r="I71" i="22"/>
  <c r="I65" i="75"/>
  <c r="D72" i="53"/>
  <c r="E72" i="53" s="1"/>
  <c r="E73" i="53" s="1"/>
  <c r="I72" i="17"/>
  <c r="I73" i="17" s="1"/>
  <c r="H73" i="17"/>
  <c r="H64" i="80"/>
  <c r="D65" i="80"/>
  <c r="E65" i="80" s="1"/>
  <c r="E69" i="61"/>
  <c r="F69" i="61" s="1"/>
  <c r="B69" i="61"/>
  <c r="G69" i="55"/>
  <c r="I69" i="55" s="1"/>
  <c r="D70" i="55"/>
  <c r="E70" i="55" s="1"/>
  <c r="F70" i="55" s="1"/>
  <c r="B152" i="31"/>
  <c r="F152" i="31"/>
  <c r="E68" i="67"/>
  <c r="F68" i="67" s="1"/>
  <c r="B68" i="67"/>
  <c r="I155" i="17"/>
  <c r="I147" i="60"/>
  <c r="H147" i="60"/>
  <c r="J152" i="23"/>
  <c r="B148" i="60"/>
  <c r="F148" i="60"/>
  <c r="D71" i="39"/>
  <c r="E71" i="39" s="1"/>
  <c r="H70" i="39"/>
  <c r="G70" i="39"/>
  <c r="D64" i="87"/>
  <c r="E64" i="87" s="1"/>
  <c r="G63" i="87"/>
  <c r="H63" i="87"/>
  <c r="D69" i="60"/>
  <c r="E69" i="60" s="1"/>
  <c r="H68" i="60"/>
  <c r="G68" i="60"/>
  <c r="D64" i="90"/>
  <c r="E64" i="90" s="1"/>
  <c r="G63" i="90"/>
  <c r="H63" i="90"/>
  <c r="D148" i="63"/>
  <c r="E148" i="63" s="1"/>
  <c r="G147" i="63"/>
  <c r="D64" i="89"/>
  <c r="E64" i="89" s="1"/>
  <c r="H63" i="89"/>
  <c r="G63" i="89"/>
  <c r="I149" i="41"/>
  <c r="H149" i="41"/>
  <c r="D66" i="78"/>
  <c r="E66" i="78" s="1"/>
  <c r="G68" i="54"/>
  <c r="I68" i="54" s="1"/>
  <c r="D67" i="13"/>
  <c r="E67" i="13" s="1"/>
  <c r="I146" i="59"/>
  <c r="H146" i="59"/>
  <c r="B143" i="86"/>
  <c r="B151" i="3"/>
  <c r="B153" i="27"/>
  <c r="B148" i="57"/>
  <c r="B151" i="18"/>
  <c r="I153" i="28"/>
  <c r="H153" i="28"/>
  <c r="I144" i="79"/>
  <c r="H144" i="79"/>
  <c r="B143" i="96"/>
  <c r="H151" i="32"/>
  <c r="I151" i="32"/>
  <c r="J151" i="32" s="1"/>
  <c r="B147" i="61"/>
  <c r="H144" i="77"/>
  <c r="I144" i="77"/>
  <c r="J144" i="77" s="1"/>
  <c r="B146" i="85"/>
  <c r="F146" i="82"/>
  <c r="B146" i="82"/>
  <c r="B154" i="20"/>
  <c r="B147" i="59"/>
  <c r="I149" i="74"/>
  <c r="H149" i="74"/>
  <c r="B148" i="46"/>
  <c r="F148" i="46"/>
  <c r="H150" i="3"/>
  <c r="I150" i="3"/>
  <c r="G151" i="34"/>
  <c r="D152" i="34"/>
  <c r="E152" i="34" s="1"/>
  <c r="B145" i="26"/>
  <c r="F145" i="26"/>
  <c r="H152" i="27"/>
  <c r="I152" i="27"/>
  <c r="I142" i="89"/>
  <c r="H142" i="89"/>
  <c r="D147" i="78"/>
  <c r="E147" i="78" s="1"/>
  <c r="G146" i="78"/>
  <c r="F147" i="75"/>
  <c r="B147" i="75"/>
  <c r="H150" i="18"/>
  <c r="I150" i="18"/>
  <c r="B154" i="28"/>
  <c r="B145" i="79"/>
  <c r="B152" i="32"/>
  <c r="B145" i="77"/>
  <c r="I145" i="85"/>
  <c r="H145" i="85"/>
  <c r="B145" i="76"/>
  <c r="F145" i="76"/>
  <c r="I152" i="69"/>
  <c r="H152" i="69"/>
  <c r="I145" i="82"/>
  <c r="H145" i="82"/>
  <c r="D69" i="54"/>
  <c r="E69" i="54" s="1"/>
  <c r="H153" i="20"/>
  <c r="I153" i="20"/>
  <c r="D149" i="67"/>
  <c r="E149" i="67" s="1"/>
  <c r="G148" i="67"/>
  <c r="D152" i="19"/>
  <c r="G151" i="19"/>
  <c r="E152" i="19"/>
  <c r="F150" i="74"/>
  <c r="B150" i="74"/>
  <c r="H147" i="46"/>
  <c r="I147" i="46"/>
  <c r="F150" i="39"/>
  <c r="B150" i="39"/>
  <c r="D63" i="96"/>
  <c r="E63" i="96" s="1"/>
  <c r="B143" i="89"/>
  <c r="F143" i="89"/>
  <c r="H143" i="81"/>
  <c r="I143" i="81"/>
  <c r="F150" i="73"/>
  <c r="B150" i="73"/>
  <c r="F148" i="54"/>
  <c r="B148" i="54"/>
  <c r="E146" i="85"/>
  <c r="F146" i="85" s="1"/>
  <c r="I144" i="76"/>
  <c r="H144" i="76"/>
  <c r="B153" i="69"/>
  <c r="F153" i="69"/>
  <c r="J147" i="67"/>
  <c r="E154" i="20"/>
  <c r="E155" i="20" s="1"/>
  <c r="I142" i="84"/>
  <c r="H142" i="84"/>
  <c r="F143" i="92"/>
  <c r="B143" i="92"/>
  <c r="D66" i="75"/>
  <c r="J150" i="34"/>
  <c r="I143" i="100"/>
  <c r="H143" i="100"/>
  <c r="H149" i="39"/>
  <c r="I149" i="39"/>
  <c r="H62" i="96"/>
  <c r="I62" i="96" s="1"/>
  <c r="I142" i="90"/>
  <c r="H142" i="90"/>
  <c r="H144" i="26"/>
  <c r="I144" i="26"/>
  <c r="D72" i="21"/>
  <c r="E72" i="21" s="1"/>
  <c r="E73" i="21" s="1"/>
  <c r="B144" i="81"/>
  <c r="F144" i="81"/>
  <c r="H149" i="73"/>
  <c r="I149" i="73"/>
  <c r="J149" i="73" s="1"/>
  <c r="H143" i="83"/>
  <c r="I143" i="83"/>
  <c r="I149" i="55"/>
  <c r="H149" i="55"/>
  <c r="H145" i="68"/>
  <c r="I145" i="68"/>
  <c r="I147" i="54"/>
  <c r="H147" i="54"/>
  <c r="H145" i="65"/>
  <c r="I145" i="65"/>
  <c r="F149" i="45"/>
  <c r="B149" i="45"/>
  <c r="D65" i="88"/>
  <c r="E65" i="88" s="1"/>
  <c r="F143" i="98"/>
  <c r="B143" i="98"/>
  <c r="F143" i="84"/>
  <c r="B143" i="84"/>
  <c r="F144" i="99"/>
  <c r="B144" i="99"/>
  <c r="H147" i="72"/>
  <c r="I147" i="72"/>
  <c r="J147" i="72" s="1"/>
  <c r="H142" i="92"/>
  <c r="I142" i="92"/>
  <c r="G153" i="23"/>
  <c r="D154" i="23"/>
  <c r="E154" i="23"/>
  <c r="E155" i="23" s="1"/>
  <c r="F144" i="100"/>
  <c r="B144" i="100"/>
  <c r="F143" i="90"/>
  <c r="B143" i="90"/>
  <c r="H147" i="56"/>
  <c r="I147" i="56"/>
  <c r="H71" i="21"/>
  <c r="F144" i="83"/>
  <c r="B144" i="83"/>
  <c r="F150" i="55"/>
  <c r="B150" i="55"/>
  <c r="B146" i="68"/>
  <c r="F146" i="68"/>
  <c r="B146" i="65"/>
  <c r="F146" i="65"/>
  <c r="I148" i="45"/>
  <c r="H148" i="45"/>
  <c r="I72" i="32"/>
  <c r="I73" i="32" s="1"/>
  <c r="H73" i="32"/>
  <c r="G64" i="88"/>
  <c r="I64" i="88" s="1"/>
  <c r="H142" i="98"/>
  <c r="I142" i="98"/>
  <c r="H66" i="13"/>
  <c r="I143" i="99"/>
  <c r="H143" i="99"/>
  <c r="F148" i="72"/>
  <c r="B148" i="72"/>
  <c r="G146" i="66"/>
  <c r="D147" i="66"/>
  <c r="H142" i="88"/>
  <c r="I142" i="88"/>
  <c r="H147" i="53"/>
  <c r="I147" i="53"/>
  <c r="H152" i="30"/>
  <c r="I152" i="30"/>
  <c r="F148" i="56"/>
  <c r="B148" i="56"/>
  <c r="G71" i="21"/>
  <c r="F152" i="24"/>
  <c r="B152" i="24"/>
  <c r="D72" i="18"/>
  <c r="E72" i="18" s="1"/>
  <c r="E73" i="18" s="1"/>
  <c r="H146" i="64"/>
  <c r="I146" i="64"/>
  <c r="J146" i="64" s="1"/>
  <c r="H151" i="71"/>
  <c r="I151" i="71"/>
  <c r="D63" i="100"/>
  <c r="E63" i="100" s="1"/>
  <c r="B66" i="86"/>
  <c r="F144" i="80"/>
  <c r="B144" i="80"/>
  <c r="B148" i="58"/>
  <c r="F148" i="58"/>
  <c r="H150" i="21"/>
  <c r="I150" i="21"/>
  <c r="E143" i="86"/>
  <c r="F143" i="86" s="1"/>
  <c r="B143" i="88"/>
  <c r="F143" i="88"/>
  <c r="F143" i="91"/>
  <c r="B143" i="91"/>
  <c r="B148" i="53"/>
  <c r="F148" i="53"/>
  <c r="F153" i="30"/>
  <c r="B153" i="30"/>
  <c r="D68" i="62"/>
  <c r="E68" i="62" s="1"/>
  <c r="E148" i="57"/>
  <c r="F148" i="57" s="1"/>
  <c r="H151" i="24"/>
  <c r="I151" i="24"/>
  <c r="I71" i="18"/>
  <c r="F147" i="64"/>
  <c r="B147" i="64"/>
  <c r="E143" i="96"/>
  <c r="F143" i="96" s="1"/>
  <c r="E147" i="61"/>
  <c r="F147" i="61" s="1"/>
  <c r="F152" i="71"/>
  <c r="B152" i="71"/>
  <c r="F151" i="22"/>
  <c r="B151" i="22"/>
  <c r="F63" i="25"/>
  <c r="G63" i="25" s="1"/>
  <c r="B63" i="25"/>
  <c r="F149" i="62"/>
  <c r="B149" i="62"/>
  <c r="D72" i="22"/>
  <c r="F150" i="41"/>
  <c r="B150" i="41"/>
  <c r="J154" i="29"/>
  <c r="J155" i="29" s="1"/>
  <c r="I155" i="29"/>
  <c r="G65" i="78"/>
  <c r="I65" i="78" s="1"/>
  <c r="E66" i="86"/>
  <c r="F66" i="86" s="1"/>
  <c r="G66" i="13"/>
  <c r="E147" i="59"/>
  <c r="F147" i="59" s="1"/>
  <c r="I143" i="80"/>
  <c r="H143" i="80"/>
  <c r="H147" i="58"/>
  <c r="I147" i="58"/>
  <c r="B151" i="21"/>
  <c r="F151" i="21"/>
  <c r="I142" i="86"/>
  <c r="H142" i="86"/>
  <c r="E151" i="3"/>
  <c r="F151" i="3" s="1"/>
  <c r="H142" i="91"/>
  <c r="I142" i="91"/>
  <c r="E153" i="27"/>
  <c r="F153" i="27" s="1"/>
  <c r="D146" i="13"/>
  <c r="G145" i="13"/>
  <c r="H147" i="57"/>
  <c r="I147" i="57"/>
  <c r="H146" i="75"/>
  <c r="I146" i="75"/>
  <c r="E151" i="18"/>
  <c r="F151" i="18" s="1"/>
  <c r="E154" i="28"/>
  <c r="E155" i="28" s="1"/>
  <c r="E145" i="79"/>
  <c r="F145" i="79" s="1"/>
  <c r="H142" i="96"/>
  <c r="I142" i="96"/>
  <c r="E152" i="32"/>
  <c r="F152" i="32" s="1"/>
  <c r="H146" i="61"/>
  <c r="I146" i="61"/>
  <c r="E145" i="77"/>
  <c r="F145" i="77" s="1"/>
  <c r="I150" i="22"/>
  <c r="H150" i="22"/>
  <c r="H148" i="62"/>
  <c r="I148" i="62"/>
  <c r="J148" i="62" s="1"/>
  <c r="I69" i="58" l="1"/>
  <c r="G145" i="25"/>
  <c r="D146" i="25"/>
  <c r="D145" i="95"/>
  <c r="G144" i="95"/>
  <c r="I66" i="33"/>
  <c r="D144" i="87"/>
  <c r="G143" i="87"/>
  <c r="I62" i="99"/>
  <c r="E67" i="33"/>
  <c r="F67" i="33" s="1"/>
  <c r="B67" i="33"/>
  <c r="I71" i="72"/>
  <c r="D66" i="82"/>
  <c r="E66" i="82" s="1"/>
  <c r="H65" i="82"/>
  <c r="G65" i="82"/>
  <c r="D65" i="95"/>
  <c r="E65" i="95" s="1"/>
  <c r="F65" i="95" s="1"/>
  <c r="G70" i="59"/>
  <c r="B151" i="44"/>
  <c r="D67" i="79"/>
  <c r="G69" i="45"/>
  <c r="H150" i="42"/>
  <c r="I150" i="42"/>
  <c r="E150" i="43"/>
  <c r="F150" i="43" s="1"/>
  <c r="B68" i="76"/>
  <c r="F70" i="57"/>
  <c r="B70" i="57"/>
  <c r="I63" i="95"/>
  <c r="B63" i="99"/>
  <c r="E63" i="99"/>
  <c r="F63" i="99" s="1"/>
  <c r="G69" i="68"/>
  <c r="G66" i="79"/>
  <c r="E63" i="97"/>
  <c r="F63" i="97" s="1"/>
  <c r="B63" i="97"/>
  <c r="I67" i="62"/>
  <c r="E64" i="98"/>
  <c r="F64" i="98" s="1"/>
  <c r="B64" i="98"/>
  <c r="I68" i="66"/>
  <c r="E151" i="44"/>
  <c r="F151" i="44" s="1"/>
  <c r="H69" i="63"/>
  <c r="D70" i="63"/>
  <c r="F65" i="92"/>
  <c r="G65" i="92" s="1"/>
  <c r="B65" i="92"/>
  <c r="H69" i="45"/>
  <c r="I69" i="45" s="1"/>
  <c r="G68" i="46"/>
  <c r="I68" i="46" s="1"/>
  <c r="D69" i="46"/>
  <c r="E69" i="46" s="1"/>
  <c r="F69" i="46" s="1"/>
  <c r="H149" i="43"/>
  <c r="I149" i="43"/>
  <c r="I144" i="33"/>
  <c r="H144" i="33"/>
  <c r="I72" i="74"/>
  <c r="I73" i="74" s="1"/>
  <c r="G65" i="83"/>
  <c r="D66" i="83"/>
  <c r="H65" i="83"/>
  <c r="B67" i="65"/>
  <c r="F67" i="65"/>
  <c r="H67" i="65"/>
  <c r="H66" i="79"/>
  <c r="I66" i="79" s="1"/>
  <c r="H63" i="25"/>
  <c r="I70" i="59"/>
  <c r="H150" i="44"/>
  <c r="I150" i="44"/>
  <c r="E70" i="45"/>
  <c r="F70" i="45" s="1"/>
  <c r="B70" i="45"/>
  <c r="E70" i="58"/>
  <c r="F70" i="58" s="1"/>
  <c r="B70" i="58"/>
  <c r="H63" i="98"/>
  <c r="I66" i="77"/>
  <c r="D72" i="72"/>
  <c r="E72" i="72" s="1"/>
  <c r="E73" i="72" s="1"/>
  <c r="H143" i="97"/>
  <c r="I143" i="97"/>
  <c r="B67" i="84"/>
  <c r="F67" i="84"/>
  <c r="G67" i="84"/>
  <c r="E70" i="26"/>
  <c r="F70" i="26" s="1"/>
  <c r="D66" i="81"/>
  <c r="E66" i="81" s="1"/>
  <c r="F66" i="81" s="1"/>
  <c r="D67" i="81" s="1"/>
  <c r="G69" i="63"/>
  <c r="I69" i="63" s="1"/>
  <c r="E70" i="68"/>
  <c r="F70" i="68" s="1"/>
  <c r="H70" i="68"/>
  <c r="B70" i="68"/>
  <c r="E151" i="42"/>
  <c r="F151" i="42" s="1"/>
  <c r="D68" i="77"/>
  <c r="E68" i="77"/>
  <c r="F68" i="77" s="1"/>
  <c r="F72" i="56"/>
  <c r="E145" i="33"/>
  <c r="F145" i="33" s="1"/>
  <c r="E68" i="76"/>
  <c r="F68" i="76" s="1"/>
  <c r="I72" i="41"/>
  <c r="I73" i="41" s="1"/>
  <c r="G63" i="98"/>
  <c r="H65" i="81"/>
  <c r="I65" i="81" s="1"/>
  <c r="E144" i="97"/>
  <c r="F144" i="97"/>
  <c r="B144" i="97"/>
  <c r="H69" i="68"/>
  <c r="G64" i="95"/>
  <c r="B64" i="95"/>
  <c r="H64" i="95"/>
  <c r="J152" i="30"/>
  <c r="I63" i="89"/>
  <c r="G68" i="67"/>
  <c r="D69" i="67"/>
  <c r="D71" i="55"/>
  <c r="E71" i="55" s="1"/>
  <c r="D70" i="61"/>
  <c r="E70" i="61" s="1"/>
  <c r="B72" i="43"/>
  <c r="B66" i="91"/>
  <c r="J144" i="26"/>
  <c r="I63" i="90"/>
  <c r="I68" i="60"/>
  <c r="B70" i="55"/>
  <c r="H70" i="55"/>
  <c r="G70" i="55"/>
  <c r="E72" i="43"/>
  <c r="E73" i="43" s="1"/>
  <c r="I69" i="64"/>
  <c r="E66" i="91"/>
  <c r="F66" i="91" s="1"/>
  <c r="I69" i="66"/>
  <c r="I63" i="25"/>
  <c r="I71" i="21"/>
  <c r="H68" i="67"/>
  <c r="G152" i="31"/>
  <c r="D153" i="31"/>
  <c r="E153" i="31" s="1"/>
  <c r="H69" i="61"/>
  <c r="B65" i="80"/>
  <c r="F65" i="80"/>
  <c r="D66" i="80" s="1"/>
  <c r="B72" i="53"/>
  <c r="F72" i="53"/>
  <c r="H72" i="53" s="1"/>
  <c r="J151" i="31"/>
  <c r="D71" i="59"/>
  <c r="E71" i="59" s="1"/>
  <c r="I71" i="53"/>
  <c r="H73" i="53"/>
  <c r="I65" i="91"/>
  <c r="E70" i="66"/>
  <c r="F70" i="66" s="1"/>
  <c r="B70" i="66"/>
  <c r="I63" i="87"/>
  <c r="G69" i="61"/>
  <c r="G67" i="85"/>
  <c r="I67" i="85" s="1"/>
  <c r="D68" i="85"/>
  <c r="B70" i="64"/>
  <c r="F70" i="64"/>
  <c r="D71" i="64" s="1"/>
  <c r="I64" i="80"/>
  <c r="J151" i="24"/>
  <c r="J149" i="41"/>
  <c r="J150" i="22"/>
  <c r="J147" i="57"/>
  <c r="J148" i="45"/>
  <c r="J144" i="76"/>
  <c r="J149" i="74"/>
  <c r="J147" i="60"/>
  <c r="J153" i="28"/>
  <c r="G148" i="60"/>
  <c r="D149" i="60"/>
  <c r="J150" i="18"/>
  <c r="G152" i="32"/>
  <c r="D153" i="32"/>
  <c r="E153" i="32" s="1"/>
  <c r="D154" i="27"/>
  <c r="G153" i="27"/>
  <c r="E154" i="27"/>
  <c r="E155" i="27" s="1"/>
  <c r="D148" i="59"/>
  <c r="G147" i="59"/>
  <c r="D67" i="86"/>
  <c r="E67" i="86" s="1"/>
  <c r="H66" i="86"/>
  <c r="G66" i="86"/>
  <c r="D149" i="57"/>
  <c r="E149" i="57" s="1"/>
  <c r="G148" i="57"/>
  <c r="G151" i="3"/>
  <c r="D152" i="3"/>
  <c r="E152" i="3" s="1"/>
  <c r="G147" i="61"/>
  <c r="D148" i="61"/>
  <c r="D146" i="77"/>
  <c r="E146" i="77" s="1"/>
  <c r="G145" i="77"/>
  <c r="G145" i="79"/>
  <c r="D146" i="79"/>
  <c r="E146" i="79" s="1"/>
  <c r="G143" i="96"/>
  <c r="D144" i="96"/>
  <c r="E144" i="96" s="1"/>
  <c r="D144" i="86"/>
  <c r="E144" i="86" s="1"/>
  <c r="G143" i="86"/>
  <c r="D152" i="18"/>
  <c r="E152" i="18" s="1"/>
  <c r="G151" i="18"/>
  <c r="G146" i="85"/>
  <c r="D147" i="85"/>
  <c r="B72" i="22"/>
  <c r="D152" i="22"/>
  <c r="E152" i="22" s="1"/>
  <c r="G151" i="22"/>
  <c r="G148" i="58"/>
  <c r="D149" i="58"/>
  <c r="E149" i="58" s="1"/>
  <c r="B147" i="66"/>
  <c r="D147" i="65"/>
  <c r="E147" i="65" s="1"/>
  <c r="G146" i="65"/>
  <c r="G144" i="99"/>
  <c r="D145" i="99"/>
  <c r="E145" i="99" s="1"/>
  <c r="B66" i="75"/>
  <c r="D149" i="54"/>
  <c r="E149" i="54" s="1"/>
  <c r="G148" i="54"/>
  <c r="H63" i="100"/>
  <c r="B63" i="100"/>
  <c r="F63" i="100"/>
  <c r="G152" i="24"/>
  <c r="D153" i="24"/>
  <c r="E153" i="24"/>
  <c r="I146" i="66"/>
  <c r="H146" i="66"/>
  <c r="J147" i="56"/>
  <c r="B154" i="23"/>
  <c r="F154" i="23"/>
  <c r="G154" i="23" s="1"/>
  <c r="D150" i="45"/>
  <c r="E150" i="45" s="1"/>
  <c r="G149" i="45"/>
  <c r="J149" i="55"/>
  <c r="G144" i="81"/>
  <c r="D145" i="81"/>
  <c r="H151" i="19"/>
  <c r="I151" i="19"/>
  <c r="B69" i="54"/>
  <c r="F69" i="54"/>
  <c r="H69" i="54" s="1"/>
  <c r="D148" i="75"/>
  <c r="E148" i="75" s="1"/>
  <c r="G147" i="75"/>
  <c r="G145" i="26"/>
  <c r="D146" i="26"/>
  <c r="G146" i="82"/>
  <c r="D147" i="82"/>
  <c r="J144" i="79"/>
  <c r="J146" i="59"/>
  <c r="J146" i="61"/>
  <c r="I145" i="13"/>
  <c r="H145" i="13"/>
  <c r="J147" i="58"/>
  <c r="G149" i="62"/>
  <c r="D150" i="62"/>
  <c r="E150" i="62" s="1"/>
  <c r="D153" i="71"/>
  <c r="E153" i="71" s="1"/>
  <c r="G152" i="71"/>
  <c r="D144" i="91"/>
  <c r="G143" i="91"/>
  <c r="J151" i="71"/>
  <c r="G146" i="68"/>
  <c r="D147" i="68"/>
  <c r="E147" i="68" s="1"/>
  <c r="H153" i="23"/>
  <c r="I153" i="23"/>
  <c r="G143" i="84"/>
  <c r="D144" i="84"/>
  <c r="E144" i="84" s="1"/>
  <c r="J145" i="65"/>
  <c r="J149" i="39"/>
  <c r="D144" i="92"/>
  <c r="E144" i="92" s="1"/>
  <c r="G143" i="92"/>
  <c r="G150" i="73"/>
  <c r="D151" i="73"/>
  <c r="E151" i="73" s="1"/>
  <c r="D151" i="39"/>
  <c r="G150" i="39"/>
  <c r="E151" i="39"/>
  <c r="B152" i="19"/>
  <c r="F152" i="19"/>
  <c r="F154" i="28"/>
  <c r="G154" i="28" s="1"/>
  <c r="B146" i="13"/>
  <c r="D144" i="88"/>
  <c r="E144" i="88" s="1"/>
  <c r="G143" i="88"/>
  <c r="D145" i="80"/>
  <c r="G144" i="80"/>
  <c r="E145" i="80"/>
  <c r="D149" i="72"/>
  <c r="E149" i="72" s="1"/>
  <c r="G148" i="72"/>
  <c r="H148" i="67"/>
  <c r="I148" i="67"/>
  <c r="J148" i="67" s="1"/>
  <c r="I146" i="78"/>
  <c r="H146" i="78"/>
  <c r="B67" i="13"/>
  <c r="F67" i="13"/>
  <c r="H64" i="90"/>
  <c r="B64" i="90"/>
  <c r="F64" i="90"/>
  <c r="G64" i="90"/>
  <c r="F64" i="87"/>
  <c r="G64" i="87" s="1"/>
  <c r="B64" i="87"/>
  <c r="E146" i="13"/>
  <c r="F146" i="13" s="1"/>
  <c r="D152" i="21"/>
  <c r="E152" i="21" s="1"/>
  <c r="G151" i="21"/>
  <c r="F68" i="62"/>
  <c r="B68" i="62"/>
  <c r="D149" i="56"/>
  <c r="E149" i="56" s="1"/>
  <c r="G148" i="56"/>
  <c r="D144" i="90"/>
  <c r="G143" i="90"/>
  <c r="G143" i="98"/>
  <c r="D144" i="98"/>
  <c r="E144" i="98" s="1"/>
  <c r="B72" i="21"/>
  <c r="F72" i="21"/>
  <c r="H72" i="21" s="1"/>
  <c r="J147" i="46"/>
  <c r="F147" i="78"/>
  <c r="B147" i="78"/>
  <c r="B152" i="34"/>
  <c r="F152" i="34"/>
  <c r="F64" i="89"/>
  <c r="G64" i="89" s="1"/>
  <c r="B64" i="89"/>
  <c r="D151" i="55"/>
  <c r="E151" i="55" s="1"/>
  <c r="G150" i="55"/>
  <c r="J147" i="54"/>
  <c r="G143" i="89"/>
  <c r="D144" i="89"/>
  <c r="E144" i="89" s="1"/>
  <c r="B149" i="67"/>
  <c r="F149" i="67"/>
  <c r="J152" i="69"/>
  <c r="H151" i="34"/>
  <c r="I151" i="34"/>
  <c r="F154" i="20"/>
  <c r="G154" i="20" s="1"/>
  <c r="H147" i="63"/>
  <c r="I147" i="63"/>
  <c r="I70" i="39"/>
  <c r="J146" i="75"/>
  <c r="D151" i="41"/>
  <c r="E151" i="41" s="1"/>
  <c r="G150" i="41"/>
  <c r="D64" i="25"/>
  <c r="E64" i="25" s="1"/>
  <c r="G147" i="64"/>
  <c r="D148" i="64"/>
  <c r="E148" i="64"/>
  <c r="D154" i="30"/>
  <c r="E154" i="30" s="1"/>
  <c r="E155" i="30" s="1"/>
  <c r="G153" i="30"/>
  <c r="J150" i="21"/>
  <c r="B72" i="18"/>
  <c r="F72" i="18"/>
  <c r="H72" i="18" s="1"/>
  <c r="G144" i="100"/>
  <c r="D145" i="100"/>
  <c r="E145" i="100" s="1"/>
  <c r="B65" i="88"/>
  <c r="F65" i="88"/>
  <c r="G65" i="88" s="1"/>
  <c r="J145" i="68"/>
  <c r="J153" i="20"/>
  <c r="D146" i="76"/>
  <c r="E146" i="76" s="1"/>
  <c r="G145" i="76"/>
  <c r="J150" i="3"/>
  <c r="B66" i="78"/>
  <c r="F66" i="78"/>
  <c r="G66" i="78" s="1"/>
  <c r="E72" i="22"/>
  <c r="E73" i="22" s="1"/>
  <c r="G148" i="53"/>
  <c r="D149" i="53"/>
  <c r="E149" i="53" s="1"/>
  <c r="J147" i="53"/>
  <c r="E147" i="66"/>
  <c r="F147" i="66" s="1"/>
  <c r="I66" i="13"/>
  <c r="D145" i="83"/>
  <c r="E145" i="83" s="1"/>
  <c r="G144" i="83"/>
  <c r="E66" i="75"/>
  <c r="F66" i="75" s="1"/>
  <c r="G153" i="69"/>
  <c r="D154" i="69"/>
  <c r="E154" i="69"/>
  <c r="E155" i="69" s="1"/>
  <c r="F63" i="96"/>
  <c r="H63" i="96" s="1"/>
  <c r="B63" i="96"/>
  <c r="G150" i="74"/>
  <c r="D151" i="74"/>
  <c r="J152" i="27"/>
  <c r="G148" i="46"/>
  <c r="D149" i="46"/>
  <c r="E149" i="46" s="1"/>
  <c r="B148" i="63"/>
  <c r="F148" i="63"/>
  <c r="B69" i="60"/>
  <c r="F69" i="60"/>
  <c r="G69" i="60" s="1"/>
  <c r="F71" i="39"/>
  <c r="G71" i="39" s="1"/>
  <c r="B71" i="39"/>
  <c r="H67" i="33" l="1"/>
  <c r="G67" i="33"/>
  <c r="I67" i="33" s="1"/>
  <c r="D68" i="33"/>
  <c r="D70" i="46"/>
  <c r="B70" i="46" s="1"/>
  <c r="I143" i="87"/>
  <c r="H143" i="87"/>
  <c r="I70" i="55"/>
  <c r="B144" i="87"/>
  <c r="E146" i="25"/>
  <c r="F146" i="25" s="1"/>
  <c r="B146" i="25"/>
  <c r="E145" i="95"/>
  <c r="B145" i="95"/>
  <c r="F145" i="95"/>
  <c r="I69" i="68"/>
  <c r="I145" i="25"/>
  <c r="H145" i="25"/>
  <c r="I64" i="95"/>
  <c r="J150" i="44"/>
  <c r="I65" i="83"/>
  <c r="E144" i="87"/>
  <c r="F144" i="87" s="1"/>
  <c r="I144" i="95"/>
  <c r="H144" i="95"/>
  <c r="H64" i="98"/>
  <c r="G64" i="98"/>
  <c r="D65" i="98"/>
  <c r="B65" i="98" s="1"/>
  <c r="G70" i="58"/>
  <c r="H70" i="58"/>
  <c r="D71" i="58"/>
  <c r="B71" i="58" s="1"/>
  <c r="D152" i="44"/>
  <c r="E152" i="44" s="1"/>
  <c r="G151" i="44"/>
  <c r="D69" i="76"/>
  <c r="H68" i="76"/>
  <c r="G68" i="76"/>
  <c r="G70" i="45"/>
  <c r="D71" i="45"/>
  <c r="E71" i="45"/>
  <c r="F71" i="45" s="1"/>
  <c r="H70" i="45"/>
  <c r="I70" i="45" s="1"/>
  <c r="H63" i="97"/>
  <c r="D64" i="97"/>
  <c r="E64" i="97" s="1"/>
  <c r="G63" i="97"/>
  <c r="D66" i="95"/>
  <c r="I66" i="86"/>
  <c r="G145" i="33"/>
  <c r="D146" i="33"/>
  <c r="B146" i="33" s="1"/>
  <c r="G151" i="42"/>
  <c r="D152" i="42"/>
  <c r="D71" i="68"/>
  <c r="E71" i="68" s="1"/>
  <c r="H70" i="26"/>
  <c r="I70" i="26" s="1"/>
  <c r="D71" i="26"/>
  <c r="G70" i="26"/>
  <c r="D66" i="92"/>
  <c r="E66" i="92"/>
  <c r="D64" i="99"/>
  <c r="H63" i="99"/>
  <c r="G63" i="99"/>
  <c r="J150" i="42"/>
  <c r="B67" i="79"/>
  <c r="G72" i="56"/>
  <c r="G73" i="56" s="1"/>
  <c r="H72" i="56"/>
  <c r="I63" i="98"/>
  <c r="B70" i="63"/>
  <c r="G70" i="57"/>
  <c r="D71" i="57"/>
  <c r="B65" i="95"/>
  <c r="H65" i="95"/>
  <c r="G65" i="95"/>
  <c r="G66" i="82"/>
  <c r="B66" i="82"/>
  <c r="F66" i="82"/>
  <c r="H66" i="82" s="1"/>
  <c r="G144" i="97"/>
  <c r="D145" i="97"/>
  <c r="D69" i="77"/>
  <c r="E69" i="77" s="1"/>
  <c r="F69" i="77" s="1"/>
  <c r="D70" i="77" s="1"/>
  <c r="E67" i="81"/>
  <c r="F67" i="81" s="1"/>
  <c r="H67" i="81" s="1"/>
  <c r="B67" i="81"/>
  <c r="H67" i="84"/>
  <c r="I67" i="84" s="1"/>
  <c r="D68" i="84"/>
  <c r="E66" i="83"/>
  <c r="F66" i="83" s="1"/>
  <c r="B66" i="83"/>
  <c r="J144" i="33"/>
  <c r="B69" i="46"/>
  <c r="G69" i="46"/>
  <c r="H69" i="46"/>
  <c r="H65" i="92"/>
  <c r="I65" i="92" s="1"/>
  <c r="E70" i="63"/>
  <c r="F70" i="63" s="1"/>
  <c r="D151" i="43"/>
  <c r="G150" i="43"/>
  <c r="G72" i="53"/>
  <c r="G73" i="53" s="1"/>
  <c r="B68" i="77"/>
  <c r="H68" i="77"/>
  <c r="I68" i="77" s="1"/>
  <c r="G68" i="77"/>
  <c r="G70" i="68"/>
  <c r="I70" i="68" s="1"/>
  <c r="B66" i="81"/>
  <c r="H66" i="81"/>
  <c r="I66" i="81" s="1"/>
  <c r="G66" i="81"/>
  <c r="B72" i="72"/>
  <c r="F72" i="72"/>
  <c r="H72" i="72" s="1"/>
  <c r="G67" i="65"/>
  <c r="I67" i="65" s="1"/>
  <c r="D68" i="65"/>
  <c r="E68" i="65" s="1"/>
  <c r="F68" i="65" s="1"/>
  <c r="D69" i="65" s="1"/>
  <c r="J149" i="43"/>
  <c r="H70" i="57"/>
  <c r="E67" i="79"/>
  <c r="F67" i="79" s="1"/>
  <c r="I65" i="82"/>
  <c r="D71" i="66"/>
  <c r="E71" i="66"/>
  <c r="F71" i="66" s="1"/>
  <c r="H70" i="66"/>
  <c r="G70" i="66"/>
  <c r="D67" i="91"/>
  <c r="E67" i="91"/>
  <c r="G66" i="91"/>
  <c r="H66" i="91"/>
  <c r="H71" i="39"/>
  <c r="G63" i="96"/>
  <c r="H69" i="60"/>
  <c r="I69" i="60" s="1"/>
  <c r="H70" i="64"/>
  <c r="G65" i="80"/>
  <c r="I69" i="61"/>
  <c r="I68" i="67"/>
  <c r="F71" i="55"/>
  <c r="G71" i="55" s="1"/>
  <c r="B71" i="55"/>
  <c r="H64" i="87"/>
  <c r="G70" i="64"/>
  <c r="F71" i="59"/>
  <c r="B71" i="59"/>
  <c r="H71" i="59"/>
  <c r="I72" i="53"/>
  <c r="I73" i="53" s="1"/>
  <c r="H65" i="80"/>
  <c r="F72" i="43"/>
  <c r="E71" i="64"/>
  <c r="F71" i="64" s="1"/>
  <c r="B71" i="64"/>
  <c r="B68" i="85"/>
  <c r="E66" i="80"/>
  <c r="F66" i="80"/>
  <c r="H66" i="80" s="1"/>
  <c r="B66" i="80"/>
  <c r="B153" i="31"/>
  <c r="F153" i="31"/>
  <c r="B69" i="67"/>
  <c r="E68" i="85"/>
  <c r="F68" i="85" s="1"/>
  <c r="I152" i="31"/>
  <c r="H152" i="31"/>
  <c r="B70" i="61"/>
  <c r="F70" i="61"/>
  <c r="G70" i="61" s="1"/>
  <c r="E69" i="67"/>
  <c r="F69" i="67" s="1"/>
  <c r="J146" i="78"/>
  <c r="J146" i="66"/>
  <c r="I148" i="60"/>
  <c r="H148" i="60"/>
  <c r="E149" i="60"/>
  <c r="B149" i="60"/>
  <c r="F149" i="60"/>
  <c r="J153" i="23"/>
  <c r="D67" i="75"/>
  <c r="G66" i="75"/>
  <c r="H66" i="75"/>
  <c r="I66" i="75" s="1"/>
  <c r="H73" i="21"/>
  <c r="G147" i="66"/>
  <c r="D148" i="66"/>
  <c r="E148" i="66" s="1"/>
  <c r="H73" i="18"/>
  <c r="B145" i="81"/>
  <c r="I143" i="96"/>
  <c r="H143" i="96"/>
  <c r="B148" i="61"/>
  <c r="H147" i="59"/>
  <c r="I147" i="59"/>
  <c r="B151" i="74"/>
  <c r="I143" i="89"/>
  <c r="H143" i="89"/>
  <c r="H64" i="89"/>
  <c r="I64" i="89" s="1"/>
  <c r="D69" i="62"/>
  <c r="E69" i="62" s="1"/>
  <c r="D153" i="19"/>
  <c r="G152" i="19"/>
  <c r="E153" i="19"/>
  <c r="I143" i="92"/>
  <c r="H143" i="92"/>
  <c r="B144" i="91"/>
  <c r="I150" i="74"/>
  <c r="H150" i="74"/>
  <c r="H65" i="88"/>
  <c r="I65" i="88" s="1"/>
  <c r="G72" i="18"/>
  <c r="G73" i="18" s="1"/>
  <c r="F148" i="64"/>
  <c r="B148" i="64"/>
  <c r="J147" i="63"/>
  <c r="J151" i="34"/>
  <c r="G152" i="34"/>
  <c r="D153" i="34"/>
  <c r="E153" i="34" s="1"/>
  <c r="G72" i="21"/>
  <c r="G73" i="21" s="1"/>
  <c r="I64" i="90"/>
  <c r="H148" i="72"/>
  <c r="I148" i="72"/>
  <c r="J148" i="72" s="1"/>
  <c r="I143" i="88"/>
  <c r="H143" i="88"/>
  <c r="D70" i="54"/>
  <c r="E70" i="54" s="1"/>
  <c r="H144" i="81"/>
  <c r="I144" i="81"/>
  <c r="H148" i="54"/>
  <c r="I148" i="54"/>
  <c r="H151" i="18"/>
  <c r="I151" i="18"/>
  <c r="J151" i="18" s="1"/>
  <c r="H147" i="61"/>
  <c r="I147" i="61"/>
  <c r="J147" i="61" s="1"/>
  <c r="B148" i="59"/>
  <c r="H153" i="69"/>
  <c r="I153" i="69"/>
  <c r="J153" i="69" s="1"/>
  <c r="B144" i="90"/>
  <c r="D70" i="60"/>
  <c r="E70" i="60" s="1"/>
  <c r="I63" i="96"/>
  <c r="I147" i="64"/>
  <c r="H147" i="64"/>
  <c r="I151" i="21"/>
  <c r="H151" i="21"/>
  <c r="D68" i="13"/>
  <c r="B149" i="72"/>
  <c r="F149" i="72"/>
  <c r="B144" i="88"/>
  <c r="F144" i="88"/>
  <c r="B144" i="92"/>
  <c r="F144" i="92"/>
  <c r="H152" i="71"/>
  <c r="I152" i="71"/>
  <c r="B146" i="26"/>
  <c r="B149" i="54"/>
  <c r="F149" i="54"/>
  <c r="F145" i="99"/>
  <c r="B145" i="99"/>
  <c r="F149" i="58"/>
  <c r="B149" i="58"/>
  <c r="B152" i="18"/>
  <c r="F152" i="18"/>
  <c r="F146" i="79"/>
  <c r="B146" i="79"/>
  <c r="G67" i="86"/>
  <c r="F67" i="86"/>
  <c r="B67" i="86"/>
  <c r="H153" i="27"/>
  <c r="I153" i="27"/>
  <c r="B149" i="53"/>
  <c r="F149" i="53"/>
  <c r="B152" i="21"/>
  <c r="F152" i="21"/>
  <c r="H148" i="53"/>
  <c r="I148" i="53"/>
  <c r="D67" i="78"/>
  <c r="E67" i="78" s="1"/>
  <c r="H154" i="20"/>
  <c r="H155" i="20" s="1"/>
  <c r="I154" i="20"/>
  <c r="G149" i="67"/>
  <c r="D150" i="67"/>
  <c r="E150" i="67"/>
  <c r="I150" i="55"/>
  <c r="H150" i="55"/>
  <c r="G147" i="78"/>
  <c r="D148" i="78"/>
  <c r="E148" i="78"/>
  <c r="B144" i="98"/>
  <c r="F144" i="98"/>
  <c r="F149" i="56"/>
  <c r="B149" i="56"/>
  <c r="I64" i="87"/>
  <c r="G67" i="13"/>
  <c r="B151" i="39"/>
  <c r="F151" i="39"/>
  <c r="H146" i="68"/>
  <c r="I146" i="68"/>
  <c r="E146" i="26"/>
  <c r="F146" i="26" s="1"/>
  <c r="G69" i="54"/>
  <c r="H149" i="45"/>
  <c r="I149" i="45"/>
  <c r="F153" i="24"/>
  <c r="B153" i="24"/>
  <c r="I143" i="86"/>
  <c r="H143" i="86"/>
  <c r="H151" i="3"/>
  <c r="I151" i="3"/>
  <c r="J151" i="3" s="1"/>
  <c r="B154" i="27"/>
  <c r="F154" i="27"/>
  <c r="G154" i="27" s="1"/>
  <c r="D66" i="88"/>
  <c r="E66" i="88" s="1"/>
  <c r="H148" i="56"/>
  <c r="I148" i="56"/>
  <c r="D147" i="13"/>
  <c r="E147" i="13" s="1"/>
  <c r="G146" i="13"/>
  <c r="I145" i="26"/>
  <c r="H145" i="26"/>
  <c r="B149" i="46"/>
  <c r="F149" i="46"/>
  <c r="D72" i="39"/>
  <c r="E72" i="39" s="1"/>
  <c r="E73" i="39" s="1"/>
  <c r="H148" i="46"/>
  <c r="I148" i="46"/>
  <c r="J148" i="46" s="1"/>
  <c r="D64" i="96"/>
  <c r="E64" i="96" s="1"/>
  <c r="I144" i="83"/>
  <c r="H144" i="83"/>
  <c r="H66" i="78"/>
  <c r="I66" i="78" s="1"/>
  <c r="H145" i="76"/>
  <c r="I145" i="76"/>
  <c r="J145" i="76" s="1"/>
  <c r="B151" i="55"/>
  <c r="F151" i="55"/>
  <c r="H143" i="98"/>
  <c r="I143" i="98"/>
  <c r="G68" i="62"/>
  <c r="D65" i="87"/>
  <c r="H67" i="13"/>
  <c r="B150" i="62"/>
  <c r="F150" i="62"/>
  <c r="F147" i="82"/>
  <c r="B147" i="82"/>
  <c r="J151" i="19"/>
  <c r="B150" i="45"/>
  <c r="F150" i="45"/>
  <c r="H152" i="24"/>
  <c r="I152" i="24"/>
  <c r="J152" i="24" s="1"/>
  <c r="H146" i="65"/>
  <c r="I146" i="65"/>
  <c r="H151" i="22"/>
  <c r="I151" i="22"/>
  <c r="J151" i="22" s="1"/>
  <c r="B147" i="85"/>
  <c r="B144" i="86"/>
  <c r="F144" i="86"/>
  <c r="I145" i="77"/>
  <c r="H145" i="77"/>
  <c r="F153" i="71"/>
  <c r="B153" i="71"/>
  <c r="H148" i="58"/>
  <c r="I148" i="58"/>
  <c r="I145" i="79"/>
  <c r="H145" i="79"/>
  <c r="I71" i="39"/>
  <c r="F145" i="83"/>
  <c r="B145" i="83"/>
  <c r="F146" i="76"/>
  <c r="B146" i="76"/>
  <c r="B145" i="100"/>
  <c r="F145" i="100"/>
  <c r="H153" i="30"/>
  <c r="I153" i="30"/>
  <c r="H150" i="41"/>
  <c r="I150" i="41"/>
  <c r="E144" i="90"/>
  <c r="F144" i="90" s="1"/>
  <c r="H68" i="62"/>
  <c r="H144" i="80"/>
  <c r="I144" i="80"/>
  <c r="B151" i="73"/>
  <c r="F151" i="73"/>
  <c r="B144" i="84"/>
  <c r="F144" i="84"/>
  <c r="E144" i="91"/>
  <c r="F144" i="91" s="1"/>
  <c r="H149" i="62"/>
  <c r="I149" i="62"/>
  <c r="I146" i="82"/>
  <c r="H146" i="82"/>
  <c r="I147" i="75"/>
  <c r="H147" i="75"/>
  <c r="H154" i="23"/>
  <c r="H155" i="23" s="1"/>
  <c r="I154" i="23"/>
  <c r="D64" i="100"/>
  <c r="E64" i="100" s="1"/>
  <c r="B147" i="65"/>
  <c r="F147" i="65"/>
  <c r="B152" i="22"/>
  <c r="F152" i="22"/>
  <c r="E147" i="85"/>
  <c r="F147" i="85" s="1"/>
  <c r="B146" i="77"/>
  <c r="F146" i="77"/>
  <c r="H148" i="57"/>
  <c r="I148" i="57"/>
  <c r="J148" i="57" s="1"/>
  <c r="F153" i="32"/>
  <c r="B153" i="32"/>
  <c r="F64" i="25"/>
  <c r="H64" i="25" s="1"/>
  <c r="B64" i="25"/>
  <c r="D65" i="89"/>
  <c r="E65" i="89" s="1"/>
  <c r="H150" i="39"/>
  <c r="I150" i="39"/>
  <c r="F147" i="68"/>
  <c r="B147" i="68"/>
  <c r="I69" i="54"/>
  <c r="H144" i="99"/>
  <c r="I144" i="99"/>
  <c r="F152" i="3"/>
  <c r="B152" i="3"/>
  <c r="G148" i="63"/>
  <c r="D149" i="63"/>
  <c r="E149" i="63"/>
  <c r="E151" i="74"/>
  <c r="F151" i="74" s="1"/>
  <c r="B154" i="69"/>
  <c r="F154" i="69"/>
  <c r="G154" i="69" s="1"/>
  <c r="I144" i="100"/>
  <c r="H144" i="100"/>
  <c r="F154" i="30"/>
  <c r="G154" i="30" s="1"/>
  <c r="B154" i="30"/>
  <c r="B151" i="41"/>
  <c r="F151" i="41"/>
  <c r="B144" i="89"/>
  <c r="F144" i="89"/>
  <c r="I143" i="90"/>
  <c r="H143" i="90"/>
  <c r="D65" i="90"/>
  <c r="E65" i="90" s="1"/>
  <c r="F145" i="80"/>
  <c r="B145" i="80"/>
  <c r="I154" i="28"/>
  <c r="H154" i="28"/>
  <c r="H155" i="28" s="1"/>
  <c r="H150" i="73"/>
  <c r="I150" i="73"/>
  <c r="H143" i="84"/>
  <c r="I143" i="84"/>
  <c r="I143" i="91"/>
  <c r="H143" i="91"/>
  <c r="E147" i="82"/>
  <c r="B148" i="75"/>
  <c r="F148" i="75"/>
  <c r="E145" i="81"/>
  <c r="F145" i="81" s="1"/>
  <c r="G63" i="100"/>
  <c r="I63" i="100" s="1"/>
  <c r="F72" i="22"/>
  <c r="I146" i="85"/>
  <c r="H146" i="85"/>
  <c r="B144" i="96"/>
  <c r="F144" i="96"/>
  <c r="E148" i="61"/>
  <c r="F148" i="61" s="1"/>
  <c r="B149" i="57"/>
  <c r="F149" i="57"/>
  <c r="E148" i="59"/>
  <c r="F148" i="59" s="1"/>
  <c r="I152" i="32"/>
  <c r="J152" i="32" s="1"/>
  <c r="H152" i="32"/>
  <c r="E69" i="65" l="1"/>
  <c r="F69" i="65" s="1"/>
  <c r="B69" i="65"/>
  <c r="D145" i="87"/>
  <c r="G144" i="87"/>
  <c r="G146" i="25"/>
  <c r="D147" i="25"/>
  <c r="B147" i="25" s="1"/>
  <c r="E147" i="25"/>
  <c r="F147" i="25" s="1"/>
  <c r="E68" i="33"/>
  <c r="F68" i="33" s="1"/>
  <c r="B68" i="33"/>
  <c r="D146" i="95"/>
  <c r="G145" i="95"/>
  <c r="G72" i="72"/>
  <c r="G73" i="72" s="1"/>
  <c r="G67" i="81"/>
  <c r="I63" i="99"/>
  <c r="I70" i="58"/>
  <c r="J145" i="25"/>
  <c r="E70" i="46"/>
  <c r="F70" i="46" s="1"/>
  <c r="D71" i="46" s="1"/>
  <c r="E71" i="46" s="1"/>
  <c r="H67" i="79"/>
  <c r="D68" i="79"/>
  <c r="G67" i="79"/>
  <c r="I67" i="79" s="1"/>
  <c r="D71" i="63"/>
  <c r="E71" i="63" s="1"/>
  <c r="F71" i="63" s="1"/>
  <c r="G70" i="63"/>
  <c r="H70" i="63"/>
  <c r="I67" i="81"/>
  <c r="I72" i="72"/>
  <c r="I73" i="72" s="1"/>
  <c r="H73" i="72"/>
  <c r="E151" i="43"/>
  <c r="F151" i="43" s="1"/>
  <c r="B151" i="43"/>
  <c r="H66" i="83"/>
  <c r="D67" i="83"/>
  <c r="G66" i="83"/>
  <c r="I144" i="97"/>
  <c r="H144" i="97"/>
  <c r="E71" i="57"/>
  <c r="F71" i="57" s="1"/>
  <c r="B71" i="57"/>
  <c r="H73" i="56"/>
  <c r="I72" i="56"/>
  <c r="I73" i="56" s="1"/>
  <c r="B64" i="99"/>
  <c r="E64" i="99"/>
  <c r="F64" i="99" s="1"/>
  <c r="B71" i="26"/>
  <c r="E71" i="26"/>
  <c r="F71" i="26" s="1"/>
  <c r="B152" i="42"/>
  <c r="B66" i="95"/>
  <c r="I63" i="97"/>
  <c r="B69" i="76"/>
  <c r="E71" i="58"/>
  <c r="F71" i="58" s="1"/>
  <c r="E65" i="98"/>
  <c r="F65" i="98" s="1"/>
  <c r="G64" i="25"/>
  <c r="I64" i="25" s="1"/>
  <c r="H70" i="61"/>
  <c r="I70" i="61" s="1"/>
  <c r="H71" i="55"/>
  <c r="B68" i="65"/>
  <c r="H68" i="65"/>
  <c r="G68" i="65"/>
  <c r="E70" i="77"/>
  <c r="F70" i="77" s="1"/>
  <c r="B70" i="77"/>
  <c r="I66" i="82"/>
  <c r="H151" i="42"/>
  <c r="I151" i="42"/>
  <c r="H145" i="33"/>
  <c r="I145" i="33"/>
  <c r="J145" i="33" s="1"/>
  <c r="I67" i="13"/>
  <c r="I70" i="57"/>
  <c r="E68" i="84"/>
  <c r="F68" i="84" s="1"/>
  <c r="B68" i="84"/>
  <c r="B69" i="77"/>
  <c r="G69" i="77"/>
  <c r="H69" i="77"/>
  <c r="D67" i="82"/>
  <c r="E67" i="82" s="1"/>
  <c r="F67" i="82" s="1"/>
  <c r="I65" i="95"/>
  <c r="B66" i="92"/>
  <c r="F66" i="92"/>
  <c r="H66" i="92" s="1"/>
  <c r="E152" i="42"/>
  <c r="F152" i="42" s="1"/>
  <c r="D72" i="45"/>
  <c r="E72" i="45" s="1"/>
  <c r="E73" i="45" s="1"/>
  <c r="I68" i="76"/>
  <c r="H151" i="44"/>
  <c r="I151" i="44"/>
  <c r="J146" i="65"/>
  <c r="I150" i="43"/>
  <c r="H150" i="43"/>
  <c r="I69" i="46"/>
  <c r="D68" i="81"/>
  <c r="E68" i="81" s="1"/>
  <c r="F68" i="81" s="1"/>
  <c r="B145" i="97"/>
  <c r="E145" i="97"/>
  <c r="F145" i="97" s="1"/>
  <c r="B71" i="68"/>
  <c r="F71" i="68"/>
  <c r="H71" i="68"/>
  <c r="G71" i="68"/>
  <c r="I71" i="68" s="1"/>
  <c r="E146" i="33"/>
  <c r="F146" i="33" s="1"/>
  <c r="E66" i="95"/>
  <c r="F66" i="95" s="1"/>
  <c r="B64" i="97"/>
  <c r="F64" i="97"/>
  <c r="D65" i="97" s="1"/>
  <c r="B71" i="45"/>
  <c r="H71" i="45"/>
  <c r="G71" i="45"/>
  <c r="E69" i="76"/>
  <c r="F69" i="76" s="1"/>
  <c r="F152" i="44"/>
  <c r="B152" i="44"/>
  <c r="I64" i="98"/>
  <c r="H68" i="85"/>
  <c r="D69" i="85"/>
  <c r="E69" i="85" s="1"/>
  <c r="F69" i="85" s="1"/>
  <c r="D70" i="85" s="1"/>
  <c r="G68" i="85"/>
  <c r="G71" i="64"/>
  <c r="D72" i="64"/>
  <c r="H71" i="64"/>
  <c r="H69" i="65"/>
  <c r="D70" i="65"/>
  <c r="G69" i="65"/>
  <c r="G69" i="67"/>
  <c r="D70" i="67"/>
  <c r="H69" i="67"/>
  <c r="G66" i="80"/>
  <c r="I66" i="80" s="1"/>
  <c r="G72" i="43"/>
  <c r="G73" i="43" s="1"/>
  <c r="H72" i="43"/>
  <c r="I70" i="64"/>
  <c r="I66" i="91"/>
  <c r="J149" i="45"/>
  <c r="D72" i="55"/>
  <c r="I70" i="66"/>
  <c r="D71" i="61"/>
  <c r="J152" i="31"/>
  <c r="G153" i="31"/>
  <c r="D154" i="31"/>
  <c r="E154" i="31" s="1"/>
  <c r="E155" i="31" s="1"/>
  <c r="I65" i="80"/>
  <c r="G71" i="59"/>
  <c r="I71" i="59" s="1"/>
  <c r="D72" i="59"/>
  <c r="I71" i="55"/>
  <c r="D72" i="66"/>
  <c r="E72" i="66" s="1"/>
  <c r="E73" i="66" s="1"/>
  <c r="D67" i="80"/>
  <c r="E67" i="80"/>
  <c r="F67" i="80" s="1"/>
  <c r="F67" i="91"/>
  <c r="H67" i="91" s="1"/>
  <c r="B67" i="91"/>
  <c r="B71" i="66"/>
  <c r="H71" i="66"/>
  <c r="G71" i="66"/>
  <c r="J150" i="55"/>
  <c r="J151" i="21"/>
  <c r="J150" i="41"/>
  <c r="J148" i="54"/>
  <c r="J150" i="74"/>
  <c r="D150" i="60"/>
  <c r="G149" i="60"/>
  <c r="J148" i="60"/>
  <c r="J150" i="73"/>
  <c r="J153" i="27"/>
  <c r="G151" i="74"/>
  <c r="D152" i="74"/>
  <c r="E152" i="74"/>
  <c r="G145" i="81"/>
  <c r="D146" i="81"/>
  <c r="G147" i="85"/>
  <c r="D148" i="85"/>
  <c r="E148" i="85" s="1"/>
  <c r="G146" i="26"/>
  <c r="D147" i="26"/>
  <c r="E147" i="26" s="1"/>
  <c r="G145" i="80"/>
  <c r="D146" i="80"/>
  <c r="E146" i="80" s="1"/>
  <c r="G149" i="46"/>
  <c r="D150" i="46"/>
  <c r="E150" i="46" s="1"/>
  <c r="B68" i="13"/>
  <c r="D145" i="90"/>
  <c r="E145" i="90" s="1"/>
  <c r="G144" i="90"/>
  <c r="D149" i="59"/>
  <c r="E149" i="59" s="1"/>
  <c r="G148" i="59"/>
  <c r="B67" i="75"/>
  <c r="G72" i="22"/>
  <c r="G73" i="22" s="1"/>
  <c r="H72" i="22"/>
  <c r="F65" i="90"/>
  <c r="G65" i="90" s="1"/>
  <c r="B65" i="90"/>
  <c r="J149" i="62"/>
  <c r="G146" i="76"/>
  <c r="D147" i="76"/>
  <c r="E147" i="76" s="1"/>
  <c r="B66" i="88"/>
  <c r="F66" i="88"/>
  <c r="G66" i="88" s="1"/>
  <c r="G151" i="39"/>
  <c r="D152" i="39"/>
  <c r="E152" i="39" s="1"/>
  <c r="G144" i="98"/>
  <c r="D145" i="98"/>
  <c r="E145" i="98" s="1"/>
  <c r="B150" i="67"/>
  <c r="F150" i="67"/>
  <c r="D153" i="21"/>
  <c r="E153" i="21" s="1"/>
  <c r="G152" i="21"/>
  <c r="D68" i="86"/>
  <c r="G144" i="92"/>
  <c r="D145" i="92"/>
  <c r="E145" i="92" s="1"/>
  <c r="F69" i="62"/>
  <c r="G69" i="62" s="1"/>
  <c r="B69" i="62"/>
  <c r="B71" i="46"/>
  <c r="E67" i="75"/>
  <c r="F67" i="75" s="1"/>
  <c r="D154" i="71"/>
  <c r="G153" i="71"/>
  <c r="E154" i="71"/>
  <c r="E155" i="71" s="1"/>
  <c r="D149" i="61"/>
  <c r="E149" i="61" s="1"/>
  <c r="G148" i="61"/>
  <c r="I154" i="30"/>
  <c r="H154" i="30"/>
  <c r="H155" i="30" s="1"/>
  <c r="B149" i="63"/>
  <c r="F149" i="63"/>
  <c r="D148" i="68"/>
  <c r="E148" i="68" s="1"/>
  <c r="G147" i="68"/>
  <c r="J154" i="23"/>
  <c r="J155" i="23" s="1"/>
  <c r="I155" i="23"/>
  <c r="G145" i="83"/>
  <c r="D146" i="83"/>
  <c r="E146" i="83" s="1"/>
  <c r="J145" i="77"/>
  <c r="G150" i="62"/>
  <c r="D151" i="62"/>
  <c r="E151" i="62" s="1"/>
  <c r="G151" i="55"/>
  <c r="D152" i="55"/>
  <c r="J145" i="26"/>
  <c r="H154" i="27"/>
  <c r="H155" i="27" s="1"/>
  <c r="I154" i="27"/>
  <c r="J154" i="20"/>
  <c r="J155" i="20" s="1"/>
  <c r="I155" i="20"/>
  <c r="G149" i="53"/>
  <c r="D150" i="53"/>
  <c r="E150" i="53" s="1"/>
  <c r="G149" i="54"/>
  <c r="D150" i="54"/>
  <c r="E150" i="54" s="1"/>
  <c r="D145" i="88"/>
  <c r="E145" i="88" s="1"/>
  <c r="G144" i="88"/>
  <c r="H147" i="66"/>
  <c r="I147" i="66"/>
  <c r="G146" i="77"/>
  <c r="D147" i="77"/>
  <c r="E147" i="77" s="1"/>
  <c r="E148" i="82"/>
  <c r="D148" i="82"/>
  <c r="G147" i="82"/>
  <c r="D146" i="99"/>
  <c r="E146" i="99" s="1"/>
  <c r="G145" i="99"/>
  <c r="G148" i="64"/>
  <c r="D149" i="64"/>
  <c r="E149" i="64"/>
  <c r="H148" i="63"/>
  <c r="I148" i="63"/>
  <c r="J148" i="63" s="1"/>
  <c r="J150" i="39"/>
  <c r="D145" i="84"/>
  <c r="E145" i="84" s="1"/>
  <c r="G144" i="84"/>
  <c r="J153" i="30"/>
  <c r="D145" i="86"/>
  <c r="E145" i="86" s="1"/>
  <c r="G144" i="86"/>
  <c r="F148" i="78"/>
  <c r="B148" i="78"/>
  <c r="G146" i="79"/>
  <c r="D147" i="79"/>
  <c r="F70" i="54"/>
  <c r="G70" i="54" s="1"/>
  <c r="B70" i="54"/>
  <c r="I72" i="18"/>
  <c r="I73" i="18" s="1"/>
  <c r="D150" i="56"/>
  <c r="E150" i="56" s="1"/>
  <c r="G149" i="56"/>
  <c r="B64" i="96"/>
  <c r="F64" i="96"/>
  <c r="G64" i="96" s="1"/>
  <c r="D154" i="32"/>
  <c r="G153" i="32"/>
  <c r="D153" i="22"/>
  <c r="E153" i="22" s="1"/>
  <c r="G152" i="22"/>
  <c r="I68" i="62"/>
  <c r="H146" i="13"/>
  <c r="I146" i="13"/>
  <c r="I147" i="78"/>
  <c r="H147" i="78"/>
  <c r="G152" i="18"/>
  <c r="D153" i="18"/>
  <c r="E153" i="18" s="1"/>
  <c r="D150" i="72"/>
  <c r="G149" i="72"/>
  <c r="J147" i="64"/>
  <c r="B70" i="60"/>
  <c r="F70" i="60"/>
  <c r="H70" i="60" s="1"/>
  <c r="F153" i="34"/>
  <c r="B153" i="34"/>
  <c r="I72" i="21"/>
  <c r="I73" i="21" s="1"/>
  <c r="D150" i="58"/>
  <c r="G149" i="58"/>
  <c r="E150" i="58"/>
  <c r="G149" i="57"/>
  <c r="D150" i="57"/>
  <c r="E150" i="57"/>
  <c r="B64" i="100"/>
  <c r="F64" i="100"/>
  <c r="G64" i="100" s="1"/>
  <c r="G153" i="24"/>
  <c r="D154" i="24"/>
  <c r="E154" i="24" s="1"/>
  <c r="E155" i="24" s="1"/>
  <c r="H149" i="67"/>
  <c r="I149" i="67"/>
  <c r="D145" i="91"/>
  <c r="G144" i="91"/>
  <c r="J154" i="28"/>
  <c r="J155" i="28" s="1"/>
  <c r="I155" i="28"/>
  <c r="G152" i="3"/>
  <c r="D153" i="3"/>
  <c r="E153" i="3"/>
  <c r="J147" i="75"/>
  <c r="D152" i="73"/>
  <c r="E152" i="73" s="1"/>
  <c r="G151" i="73"/>
  <c r="G145" i="100"/>
  <c r="D146" i="100"/>
  <c r="E146" i="100" s="1"/>
  <c r="J145" i="79"/>
  <c r="G150" i="45"/>
  <c r="D151" i="45"/>
  <c r="E151" i="45" s="1"/>
  <c r="B65" i="87"/>
  <c r="B147" i="13"/>
  <c r="F147" i="13"/>
  <c r="B67" i="78"/>
  <c r="F67" i="78"/>
  <c r="H67" i="78" s="1"/>
  <c r="H152" i="34"/>
  <c r="I152" i="34"/>
  <c r="I152" i="19"/>
  <c r="H152" i="19"/>
  <c r="G151" i="41"/>
  <c r="D152" i="41"/>
  <c r="E152" i="41" s="1"/>
  <c r="D65" i="25"/>
  <c r="E65" i="25" s="1"/>
  <c r="B148" i="66"/>
  <c r="F148" i="66"/>
  <c r="G148" i="75"/>
  <c r="D149" i="75"/>
  <c r="E149" i="75"/>
  <c r="G144" i="96"/>
  <c r="D145" i="96"/>
  <c r="E145" i="96" s="1"/>
  <c r="D145" i="89"/>
  <c r="G144" i="89"/>
  <c r="H154" i="69"/>
  <c r="H155" i="69" s="1"/>
  <c r="I154" i="69"/>
  <c r="B65" i="89"/>
  <c r="F65" i="89"/>
  <c r="G65" i="89" s="1"/>
  <c r="G147" i="65"/>
  <c r="D148" i="65"/>
  <c r="E148" i="65" s="1"/>
  <c r="J148" i="58"/>
  <c r="E65" i="87"/>
  <c r="F65" i="87" s="1"/>
  <c r="F72" i="39"/>
  <c r="G72" i="39" s="1"/>
  <c r="G73" i="39" s="1"/>
  <c r="H72" i="39"/>
  <c r="B72" i="39"/>
  <c r="J148" i="56"/>
  <c r="J146" i="68"/>
  <c r="J148" i="53"/>
  <c r="H67" i="86"/>
  <c r="I67" i="86" s="1"/>
  <c r="J152" i="71"/>
  <c r="E68" i="13"/>
  <c r="F68" i="13" s="1"/>
  <c r="F153" i="19"/>
  <c r="B153" i="19"/>
  <c r="J147" i="59"/>
  <c r="G68" i="33" l="1"/>
  <c r="H68" i="33"/>
  <c r="I68" i="33" s="1"/>
  <c r="D69" i="33"/>
  <c r="B69" i="33" s="1"/>
  <c r="I144" i="87"/>
  <c r="H144" i="87"/>
  <c r="G66" i="92"/>
  <c r="I66" i="92" s="1"/>
  <c r="I68" i="65"/>
  <c r="H70" i="46"/>
  <c r="I70" i="46" s="1"/>
  <c r="E146" i="95"/>
  <c r="F146" i="95" s="1"/>
  <c r="B146" i="95"/>
  <c r="D148" i="25"/>
  <c r="G147" i="25"/>
  <c r="E145" i="87"/>
  <c r="F145" i="87" s="1"/>
  <c r="B145" i="87"/>
  <c r="F71" i="46"/>
  <c r="D72" i="46" s="1"/>
  <c r="E72" i="46" s="1"/>
  <c r="E73" i="46" s="1"/>
  <c r="I71" i="45"/>
  <c r="H145" i="95"/>
  <c r="I145" i="95"/>
  <c r="H71" i="46"/>
  <c r="J151" i="44"/>
  <c r="G70" i="46"/>
  <c r="H146" i="25"/>
  <c r="I146" i="25"/>
  <c r="J146" i="25" s="1"/>
  <c r="D70" i="76"/>
  <c r="E70" i="76" s="1"/>
  <c r="F70" i="76" s="1"/>
  <c r="G69" i="76"/>
  <c r="H69" i="76"/>
  <c r="I69" i="76" s="1"/>
  <c r="D72" i="63"/>
  <c r="E72" i="63" s="1"/>
  <c r="E73" i="63" s="1"/>
  <c r="D68" i="82"/>
  <c r="E68" i="82" s="1"/>
  <c r="F68" i="82" s="1"/>
  <c r="D69" i="81"/>
  <c r="E69" i="81" s="1"/>
  <c r="F69" i="81" s="1"/>
  <c r="D69" i="84"/>
  <c r="E69" i="84" s="1"/>
  <c r="G68" i="84"/>
  <c r="H68" i="84"/>
  <c r="D152" i="43"/>
  <c r="G151" i="43"/>
  <c r="D153" i="42"/>
  <c r="E153" i="42" s="1"/>
  <c r="G152" i="42"/>
  <c r="G70" i="77"/>
  <c r="D71" i="77"/>
  <c r="E71" i="77" s="1"/>
  <c r="F71" i="77" s="1"/>
  <c r="H70" i="77"/>
  <c r="H71" i="57"/>
  <c r="D72" i="57"/>
  <c r="E72" i="57" s="1"/>
  <c r="E73" i="57" s="1"/>
  <c r="G71" i="57"/>
  <c r="I71" i="57" s="1"/>
  <c r="D153" i="44"/>
  <c r="B153" i="44" s="1"/>
  <c r="G152" i="44"/>
  <c r="I69" i="77"/>
  <c r="H64" i="99"/>
  <c r="I64" i="99" s="1"/>
  <c r="G64" i="99"/>
  <c r="D65" i="99"/>
  <c r="I70" i="63"/>
  <c r="I69" i="65"/>
  <c r="G64" i="97"/>
  <c r="D67" i="95"/>
  <c r="E67" i="95" s="1"/>
  <c r="D72" i="68"/>
  <c r="E72" i="68" s="1"/>
  <c r="E73" i="68" s="1"/>
  <c r="J150" i="43"/>
  <c r="D67" i="92"/>
  <c r="E67" i="92"/>
  <c r="J151" i="42"/>
  <c r="G66" i="95"/>
  <c r="B68" i="79"/>
  <c r="H64" i="97"/>
  <c r="I64" i="97" s="1"/>
  <c r="D147" i="33"/>
  <c r="B147" i="33" s="1"/>
  <c r="G146" i="33"/>
  <c r="B68" i="81"/>
  <c r="H68" i="81"/>
  <c r="G68" i="81"/>
  <c r="G65" i="98"/>
  <c r="H65" i="98"/>
  <c r="D66" i="98"/>
  <c r="H66" i="95"/>
  <c r="D72" i="26"/>
  <c r="H71" i="26"/>
  <c r="G71" i="26"/>
  <c r="I66" i="83"/>
  <c r="E68" i="79"/>
  <c r="F68" i="79" s="1"/>
  <c r="E65" i="97"/>
  <c r="F65" i="97" s="1"/>
  <c r="B65" i="97"/>
  <c r="G145" i="97"/>
  <c r="D146" i="97"/>
  <c r="B72" i="45"/>
  <c r="F72" i="45"/>
  <c r="G72" i="45" s="1"/>
  <c r="G73" i="45" s="1"/>
  <c r="B67" i="82"/>
  <c r="H67" i="82"/>
  <c r="G67" i="82"/>
  <c r="D72" i="58"/>
  <c r="G71" i="58"/>
  <c r="H71" i="58"/>
  <c r="B67" i="83"/>
  <c r="E67" i="83"/>
  <c r="F67" i="83" s="1"/>
  <c r="B71" i="63"/>
  <c r="G71" i="63"/>
  <c r="H71" i="63"/>
  <c r="E70" i="85"/>
  <c r="B70" i="85"/>
  <c r="F70" i="85"/>
  <c r="H70" i="85" s="1"/>
  <c r="H66" i="88"/>
  <c r="I153" i="31"/>
  <c r="H153" i="31"/>
  <c r="B72" i="55"/>
  <c r="I69" i="67"/>
  <c r="E70" i="65"/>
  <c r="F70" i="65" s="1"/>
  <c r="G70" i="65" s="1"/>
  <c r="B70" i="65"/>
  <c r="I71" i="64"/>
  <c r="H64" i="100"/>
  <c r="I64" i="100" s="1"/>
  <c r="D68" i="80"/>
  <c r="B72" i="59"/>
  <c r="B71" i="61"/>
  <c r="F71" i="61"/>
  <c r="G71" i="61" s="1"/>
  <c r="E70" i="67"/>
  <c r="F70" i="67" s="1"/>
  <c r="G70" i="67" s="1"/>
  <c r="B70" i="67"/>
  <c r="E72" i="64"/>
  <c r="E73" i="64" s="1"/>
  <c r="B72" i="64"/>
  <c r="I71" i="66"/>
  <c r="G67" i="91"/>
  <c r="I67" i="91" s="1"/>
  <c r="D68" i="91"/>
  <c r="B67" i="80"/>
  <c r="H67" i="80"/>
  <c r="G67" i="80"/>
  <c r="E72" i="59"/>
  <c r="E73" i="59" s="1"/>
  <c r="E71" i="61"/>
  <c r="B69" i="85"/>
  <c r="H69" i="85"/>
  <c r="G69" i="85"/>
  <c r="B72" i="66"/>
  <c r="F72" i="66"/>
  <c r="H72" i="66" s="1"/>
  <c r="F154" i="31"/>
  <c r="G154" i="31" s="1"/>
  <c r="B154" i="31"/>
  <c r="E72" i="55"/>
  <c r="E73" i="55" s="1"/>
  <c r="I72" i="43"/>
  <c r="I73" i="43" s="1"/>
  <c r="H73" i="43"/>
  <c r="I68" i="85"/>
  <c r="J152" i="19"/>
  <c r="J147" i="66"/>
  <c r="I149" i="60"/>
  <c r="J149" i="60" s="1"/>
  <c r="H149" i="60"/>
  <c r="J149" i="67"/>
  <c r="B150" i="60"/>
  <c r="E150" i="60"/>
  <c r="F150" i="60" s="1"/>
  <c r="D68" i="75"/>
  <c r="E68" i="75" s="1"/>
  <c r="H67" i="75"/>
  <c r="G67" i="75"/>
  <c r="D66" i="87"/>
  <c r="E66" i="87" s="1"/>
  <c r="G65" i="87"/>
  <c r="H65" i="87"/>
  <c r="D69" i="13"/>
  <c r="H68" i="13"/>
  <c r="G68" i="13"/>
  <c r="B150" i="72"/>
  <c r="J154" i="30"/>
  <c r="J155" i="30" s="1"/>
  <c r="I155" i="30"/>
  <c r="D151" i="67"/>
  <c r="E151" i="67"/>
  <c r="G150" i="67"/>
  <c r="H145" i="80"/>
  <c r="I145" i="80"/>
  <c r="B146" i="81"/>
  <c r="D154" i="19"/>
  <c r="E154" i="19" s="1"/>
  <c r="E155" i="19" s="1"/>
  <c r="G153" i="19"/>
  <c r="H65" i="89"/>
  <c r="I65" i="89" s="1"/>
  <c r="B145" i="89"/>
  <c r="D68" i="78"/>
  <c r="E68" i="78" s="1"/>
  <c r="B146" i="100"/>
  <c r="F146" i="100"/>
  <c r="B145" i="91"/>
  <c r="H149" i="58"/>
  <c r="I149" i="58"/>
  <c r="G70" i="60"/>
  <c r="I70" i="60" s="1"/>
  <c r="D65" i="96"/>
  <c r="E65" i="96" s="1"/>
  <c r="I146" i="79"/>
  <c r="H146" i="79"/>
  <c r="B149" i="64"/>
  <c r="F149" i="64"/>
  <c r="H144" i="88"/>
  <c r="I144" i="88"/>
  <c r="B145" i="92"/>
  <c r="F145" i="92"/>
  <c r="D67" i="88"/>
  <c r="E67" i="88" s="1"/>
  <c r="B147" i="26"/>
  <c r="F147" i="26"/>
  <c r="H145" i="81"/>
  <c r="I145" i="81"/>
  <c r="B154" i="32"/>
  <c r="I149" i="53"/>
  <c r="H149" i="53"/>
  <c r="B153" i="18"/>
  <c r="F153" i="18"/>
  <c r="I148" i="64"/>
  <c r="J148" i="64" s="1"/>
  <c r="H148" i="64"/>
  <c r="H144" i="92"/>
  <c r="I144" i="92"/>
  <c r="I66" i="88"/>
  <c r="I148" i="59"/>
  <c r="H148" i="59"/>
  <c r="B145" i="88"/>
  <c r="F145" i="88"/>
  <c r="B145" i="96"/>
  <c r="F145" i="96"/>
  <c r="B65" i="25"/>
  <c r="F65" i="25"/>
  <c r="H65" i="25" s="1"/>
  <c r="G67" i="78"/>
  <c r="I67" i="78" s="1"/>
  <c r="F153" i="3"/>
  <c r="B153" i="3"/>
  <c r="D65" i="100"/>
  <c r="I152" i="18"/>
  <c r="H152" i="18"/>
  <c r="H64" i="96"/>
  <c r="I64" i="96" s="1"/>
  <c r="D149" i="78"/>
  <c r="E149" i="78" s="1"/>
  <c r="G148" i="78"/>
  <c r="H144" i="84"/>
  <c r="I144" i="84"/>
  <c r="I146" i="77"/>
  <c r="H146" i="77"/>
  <c r="I151" i="55"/>
  <c r="J151" i="55" s="1"/>
  <c r="H151" i="55"/>
  <c r="H147" i="68"/>
  <c r="I147" i="68"/>
  <c r="B149" i="61"/>
  <c r="F149" i="61"/>
  <c r="B68" i="86"/>
  <c r="F145" i="98"/>
  <c r="B145" i="98"/>
  <c r="I72" i="22"/>
  <c r="I73" i="22" s="1"/>
  <c r="H73" i="22"/>
  <c r="F149" i="59"/>
  <c r="B149" i="59"/>
  <c r="H146" i="26"/>
  <c r="I146" i="26"/>
  <c r="I144" i="89"/>
  <c r="H144" i="89"/>
  <c r="D154" i="34"/>
  <c r="G153" i="34"/>
  <c r="H145" i="100"/>
  <c r="I145" i="100"/>
  <c r="D71" i="60"/>
  <c r="E71" i="60" s="1"/>
  <c r="B152" i="55"/>
  <c r="I144" i="96"/>
  <c r="H144" i="96"/>
  <c r="F151" i="45"/>
  <c r="B151" i="45"/>
  <c r="H151" i="73"/>
  <c r="I151" i="73"/>
  <c r="I152" i="3"/>
  <c r="H152" i="3"/>
  <c r="H152" i="22"/>
  <c r="I152" i="22"/>
  <c r="F145" i="84"/>
  <c r="B145" i="84"/>
  <c r="I145" i="99"/>
  <c r="H145" i="99"/>
  <c r="B150" i="54"/>
  <c r="F150" i="54"/>
  <c r="E152" i="55"/>
  <c r="F152" i="55" s="1"/>
  <c r="F148" i="68"/>
  <c r="B148" i="68"/>
  <c r="E68" i="86"/>
  <c r="F68" i="86" s="1"/>
  <c r="H68" i="86" s="1"/>
  <c r="I144" i="98"/>
  <c r="H144" i="98"/>
  <c r="B150" i="46"/>
  <c r="F150" i="46"/>
  <c r="I148" i="61"/>
  <c r="H148" i="61"/>
  <c r="I72" i="39"/>
  <c r="I73" i="39" s="1"/>
  <c r="H73" i="39"/>
  <c r="H150" i="45"/>
  <c r="I150" i="45"/>
  <c r="F154" i="24"/>
  <c r="G154" i="24" s="1"/>
  <c r="B154" i="24"/>
  <c r="J147" i="78"/>
  <c r="B153" i="22"/>
  <c r="F153" i="22"/>
  <c r="D71" i="54"/>
  <c r="E71" i="54" s="1"/>
  <c r="B146" i="99"/>
  <c r="F146" i="99"/>
  <c r="I149" i="54"/>
  <c r="H149" i="54"/>
  <c r="D150" i="63"/>
  <c r="E150" i="63" s="1"/>
  <c r="G149" i="63"/>
  <c r="H153" i="71"/>
  <c r="I153" i="71"/>
  <c r="H144" i="90"/>
  <c r="I144" i="90"/>
  <c r="I149" i="46"/>
  <c r="H149" i="46"/>
  <c r="F148" i="85"/>
  <c r="B148" i="85"/>
  <c r="H147" i="65"/>
  <c r="I147" i="65"/>
  <c r="B147" i="79"/>
  <c r="D66" i="89"/>
  <c r="B150" i="58"/>
  <c r="F150" i="58"/>
  <c r="B147" i="77"/>
  <c r="F147" i="77"/>
  <c r="D66" i="90"/>
  <c r="E66" i="90" s="1"/>
  <c r="B152" i="41"/>
  <c r="F152" i="41"/>
  <c r="F152" i="73"/>
  <c r="B152" i="73"/>
  <c r="B149" i="75"/>
  <c r="F149" i="75"/>
  <c r="I151" i="41"/>
  <c r="H151" i="41"/>
  <c r="H153" i="24"/>
  <c r="I153" i="24"/>
  <c r="B150" i="57"/>
  <c r="F150" i="57"/>
  <c r="E150" i="72"/>
  <c r="F150" i="72" s="1"/>
  <c r="E154" i="32"/>
  <c r="E155" i="32" s="1"/>
  <c r="I149" i="56"/>
  <c r="H149" i="56"/>
  <c r="H70" i="54"/>
  <c r="I70" i="54" s="1"/>
  <c r="I144" i="86"/>
  <c r="H144" i="86"/>
  <c r="H147" i="82"/>
  <c r="I147" i="82"/>
  <c r="B151" i="62"/>
  <c r="F151" i="62"/>
  <c r="B146" i="83"/>
  <c r="F146" i="83"/>
  <c r="B154" i="71"/>
  <c r="F154" i="71"/>
  <c r="G154" i="71" s="1"/>
  <c r="D70" i="62"/>
  <c r="E70" i="62" s="1"/>
  <c r="I152" i="21"/>
  <c r="H152" i="21"/>
  <c r="F152" i="39"/>
  <c r="B152" i="39"/>
  <c r="F147" i="76"/>
  <c r="B147" i="76"/>
  <c r="F145" i="90"/>
  <c r="B145" i="90"/>
  <c r="H147" i="85"/>
  <c r="I147" i="85"/>
  <c r="F152" i="74"/>
  <c r="B152" i="74"/>
  <c r="D149" i="66"/>
  <c r="E149" i="66" s="1"/>
  <c r="G148" i="66"/>
  <c r="I144" i="91"/>
  <c r="H144" i="91"/>
  <c r="J154" i="69"/>
  <c r="J155" i="69" s="1"/>
  <c r="I155" i="69"/>
  <c r="G147" i="13"/>
  <c r="D148" i="13"/>
  <c r="E148" i="13" s="1"/>
  <c r="B148" i="65"/>
  <c r="F148" i="65"/>
  <c r="E145" i="89"/>
  <c r="F145" i="89" s="1"/>
  <c r="I148" i="75"/>
  <c r="J148" i="75" s="1"/>
  <c r="H148" i="75"/>
  <c r="J152" i="34"/>
  <c r="E145" i="91"/>
  <c r="F145" i="91" s="1"/>
  <c r="H149" i="57"/>
  <c r="I149" i="57"/>
  <c r="I149" i="72"/>
  <c r="H149" i="72"/>
  <c r="I153" i="32"/>
  <c r="H153" i="32"/>
  <c r="F150" i="56"/>
  <c r="B150" i="56"/>
  <c r="E147" i="79"/>
  <c r="F147" i="79" s="1"/>
  <c r="F145" i="86"/>
  <c r="B145" i="86"/>
  <c r="F148" i="82"/>
  <c r="B148" i="82"/>
  <c r="B150" i="53"/>
  <c r="F150" i="53"/>
  <c r="J154" i="27"/>
  <c r="J155" i="27" s="1"/>
  <c r="I155" i="27"/>
  <c r="H150" i="62"/>
  <c r="I150" i="62"/>
  <c r="J150" i="62" s="1"/>
  <c r="H145" i="83"/>
  <c r="I145" i="83"/>
  <c r="H69" i="62"/>
  <c r="I69" i="62" s="1"/>
  <c r="B153" i="21"/>
  <c r="F153" i="21"/>
  <c r="I151" i="39"/>
  <c r="H151" i="39"/>
  <c r="I146" i="76"/>
  <c r="J146" i="76" s="1"/>
  <c r="H146" i="76"/>
  <c r="H65" i="90"/>
  <c r="I65" i="90" s="1"/>
  <c r="B146" i="80"/>
  <c r="F146" i="80"/>
  <c r="E146" i="81"/>
  <c r="F146" i="81" s="1"/>
  <c r="I151" i="74"/>
  <c r="H151" i="74"/>
  <c r="D146" i="87" l="1"/>
  <c r="B146" i="87" s="1"/>
  <c r="G145" i="87"/>
  <c r="E146" i="87"/>
  <c r="F146" i="87" s="1"/>
  <c r="D147" i="95"/>
  <c r="B147" i="95" s="1"/>
  <c r="G146" i="95"/>
  <c r="E148" i="25"/>
  <c r="F148" i="25" s="1"/>
  <c r="B148" i="25"/>
  <c r="I147" i="25"/>
  <c r="H147" i="25"/>
  <c r="G71" i="46"/>
  <c r="I71" i="46" s="1"/>
  <c r="G65" i="25"/>
  <c r="I71" i="63"/>
  <c r="I71" i="26"/>
  <c r="I65" i="98"/>
  <c r="E69" i="33"/>
  <c r="F69" i="33" s="1"/>
  <c r="D70" i="33" s="1"/>
  <c r="E70" i="33" s="1"/>
  <c r="D72" i="77"/>
  <c r="E72" i="77"/>
  <c r="E73" i="77" s="1"/>
  <c r="D66" i="97"/>
  <c r="G65" i="97"/>
  <c r="H65" i="97"/>
  <c r="D70" i="81"/>
  <c r="E70" i="81" s="1"/>
  <c r="H68" i="79"/>
  <c r="D69" i="79"/>
  <c r="E69" i="79" s="1"/>
  <c r="F69" i="79" s="1"/>
  <c r="G68" i="79"/>
  <c r="I68" i="79" s="1"/>
  <c r="D69" i="82"/>
  <c r="E69" i="82"/>
  <c r="F69" i="82" s="1"/>
  <c r="D70" i="82" s="1"/>
  <c r="E70" i="82" s="1"/>
  <c r="F70" i="82" s="1"/>
  <c r="D71" i="76"/>
  <c r="E71" i="76" s="1"/>
  <c r="F71" i="76" s="1"/>
  <c r="G70" i="85"/>
  <c r="I70" i="85" s="1"/>
  <c r="I71" i="58"/>
  <c r="I67" i="82"/>
  <c r="B72" i="26"/>
  <c r="E72" i="26"/>
  <c r="E147" i="33"/>
  <c r="F147" i="33" s="1"/>
  <c r="H151" i="43"/>
  <c r="I151" i="43"/>
  <c r="G72" i="66"/>
  <c r="G73" i="66" s="1"/>
  <c r="E146" i="97"/>
  <c r="F146" i="97" s="1"/>
  <c r="B146" i="97"/>
  <c r="I66" i="95"/>
  <c r="I146" i="33"/>
  <c r="H146" i="33"/>
  <c r="B72" i="68"/>
  <c r="H72" i="68"/>
  <c r="F72" i="68"/>
  <c r="G72" i="68" s="1"/>
  <c r="G73" i="68" s="1"/>
  <c r="E65" i="99"/>
  <c r="B65" i="99"/>
  <c r="F65" i="99"/>
  <c r="I70" i="77"/>
  <c r="E152" i="43"/>
  <c r="F152" i="43" s="1"/>
  <c r="B152" i="43"/>
  <c r="B69" i="84"/>
  <c r="F69" i="84"/>
  <c r="H69" i="84" s="1"/>
  <c r="B68" i="82"/>
  <c r="G68" i="82"/>
  <c r="H68" i="82"/>
  <c r="F72" i="59"/>
  <c r="G72" i="59" s="1"/>
  <c r="G73" i="59" s="1"/>
  <c r="F72" i="55"/>
  <c r="G72" i="55" s="1"/>
  <c r="G73" i="55" s="1"/>
  <c r="D68" i="83"/>
  <c r="G67" i="83"/>
  <c r="H67" i="83"/>
  <c r="E72" i="58"/>
  <c r="E73" i="58" s="1"/>
  <c r="B72" i="58"/>
  <c r="H72" i="45"/>
  <c r="H145" i="97"/>
  <c r="I145" i="97"/>
  <c r="E66" i="98"/>
  <c r="F66" i="98" s="1"/>
  <c r="B66" i="98"/>
  <c r="I68" i="81"/>
  <c r="B67" i="92"/>
  <c r="F67" i="92"/>
  <c r="H67" i="92" s="1"/>
  <c r="E153" i="44"/>
  <c r="F153" i="44" s="1"/>
  <c r="I152" i="42"/>
  <c r="H152" i="42"/>
  <c r="I68" i="84"/>
  <c r="B67" i="95"/>
  <c r="F67" i="95"/>
  <c r="G67" i="95" s="1"/>
  <c r="H152" i="44"/>
  <c r="I152" i="44"/>
  <c r="F72" i="57"/>
  <c r="G72" i="57" s="1"/>
  <c r="G73" i="57" s="1"/>
  <c r="B72" i="57"/>
  <c r="H72" i="57"/>
  <c r="I72" i="57" s="1"/>
  <c r="I73" i="57" s="1"/>
  <c r="B71" i="77"/>
  <c r="H71" i="77"/>
  <c r="G71" i="77"/>
  <c r="B153" i="42"/>
  <c r="F153" i="42"/>
  <c r="B69" i="81"/>
  <c r="G69" i="81"/>
  <c r="H69" i="81"/>
  <c r="B72" i="63"/>
  <c r="F72" i="63"/>
  <c r="H72" i="63" s="1"/>
  <c r="H73" i="63" s="1"/>
  <c r="G72" i="63"/>
  <c r="G73" i="63" s="1"/>
  <c r="B70" i="76"/>
  <c r="H70" i="76"/>
  <c r="G70" i="76"/>
  <c r="I72" i="66"/>
  <c r="I73" i="66" s="1"/>
  <c r="H73" i="66"/>
  <c r="D71" i="82"/>
  <c r="E71" i="82" s="1"/>
  <c r="F71" i="82" s="1"/>
  <c r="B68" i="91"/>
  <c r="I67" i="80"/>
  <c r="D71" i="67"/>
  <c r="E71" i="67" s="1"/>
  <c r="D72" i="61"/>
  <c r="E72" i="61" s="1"/>
  <c r="E73" i="61" s="1"/>
  <c r="I67" i="75"/>
  <c r="I69" i="85"/>
  <c r="F72" i="64"/>
  <c r="H70" i="67"/>
  <c r="B68" i="80"/>
  <c r="I154" i="31"/>
  <c r="J154" i="31" s="1"/>
  <c r="H154" i="31"/>
  <c r="H155" i="31" s="1"/>
  <c r="I65" i="87"/>
  <c r="E68" i="91"/>
  <c r="F68" i="91" s="1"/>
  <c r="D69" i="91" s="1"/>
  <c r="H71" i="61"/>
  <c r="I71" i="61" s="1"/>
  <c r="H72" i="59"/>
  <c r="E68" i="80"/>
  <c r="F68" i="80" s="1"/>
  <c r="H70" i="65"/>
  <c r="I70" i="65" s="1"/>
  <c r="D71" i="65"/>
  <c r="E71" i="65"/>
  <c r="J153" i="31"/>
  <c r="I155" i="31"/>
  <c r="D71" i="85"/>
  <c r="E71" i="85" s="1"/>
  <c r="B70" i="82"/>
  <c r="H70" i="82"/>
  <c r="G70" i="82"/>
  <c r="D147" i="87"/>
  <c r="G146" i="87"/>
  <c r="J151" i="74"/>
  <c r="J151" i="39"/>
  <c r="J153" i="24"/>
  <c r="J149" i="53"/>
  <c r="J146" i="79"/>
  <c r="G150" i="60"/>
  <c r="D151" i="60"/>
  <c r="J148" i="61"/>
  <c r="J151" i="73"/>
  <c r="J147" i="65"/>
  <c r="J153" i="71"/>
  <c r="J150" i="45"/>
  <c r="D148" i="79"/>
  <c r="E148" i="79" s="1"/>
  <c r="G147" i="79"/>
  <c r="D153" i="55"/>
  <c r="E153" i="55" s="1"/>
  <c r="G152" i="55"/>
  <c r="D151" i="72"/>
  <c r="G150" i="72"/>
  <c r="E151" i="72"/>
  <c r="D147" i="81"/>
  <c r="E147" i="81" s="1"/>
  <c r="G146" i="81"/>
  <c r="G145" i="89"/>
  <c r="D146" i="89"/>
  <c r="E146" i="89" s="1"/>
  <c r="D151" i="54"/>
  <c r="G150" i="54"/>
  <c r="D152" i="45"/>
  <c r="E152" i="45" s="1"/>
  <c r="G151" i="45"/>
  <c r="J153" i="32"/>
  <c r="G151" i="62"/>
  <c r="D152" i="62"/>
  <c r="E152" i="62" s="1"/>
  <c r="G152" i="41"/>
  <c r="D153" i="41"/>
  <c r="E153" i="41" s="1"/>
  <c r="B66" i="89"/>
  <c r="B72" i="46"/>
  <c r="F72" i="46"/>
  <c r="H72" i="46" s="1"/>
  <c r="I65" i="25"/>
  <c r="G153" i="18"/>
  <c r="D154" i="18"/>
  <c r="D148" i="26"/>
  <c r="E148" i="26" s="1"/>
  <c r="G147" i="26"/>
  <c r="G148" i="82"/>
  <c r="D149" i="82"/>
  <c r="E149" i="82" s="1"/>
  <c r="J152" i="21"/>
  <c r="E66" i="89"/>
  <c r="F66" i="89" s="1"/>
  <c r="J149" i="46"/>
  <c r="H149" i="63"/>
  <c r="I149" i="63"/>
  <c r="J149" i="63" s="1"/>
  <c r="F71" i="54"/>
  <c r="H71" i="54" s="1"/>
  <c r="B71" i="54"/>
  <c r="D150" i="61"/>
  <c r="E150" i="61" s="1"/>
  <c r="G149" i="61"/>
  <c r="J146" i="77"/>
  <c r="J152" i="18"/>
  <c r="D66" i="25"/>
  <c r="D150" i="64"/>
  <c r="E150" i="64" s="1"/>
  <c r="G149" i="64"/>
  <c r="B65" i="96"/>
  <c r="F65" i="96"/>
  <c r="H65" i="96" s="1"/>
  <c r="B70" i="33"/>
  <c r="F70" i="33"/>
  <c r="H70" i="33" s="1"/>
  <c r="G152" i="74"/>
  <c r="D153" i="74"/>
  <c r="B154" i="34"/>
  <c r="J149" i="72"/>
  <c r="J149" i="56"/>
  <c r="J151" i="41"/>
  <c r="D154" i="22"/>
  <c r="G153" i="22"/>
  <c r="G71" i="60"/>
  <c r="B71" i="60"/>
  <c r="F71" i="60"/>
  <c r="H71" i="60" s="1"/>
  <c r="G145" i="98"/>
  <c r="D146" i="98"/>
  <c r="E146" i="98" s="1"/>
  <c r="B65" i="100"/>
  <c r="J148" i="59"/>
  <c r="G146" i="100"/>
  <c r="D147" i="100"/>
  <c r="E147" i="100" s="1"/>
  <c r="I153" i="19"/>
  <c r="H153" i="19"/>
  <c r="G148" i="85"/>
  <c r="D149" i="85"/>
  <c r="G145" i="86"/>
  <c r="D146" i="86"/>
  <c r="E146" i="86" s="1"/>
  <c r="J149" i="57"/>
  <c r="G148" i="65"/>
  <c r="D149" i="65"/>
  <c r="E149" i="65" s="1"/>
  <c r="D146" i="90"/>
  <c r="G145" i="90"/>
  <c r="E146" i="90"/>
  <c r="B70" i="62"/>
  <c r="F70" i="62"/>
  <c r="D150" i="75"/>
  <c r="G149" i="75"/>
  <c r="E150" i="75"/>
  <c r="B66" i="90"/>
  <c r="F66" i="90"/>
  <c r="F150" i="63"/>
  <c r="B150" i="63"/>
  <c r="J152" i="3"/>
  <c r="J146" i="26"/>
  <c r="J147" i="68"/>
  <c r="E65" i="100"/>
  <c r="F65" i="100" s="1"/>
  <c r="G145" i="96"/>
  <c r="D146" i="96"/>
  <c r="E146" i="96" s="1"/>
  <c r="F67" i="88"/>
  <c r="G67" i="88" s="1"/>
  <c r="B67" i="88"/>
  <c r="J149" i="58"/>
  <c r="I150" i="67"/>
  <c r="H150" i="67"/>
  <c r="I68" i="13"/>
  <c r="D154" i="21"/>
  <c r="E154" i="21" s="1"/>
  <c r="E155" i="21" s="1"/>
  <c r="G153" i="21"/>
  <c r="H148" i="66"/>
  <c r="I148" i="66"/>
  <c r="J148" i="66" s="1"/>
  <c r="H154" i="71"/>
  <c r="H155" i="71" s="1"/>
  <c r="I154" i="71"/>
  <c r="D148" i="77"/>
  <c r="E148" i="77" s="1"/>
  <c r="G147" i="77"/>
  <c r="D146" i="84"/>
  <c r="E146" i="84" s="1"/>
  <c r="G145" i="84"/>
  <c r="G68" i="86"/>
  <c r="I68" i="86" s="1"/>
  <c r="I148" i="78"/>
  <c r="H148" i="78"/>
  <c r="F154" i="32"/>
  <c r="G154" i="32" s="1"/>
  <c r="G145" i="92"/>
  <c r="D146" i="92"/>
  <c r="F154" i="19"/>
  <c r="G154" i="19" s="1"/>
  <c r="B154" i="19"/>
  <c r="B69" i="13"/>
  <c r="D153" i="39"/>
  <c r="G152" i="39"/>
  <c r="E153" i="39"/>
  <c r="D151" i="46"/>
  <c r="E151" i="46" s="1"/>
  <c r="G150" i="46"/>
  <c r="G146" i="80"/>
  <c r="D147" i="80"/>
  <c r="E147" i="80" s="1"/>
  <c r="G150" i="53"/>
  <c r="D151" i="53"/>
  <c r="E151" i="53" s="1"/>
  <c r="B148" i="13"/>
  <c r="F148" i="13"/>
  <c r="B149" i="66"/>
  <c r="F149" i="66"/>
  <c r="D148" i="76"/>
  <c r="E148" i="76" s="1"/>
  <c r="G147" i="76"/>
  <c r="D151" i="57"/>
  <c r="E151" i="57" s="1"/>
  <c r="G150" i="57"/>
  <c r="J149" i="54"/>
  <c r="G148" i="68"/>
  <c r="D149" i="68"/>
  <c r="E149" i="68"/>
  <c r="J152" i="22"/>
  <c r="E154" i="34"/>
  <c r="E155" i="34" s="1"/>
  <c r="G153" i="3"/>
  <c r="D154" i="3"/>
  <c r="E154" i="3" s="1"/>
  <c r="E155" i="3" s="1"/>
  <c r="B68" i="78"/>
  <c r="F68" i="78"/>
  <c r="G68" i="78" s="1"/>
  <c r="B151" i="67"/>
  <c r="F151" i="67"/>
  <c r="E69" i="13"/>
  <c r="F69" i="13" s="1"/>
  <c r="F66" i="87"/>
  <c r="G66" i="87" s="1"/>
  <c r="B66" i="87"/>
  <c r="B68" i="75"/>
  <c r="F68" i="75"/>
  <c r="D153" i="73"/>
  <c r="G152" i="73"/>
  <c r="D146" i="88"/>
  <c r="E146" i="88" s="1"/>
  <c r="G145" i="88"/>
  <c r="G145" i="91"/>
  <c r="D146" i="91"/>
  <c r="E146" i="91" s="1"/>
  <c r="D151" i="56"/>
  <c r="E151" i="56" s="1"/>
  <c r="G150" i="56"/>
  <c r="I147" i="13"/>
  <c r="H147" i="13"/>
  <c r="G146" i="83"/>
  <c r="D147" i="83"/>
  <c r="E147" i="83" s="1"/>
  <c r="D151" i="58"/>
  <c r="E151" i="58" s="1"/>
  <c r="G150" i="58"/>
  <c r="D147" i="99"/>
  <c r="G146" i="99"/>
  <c r="H154" i="24"/>
  <c r="H155" i="24" s="1"/>
  <c r="I154" i="24"/>
  <c r="I153" i="34"/>
  <c r="J153" i="34" s="1"/>
  <c r="H153" i="34"/>
  <c r="G149" i="59"/>
  <c r="D150" i="59"/>
  <c r="D69" i="86"/>
  <c r="E69" i="86" s="1"/>
  <c r="B149" i="78"/>
  <c r="F149" i="78"/>
  <c r="G69" i="84" l="1"/>
  <c r="G69" i="33"/>
  <c r="I68" i="82"/>
  <c r="H69" i="33"/>
  <c r="I69" i="33" s="1"/>
  <c r="J147" i="25"/>
  <c r="E147" i="95"/>
  <c r="F147" i="95" s="1"/>
  <c r="H145" i="87"/>
  <c r="I145" i="87"/>
  <c r="D149" i="25"/>
  <c r="G148" i="25"/>
  <c r="H72" i="55"/>
  <c r="F72" i="58"/>
  <c r="H72" i="58" s="1"/>
  <c r="J146" i="33"/>
  <c r="I146" i="95"/>
  <c r="H146" i="95"/>
  <c r="I69" i="84"/>
  <c r="G146" i="97"/>
  <c r="D147" i="97"/>
  <c r="D72" i="76"/>
  <c r="I71" i="60"/>
  <c r="I70" i="76"/>
  <c r="G153" i="42"/>
  <c r="D154" i="42"/>
  <c r="E154" i="42" s="1"/>
  <c r="E155" i="42" s="1"/>
  <c r="J152" i="44"/>
  <c r="J151" i="43"/>
  <c r="E73" i="26"/>
  <c r="F72" i="26"/>
  <c r="B69" i="82"/>
  <c r="G69" i="82"/>
  <c r="H69" i="82"/>
  <c r="I69" i="82" s="1"/>
  <c r="I69" i="81"/>
  <c r="D68" i="95"/>
  <c r="J152" i="42"/>
  <c r="D68" i="92"/>
  <c r="H73" i="45"/>
  <c r="I72" i="45"/>
  <c r="I73" i="45" s="1"/>
  <c r="I67" i="83"/>
  <c r="E66" i="97"/>
  <c r="F66" i="97"/>
  <c r="H66" i="97" s="1"/>
  <c r="B66" i="97"/>
  <c r="D154" i="44"/>
  <c r="G153" i="44"/>
  <c r="D67" i="98"/>
  <c r="G66" i="98"/>
  <c r="H66" i="98"/>
  <c r="D153" i="43"/>
  <c r="G152" i="43"/>
  <c r="H65" i="99"/>
  <c r="D66" i="99"/>
  <c r="G65" i="99"/>
  <c r="I65" i="99" s="1"/>
  <c r="I72" i="68"/>
  <c r="I73" i="68" s="1"/>
  <c r="H73" i="68"/>
  <c r="H73" i="57"/>
  <c r="B71" i="76"/>
  <c r="H71" i="76"/>
  <c r="G71" i="76"/>
  <c r="D70" i="79"/>
  <c r="E70" i="79" s="1"/>
  <c r="F70" i="79" s="1"/>
  <c r="D71" i="79" s="1"/>
  <c r="B70" i="81"/>
  <c r="F70" i="81"/>
  <c r="I72" i="63"/>
  <c r="I73" i="63" s="1"/>
  <c r="I71" i="77"/>
  <c r="H67" i="95"/>
  <c r="I67" i="95" s="1"/>
  <c r="G67" i="92"/>
  <c r="I67" i="92" s="1"/>
  <c r="B68" i="83"/>
  <c r="E68" i="83"/>
  <c r="F68" i="83" s="1"/>
  <c r="D70" i="84"/>
  <c r="E70" i="84" s="1"/>
  <c r="F70" i="84" s="1"/>
  <c r="D148" i="33"/>
  <c r="G147" i="33"/>
  <c r="B69" i="79"/>
  <c r="H69" i="79"/>
  <c r="G69" i="79"/>
  <c r="I65" i="97"/>
  <c r="B72" i="77"/>
  <c r="F72" i="77"/>
  <c r="G72" i="77" s="1"/>
  <c r="G73" i="77" s="1"/>
  <c r="H72" i="77"/>
  <c r="H73" i="77" s="1"/>
  <c r="D69" i="80"/>
  <c r="H68" i="80"/>
  <c r="G68" i="80"/>
  <c r="E69" i="91"/>
  <c r="F69" i="91" s="1"/>
  <c r="H69" i="91" s="1"/>
  <c r="B69" i="91"/>
  <c r="D72" i="82"/>
  <c r="E72" i="82" s="1"/>
  <c r="E73" i="82" s="1"/>
  <c r="G71" i="54"/>
  <c r="I71" i="54" s="1"/>
  <c r="I70" i="82"/>
  <c r="I72" i="55"/>
  <c r="I73" i="55" s="1"/>
  <c r="H73" i="55"/>
  <c r="B72" i="61"/>
  <c r="F72" i="61"/>
  <c r="H72" i="61" s="1"/>
  <c r="G72" i="61"/>
  <c r="G73" i="61" s="1"/>
  <c r="G68" i="91"/>
  <c r="B71" i="82"/>
  <c r="H71" i="82"/>
  <c r="G71" i="82"/>
  <c r="B71" i="65"/>
  <c r="F71" i="65"/>
  <c r="G71" i="65" s="1"/>
  <c r="I72" i="59"/>
  <c r="I73" i="59" s="1"/>
  <c r="H73" i="59"/>
  <c r="I70" i="67"/>
  <c r="F71" i="67"/>
  <c r="G71" i="67" s="1"/>
  <c r="B71" i="67"/>
  <c r="H68" i="91"/>
  <c r="I68" i="91" s="1"/>
  <c r="H68" i="78"/>
  <c r="H71" i="85"/>
  <c r="B71" i="85"/>
  <c r="F71" i="85"/>
  <c r="J155" i="31"/>
  <c r="H72" i="64"/>
  <c r="G72" i="64"/>
  <c r="G73" i="64" s="1"/>
  <c r="H146" i="87"/>
  <c r="I146" i="87"/>
  <c r="E151" i="60"/>
  <c r="F151" i="60" s="1"/>
  <c r="B151" i="60"/>
  <c r="B147" i="87"/>
  <c r="H150" i="60"/>
  <c r="I150" i="60"/>
  <c r="J150" i="60" s="1"/>
  <c r="E147" i="87"/>
  <c r="F147" i="87" s="1"/>
  <c r="D70" i="13"/>
  <c r="E70" i="13" s="1"/>
  <c r="H69" i="13"/>
  <c r="G69" i="13"/>
  <c r="D66" i="100"/>
  <c r="E66" i="100" s="1"/>
  <c r="H65" i="100"/>
  <c r="G65" i="100"/>
  <c r="D67" i="89"/>
  <c r="E67" i="89" s="1"/>
  <c r="G66" i="89"/>
  <c r="H66" i="89"/>
  <c r="H73" i="46"/>
  <c r="H146" i="83"/>
  <c r="I146" i="83"/>
  <c r="I154" i="19"/>
  <c r="H154" i="19"/>
  <c r="H155" i="19" s="1"/>
  <c r="B153" i="74"/>
  <c r="F146" i="91"/>
  <c r="B146" i="91"/>
  <c r="B147" i="80"/>
  <c r="F147" i="80"/>
  <c r="I152" i="39"/>
  <c r="H152" i="39"/>
  <c r="B146" i="92"/>
  <c r="I153" i="21"/>
  <c r="H153" i="21"/>
  <c r="D71" i="62"/>
  <c r="E71" i="62" s="1"/>
  <c r="B146" i="86"/>
  <c r="F146" i="86"/>
  <c r="I146" i="100"/>
  <c r="H146" i="100"/>
  <c r="B146" i="98"/>
  <c r="F146" i="98"/>
  <c r="B154" i="22"/>
  <c r="I152" i="74"/>
  <c r="H152" i="74"/>
  <c r="D66" i="96"/>
  <c r="E66" i="96" s="1"/>
  <c r="F149" i="82"/>
  <c r="B149" i="82"/>
  <c r="H153" i="18"/>
  <c r="I153" i="18"/>
  <c r="B152" i="62"/>
  <c r="F152" i="62"/>
  <c r="B151" i="54"/>
  <c r="F153" i="55"/>
  <c r="B153" i="55"/>
  <c r="B150" i="59"/>
  <c r="D67" i="90"/>
  <c r="B154" i="18"/>
  <c r="H150" i="54"/>
  <c r="I150" i="54"/>
  <c r="I149" i="59"/>
  <c r="J149" i="59" s="1"/>
  <c r="H149" i="59"/>
  <c r="D69" i="75"/>
  <c r="E69" i="75" s="1"/>
  <c r="I145" i="91"/>
  <c r="H145" i="91"/>
  <c r="G68" i="75"/>
  <c r="G151" i="67"/>
  <c r="D152" i="67"/>
  <c r="E152" i="67" s="1"/>
  <c r="H150" i="57"/>
  <c r="I150" i="57"/>
  <c r="H146" i="80"/>
  <c r="I146" i="80"/>
  <c r="F153" i="39"/>
  <c r="B153" i="39"/>
  <c r="H145" i="92"/>
  <c r="I145" i="92"/>
  <c r="H147" i="77"/>
  <c r="I147" i="77"/>
  <c r="F154" i="21"/>
  <c r="G154" i="21" s="1"/>
  <c r="B154" i="21"/>
  <c r="H70" i="62"/>
  <c r="I145" i="86"/>
  <c r="H145" i="86"/>
  <c r="I145" i="98"/>
  <c r="H145" i="98"/>
  <c r="D72" i="54"/>
  <c r="E72" i="54" s="1"/>
  <c r="E73" i="54" s="1"/>
  <c r="I148" i="82"/>
  <c r="H148" i="82"/>
  <c r="H151" i="62"/>
  <c r="I151" i="62"/>
  <c r="I150" i="72"/>
  <c r="H150" i="72"/>
  <c r="B153" i="73"/>
  <c r="F154" i="3"/>
  <c r="G154" i="3" s="1"/>
  <c r="B154" i="3"/>
  <c r="F151" i="57"/>
  <c r="B151" i="57"/>
  <c r="D149" i="13"/>
  <c r="E149" i="13" s="1"/>
  <c r="G148" i="13"/>
  <c r="E146" i="92"/>
  <c r="F146" i="92" s="1"/>
  <c r="F148" i="77"/>
  <c r="B148" i="77"/>
  <c r="D68" i="88"/>
  <c r="E68" i="88" s="1"/>
  <c r="I149" i="75"/>
  <c r="H149" i="75"/>
  <c r="B149" i="85"/>
  <c r="D72" i="60"/>
  <c r="E72" i="60" s="1"/>
  <c r="E73" i="60" s="1"/>
  <c r="G70" i="33"/>
  <c r="I70" i="33" s="1"/>
  <c r="H149" i="61"/>
  <c r="I149" i="61"/>
  <c r="F146" i="89"/>
  <c r="B146" i="89"/>
  <c r="F151" i="72"/>
  <c r="B151" i="72"/>
  <c r="F147" i="100"/>
  <c r="B147" i="100"/>
  <c r="H153" i="22"/>
  <c r="I153" i="22"/>
  <c r="D150" i="78"/>
  <c r="E150" i="78" s="1"/>
  <c r="G149" i="78"/>
  <c r="J154" i="24"/>
  <c r="J155" i="24" s="1"/>
  <c r="I155" i="24"/>
  <c r="H150" i="58"/>
  <c r="I150" i="58"/>
  <c r="H145" i="88"/>
  <c r="I145" i="88"/>
  <c r="H68" i="75"/>
  <c r="H153" i="3"/>
  <c r="I153" i="3"/>
  <c r="B149" i="68"/>
  <c r="F149" i="68"/>
  <c r="H154" i="32"/>
  <c r="H155" i="32" s="1"/>
  <c r="I154" i="32"/>
  <c r="J154" i="71"/>
  <c r="J155" i="71" s="1"/>
  <c r="I155" i="71"/>
  <c r="H67" i="88"/>
  <c r="I67" i="88" s="1"/>
  <c r="F150" i="75"/>
  <c r="B150" i="75"/>
  <c r="G70" i="62"/>
  <c r="E149" i="85"/>
  <c r="F149" i="85" s="1"/>
  <c r="H149" i="64"/>
  <c r="I149" i="64"/>
  <c r="J149" i="64" s="1"/>
  <c r="B150" i="61"/>
  <c r="F150" i="61"/>
  <c r="H147" i="26"/>
  <c r="I147" i="26"/>
  <c r="H145" i="89"/>
  <c r="I145" i="89"/>
  <c r="F146" i="88"/>
  <c r="B146" i="88"/>
  <c r="I68" i="78"/>
  <c r="H148" i="68"/>
  <c r="I148" i="68"/>
  <c r="H147" i="76"/>
  <c r="I147" i="76"/>
  <c r="J147" i="76" s="1"/>
  <c r="H145" i="84"/>
  <c r="I145" i="84"/>
  <c r="G150" i="63"/>
  <c r="D151" i="63"/>
  <c r="F149" i="65"/>
  <c r="B149" i="65"/>
  <c r="I148" i="85"/>
  <c r="H148" i="85"/>
  <c r="D71" i="33"/>
  <c r="F150" i="64"/>
  <c r="B150" i="64"/>
  <c r="G72" i="46"/>
  <c r="G73" i="46" s="1"/>
  <c r="H151" i="45"/>
  <c r="I151" i="45"/>
  <c r="B147" i="99"/>
  <c r="D67" i="87"/>
  <c r="E67" i="87" s="1"/>
  <c r="B69" i="86"/>
  <c r="F69" i="86"/>
  <c r="G69" i="86" s="1"/>
  <c r="H69" i="86"/>
  <c r="E147" i="99"/>
  <c r="F147" i="99" s="1"/>
  <c r="H150" i="56"/>
  <c r="I150" i="56"/>
  <c r="E153" i="73"/>
  <c r="F153" i="73" s="1"/>
  <c r="H66" i="87"/>
  <c r="I66" i="87" s="1"/>
  <c r="D69" i="78"/>
  <c r="E69" i="78" s="1"/>
  <c r="F148" i="76"/>
  <c r="B148" i="76"/>
  <c r="F151" i="53"/>
  <c r="B151" i="53"/>
  <c r="I150" i="46"/>
  <c r="H150" i="46"/>
  <c r="J148" i="78"/>
  <c r="B146" i="84"/>
  <c r="F146" i="84"/>
  <c r="F146" i="96"/>
  <c r="B146" i="96"/>
  <c r="H66" i="90"/>
  <c r="I145" i="90"/>
  <c r="H145" i="90"/>
  <c r="I148" i="65"/>
  <c r="H148" i="65"/>
  <c r="F154" i="34"/>
  <c r="G154" i="34" s="1"/>
  <c r="B66" i="25"/>
  <c r="B148" i="26"/>
  <c r="F148" i="26"/>
  <c r="F153" i="41"/>
  <c r="B153" i="41"/>
  <c r="B152" i="45"/>
  <c r="F152" i="45"/>
  <c r="I146" i="81"/>
  <c r="H146" i="81"/>
  <c r="H147" i="79"/>
  <c r="I147" i="79"/>
  <c r="B151" i="58"/>
  <c r="F151" i="58"/>
  <c r="E150" i="59"/>
  <c r="F150" i="59" s="1"/>
  <c r="I146" i="99"/>
  <c r="H146" i="99"/>
  <c r="B147" i="83"/>
  <c r="F147" i="83"/>
  <c r="F151" i="56"/>
  <c r="B151" i="56"/>
  <c r="H152" i="73"/>
  <c r="I152" i="73"/>
  <c r="G149" i="66"/>
  <c r="D150" i="66"/>
  <c r="I150" i="53"/>
  <c r="H150" i="53"/>
  <c r="F151" i="46"/>
  <c r="B151" i="46"/>
  <c r="J150" i="67"/>
  <c r="I145" i="96"/>
  <c r="H145" i="96"/>
  <c r="G66" i="90"/>
  <c r="F146" i="90"/>
  <c r="B146" i="90"/>
  <c r="J153" i="19"/>
  <c r="E154" i="22"/>
  <c r="E155" i="22" s="1"/>
  <c r="E153" i="74"/>
  <c r="F153" i="74" s="1"/>
  <c r="G65" i="96"/>
  <c r="I65" i="96" s="1"/>
  <c r="E66" i="25"/>
  <c r="F66" i="25" s="1"/>
  <c r="E154" i="18"/>
  <c r="E155" i="18" s="1"/>
  <c r="H152" i="41"/>
  <c r="I152" i="41"/>
  <c r="E151" i="54"/>
  <c r="F151" i="54" s="1"/>
  <c r="B147" i="81"/>
  <c r="F147" i="81"/>
  <c r="I152" i="55"/>
  <c r="H152" i="55"/>
  <c r="B148" i="79"/>
  <c r="F148" i="79"/>
  <c r="E71" i="79" l="1"/>
  <c r="B71" i="79"/>
  <c r="F71" i="79"/>
  <c r="I69" i="79"/>
  <c r="G72" i="58"/>
  <c r="G73" i="58" s="1"/>
  <c r="H148" i="25"/>
  <c r="I148" i="25"/>
  <c r="J148" i="25" s="1"/>
  <c r="D148" i="95"/>
  <c r="G147" i="95"/>
  <c r="I69" i="13"/>
  <c r="E149" i="25"/>
  <c r="B149" i="25"/>
  <c r="F149" i="25"/>
  <c r="D71" i="84"/>
  <c r="E71" i="84" s="1"/>
  <c r="F71" i="84" s="1"/>
  <c r="H70" i="81"/>
  <c r="D71" i="81"/>
  <c r="B68" i="92"/>
  <c r="B68" i="95"/>
  <c r="B72" i="76"/>
  <c r="H70" i="84"/>
  <c r="G70" i="84"/>
  <c r="B70" i="84"/>
  <c r="H73" i="58"/>
  <c r="I72" i="58"/>
  <c r="I73" i="58" s="1"/>
  <c r="I71" i="76"/>
  <c r="I152" i="43"/>
  <c r="H152" i="43"/>
  <c r="E67" i="98"/>
  <c r="F67" i="98" s="1"/>
  <c r="B67" i="98"/>
  <c r="G66" i="97"/>
  <c r="D67" i="97"/>
  <c r="H72" i="26"/>
  <c r="G72" i="26"/>
  <c r="G73" i="26" s="1"/>
  <c r="I72" i="46"/>
  <c r="I73" i="46" s="1"/>
  <c r="I72" i="77"/>
  <c r="I73" i="77" s="1"/>
  <c r="I147" i="33"/>
  <c r="H147" i="33"/>
  <c r="H68" i="83"/>
  <c r="D69" i="83"/>
  <c r="G68" i="83"/>
  <c r="E153" i="43"/>
  <c r="F153" i="43" s="1"/>
  <c r="B153" i="43"/>
  <c r="I153" i="44"/>
  <c r="H153" i="44"/>
  <c r="I66" i="97"/>
  <c r="B154" i="42"/>
  <c r="F154" i="42"/>
  <c r="G154" i="42" s="1"/>
  <c r="E147" i="97"/>
  <c r="F147" i="97" s="1"/>
  <c r="B147" i="97"/>
  <c r="I71" i="82"/>
  <c r="E148" i="33"/>
  <c r="F148" i="33" s="1"/>
  <c r="B148" i="33"/>
  <c r="G70" i="81"/>
  <c r="I70" i="81" s="1"/>
  <c r="B70" i="79"/>
  <c r="H70" i="79"/>
  <c r="G70" i="79"/>
  <c r="E66" i="99"/>
  <c r="B66" i="99"/>
  <c r="F66" i="99"/>
  <c r="I66" i="98"/>
  <c r="E154" i="44"/>
  <c r="E155" i="44" s="1"/>
  <c r="F154" i="44"/>
  <c r="G154" i="44" s="1"/>
  <c r="B154" i="44"/>
  <c r="E68" i="92"/>
  <c r="F68" i="92" s="1"/>
  <c r="D69" i="92" s="1"/>
  <c r="E68" i="95"/>
  <c r="F68" i="95" s="1"/>
  <c r="D69" i="95" s="1"/>
  <c r="I153" i="42"/>
  <c r="H153" i="42"/>
  <c r="E72" i="76"/>
  <c r="E73" i="76" s="1"/>
  <c r="I146" i="97"/>
  <c r="H146" i="97"/>
  <c r="H66" i="25"/>
  <c r="G66" i="25"/>
  <c r="H71" i="67"/>
  <c r="I72" i="61"/>
  <c r="I73" i="61" s="1"/>
  <c r="H73" i="61"/>
  <c r="G71" i="79"/>
  <c r="D72" i="79"/>
  <c r="E72" i="79" s="1"/>
  <c r="E73" i="79" s="1"/>
  <c r="D72" i="85"/>
  <c r="I68" i="80"/>
  <c r="I72" i="64"/>
  <c r="I73" i="64" s="1"/>
  <c r="H73" i="64"/>
  <c r="D72" i="67"/>
  <c r="F72" i="82"/>
  <c r="G72" i="82" s="1"/>
  <c r="G73" i="82" s="1"/>
  <c r="B72" i="82"/>
  <c r="D70" i="91"/>
  <c r="E70" i="91" s="1"/>
  <c r="I66" i="90"/>
  <c r="J151" i="45"/>
  <c r="I68" i="75"/>
  <c r="H71" i="79"/>
  <c r="G71" i="85"/>
  <c r="I71" i="85" s="1"/>
  <c r="H71" i="65"/>
  <c r="I71" i="65" s="1"/>
  <c r="D72" i="65"/>
  <c r="G69" i="91"/>
  <c r="I69" i="91" s="1"/>
  <c r="E69" i="80"/>
  <c r="F69" i="80" s="1"/>
  <c r="B69" i="80"/>
  <c r="J149" i="75"/>
  <c r="J150" i="72"/>
  <c r="J148" i="65"/>
  <c r="J149" i="61"/>
  <c r="J151" i="62"/>
  <c r="J152" i="39"/>
  <c r="D148" i="87"/>
  <c r="G147" i="87"/>
  <c r="J150" i="56"/>
  <c r="J150" i="54"/>
  <c r="G151" i="60"/>
  <c r="D152" i="60"/>
  <c r="E152" i="60"/>
  <c r="J152" i="41"/>
  <c r="J147" i="79"/>
  <c r="J147" i="77"/>
  <c r="J150" i="57"/>
  <c r="D150" i="85"/>
  <c r="E150" i="85" s="1"/>
  <c r="G149" i="85"/>
  <c r="G153" i="74"/>
  <c r="D154" i="74"/>
  <c r="E154" i="74" s="1"/>
  <c r="E155" i="74" s="1"/>
  <c r="D152" i="54"/>
  <c r="G151" i="54"/>
  <c r="G150" i="59"/>
  <c r="D151" i="59"/>
  <c r="E151" i="59" s="1"/>
  <c r="D148" i="99"/>
  <c r="E148" i="99" s="1"/>
  <c r="G147" i="99"/>
  <c r="G146" i="92"/>
  <c r="D147" i="92"/>
  <c r="E147" i="92" s="1"/>
  <c r="G150" i="75"/>
  <c r="D151" i="75"/>
  <c r="E151" i="75" s="1"/>
  <c r="D149" i="79"/>
  <c r="E149" i="79" s="1"/>
  <c r="G148" i="79"/>
  <c r="J152" i="73"/>
  <c r="G150" i="61"/>
  <c r="D151" i="61"/>
  <c r="E151" i="61" s="1"/>
  <c r="D148" i="100"/>
  <c r="E148" i="100" s="1"/>
  <c r="G147" i="100"/>
  <c r="B149" i="13"/>
  <c r="F149" i="13"/>
  <c r="D154" i="55"/>
  <c r="E154" i="55"/>
  <c r="E155" i="55" s="1"/>
  <c r="G153" i="55"/>
  <c r="D150" i="82"/>
  <c r="E150" i="82" s="1"/>
  <c r="G149" i="82"/>
  <c r="J153" i="21"/>
  <c r="I65" i="100"/>
  <c r="H154" i="34"/>
  <c r="H155" i="34" s="1"/>
  <c r="I154" i="34"/>
  <c r="G146" i="90"/>
  <c r="D147" i="90"/>
  <c r="E147" i="90" s="1"/>
  <c r="G151" i="46"/>
  <c r="D152" i="46"/>
  <c r="G151" i="58"/>
  <c r="D152" i="58"/>
  <c r="E152" i="58" s="1"/>
  <c r="H69" i="78"/>
  <c r="B69" i="78"/>
  <c r="F69" i="78"/>
  <c r="G69" i="78" s="1"/>
  <c r="D70" i="86"/>
  <c r="E70" i="86" s="1"/>
  <c r="G149" i="65"/>
  <c r="D150" i="65"/>
  <c r="E150" i="65" s="1"/>
  <c r="J153" i="3"/>
  <c r="F68" i="88"/>
  <c r="G68" i="88" s="1"/>
  <c r="B68" i="88"/>
  <c r="B69" i="75"/>
  <c r="F69" i="75"/>
  <c r="G69" i="75"/>
  <c r="F154" i="18"/>
  <c r="G154" i="18" s="1"/>
  <c r="B66" i="96"/>
  <c r="F66" i="96"/>
  <c r="H66" i="96" s="1"/>
  <c r="G148" i="76"/>
  <c r="D149" i="76"/>
  <c r="E149" i="76" s="1"/>
  <c r="G146" i="88"/>
  <c r="D147" i="88"/>
  <c r="E147" i="88" s="1"/>
  <c r="I148" i="13"/>
  <c r="H148" i="13"/>
  <c r="H149" i="78"/>
  <c r="I149" i="78"/>
  <c r="J149" i="78" s="1"/>
  <c r="G151" i="57"/>
  <c r="D152" i="57"/>
  <c r="E152" i="57" s="1"/>
  <c r="B152" i="67"/>
  <c r="F152" i="67"/>
  <c r="F66" i="100"/>
  <c r="B66" i="100"/>
  <c r="D153" i="45"/>
  <c r="E153" i="45" s="1"/>
  <c r="G152" i="45"/>
  <c r="J152" i="55"/>
  <c r="J150" i="53"/>
  <c r="G151" i="56"/>
  <c r="D152" i="56"/>
  <c r="E152" i="56" s="1"/>
  <c r="J150" i="46"/>
  <c r="F67" i="87"/>
  <c r="H67" i="87" s="1"/>
  <c r="B67" i="87"/>
  <c r="G150" i="64"/>
  <c r="D151" i="64"/>
  <c r="E151" i="64" s="1"/>
  <c r="J148" i="68"/>
  <c r="J154" i="32"/>
  <c r="J155" i="32" s="1"/>
  <c r="I155" i="32"/>
  <c r="F72" i="60"/>
  <c r="H72" i="60" s="1"/>
  <c r="B72" i="60"/>
  <c r="D149" i="77"/>
  <c r="G148" i="77"/>
  <c r="I151" i="67"/>
  <c r="J151" i="67" s="1"/>
  <c r="H151" i="67"/>
  <c r="B67" i="90"/>
  <c r="D153" i="62"/>
  <c r="E153" i="62" s="1"/>
  <c r="G152" i="62"/>
  <c r="D147" i="86"/>
  <c r="E147" i="86" s="1"/>
  <c r="G146" i="86"/>
  <c r="J154" i="19"/>
  <c r="J155" i="19" s="1"/>
  <c r="I155" i="19"/>
  <c r="I66" i="89"/>
  <c r="I69" i="86"/>
  <c r="G149" i="68"/>
  <c r="D150" i="68"/>
  <c r="G146" i="98"/>
  <c r="D147" i="98"/>
  <c r="E147" i="98" s="1"/>
  <c r="B71" i="33"/>
  <c r="B151" i="63"/>
  <c r="F150" i="78"/>
  <c r="B150" i="78"/>
  <c r="G151" i="72"/>
  <c r="D152" i="72"/>
  <c r="E152" i="72" s="1"/>
  <c r="I154" i="3"/>
  <c r="H154" i="3"/>
  <c r="H155" i="3" s="1"/>
  <c r="I70" i="62"/>
  <c r="D154" i="39"/>
  <c r="E154" i="39" s="1"/>
  <c r="E155" i="39" s="1"/>
  <c r="G153" i="39"/>
  <c r="E67" i="90"/>
  <c r="F67" i="90" s="1"/>
  <c r="J152" i="74"/>
  <c r="D147" i="84"/>
  <c r="E147" i="84" s="1"/>
  <c r="G146" i="84"/>
  <c r="D148" i="80"/>
  <c r="G147" i="80"/>
  <c r="E148" i="80"/>
  <c r="G147" i="81"/>
  <c r="D148" i="81"/>
  <c r="E148" i="81"/>
  <c r="B150" i="66"/>
  <c r="D148" i="83"/>
  <c r="E148" i="83" s="1"/>
  <c r="G147" i="83"/>
  <c r="E150" i="66"/>
  <c r="F150" i="66" s="1"/>
  <c r="D154" i="41"/>
  <c r="E154" i="41" s="1"/>
  <c r="E155" i="41" s="1"/>
  <c r="G153" i="41"/>
  <c r="G151" i="53"/>
  <c r="D152" i="53"/>
  <c r="E152" i="53" s="1"/>
  <c r="E71" i="33"/>
  <c r="F71" i="33" s="1"/>
  <c r="H150" i="63"/>
  <c r="I150" i="63"/>
  <c r="J153" i="22"/>
  <c r="J153" i="18"/>
  <c r="F154" i="22"/>
  <c r="G154" i="22" s="1"/>
  <c r="B67" i="89"/>
  <c r="F67" i="89"/>
  <c r="G67" i="89" s="1"/>
  <c r="D154" i="73"/>
  <c r="E154" i="73" s="1"/>
  <c r="E155" i="73" s="1"/>
  <c r="G153" i="73"/>
  <c r="D147" i="91"/>
  <c r="E147" i="91" s="1"/>
  <c r="G146" i="91"/>
  <c r="H149" i="66"/>
  <c r="I149" i="66"/>
  <c r="D149" i="26"/>
  <c r="E149" i="26" s="1"/>
  <c r="G148" i="26"/>
  <c r="D67" i="25"/>
  <c r="E67" i="25" s="1"/>
  <c r="D147" i="96"/>
  <c r="G146" i="96"/>
  <c r="E151" i="63"/>
  <c r="F151" i="63" s="1"/>
  <c r="J147" i="26"/>
  <c r="J150" i="58"/>
  <c r="D147" i="89"/>
  <c r="E147" i="89" s="1"/>
  <c r="G146" i="89"/>
  <c r="B72" i="54"/>
  <c r="F72" i="54"/>
  <c r="G72" i="54" s="1"/>
  <c r="G73" i="54" s="1"/>
  <c r="H72" i="54"/>
  <c r="H154" i="21"/>
  <c r="H155" i="21" s="1"/>
  <c r="I154" i="21"/>
  <c r="F71" i="62"/>
  <c r="H71" i="62" s="1"/>
  <c r="B71" i="62"/>
  <c r="B70" i="13"/>
  <c r="F70" i="13"/>
  <c r="G70" i="13" s="1"/>
  <c r="E148" i="95" l="1"/>
  <c r="F148" i="95" s="1"/>
  <c r="B148" i="95"/>
  <c r="I68" i="83"/>
  <c r="D150" i="25"/>
  <c r="G149" i="25"/>
  <c r="I147" i="95"/>
  <c r="H147" i="95"/>
  <c r="G147" i="97"/>
  <c r="D148" i="97"/>
  <c r="B148" i="97" s="1"/>
  <c r="E148" i="97"/>
  <c r="F148" i="97" s="1"/>
  <c r="D72" i="84"/>
  <c r="J153" i="42"/>
  <c r="H154" i="44"/>
  <c r="H155" i="44" s="1"/>
  <c r="I154" i="44"/>
  <c r="H68" i="92"/>
  <c r="G72" i="60"/>
  <c r="G73" i="60" s="1"/>
  <c r="E69" i="95"/>
  <c r="F69" i="95" s="1"/>
  <c r="H69" i="95" s="1"/>
  <c r="G69" i="95"/>
  <c r="B69" i="95"/>
  <c r="H154" i="42"/>
  <c r="H155" i="42" s="1"/>
  <c r="I154" i="42"/>
  <c r="J153" i="44"/>
  <c r="I155" i="44"/>
  <c r="J147" i="33"/>
  <c r="H73" i="26"/>
  <c r="I72" i="26"/>
  <c r="I73" i="26" s="1"/>
  <c r="G67" i="98"/>
  <c r="D68" i="98"/>
  <c r="H67" i="98"/>
  <c r="I70" i="84"/>
  <c r="G68" i="95"/>
  <c r="G68" i="92"/>
  <c r="E69" i="92"/>
  <c r="F69" i="92" s="1"/>
  <c r="G69" i="92"/>
  <c r="B69" i="92"/>
  <c r="D149" i="33"/>
  <c r="B149" i="33" s="1"/>
  <c r="G148" i="33"/>
  <c r="G153" i="43"/>
  <c r="D154" i="43"/>
  <c r="E154" i="43" s="1"/>
  <c r="E155" i="43" s="1"/>
  <c r="B69" i="83"/>
  <c r="E69" i="83"/>
  <c r="F69" i="83" s="1"/>
  <c r="E67" i="97"/>
  <c r="F67" i="97" s="1"/>
  <c r="B67" i="97"/>
  <c r="H68" i="95"/>
  <c r="I68" i="95" s="1"/>
  <c r="B71" i="84"/>
  <c r="H71" i="84"/>
  <c r="G71" i="84"/>
  <c r="G66" i="99"/>
  <c r="H66" i="99"/>
  <c r="D67" i="99"/>
  <c r="I70" i="79"/>
  <c r="J152" i="43"/>
  <c r="F72" i="76"/>
  <c r="E71" i="81"/>
  <c r="F71" i="81" s="1"/>
  <c r="D72" i="81" s="1"/>
  <c r="B71" i="81"/>
  <c r="D70" i="80"/>
  <c r="G69" i="80"/>
  <c r="H69" i="80"/>
  <c r="I71" i="79"/>
  <c r="B72" i="85"/>
  <c r="E72" i="65"/>
  <c r="E73" i="65" s="1"/>
  <c r="B72" i="65"/>
  <c r="G67" i="87"/>
  <c r="I67" i="87" s="1"/>
  <c r="F70" i="91"/>
  <c r="H70" i="91" s="1"/>
  <c r="B70" i="91"/>
  <c r="H72" i="82"/>
  <c r="I71" i="67"/>
  <c r="I69" i="78"/>
  <c r="B72" i="67"/>
  <c r="H67" i="89"/>
  <c r="I67" i="89" s="1"/>
  <c r="E72" i="67"/>
  <c r="E73" i="67" s="1"/>
  <c r="E72" i="85"/>
  <c r="E73" i="85" s="1"/>
  <c r="B72" i="79"/>
  <c r="F72" i="79"/>
  <c r="H72" i="79" s="1"/>
  <c r="I66" i="25"/>
  <c r="B148" i="87"/>
  <c r="I147" i="87"/>
  <c r="H147" i="87"/>
  <c r="F152" i="60"/>
  <c r="B152" i="60"/>
  <c r="H151" i="60"/>
  <c r="I151" i="60"/>
  <c r="E148" i="87"/>
  <c r="F148" i="87" s="1"/>
  <c r="D72" i="33"/>
  <c r="E72" i="33" s="1"/>
  <c r="E73" i="33" s="1"/>
  <c r="H71" i="33"/>
  <c r="G71" i="33"/>
  <c r="D152" i="63"/>
  <c r="E152" i="63" s="1"/>
  <c r="G151" i="63"/>
  <c r="D149" i="97"/>
  <c r="E149" i="97" s="1"/>
  <c r="G148" i="97"/>
  <c r="D151" i="66"/>
  <c r="G150" i="66"/>
  <c r="D68" i="90"/>
  <c r="G67" i="90"/>
  <c r="H67" i="90"/>
  <c r="I67" i="90" s="1"/>
  <c r="B149" i="77"/>
  <c r="D67" i="100"/>
  <c r="E67" i="100" s="1"/>
  <c r="H146" i="88"/>
  <c r="I146" i="88"/>
  <c r="B152" i="46"/>
  <c r="I146" i="92"/>
  <c r="H146" i="92"/>
  <c r="H151" i="54"/>
  <c r="I151" i="54"/>
  <c r="H146" i="89"/>
  <c r="I146" i="89"/>
  <c r="B67" i="25"/>
  <c r="F67" i="25"/>
  <c r="H67" i="25" s="1"/>
  <c r="I146" i="91"/>
  <c r="H146" i="91"/>
  <c r="I147" i="83"/>
  <c r="H147" i="83"/>
  <c r="H147" i="80"/>
  <c r="I147" i="80"/>
  <c r="I149" i="68"/>
  <c r="J149" i="68" s="1"/>
  <c r="H149" i="68"/>
  <c r="H146" i="86"/>
  <c r="I146" i="86"/>
  <c r="I72" i="60"/>
  <c r="I73" i="60" s="1"/>
  <c r="H73" i="60"/>
  <c r="G66" i="100"/>
  <c r="D70" i="75"/>
  <c r="H151" i="46"/>
  <c r="I151" i="46"/>
  <c r="I148" i="79"/>
  <c r="J148" i="79" s="1"/>
  <c r="H148" i="79"/>
  <c r="B152" i="54"/>
  <c r="B147" i="89"/>
  <c r="F147" i="89"/>
  <c r="B147" i="91"/>
  <c r="F147" i="91"/>
  <c r="F152" i="53"/>
  <c r="B152" i="53"/>
  <c r="F148" i="83"/>
  <c r="B148" i="83"/>
  <c r="B148" i="80"/>
  <c r="F148" i="80"/>
  <c r="F152" i="72"/>
  <c r="B152" i="72"/>
  <c r="F147" i="86"/>
  <c r="B147" i="86"/>
  <c r="D68" i="87"/>
  <c r="H152" i="45"/>
  <c r="I152" i="45"/>
  <c r="B149" i="76"/>
  <c r="F149" i="76"/>
  <c r="H69" i="75"/>
  <c r="I69" i="75" s="1"/>
  <c r="B150" i="65"/>
  <c r="F150" i="65"/>
  <c r="H149" i="82"/>
  <c r="I149" i="82"/>
  <c r="H147" i="100"/>
  <c r="I147" i="100"/>
  <c r="B149" i="79"/>
  <c r="F149" i="79"/>
  <c r="H147" i="99"/>
  <c r="I147" i="99"/>
  <c r="B150" i="68"/>
  <c r="D153" i="67"/>
  <c r="E153" i="67" s="1"/>
  <c r="G152" i="67"/>
  <c r="D71" i="13"/>
  <c r="I151" i="53"/>
  <c r="H151" i="53"/>
  <c r="H151" i="72"/>
  <c r="I151" i="72"/>
  <c r="F153" i="45"/>
  <c r="B153" i="45"/>
  <c r="F152" i="57"/>
  <c r="B152" i="57"/>
  <c r="H148" i="76"/>
  <c r="I148" i="76"/>
  <c r="J148" i="76" s="1"/>
  <c r="G66" i="96"/>
  <c r="I66" i="96" s="1"/>
  <c r="H149" i="65"/>
  <c r="I149" i="65"/>
  <c r="F147" i="90"/>
  <c r="B147" i="90"/>
  <c r="B150" i="82"/>
  <c r="F150" i="82"/>
  <c r="B148" i="100"/>
  <c r="F148" i="100"/>
  <c r="B148" i="99"/>
  <c r="F148" i="99"/>
  <c r="F154" i="74"/>
  <c r="G154" i="74" s="1"/>
  <c r="B154" i="74"/>
  <c r="B147" i="96"/>
  <c r="J154" i="3"/>
  <c r="J155" i="3" s="1"/>
  <c r="I155" i="3"/>
  <c r="J154" i="21"/>
  <c r="J155" i="21" s="1"/>
  <c r="I155" i="21"/>
  <c r="I154" i="22"/>
  <c r="H154" i="22"/>
  <c r="H155" i="22" s="1"/>
  <c r="H70" i="13"/>
  <c r="I70" i="13" s="1"/>
  <c r="I148" i="26"/>
  <c r="H148" i="26"/>
  <c r="H153" i="73"/>
  <c r="I153" i="73"/>
  <c r="I146" i="84"/>
  <c r="H146" i="84"/>
  <c r="I153" i="39"/>
  <c r="J153" i="39" s="1"/>
  <c r="H153" i="39"/>
  <c r="H152" i="62"/>
  <c r="I152" i="62"/>
  <c r="H151" i="57"/>
  <c r="I151" i="57"/>
  <c r="J151" i="57" s="1"/>
  <c r="H68" i="88"/>
  <c r="I68" i="88" s="1"/>
  <c r="I146" i="90"/>
  <c r="H146" i="90"/>
  <c r="H153" i="55"/>
  <c r="I153" i="55"/>
  <c r="F151" i="75"/>
  <c r="B151" i="75"/>
  <c r="H153" i="74"/>
  <c r="I153" i="74"/>
  <c r="I72" i="54"/>
  <c r="I73" i="54" s="1"/>
  <c r="H73" i="54"/>
  <c r="I153" i="41"/>
  <c r="H153" i="41"/>
  <c r="B147" i="98"/>
  <c r="F147" i="98"/>
  <c r="B153" i="62"/>
  <c r="F153" i="62"/>
  <c r="F151" i="64"/>
  <c r="B151" i="64"/>
  <c r="F152" i="56"/>
  <c r="B152" i="56"/>
  <c r="D67" i="96"/>
  <c r="E67" i="96" s="1"/>
  <c r="F70" i="86"/>
  <c r="B70" i="86"/>
  <c r="B152" i="58"/>
  <c r="F152" i="58"/>
  <c r="J154" i="34"/>
  <c r="J155" i="34" s="1"/>
  <c r="I155" i="34"/>
  <c r="B151" i="61"/>
  <c r="F151" i="61"/>
  <c r="H150" i="75"/>
  <c r="I150" i="75"/>
  <c r="B151" i="59"/>
  <c r="F151" i="59"/>
  <c r="B154" i="73"/>
  <c r="F154" i="73"/>
  <c r="G154" i="73" s="1"/>
  <c r="F147" i="84"/>
  <c r="B147" i="84"/>
  <c r="E147" i="96"/>
  <c r="F147" i="96" s="1"/>
  <c r="J149" i="66"/>
  <c r="D68" i="89"/>
  <c r="E68" i="89" s="1"/>
  <c r="J150" i="63"/>
  <c r="F154" i="41"/>
  <c r="G154" i="41" s="1"/>
  <c r="B154" i="41"/>
  <c r="B148" i="81"/>
  <c r="F148" i="81"/>
  <c r="H146" i="98"/>
  <c r="I146" i="98"/>
  <c r="E149" i="77"/>
  <c r="F149" i="77" s="1"/>
  <c r="H150" i="64"/>
  <c r="I150" i="64"/>
  <c r="H151" i="56"/>
  <c r="I151" i="56"/>
  <c r="H66" i="100"/>
  <c r="D70" i="78"/>
  <c r="E70" i="78" s="1"/>
  <c r="I151" i="58"/>
  <c r="H151" i="58"/>
  <c r="F154" i="55"/>
  <c r="G154" i="55" s="1"/>
  <c r="B154" i="55"/>
  <c r="H150" i="61"/>
  <c r="I150" i="61"/>
  <c r="J150" i="61" s="1"/>
  <c r="B147" i="92"/>
  <c r="F147" i="92"/>
  <c r="I150" i="59"/>
  <c r="H150" i="59"/>
  <c r="H149" i="85"/>
  <c r="I149" i="85"/>
  <c r="D72" i="62"/>
  <c r="E72" i="62" s="1"/>
  <c r="E73" i="62" s="1"/>
  <c r="B149" i="26"/>
  <c r="F149" i="26"/>
  <c r="B154" i="39"/>
  <c r="F154" i="39"/>
  <c r="G154" i="39" s="1"/>
  <c r="G150" i="78"/>
  <c r="D151" i="78"/>
  <c r="E151" i="78" s="1"/>
  <c r="G71" i="62"/>
  <c r="I71" i="62" s="1"/>
  <c r="I146" i="96"/>
  <c r="H146" i="96"/>
  <c r="I147" i="81"/>
  <c r="H147" i="81"/>
  <c r="E150" i="68"/>
  <c r="F150" i="68" s="1"/>
  <c r="H148" i="77"/>
  <c r="I148" i="77"/>
  <c r="F147" i="88"/>
  <c r="B147" i="88"/>
  <c r="I154" i="18"/>
  <c r="H154" i="18"/>
  <c r="H155" i="18" s="1"/>
  <c r="D69" i="88"/>
  <c r="E69" i="88" s="1"/>
  <c r="E152" i="46"/>
  <c r="F152" i="46" s="1"/>
  <c r="G149" i="13"/>
  <c r="D150" i="13"/>
  <c r="E150" i="13" s="1"/>
  <c r="E152" i="54"/>
  <c r="F152" i="54" s="1"/>
  <c r="B150" i="85"/>
  <c r="F150" i="85"/>
  <c r="G148" i="95" l="1"/>
  <c r="D149" i="95"/>
  <c r="B149" i="95" s="1"/>
  <c r="E149" i="95"/>
  <c r="F149" i="95" s="1"/>
  <c r="J154" i="42"/>
  <c r="J155" i="42" s="1"/>
  <c r="J151" i="56"/>
  <c r="I149" i="25"/>
  <c r="H149" i="25"/>
  <c r="E150" i="25"/>
  <c r="F150" i="25" s="1"/>
  <c r="B150" i="25"/>
  <c r="D68" i="97"/>
  <c r="G67" i="97"/>
  <c r="H67" i="97"/>
  <c r="F72" i="65"/>
  <c r="I69" i="80"/>
  <c r="G71" i="81"/>
  <c r="H148" i="33"/>
  <c r="I148" i="33"/>
  <c r="B72" i="84"/>
  <c r="B154" i="43"/>
  <c r="F154" i="43"/>
  <c r="G154" i="43" s="1"/>
  <c r="D70" i="92"/>
  <c r="E70" i="92" s="1"/>
  <c r="I155" i="42"/>
  <c r="E72" i="81"/>
  <c r="E73" i="81" s="1"/>
  <c r="B72" i="81"/>
  <c r="E67" i="99"/>
  <c r="F67" i="99" s="1"/>
  <c r="B67" i="99"/>
  <c r="I71" i="84"/>
  <c r="G69" i="83"/>
  <c r="D70" i="83"/>
  <c r="E70" i="83" s="1"/>
  <c r="F70" i="83" s="1"/>
  <c r="H69" i="83"/>
  <c r="I153" i="43"/>
  <c r="H153" i="43"/>
  <c r="I67" i="98"/>
  <c r="I69" i="95"/>
  <c r="I68" i="92"/>
  <c r="H71" i="81"/>
  <c r="I71" i="81" s="1"/>
  <c r="G72" i="76"/>
  <c r="G73" i="76" s="1"/>
  <c r="H72" i="76"/>
  <c r="I66" i="99"/>
  <c r="E149" i="33"/>
  <c r="F149" i="33" s="1"/>
  <c r="H69" i="92"/>
  <c r="I69" i="92" s="1"/>
  <c r="E68" i="98"/>
  <c r="B68" i="98"/>
  <c r="F68" i="98"/>
  <c r="D70" i="95"/>
  <c r="E70" i="95" s="1"/>
  <c r="J154" i="44"/>
  <c r="J155" i="44" s="1"/>
  <c r="E72" i="84"/>
  <c r="E73" i="84" s="1"/>
  <c r="H147" i="97"/>
  <c r="I147" i="97"/>
  <c r="H73" i="79"/>
  <c r="I66" i="100"/>
  <c r="G72" i="79"/>
  <c r="G73" i="79" s="1"/>
  <c r="G70" i="91"/>
  <c r="I70" i="91" s="1"/>
  <c r="D71" i="91"/>
  <c r="E71" i="91" s="1"/>
  <c r="F72" i="67"/>
  <c r="I72" i="82"/>
  <c r="I73" i="82" s="1"/>
  <c r="H73" i="82"/>
  <c r="F72" i="85"/>
  <c r="E70" i="80"/>
  <c r="F70" i="80" s="1"/>
  <c r="B70" i="80"/>
  <c r="D149" i="87"/>
  <c r="G148" i="87"/>
  <c r="J152" i="62"/>
  <c r="J151" i="72"/>
  <c r="J153" i="41"/>
  <c r="J151" i="54"/>
  <c r="G152" i="60"/>
  <c r="D153" i="60"/>
  <c r="J149" i="65"/>
  <c r="J151" i="46"/>
  <c r="J151" i="60"/>
  <c r="G149" i="77"/>
  <c r="D150" i="77"/>
  <c r="E150" i="77" s="1"/>
  <c r="G152" i="46"/>
  <c r="D153" i="46"/>
  <c r="E153" i="46" s="1"/>
  <c r="D153" i="54"/>
  <c r="G152" i="54"/>
  <c r="D148" i="96"/>
  <c r="E148" i="96" s="1"/>
  <c r="G147" i="96"/>
  <c r="G150" i="68"/>
  <c r="D151" i="68"/>
  <c r="E151" i="68" s="1"/>
  <c r="H154" i="39"/>
  <c r="H155" i="39" s="1"/>
  <c r="I154" i="39"/>
  <c r="D153" i="56"/>
  <c r="E153" i="56" s="1"/>
  <c r="G152" i="56"/>
  <c r="B71" i="13"/>
  <c r="D151" i="65"/>
  <c r="E151" i="65" s="1"/>
  <c r="G150" i="65"/>
  <c r="B151" i="66"/>
  <c r="J150" i="59"/>
  <c r="J151" i="58"/>
  <c r="G151" i="61"/>
  <c r="D152" i="61"/>
  <c r="E152" i="61" s="1"/>
  <c r="D71" i="86"/>
  <c r="H152" i="67"/>
  <c r="I152" i="67"/>
  <c r="B68" i="87"/>
  <c r="H149" i="13"/>
  <c r="I149" i="13"/>
  <c r="G147" i="88"/>
  <c r="D148" i="88"/>
  <c r="E148" i="88"/>
  <c r="G149" i="26"/>
  <c r="D150" i="26"/>
  <c r="G147" i="92"/>
  <c r="D148" i="92"/>
  <c r="D148" i="84"/>
  <c r="G147" i="84"/>
  <c r="H70" i="86"/>
  <c r="D152" i="64"/>
  <c r="E152" i="64" s="1"/>
  <c r="G151" i="64"/>
  <c r="J148" i="26"/>
  <c r="D151" i="82"/>
  <c r="G150" i="82"/>
  <c r="D154" i="45"/>
  <c r="E154" i="45" s="1"/>
  <c r="E155" i="45" s="1"/>
  <c r="G153" i="45"/>
  <c r="G149" i="79"/>
  <c r="D150" i="79"/>
  <c r="E150" i="79" s="1"/>
  <c r="E68" i="87"/>
  <c r="F68" i="87" s="1"/>
  <c r="D149" i="83"/>
  <c r="E149" i="83" s="1"/>
  <c r="G148" i="83"/>
  <c r="I71" i="33"/>
  <c r="B70" i="78"/>
  <c r="F70" i="78"/>
  <c r="H70" i="78" s="1"/>
  <c r="J150" i="64"/>
  <c r="H154" i="41"/>
  <c r="H155" i="41" s="1"/>
  <c r="I154" i="41"/>
  <c r="I154" i="73"/>
  <c r="H154" i="73"/>
  <c r="H155" i="73" s="1"/>
  <c r="B67" i="96"/>
  <c r="F67" i="96"/>
  <c r="H67" i="96" s="1"/>
  <c r="G153" i="62"/>
  <c r="D154" i="62"/>
  <c r="J153" i="74"/>
  <c r="F153" i="67"/>
  <c r="B153" i="67"/>
  <c r="D150" i="76"/>
  <c r="E150" i="76" s="1"/>
  <c r="G149" i="76"/>
  <c r="H148" i="97"/>
  <c r="I148" i="97"/>
  <c r="G148" i="81"/>
  <c r="D149" i="81"/>
  <c r="E149" i="81" s="1"/>
  <c r="G148" i="100"/>
  <c r="D149" i="100"/>
  <c r="E149" i="100" s="1"/>
  <c r="D68" i="25"/>
  <c r="E68" i="25" s="1"/>
  <c r="G150" i="85"/>
  <c r="D151" i="85"/>
  <c r="G147" i="86"/>
  <c r="D148" i="86"/>
  <c r="D153" i="53"/>
  <c r="E153" i="53" s="1"/>
  <c r="G152" i="53"/>
  <c r="B68" i="90"/>
  <c r="F149" i="97"/>
  <c r="B149" i="97"/>
  <c r="B72" i="33"/>
  <c r="F72" i="33"/>
  <c r="H72" i="33" s="1"/>
  <c r="G72" i="33"/>
  <c r="G73" i="33" s="1"/>
  <c r="B70" i="75"/>
  <c r="J148" i="77"/>
  <c r="B72" i="62"/>
  <c r="F72" i="62"/>
  <c r="H72" i="62" s="1"/>
  <c r="D152" i="59"/>
  <c r="E152" i="59" s="1"/>
  <c r="G151" i="59"/>
  <c r="G152" i="58"/>
  <c r="D153" i="58"/>
  <c r="E153" i="58" s="1"/>
  <c r="G147" i="98"/>
  <c r="D148" i="98"/>
  <c r="E148" i="98" s="1"/>
  <c r="J154" i="22"/>
  <c r="J155" i="22" s="1"/>
  <c r="I155" i="22"/>
  <c r="I154" i="74"/>
  <c r="H154" i="74"/>
  <c r="H155" i="74" s="1"/>
  <c r="D148" i="90"/>
  <c r="E148" i="90" s="1"/>
  <c r="G147" i="90"/>
  <c r="G147" i="91"/>
  <c r="D148" i="91"/>
  <c r="E148" i="91" s="1"/>
  <c r="E68" i="90"/>
  <c r="F68" i="90" s="1"/>
  <c r="B69" i="88"/>
  <c r="F69" i="88"/>
  <c r="H69" i="88" s="1"/>
  <c r="J154" i="18"/>
  <c r="J155" i="18" s="1"/>
  <c r="I155" i="18"/>
  <c r="F151" i="78"/>
  <c r="B151" i="78"/>
  <c r="B68" i="89"/>
  <c r="F68" i="89"/>
  <c r="D152" i="75"/>
  <c r="E152" i="75" s="1"/>
  <c r="G151" i="75"/>
  <c r="G148" i="99"/>
  <c r="D149" i="99"/>
  <c r="E149" i="99" s="1"/>
  <c r="J151" i="53"/>
  <c r="G152" i="72"/>
  <c r="D153" i="72"/>
  <c r="E153" i="72" s="1"/>
  <c r="B67" i="100"/>
  <c r="F67" i="100"/>
  <c r="I150" i="66"/>
  <c r="J150" i="66" s="1"/>
  <c r="H150" i="66"/>
  <c r="H151" i="63"/>
  <c r="I151" i="63"/>
  <c r="B150" i="13"/>
  <c r="F150" i="13"/>
  <c r="H150" i="78"/>
  <c r="I150" i="78"/>
  <c r="J150" i="78" s="1"/>
  <c r="H154" i="55"/>
  <c r="H155" i="55" s="1"/>
  <c r="I154" i="55"/>
  <c r="J150" i="75"/>
  <c r="G70" i="86"/>
  <c r="J153" i="55"/>
  <c r="J153" i="73"/>
  <c r="G152" i="57"/>
  <c r="D153" i="57"/>
  <c r="E153" i="57" s="1"/>
  <c r="E71" i="13"/>
  <c r="F71" i="13" s="1"/>
  <c r="J152" i="45"/>
  <c r="G148" i="80"/>
  <c r="D149" i="80"/>
  <c r="G147" i="89"/>
  <c r="D148" i="89"/>
  <c r="E148" i="89" s="1"/>
  <c r="E70" i="75"/>
  <c r="F70" i="75" s="1"/>
  <c r="G67" i="25"/>
  <c r="I67" i="25" s="1"/>
  <c r="E151" i="66"/>
  <c r="F151" i="66" s="1"/>
  <c r="F152" i="63"/>
  <c r="B152" i="63"/>
  <c r="D151" i="25" l="1"/>
  <c r="B151" i="25" s="1"/>
  <c r="G150" i="25"/>
  <c r="E151" i="25"/>
  <c r="F151" i="25" s="1"/>
  <c r="D150" i="95"/>
  <c r="G149" i="95"/>
  <c r="I69" i="83"/>
  <c r="F72" i="81"/>
  <c r="J149" i="25"/>
  <c r="I67" i="97"/>
  <c r="I148" i="95"/>
  <c r="H148" i="95"/>
  <c r="D71" i="83"/>
  <c r="E71" i="83" s="1"/>
  <c r="F71" i="83" s="1"/>
  <c r="G70" i="78"/>
  <c r="G68" i="98"/>
  <c r="H68" i="98"/>
  <c r="D69" i="98"/>
  <c r="E69" i="98" s="1"/>
  <c r="G149" i="33"/>
  <c r="D150" i="33"/>
  <c r="H67" i="99"/>
  <c r="D68" i="99"/>
  <c r="G67" i="99"/>
  <c r="B70" i="83"/>
  <c r="G70" i="83"/>
  <c r="H70" i="83"/>
  <c r="B70" i="92"/>
  <c r="F70" i="92"/>
  <c r="H70" i="92" s="1"/>
  <c r="I70" i="78"/>
  <c r="I72" i="76"/>
  <c r="I73" i="76" s="1"/>
  <c r="H73" i="76"/>
  <c r="J153" i="43"/>
  <c r="H154" i="43"/>
  <c r="H155" i="43" s="1"/>
  <c r="I154" i="43"/>
  <c r="I155" i="43" s="1"/>
  <c r="F72" i="84"/>
  <c r="E68" i="97"/>
  <c r="F68" i="97" s="1"/>
  <c r="B68" i="97"/>
  <c r="B70" i="95"/>
  <c r="F70" i="95"/>
  <c r="G70" i="95" s="1"/>
  <c r="J148" i="33"/>
  <c r="G72" i="65"/>
  <c r="G73" i="65" s="1"/>
  <c r="H72" i="65"/>
  <c r="G68" i="90"/>
  <c r="H68" i="90"/>
  <c r="D71" i="80"/>
  <c r="H70" i="80"/>
  <c r="G70" i="80"/>
  <c r="H72" i="67"/>
  <c r="G72" i="67"/>
  <c r="G73" i="67" s="1"/>
  <c r="B71" i="91"/>
  <c r="F71" i="91"/>
  <c r="H71" i="91"/>
  <c r="G72" i="85"/>
  <c r="G73" i="85" s="1"/>
  <c r="H72" i="85"/>
  <c r="I72" i="79"/>
  <c r="I73" i="79" s="1"/>
  <c r="H152" i="60"/>
  <c r="I152" i="60"/>
  <c r="J152" i="60" s="1"/>
  <c r="J152" i="67"/>
  <c r="E153" i="60"/>
  <c r="F153" i="60"/>
  <c r="B153" i="60"/>
  <c r="I148" i="87"/>
  <c r="H148" i="87"/>
  <c r="E149" i="87"/>
  <c r="F149" i="87" s="1"/>
  <c r="B149" i="87"/>
  <c r="D71" i="75"/>
  <c r="E71" i="75" s="1"/>
  <c r="H70" i="75"/>
  <c r="G70" i="75"/>
  <c r="I72" i="33"/>
  <c r="I73" i="33" s="1"/>
  <c r="H73" i="33"/>
  <c r="D152" i="25"/>
  <c r="E152" i="25" s="1"/>
  <c r="G151" i="25"/>
  <c r="H73" i="62"/>
  <c r="D69" i="87"/>
  <c r="E69" i="87" s="1"/>
  <c r="H68" i="87"/>
  <c r="G68" i="87"/>
  <c r="G151" i="66"/>
  <c r="D152" i="66"/>
  <c r="E152" i="66" s="1"/>
  <c r="D72" i="13"/>
  <c r="H71" i="13"/>
  <c r="G71" i="13"/>
  <c r="G150" i="13"/>
  <c r="D151" i="13"/>
  <c r="I150" i="82"/>
  <c r="H150" i="82"/>
  <c r="F152" i="75"/>
  <c r="B152" i="75"/>
  <c r="J154" i="74"/>
  <c r="J155" i="74" s="1"/>
  <c r="I155" i="74"/>
  <c r="F153" i="58"/>
  <c r="B153" i="58"/>
  <c r="G72" i="62"/>
  <c r="G73" i="62" s="1"/>
  <c r="I147" i="86"/>
  <c r="H147" i="86"/>
  <c r="B154" i="62"/>
  <c r="J154" i="73"/>
  <c r="J155" i="73" s="1"/>
  <c r="I155" i="73"/>
  <c r="B151" i="82"/>
  <c r="B148" i="84"/>
  <c r="F148" i="88"/>
  <c r="B148" i="88"/>
  <c r="F151" i="68"/>
  <c r="B151" i="68"/>
  <c r="B149" i="80"/>
  <c r="D68" i="100"/>
  <c r="E68" i="100" s="1"/>
  <c r="I68" i="90"/>
  <c r="B153" i="54"/>
  <c r="H67" i="100"/>
  <c r="D69" i="89"/>
  <c r="E69" i="89" s="1"/>
  <c r="I152" i="58"/>
  <c r="H152" i="58"/>
  <c r="D69" i="90"/>
  <c r="E69" i="90" s="1"/>
  <c r="B149" i="100"/>
  <c r="F149" i="100"/>
  <c r="I149" i="76"/>
  <c r="H149" i="76"/>
  <c r="H153" i="62"/>
  <c r="I153" i="62"/>
  <c r="J154" i="41"/>
  <c r="J155" i="41" s="1"/>
  <c r="I155" i="41"/>
  <c r="F150" i="79"/>
  <c r="B150" i="79"/>
  <c r="B148" i="92"/>
  <c r="I147" i="88"/>
  <c r="H147" i="88"/>
  <c r="H150" i="68"/>
  <c r="I150" i="68"/>
  <c r="B153" i="46"/>
  <c r="F153" i="46"/>
  <c r="I147" i="84"/>
  <c r="H147" i="84"/>
  <c r="I148" i="80"/>
  <c r="H148" i="80"/>
  <c r="J154" i="55"/>
  <c r="J155" i="55" s="1"/>
  <c r="I155" i="55"/>
  <c r="G67" i="100"/>
  <c r="D70" i="88"/>
  <c r="E70" i="88" s="1"/>
  <c r="I148" i="100"/>
  <c r="H148" i="100"/>
  <c r="B150" i="76"/>
  <c r="F150" i="76"/>
  <c r="E154" i="62"/>
  <c r="E155" i="62" s="1"/>
  <c r="H149" i="79"/>
  <c r="I149" i="79"/>
  <c r="J149" i="79" s="1"/>
  <c r="E148" i="92"/>
  <c r="F148" i="92" s="1"/>
  <c r="B71" i="86"/>
  <c r="I152" i="46"/>
  <c r="H152" i="46"/>
  <c r="G68" i="89"/>
  <c r="J151" i="63"/>
  <c r="H68" i="89"/>
  <c r="G69" i="88"/>
  <c r="I69" i="88" s="1"/>
  <c r="H151" i="59"/>
  <c r="I151" i="59"/>
  <c r="B151" i="85"/>
  <c r="H151" i="64"/>
  <c r="I151" i="64"/>
  <c r="J151" i="64" s="1"/>
  <c r="I147" i="92"/>
  <c r="H147" i="92"/>
  <c r="E71" i="86"/>
  <c r="F71" i="86" s="1"/>
  <c r="H71" i="86" s="1"/>
  <c r="I152" i="56"/>
  <c r="H152" i="56"/>
  <c r="I147" i="96"/>
  <c r="H147" i="96"/>
  <c r="B153" i="57"/>
  <c r="F153" i="57"/>
  <c r="F152" i="59"/>
  <c r="B152" i="59"/>
  <c r="I152" i="53"/>
  <c r="H152" i="53"/>
  <c r="I150" i="85"/>
  <c r="H150" i="85"/>
  <c r="F149" i="81"/>
  <c r="B149" i="81"/>
  <c r="G153" i="67"/>
  <c r="D154" i="67"/>
  <c r="D68" i="96"/>
  <c r="E68" i="96" s="1"/>
  <c r="I153" i="45"/>
  <c r="H153" i="45"/>
  <c r="F152" i="64"/>
  <c r="B152" i="64"/>
  <c r="B150" i="26"/>
  <c r="H150" i="65"/>
  <c r="I150" i="65"/>
  <c r="B153" i="56"/>
  <c r="F153" i="56"/>
  <c r="F148" i="96"/>
  <c r="B148" i="96"/>
  <c r="F150" i="77"/>
  <c r="B150" i="77"/>
  <c r="F148" i="89"/>
  <c r="B148" i="89"/>
  <c r="F149" i="99"/>
  <c r="B149" i="99"/>
  <c r="F148" i="98"/>
  <c r="B148" i="98"/>
  <c r="H147" i="89"/>
  <c r="I147" i="89"/>
  <c r="H152" i="57"/>
  <c r="I152" i="57"/>
  <c r="I152" i="72"/>
  <c r="H152" i="72"/>
  <c r="I148" i="99"/>
  <c r="H148" i="99"/>
  <c r="F148" i="91"/>
  <c r="B148" i="91"/>
  <c r="H147" i="90"/>
  <c r="I147" i="90"/>
  <c r="I147" i="98"/>
  <c r="H147" i="98"/>
  <c r="F153" i="53"/>
  <c r="B153" i="53"/>
  <c r="E151" i="85"/>
  <c r="F151" i="85" s="1"/>
  <c r="H148" i="81"/>
  <c r="I148" i="81"/>
  <c r="G67" i="96"/>
  <c r="I67" i="96" s="1"/>
  <c r="D71" i="78"/>
  <c r="I148" i="83"/>
  <c r="H148" i="83"/>
  <c r="B154" i="45"/>
  <c r="F154" i="45"/>
  <c r="G154" i="45" s="1"/>
  <c r="I70" i="86"/>
  <c r="I149" i="26"/>
  <c r="H149" i="26"/>
  <c r="B152" i="61"/>
  <c r="F152" i="61"/>
  <c r="B151" i="65"/>
  <c r="F151" i="65"/>
  <c r="J154" i="39"/>
  <c r="J155" i="39" s="1"/>
  <c r="I155" i="39"/>
  <c r="E153" i="54"/>
  <c r="F153" i="54" s="1"/>
  <c r="H149" i="77"/>
  <c r="I149" i="77"/>
  <c r="D153" i="63"/>
  <c r="E153" i="63"/>
  <c r="G152" i="63"/>
  <c r="B148" i="86"/>
  <c r="F153" i="72"/>
  <c r="B153" i="72"/>
  <c r="E149" i="80"/>
  <c r="F149" i="80" s="1"/>
  <c r="H151" i="75"/>
  <c r="I151" i="75"/>
  <c r="J151" i="75" s="1"/>
  <c r="G151" i="78"/>
  <c r="D152" i="78"/>
  <c r="E152" i="78" s="1"/>
  <c r="I147" i="91"/>
  <c r="H147" i="91"/>
  <c r="F148" i="90"/>
  <c r="B148" i="90"/>
  <c r="D150" i="97"/>
  <c r="G149" i="97"/>
  <c r="E148" i="86"/>
  <c r="F148" i="86" s="1"/>
  <c r="F68" i="25"/>
  <c r="G68" i="25" s="1"/>
  <c r="B68" i="25"/>
  <c r="B149" i="83"/>
  <c r="F149" i="83"/>
  <c r="E151" i="82"/>
  <c r="F151" i="82" s="1"/>
  <c r="E148" i="84"/>
  <c r="F148" i="84" s="1"/>
  <c r="E150" i="26"/>
  <c r="F150" i="26" s="1"/>
  <c r="I151" i="61"/>
  <c r="H151" i="61"/>
  <c r="I152" i="54"/>
  <c r="H152" i="54"/>
  <c r="B150" i="95" l="1"/>
  <c r="E150" i="95"/>
  <c r="F150" i="95" s="1"/>
  <c r="G70" i="92"/>
  <c r="G72" i="81"/>
  <c r="G73" i="81" s="1"/>
  <c r="H72" i="81"/>
  <c r="I70" i="80"/>
  <c r="I67" i="99"/>
  <c r="H150" i="25"/>
  <c r="I150" i="25"/>
  <c r="I70" i="83"/>
  <c r="I149" i="95"/>
  <c r="H149" i="95"/>
  <c r="H68" i="97"/>
  <c r="D69" i="97"/>
  <c r="E69" i="97"/>
  <c r="G68" i="97"/>
  <c r="I68" i="97" s="1"/>
  <c r="D72" i="83"/>
  <c r="E72" i="83" s="1"/>
  <c r="E73" i="83" s="1"/>
  <c r="I149" i="33"/>
  <c r="H149" i="33"/>
  <c r="H70" i="95"/>
  <c r="H72" i="84"/>
  <c r="G72" i="84"/>
  <c r="G73" i="84" s="1"/>
  <c r="I70" i="92"/>
  <c r="E68" i="99"/>
  <c r="F68" i="99" s="1"/>
  <c r="B68" i="99"/>
  <c r="I72" i="65"/>
  <c r="I73" i="65" s="1"/>
  <c r="H73" i="65"/>
  <c r="J154" i="43"/>
  <c r="J155" i="43" s="1"/>
  <c r="D71" i="92"/>
  <c r="B69" i="98"/>
  <c r="F69" i="98"/>
  <c r="G69" i="98" s="1"/>
  <c r="D71" i="95"/>
  <c r="E150" i="33"/>
  <c r="F150" i="33"/>
  <c r="B150" i="33"/>
  <c r="I68" i="98"/>
  <c r="B71" i="83"/>
  <c r="H71" i="83"/>
  <c r="G71" i="83"/>
  <c r="I68" i="87"/>
  <c r="E71" i="80"/>
  <c r="F71" i="80" s="1"/>
  <c r="B71" i="80"/>
  <c r="H68" i="25"/>
  <c r="I68" i="25" s="1"/>
  <c r="G71" i="91"/>
  <c r="I71" i="91" s="1"/>
  <c r="D72" i="91"/>
  <c r="I72" i="67"/>
  <c r="I73" i="67" s="1"/>
  <c r="H73" i="67"/>
  <c r="J153" i="45"/>
  <c r="I68" i="89"/>
  <c r="I72" i="85"/>
  <c r="I73" i="85" s="1"/>
  <c r="H73" i="85"/>
  <c r="J153" i="62"/>
  <c r="G153" i="60"/>
  <c r="D154" i="60"/>
  <c r="J152" i="54"/>
  <c r="J149" i="76"/>
  <c r="D150" i="87"/>
  <c r="G149" i="87"/>
  <c r="J151" i="61"/>
  <c r="J152" i="72"/>
  <c r="J152" i="53"/>
  <c r="J152" i="46"/>
  <c r="D151" i="26"/>
  <c r="E151" i="26" s="1"/>
  <c r="G150" i="26"/>
  <c r="G148" i="84"/>
  <c r="D149" i="84"/>
  <c r="E149" i="84" s="1"/>
  <c r="D152" i="85"/>
  <c r="G151" i="85"/>
  <c r="G151" i="82"/>
  <c r="D152" i="82"/>
  <c r="E152" i="82" s="1"/>
  <c r="G148" i="92"/>
  <c r="D149" i="92"/>
  <c r="E149" i="92" s="1"/>
  <c r="D150" i="80"/>
  <c r="E150" i="80" s="1"/>
  <c r="G149" i="80"/>
  <c r="D154" i="54"/>
  <c r="E154" i="54" s="1"/>
  <c r="E155" i="54" s="1"/>
  <c r="G153" i="54"/>
  <c r="G153" i="72"/>
  <c r="D154" i="72"/>
  <c r="J149" i="26"/>
  <c r="D154" i="56"/>
  <c r="E154" i="56" s="1"/>
  <c r="E155" i="56" s="1"/>
  <c r="G153" i="56"/>
  <c r="D150" i="81"/>
  <c r="G149" i="81"/>
  <c r="E150" i="81"/>
  <c r="G71" i="86"/>
  <c r="I71" i="86" s="1"/>
  <c r="J150" i="68"/>
  <c r="D150" i="100"/>
  <c r="E150" i="100" s="1"/>
  <c r="G149" i="100"/>
  <c r="F154" i="62"/>
  <c r="G154" i="62" s="1"/>
  <c r="I72" i="62"/>
  <c r="I73" i="62" s="1"/>
  <c r="I70" i="75"/>
  <c r="H149" i="97"/>
  <c r="I149" i="97"/>
  <c r="D150" i="99"/>
  <c r="E150" i="99" s="1"/>
  <c r="G149" i="99"/>
  <c r="G150" i="76"/>
  <c r="D151" i="76"/>
  <c r="E151" i="76" s="1"/>
  <c r="G148" i="88"/>
  <c r="D149" i="88"/>
  <c r="E149" i="88" s="1"/>
  <c r="B151" i="13"/>
  <c r="B152" i="66"/>
  <c r="F152" i="66"/>
  <c r="H151" i="25"/>
  <c r="I151" i="25"/>
  <c r="G149" i="83"/>
  <c r="D150" i="83"/>
  <c r="E150" i="83" s="1"/>
  <c r="B152" i="78"/>
  <c r="F152" i="78"/>
  <c r="D149" i="86"/>
  <c r="E149" i="86" s="1"/>
  <c r="G148" i="86"/>
  <c r="H154" i="45"/>
  <c r="H155" i="45" s="1"/>
  <c r="I154" i="45"/>
  <c r="J152" i="57"/>
  <c r="J150" i="65"/>
  <c r="I150" i="13"/>
  <c r="H150" i="13"/>
  <c r="I151" i="66"/>
  <c r="H151" i="66"/>
  <c r="B71" i="75"/>
  <c r="F71" i="75"/>
  <c r="G71" i="75" s="1"/>
  <c r="B71" i="78"/>
  <c r="G152" i="64"/>
  <c r="D153" i="64"/>
  <c r="E153" i="64" s="1"/>
  <c r="D72" i="86"/>
  <c r="E72" i="86" s="1"/>
  <c r="E73" i="86" s="1"/>
  <c r="D151" i="79"/>
  <c r="G150" i="79"/>
  <c r="E151" i="79"/>
  <c r="G151" i="68"/>
  <c r="D152" i="68"/>
  <c r="E152" i="68" s="1"/>
  <c r="B150" i="97"/>
  <c r="E150" i="97"/>
  <c r="F150" i="97" s="1"/>
  <c r="H151" i="78"/>
  <c r="I151" i="78"/>
  <c r="I152" i="63"/>
  <c r="J152" i="63" s="1"/>
  <c r="H152" i="63"/>
  <c r="G151" i="65"/>
  <c r="D152" i="65"/>
  <c r="E152" i="65" s="1"/>
  <c r="G148" i="89"/>
  <c r="D149" i="89"/>
  <c r="E149" i="89" s="1"/>
  <c r="B68" i="96"/>
  <c r="F68" i="96"/>
  <c r="H68" i="96" s="1"/>
  <c r="F69" i="90"/>
  <c r="G69" i="90" s="1"/>
  <c r="B69" i="90"/>
  <c r="F68" i="100"/>
  <c r="G68" i="100" s="1"/>
  <c r="B68" i="100"/>
  <c r="E151" i="13"/>
  <c r="F151" i="13" s="1"/>
  <c r="B152" i="25"/>
  <c r="F152" i="25"/>
  <c r="B154" i="67"/>
  <c r="F69" i="89"/>
  <c r="G69" i="89" s="1"/>
  <c r="B69" i="89"/>
  <c r="D153" i="75"/>
  <c r="G152" i="75"/>
  <c r="E153" i="75"/>
  <c r="D149" i="98"/>
  <c r="E149" i="98" s="1"/>
  <c r="G148" i="98"/>
  <c r="G153" i="57"/>
  <c r="D154" i="57"/>
  <c r="E154" i="57" s="1"/>
  <c r="E155" i="57" s="1"/>
  <c r="B153" i="63"/>
  <c r="F153" i="63"/>
  <c r="D153" i="61"/>
  <c r="G152" i="61"/>
  <c r="D154" i="53"/>
  <c r="E154" i="53" s="1"/>
  <c r="E155" i="53" s="1"/>
  <c r="G153" i="53"/>
  <c r="G148" i="91"/>
  <c r="D149" i="91"/>
  <c r="E149" i="91" s="1"/>
  <c r="D151" i="77"/>
  <c r="E151" i="77" s="1"/>
  <c r="G150" i="77"/>
  <c r="H153" i="67"/>
  <c r="I153" i="67"/>
  <c r="J153" i="67" s="1"/>
  <c r="J152" i="56"/>
  <c r="J151" i="59"/>
  <c r="B70" i="88"/>
  <c r="F70" i="88"/>
  <c r="H70" i="88" s="1"/>
  <c r="J152" i="58"/>
  <c r="I71" i="13"/>
  <c r="D149" i="96"/>
  <c r="E149" i="96" s="1"/>
  <c r="G148" i="96"/>
  <c r="B72" i="13"/>
  <c r="D69" i="25"/>
  <c r="E69" i="25" s="1"/>
  <c r="G148" i="90"/>
  <c r="D149" i="90"/>
  <c r="E149" i="90" s="1"/>
  <c r="J149" i="77"/>
  <c r="E71" i="78"/>
  <c r="F71" i="78" s="1"/>
  <c r="E154" i="67"/>
  <c r="E155" i="67" s="1"/>
  <c r="G152" i="59"/>
  <c r="D153" i="59"/>
  <c r="E153" i="59"/>
  <c r="G153" i="46"/>
  <c r="D154" i="46"/>
  <c r="E154" i="46" s="1"/>
  <c r="E155" i="46" s="1"/>
  <c r="I67" i="100"/>
  <c r="D154" i="58"/>
  <c r="E154" i="58" s="1"/>
  <c r="E155" i="58" s="1"/>
  <c r="G153" i="58"/>
  <c r="E72" i="13"/>
  <c r="E73" i="13" s="1"/>
  <c r="F69" i="87"/>
  <c r="B69" i="87"/>
  <c r="G70" i="88" l="1"/>
  <c r="G150" i="95"/>
  <c r="D151" i="95"/>
  <c r="I70" i="88"/>
  <c r="J150" i="25"/>
  <c r="I72" i="81"/>
  <c r="I73" i="81" s="1"/>
  <c r="H73" i="81"/>
  <c r="G68" i="99"/>
  <c r="D69" i="99"/>
  <c r="H68" i="99"/>
  <c r="B71" i="95"/>
  <c r="F72" i="13"/>
  <c r="H72" i="13" s="1"/>
  <c r="H73" i="13" s="1"/>
  <c r="E71" i="95"/>
  <c r="F71" i="95" s="1"/>
  <c r="J149" i="33"/>
  <c r="I71" i="83"/>
  <c r="D151" i="33"/>
  <c r="E151" i="33" s="1"/>
  <c r="G150" i="33"/>
  <c r="D70" i="98"/>
  <c r="E70" i="98"/>
  <c r="F70" i="98" s="1"/>
  <c r="D71" i="98" s="1"/>
  <c r="F71" i="92"/>
  <c r="H71" i="92" s="1"/>
  <c r="B71" i="92"/>
  <c r="I72" i="84"/>
  <c r="I73" i="84" s="1"/>
  <c r="H73" i="84"/>
  <c r="F69" i="97"/>
  <c r="H69" i="97" s="1"/>
  <c r="B69" i="97"/>
  <c r="H69" i="90"/>
  <c r="I69" i="90" s="1"/>
  <c r="H71" i="75"/>
  <c r="I71" i="75" s="1"/>
  <c r="H69" i="98"/>
  <c r="I69" i="98" s="1"/>
  <c r="E71" i="92"/>
  <c r="I70" i="95"/>
  <c r="B72" i="83"/>
  <c r="F72" i="83"/>
  <c r="D72" i="80"/>
  <c r="E72" i="80" s="1"/>
  <c r="E73" i="80" s="1"/>
  <c r="H71" i="80"/>
  <c r="G71" i="80"/>
  <c r="G68" i="96"/>
  <c r="E72" i="91"/>
  <c r="E73" i="91" s="1"/>
  <c r="F72" i="91"/>
  <c r="H72" i="91" s="1"/>
  <c r="B72" i="91"/>
  <c r="I68" i="96"/>
  <c r="H68" i="100"/>
  <c r="H149" i="87"/>
  <c r="I149" i="87"/>
  <c r="E150" i="87"/>
  <c r="F150" i="87" s="1"/>
  <c r="B150" i="87"/>
  <c r="J151" i="78"/>
  <c r="E154" i="60"/>
  <c r="B154" i="60"/>
  <c r="I153" i="60"/>
  <c r="J153" i="60" s="1"/>
  <c r="H153" i="60"/>
  <c r="J151" i="25"/>
  <c r="D72" i="78"/>
  <c r="E72" i="78" s="1"/>
  <c r="E73" i="78" s="1"/>
  <c r="G71" i="78"/>
  <c r="H71" i="78"/>
  <c r="D152" i="13"/>
  <c r="E152" i="13" s="1"/>
  <c r="G151" i="13"/>
  <c r="D151" i="97"/>
  <c r="E151" i="97" s="1"/>
  <c r="G150" i="97"/>
  <c r="I151" i="65"/>
  <c r="H151" i="65"/>
  <c r="B152" i="85"/>
  <c r="F149" i="91"/>
  <c r="B149" i="91"/>
  <c r="D154" i="63"/>
  <c r="E154" i="63" s="1"/>
  <c r="E155" i="63" s="1"/>
  <c r="G153" i="63"/>
  <c r="B149" i="98"/>
  <c r="F149" i="98"/>
  <c r="D69" i="100"/>
  <c r="E69" i="100" s="1"/>
  <c r="F152" i="68"/>
  <c r="B152" i="68"/>
  <c r="B153" i="64"/>
  <c r="F153" i="64"/>
  <c r="D72" i="75"/>
  <c r="E72" i="75" s="1"/>
  <c r="E73" i="75" s="1"/>
  <c r="H149" i="100"/>
  <c r="I149" i="100"/>
  <c r="H149" i="81"/>
  <c r="I149" i="81"/>
  <c r="H153" i="72"/>
  <c r="I153" i="72"/>
  <c r="B149" i="92"/>
  <c r="F149" i="92"/>
  <c r="I148" i="91"/>
  <c r="H148" i="91"/>
  <c r="F154" i="67"/>
  <c r="G154" i="67" s="1"/>
  <c r="H151" i="68"/>
  <c r="I151" i="68"/>
  <c r="H152" i="64"/>
  <c r="I152" i="64"/>
  <c r="J152" i="64" s="1"/>
  <c r="J154" i="45"/>
  <c r="J155" i="45" s="1"/>
  <c r="I155" i="45"/>
  <c r="B150" i="83"/>
  <c r="F150" i="83"/>
  <c r="B150" i="100"/>
  <c r="F150" i="100"/>
  <c r="B150" i="81"/>
  <c r="F150" i="81"/>
  <c r="H148" i="92"/>
  <c r="I148" i="92"/>
  <c r="F149" i="84"/>
  <c r="B149" i="84"/>
  <c r="D70" i="87"/>
  <c r="B154" i="46"/>
  <c r="F154" i="46"/>
  <c r="G154" i="46" s="1"/>
  <c r="I152" i="75"/>
  <c r="J152" i="75" s="1"/>
  <c r="H152" i="75"/>
  <c r="D153" i="25"/>
  <c r="E153" i="25" s="1"/>
  <c r="G152" i="25"/>
  <c r="H149" i="83"/>
  <c r="I149" i="83"/>
  <c r="I153" i="54"/>
  <c r="H153" i="54"/>
  <c r="H148" i="84"/>
  <c r="I148" i="84"/>
  <c r="B154" i="72"/>
  <c r="I153" i="46"/>
  <c r="H153" i="46"/>
  <c r="F149" i="90"/>
  <c r="B149" i="90"/>
  <c r="I153" i="53"/>
  <c r="H153" i="53"/>
  <c r="F153" i="75"/>
  <c r="B153" i="75"/>
  <c r="B149" i="89"/>
  <c r="F149" i="89"/>
  <c r="H150" i="79"/>
  <c r="I150" i="79"/>
  <c r="J150" i="79" s="1"/>
  <c r="J151" i="66"/>
  <c r="B151" i="76"/>
  <c r="F151" i="76"/>
  <c r="H153" i="56"/>
  <c r="I153" i="56"/>
  <c r="B154" i="54"/>
  <c r="F154" i="54"/>
  <c r="G154" i="54" s="1"/>
  <c r="F152" i="82"/>
  <c r="B152" i="82"/>
  <c r="H150" i="26"/>
  <c r="I150" i="26"/>
  <c r="B153" i="61"/>
  <c r="I148" i="88"/>
  <c r="H148" i="88"/>
  <c r="H69" i="87"/>
  <c r="I148" i="90"/>
  <c r="H148" i="90"/>
  <c r="I148" i="96"/>
  <c r="H148" i="96"/>
  <c r="F154" i="53"/>
  <c r="G154" i="53" s="1"/>
  <c r="B154" i="53"/>
  <c r="B154" i="57"/>
  <c r="F154" i="57"/>
  <c r="G154" i="57" s="1"/>
  <c r="D70" i="90"/>
  <c r="E70" i="90" s="1"/>
  <c r="I148" i="89"/>
  <c r="H148" i="89"/>
  <c r="F151" i="79"/>
  <c r="B151" i="79"/>
  <c r="I148" i="86"/>
  <c r="H148" i="86"/>
  <c r="H150" i="76"/>
  <c r="I150" i="76"/>
  <c r="H154" i="62"/>
  <c r="H155" i="62" s="1"/>
  <c r="I154" i="62"/>
  <c r="B154" i="56"/>
  <c r="F154" i="56"/>
  <c r="G154" i="56" s="1"/>
  <c r="I151" i="82"/>
  <c r="H151" i="82"/>
  <c r="H148" i="98"/>
  <c r="I148" i="98"/>
  <c r="G69" i="87"/>
  <c r="B153" i="59"/>
  <c r="F153" i="59"/>
  <c r="F69" i="25"/>
  <c r="H69" i="25" s="1"/>
  <c r="B69" i="25"/>
  <c r="B149" i="96"/>
  <c r="F149" i="96"/>
  <c r="D71" i="88"/>
  <c r="E71" i="88" s="1"/>
  <c r="H150" i="77"/>
  <c r="I150" i="77"/>
  <c r="J150" i="77" s="1"/>
  <c r="E153" i="61"/>
  <c r="F153" i="61" s="1"/>
  <c r="I153" i="57"/>
  <c r="H153" i="57"/>
  <c r="F72" i="86"/>
  <c r="G72" i="86" s="1"/>
  <c r="G73" i="86" s="1"/>
  <c r="B72" i="86"/>
  <c r="B149" i="86"/>
  <c r="F149" i="86"/>
  <c r="G152" i="66"/>
  <c r="D153" i="66"/>
  <c r="I149" i="80"/>
  <c r="H149" i="80"/>
  <c r="H151" i="85"/>
  <c r="I151" i="85"/>
  <c r="F151" i="26"/>
  <c r="B151" i="26"/>
  <c r="B154" i="58"/>
  <c r="F154" i="58"/>
  <c r="G154" i="58" s="1"/>
  <c r="D70" i="89"/>
  <c r="E70" i="89" s="1"/>
  <c r="F150" i="99"/>
  <c r="B150" i="99"/>
  <c r="H153" i="58"/>
  <c r="I153" i="58"/>
  <c r="H152" i="59"/>
  <c r="I152" i="59"/>
  <c r="F151" i="77"/>
  <c r="B151" i="77"/>
  <c r="I152" i="61"/>
  <c r="H152" i="61"/>
  <c r="H69" i="89"/>
  <c r="I69" i="89" s="1"/>
  <c r="I68" i="100"/>
  <c r="D69" i="96"/>
  <c r="E69" i="96" s="1"/>
  <c r="F152" i="65"/>
  <c r="B152" i="65"/>
  <c r="D153" i="78"/>
  <c r="E153" i="78"/>
  <c r="G152" i="78"/>
  <c r="F149" i="88"/>
  <c r="B149" i="88"/>
  <c r="H149" i="99"/>
  <c r="I149" i="99"/>
  <c r="E154" i="72"/>
  <c r="E155" i="72" s="1"/>
  <c r="F150" i="80"/>
  <c r="B150" i="80"/>
  <c r="E152" i="85"/>
  <c r="F152" i="85" s="1"/>
  <c r="G72" i="13" l="1"/>
  <c r="G73" i="13" s="1"/>
  <c r="E151" i="95"/>
  <c r="B151" i="95"/>
  <c r="F151" i="95"/>
  <c r="H150" i="95"/>
  <c r="I150" i="95"/>
  <c r="G71" i="95"/>
  <c r="D72" i="95"/>
  <c r="H71" i="95"/>
  <c r="G72" i="83"/>
  <c r="G73" i="83" s="1"/>
  <c r="H72" i="83"/>
  <c r="E71" i="98"/>
  <c r="F71" i="98" s="1"/>
  <c r="B71" i="98"/>
  <c r="B151" i="33"/>
  <c r="F151" i="33"/>
  <c r="B70" i="98"/>
  <c r="G70" i="98"/>
  <c r="H70" i="98"/>
  <c r="I70" i="98" s="1"/>
  <c r="E69" i="99"/>
  <c r="F69" i="99" s="1"/>
  <c r="B69" i="99"/>
  <c r="G71" i="92"/>
  <c r="I71" i="92" s="1"/>
  <c r="D72" i="92"/>
  <c r="E72" i="92"/>
  <c r="E73" i="92" s="1"/>
  <c r="J151" i="65"/>
  <c r="G69" i="97"/>
  <c r="I69" i="97" s="1"/>
  <c r="D70" i="97"/>
  <c r="E70" i="97"/>
  <c r="I150" i="33"/>
  <c r="H150" i="33"/>
  <c r="I68" i="99"/>
  <c r="H73" i="91"/>
  <c r="J153" i="56"/>
  <c r="G72" i="91"/>
  <c r="G73" i="91" s="1"/>
  <c r="I71" i="80"/>
  <c r="H72" i="86"/>
  <c r="I72" i="86" s="1"/>
  <c r="I73" i="86" s="1"/>
  <c r="J153" i="53"/>
  <c r="I71" i="78"/>
  <c r="F72" i="80"/>
  <c r="G72" i="80" s="1"/>
  <c r="G73" i="80" s="1"/>
  <c r="H72" i="80"/>
  <c r="B72" i="80"/>
  <c r="E155" i="60"/>
  <c r="F154" i="60"/>
  <c r="G154" i="60" s="1"/>
  <c r="G150" i="87"/>
  <c r="D151" i="87"/>
  <c r="B151" i="87" s="1"/>
  <c r="J153" i="72"/>
  <c r="E153" i="85"/>
  <c r="G152" i="85"/>
  <c r="D153" i="85"/>
  <c r="G153" i="61"/>
  <c r="D154" i="61"/>
  <c r="E154" i="61" s="1"/>
  <c r="E155" i="61" s="1"/>
  <c r="B69" i="96"/>
  <c r="F69" i="96"/>
  <c r="H69" i="96" s="1"/>
  <c r="D70" i="25"/>
  <c r="E70" i="25" s="1"/>
  <c r="H154" i="56"/>
  <c r="H155" i="56" s="1"/>
  <c r="I154" i="56"/>
  <c r="I154" i="57"/>
  <c r="H154" i="57"/>
  <c r="H155" i="57" s="1"/>
  <c r="I69" i="87"/>
  <c r="D153" i="82"/>
  <c r="G152" i="82"/>
  <c r="E153" i="82"/>
  <c r="F154" i="72"/>
  <c r="G154" i="72" s="1"/>
  <c r="D151" i="83"/>
  <c r="G150" i="83"/>
  <c r="E151" i="83"/>
  <c r="B154" i="63"/>
  <c r="F154" i="63"/>
  <c r="G154" i="63" s="1"/>
  <c r="I72" i="13"/>
  <c r="I73" i="13" s="1"/>
  <c r="I151" i="13"/>
  <c r="H151" i="13"/>
  <c r="J152" i="59"/>
  <c r="H154" i="58"/>
  <c r="H155" i="58" s="1"/>
  <c r="I154" i="58"/>
  <c r="B153" i="66"/>
  <c r="G153" i="59"/>
  <c r="D154" i="59"/>
  <c r="E154" i="59"/>
  <c r="E155" i="59" s="1"/>
  <c r="H154" i="54"/>
  <c r="H155" i="54" s="1"/>
  <c r="I154" i="54"/>
  <c r="B153" i="25"/>
  <c r="F153" i="25"/>
  <c r="D150" i="84"/>
  <c r="E150" i="84" s="1"/>
  <c r="G149" i="84"/>
  <c r="H154" i="67"/>
  <c r="H155" i="67" s="1"/>
  <c r="I154" i="67"/>
  <c r="D150" i="92"/>
  <c r="E150" i="92" s="1"/>
  <c r="G149" i="92"/>
  <c r="D153" i="68"/>
  <c r="G152" i="68"/>
  <c r="E153" i="68"/>
  <c r="G153" i="75"/>
  <c r="D154" i="75"/>
  <c r="E154" i="75" s="1"/>
  <c r="E155" i="75" s="1"/>
  <c r="G149" i="88"/>
  <c r="D150" i="88"/>
  <c r="E150" i="88" s="1"/>
  <c r="H152" i="66"/>
  <c r="I152" i="66"/>
  <c r="F71" i="88"/>
  <c r="H71" i="88" s="1"/>
  <c r="B71" i="88"/>
  <c r="D150" i="91"/>
  <c r="E150" i="91" s="1"/>
  <c r="G149" i="91"/>
  <c r="I150" i="97"/>
  <c r="H150" i="97"/>
  <c r="F152" i="13"/>
  <c r="B152" i="13"/>
  <c r="B70" i="89"/>
  <c r="F70" i="89"/>
  <c r="G151" i="76"/>
  <c r="D152" i="76"/>
  <c r="E152" i="76"/>
  <c r="I152" i="25"/>
  <c r="H152" i="25"/>
  <c r="H152" i="78"/>
  <c r="I152" i="78"/>
  <c r="J153" i="58"/>
  <c r="E153" i="66"/>
  <c r="F153" i="66" s="1"/>
  <c r="G149" i="96"/>
  <c r="D150" i="96"/>
  <c r="E150" i="96" s="1"/>
  <c r="G151" i="79"/>
  <c r="D152" i="79"/>
  <c r="H154" i="53"/>
  <c r="H155" i="53" s="1"/>
  <c r="I154" i="53"/>
  <c r="G149" i="90"/>
  <c r="D150" i="90"/>
  <c r="E150" i="90" s="1"/>
  <c r="F69" i="100"/>
  <c r="G69" i="100" s="1"/>
  <c r="B69" i="100"/>
  <c r="B151" i="97"/>
  <c r="F151" i="97"/>
  <c r="D152" i="77"/>
  <c r="E152" i="77" s="1"/>
  <c r="G151" i="77"/>
  <c r="G151" i="26"/>
  <c r="D152" i="26"/>
  <c r="E152" i="26" s="1"/>
  <c r="D150" i="86"/>
  <c r="E150" i="86" s="1"/>
  <c r="G149" i="86"/>
  <c r="J154" i="62"/>
  <c r="J155" i="62" s="1"/>
  <c r="I155" i="62"/>
  <c r="D150" i="89"/>
  <c r="E150" i="89" s="1"/>
  <c r="G149" i="89"/>
  <c r="J153" i="54"/>
  <c r="I154" i="46"/>
  <c r="H154" i="46"/>
  <c r="H155" i="46" s="1"/>
  <c r="D151" i="81"/>
  <c r="G150" i="81"/>
  <c r="G149" i="98"/>
  <c r="D150" i="98"/>
  <c r="G152" i="65"/>
  <c r="D153" i="65"/>
  <c r="E153" i="65" s="1"/>
  <c r="D151" i="80"/>
  <c r="E151" i="80" s="1"/>
  <c r="G150" i="80"/>
  <c r="B153" i="78"/>
  <c r="F153" i="78"/>
  <c r="J152" i="61"/>
  <c r="J153" i="57"/>
  <c r="G69" i="25"/>
  <c r="I69" i="25" s="1"/>
  <c r="J150" i="26"/>
  <c r="J153" i="46"/>
  <c r="F72" i="75"/>
  <c r="G72" i="75" s="1"/>
  <c r="G73" i="75" s="1"/>
  <c r="B72" i="75"/>
  <c r="H72" i="75"/>
  <c r="F72" i="78"/>
  <c r="H72" i="78" s="1"/>
  <c r="B72" i="78"/>
  <c r="B70" i="87"/>
  <c r="G150" i="99"/>
  <c r="D151" i="99"/>
  <c r="E151" i="99" s="1"/>
  <c r="J150" i="76"/>
  <c r="F70" i="90"/>
  <c r="H70" i="90" s="1"/>
  <c r="B70" i="90"/>
  <c r="E70" i="87"/>
  <c r="F70" i="87" s="1"/>
  <c r="D151" i="100"/>
  <c r="E151" i="100" s="1"/>
  <c r="G150" i="100"/>
  <c r="J151" i="68"/>
  <c r="G153" i="64"/>
  <c r="D154" i="64"/>
  <c r="E154" i="64" s="1"/>
  <c r="E155" i="64" s="1"/>
  <c r="H153" i="63"/>
  <c r="I153" i="63"/>
  <c r="D152" i="95" l="1"/>
  <c r="G151" i="95"/>
  <c r="H73" i="86"/>
  <c r="H69" i="100"/>
  <c r="G69" i="99"/>
  <c r="D70" i="99"/>
  <c r="H69" i="99"/>
  <c r="I69" i="99" s="1"/>
  <c r="E70" i="99"/>
  <c r="H73" i="83"/>
  <c r="I72" i="83"/>
  <c r="I73" i="83" s="1"/>
  <c r="I71" i="95"/>
  <c r="B72" i="92"/>
  <c r="F72" i="92"/>
  <c r="H72" i="92" s="1"/>
  <c r="G72" i="92"/>
  <c r="G73" i="92" s="1"/>
  <c r="D152" i="33"/>
  <c r="G151" i="33"/>
  <c r="B72" i="95"/>
  <c r="F72" i="95"/>
  <c r="H72" i="95" s="1"/>
  <c r="G72" i="78"/>
  <c r="G73" i="78" s="1"/>
  <c r="E72" i="95"/>
  <c r="E73" i="95" s="1"/>
  <c r="F70" i="97"/>
  <c r="H70" i="97" s="1"/>
  <c r="B70" i="97"/>
  <c r="G71" i="98"/>
  <c r="D72" i="98"/>
  <c r="G70" i="90"/>
  <c r="J150" i="33"/>
  <c r="H71" i="98"/>
  <c r="I71" i="98" s="1"/>
  <c r="J152" i="25"/>
  <c r="I72" i="80"/>
  <c r="I73" i="80" s="1"/>
  <c r="H73" i="80"/>
  <c r="G71" i="88"/>
  <c r="I71" i="88" s="1"/>
  <c r="E151" i="87"/>
  <c r="F151" i="87" s="1"/>
  <c r="D152" i="87" s="1"/>
  <c r="I72" i="91"/>
  <c r="I73" i="91" s="1"/>
  <c r="J152" i="66"/>
  <c r="G151" i="87"/>
  <c r="I150" i="87"/>
  <c r="H150" i="87"/>
  <c r="I154" i="60"/>
  <c r="H154" i="60"/>
  <c r="H155" i="60" s="1"/>
  <c r="D154" i="66"/>
  <c r="E154" i="66" s="1"/>
  <c r="E155" i="66" s="1"/>
  <c r="G153" i="66"/>
  <c r="D71" i="87"/>
  <c r="E71" i="87" s="1"/>
  <c r="G70" i="87"/>
  <c r="H70" i="87"/>
  <c r="B152" i="79"/>
  <c r="I149" i="88"/>
  <c r="H149" i="88"/>
  <c r="F154" i="64"/>
  <c r="G154" i="64" s="1"/>
  <c r="B154" i="64"/>
  <c r="H73" i="78"/>
  <c r="I149" i="98"/>
  <c r="H149" i="98"/>
  <c r="F152" i="77"/>
  <c r="B152" i="77"/>
  <c r="H151" i="79"/>
  <c r="I151" i="79"/>
  <c r="B152" i="76"/>
  <c r="F152" i="76"/>
  <c r="J154" i="54"/>
  <c r="J155" i="54" s="1"/>
  <c r="I155" i="54"/>
  <c r="I152" i="82"/>
  <c r="H152" i="82"/>
  <c r="B70" i="25"/>
  <c r="F70" i="25"/>
  <c r="H70" i="25" s="1"/>
  <c r="B150" i="92"/>
  <c r="F150" i="92"/>
  <c r="F151" i="99"/>
  <c r="B151" i="99"/>
  <c r="H153" i="64"/>
  <c r="I153" i="64"/>
  <c r="D71" i="90"/>
  <c r="E71" i="90" s="1"/>
  <c r="H150" i="99"/>
  <c r="I150" i="99"/>
  <c r="I150" i="80"/>
  <c r="H150" i="80"/>
  <c r="J154" i="46"/>
  <c r="J155" i="46" s="1"/>
  <c r="I155" i="46"/>
  <c r="I149" i="86"/>
  <c r="H149" i="86"/>
  <c r="D152" i="97"/>
  <c r="G151" i="97"/>
  <c r="H151" i="76"/>
  <c r="I151" i="76"/>
  <c r="J151" i="76" s="1"/>
  <c r="B154" i="75"/>
  <c r="F154" i="75"/>
  <c r="G154" i="75" s="1"/>
  <c r="J154" i="67"/>
  <c r="J155" i="67" s="1"/>
  <c r="I155" i="67"/>
  <c r="B153" i="82"/>
  <c r="F153" i="82"/>
  <c r="B151" i="81"/>
  <c r="I151" i="77"/>
  <c r="H151" i="77"/>
  <c r="B151" i="80"/>
  <c r="F151" i="80"/>
  <c r="B150" i="86"/>
  <c r="F150" i="86"/>
  <c r="F150" i="90"/>
  <c r="B150" i="90"/>
  <c r="D71" i="89"/>
  <c r="E71" i="89" s="1"/>
  <c r="D72" i="88"/>
  <c r="I153" i="75"/>
  <c r="H153" i="75"/>
  <c r="D70" i="96"/>
  <c r="E70" i="96" s="1"/>
  <c r="B154" i="61"/>
  <c r="F154" i="61"/>
  <c r="G154" i="61" s="1"/>
  <c r="B150" i="98"/>
  <c r="G152" i="13"/>
  <c r="D153" i="13"/>
  <c r="E153" i="13" s="1"/>
  <c r="J154" i="58"/>
  <c r="J155" i="58" s="1"/>
  <c r="I155" i="58"/>
  <c r="I70" i="90"/>
  <c r="I150" i="100"/>
  <c r="H150" i="100"/>
  <c r="H149" i="90"/>
  <c r="I149" i="90"/>
  <c r="J152" i="78"/>
  <c r="G70" i="89"/>
  <c r="I149" i="91"/>
  <c r="H149" i="91"/>
  <c r="F154" i="59"/>
  <c r="G154" i="59" s="1"/>
  <c r="B154" i="59"/>
  <c r="I153" i="61"/>
  <c r="H153" i="61"/>
  <c r="I72" i="75"/>
  <c r="I73" i="75" s="1"/>
  <c r="H73" i="75"/>
  <c r="B153" i="65"/>
  <c r="F153" i="65"/>
  <c r="I149" i="89"/>
  <c r="H149" i="89"/>
  <c r="F152" i="26"/>
  <c r="B152" i="26"/>
  <c r="J154" i="53"/>
  <c r="J155" i="53" s="1"/>
  <c r="I155" i="53"/>
  <c r="F150" i="91"/>
  <c r="B150" i="91"/>
  <c r="H152" i="68"/>
  <c r="I152" i="68"/>
  <c r="J152" i="68" s="1"/>
  <c r="I149" i="84"/>
  <c r="H149" i="84"/>
  <c r="I153" i="59"/>
  <c r="J153" i="59" s="1"/>
  <c r="H153" i="59"/>
  <c r="I150" i="83"/>
  <c r="H150" i="83"/>
  <c r="J154" i="57"/>
  <c r="J155" i="57" s="1"/>
  <c r="I155" i="57"/>
  <c r="G69" i="96"/>
  <c r="I69" i="96" s="1"/>
  <c r="F153" i="85"/>
  <c r="B153" i="85"/>
  <c r="J153" i="63"/>
  <c r="B151" i="100"/>
  <c r="F151" i="100"/>
  <c r="I152" i="65"/>
  <c r="H152" i="65"/>
  <c r="E151" i="81"/>
  <c r="F151" i="81" s="1"/>
  <c r="F150" i="89"/>
  <c r="B150" i="89"/>
  <c r="H151" i="26"/>
  <c r="I151" i="26"/>
  <c r="D70" i="100"/>
  <c r="E70" i="100" s="1"/>
  <c r="F150" i="96"/>
  <c r="B150" i="96"/>
  <c r="H70" i="89"/>
  <c r="I70" i="89" s="1"/>
  <c r="B153" i="68"/>
  <c r="F153" i="68"/>
  <c r="F150" i="84"/>
  <c r="B150" i="84"/>
  <c r="H154" i="63"/>
  <c r="H155" i="63" s="1"/>
  <c r="I154" i="63"/>
  <c r="F151" i="83"/>
  <c r="B151" i="83"/>
  <c r="J154" i="56"/>
  <c r="J155" i="56" s="1"/>
  <c r="I155" i="56"/>
  <c r="H152" i="85"/>
  <c r="I152" i="85"/>
  <c r="D154" i="78"/>
  <c r="G153" i="78"/>
  <c r="E150" i="98"/>
  <c r="F150" i="98" s="1"/>
  <c r="I150" i="81"/>
  <c r="H150" i="81"/>
  <c r="I69" i="100"/>
  <c r="E152" i="79"/>
  <c r="F152" i="79" s="1"/>
  <c r="I149" i="96"/>
  <c r="H149" i="96"/>
  <c r="B150" i="88"/>
  <c r="F150" i="88"/>
  <c r="I149" i="92"/>
  <c r="H149" i="92"/>
  <c r="D154" i="25"/>
  <c r="E154" i="25" s="1"/>
  <c r="E155" i="25" s="1"/>
  <c r="G153" i="25"/>
  <c r="I154" i="72"/>
  <c r="H154" i="72"/>
  <c r="H155" i="72" s="1"/>
  <c r="I72" i="78" l="1"/>
  <c r="I73" i="78" s="1"/>
  <c r="H151" i="95"/>
  <c r="I151" i="95"/>
  <c r="I70" i="87"/>
  <c r="E152" i="95"/>
  <c r="F152" i="95"/>
  <c r="B152" i="95"/>
  <c r="I72" i="92"/>
  <c r="I73" i="92" s="1"/>
  <c r="H73" i="92"/>
  <c r="H151" i="33"/>
  <c r="I151" i="33"/>
  <c r="F70" i="99"/>
  <c r="H70" i="99" s="1"/>
  <c r="B70" i="99"/>
  <c r="D71" i="97"/>
  <c r="E71" i="97"/>
  <c r="F71" i="97" s="1"/>
  <c r="H73" i="95"/>
  <c r="B72" i="98"/>
  <c r="E72" i="98"/>
  <c r="G70" i="97"/>
  <c r="I70" i="97" s="1"/>
  <c r="G72" i="95"/>
  <c r="G73" i="95" s="1"/>
  <c r="E152" i="33"/>
  <c r="F152" i="33"/>
  <c r="B152" i="33"/>
  <c r="I155" i="60"/>
  <c r="J154" i="60"/>
  <c r="J155" i="60" s="1"/>
  <c r="I151" i="87"/>
  <c r="H151" i="87"/>
  <c r="E152" i="87"/>
  <c r="F152" i="87" s="1"/>
  <c r="B152" i="87"/>
  <c r="J153" i="61"/>
  <c r="D153" i="79"/>
  <c r="G152" i="79"/>
  <c r="E153" i="79"/>
  <c r="D152" i="81"/>
  <c r="G151" i="81"/>
  <c r="E152" i="81"/>
  <c r="D151" i="98"/>
  <c r="G150" i="98"/>
  <c r="G151" i="80"/>
  <c r="D152" i="80"/>
  <c r="E152" i="80"/>
  <c r="G150" i="92"/>
  <c r="D151" i="92"/>
  <c r="H153" i="78"/>
  <c r="I153" i="78"/>
  <c r="G150" i="89"/>
  <c r="D151" i="89"/>
  <c r="E151" i="89" s="1"/>
  <c r="G153" i="85"/>
  <c r="D154" i="85"/>
  <c r="E154" i="85" s="1"/>
  <c r="E155" i="85" s="1"/>
  <c r="B152" i="97"/>
  <c r="G150" i="88"/>
  <c r="D151" i="88"/>
  <c r="E151" i="88" s="1"/>
  <c r="B154" i="78"/>
  <c r="D152" i="83"/>
  <c r="E152" i="83" s="1"/>
  <c r="G151" i="83"/>
  <c r="D153" i="26"/>
  <c r="E153" i="26" s="1"/>
  <c r="G152" i="26"/>
  <c r="B70" i="96"/>
  <c r="F70" i="96"/>
  <c r="H70" i="96" s="1"/>
  <c r="F71" i="90"/>
  <c r="H71" i="90" s="1"/>
  <c r="B71" i="90"/>
  <c r="I154" i="64"/>
  <c r="H154" i="64"/>
  <c r="H155" i="64" s="1"/>
  <c r="E154" i="78"/>
  <c r="E155" i="78" s="1"/>
  <c r="J154" i="63"/>
  <c r="J155" i="63" s="1"/>
  <c r="I155" i="63"/>
  <c r="G150" i="96"/>
  <c r="D151" i="96"/>
  <c r="E151" i="96" s="1"/>
  <c r="F153" i="13"/>
  <c r="B153" i="13"/>
  <c r="J151" i="77"/>
  <c r="H154" i="75"/>
  <c r="H155" i="75" s="1"/>
  <c r="I154" i="75"/>
  <c r="D71" i="25"/>
  <c r="E71" i="25" s="1"/>
  <c r="F71" i="87"/>
  <c r="G71" i="87" s="1"/>
  <c r="B71" i="87"/>
  <c r="H153" i="25"/>
  <c r="I153" i="25"/>
  <c r="F70" i="100"/>
  <c r="H70" i="100" s="1"/>
  <c r="B70" i="100"/>
  <c r="J152" i="65"/>
  <c r="H154" i="59"/>
  <c r="H155" i="59" s="1"/>
  <c r="I154" i="59"/>
  <c r="H152" i="13"/>
  <c r="I152" i="13"/>
  <c r="J153" i="75"/>
  <c r="G150" i="90"/>
  <c r="D151" i="90"/>
  <c r="J153" i="64"/>
  <c r="G152" i="76"/>
  <c r="D153" i="76"/>
  <c r="E153" i="76" s="1"/>
  <c r="G152" i="77"/>
  <c r="D153" i="77"/>
  <c r="E153" i="77" s="1"/>
  <c r="I153" i="66"/>
  <c r="H153" i="66"/>
  <c r="I151" i="97"/>
  <c r="H151" i="97"/>
  <c r="D152" i="100"/>
  <c r="E152" i="100" s="1"/>
  <c r="G151" i="100"/>
  <c r="D154" i="65"/>
  <c r="G153" i="65"/>
  <c r="B72" i="88"/>
  <c r="D151" i="86"/>
  <c r="G150" i="86"/>
  <c r="G70" i="25"/>
  <c r="I70" i="25" s="1"/>
  <c r="J154" i="72"/>
  <c r="J155" i="72" s="1"/>
  <c r="I155" i="72"/>
  <c r="B154" i="25"/>
  <c r="F154" i="25"/>
  <c r="G154" i="25" s="1"/>
  <c r="D151" i="84"/>
  <c r="E151" i="84" s="1"/>
  <c r="G150" i="84"/>
  <c r="J151" i="26"/>
  <c r="D151" i="91"/>
  <c r="E151" i="91" s="1"/>
  <c r="G150" i="91"/>
  <c r="E72" i="88"/>
  <c r="E73" i="88" s="1"/>
  <c r="G153" i="82"/>
  <c r="D154" i="82"/>
  <c r="E154" i="82"/>
  <c r="E155" i="82" s="1"/>
  <c r="J151" i="79"/>
  <c r="B154" i="66"/>
  <c r="F154" i="66"/>
  <c r="G154" i="66" s="1"/>
  <c r="G153" i="68"/>
  <c r="D154" i="68"/>
  <c r="I154" i="61"/>
  <c r="H154" i="61"/>
  <c r="H155" i="61" s="1"/>
  <c r="B71" i="89"/>
  <c r="F71" i="89"/>
  <c r="H71" i="89" s="1"/>
  <c r="E152" i="97"/>
  <c r="F152" i="97" s="1"/>
  <c r="G151" i="99"/>
  <c r="D152" i="99"/>
  <c r="E152" i="99" s="1"/>
  <c r="G152" i="95" l="1"/>
  <c r="D153" i="95"/>
  <c r="G71" i="90"/>
  <c r="I72" i="95"/>
  <c r="I73" i="95" s="1"/>
  <c r="D153" i="33"/>
  <c r="G152" i="33"/>
  <c r="E73" i="98"/>
  <c r="F72" i="98"/>
  <c r="D72" i="97"/>
  <c r="E72" i="97" s="1"/>
  <c r="E73" i="97" s="1"/>
  <c r="D71" i="99"/>
  <c r="E71" i="99"/>
  <c r="G70" i="99"/>
  <c r="I70" i="99" s="1"/>
  <c r="B71" i="97"/>
  <c r="G71" i="97"/>
  <c r="H71" i="97"/>
  <c r="I71" i="97" s="1"/>
  <c r="J151" i="33"/>
  <c r="G70" i="100"/>
  <c r="I71" i="90"/>
  <c r="G152" i="87"/>
  <c r="D153" i="87"/>
  <c r="B153" i="87" s="1"/>
  <c r="J153" i="66"/>
  <c r="F154" i="78"/>
  <c r="G154" i="78" s="1"/>
  <c r="D153" i="97"/>
  <c r="E153" i="97" s="1"/>
  <c r="G152" i="97"/>
  <c r="B151" i="92"/>
  <c r="D72" i="89"/>
  <c r="E72" i="89" s="1"/>
  <c r="E73" i="89" s="1"/>
  <c r="H153" i="68"/>
  <c r="I153" i="68"/>
  <c r="B151" i="86"/>
  <c r="H151" i="100"/>
  <c r="I151" i="100"/>
  <c r="F153" i="77"/>
  <c r="B153" i="77"/>
  <c r="I150" i="90"/>
  <c r="H150" i="90"/>
  <c r="D72" i="87"/>
  <c r="E72" i="87" s="1"/>
  <c r="E73" i="87" s="1"/>
  <c r="D71" i="96"/>
  <c r="E71" i="96"/>
  <c r="H154" i="78"/>
  <c r="H155" i="78" s="1"/>
  <c r="I154" i="78"/>
  <c r="H153" i="85"/>
  <c r="I153" i="85"/>
  <c r="H150" i="92"/>
  <c r="I150" i="92"/>
  <c r="B154" i="65"/>
  <c r="G153" i="13"/>
  <c r="D154" i="13"/>
  <c r="E154" i="13" s="1"/>
  <c r="E155" i="13" s="1"/>
  <c r="B151" i="98"/>
  <c r="G71" i="89"/>
  <c r="I154" i="66"/>
  <c r="H154" i="66"/>
  <c r="H155" i="66" s="1"/>
  <c r="I150" i="91"/>
  <c r="H150" i="91"/>
  <c r="I154" i="25"/>
  <c r="H154" i="25"/>
  <c r="H155" i="25" s="1"/>
  <c r="H152" i="77"/>
  <c r="I152" i="77"/>
  <c r="J152" i="77" s="1"/>
  <c r="I70" i="100"/>
  <c r="F151" i="96"/>
  <c r="B151" i="96"/>
  <c r="J154" i="64"/>
  <c r="J155" i="64" s="1"/>
  <c r="I155" i="64"/>
  <c r="E151" i="92"/>
  <c r="F151" i="92" s="1"/>
  <c r="H151" i="81"/>
  <c r="I151" i="81"/>
  <c r="F154" i="85"/>
  <c r="G154" i="85" s="1"/>
  <c r="B154" i="85"/>
  <c r="F151" i="91"/>
  <c r="B151" i="91"/>
  <c r="F152" i="100"/>
  <c r="B152" i="100"/>
  <c r="D71" i="100"/>
  <c r="E71" i="100" s="1"/>
  <c r="F71" i="25"/>
  <c r="B71" i="25"/>
  <c r="H150" i="96"/>
  <c r="I150" i="96"/>
  <c r="I152" i="26"/>
  <c r="H152" i="26"/>
  <c r="B152" i="81"/>
  <c r="F152" i="81"/>
  <c r="B151" i="90"/>
  <c r="B152" i="99"/>
  <c r="F152" i="99"/>
  <c r="I71" i="89"/>
  <c r="F153" i="76"/>
  <c r="B153" i="76"/>
  <c r="J153" i="25"/>
  <c r="J154" i="75"/>
  <c r="J155" i="75" s="1"/>
  <c r="I155" i="75"/>
  <c r="F151" i="88"/>
  <c r="B151" i="88"/>
  <c r="F151" i="89"/>
  <c r="B151" i="89"/>
  <c r="B152" i="80"/>
  <c r="F152" i="80"/>
  <c r="F72" i="88"/>
  <c r="H152" i="76"/>
  <c r="I152" i="76"/>
  <c r="J154" i="59"/>
  <c r="J155" i="59" s="1"/>
  <c r="I155" i="59"/>
  <c r="F153" i="26"/>
  <c r="B153" i="26"/>
  <c r="H150" i="88"/>
  <c r="I150" i="88"/>
  <c r="H150" i="89"/>
  <c r="I150" i="89"/>
  <c r="H151" i="80"/>
  <c r="I151" i="80"/>
  <c r="I152" i="79"/>
  <c r="H152" i="79"/>
  <c r="B154" i="68"/>
  <c r="H150" i="86"/>
  <c r="I150" i="86"/>
  <c r="I151" i="99"/>
  <c r="H151" i="99"/>
  <c r="J154" i="61"/>
  <c r="J155" i="61" s="1"/>
  <c r="I155" i="61"/>
  <c r="F154" i="82"/>
  <c r="G154" i="82" s="1"/>
  <c r="B154" i="82"/>
  <c r="I150" i="84"/>
  <c r="H150" i="84"/>
  <c r="E154" i="65"/>
  <c r="E155" i="65" s="1"/>
  <c r="H71" i="87"/>
  <c r="I71" i="87" s="1"/>
  <c r="D72" i="90"/>
  <c r="J153" i="78"/>
  <c r="E151" i="98"/>
  <c r="F151" i="98" s="1"/>
  <c r="F153" i="79"/>
  <c r="B153" i="79"/>
  <c r="F152" i="83"/>
  <c r="B152" i="83"/>
  <c r="E154" i="68"/>
  <c r="E155" i="68" s="1"/>
  <c r="I153" i="82"/>
  <c r="H153" i="82"/>
  <c r="F151" i="84"/>
  <c r="B151" i="84"/>
  <c r="E151" i="86"/>
  <c r="F151" i="86" s="1"/>
  <c r="I153" i="65"/>
  <c r="H153" i="65"/>
  <c r="E151" i="90"/>
  <c r="F151" i="90" s="1"/>
  <c r="G70" i="96"/>
  <c r="I70" i="96" s="1"/>
  <c r="H151" i="83"/>
  <c r="I151" i="83"/>
  <c r="H150" i="98"/>
  <c r="I150" i="98"/>
  <c r="E153" i="95" l="1"/>
  <c r="F153" i="95"/>
  <c r="B153" i="95"/>
  <c r="I152" i="95"/>
  <c r="H152" i="95"/>
  <c r="B72" i="97"/>
  <c r="F72" i="97"/>
  <c r="G72" i="97" s="1"/>
  <c r="G73" i="97" s="1"/>
  <c r="H72" i="97"/>
  <c r="H73" i="97" s="1"/>
  <c r="E153" i="33"/>
  <c r="F153" i="33" s="1"/>
  <c r="B153" i="33"/>
  <c r="I152" i="33"/>
  <c r="H152" i="33"/>
  <c r="G72" i="98"/>
  <c r="G73" i="98" s="1"/>
  <c r="H72" i="98"/>
  <c r="J153" i="65"/>
  <c r="F71" i="99"/>
  <c r="B71" i="99"/>
  <c r="E153" i="87"/>
  <c r="F153" i="87" s="1"/>
  <c r="D154" i="87" s="1"/>
  <c r="F154" i="65"/>
  <c r="G154" i="65" s="1"/>
  <c r="H152" i="87"/>
  <c r="I152" i="87"/>
  <c r="G151" i="98"/>
  <c r="D152" i="98"/>
  <c r="E152" i="98" s="1"/>
  <c r="G151" i="90"/>
  <c r="D152" i="90"/>
  <c r="E152" i="90" s="1"/>
  <c r="G151" i="86"/>
  <c r="D152" i="86"/>
  <c r="G151" i="92"/>
  <c r="D152" i="92"/>
  <c r="J152" i="79"/>
  <c r="F72" i="89"/>
  <c r="H72" i="89" s="1"/>
  <c r="B72" i="89"/>
  <c r="D153" i="99"/>
  <c r="G152" i="99"/>
  <c r="J152" i="26"/>
  <c r="F71" i="100"/>
  <c r="G71" i="100" s="1"/>
  <c r="B71" i="100"/>
  <c r="D154" i="77"/>
  <c r="G153" i="77"/>
  <c r="G153" i="79"/>
  <c r="D154" i="79"/>
  <c r="E154" i="79" s="1"/>
  <c r="E155" i="79" s="1"/>
  <c r="H154" i="85"/>
  <c r="H155" i="85" s="1"/>
  <c r="I154" i="85"/>
  <c r="I155" i="85" s="1"/>
  <c r="J154" i="66"/>
  <c r="J155" i="66" s="1"/>
  <c r="I155" i="66"/>
  <c r="F71" i="96"/>
  <c r="G71" i="96" s="1"/>
  <c r="B71" i="96"/>
  <c r="J152" i="76"/>
  <c r="G151" i="88"/>
  <c r="D152" i="88"/>
  <c r="E152" i="88" s="1"/>
  <c r="B72" i="87"/>
  <c r="F72" i="87"/>
  <c r="G72" i="87" s="1"/>
  <c r="G73" i="87" s="1"/>
  <c r="G151" i="96"/>
  <c r="D152" i="96"/>
  <c r="H154" i="65"/>
  <c r="H155" i="65" s="1"/>
  <c r="I154" i="65"/>
  <c r="G153" i="26"/>
  <c r="D154" i="26"/>
  <c r="E154" i="26" s="1"/>
  <c r="E155" i="26" s="1"/>
  <c r="G153" i="76"/>
  <c r="D154" i="76"/>
  <c r="I154" i="82"/>
  <c r="I155" i="82" s="1"/>
  <c r="H154" i="82"/>
  <c r="H155" i="82" s="1"/>
  <c r="D153" i="100"/>
  <c r="E153" i="100" s="1"/>
  <c r="G152" i="100"/>
  <c r="J154" i="25"/>
  <c r="J155" i="25" s="1"/>
  <c r="I155" i="25"/>
  <c r="D152" i="84"/>
  <c r="E152" i="84" s="1"/>
  <c r="G151" i="84"/>
  <c r="D153" i="81"/>
  <c r="E153" i="81" s="1"/>
  <c r="G152" i="81"/>
  <c r="D72" i="25"/>
  <c r="G71" i="25"/>
  <c r="G151" i="89"/>
  <c r="D152" i="89"/>
  <c r="E152" i="89" s="1"/>
  <c r="B72" i="90"/>
  <c r="G72" i="88"/>
  <c r="G73" i="88" s="1"/>
  <c r="H72" i="88"/>
  <c r="H71" i="25"/>
  <c r="I71" i="25" s="1"/>
  <c r="B154" i="13"/>
  <c r="F154" i="13"/>
  <c r="G154" i="13" s="1"/>
  <c r="I152" i="97"/>
  <c r="H152" i="97"/>
  <c r="G152" i="83"/>
  <c r="D153" i="83"/>
  <c r="E153" i="83" s="1"/>
  <c r="E72" i="90"/>
  <c r="E73" i="90" s="1"/>
  <c r="F154" i="68"/>
  <c r="G154" i="68" s="1"/>
  <c r="D153" i="80"/>
  <c r="G152" i="80"/>
  <c r="G151" i="91"/>
  <c r="D152" i="91"/>
  <c r="E152" i="91" s="1"/>
  <c r="I153" i="13"/>
  <c r="H153" i="13"/>
  <c r="J154" i="78"/>
  <c r="J155" i="78" s="1"/>
  <c r="I155" i="78"/>
  <c r="J153" i="68"/>
  <c r="F153" i="97"/>
  <c r="B153" i="97"/>
  <c r="D154" i="95" l="1"/>
  <c r="G153" i="95"/>
  <c r="D154" i="33"/>
  <c r="G153" i="33"/>
  <c r="G153" i="87"/>
  <c r="H153" i="87" s="1"/>
  <c r="I72" i="98"/>
  <c r="I73" i="98" s="1"/>
  <c r="H73" i="98"/>
  <c r="I72" i="97"/>
  <c r="I73" i="97" s="1"/>
  <c r="J152" i="33"/>
  <c r="G72" i="89"/>
  <c r="G73" i="89" s="1"/>
  <c r="G71" i="99"/>
  <c r="D72" i="99"/>
  <c r="H71" i="99"/>
  <c r="H71" i="96"/>
  <c r="I153" i="87"/>
  <c r="E154" i="87"/>
  <c r="E155" i="87" s="1"/>
  <c r="B154" i="87"/>
  <c r="H152" i="80"/>
  <c r="I152" i="80"/>
  <c r="B154" i="76"/>
  <c r="B152" i="96"/>
  <c r="H151" i="88"/>
  <c r="I151" i="88"/>
  <c r="H153" i="77"/>
  <c r="I153" i="77"/>
  <c r="J153" i="77" s="1"/>
  <c r="H152" i="99"/>
  <c r="I152" i="99"/>
  <c r="B152" i="86"/>
  <c r="B153" i="80"/>
  <c r="H154" i="13"/>
  <c r="H155" i="13" s="1"/>
  <c r="I154" i="13"/>
  <c r="I155" i="13" s="1"/>
  <c r="H152" i="81"/>
  <c r="I152" i="81"/>
  <c r="I152" i="100"/>
  <c r="H152" i="100"/>
  <c r="I153" i="76"/>
  <c r="H153" i="76"/>
  <c r="I151" i="96"/>
  <c r="H151" i="96"/>
  <c r="B154" i="77"/>
  <c r="B153" i="99"/>
  <c r="H151" i="86"/>
  <c r="I151" i="86"/>
  <c r="F152" i="89"/>
  <c r="B152" i="89"/>
  <c r="B154" i="26"/>
  <c r="F154" i="26"/>
  <c r="G154" i="26" s="1"/>
  <c r="H72" i="87"/>
  <c r="B154" i="79"/>
  <c r="F154" i="79"/>
  <c r="G154" i="79" s="1"/>
  <c r="D72" i="100"/>
  <c r="F152" i="90"/>
  <c r="B152" i="90"/>
  <c r="F153" i="81"/>
  <c r="B153" i="81"/>
  <c r="I72" i="88"/>
  <c r="I73" i="88" s="1"/>
  <c r="H73" i="88"/>
  <c r="I151" i="89"/>
  <c r="H151" i="89"/>
  <c r="I151" i="84"/>
  <c r="H151" i="84"/>
  <c r="H153" i="26"/>
  <c r="I153" i="26"/>
  <c r="I71" i="96"/>
  <c r="I153" i="79"/>
  <c r="H153" i="79"/>
  <c r="B152" i="92"/>
  <c r="H151" i="90"/>
  <c r="I151" i="90"/>
  <c r="F152" i="91"/>
  <c r="B152" i="91"/>
  <c r="F153" i="83"/>
  <c r="B153" i="83"/>
  <c r="F152" i="84"/>
  <c r="B152" i="84"/>
  <c r="J154" i="65"/>
  <c r="J155" i="65" s="1"/>
  <c r="I155" i="65"/>
  <c r="D72" i="96"/>
  <c r="E72" i="96" s="1"/>
  <c r="E73" i="96" s="1"/>
  <c r="H71" i="100"/>
  <c r="I71" i="100" s="1"/>
  <c r="I72" i="89"/>
  <c r="I73" i="89" s="1"/>
  <c r="H73" i="89"/>
  <c r="E152" i="92"/>
  <c r="F152" i="92" s="1"/>
  <c r="I154" i="68"/>
  <c r="H154" i="68"/>
  <c r="H155" i="68" s="1"/>
  <c r="H151" i="91"/>
  <c r="I151" i="91"/>
  <c r="I152" i="83"/>
  <c r="H152" i="83"/>
  <c r="B72" i="25"/>
  <c r="I151" i="92"/>
  <c r="H151" i="92"/>
  <c r="B152" i="98"/>
  <c r="F152" i="98"/>
  <c r="B153" i="100"/>
  <c r="F153" i="100"/>
  <c r="G153" i="97"/>
  <c r="D154" i="97"/>
  <c r="E154" i="97" s="1"/>
  <c r="E155" i="97" s="1"/>
  <c r="E153" i="80"/>
  <c r="F153" i="80" s="1"/>
  <c r="F72" i="90"/>
  <c r="E72" i="25"/>
  <c r="E73" i="25" s="1"/>
  <c r="E154" i="76"/>
  <c r="E155" i="76" s="1"/>
  <c r="E152" i="96"/>
  <c r="F152" i="96" s="1"/>
  <c r="B152" i="88"/>
  <c r="F152" i="88"/>
  <c r="E154" i="77"/>
  <c r="E155" i="77" s="1"/>
  <c r="E153" i="99"/>
  <c r="F153" i="99" s="1"/>
  <c r="E152" i="86"/>
  <c r="F152" i="86" s="1"/>
  <c r="I151" i="98"/>
  <c r="H151" i="98"/>
  <c r="I153" i="95" l="1"/>
  <c r="H153" i="95"/>
  <c r="I71" i="99"/>
  <c r="E154" i="95"/>
  <c r="E155" i="95" s="1"/>
  <c r="B154" i="95"/>
  <c r="E72" i="99"/>
  <c r="E73" i="99" s="1"/>
  <c r="B72" i="99"/>
  <c r="I153" i="33"/>
  <c r="H153" i="33"/>
  <c r="F72" i="99"/>
  <c r="F154" i="87"/>
  <c r="G154" i="87" s="1"/>
  <c r="H154" i="87" s="1"/>
  <c r="H155" i="87" s="1"/>
  <c r="E154" i="33"/>
  <c r="E155" i="33" s="1"/>
  <c r="F154" i="33"/>
  <c r="G154" i="33" s="1"/>
  <c r="B154" i="33"/>
  <c r="F72" i="25"/>
  <c r="J153" i="26"/>
  <c r="J153" i="79"/>
  <c r="G152" i="96"/>
  <c r="D153" i="96"/>
  <c r="E153" i="96" s="1"/>
  <c r="G152" i="92"/>
  <c r="D153" i="92"/>
  <c r="E153" i="92" s="1"/>
  <c r="I72" i="87"/>
  <c r="I73" i="87" s="1"/>
  <c r="H73" i="87"/>
  <c r="G153" i="99"/>
  <c r="D154" i="99"/>
  <c r="E154" i="99" s="1"/>
  <c r="E155" i="99" s="1"/>
  <c r="G152" i="86"/>
  <c r="D153" i="86"/>
  <c r="E153" i="86" s="1"/>
  <c r="F154" i="97"/>
  <c r="G154" i="97" s="1"/>
  <c r="B154" i="97"/>
  <c r="G153" i="81"/>
  <c r="D154" i="81"/>
  <c r="E154" i="81" s="1"/>
  <c r="E155" i="81" s="1"/>
  <c r="H154" i="26"/>
  <c r="H155" i="26" s="1"/>
  <c r="I154" i="26"/>
  <c r="J153" i="76"/>
  <c r="F154" i="76"/>
  <c r="G154" i="76" s="1"/>
  <c r="G152" i="91"/>
  <c r="D153" i="91"/>
  <c r="E153" i="91" s="1"/>
  <c r="G152" i="98"/>
  <c r="D153" i="98"/>
  <c r="E153" i="98"/>
  <c r="F154" i="77"/>
  <c r="G154" i="77" s="1"/>
  <c r="D154" i="83"/>
  <c r="E154" i="83" s="1"/>
  <c r="E155" i="83" s="1"/>
  <c r="G153" i="83"/>
  <c r="D154" i="80"/>
  <c r="E154" i="80" s="1"/>
  <c r="E155" i="80" s="1"/>
  <c r="G153" i="80"/>
  <c r="D153" i="88"/>
  <c r="G152" i="88"/>
  <c r="J154" i="68"/>
  <c r="J155" i="68" s="1"/>
  <c r="I155" i="68"/>
  <c r="G72" i="90"/>
  <c r="G73" i="90" s="1"/>
  <c r="H72" i="90"/>
  <c r="G152" i="84"/>
  <c r="D153" i="84"/>
  <c r="E153" i="84" s="1"/>
  <c r="B72" i="100"/>
  <c r="D153" i="89"/>
  <c r="E153" i="89" s="1"/>
  <c r="G152" i="89"/>
  <c r="H154" i="79"/>
  <c r="H155" i="79" s="1"/>
  <c r="I154" i="79"/>
  <c r="I153" i="97"/>
  <c r="H153" i="97"/>
  <c r="F72" i="96"/>
  <c r="H72" i="96" s="1"/>
  <c r="B72" i="96"/>
  <c r="D154" i="100"/>
  <c r="G153" i="100"/>
  <c r="D153" i="90"/>
  <c r="E153" i="90" s="1"/>
  <c r="G152" i="90"/>
  <c r="E72" i="100"/>
  <c r="E73" i="100" s="1"/>
  <c r="H72" i="99"/>
  <c r="G72" i="99"/>
  <c r="G73" i="99" s="1"/>
  <c r="I154" i="87" l="1"/>
  <c r="I155" i="87" s="1"/>
  <c r="F154" i="95"/>
  <c r="G154" i="95" s="1"/>
  <c r="J153" i="33"/>
  <c r="I154" i="33"/>
  <c r="H154" i="33"/>
  <c r="H155" i="33" s="1"/>
  <c r="G72" i="96"/>
  <c r="G73" i="96" s="1"/>
  <c r="H72" i="25"/>
  <c r="G72" i="25"/>
  <c r="G73" i="25" s="1"/>
  <c r="H73" i="96"/>
  <c r="I72" i="99"/>
  <c r="I73" i="99" s="1"/>
  <c r="H73" i="99"/>
  <c r="B153" i="92"/>
  <c r="F153" i="92"/>
  <c r="H152" i="89"/>
  <c r="I152" i="89"/>
  <c r="I152" i="84"/>
  <c r="H152" i="84"/>
  <c r="F153" i="98"/>
  <c r="B153" i="98"/>
  <c r="H152" i="86"/>
  <c r="I152" i="86"/>
  <c r="H152" i="92"/>
  <c r="I152" i="92"/>
  <c r="I154" i="77"/>
  <c r="H154" i="77"/>
  <c r="H155" i="77" s="1"/>
  <c r="B153" i="86"/>
  <c r="F153" i="86"/>
  <c r="F153" i="89"/>
  <c r="B153" i="89"/>
  <c r="I72" i="90"/>
  <c r="I73" i="90" s="1"/>
  <c r="H73" i="90"/>
  <c r="I153" i="80"/>
  <c r="H153" i="80"/>
  <c r="H152" i="98"/>
  <c r="I152" i="98"/>
  <c r="B153" i="84"/>
  <c r="F153" i="84"/>
  <c r="H152" i="90"/>
  <c r="I152" i="90"/>
  <c r="F154" i="80"/>
  <c r="G154" i="80" s="1"/>
  <c r="B154" i="80"/>
  <c r="B154" i="81"/>
  <c r="F154" i="81"/>
  <c r="G154" i="81" s="1"/>
  <c r="F154" i="99"/>
  <c r="G154" i="99" s="1"/>
  <c r="B154" i="99"/>
  <c r="F153" i="96"/>
  <c r="B153" i="96"/>
  <c r="B154" i="100"/>
  <c r="I152" i="88"/>
  <c r="H152" i="88"/>
  <c r="B153" i="88"/>
  <c r="J154" i="26"/>
  <c r="J155" i="26" s="1"/>
  <c r="I155" i="26"/>
  <c r="B153" i="90"/>
  <c r="F153" i="90"/>
  <c r="B153" i="91"/>
  <c r="F153" i="91"/>
  <c r="I153" i="81"/>
  <c r="H153" i="81"/>
  <c r="I153" i="99"/>
  <c r="H153" i="99"/>
  <c r="I152" i="96"/>
  <c r="H152" i="96"/>
  <c r="I153" i="100"/>
  <c r="H153" i="100"/>
  <c r="F72" i="100"/>
  <c r="I153" i="83"/>
  <c r="H153" i="83"/>
  <c r="I152" i="91"/>
  <c r="H152" i="91"/>
  <c r="E154" i="100"/>
  <c r="E155" i="100" s="1"/>
  <c r="J154" i="79"/>
  <c r="J155" i="79" s="1"/>
  <c r="I155" i="79"/>
  <c r="E153" i="88"/>
  <c r="F153" i="88" s="1"/>
  <c r="B154" i="83"/>
  <c r="F154" i="83"/>
  <c r="G154" i="83" s="1"/>
  <c r="H154" i="76"/>
  <c r="H155" i="76" s="1"/>
  <c r="I154" i="76"/>
  <c r="I154" i="97"/>
  <c r="I155" i="97" s="1"/>
  <c r="H154" i="97"/>
  <c r="H155" i="97" s="1"/>
  <c r="H154" i="95" l="1"/>
  <c r="H155" i="95" s="1"/>
  <c r="I154" i="95"/>
  <c r="I155" i="95" s="1"/>
  <c r="I72" i="96"/>
  <c r="I73" i="96" s="1"/>
  <c r="J154" i="33"/>
  <c r="J155" i="33" s="1"/>
  <c r="I155" i="33"/>
  <c r="I72" i="25"/>
  <c r="I73" i="25" s="1"/>
  <c r="H73" i="25"/>
  <c r="G153" i="88"/>
  <c r="D154" i="88"/>
  <c r="E154" i="88" s="1"/>
  <c r="E155" i="88" s="1"/>
  <c r="D154" i="96"/>
  <c r="E154" i="96" s="1"/>
  <c r="E155" i="96" s="1"/>
  <c r="G153" i="96"/>
  <c r="G153" i="84"/>
  <c r="D154" i="84"/>
  <c r="G153" i="92"/>
  <c r="D154" i="92"/>
  <c r="E154" i="92"/>
  <c r="E155" i="92" s="1"/>
  <c r="G72" i="100"/>
  <c r="G73" i="100" s="1"/>
  <c r="H72" i="100"/>
  <c r="I154" i="99"/>
  <c r="I155" i="99" s="1"/>
  <c r="H154" i="99"/>
  <c r="H155" i="99" s="1"/>
  <c r="D154" i="89"/>
  <c r="E154" i="89" s="1"/>
  <c r="E155" i="89" s="1"/>
  <c r="G153" i="89"/>
  <c r="G153" i="91"/>
  <c r="D154" i="91"/>
  <c r="E154" i="91" s="1"/>
  <c r="E155" i="91" s="1"/>
  <c r="H154" i="81"/>
  <c r="H155" i="81" s="1"/>
  <c r="I154" i="81"/>
  <c r="I155" i="81" s="1"/>
  <c r="D154" i="86"/>
  <c r="E154" i="86" s="1"/>
  <c r="E155" i="86" s="1"/>
  <c r="G153" i="86"/>
  <c r="G153" i="98"/>
  <c r="D154" i="98"/>
  <c r="E154" i="98" s="1"/>
  <c r="E155" i="98" s="1"/>
  <c r="H154" i="83"/>
  <c r="H155" i="83" s="1"/>
  <c r="I154" i="83"/>
  <c r="I155" i="83" s="1"/>
  <c r="G153" i="90"/>
  <c r="D154" i="90"/>
  <c r="E154" i="90" s="1"/>
  <c r="E155" i="90" s="1"/>
  <c r="F154" i="100"/>
  <c r="G154" i="100" s="1"/>
  <c r="J154" i="76"/>
  <c r="J155" i="76" s="1"/>
  <c r="I155" i="76"/>
  <c r="I154" i="80"/>
  <c r="I155" i="80" s="1"/>
  <c r="H154" i="80"/>
  <c r="H155" i="80" s="1"/>
  <c r="J154" i="77"/>
  <c r="J155" i="77" s="1"/>
  <c r="I155" i="77"/>
  <c r="H153" i="84" l="1"/>
  <c r="I153" i="84"/>
  <c r="I72" i="100"/>
  <c r="I73" i="100" s="1"/>
  <c r="H73" i="100"/>
  <c r="B154" i="98"/>
  <c r="F154" i="98"/>
  <c r="G154" i="98" s="1"/>
  <c r="B154" i="91"/>
  <c r="F154" i="91"/>
  <c r="G154" i="91" s="1"/>
  <c r="H153" i="96"/>
  <c r="I153" i="96"/>
  <c r="I154" i="100"/>
  <c r="I155" i="100" s="1"/>
  <c r="H154" i="100"/>
  <c r="H155" i="100" s="1"/>
  <c r="H153" i="98"/>
  <c r="I153" i="98"/>
  <c r="H153" i="91"/>
  <c r="I153" i="91"/>
  <c r="F154" i="96"/>
  <c r="G154" i="96" s="1"/>
  <c r="B154" i="96"/>
  <c r="B154" i="92"/>
  <c r="F154" i="92"/>
  <c r="G154" i="92" s="1"/>
  <c r="B154" i="90"/>
  <c r="F154" i="90"/>
  <c r="G154" i="90" s="1"/>
  <c r="I153" i="86"/>
  <c r="H153" i="86"/>
  <c r="I153" i="89"/>
  <c r="H153" i="89"/>
  <c r="I153" i="92"/>
  <c r="H153" i="92"/>
  <c r="B154" i="88"/>
  <c r="F154" i="88"/>
  <c r="G154" i="88" s="1"/>
  <c r="B154" i="84"/>
  <c r="H153" i="90"/>
  <c r="I153" i="90"/>
  <c r="F154" i="86"/>
  <c r="G154" i="86" s="1"/>
  <c r="B154" i="86"/>
  <c r="F154" i="89"/>
  <c r="G154" i="89" s="1"/>
  <c r="B154" i="89"/>
  <c r="E154" i="84"/>
  <c r="E155" i="84" s="1"/>
  <c r="I153" i="88"/>
  <c r="H153" i="88"/>
  <c r="H154" i="88" l="1"/>
  <c r="H155" i="88" s="1"/>
  <c r="I154" i="88"/>
  <c r="I155" i="88" s="1"/>
  <c r="I154" i="90"/>
  <c r="I155" i="90" s="1"/>
  <c r="H154" i="90"/>
  <c r="H155" i="90" s="1"/>
  <c r="I154" i="98"/>
  <c r="I155" i="98" s="1"/>
  <c r="H154" i="98"/>
  <c r="H155" i="98" s="1"/>
  <c r="H154" i="89"/>
  <c r="H155" i="89" s="1"/>
  <c r="I154" i="89"/>
  <c r="I155" i="89" s="1"/>
  <c r="I154" i="92"/>
  <c r="I155" i="92" s="1"/>
  <c r="H154" i="92"/>
  <c r="H155" i="92" s="1"/>
  <c r="F154" i="84"/>
  <c r="G154" i="84" s="1"/>
  <c r="H154" i="86"/>
  <c r="H155" i="86" s="1"/>
  <c r="I154" i="86"/>
  <c r="I155" i="86" s="1"/>
  <c r="I154" i="91"/>
  <c r="I155" i="91" s="1"/>
  <c r="H154" i="91"/>
  <c r="H155" i="91" s="1"/>
  <c r="H154" i="96"/>
  <c r="H155" i="96" s="1"/>
  <c r="I154" i="96"/>
  <c r="I155" i="96" s="1"/>
  <c r="I154" i="84" l="1"/>
  <c r="I155" i="84" s="1"/>
  <c r="H154" i="84"/>
  <c r="H155" i="84" s="1"/>
  <c r="K94" i="36" l="1"/>
  <c r="L18" i="36"/>
  <c r="V18" i="36" s="1"/>
  <c r="V93" i="36" l="1"/>
  <c r="L93" i="36"/>
  <c r="Q59" i="36" l="1"/>
  <c r="R59" i="36" s="1"/>
  <c r="T59" i="36" s="1"/>
  <c r="Q85" i="36"/>
  <c r="R85" i="36" s="1"/>
  <c r="T85" i="36" s="1"/>
  <c r="Q61" i="36"/>
  <c r="R61" i="36" s="1"/>
  <c r="T61" i="36" s="1"/>
  <c r="Q54" i="36"/>
  <c r="R54" i="36" s="1"/>
  <c r="T54" i="36" s="1"/>
  <c r="Q47" i="36"/>
  <c r="R47" i="36" s="1"/>
  <c r="T47" i="36" s="1"/>
  <c r="Q42" i="36"/>
  <c r="R42" i="36" s="1"/>
  <c r="T42" i="36" s="1"/>
  <c r="Q78" i="36"/>
  <c r="R78" i="36" s="1"/>
  <c r="T78" i="36" s="1"/>
  <c r="Q64" i="36"/>
  <c r="R64" i="36" s="1"/>
  <c r="T64" i="36" s="1"/>
  <c r="Q70" i="36"/>
  <c r="R70" i="36" s="1"/>
  <c r="T70" i="36" s="1"/>
  <c r="Q31" i="36"/>
  <c r="R31" i="36" s="1"/>
  <c r="T31" i="36" s="1"/>
  <c r="Q30" i="36"/>
  <c r="R30" i="36" s="1"/>
  <c r="T30" i="36" s="1"/>
  <c r="Q83" i="36"/>
  <c r="R83" i="36" s="1"/>
  <c r="T83" i="36" s="1"/>
  <c r="Q79" i="36"/>
  <c r="R79" i="36" s="1"/>
  <c r="T79" i="36" s="1"/>
  <c r="Q66" i="36"/>
  <c r="R66" i="36" s="1"/>
  <c r="T66" i="36" s="1"/>
  <c r="Q67" i="36"/>
  <c r="R67" i="36" s="1"/>
  <c r="T67" i="36" s="1"/>
  <c r="Q88" i="36"/>
  <c r="R88" i="36" s="1"/>
  <c r="T88" i="36" s="1"/>
  <c r="Q53" i="36"/>
  <c r="R53" i="36" s="1"/>
  <c r="T53" i="36" s="1"/>
  <c r="Q35" i="36"/>
  <c r="R35" i="36" s="1"/>
  <c r="T35" i="36" s="1"/>
  <c r="Q48" i="36"/>
  <c r="R48" i="36" s="1"/>
  <c r="T48" i="36" s="1"/>
  <c r="Q86" i="36"/>
  <c r="R86" i="36" s="1"/>
  <c r="T86" i="36" s="1"/>
  <c r="Q74" i="36"/>
  <c r="R74" i="36" s="1"/>
  <c r="T74" i="36" s="1"/>
  <c r="Q32" i="36"/>
  <c r="R32" i="36" s="1"/>
  <c r="T32" i="36" s="1"/>
  <c r="Q43" i="36"/>
  <c r="R43" i="36" s="1"/>
  <c r="T43" i="36" s="1"/>
  <c r="Q90" i="36"/>
  <c r="R90" i="36" s="1"/>
  <c r="T90" i="36" s="1"/>
  <c r="Q34" i="36"/>
  <c r="R34" i="36" s="1"/>
  <c r="T34" i="36" s="1"/>
  <c r="Q73" i="36"/>
  <c r="R73" i="36" s="1"/>
  <c r="T73" i="36" s="1"/>
  <c r="Q27" i="36"/>
  <c r="R27" i="36" s="1"/>
  <c r="T27" i="36" s="1"/>
  <c r="Q89" i="36"/>
  <c r="R89" i="36" s="1"/>
  <c r="T89" i="36" s="1"/>
  <c r="Q81" i="36"/>
  <c r="R81" i="36" s="1"/>
  <c r="T81" i="36" s="1"/>
  <c r="Q25" i="36"/>
  <c r="R25" i="36" s="1"/>
  <c r="T25" i="36" s="1"/>
  <c r="Q60" i="36"/>
  <c r="R60" i="36" s="1"/>
  <c r="T60" i="36" s="1"/>
  <c r="Q87" i="36"/>
  <c r="R87" i="36" s="1"/>
  <c r="T87" i="36" s="1"/>
  <c r="Q56" i="36"/>
  <c r="R56" i="36" s="1"/>
  <c r="T56" i="36" s="1"/>
  <c r="Q40" i="36"/>
  <c r="R40" i="36" s="1"/>
  <c r="T40" i="36" s="1"/>
  <c r="Q82" i="36"/>
  <c r="R82" i="36" s="1"/>
  <c r="T82" i="36" s="1"/>
  <c r="Q58" i="36"/>
  <c r="R58" i="36" s="1"/>
  <c r="T58" i="36" s="1"/>
  <c r="Q36" i="36"/>
  <c r="R36" i="36" s="1"/>
  <c r="T36" i="36" s="1"/>
  <c r="Q84" i="36"/>
  <c r="R84" i="36" s="1"/>
  <c r="T84" i="36" s="1"/>
  <c r="Q76" i="36"/>
  <c r="R76" i="36" s="1"/>
  <c r="T76" i="36" s="1"/>
  <c r="Q50" i="36"/>
  <c r="R50" i="36" s="1"/>
  <c r="T50" i="36" s="1"/>
  <c r="Q23" i="36"/>
  <c r="R23" i="36" s="1"/>
  <c r="T23" i="36" s="1"/>
  <c r="Q24" i="36"/>
  <c r="R24" i="36" s="1"/>
  <c r="T24" i="36" s="1"/>
  <c r="Q68" i="36"/>
  <c r="R68" i="36" s="1"/>
  <c r="T68" i="36" s="1"/>
  <c r="Q44" i="36"/>
  <c r="R44" i="36" s="1"/>
  <c r="T44" i="36" s="1"/>
  <c r="Q29" i="36"/>
  <c r="R29" i="36" s="1"/>
  <c r="T29" i="36" s="1"/>
  <c r="Q63" i="36"/>
  <c r="R63" i="36" s="1"/>
  <c r="T63" i="36" s="1"/>
  <c r="Q57" i="36"/>
  <c r="R57" i="36" s="1"/>
  <c r="T57" i="36" s="1"/>
  <c r="Q28" i="36"/>
  <c r="R28" i="36" s="1"/>
  <c r="T28" i="36" s="1"/>
  <c r="Q45" i="36"/>
  <c r="R45" i="36" s="1"/>
  <c r="T45" i="36" s="1"/>
  <c r="Q26" i="36"/>
  <c r="R26" i="36" s="1"/>
  <c r="T26" i="36" s="1"/>
  <c r="Q71" i="36"/>
  <c r="R71" i="36" s="1"/>
  <c r="T71" i="36" s="1"/>
  <c r="Q46" i="36"/>
  <c r="R46" i="36" s="1"/>
  <c r="T46" i="36" s="1"/>
  <c r="Q37" i="36"/>
  <c r="R37" i="36" s="1"/>
  <c r="T37" i="36" s="1"/>
  <c r="Q72" i="36"/>
  <c r="R72" i="36" s="1"/>
  <c r="T72" i="36" s="1"/>
  <c r="Q80" i="36"/>
  <c r="R80" i="36" s="1"/>
  <c r="T80" i="36" s="1"/>
  <c r="Q52" i="36"/>
  <c r="R52" i="36" s="1"/>
  <c r="T52" i="36" s="1"/>
  <c r="Q49" i="36"/>
  <c r="R49" i="36" s="1"/>
  <c r="T49" i="36" s="1"/>
  <c r="Q77" i="36"/>
  <c r="R77" i="36" s="1"/>
  <c r="T77" i="36" s="1"/>
  <c r="Q21" i="36"/>
  <c r="R21" i="36" s="1"/>
  <c r="T21" i="36" s="1"/>
  <c r="Q41" i="36"/>
  <c r="R41" i="36" s="1"/>
  <c r="T41" i="36" s="1"/>
  <c r="Q20" i="36"/>
  <c r="R20" i="36" s="1"/>
  <c r="T20" i="36" s="1"/>
  <c r="Q38" i="36"/>
  <c r="R38" i="36" s="1"/>
  <c r="T38" i="36" s="1"/>
  <c r="Q62" i="36"/>
  <c r="R62" i="36" s="1"/>
  <c r="T62" i="36" s="1"/>
  <c r="Q69" i="36"/>
  <c r="R69" i="36" s="1"/>
  <c r="T69" i="36" s="1"/>
  <c r="Q51" i="36"/>
  <c r="R51" i="36" s="1"/>
  <c r="T51" i="36" s="1"/>
  <c r="Q19" i="36"/>
  <c r="R19" i="36" s="1"/>
  <c r="T19" i="36" s="1"/>
  <c r="Q75" i="36"/>
  <c r="R75" i="36" s="1"/>
  <c r="T75" i="36" s="1"/>
  <c r="Q33" i="36"/>
  <c r="R33" i="36" s="1"/>
  <c r="T33" i="36" s="1"/>
  <c r="Q22" i="36"/>
  <c r="R22" i="36" s="1"/>
  <c r="T22" i="36" s="1"/>
  <c r="Q65" i="36"/>
  <c r="R65" i="36" s="1"/>
  <c r="T65" i="36" s="1"/>
  <c r="Q55" i="36"/>
  <c r="R55" i="36" s="1"/>
  <c r="T55" i="36" s="1"/>
  <c r="Q39" i="36"/>
  <c r="R39" i="36" s="1"/>
  <c r="T39" i="36" s="1"/>
  <c r="Q18" i="36"/>
  <c r="Q94" i="36" l="1"/>
  <c r="R18" i="36"/>
  <c r="R93" i="36" l="1"/>
  <c r="T18" i="36"/>
  <c r="T93" i="36" s="1"/>
</calcChain>
</file>

<file path=xl/comments1.xml><?xml version="1.0" encoding="utf-8"?>
<comments xmlns="http://schemas.openxmlformats.org/spreadsheetml/2006/main">
  <authors>
    <author>R.Pennybaker</author>
    <author>AEP</author>
    <author>Jim Martin</author>
  </authors>
  <commentList>
    <comment ref="C16" authorId="0" shapeId="0">
      <text>
        <r>
          <rPr>
            <b/>
            <sz val="8"/>
            <color indexed="81"/>
            <rFont val="Tahoma"/>
            <family val="2"/>
          </rPr>
          <t>R.Pennybaker:</t>
        </r>
        <r>
          <rPr>
            <sz val="8"/>
            <color indexed="81"/>
            <rFont val="Tahoma"/>
            <family val="2"/>
          </rPr>
          <t xml:space="preserve">
Project Descriptions are in WS-F cell D7.</t>
        </r>
      </text>
    </comment>
    <comment ref="D16" authorId="0" shapeId="0">
      <text>
        <r>
          <rPr>
            <b/>
            <sz val="8"/>
            <color indexed="81"/>
            <rFont val="Tahoma"/>
            <family val="2"/>
          </rPr>
          <t>R.Pennybaker:</t>
        </r>
        <r>
          <rPr>
            <sz val="8"/>
            <color indexed="81"/>
            <rFont val="Tahoma"/>
            <family val="2"/>
          </rPr>
          <t xml:space="preserve">
Year In Service is in WS-F cell D11.</t>
        </r>
      </text>
    </comment>
    <comment ref="E16" authorId="0" shapeId="0">
      <text>
        <r>
          <rPr>
            <b/>
            <sz val="8"/>
            <color indexed="81"/>
            <rFont val="Tahoma"/>
            <family val="2"/>
          </rPr>
          <t>R.Pennybaker:</t>
        </r>
        <r>
          <rPr>
            <sz val="8"/>
            <color indexed="81"/>
            <rFont val="Tahoma"/>
            <family val="2"/>
          </rPr>
          <t xml:space="preserve">
Projected Base ARR is in cell WS-F cell N5.</t>
        </r>
      </text>
    </comment>
    <comment ref="F16" authorId="0" shapeId="0">
      <text>
        <r>
          <rPr>
            <b/>
            <sz val="8"/>
            <color indexed="81"/>
            <rFont val="Tahoma"/>
            <family val="2"/>
          </rPr>
          <t>R.Pennybaker:</t>
        </r>
        <r>
          <rPr>
            <sz val="8"/>
            <color indexed="81"/>
            <rFont val="Tahoma"/>
            <family val="2"/>
          </rPr>
          <t xml:space="preserve">
Projected Incentive ARR is in WS-F cell N7.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AEP:</t>
        </r>
        <r>
          <rPr>
            <sz val="8"/>
            <color indexed="81"/>
            <rFont val="Tahoma"/>
            <family val="2"/>
          </rPr>
          <t xml:space="preserve">
"TRUE-UP Adjustment (i.e., Forecast Error) is from WS-G in cell M89.</t>
        </r>
      </text>
    </comment>
    <comment ref="J16" authorId="1" shapeId="0">
      <text>
        <r>
          <rPr>
            <b/>
            <sz val="8"/>
            <color indexed="81"/>
            <rFont val="Tahoma"/>
            <family val="2"/>
          </rPr>
          <t>AEP:</t>
        </r>
        <r>
          <rPr>
            <sz val="8"/>
            <color indexed="81"/>
            <rFont val="Tahoma"/>
            <family val="2"/>
          </rPr>
          <t xml:space="preserve">
"Manually input from previous year's update "</t>
        </r>
        <r>
          <rPr>
            <i/>
            <sz val="8"/>
            <color indexed="81"/>
            <rFont val="Tahoma"/>
            <family val="2"/>
          </rPr>
          <t>Schedule 11 Rates</t>
        </r>
        <r>
          <rPr>
            <sz val="8"/>
            <color indexed="81"/>
            <rFont val="Tahoma"/>
            <family val="2"/>
          </rPr>
          <t>" by project, column R values.</t>
        </r>
      </text>
    </comment>
    <comment ref="K16" authorId="0" shapeId="0">
      <text>
        <r>
          <rPr>
            <b/>
            <sz val="8"/>
            <color indexed="81"/>
            <rFont val="Tahoma"/>
            <family val="2"/>
          </rPr>
          <t>R.Pennybaker:</t>
        </r>
        <r>
          <rPr>
            <sz val="8"/>
            <color indexed="81"/>
            <rFont val="Tahoma"/>
            <family val="2"/>
          </rPr>
          <t xml:space="preserve">
These values reflect SPP remittance to AEP of Schedule 11 revenues for prior Calendar Year T-service transactions.</t>
        </r>
      </text>
    </comment>
    <comment ref="L16" authorId="0" shapeId="0">
      <text>
        <r>
          <rPr>
            <b/>
            <sz val="8"/>
            <color indexed="81"/>
            <rFont val="Tahoma"/>
            <family val="2"/>
          </rPr>
          <t>R.Pennybaker:</t>
        </r>
        <r>
          <rPr>
            <sz val="8"/>
            <color indexed="81"/>
            <rFont val="Tahoma"/>
            <family val="2"/>
          </rPr>
          <t xml:space="preserve">
This can also be referred to as the Billing Error.</t>
        </r>
      </text>
    </comment>
    <comment ref="N16" authorId="1" shapeId="0">
      <text>
        <r>
          <rPr>
            <b/>
            <sz val="8"/>
            <color indexed="81"/>
            <rFont val="Tahoma"/>
            <family val="2"/>
          </rPr>
          <t>AEP:</t>
        </r>
        <r>
          <rPr>
            <sz val="8"/>
            <color indexed="81"/>
            <rFont val="Tahoma"/>
            <family val="2"/>
          </rPr>
          <t xml:space="preserve">
This is "Prior Year True-Up (WS-G)"; and "Incentive Amounts" O88</t>
        </r>
      </text>
    </comment>
    <comment ref="O16" authorId="1" shapeId="0">
      <text>
        <r>
          <rPr>
            <b/>
            <sz val="8"/>
            <color indexed="81"/>
            <rFont val="Tahoma"/>
            <family val="2"/>
          </rPr>
          <t>AEP:</t>
        </r>
        <r>
          <rPr>
            <sz val="8"/>
            <color indexed="81"/>
            <rFont val="Tahoma"/>
            <family val="2"/>
          </rPr>
          <t xml:space="preserve">
Prior Year Projected (WS-F) and Incentive Amounts [cell O87]</t>
        </r>
      </text>
    </comment>
    <comment ref="I18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19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20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21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22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23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24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25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26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27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28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29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30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31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32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33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34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35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36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37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38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39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40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41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42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43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44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45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46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47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48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49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50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51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52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53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54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55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56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57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58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59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60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61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62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63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64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65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66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67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68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69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70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71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72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73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74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75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76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77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78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79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80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81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82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83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84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85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86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87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88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89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90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J93" authorId="0" shapeId="0">
      <text>
        <r>
          <rPr>
            <b/>
            <sz val="8"/>
            <color indexed="81"/>
            <rFont val="Tahoma"/>
            <family val="2"/>
          </rPr>
          <t>R.Pennybaker:</t>
        </r>
        <r>
          <rPr>
            <sz val="8"/>
            <color indexed="81"/>
            <rFont val="Tahoma"/>
            <family val="2"/>
          </rPr>
          <t xml:space="preserve">
This normally should equal last year's SWEPCO total Adj ARR effective prior July 1st on same sheet.    </t>
        </r>
      </text>
    </comment>
    <comment ref="K93" authorId="0" shapeId="0">
      <text>
        <r>
          <rPr>
            <b/>
            <sz val="8"/>
            <color indexed="81"/>
            <rFont val="Tahoma"/>
            <family val="2"/>
          </rPr>
          <t>R.Pennybaker:</t>
        </r>
        <r>
          <rPr>
            <sz val="8"/>
            <color indexed="81"/>
            <rFont val="Tahoma"/>
            <family val="2"/>
          </rPr>
          <t xml:space="preserve">
This normally should equal last year's SWEPCO total Adj ARR effective prior July 1st on same sheet.    </t>
        </r>
      </text>
    </comment>
  </commentList>
</comments>
</file>

<file path=xl/comments10.xml><?xml version="1.0" encoding="utf-8"?>
<comments xmlns="http://schemas.openxmlformats.org/spreadsheetml/2006/main">
  <authors>
    <author>rlp</author>
  </authors>
  <commentList>
    <comment ref="D99" authorId="0" shapeId="0">
      <text>
        <r>
          <rPr>
            <b/>
            <sz val="8"/>
            <color indexed="81"/>
            <rFont val="Tahoma"/>
            <family val="2"/>
          </rPr>
          <t>rlp:</t>
        </r>
        <r>
          <rPr>
            <sz val="8"/>
            <color indexed="81"/>
            <rFont val="Tahoma"/>
            <family val="2"/>
          </rPr>
          <t xml:space="preserve">
2007 Hist values from '09 template calculations (first published).</t>
        </r>
      </text>
    </comment>
  </commentList>
</comments>
</file>

<file path=xl/comments11.xml><?xml version="1.0" encoding="utf-8"?>
<comments xmlns="http://schemas.openxmlformats.org/spreadsheetml/2006/main">
  <authors>
    <author>rlp</author>
  </authors>
  <commentList>
    <comment ref="D17" authorId="0" shapeId="0">
      <text>
        <r>
          <rPr>
            <b/>
            <sz val="8"/>
            <color indexed="81"/>
            <rFont val="Tahoma"/>
            <family val="2"/>
          </rPr>
          <t>rlp:</t>
        </r>
        <r>
          <rPr>
            <sz val="8"/>
            <color indexed="81"/>
            <rFont val="Tahoma"/>
            <family val="2"/>
          </rPr>
          <t xml:space="preserve">
2007 hist values from 2008 template WS-F calculations.</t>
        </r>
      </text>
    </comment>
    <comment ref="D99" authorId="0" shapeId="0">
      <text>
        <r>
          <rPr>
            <b/>
            <sz val="8"/>
            <color indexed="81"/>
            <rFont val="Tahoma"/>
            <family val="2"/>
          </rPr>
          <t>rlp:</t>
        </r>
        <r>
          <rPr>
            <sz val="8"/>
            <color indexed="81"/>
            <rFont val="Tahoma"/>
            <family val="2"/>
          </rPr>
          <t xml:space="preserve">
see comment for 2007 in WS-F.</t>
        </r>
      </text>
    </comment>
  </commentList>
</comments>
</file>

<file path=xl/comments12.xml><?xml version="1.0" encoding="utf-8"?>
<comments xmlns="http://schemas.openxmlformats.org/spreadsheetml/2006/main">
  <authors>
    <author>rlp</author>
  </authors>
  <commentList>
    <comment ref="D18" authorId="0" shapeId="0">
      <text>
        <r>
          <rPr>
            <b/>
            <sz val="8"/>
            <color indexed="81"/>
            <rFont val="Tahoma"/>
            <family val="2"/>
          </rPr>
          <t>rlp:</t>
        </r>
        <r>
          <rPr>
            <sz val="8"/>
            <color indexed="81"/>
            <rFont val="Tahoma"/>
            <family val="2"/>
          </rPr>
          <t xml:space="preserve">
2009 and prior historic values from 2010 FR Correction template calculations.  Hist values not previously published.</t>
        </r>
      </text>
    </comment>
    <comment ref="K18" authorId="0" shapeId="0">
      <text>
        <r>
          <rPr>
            <b/>
            <sz val="8"/>
            <color indexed="81"/>
            <rFont val="Tahoma"/>
            <family val="2"/>
          </rPr>
          <t>rlp:</t>
        </r>
        <r>
          <rPr>
            <sz val="8"/>
            <color indexed="81"/>
            <rFont val="Tahoma"/>
            <family val="2"/>
          </rPr>
          <t xml:space="preserve">
2008/9 ARRs set to zero since project on Dist WO same years.</t>
        </r>
      </text>
    </comment>
  </commentList>
</comments>
</file>

<file path=xl/comments13.xml><?xml version="1.0" encoding="utf-8"?>
<comments xmlns="http://schemas.openxmlformats.org/spreadsheetml/2006/main">
  <authors>
    <author>rlp</author>
  </authors>
  <commentList>
    <comment ref="D17" authorId="0" shapeId="0">
      <text>
        <r>
          <rPr>
            <b/>
            <sz val="8"/>
            <color indexed="81"/>
            <rFont val="Tahoma"/>
            <family val="2"/>
          </rPr>
          <t>rlp:</t>
        </r>
        <r>
          <rPr>
            <sz val="8"/>
            <color indexed="81"/>
            <rFont val="Tahoma"/>
            <family val="2"/>
          </rPr>
          <t xml:space="preserve">
2009 hist values from 09 template (first published).</t>
        </r>
      </text>
    </comment>
  </commentList>
</comments>
</file>

<file path=xl/comments14.xml><?xml version="1.0" encoding="utf-8"?>
<comments xmlns="http://schemas.openxmlformats.org/spreadsheetml/2006/main">
  <authors>
    <author>dtsoa33</author>
  </authors>
  <commentList>
    <comment ref="M87" authorId="0" shapeId="0">
      <text>
        <r>
          <rPr>
            <b/>
            <sz val="8"/>
            <color indexed="81"/>
            <rFont val="Tahoma"/>
            <family val="2"/>
          </rPr>
          <t>mew:</t>
        </r>
        <r>
          <rPr>
            <sz val="8"/>
            <color indexed="81"/>
            <rFont val="Tahoma"/>
            <family val="2"/>
          </rPr>
          <t xml:space="preserve">
Prior yr projected ARR being forced to zero.  Initial year (2008) investment for this multi-yr project is being included in project S.003 from the 2011 update forward. (May 12, 2011)
If the value is not set to zero, a negative ARR is calculated which would result in a refund which would reflect a project's removal from base plan status.  This case is a transfer of a  project's (S.020) investment into project (S.003).</t>
        </r>
      </text>
    </comment>
  </commentList>
</comments>
</file>

<file path=xl/comments15.xml><?xml version="1.0" encoding="utf-8"?>
<comments xmlns="http://schemas.openxmlformats.org/spreadsheetml/2006/main">
  <authors>
    <author>Jim Martin</author>
  </authors>
  <commentList>
    <comment ref="C99" authorId="0" shapeId="0">
      <text>
        <r>
          <rPr>
            <b/>
            <sz val="22"/>
            <color indexed="81"/>
            <rFont val="Tahoma"/>
            <family val="2"/>
          </rPr>
          <t>Jim Martin:</t>
        </r>
        <r>
          <rPr>
            <sz val="22"/>
            <color indexed="81"/>
            <rFont val="Tahoma"/>
            <family val="2"/>
          </rPr>
          <t xml:space="preserve">
FIX THIS</t>
        </r>
      </text>
    </comment>
  </commentList>
</comments>
</file>

<file path=xl/comments16.xml><?xml version="1.0" encoding="utf-8"?>
<comments xmlns="http://schemas.openxmlformats.org/spreadsheetml/2006/main">
  <authors>
    <author>Jim Martin</author>
  </authors>
  <commentList>
    <comment ref="G17" authorId="0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did not have a projected revenue requiremnt in 2016 update so this is a 0.</t>
        </r>
      </text>
    </comment>
  </commentList>
</comments>
</file>

<file path=xl/comments2.xml><?xml version="1.0" encoding="utf-8"?>
<comments xmlns="http://schemas.openxmlformats.org/spreadsheetml/2006/main">
  <authors>
    <author>R.Pennybaker</author>
  </authors>
  <commentList>
    <comment ref="K17" authorId="0" shapeId="0">
      <text>
        <r>
          <rPr>
            <b/>
            <sz val="8"/>
            <color indexed="81"/>
            <rFont val="Tahoma"/>
            <family val="2"/>
          </rPr>
          <t>R.Pennybaker:</t>
        </r>
        <r>
          <rPr>
            <sz val="8"/>
            <color indexed="81"/>
            <rFont val="Tahoma"/>
            <family val="2"/>
          </rPr>
          <t xml:space="preserve">
This value comes from Formula Template file via data INPUT table below.  Then, it supuplies the project year value to the P.xxx sheets.</t>
        </r>
      </text>
    </comment>
  </commentList>
</comments>
</file>

<file path=xl/comments3.xml><?xml version="1.0" encoding="utf-8"?>
<comments xmlns="http://schemas.openxmlformats.org/spreadsheetml/2006/main">
  <authors>
    <author>R.Pennybaker</author>
  </authors>
  <commentList>
    <comment ref="M15" authorId="0" shapeId="0">
      <text>
        <r>
          <rPr>
            <b/>
            <sz val="8"/>
            <color indexed="81"/>
            <rFont val="Tahoma"/>
            <family val="2"/>
          </rPr>
          <t>R.Pennybaker:</t>
        </r>
        <r>
          <rPr>
            <sz val="8"/>
            <color indexed="81"/>
            <rFont val="Tahoma"/>
            <family val="2"/>
          </rPr>
          <t xml:space="preserve">
This cell comes from Formula Template file.  Then, it drives all the S.xxx sheets.</t>
        </r>
      </text>
    </comment>
  </commentList>
</comments>
</file>

<file path=xl/comments4.xml><?xml version="1.0" encoding="utf-8"?>
<comments xmlns="http://schemas.openxmlformats.org/spreadsheetml/2006/main">
  <authors>
    <author>rlp</author>
  </authors>
  <commentList>
    <comment ref="E17" authorId="0" shapeId="0">
      <text>
        <r>
          <rPr>
            <b/>
            <sz val="8"/>
            <color indexed="81"/>
            <rFont val="Tahoma"/>
            <family val="2"/>
          </rPr>
          <t>rlp:</t>
        </r>
        <r>
          <rPr>
            <sz val="8"/>
            <color indexed="81"/>
            <rFont val="Tahoma"/>
            <family val="2"/>
          </rPr>
          <t xml:space="preserve">
No depreciation calculated by or published in this year's template due to originanl estimated Dec in-service month.</t>
        </r>
      </text>
    </comment>
  </commentList>
</comments>
</file>

<file path=xl/comments5.xml><?xml version="1.0" encoding="utf-8"?>
<comments xmlns="http://schemas.openxmlformats.org/spreadsheetml/2006/main">
  <authors>
    <author>rlp</author>
  </authors>
  <commentList>
    <comment ref="D17" authorId="0" shapeId="0">
      <text>
        <r>
          <rPr>
            <b/>
            <sz val="8"/>
            <color indexed="81"/>
            <rFont val="Tahoma"/>
            <family val="2"/>
          </rPr>
          <t>rlp:</t>
        </r>
        <r>
          <rPr>
            <sz val="8"/>
            <color indexed="81"/>
            <rFont val="Tahoma"/>
            <family val="2"/>
          </rPr>
          <t xml:space="preserve">
Historical values input as if calculated (and shown) from 2009 template.</t>
        </r>
      </text>
    </comment>
  </commentList>
</comments>
</file>

<file path=xl/comments6.xml><?xml version="1.0" encoding="utf-8"?>
<comments xmlns="http://schemas.openxmlformats.org/spreadsheetml/2006/main">
  <authors>
    <author>rlp</author>
  </authors>
  <commentList>
    <comment ref="D17" authorId="0" shapeId="0">
      <text>
        <r>
          <rPr>
            <b/>
            <sz val="8"/>
            <color indexed="81"/>
            <rFont val="Tahoma"/>
            <family val="2"/>
          </rPr>
          <t>rlp:</t>
        </r>
        <r>
          <rPr>
            <sz val="8"/>
            <color indexed="81"/>
            <rFont val="Tahoma"/>
            <family val="2"/>
          </rPr>
          <t xml:space="preserve">
These hist values from pg 66 of 87 of '08 template (1st project in WS-F that year).</t>
        </r>
      </text>
    </comment>
  </commentList>
</comments>
</file>

<file path=xl/comments7.xml><?xml version="1.0" encoding="utf-8"?>
<comments xmlns="http://schemas.openxmlformats.org/spreadsheetml/2006/main">
  <authors>
    <author>R.Pennybaker</author>
  </authors>
  <commentList>
    <comment ref="K18" authorId="0" shapeId="0">
      <text>
        <r>
          <rPr>
            <b/>
            <sz val="8"/>
            <color indexed="81"/>
            <rFont val="Tahoma"/>
            <family val="2"/>
          </rPr>
          <t>R.Pennybaker:</t>
        </r>
        <r>
          <rPr>
            <sz val="8"/>
            <color indexed="81"/>
            <rFont val="Tahoma"/>
            <family val="2"/>
          </rPr>
          <t xml:space="preserve">
Prior Yr Projected ARR was $1,203,444.  However, this value is being set to $0 to force a negative Adjusted  Tot. Rev. Requirement equal to the amount actually collected (billed) by SPP for 2008 T-service related to this project.</t>
        </r>
      </text>
    </comment>
  </commentList>
</comments>
</file>

<file path=xl/comments8.xml><?xml version="1.0" encoding="utf-8"?>
<comments xmlns="http://schemas.openxmlformats.org/spreadsheetml/2006/main">
  <authors>
    <author>rlp</author>
  </authors>
  <commentList>
    <comment ref="B20" authorId="0" shapeId="0">
      <text>
        <r>
          <rPr>
            <b/>
            <sz val="8"/>
            <color indexed="81"/>
            <rFont val="Tahoma"/>
            <family val="2"/>
          </rPr>
          <t>rlp:</t>
        </r>
        <r>
          <rPr>
            <sz val="8"/>
            <color indexed="81"/>
            <rFont val="Tahoma"/>
            <family val="2"/>
          </rPr>
          <t xml:space="preserve">
no actual total investment update in 2010.</t>
        </r>
      </text>
    </comment>
    <comment ref="E99" authorId="0" shapeId="0">
      <text>
        <r>
          <rPr>
            <b/>
            <sz val="8"/>
            <color indexed="81"/>
            <rFont val="Tahoma"/>
            <family val="2"/>
          </rPr>
          <t>rlp:</t>
        </r>
        <r>
          <rPr>
            <sz val="8"/>
            <color indexed="81"/>
            <rFont val="Tahoma"/>
            <family val="2"/>
          </rPr>
          <t xml:space="preserve">
This year's depreciation input as if the 2008 template WS-G calculated values had been shown.</t>
        </r>
      </text>
    </comment>
    <comment ref="B101" authorId="0" shapeId="0">
      <text>
        <r>
          <rPr>
            <b/>
            <sz val="8"/>
            <color indexed="81"/>
            <rFont val="Tahoma"/>
            <family val="2"/>
          </rPr>
          <t>rlp:</t>
        </r>
        <r>
          <rPr>
            <sz val="8"/>
            <color indexed="81"/>
            <rFont val="Tahoma"/>
            <family val="2"/>
          </rPr>
          <t xml:space="preserve">
not an actual update to total investment this year.</t>
        </r>
      </text>
    </comment>
  </commentList>
</comments>
</file>

<file path=xl/comments9.xml><?xml version="1.0" encoding="utf-8"?>
<comments xmlns="http://schemas.openxmlformats.org/spreadsheetml/2006/main">
  <authors>
    <author>rlp</author>
  </authors>
  <commentList>
    <comment ref="D18" authorId="0" shapeId="0">
      <text>
        <r>
          <rPr>
            <b/>
            <sz val="8"/>
            <color indexed="81"/>
            <rFont val="Tahoma"/>
            <family val="2"/>
          </rPr>
          <t>rlp:</t>
        </r>
        <r>
          <rPr>
            <sz val="8"/>
            <color indexed="81"/>
            <rFont val="Tahoma"/>
            <family val="2"/>
          </rPr>
          <t xml:space="preserve">
2006/7 hist values precede FR eff. Date.  Thus, we input calculated historical data from 09 template formulas.</t>
        </r>
      </text>
    </comment>
    <comment ref="D100" authorId="0" shapeId="0">
      <text>
        <r>
          <rPr>
            <b/>
            <sz val="8"/>
            <color indexed="81"/>
            <rFont val="Tahoma"/>
            <family val="2"/>
          </rPr>
          <t>rlp:</t>
        </r>
        <r>
          <rPr>
            <sz val="8"/>
            <color indexed="81"/>
            <rFont val="Tahoma"/>
            <family val="2"/>
          </rPr>
          <t xml:space="preserve">
see comment for 2007 hist values in WS-F.</t>
        </r>
      </text>
    </comment>
  </commentList>
</comments>
</file>

<file path=xl/sharedStrings.xml><?xml version="1.0" encoding="utf-8"?>
<sst xmlns="http://schemas.openxmlformats.org/spreadsheetml/2006/main" count="9098" uniqueCount="511">
  <si>
    <t>I.</t>
  </si>
  <si>
    <t xml:space="preserve">   Project ROE Incentive Adder (Enter as whole number)</t>
  </si>
  <si>
    <t>SUMMARY OF PROJECTED ANNUAL BASE PLAN AND  NON-BASE PLAN REVENUE REQUIREMENTS</t>
  </si>
  <si>
    <t>%</t>
  </si>
  <si>
    <t>Cost</t>
  </si>
  <si>
    <t>Weighted cost</t>
  </si>
  <si>
    <t>Long Term Debt</t>
  </si>
  <si>
    <t>Rev Require</t>
  </si>
  <si>
    <t xml:space="preserve"> W Incentives</t>
  </si>
  <si>
    <t>Incentive Amounts</t>
  </si>
  <si>
    <t>Preferred Stock</t>
  </si>
  <si>
    <t>Common Stock</t>
  </si>
  <si>
    <t>PROJECTED YEAR</t>
  </si>
  <si>
    <t>R =</t>
  </si>
  <si>
    <r>
      <t xml:space="preserve">Note:  </t>
    </r>
    <r>
      <rPr>
        <sz val="10"/>
        <rFont val="Arial"/>
        <family val="2"/>
      </rPr>
      <t xml:space="preserve">Review formulas in summary to ensure the proper year's revenue requirement is being </t>
    </r>
  </si>
  <si>
    <t>accumulated for each project from the tables below.</t>
  </si>
  <si>
    <t xml:space="preserve">   R   (fom A. above)</t>
  </si>
  <si>
    <t xml:space="preserve">   Return (Rate Base  x  R)</t>
  </si>
  <si>
    <t xml:space="preserve">   Return   (from B. above)</t>
  </si>
  <si>
    <t xml:space="preserve">   EIT=(T/(1-T)) * (1-(WCLTD/WACC)) =</t>
  </si>
  <si>
    <t xml:space="preserve">   Income Tax Calculation  (Return  x  EIT)</t>
  </si>
  <si>
    <t xml:space="preserve">   Income Taxes</t>
  </si>
  <si>
    <t>II.</t>
  </si>
  <si>
    <t>A.   Determine Net Revenue Requirement less return and Income Taxes.</t>
  </si>
  <si>
    <t xml:space="preserve">   Net Revenue Requirement, Less Return and Taxes</t>
  </si>
  <si>
    <t xml:space="preserve">   Income Taxes  (from I.C. above)</t>
  </si>
  <si>
    <t xml:space="preserve">   Revenue Requirement w/ Gross Margin Taxes</t>
  </si>
  <si>
    <t xml:space="preserve">      Basis Point ROE increase (II B. above)</t>
  </si>
  <si>
    <t xml:space="preserve">       Apportioned Texas Revenues</t>
  </si>
  <si>
    <t xml:space="preserve">       Taxable, Apportioned Margin</t>
  </si>
  <si>
    <t xml:space="preserve">       Texas Gross Margin Tax Rate</t>
  </si>
  <si>
    <t xml:space="preserve">       Texas Gross Margin Tax Expense</t>
  </si>
  <si>
    <t xml:space="preserve">      Gross-up Required for Gross Margin Tax Expense </t>
  </si>
  <si>
    <t>Total Additional Gross Margin Tax Revenue Requirement</t>
  </si>
  <si>
    <t>III.</t>
  </si>
  <si>
    <t>Calculation of Composite Depreciation Rate</t>
  </si>
  <si>
    <t>&lt;==From Input on Worksheet B</t>
  </si>
  <si>
    <t>Composite Depreciation Rate</t>
  </si>
  <si>
    <t>Depreciable Life for Composite Depreciation Rate</t>
  </si>
  <si>
    <t>Round to nearest whole year</t>
  </si>
  <si>
    <t>IV.</t>
  </si>
  <si>
    <t>Determine the Revenue Requirement &amp; Additional Revenue Requirement for facilities receiving incentives.</t>
  </si>
  <si>
    <t>A.   Facilities receiving incentives accepted by FERC in Docket No.</t>
  </si>
  <si>
    <t xml:space="preserve">   (e.g. ER05-925-000)</t>
  </si>
  <si>
    <t xml:space="preserve">Project Description: </t>
  </si>
  <si>
    <t>Current Projected Year Incentive ARR</t>
  </si>
  <si>
    <t>DETAILS</t>
  </si>
  <si>
    <t>Investment</t>
  </si>
  <si>
    <t>CUMMULATIVE HISTORY OF PROJECTED ANNUAL REVENUE REQUIREMENTS:</t>
  </si>
  <si>
    <t>Service Year (yyyy)</t>
  </si>
  <si>
    <t>ROE increase accepted by FERC (Basis Points)</t>
  </si>
  <si>
    <t>Service Month (1-12)</t>
  </si>
  <si>
    <t>FCR w/o incentives, less depreciation</t>
  </si>
  <si>
    <t xml:space="preserve">          TEMPLATE BELOW TO MAINTAIN HISTORY OF PROJECTED ARRS OVER THE </t>
  </si>
  <si>
    <t>Useful life</t>
  </si>
  <si>
    <t>FCR w/incentives approved for these facilities, less dep.</t>
  </si>
  <si>
    <t xml:space="preserve">         LIFE OF THE PROJECT.</t>
  </si>
  <si>
    <t>CIAC (Yes or No)</t>
  </si>
  <si>
    <t>No</t>
  </si>
  <si>
    <t>Annual Depreciation Expense</t>
  </si>
  <si>
    <t>Beginning</t>
  </si>
  <si>
    <t>Depreciation</t>
  </si>
  <si>
    <t>Ending</t>
  </si>
  <si>
    <t>Additional Rev.</t>
  </si>
  <si>
    <t>Project Rev Req't True-up</t>
  </si>
  <si>
    <t>True-up of Incentive</t>
  </si>
  <si>
    <t>Year</t>
  </si>
  <si>
    <t>Balance</t>
  </si>
  <si>
    <t>Expense</t>
  </si>
  <si>
    <t xml:space="preserve">Requirement </t>
  </si>
  <si>
    <t xml:space="preserve">with Incentives </t>
  </si>
  <si>
    <t xml:space="preserve">  </t>
  </si>
  <si>
    <t xml:space="preserve">w/o Incentives </t>
  </si>
  <si>
    <t>Project Totals</t>
  </si>
  <si>
    <t>additional incentive requirement is applicable for the life of this specific project.  Each year the revenue requirement calculated for SPP</t>
  </si>
  <si>
    <t xml:space="preserve">should be incremented by the amount of the incentive revenue calculated for that year on this project. </t>
  </si>
  <si>
    <t>SUMMARY OF TRUED-UP ANNUAL REVENUE REQUIREMENTS FOR SPP BPU &amp; NON-BPU PROJECTS</t>
  </si>
  <si>
    <t>TRUE-UP YEAR</t>
  </si>
  <si>
    <t>Determine the Revenue Requirement, and Additional Revenue Requirement for facilities receiving incentives.</t>
  </si>
  <si>
    <t>Project Description:</t>
  </si>
  <si>
    <t>Details</t>
  </si>
  <si>
    <t>True-Up Year</t>
  </si>
  <si>
    <t>CUMMULATIVE HISTORY OF TRUED-UP ANNUAL REVENUE REQUIREMENTS:</t>
  </si>
  <si>
    <t xml:space="preserve">          TEMPLATE BELOW TO MAINTAIN HISTORY OF TRUED-UP ARRS OVER THE </t>
  </si>
  <si>
    <t>Average</t>
  </si>
  <si>
    <t>Incentive Rev.</t>
  </si>
  <si>
    <t>BPU Rev Req't True-up</t>
  </si>
  <si>
    <r>
      <t xml:space="preserve">** </t>
    </r>
    <r>
      <rPr>
        <sz val="10"/>
        <rFont val="Arial"/>
        <family val="2"/>
      </rPr>
      <t xml:space="preserve"> This is the total amount that needs to be reported to SPP for billing to all regions. </t>
    </r>
  </si>
  <si>
    <r>
      <t xml:space="preserve">   Return   (from </t>
    </r>
    <r>
      <rPr>
        <sz val="10"/>
        <rFont val="MS Serif"/>
        <family val="1"/>
      </rPr>
      <t>I</t>
    </r>
    <r>
      <rPr>
        <sz val="10"/>
        <rFont val="Arial"/>
        <family val="2"/>
      </rPr>
      <t>.B. above)</t>
    </r>
  </si>
  <si>
    <r>
      <t xml:space="preserve">Requirement </t>
    </r>
    <r>
      <rPr>
        <b/>
        <sz val="10"/>
        <color indexed="10"/>
        <rFont val="Arial"/>
        <family val="2"/>
      </rPr>
      <t>##</t>
    </r>
  </si>
  <si>
    <r>
      <t>with Incentives</t>
    </r>
    <r>
      <rPr>
        <b/>
        <sz val="10"/>
        <color indexed="10"/>
        <rFont val="Arial"/>
        <family val="2"/>
      </rPr>
      <t xml:space="preserve"> **</t>
    </r>
  </si>
  <si>
    <r>
      <t>##</t>
    </r>
    <r>
      <rPr>
        <b/>
        <sz val="10"/>
        <rFont val="Arial"/>
        <family val="2"/>
      </rPr>
      <t xml:space="preserve"> This is the calculation of  additional incentive revenue on projects deemed by the FERC to be eligible for an incentive return.  This</t>
    </r>
  </si>
  <si>
    <r>
      <t xml:space="preserve">## </t>
    </r>
    <r>
      <rPr>
        <b/>
        <sz val="10"/>
        <color indexed="8"/>
        <rFont val="Arial"/>
        <family val="2"/>
      </rPr>
      <t>This is the calculation of  additional incentive revenue on projects deemed by the FERC to be eligible for an incentive return.  This</t>
    </r>
  </si>
  <si>
    <t>Long Term Debt %</t>
  </si>
  <si>
    <t>Long Term Debt Cost</t>
  </si>
  <si>
    <t>Preferred Stock %</t>
  </si>
  <si>
    <t>Preferred Stock Cost</t>
  </si>
  <si>
    <t>Common Stock %</t>
  </si>
  <si>
    <t>STEP 2</t>
  </si>
  <si>
    <t>STEP 3</t>
  </si>
  <si>
    <t xml:space="preserve">       Apportionment Factor to Texas (Worksheet K, ln 12)</t>
  </si>
  <si>
    <t>Black text is not used in this workbook.</t>
  </si>
  <si>
    <t>Blue text is used by this workbbok and driven by non WS-F Formula Rate template worksheets</t>
  </si>
  <si>
    <t>SEE INPUT/OUTPUT ranges to the right  ----&gt;</t>
  </si>
  <si>
    <t>SEE INPUT/OUTPUT ranges to the right  ------&gt;</t>
  </si>
  <si>
    <t xml:space="preserve">AEP West SPP Member Companies </t>
  </si>
  <si>
    <t>See INPUT/OUTPUT ranges below.</t>
  </si>
  <si>
    <t>STEP 1</t>
  </si>
  <si>
    <t>Is done first in the main Formula Rate template  Worksheet F.</t>
  </si>
  <si>
    <t>STEP 4</t>
  </si>
  <si>
    <t>Is done last in the main Formula Rate template  Worksheet F.</t>
  </si>
  <si>
    <t>Copy to main FR Template</t>
  </si>
  <si>
    <t>Project Description</t>
  </si>
  <si>
    <t>Is done first in the main Formula Rate template  Worksheet G.</t>
  </si>
  <si>
    <t>Is done last in the main Formula Rate template  Worksheet G.</t>
  </si>
  <si>
    <t>Blue text below is used by this workbbok and comes from main Formula Rate template WS-G sheet.</t>
  </si>
  <si>
    <t>As Projected in Prior Year WS F   Rev Require</t>
  </si>
  <si>
    <t>As Projected in Prior Year WS F    W Incentives</t>
  </si>
  <si>
    <t>Actual after True-up Rev Require</t>
  </si>
  <si>
    <t>Actual after True-up  W Incentives</t>
  </si>
  <si>
    <r>
      <t>Worksheet F</t>
    </r>
    <r>
      <rPr>
        <sz val="14"/>
        <rFont val="Arial"/>
        <family val="2"/>
      </rPr>
      <t xml:space="preserve"> - Calculation of PROJECTED Annual Revenue Requirement for BPU and Special-billed Projects</t>
    </r>
  </si>
  <si>
    <r>
      <t>Worksheet G</t>
    </r>
    <r>
      <rPr>
        <sz val="14"/>
        <rFont val="Arial"/>
        <family val="2"/>
      </rPr>
      <t xml:space="preserve"> - Calculation of TRUED-UP Annual Revenue Requirement for BPU and Special-billed Projects</t>
    </r>
  </si>
  <si>
    <t>&lt;----Worksheet data is for</t>
  </si>
  <si>
    <t>(Worksheet G)</t>
  </si>
  <si>
    <t>(Worksheet F)</t>
  </si>
  <si>
    <t>Worksheet F</t>
  </si>
  <si>
    <t>Worksheet G</t>
  </si>
  <si>
    <r>
      <t>##</t>
    </r>
    <r>
      <rPr>
        <sz val="10"/>
        <rFont val="Arial"/>
        <family val="2"/>
      </rPr>
      <t xml:space="preserve"> </t>
    </r>
    <r>
      <rPr>
        <b/>
        <sz val="10"/>
        <color indexed="8"/>
        <rFont val="Arial"/>
        <family val="2"/>
      </rPr>
      <t>This is the calculation of  additional incentive revenue on projects deemed by the FERC to be eligible for an incentive return.  This</t>
    </r>
  </si>
  <si>
    <r>
      <t>Worksheet F  --  SOUTHWESTERN ELECTRIC POWER COMPANY  --  Calculation of "</t>
    </r>
    <r>
      <rPr>
        <b/>
        <u/>
        <sz val="16"/>
        <rFont val="Arial"/>
        <family val="2"/>
      </rPr>
      <t>Projected</t>
    </r>
    <r>
      <rPr>
        <b/>
        <sz val="16"/>
        <rFont val="Arial"/>
        <family val="2"/>
      </rPr>
      <t>" ARR for SPP Base Plan Upgrade Projects</t>
    </r>
  </si>
  <si>
    <r>
      <t>Worksheet G  --  SOUTHWESTERN ELECTRIC POWER COMPANY  --  Calculation of "</t>
    </r>
    <r>
      <rPr>
        <b/>
        <u/>
        <sz val="16"/>
        <rFont val="Arial"/>
        <family val="2"/>
      </rPr>
      <t>Trued-Up</t>
    </r>
    <r>
      <rPr>
        <b/>
        <sz val="16"/>
        <rFont val="Arial"/>
        <family val="2"/>
      </rPr>
      <t>" ARR for SPP Base Plan Upgrade Projects</t>
    </r>
  </si>
  <si>
    <t>SOUTHWESTERN ELECTRIC POWER COMPANY</t>
  </si>
  <si>
    <t>EXPORT DATA to Template SWEPCO WS F</t>
  </si>
  <si>
    <t>Worksheet F --- DATA INPUT (Paste.Values) from TEMPLATE SWEPCO WS F</t>
  </si>
  <si>
    <t>DATA INPUT (Paste.Values) from main FR TEMPLATE SWEPCO WS G</t>
  </si>
  <si>
    <t>EXPORT DATA to main FR Template SWEPCO WS G</t>
  </si>
  <si>
    <t>TP2007057</t>
  </si>
  <si>
    <t>TP2007060</t>
  </si>
  <si>
    <t>TP2007103</t>
  </si>
  <si>
    <t>TP2007114</t>
  </si>
  <si>
    <t>TP2007120</t>
  </si>
  <si>
    <t>TP2007165</t>
  </si>
  <si>
    <t>TP2008080</t>
  </si>
  <si>
    <t>TP2002085</t>
  </si>
  <si>
    <t>TP2006130</t>
  </si>
  <si>
    <t>TP2004036</t>
  </si>
  <si>
    <t xml:space="preserve">Carthage REC - Carthage T 138 kV </t>
  </si>
  <si>
    <t>TP2004139</t>
  </si>
  <si>
    <t>TP2006089</t>
  </si>
  <si>
    <t>TP2004148</t>
  </si>
  <si>
    <t>TP2005142</t>
  </si>
  <si>
    <t>basis points</t>
  </si>
  <si>
    <t xml:space="preserve">True-Up Adjustment  </t>
  </si>
  <si>
    <t>Current Projected Year ARR</t>
  </si>
  <si>
    <t>Current Projected Year ARR w/ Incentive</t>
  </si>
  <si>
    <t>w/Incentives</t>
  </si>
  <si>
    <t xml:space="preserve"> Worksheet G</t>
  </si>
  <si>
    <t>TRUE-UP Adjustment from Prior Year WS-G</t>
  </si>
  <si>
    <t>TP2008017</t>
  </si>
  <si>
    <t>TP2007019</t>
  </si>
  <si>
    <t>Knox Lee - Oak Hill #2 138 kV line, S. Shreveport  (SWE Minor Proj II)</t>
  </si>
  <si>
    <t>ok</t>
  </si>
  <si>
    <t>AEP Transmission Formula Rate Template</t>
  </si>
  <si>
    <r>
      <t xml:space="preserve">Calculation of Schedule </t>
    </r>
    <r>
      <rPr>
        <sz val="12"/>
        <rFont val="Arial"/>
        <family val="2"/>
      </rPr>
      <t>11 Revenue Requirements For AEP Transmission Projects</t>
    </r>
  </si>
  <si>
    <t xml:space="preserve">AEP Schedule 11 Revenue Requirement Including True-Up of Prior Collections </t>
  </si>
  <si>
    <t>(A)</t>
  </si>
  <si>
    <t>(B)</t>
  </si>
  <si>
    <t>(C )</t>
  </si>
  <si>
    <t>(D)</t>
  </si>
  <si>
    <t>(E)</t>
  </si>
  <si>
    <t>(F)</t>
  </si>
  <si>
    <t>(H)</t>
  </si>
  <si>
    <t>(I)</t>
  </si>
  <si>
    <t>(M)</t>
  </si>
  <si>
    <t>Sheet Name</t>
  </si>
  <si>
    <t>Owner</t>
  </si>
  <si>
    <t>Year in Service</t>
  </si>
  <si>
    <t>Base ARR</t>
  </si>
  <si>
    <t>Incentive</t>
  </si>
  <si>
    <t>Total</t>
  </si>
  <si>
    <t>True-up</t>
  </si>
  <si>
    <t>As Billed</t>
  </si>
  <si>
    <t>Change</t>
  </si>
  <si>
    <t>Indirect References</t>
  </si>
  <si>
    <r>
      <t xml:space="preserve">   DO </t>
    </r>
    <r>
      <rPr>
        <b/>
        <sz val="10"/>
        <color indexed="10"/>
        <rFont val="Arial"/>
        <family val="2"/>
      </rPr>
      <t>NOT</t>
    </r>
    <r>
      <rPr>
        <b/>
        <sz val="10"/>
        <rFont val="Arial"/>
        <family val="2"/>
      </rPr>
      <t xml:space="preserve"> delete this row or the formulas above will not work.</t>
    </r>
  </si>
  <si>
    <t>S.001</t>
  </si>
  <si>
    <t>SWE</t>
  </si>
  <si>
    <t>S.002</t>
  </si>
  <si>
    <t>S.003</t>
  </si>
  <si>
    <t>S.004</t>
  </si>
  <si>
    <t>S.005</t>
  </si>
  <si>
    <t>S.006</t>
  </si>
  <si>
    <t>S.007</t>
  </si>
  <si>
    <t>S.008</t>
  </si>
  <si>
    <t>S.009</t>
  </si>
  <si>
    <t>S.010</t>
  </si>
  <si>
    <t>S.011</t>
  </si>
  <si>
    <t>S.012</t>
  </si>
  <si>
    <t>S.013</t>
  </si>
  <si>
    <t>S.014</t>
  </si>
  <si>
    <t>S.015</t>
  </si>
  <si>
    <t>S.016</t>
  </si>
  <si>
    <t>S.017</t>
  </si>
  <si>
    <t>S.018</t>
  </si>
  <si>
    <t>S.019</t>
  </si>
  <si>
    <t>S.020</t>
  </si>
  <si>
    <t>(J)</t>
  </si>
  <si>
    <t>from WS-F &amp; G</t>
  </si>
  <si>
    <t>Do NOT delete.</t>
  </si>
  <si>
    <t>(L)</t>
  </si>
  <si>
    <t>(O)</t>
  </si>
  <si>
    <t>Incentive ARR</t>
  </si>
  <si>
    <r>
      <t xml:space="preserve">Total Adjustments
</t>
    </r>
    <r>
      <rPr>
        <sz val="8"/>
        <rFont val="Arial"/>
        <family val="2"/>
      </rPr>
      <t>(Forecast, Billing, &amp; Interest)</t>
    </r>
  </si>
  <si>
    <t>Total Adjustments before Interest</t>
  </si>
  <si>
    <t>the column above</t>
  </si>
  <si>
    <t>is used to feed interest</t>
  </si>
  <si>
    <t>calculation engine and its</t>
  </si>
  <si>
    <t>output is put into the interest</t>
  </si>
  <si>
    <t>Arsenal Hill Auto xfmr &amp; AH to Water Works line</t>
  </si>
  <si>
    <t>SW Shreveport (sub work &amp; tap)</t>
  </si>
  <si>
    <t>PROJECTED Rev. Req't From Prior Year Template</t>
  </si>
  <si>
    <t>TRUE-UP Rev. Req't.From Prior Year Template</t>
  </si>
  <si>
    <t>Rebuild N. Magazine - Danville 161 kV Line</t>
  </si>
  <si>
    <t>Dyess to S. Fayetteville 69 kV Convert to 161 kV (multi-projects)</t>
  </si>
  <si>
    <t>Northwest Texarkana-Bann-Alumax Tap 138kV -- reconductor</t>
  </si>
  <si>
    <t>NW Henderson - Oak Hill 138 kV line*</t>
  </si>
  <si>
    <t>Linwood 138 Station Switch Replacement*</t>
  </si>
  <si>
    <t>Tontitown - Elm Springs REC 161 kV line***</t>
  </si>
  <si>
    <t>Siloam Springs - Chamber Springs 161 kV line***</t>
  </si>
  <si>
    <t>Daingerfield - Jenkins REC 69 kV CB Repl**</t>
  </si>
  <si>
    <t>Linwood-McWillie 138 kV Rebuild</t>
  </si>
  <si>
    <t>Port Robson-Caplis Line (SW 138 kV Loop -- 2009)</t>
  </si>
  <si>
    <t>Wallace Lake-Prt Robson-Red Point 138 kV Loop</t>
  </si>
  <si>
    <t>[NW Ark Area Improve - 2008]  Elm Springs, East Rogers, Shipe Road Stations</t>
  </si>
  <si>
    <t>[NW Ark Area Improve - 2009]  E. Centerton-Flint Crk, E Rogers-N Rogers, Centerton</t>
  </si>
  <si>
    <t>[Greenwood, AR Area Improve]  N Huntington, Greenwood, Reeves, Bonanza</t>
  </si>
  <si>
    <t>Arsenal Hill 138kV Device (Cap. Bank)</t>
  </si>
  <si>
    <t>SWEPCO Total</t>
  </si>
  <si>
    <t>TP2006077</t>
  </si>
  <si>
    <t>TP2008014</t>
  </si>
  <si>
    <t>Reconductor: Greggton-Lake Lamond &amp; Quitman-Westwood 69 kV lines</t>
  </si>
  <si>
    <t>TP2008015</t>
  </si>
  <si>
    <t>TP2008026</t>
  </si>
  <si>
    <t>Rebuild/reconductor Dyess-Elm Springs REC [Dyess Station-Flint Creek]</t>
  </si>
  <si>
    <t>TP2009012</t>
  </si>
  <si>
    <t>S.021</t>
  </si>
  <si>
    <t>S.022</t>
  </si>
  <si>
    <t>S.023</t>
  </si>
  <si>
    <t>S.024</t>
  </si>
  <si>
    <t>S.025</t>
  </si>
  <si>
    <t>Additional Annual Rev.</t>
  </si>
  <si>
    <t>Reconductor 4 mi. of McNabb-Turk</t>
  </si>
  <si>
    <t>Longwood: r&amp;r switches, upgrade bus</t>
  </si>
  <si>
    <t>TP______</t>
  </si>
  <si>
    <t>Port Robson (SW 138 kV Loop -- 2008)</t>
  </si>
  <si>
    <t>*</t>
  </si>
  <si>
    <t>Replace switch at Diana*</t>
  </si>
  <si>
    <t>column to left (Q).</t>
  </si>
  <si>
    <t>NOTE:  Delete duplicate project.  Will track this multi-element multi-year project via 1 set of worksheet F and G tables (S.006).</t>
  </si>
  <si>
    <t>NOTE:  $310K Investment still on Dist plant accounts at YE2009.  Thus YE2009 Trans investment set to $0.</t>
  </si>
  <si>
    <t>NOTE:  Investment expected to be transferred from Distribution to Transmission during 2010.</t>
  </si>
  <si>
    <t>Whitney repl CB and Switches</t>
  </si>
  <si>
    <t>S.026</t>
  </si>
  <si>
    <t>***2008 INVESTMENT NOW INCLUDED IN PROJECT S.003 ABOVE***</t>
  </si>
  <si>
    <t>NOTE:  Transfer project.  Initial yr investment included in project S.003.</t>
  </si>
  <si>
    <t>PID 452, UIP 10586</t>
  </si>
  <si>
    <t>TP2009015</t>
  </si>
  <si>
    <t>Linwood - Powell Street 138 kV</t>
  </si>
  <si>
    <t>TP2008027</t>
  </si>
  <si>
    <t xml:space="preserve">Bloomburg-Texarkana Plant </t>
  </si>
  <si>
    <t>TP2010062</t>
  </si>
  <si>
    <t xml:space="preserve">Knox Lee - Pirkey 138 kV / Pirkey - Whitney 138 kV - Replace Breaker,  Wavetraps, and reset relays and CT's </t>
  </si>
  <si>
    <t>NW Texarkana - Turk 345</t>
  </si>
  <si>
    <t>TP2009100</t>
  </si>
  <si>
    <t>Lone Star South - Pittsburg 138 kV - Replace Wavetraps, reset CT's and Relays</t>
  </si>
  <si>
    <t>Howell-Kilgore 69 kV rebuild</t>
  </si>
  <si>
    <t>TP208126</t>
  </si>
  <si>
    <t xml:space="preserve"> Flint Creek-Shipe Road 345 kV Line</t>
  </si>
  <si>
    <t>S.027</t>
  </si>
  <si>
    <t>S.028</t>
  </si>
  <si>
    <t>S.029</t>
  </si>
  <si>
    <t>S.030</t>
  </si>
  <si>
    <t>S.031</t>
  </si>
  <si>
    <t>S.032</t>
  </si>
  <si>
    <t>S.033</t>
  </si>
  <si>
    <t>TP2011024</t>
  </si>
  <si>
    <t>Diana - Replace North Autotransformer #3</t>
  </si>
  <si>
    <t>Bann - LS Ordnance - Hooks 69 kV - Rebuild 7.1 mi</t>
  </si>
  <si>
    <t>TP2010065</t>
  </si>
  <si>
    <t>Osburn 161 kV Line Work</t>
  </si>
  <si>
    <t>TP2010066</t>
  </si>
  <si>
    <t>SW Shreveport to Spring Ridge REC 138 kV Line Rebuild</t>
  </si>
  <si>
    <t>TP2010064</t>
  </si>
  <si>
    <t>Eastex Switching Station - Whitney 138 kV Station - Rebuild 2.5 miles of 138 Kv</t>
  </si>
  <si>
    <t>S.034</t>
  </si>
  <si>
    <t>S.035</t>
  </si>
  <si>
    <t>S.036</t>
  </si>
  <si>
    <t>S.037</t>
  </si>
  <si>
    <t>S.038</t>
  </si>
  <si>
    <t>TP2009092</t>
  </si>
  <si>
    <t>TP20100102</t>
  </si>
  <si>
    <t xml:space="preserve">Rock Hill to Carthage 69 kV Rebuild 11.4 Miles </t>
  </si>
  <si>
    <t>TP2010103</t>
  </si>
  <si>
    <t>Broadmoor to Fern Street 69 kV Rebuild 1 mile</t>
  </si>
  <si>
    <t>TP2004031</t>
  </si>
  <si>
    <t>Northwest Henderson to Poynter 69 kV Rebuild 3.2 miles</t>
  </si>
  <si>
    <t>TP2011023</t>
  </si>
  <si>
    <t>Diana to Perdue 138 kV Rebuild 21.8 miles; Station Upgrades at Diana and Perdue</t>
  </si>
  <si>
    <t>S.039</t>
  </si>
  <si>
    <t>S.040</t>
  </si>
  <si>
    <t>S.041</t>
  </si>
  <si>
    <t>S.042</t>
  </si>
  <si>
    <t>S.043</t>
  </si>
  <si>
    <t xml:space="preserve">  SPP Project ID = 681</t>
  </si>
  <si>
    <t xml:space="preserve">  SPP Project ID = 502</t>
  </si>
  <si>
    <t xml:space="preserve">  SPP Project ID = 882</t>
  </si>
  <si>
    <t xml:space="preserve">  SPP Project ID = 770 (split between PSO &amp; SWEPCO)</t>
  </si>
  <si>
    <r>
      <t xml:space="preserve">Ashdown West - Craig Junction 138KV Rebuild </t>
    </r>
    <r>
      <rPr>
        <sz val="10"/>
        <color indexed="12"/>
        <rFont val="Arial"/>
        <family val="2"/>
      </rPr>
      <t>(tie w/PSO)</t>
    </r>
  </si>
  <si>
    <t>TP2002006</t>
  </si>
  <si>
    <t>Pittsburg-Winnsboro-North Mineola</t>
  </si>
  <si>
    <t>TP2005152</t>
  </si>
  <si>
    <t>CHAMBER SPRINGS - TONTITOWN 161KV CKT 1</t>
  </si>
  <si>
    <t>TP2002123</t>
  </si>
  <si>
    <t>CHAMBER SPRINGS - TONTITOWN 345KV CKT 1</t>
  </si>
  <si>
    <t>FULTON - HOPE 115KV CKT 1</t>
  </si>
  <si>
    <t>TP2007166</t>
  </si>
  <si>
    <t>MINEOLA - NORTH MINEOLA 69KV CKT 1</t>
  </si>
  <si>
    <t>TP2004032</t>
  </si>
  <si>
    <t xml:space="preserve">SUGAR HILL 138/69KV TRANSFORMER CKT 1 </t>
  </si>
  <si>
    <t>Dekalb-New Boston 69 kV</t>
  </si>
  <si>
    <t>Hardy Street-Waterworks 69 kV</t>
  </si>
  <si>
    <t>Red Oak (State Line)-North Huntington 69 kV</t>
  </si>
  <si>
    <t>Mt. Pleasant - West Mt. Pleasant 69 kV Ckt 1)</t>
  </si>
  <si>
    <t>Benteler - Port Robson 138 kV Ckt 1 and 2</t>
  </si>
  <si>
    <t>S.044</t>
  </si>
  <si>
    <t>S.045</t>
  </si>
  <si>
    <t>S.046</t>
  </si>
  <si>
    <t>S.047</t>
  </si>
  <si>
    <t>S.048</t>
  </si>
  <si>
    <t>S.049</t>
  </si>
  <si>
    <t>S.050</t>
  </si>
  <si>
    <t>S.051</t>
  </si>
  <si>
    <t>S.052</t>
  </si>
  <si>
    <t>S.053</t>
  </si>
  <si>
    <t>S.054</t>
  </si>
  <si>
    <t xml:space="preserve">***Sch. 11 recovery commenced in the 2015 rate year *** </t>
  </si>
  <si>
    <t>Ellerbe Rd-S Shreveport 69 kv Build</t>
  </si>
  <si>
    <t>TP201154</t>
  </si>
  <si>
    <t>Logansport 138 kv</t>
  </si>
  <si>
    <t>TP2011022</t>
  </si>
  <si>
    <t>Winnsboro 138 kw</t>
  </si>
  <si>
    <t>TP2013122</t>
  </si>
  <si>
    <t>Rock Hill-Springridge Pan-Harr REC 138 kv</t>
  </si>
  <si>
    <t>Brownlee-North Mrket 69 kv Rebuild</t>
  </si>
  <si>
    <t>S.055</t>
  </si>
  <si>
    <t>S.056</t>
  </si>
  <si>
    <t>S.057</t>
  </si>
  <si>
    <t>S.058</t>
  </si>
  <si>
    <t>S.059</t>
  </si>
  <si>
    <t xml:space="preserve"> &lt;--- this value goes to sched 11 interest support file line 18</t>
  </si>
  <si>
    <t>2013</t>
  </si>
  <si>
    <t xml:space="preserve">***Sch. 11 recovery commenced in the 2015 rate year.  Beg Bal = to depreciated balance as of 1/1/15. *** </t>
  </si>
  <si>
    <t>S.060</t>
  </si>
  <si>
    <t>S.061</t>
  </si>
  <si>
    <t>S.062</t>
  </si>
  <si>
    <t>S.063</t>
  </si>
  <si>
    <t>S.064</t>
  </si>
  <si>
    <t>S.065</t>
  </si>
  <si>
    <t>S.066</t>
  </si>
  <si>
    <t>S.067</t>
  </si>
  <si>
    <t>Valliant-NW Texarkana 345 kV</t>
  </si>
  <si>
    <t>Messick 500/230 kV</t>
  </si>
  <si>
    <t>TP2011033</t>
  </si>
  <si>
    <t>Letourneau 69 kV Capacitor Bank Addition</t>
  </si>
  <si>
    <t>Brooks Street - Edwards Street 69 kV Line Rebuild</t>
  </si>
  <si>
    <t>Hallsville - Marshall New 69 kV Circuit</t>
  </si>
  <si>
    <t>Daingerfield - Jenkins Rebuild</t>
  </si>
  <si>
    <t>Broadmoor - Fort Humbug Rebuild</t>
  </si>
  <si>
    <t>Chamber Springs - Farmington 161 kV Line</t>
  </si>
  <si>
    <t>Beg/Ending 
Average
Revenue</t>
  </si>
  <si>
    <t>Beg/Ending
Average
Revenue Req't.</t>
  </si>
  <si>
    <t>insert project name here</t>
  </si>
  <si>
    <t xml:space="preserve">True-Up Year Projected  (WS-F)  </t>
  </si>
  <si>
    <t xml:space="preserve">True-Up Year Actual  (WS-G)  </t>
  </si>
  <si>
    <t xml:space="preserve">   Excess DFIT Adjustment  (TCOS, ln 107)</t>
  </si>
  <si>
    <t xml:space="preserve">   Tax Effect of Permanent and Flow Through Differences  (TCOS, ln 108)</t>
  </si>
  <si>
    <t xml:space="preserve">   Tax Effect of Permanent and Flow Through Differences (TCOS, ln 108)</t>
  </si>
  <si>
    <t>S.068</t>
  </si>
  <si>
    <t>S.069</t>
  </si>
  <si>
    <t>S.070</t>
  </si>
  <si>
    <t>S.071</t>
  </si>
  <si>
    <t>*&lt;$100K investment,</t>
  </si>
  <si>
    <t>Everside - Northwest Henderson 69KV Line Rebuild</t>
  </si>
  <si>
    <t>Hallsville - Longview Heights 69 KV Line Rebuild</t>
  </si>
  <si>
    <t>Linwood - South Shreveport 138 KV Line Rebuild</t>
  </si>
  <si>
    <t>IPC 138 KV Capacitor Bank Addtion</t>
  </si>
  <si>
    <t xml:space="preserve">  SPP Project ID = 108, 507, 30144, 30145, 30146 &amp; 30147</t>
  </si>
  <si>
    <t xml:space="preserve">  SPP Project ID = 224 &amp; 581</t>
  </si>
  <si>
    <t xml:space="preserve">  SPP Project ID = 107 &amp; 229</t>
  </si>
  <si>
    <t xml:space="preserve">  SPP Project ID = 225 &amp; 30154</t>
  </si>
  <si>
    <t xml:space="preserve">  SPP Project ID = 217, 218, 219 &amp; 222</t>
  </si>
  <si>
    <t xml:space="preserve">  SPP Project ID = 113</t>
  </si>
  <si>
    <t xml:space="preserve">  SPP Project ID = 30151</t>
  </si>
  <si>
    <t xml:space="preserve">  SPP Project ID = 109</t>
  </si>
  <si>
    <t xml:space="preserve">  SPP Project ID = 115 &amp; 116</t>
  </si>
  <si>
    <t xml:space="preserve">  SPP Project ID = 43</t>
  </si>
  <si>
    <t xml:space="preserve">  SPP Project ID = 6 &amp; 42</t>
  </si>
  <si>
    <t xml:space="preserve">  SPP Project ID = 41 &amp; 44</t>
  </si>
  <si>
    <t xml:space="preserve">  SPP Project ID = 5 &amp; 7</t>
  </si>
  <si>
    <t xml:space="preserve">  SPP Project ID = 48</t>
  </si>
  <si>
    <t xml:space="preserve">  SPP Project ID = 30000</t>
  </si>
  <si>
    <t xml:space="preserve">  SPP Project ID = 227</t>
  </si>
  <si>
    <t xml:space="preserve">  SPP Project ID = 120</t>
  </si>
  <si>
    <t xml:space="preserve">  SPP Project ID = 349</t>
  </si>
  <si>
    <t xml:space="preserve">  SPP Project ID = 30153</t>
  </si>
  <si>
    <t xml:space="preserve">  SPP Project ID = 292 &amp; 297</t>
  </si>
  <si>
    <t xml:space="preserve">  SPP Project ID = 296, 348 &amp; 30149</t>
  </si>
  <si>
    <t xml:space="preserve">  SPP Project ID = 613</t>
  </si>
  <si>
    <t xml:space="preserve">  SPP Project ID = 452</t>
  </si>
  <si>
    <t xml:space="preserve">  SPP Project ID = 30152</t>
  </si>
  <si>
    <t xml:space="preserve">  SPP Project ID = 30156 &amp; 30157</t>
  </si>
  <si>
    <t xml:space="preserve">  SPP Project ID = 30317, 30318 &amp; 30319</t>
  </si>
  <si>
    <t xml:space="preserve">  SPP Project ID = 349 &amp; 30142</t>
  </si>
  <si>
    <t xml:space="preserve">  SPP Project ID = 391</t>
  </si>
  <si>
    <t xml:space="preserve">  SPP Project ID = 392</t>
  </si>
  <si>
    <t xml:space="preserve">  SPP Project ID = 450</t>
  </si>
  <si>
    <t xml:space="preserve">  SPP Project ID = 1081 &amp; 30148</t>
  </si>
  <si>
    <t xml:space="preserve">  SPP Project ID = 30316</t>
  </si>
  <si>
    <t xml:space="preserve">  SPP Project ID = 443</t>
  </si>
  <si>
    <t xml:space="preserve">  SPP Project ID = 1023</t>
  </si>
  <si>
    <t xml:space="preserve">  SPP Project ID = 1024</t>
  </si>
  <si>
    <t xml:space="preserve">  SPP Project ID = 1012, 503 &amp; 30436</t>
  </si>
  <si>
    <t xml:space="preserve">  SPP Project ID = 10 &amp; 40</t>
  </si>
  <si>
    <t xml:space="preserve">  SPP Project ID = 45</t>
  </si>
  <si>
    <t xml:space="preserve">  SPP Project ID = 117</t>
  </si>
  <si>
    <t xml:space="preserve">  SPP Project ID = 221</t>
  </si>
  <si>
    <t xml:space="preserve">  SPP Project ID = 294</t>
  </si>
  <si>
    <t xml:space="preserve">  SPP Project ID = 875</t>
  </si>
  <si>
    <t xml:space="preserve">  SPP Project ID = 30471</t>
  </si>
  <si>
    <t xml:space="preserve">  SPP Project ID = 30472</t>
  </si>
  <si>
    <t xml:space="preserve">  SPP Project ID = 30473, 30474 &amp; 30475</t>
  </si>
  <si>
    <t xml:space="preserve">  SPP Project ID = 30731</t>
  </si>
  <si>
    <t xml:space="preserve">  SPP Project ID = 30769</t>
  </si>
  <si>
    <t xml:space="preserve">  SPP Project ID = 478 &amp; 512</t>
  </si>
  <si>
    <t xml:space="preserve">  SPP Project ID = 30298</t>
  </si>
  <si>
    <t xml:space="preserve">  SPP Project ID = 30296</t>
  </si>
  <si>
    <t xml:space="preserve">  SPP Project ID = 30449</t>
  </si>
  <si>
    <t xml:space="preserve">  SPP Project ID = 504</t>
  </si>
  <si>
    <t xml:space="preserve">  SPP Project ID = 936</t>
  </si>
  <si>
    <t xml:space="preserve">  SPP Project ID = 30495</t>
  </si>
  <si>
    <t xml:space="preserve">  SPP Project ID = 30598</t>
  </si>
  <si>
    <t xml:space="preserve">  SPP Project ID = 30895</t>
  </si>
  <si>
    <t xml:space="preserve">  SPP Project ID = 30576</t>
  </si>
  <si>
    <t xml:space="preserve">  SPP Project ID = 30574</t>
  </si>
  <si>
    <t xml:space="preserve">  SPP Project ID = 30573</t>
  </si>
  <si>
    <t xml:space="preserve">  SPP Project ID = 451</t>
  </si>
  <si>
    <t xml:space="preserve">  SPP Project ID = 501</t>
  </si>
  <si>
    <t xml:space="preserve">  SPP Project ID = 30575</t>
  </si>
  <si>
    <t xml:space="preserve">  SPP Project ID = 30889</t>
  </si>
  <si>
    <t xml:space="preserve">  SPP Project ID = 31186</t>
  </si>
  <si>
    <t>Projected Year</t>
  </si>
  <si>
    <t xml:space="preserve">   ROE w/o incentives  (TCOS, ln 141)</t>
  </si>
  <si>
    <t xml:space="preserve">   Rate Base  (TCOS, ln 62)</t>
  </si>
  <si>
    <t xml:space="preserve">   Tax Rate  (TCOS, ln 97)</t>
  </si>
  <si>
    <t xml:space="preserve">   ITC Adjustment  (TCOS, ln 106)</t>
  </si>
  <si>
    <t xml:space="preserve">   Net Revenue Requirement  (TCOS, ln 115)</t>
  </si>
  <si>
    <t xml:space="preserve">   Return  (TCOS, ln 110)</t>
  </si>
  <si>
    <t xml:space="preserve">   Income Taxes  (TCOS, ln 109)</t>
  </si>
  <si>
    <t xml:space="preserve">  Gross Margin Taxes  (TCOS, ln 114)</t>
  </si>
  <si>
    <t xml:space="preserve">   Less: Depreciation  (TCOS, ln 84)</t>
  </si>
  <si>
    <t xml:space="preserve">   Net Transmission Plant  (TCOS, ln 37)</t>
  </si>
  <si>
    <t xml:space="preserve">   FCR less Depreciation  (TCOS, ln 10)</t>
  </si>
  <si>
    <t>Transmission Plant @ Beginning of Period (Worksheet A ln 9 col. ((D))</t>
  </si>
  <si>
    <t>Transmission Plant @ End of Period (Worksheet A ln 9 col. ((C))</t>
  </si>
  <si>
    <t xml:space="preserve">Transmission Plant Average Balance for 2018 </t>
  </si>
  <si>
    <t>Annual Depreciation Expense  (TCOS, ln 84)</t>
  </si>
  <si>
    <t xml:space="preserve">       Taxable Percentage of Revenue</t>
  </si>
  <si>
    <t>&lt;==Incentive ROE</t>
  </si>
  <si>
    <t>Note: Worksheets F and G are both populated from the TCOS worksheet every update. Worksheet F is only used in Projections. Worksheet G is used only in True-Ups. These worksheets add up all of the individual SPP Base Plan projects, Requested Upgrades, Economic Upgrades, or any other projects billed by SPP through other than the NITS rate.</t>
  </si>
  <si>
    <t>WS F INPUT/OUTPUT ranges. Do not include in print range or tariff</t>
  </si>
  <si>
    <t xml:space="preserve">   Determine R  (cost of long term debt, cost of preferred stock and percent is from TCOS, lns 139 through 141)</t>
  </si>
  <si>
    <t>Line</t>
  </si>
  <si>
    <t>Number</t>
  </si>
  <si>
    <t xml:space="preserve">∑ True-Up Year Projected  (WS-F)  </t>
  </si>
  <si>
    <t xml:space="preserve">∑ True-Up Year True-Up  (WS-G)  </t>
  </si>
  <si>
    <t xml:space="preserve">   Rate Base  (True-Up TCOS, ln 63)</t>
  </si>
  <si>
    <t xml:space="preserve">   Net Transmission Plant  (True-Up TCOS, ln 39)</t>
  </si>
  <si>
    <t xml:space="preserve">   FCR less Depreciation  (True-Up TCOS, ln 12)</t>
  </si>
  <si>
    <t>Transmission Plant @ Beginning of Period (P.206, ln 58)</t>
  </si>
  <si>
    <t>Transmission Plant @ End of Period (P.207, ln 58)</t>
  </si>
  <si>
    <r>
      <t xml:space="preserve">TRUE-UP Adjustment </t>
    </r>
    <r>
      <rPr>
        <sz val="10"/>
        <rFont val="Arial"/>
        <family val="2"/>
      </rPr>
      <t>(WS-G)</t>
    </r>
  </si>
  <si>
    <t>Projected ADJUSTED ARR from Prior Update</t>
  </si>
  <si>
    <r>
      <t xml:space="preserve">As Billed
by SPP
</t>
    </r>
    <r>
      <rPr>
        <sz val="10"/>
        <rFont val="Arial"/>
        <family val="2"/>
      </rPr>
      <t>(for Prior Yr
T-Service)</t>
    </r>
  </si>
  <si>
    <t>COLLECTION Adjustment</t>
  </si>
  <si>
    <t>Interest</t>
  </si>
  <si>
    <t xml:space="preserve">  SPP Project ID = 30762</t>
  </si>
  <si>
    <t>Ellerbe Road - Lucas 69 kV Rebuild</t>
  </si>
  <si>
    <t>Siloam Springs - Siloam Springs City 161 kV Rebuild</t>
  </si>
  <si>
    <t xml:space="preserve">  SPP Project ID = 31131</t>
  </si>
  <si>
    <t>S.072</t>
  </si>
  <si>
    <t>S.073</t>
  </si>
  <si>
    <t xml:space="preserve">  SPP Project ID = 503/1012/30436</t>
  </si>
  <si>
    <t xml:space="preserve">   ROE w/o incentives  (True-Up TCOS, ln 135)</t>
  </si>
  <si>
    <t xml:space="preserve">   Tax Rate  (True-Up TCOS, ln 95)</t>
  </si>
  <si>
    <t xml:space="preserve">   ITC Adjustment  (True-Up TCOS, ln 102)</t>
  </si>
  <si>
    <t xml:space="preserve">   Net Revenue Requirement  (True-Up TCOS, ln 109)</t>
  </si>
  <si>
    <t xml:space="preserve">   Return  (True-Up TCOS, ln 104)</t>
  </si>
  <si>
    <t xml:space="preserve">   Income Taxes  (True-Up TCOS, ln 103)</t>
  </si>
  <si>
    <t xml:space="preserve">  Gross Margin Taxes  (True-Up TCOS, ln 108)</t>
  </si>
  <si>
    <t xml:space="preserve">   Less: Depreciation  (True-Up TCOS, ln 82)</t>
  </si>
  <si>
    <t xml:space="preserve">Transmission Plant Average Balance for 2017 </t>
  </si>
  <si>
    <t>Annual Depreciation Expense  (True-Up TCOS,  ln 82)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</si>
</sst>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2">
    <numFmt numFmtId="5" formatCode="&quot;$&quot;#,##0_);\(&quot;$&quot;#,##0\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00%"/>
    <numFmt numFmtId="165" formatCode="0.00000"/>
    <numFmt numFmtId="166" formatCode="#,##0.0000"/>
    <numFmt numFmtId="167" formatCode="0.0000"/>
    <numFmt numFmtId="168" formatCode="&quot;$&quot;#,##0"/>
    <numFmt numFmtId="169" formatCode="&quot;$&quot;#,##0.00"/>
    <numFmt numFmtId="170" formatCode="_(* #,##0_);_(* \(#,##0\);_(* &quot;-&quot;??_);_(@_)"/>
    <numFmt numFmtId="171" formatCode="_(&quot;$&quot;* #,##0_);_(&quot;$&quot;* \(#,##0\);_(&quot;$&quot;* &quot;-&quot;??_);_(@_)"/>
    <numFmt numFmtId="172" formatCode="_(* #,##0.0000_);_(* \(#,##0.0000\);_(* &quot;-&quot;????_);_(@_)"/>
    <numFmt numFmtId="173" formatCode="_(* #,##0.0000_);_(* \(#,##0.0000\);_(* &quot;-&quot;_);_(@_)"/>
    <numFmt numFmtId="174" formatCode="_(* #,##0.0000000000_);_(* \(#,##0.0000000000\);_(* &quot;-&quot;_);_(@_)"/>
    <numFmt numFmtId="175" formatCode="_(* #,##0.00000_);_(* \(#,##0.00000\);_(* &quot;-&quot;??_);_(@_)"/>
    <numFmt numFmtId="176" formatCode="_(* #,##0.0000000_);_(* \(#,##0.0000000\);_(* &quot;-&quot;_);_(@_)"/>
    <numFmt numFmtId="177" formatCode="_(* #,##0.00000000_);_(* \(#,##0.00000000\);_(* &quot;-&quot;??_);_(@_)"/>
    <numFmt numFmtId="178" formatCode="0.0000%"/>
    <numFmt numFmtId="179" formatCode="0.0%"/>
    <numFmt numFmtId="180" formatCode="&quot;$&quot;#,##0\ ;\(&quot;$&quot;#,##0\)"/>
    <numFmt numFmtId="181" formatCode="_(* #,##0.0,_);_(* \(#,##0.0,\);_(* &quot;-   &quot;_);_(@_)"/>
  </numFmts>
  <fonts count="121">
    <font>
      <sz val="10"/>
      <name val="Arial"/>
    </font>
    <font>
      <sz val="10"/>
      <name val="Arial"/>
      <family val="2"/>
    </font>
    <font>
      <sz val="11"/>
      <color indexed="8"/>
      <name val="Arial Narrow"/>
      <family val="2"/>
    </font>
    <font>
      <sz val="11"/>
      <color indexed="9"/>
      <name val="Arial Narrow"/>
      <family val="2"/>
    </font>
    <font>
      <sz val="11"/>
      <color indexed="20"/>
      <name val="Arial Narrow"/>
      <family val="2"/>
    </font>
    <font>
      <sz val="8"/>
      <name val="Arial"/>
      <family val="2"/>
    </font>
    <font>
      <b/>
      <sz val="14"/>
      <name val="Arial"/>
      <family val="2"/>
    </font>
    <font>
      <sz val="10"/>
      <name val="Arial"/>
      <family val="2"/>
    </font>
    <font>
      <b/>
      <i/>
      <sz val="14"/>
      <name val="Arial"/>
      <family val="2"/>
    </font>
    <font>
      <b/>
      <sz val="12"/>
      <name val="Arial"/>
      <family val="2"/>
    </font>
    <font>
      <b/>
      <sz val="11"/>
      <name val="Arial"/>
      <family val="2"/>
    </font>
    <font>
      <b/>
      <sz val="24"/>
      <name val="Arial Narrow"/>
      <family val="2"/>
    </font>
    <font>
      <b/>
      <i/>
      <sz val="12"/>
      <name val="Arial"/>
      <family val="2"/>
    </font>
    <font>
      <i/>
      <sz val="12"/>
      <name val="Arial"/>
      <family val="2"/>
    </font>
    <font>
      <sz val="12"/>
      <name val="Arial"/>
      <family val="2"/>
    </font>
    <font>
      <sz val="9"/>
      <name val="Arial"/>
      <family val="2"/>
    </font>
    <font>
      <i/>
      <sz val="10"/>
      <name val="Arial"/>
      <family val="2"/>
    </font>
    <font>
      <sz val="9"/>
      <color indexed="18"/>
      <name val="Arial"/>
      <family val="2"/>
    </font>
    <font>
      <i/>
      <sz val="10"/>
      <color indexed="18"/>
      <name val="Arial"/>
      <family val="2"/>
    </font>
    <font>
      <sz val="10"/>
      <color indexed="18"/>
      <name val="Arial"/>
      <family val="2"/>
    </font>
    <font>
      <sz val="8"/>
      <color indexed="18"/>
      <name val="Arial"/>
      <family val="2"/>
    </font>
    <font>
      <i/>
      <sz val="9"/>
      <color indexed="18"/>
      <name val="Arial"/>
      <family val="2"/>
    </font>
    <font>
      <b/>
      <sz val="11"/>
      <color indexed="52"/>
      <name val="Arial Narrow"/>
      <family val="2"/>
    </font>
    <font>
      <b/>
      <sz val="11"/>
      <color indexed="9"/>
      <name val="Arial Narrow"/>
      <family val="2"/>
    </font>
    <font>
      <i/>
      <sz val="11"/>
      <color indexed="23"/>
      <name val="Arial Narrow"/>
      <family val="2"/>
    </font>
    <font>
      <sz val="11"/>
      <color indexed="17"/>
      <name val="Arial Narrow"/>
      <family val="2"/>
    </font>
    <font>
      <b/>
      <sz val="18"/>
      <name val="Arial"/>
      <family val="2"/>
    </font>
    <font>
      <b/>
      <sz val="11"/>
      <color indexed="56"/>
      <name val="Arial Narrow"/>
      <family val="2"/>
    </font>
    <font>
      <b/>
      <sz val="14"/>
      <name val="Book Antiqua"/>
      <family val="1"/>
    </font>
    <font>
      <i/>
      <sz val="10"/>
      <name val="Book Antiqua"/>
      <family val="1"/>
    </font>
    <font>
      <sz val="11"/>
      <color indexed="62"/>
      <name val="Arial Narrow"/>
      <family val="2"/>
    </font>
    <font>
      <sz val="11"/>
      <color indexed="52"/>
      <name val="Arial Narrow"/>
      <family val="2"/>
    </font>
    <font>
      <sz val="11"/>
      <color indexed="60"/>
      <name val="Arial Narrow"/>
      <family val="2"/>
    </font>
    <font>
      <sz val="12"/>
      <name val="Arial MT"/>
    </font>
    <font>
      <b/>
      <sz val="11"/>
      <color indexed="63"/>
      <name val="Arial Narrow"/>
      <family val="2"/>
    </font>
    <font>
      <sz val="10"/>
      <name val="MS Sans Serif"/>
      <family val="2"/>
    </font>
    <font>
      <b/>
      <sz val="10"/>
      <name val="MS Sans Serif"/>
      <family val="2"/>
    </font>
    <font>
      <sz val="8"/>
      <color indexed="38"/>
      <name val="Arial"/>
      <family val="2"/>
    </font>
    <font>
      <b/>
      <sz val="9"/>
      <name val="Arial"/>
      <family val="2"/>
    </font>
    <font>
      <b/>
      <sz val="10"/>
      <name val="Arial"/>
      <family val="2"/>
    </font>
    <font>
      <b/>
      <i/>
      <sz val="16"/>
      <name val="Arial"/>
      <family val="2"/>
    </font>
    <font>
      <b/>
      <sz val="12"/>
      <color indexed="32"/>
      <name val="Arial"/>
      <family val="2"/>
    </font>
    <font>
      <i/>
      <sz val="11"/>
      <name val="Arial"/>
      <family val="2"/>
    </font>
    <font>
      <sz val="11"/>
      <name val="Arial"/>
      <family val="2"/>
    </font>
    <font>
      <b/>
      <sz val="18"/>
      <color indexed="56"/>
      <name val="Cambria"/>
      <family val="2"/>
    </font>
    <font>
      <sz val="11"/>
      <color indexed="10"/>
      <name val="Arial Narrow"/>
      <family val="2"/>
    </font>
    <font>
      <sz val="14"/>
      <name val="Arial"/>
      <family val="2"/>
    </font>
    <font>
      <b/>
      <sz val="14"/>
      <name val="MS Serif"/>
      <family val="1"/>
    </font>
    <font>
      <u/>
      <sz val="10"/>
      <name val="Arial"/>
      <family val="2"/>
    </font>
    <font>
      <sz val="10"/>
      <name val="MS Serif"/>
      <family val="1"/>
    </font>
    <font>
      <b/>
      <sz val="16"/>
      <name val="Arial"/>
      <family val="2"/>
    </font>
    <font>
      <sz val="12"/>
      <color indexed="12"/>
      <name val="Arial"/>
      <family val="2"/>
    </font>
    <font>
      <b/>
      <sz val="10"/>
      <color indexed="12"/>
      <name val="Arial"/>
      <family val="2"/>
    </font>
    <font>
      <b/>
      <sz val="10"/>
      <color indexed="10"/>
      <name val="Arial"/>
      <family val="2"/>
    </font>
    <font>
      <sz val="10"/>
      <color indexed="12"/>
      <name val="Arial"/>
      <family val="2"/>
    </font>
    <font>
      <sz val="10"/>
      <color indexed="10"/>
      <name val="Arial"/>
      <family val="2"/>
    </font>
    <font>
      <u val="singleAccounting"/>
      <sz val="10"/>
      <name val="Arial"/>
      <family val="2"/>
    </font>
    <font>
      <sz val="12"/>
      <color indexed="10"/>
      <name val="Arial"/>
      <family val="2"/>
    </font>
    <font>
      <b/>
      <sz val="10"/>
      <color indexed="8"/>
      <name val="Arial"/>
      <family val="2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b/>
      <sz val="10"/>
      <color indexed="48"/>
      <name val="Arial"/>
      <family val="2"/>
    </font>
    <font>
      <sz val="8"/>
      <name val="Arial"/>
      <family val="2"/>
    </font>
    <font>
      <b/>
      <i/>
      <sz val="8"/>
      <color indexed="10"/>
      <name val="Arial"/>
      <family val="2"/>
    </font>
    <font>
      <sz val="10"/>
      <color indexed="12"/>
      <name val="Arial"/>
      <family val="2"/>
    </font>
    <font>
      <b/>
      <u/>
      <sz val="10"/>
      <name val="Arial"/>
      <family val="2"/>
    </font>
    <font>
      <b/>
      <sz val="10"/>
      <color indexed="57"/>
      <name val="Arial"/>
      <family val="2"/>
    </font>
    <font>
      <sz val="14"/>
      <color indexed="12"/>
      <name val="Arial"/>
      <family val="2"/>
    </font>
    <font>
      <sz val="10"/>
      <color indexed="9"/>
      <name val="Arial"/>
      <family val="2"/>
    </font>
    <font>
      <sz val="12"/>
      <name val="Arial"/>
      <family val="2"/>
    </font>
    <font>
      <b/>
      <u/>
      <sz val="16"/>
      <name val="Arial"/>
      <family val="2"/>
    </font>
    <font>
      <sz val="16"/>
      <name val="Arial"/>
      <family val="2"/>
    </font>
    <font>
      <b/>
      <sz val="12"/>
      <color indexed="12"/>
      <name val="Arial"/>
      <family val="2"/>
    </font>
    <font>
      <sz val="10"/>
      <color indexed="13"/>
      <name val="Arial"/>
      <family val="2"/>
    </font>
    <font>
      <sz val="10"/>
      <color indexed="10"/>
      <name val="Arial"/>
      <family val="2"/>
    </font>
    <font>
      <i/>
      <sz val="8"/>
      <color indexed="81"/>
      <name val="Tahoma"/>
      <family val="2"/>
    </font>
    <font>
      <sz val="8"/>
      <color indexed="10"/>
      <name val="Arial"/>
      <family val="2"/>
    </font>
    <font>
      <b/>
      <i/>
      <sz val="10"/>
      <color indexed="10"/>
      <name val="Arial"/>
      <family val="2"/>
    </font>
    <font>
      <sz val="10"/>
      <color indexed="12"/>
      <name val="Arial"/>
      <family val="2"/>
    </font>
    <font>
      <sz val="11"/>
      <color indexed="8"/>
      <name val="Calibri"/>
      <family val="2"/>
    </font>
    <font>
      <sz val="10"/>
      <name val="Arial"/>
      <family val="2"/>
    </font>
    <font>
      <b/>
      <sz val="22"/>
      <color indexed="81"/>
      <name val="Tahoma"/>
      <family val="2"/>
    </font>
    <font>
      <sz val="22"/>
      <color indexed="81"/>
      <name val="Tahoma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sz val="10"/>
      <color indexed="22"/>
      <name val="Arial"/>
      <family val="2"/>
    </font>
    <font>
      <b/>
      <sz val="18"/>
      <color indexed="22"/>
      <name val="Arial"/>
      <family val="2"/>
    </font>
    <font>
      <b/>
      <sz val="12"/>
      <color indexed="22"/>
      <name val="Arial"/>
      <family val="2"/>
    </font>
    <font>
      <sz val="10"/>
      <color indexed="8"/>
      <name val="Calibri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theme="1"/>
      <name val="Calibri"/>
      <family val="2"/>
    </font>
    <font>
      <b/>
      <sz val="11"/>
      <color rgb="FF3F3F3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color rgb="FF0033CC"/>
      <name val="Arial"/>
      <family val="2"/>
    </font>
    <font>
      <sz val="10"/>
      <color rgb="FF0000FF"/>
      <name val="Arial"/>
      <family val="2"/>
    </font>
  </fonts>
  <fills count="60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mediumGray">
        <fgColor indexed="22"/>
      </patternFill>
    </fill>
    <fill>
      <patternFill patternType="solid">
        <fgColor indexed="2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CCFFCC"/>
        <bgColor indexed="64"/>
      </patternFill>
    </fill>
  </fills>
  <borders count="57">
    <border>
      <left/>
      <right/>
      <top/>
      <bottom/>
      <diagonal/>
    </border>
    <border>
      <left/>
      <right/>
      <top style="double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1065">
    <xf numFmtId="0" fontId="0" fillId="0" borderId="0"/>
    <xf numFmtId="0" fontId="2" fillId="2" borderId="0" applyNumberFormat="0" applyBorder="0" applyAlignment="0" applyProtection="0"/>
    <xf numFmtId="0" fontId="101" fillId="28" borderId="0" applyNumberFormat="0" applyBorder="0" applyAlignment="0" applyProtection="0"/>
    <xf numFmtId="0" fontId="79" fillId="2" borderId="0" applyNumberFormat="0" applyBorder="0" applyAlignment="0" applyProtection="0"/>
    <xf numFmtId="0" fontId="101" fillId="28" borderId="0" applyNumberFormat="0" applyBorder="0" applyAlignment="0" applyProtection="0"/>
    <xf numFmtId="0" fontId="2" fillId="2" borderId="0" applyNumberFormat="0" applyBorder="0" applyAlignment="0" applyProtection="0"/>
    <xf numFmtId="0" fontId="79" fillId="2" borderId="0" applyNumberFormat="0" applyBorder="0" applyAlignment="0" applyProtection="0"/>
    <xf numFmtId="0" fontId="2" fillId="3" borderId="0" applyNumberFormat="0" applyBorder="0" applyAlignment="0" applyProtection="0"/>
    <xf numFmtId="0" fontId="101" fillId="29" borderId="0" applyNumberFormat="0" applyBorder="0" applyAlignment="0" applyProtection="0"/>
    <xf numFmtId="0" fontId="79" fillId="3" borderId="0" applyNumberFormat="0" applyBorder="0" applyAlignment="0" applyProtection="0"/>
    <xf numFmtId="0" fontId="101" fillId="29" borderId="0" applyNumberFormat="0" applyBorder="0" applyAlignment="0" applyProtection="0"/>
    <xf numFmtId="0" fontId="2" fillId="3" borderId="0" applyNumberFormat="0" applyBorder="0" applyAlignment="0" applyProtection="0"/>
    <xf numFmtId="0" fontId="79" fillId="3" borderId="0" applyNumberFormat="0" applyBorder="0" applyAlignment="0" applyProtection="0"/>
    <xf numFmtId="0" fontId="2" fillId="4" borderId="0" applyNumberFormat="0" applyBorder="0" applyAlignment="0" applyProtection="0"/>
    <xf numFmtId="0" fontId="101" fillId="30" borderId="0" applyNumberFormat="0" applyBorder="0" applyAlignment="0" applyProtection="0"/>
    <xf numFmtId="0" fontId="79" fillId="4" borderId="0" applyNumberFormat="0" applyBorder="0" applyAlignment="0" applyProtection="0"/>
    <xf numFmtId="0" fontId="101" fillId="30" borderId="0" applyNumberFormat="0" applyBorder="0" applyAlignment="0" applyProtection="0"/>
    <xf numFmtId="0" fontId="2" fillId="4" borderId="0" applyNumberFormat="0" applyBorder="0" applyAlignment="0" applyProtection="0"/>
    <xf numFmtId="0" fontId="79" fillId="4" borderId="0" applyNumberFormat="0" applyBorder="0" applyAlignment="0" applyProtection="0"/>
    <xf numFmtId="0" fontId="2" fillId="5" borderId="0" applyNumberFormat="0" applyBorder="0" applyAlignment="0" applyProtection="0"/>
    <xf numFmtId="0" fontId="101" fillId="31" borderId="0" applyNumberFormat="0" applyBorder="0" applyAlignment="0" applyProtection="0"/>
    <xf numFmtId="0" fontId="79" fillId="5" borderId="0" applyNumberFormat="0" applyBorder="0" applyAlignment="0" applyProtection="0"/>
    <xf numFmtId="0" fontId="101" fillId="31" borderId="0" applyNumberFormat="0" applyBorder="0" applyAlignment="0" applyProtection="0"/>
    <xf numFmtId="0" fontId="2" fillId="5" borderId="0" applyNumberFormat="0" applyBorder="0" applyAlignment="0" applyProtection="0"/>
    <xf numFmtId="0" fontId="79" fillId="5" borderId="0" applyNumberFormat="0" applyBorder="0" applyAlignment="0" applyProtection="0"/>
    <xf numFmtId="0" fontId="2" fillId="6" borderId="0" applyNumberFormat="0" applyBorder="0" applyAlignment="0" applyProtection="0"/>
    <xf numFmtId="0" fontId="101" fillId="32" borderId="0" applyNumberFormat="0" applyBorder="0" applyAlignment="0" applyProtection="0"/>
    <xf numFmtId="0" fontId="79" fillId="6" borderId="0" applyNumberFormat="0" applyBorder="0" applyAlignment="0" applyProtection="0"/>
    <xf numFmtId="0" fontId="101" fillId="32" borderId="0" applyNumberFormat="0" applyBorder="0" applyAlignment="0" applyProtection="0"/>
    <xf numFmtId="0" fontId="2" fillId="6" borderId="0" applyNumberFormat="0" applyBorder="0" applyAlignment="0" applyProtection="0"/>
    <xf numFmtId="0" fontId="79" fillId="6" borderId="0" applyNumberFormat="0" applyBorder="0" applyAlignment="0" applyProtection="0"/>
    <xf numFmtId="0" fontId="2" fillId="7" borderId="0" applyNumberFormat="0" applyBorder="0" applyAlignment="0" applyProtection="0"/>
    <xf numFmtId="0" fontId="101" fillId="33" borderId="0" applyNumberFormat="0" applyBorder="0" applyAlignment="0" applyProtection="0"/>
    <xf numFmtId="0" fontId="79" fillId="7" borderId="0" applyNumberFormat="0" applyBorder="0" applyAlignment="0" applyProtection="0"/>
    <xf numFmtId="0" fontId="101" fillId="33" borderId="0" applyNumberFormat="0" applyBorder="0" applyAlignment="0" applyProtection="0"/>
    <xf numFmtId="0" fontId="2" fillId="7" borderId="0" applyNumberFormat="0" applyBorder="0" applyAlignment="0" applyProtection="0"/>
    <xf numFmtId="0" fontId="79" fillId="7" borderId="0" applyNumberFormat="0" applyBorder="0" applyAlignment="0" applyProtection="0"/>
    <xf numFmtId="0" fontId="2" fillId="8" borderId="0" applyNumberFormat="0" applyBorder="0" applyAlignment="0" applyProtection="0"/>
    <xf numFmtId="0" fontId="101" fillId="34" borderId="0" applyNumberFormat="0" applyBorder="0" applyAlignment="0" applyProtection="0"/>
    <xf numFmtId="0" fontId="79" fillId="8" borderId="0" applyNumberFormat="0" applyBorder="0" applyAlignment="0" applyProtection="0"/>
    <xf numFmtId="0" fontId="101" fillId="34" borderId="0" applyNumberFormat="0" applyBorder="0" applyAlignment="0" applyProtection="0"/>
    <xf numFmtId="0" fontId="2" fillId="8" borderId="0" applyNumberFormat="0" applyBorder="0" applyAlignment="0" applyProtection="0"/>
    <xf numFmtId="0" fontId="79" fillId="8" borderId="0" applyNumberFormat="0" applyBorder="0" applyAlignment="0" applyProtection="0"/>
    <xf numFmtId="0" fontId="2" fillId="9" borderId="0" applyNumberFormat="0" applyBorder="0" applyAlignment="0" applyProtection="0"/>
    <xf numFmtId="0" fontId="101" fillId="35" borderId="0" applyNumberFormat="0" applyBorder="0" applyAlignment="0" applyProtection="0"/>
    <xf numFmtId="0" fontId="79" fillId="9" borderId="0" applyNumberFormat="0" applyBorder="0" applyAlignment="0" applyProtection="0"/>
    <xf numFmtId="0" fontId="101" fillId="35" borderId="0" applyNumberFormat="0" applyBorder="0" applyAlignment="0" applyProtection="0"/>
    <xf numFmtId="0" fontId="2" fillId="9" borderId="0" applyNumberFormat="0" applyBorder="0" applyAlignment="0" applyProtection="0"/>
    <xf numFmtId="0" fontId="79" fillId="9" borderId="0" applyNumberFormat="0" applyBorder="0" applyAlignment="0" applyProtection="0"/>
    <xf numFmtId="0" fontId="2" fillId="10" borderId="0" applyNumberFormat="0" applyBorder="0" applyAlignment="0" applyProtection="0"/>
    <xf numFmtId="0" fontId="101" fillId="36" borderId="0" applyNumberFormat="0" applyBorder="0" applyAlignment="0" applyProtection="0"/>
    <xf numFmtId="0" fontId="79" fillId="10" borderId="0" applyNumberFormat="0" applyBorder="0" applyAlignment="0" applyProtection="0"/>
    <xf numFmtId="0" fontId="101" fillId="36" borderId="0" applyNumberFormat="0" applyBorder="0" applyAlignment="0" applyProtection="0"/>
    <xf numFmtId="0" fontId="2" fillId="10" borderId="0" applyNumberFormat="0" applyBorder="0" applyAlignment="0" applyProtection="0"/>
    <xf numFmtId="0" fontId="79" fillId="10" borderId="0" applyNumberFormat="0" applyBorder="0" applyAlignment="0" applyProtection="0"/>
    <xf numFmtId="0" fontId="2" fillId="5" borderId="0" applyNumberFormat="0" applyBorder="0" applyAlignment="0" applyProtection="0"/>
    <xf numFmtId="0" fontId="101" fillId="37" borderId="0" applyNumberFormat="0" applyBorder="0" applyAlignment="0" applyProtection="0"/>
    <xf numFmtId="0" fontId="79" fillId="5" borderId="0" applyNumberFormat="0" applyBorder="0" applyAlignment="0" applyProtection="0"/>
    <xf numFmtId="0" fontId="101" fillId="37" borderId="0" applyNumberFormat="0" applyBorder="0" applyAlignment="0" applyProtection="0"/>
    <xf numFmtId="0" fontId="2" fillId="5" borderId="0" applyNumberFormat="0" applyBorder="0" applyAlignment="0" applyProtection="0"/>
    <xf numFmtId="0" fontId="79" fillId="5" borderId="0" applyNumberFormat="0" applyBorder="0" applyAlignment="0" applyProtection="0"/>
    <xf numFmtId="0" fontId="2" fillId="8" borderId="0" applyNumberFormat="0" applyBorder="0" applyAlignment="0" applyProtection="0"/>
    <xf numFmtId="0" fontId="101" fillId="38" borderId="0" applyNumberFormat="0" applyBorder="0" applyAlignment="0" applyProtection="0"/>
    <xf numFmtId="0" fontId="79" fillId="8" borderId="0" applyNumberFormat="0" applyBorder="0" applyAlignment="0" applyProtection="0"/>
    <xf numFmtId="0" fontId="101" fillId="38" borderId="0" applyNumberFormat="0" applyBorder="0" applyAlignment="0" applyProtection="0"/>
    <xf numFmtId="0" fontId="2" fillId="8" borderId="0" applyNumberFormat="0" applyBorder="0" applyAlignment="0" applyProtection="0"/>
    <xf numFmtId="0" fontId="79" fillId="8" borderId="0" applyNumberFormat="0" applyBorder="0" applyAlignment="0" applyProtection="0"/>
    <xf numFmtId="0" fontId="2" fillId="11" borderId="0" applyNumberFormat="0" applyBorder="0" applyAlignment="0" applyProtection="0"/>
    <xf numFmtId="0" fontId="101" fillId="39" borderId="0" applyNumberFormat="0" applyBorder="0" applyAlignment="0" applyProtection="0"/>
    <xf numFmtId="0" fontId="79" fillId="11" borderId="0" applyNumberFormat="0" applyBorder="0" applyAlignment="0" applyProtection="0"/>
    <xf numFmtId="0" fontId="101" fillId="39" borderId="0" applyNumberFormat="0" applyBorder="0" applyAlignment="0" applyProtection="0"/>
    <xf numFmtId="0" fontId="2" fillId="11" borderId="0" applyNumberFormat="0" applyBorder="0" applyAlignment="0" applyProtection="0"/>
    <xf numFmtId="0" fontId="79" fillId="11" borderId="0" applyNumberFormat="0" applyBorder="0" applyAlignment="0" applyProtection="0"/>
    <xf numFmtId="0" fontId="3" fillId="12" borderId="0" applyNumberFormat="0" applyBorder="0" applyAlignment="0" applyProtection="0"/>
    <xf numFmtId="0" fontId="102" fillId="40" borderId="0" applyNumberFormat="0" applyBorder="0" applyAlignment="0" applyProtection="0"/>
    <xf numFmtId="0" fontId="85" fillId="12" borderId="0" applyNumberFormat="0" applyBorder="0" applyAlignment="0" applyProtection="0"/>
    <xf numFmtId="0" fontId="102" fillId="40" borderId="0" applyNumberFormat="0" applyBorder="0" applyAlignment="0" applyProtection="0"/>
    <xf numFmtId="0" fontId="3" fillId="12" borderId="0" applyNumberFormat="0" applyBorder="0" applyAlignment="0" applyProtection="0"/>
    <xf numFmtId="0" fontId="85" fillId="12" borderId="0" applyNumberFormat="0" applyBorder="0" applyAlignment="0" applyProtection="0"/>
    <xf numFmtId="0" fontId="3" fillId="9" borderId="0" applyNumberFormat="0" applyBorder="0" applyAlignment="0" applyProtection="0"/>
    <xf numFmtId="0" fontId="102" fillId="41" borderId="0" applyNumberFormat="0" applyBorder="0" applyAlignment="0" applyProtection="0"/>
    <xf numFmtId="0" fontId="85" fillId="9" borderId="0" applyNumberFormat="0" applyBorder="0" applyAlignment="0" applyProtection="0"/>
    <xf numFmtId="0" fontId="102" fillId="41" borderId="0" applyNumberFormat="0" applyBorder="0" applyAlignment="0" applyProtection="0"/>
    <xf numFmtId="0" fontId="3" fillId="9" borderId="0" applyNumberFormat="0" applyBorder="0" applyAlignment="0" applyProtection="0"/>
    <xf numFmtId="0" fontId="85" fillId="9" borderId="0" applyNumberFormat="0" applyBorder="0" applyAlignment="0" applyProtection="0"/>
    <xf numFmtId="0" fontId="3" fillId="10" borderId="0" applyNumberFormat="0" applyBorder="0" applyAlignment="0" applyProtection="0"/>
    <xf numFmtId="0" fontId="102" fillId="42" borderId="0" applyNumberFormat="0" applyBorder="0" applyAlignment="0" applyProtection="0"/>
    <xf numFmtId="0" fontId="85" fillId="10" borderId="0" applyNumberFormat="0" applyBorder="0" applyAlignment="0" applyProtection="0"/>
    <xf numFmtId="0" fontId="102" fillId="42" borderId="0" applyNumberFormat="0" applyBorder="0" applyAlignment="0" applyProtection="0"/>
    <xf numFmtId="0" fontId="3" fillId="10" borderId="0" applyNumberFormat="0" applyBorder="0" applyAlignment="0" applyProtection="0"/>
    <xf numFmtId="0" fontId="85" fillId="10" borderId="0" applyNumberFormat="0" applyBorder="0" applyAlignment="0" applyProtection="0"/>
    <xf numFmtId="0" fontId="3" fillId="13" borderId="0" applyNumberFormat="0" applyBorder="0" applyAlignment="0" applyProtection="0"/>
    <xf numFmtId="0" fontId="102" fillId="43" borderId="0" applyNumberFormat="0" applyBorder="0" applyAlignment="0" applyProtection="0"/>
    <xf numFmtId="0" fontId="85" fillId="13" borderId="0" applyNumberFormat="0" applyBorder="0" applyAlignment="0" applyProtection="0"/>
    <xf numFmtId="0" fontId="102" fillId="43" borderId="0" applyNumberFormat="0" applyBorder="0" applyAlignment="0" applyProtection="0"/>
    <xf numFmtId="0" fontId="3" fillId="13" borderId="0" applyNumberFormat="0" applyBorder="0" applyAlignment="0" applyProtection="0"/>
    <xf numFmtId="0" fontId="85" fillId="13" borderId="0" applyNumberFormat="0" applyBorder="0" applyAlignment="0" applyProtection="0"/>
    <xf numFmtId="0" fontId="3" fillId="14" borderId="0" applyNumberFormat="0" applyBorder="0" applyAlignment="0" applyProtection="0"/>
    <xf numFmtId="0" fontId="102" fillId="44" borderId="0" applyNumberFormat="0" applyBorder="0" applyAlignment="0" applyProtection="0"/>
    <xf numFmtId="0" fontId="85" fillId="14" borderId="0" applyNumberFormat="0" applyBorder="0" applyAlignment="0" applyProtection="0"/>
    <xf numFmtId="0" fontId="102" fillId="44" borderId="0" applyNumberFormat="0" applyBorder="0" applyAlignment="0" applyProtection="0"/>
    <xf numFmtId="0" fontId="3" fillId="14" borderId="0" applyNumberFormat="0" applyBorder="0" applyAlignment="0" applyProtection="0"/>
    <xf numFmtId="0" fontId="85" fillId="14" borderId="0" applyNumberFormat="0" applyBorder="0" applyAlignment="0" applyProtection="0"/>
    <xf numFmtId="0" fontId="3" fillId="15" borderId="0" applyNumberFormat="0" applyBorder="0" applyAlignment="0" applyProtection="0"/>
    <xf numFmtId="0" fontId="102" fillId="45" borderId="0" applyNumberFormat="0" applyBorder="0" applyAlignment="0" applyProtection="0"/>
    <xf numFmtId="0" fontId="85" fillId="15" borderId="0" applyNumberFormat="0" applyBorder="0" applyAlignment="0" applyProtection="0"/>
    <xf numFmtId="0" fontId="102" fillId="45" borderId="0" applyNumberFormat="0" applyBorder="0" applyAlignment="0" applyProtection="0"/>
    <xf numFmtId="0" fontId="3" fillId="15" borderId="0" applyNumberFormat="0" applyBorder="0" applyAlignment="0" applyProtection="0"/>
    <xf numFmtId="0" fontId="85" fillId="15" borderId="0" applyNumberFormat="0" applyBorder="0" applyAlignment="0" applyProtection="0"/>
    <xf numFmtId="0" fontId="3" fillId="16" borderId="0" applyNumberFormat="0" applyBorder="0" applyAlignment="0" applyProtection="0"/>
    <xf numFmtId="0" fontId="102" fillId="46" borderId="0" applyNumberFormat="0" applyBorder="0" applyAlignment="0" applyProtection="0"/>
    <xf numFmtId="0" fontId="85" fillId="16" borderId="0" applyNumberFormat="0" applyBorder="0" applyAlignment="0" applyProtection="0"/>
    <xf numFmtId="0" fontId="102" fillId="46" borderId="0" applyNumberFormat="0" applyBorder="0" applyAlignment="0" applyProtection="0"/>
    <xf numFmtId="0" fontId="3" fillId="16" borderId="0" applyNumberFormat="0" applyBorder="0" applyAlignment="0" applyProtection="0"/>
    <xf numFmtId="0" fontId="85" fillId="16" borderId="0" applyNumberFormat="0" applyBorder="0" applyAlignment="0" applyProtection="0"/>
    <xf numFmtId="0" fontId="3" fillId="17" borderId="0" applyNumberFormat="0" applyBorder="0" applyAlignment="0" applyProtection="0"/>
    <xf numFmtId="0" fontId="102" fillId="47" borderId="0" applyNumberFormat="0" applyBorder="0" applyAlignment="0" applyProtection="0"/>
    <xf numFmtId="0" fontId="85" fillId="17" borderId="0" applyNumberFormat="0" applyBorder="0" applyAlignment="0" applyProtection="0"/>
    <xf numFmtId="0" fontId="102" fillId="47" borderId="0" applyNumberFormat="0" applyBorder="0" applyAlignment="0" applyProtection="0"/>
    <xf numFmtId="0" fontId="3" fillId="17" borderId="0" applyNumberFormat="0" applyBorder="0" applyAlignment="0" applyProtection="0"/>
    <xf numFmtId="0" fontId="85" fillId="17" borderId="0" applyNumberFormat="0" applyBorder="0" applyAlignment="0" applyProtection="0"/>
    <xf numFmtId="0" fontId="3" fillId="18" borderId="0" applyNumberFormat="0" applyBorder="0" applyAlignment="0" applyProtection="0"/>
    <xf numFmtId="0" fontId="102" fillId="48" borderId="0" applyNumberFormat="0" applyBorder="0" applyAlignment="0" applyProtection="0"/>
    <xf numFmtId="0" fontId="85" fillId="18" borderId="0" applyNumberFormat="0" applyBorder="0" applyAlignment="0" applyProtection="0"/>
    <xf numFmtId="0" fontId="102" fillId="48" borderId="0" applyNumberFormat="0" applyBorder="0" applyAlignment="0" applyProtection="0"/>
    <xf numFmtId="0" fontId="3" fillId="18" borderId="0" applyNumberFormat="0" applyBorder="0" applyAlignment="0" applyProtection="0"/>
    <xf numFmtId="0" fontId="85" fillId="18" borderId="0" applyNumberFormat="0" applyBorder="0" applyAlignment="0" applyProtection="0"/>
    <xf numFmtId="0" fontId="3" fillId="13" borderId="0" applyNumberFormat="0" applyBorder="0" applyAlignment="0" applyProtection="0"/>
    <xf numFmtId="0" fontId="102" fillId="49" borderId="0" applyNumberFormat="0" applyBorder="0" applyAlignment="0" applyProtection="0"/>
    <xf numFmtId="0" fontId="85" fillId="13" borderId="0" applyNumberFormat="0" applyBorder="0" applyAlignment="0" applyProtection="0"/>
    <xf numFmtId="0" fontId="102" fillId="49" borderId="0" applyNumberFormat="0" applyBorder="0" applyAlignment="0" applyProtection="0"/>
    <xf numFmtId="0" fontId="3" fillId="13" borderId="0" applyNumberFormat="0" applyBorder="0" applyAlignment="0" applyProtection="0"/>
    <xf numFmtId="0" fontId="85" fillId="13" borderId="0" applyNumberFormat="0" applyBorder="0" applyAlignment="0" applyProtection="0"/>
    <xf numFmtId="0" fontId="3" fillId="14" borderId="0" applyNumberFormat="0" applyBorder="0" applyAlignment="0" applyProtection="0"/>
    <xf numFmtId="0" fontId="102" fillId="50" borderId="0" applyNumberFormat="0" applyBorder="0" applyAlignment="0" applyProtection="0"/>
    <xf numFmtId="0" fontId="85" fillId="14" borderId="0" applyNumberFormat="0" applyBorder="0" applyAlignment="0" applyProtection="0"/>
    <xf numFmtId="0" fontId="102" fillId="50" borderId="0" applyNumberFormat="0" applyBorder="0" applyAlignment="0" applyProtection="0"/>
    <xf numFmtId="0" fontId="3" fillId="14" borderId="0" applyNumberFormat="0" applyBorder="0" applyAlignment="0" applyProtection="0"/>
    <xf numFmtId="0" fontId="85" fillId="14" borderId="0" applyNumberFormat="0" applyBorder="0" applyAlignment="0" applyProtection="0"/>
    <xf numFmtId="0" fontId="3" fillId="19" borderId="0" applyNumberFormat="0" applyBorder="0" applyAlignment="0" applyProtection="0"/>
    <xf numFmtId="0" fontId="102" fillId="51" borderId="0" applyNumberFormat="0" applyBorder="0" applyAlignment="0" applyProtection="0"/>
    <xf numFmtId="0" fontId="85" fillId="19" borderId="0" applyNumberFormat="0" applyBorder="0" applyAlignment="0" applyProtection="0"/>
    <xf numFmtId="0" fontId="102" fillId="51" borderId="0" applyNumberFormat="0" applyBorder="0" applyAlignment="0" applyProtection="0"/>
    <xf numFmtId="0" fontId="3" fillId="19" borderId="0" applyNumberFormat="0" applyBorder="0" applyAlignment="0" applyProtection="0"/>
    <xf numFmtId="0" fontId="85" fillId="19" borderId="0" applyNumberFormat="0" applyBorder="0" applyAlignment="0" applyProtection="0"/>
    <xf numFmtId="0" fontId="4" fillId="3" borderId="0" applyNumberFormat="0" applyBorder="0" applyAlignment="0" applyProtection="0"/>
    <xf numFmtId="0" fontId="103" fillId="52" borderId="0" applyNumberFormat="0" applyBorder="0" applyAlignment="0" applyProtection="0"/>
    <xf numFmtId="0" fontId="86" fillId="3" borderId="0" applyNumberFormat="0" applyBorder="0" applyAlignment="0" applyProtection="0"/>
    <xf numFmtId="0" fontId="103" fillId="52" borderId="0" applyNumberFormat="0" applyBorder="0" applyAlignment="0" applyProtection="0"/>
    <xf numFmtId="0" fontId="4" fillId="3" borderId="0" applyNumberFormat="0" applyBorder="0" applyAlignment="0" applyProtection="0"/>
    <xf numFmtId="0" fontId="86" fillId="3" borderId="0" applyNumberFormat="0" applyBorder="0" applyAlignment="0" applyProtection="0"/>
    <xf numFmtId="169" fontId="5" fillId="0" borderId="0" applyFill="0"/>
    <xf numFmtId="169" fontId="5" fillId="0" borderId="0">
      <alignment horizontal="center"/>
    </xf>
    <xf numFmtId="0" fontId="5" fillId="0" borderId="0" applyFill="0">
      <alignment horizontal="center"/>
    </xf>
    <xf numFmtId="169" fontId="6" fillId="0" borderId="1" applyFill="0"/>
    <xf numFmtId="0" fontId="7" fillId="0" borderId="0" applyFont="0" applyAlignment="0"/>
    <xf numFmtId="0" fontId="7" fillId="0" borderId="0" applyFont="0" applyAlignment="0"/>
    <xf numFmtId="0" fontId="8" fillId="0" borderId="0" applyFill="0">
      <alignment vertical="top"/>
    </xf>
    <xf numFmtId="0" fontId="6" fillId="0" borderId="0" applyFill="0">
      <alignment horizontal="left" vertical="top"/>
    </xf>
    <xf numFmtId="169" fontId="9" fillId="0" borderId="2" applyFill="0"/>
    <xf numFmtId="0" fontId="7" fillId="0" borderId="0" applyNumberFormat="0" applyFont="0" applyAlignment="0"/>
    <xf numFmtId="0" fontId="7" fillId="0" borderId="0" applyNumberFormat="0" applyFont="0" applyAlignment="0"/>
    <xf numFmtId="0" fontId="8" fillId="0" borderId="0" applyFill="0">
      <alignment wrapText="1"/>
    </xf>
    <xf numFmtId="0" fontId="6" fillId="0" borderId="0" applyFill="0">
      <alignment horizontal="left" vertical="top" wrapText="1"/>
    </xf>
    <xf numFmtId="169" fontId="10" fillId="0" borderId="0" applyFill="0"/>
    <xf numFmtId="0" fontId="11" fillId="0" borderId="0" applyNumberFormat="0" applyFont="0" applyAlignment="0">
      <alignment horizontal="center"/>
    </xf>
    <xf numFmtId="0" fontId="12" fillId="0" borderId="0" applyFill="0">
      <alignment vertical="top" wrapText="1"/>
    </xf>
    <xf numFmtId="0" fontId="9" fillId="0" borderId="0" applyFill="0">
      <alignment horizontal="left" vertical="top" wrapText="1"/>
    </xf>
    <xf numFmtId="169" fontId="7" fillId="0" borderId="0" applyFill="0"/>
    <xf numFmtId="169" fontId="7" fillId="0" borderId="0" applyFill="0"/>
    <xf numFmtId="0" fontId="11" fillId="0" borderId="0" applyNumberFormat="0" applyFont="0" applyAlignment="0">
      <alignment horizontal="center"/>
    </xf>
    <xf numFmtId="0" fontId="13" fillId="0" borderId="0" applyFill="0">
      <alignment vertical="center" wrapText="1"/>
    </xf>
    <xf numFmtId="0" fontId="14" fillId="0" borderId="0">
      <alignment horizontal="left" vertical="center" wrapText="1"/>
    </xf>
    <xf numFmtId="169" fontId="15" fillId="0" borderId="0" applyFill="0"/>
    <xf numFmtId="0" fontId="11" fillId="0" borderId="0" applyNumberFormat="0" applyFont="0" applyAlignment="0">
      <alignment horizontal="center"/>
    </xf>
    <xf numFmtId="0" fontId="16" fillId="0" borderId="0" applyFill="0">
      <alignment horizontal="center" vertical="center" wrapText="1"/>
    </xf>
    <xf numFmtId="0" fontId="7" fillId="0" borderId="0" applyFill="0">
      <alignment horizontal="center" vertical="center" wrapText="1"/>
    </xf>
    <xf numFmtId="0" fontId="7" fillId="0" borderId="0" applyFill="0">
      <alignment horizontal="center" vertical="center" wrapText="1"/>
    </xf>
    <xf numFmtId="169" fontId="17" fillId="0" borderId="0" applyFill="0"/>
    <xf numFmtId="0" fontId="11" fillId="0" borderId="0" applyNumberFormat="0" applyFont="0" applyAlignment="0">
      <alignment horizontal="center"/>
    </xf>
    <xf numFmtId="0" fontId="18" fillId="0" borderId="0" applyFill="0">
      <alignment horizontal="center" vertical="center" wrapText="1"/>
    </xf>
    <xf numFmtId="0" fontId="19" fillId="0" borderId="0" applyFill="0">
      <alignment horizontal="center" vertical="center" wrapText="1"/>
    </xf>
    <xf numFmtId="169" fontId="20" fillId="0" borderId="0" applyFill="0"/>
    <xf numFmtId="0" fontId="11" fillId="0" borderId="0" applyNumberFormat="0" applyFont="0" applyAlignment="0">
      <alignment horizontal="center"/>
    </xf>
    <xf numFmtId="0" fontId="21" fillId="0" borderId="0">
      <alignment horizontal="center" wrapText="1"/>
    </xf>
    <xf numFmtId="0" fontId="17" fillId="0" borderId="0" applyFill="0">
      <alignment horizontal="center" wrapText="1"/>
    </xf>
    <xf numFmtId="0" fontId="22" fillId="20" borderId="3" applyNumberFormat="0" applyAlignment="0" applyProtection="0"/>
    <xf numFmtId="0" fontId="104" fillId="53" borderId="48" applyNumberFormat="0" applyAlignment="0" applyProtection="0"/>
    <xf numFmtId="0" fontId="87" fillId="20" borderId="3" applyNumberFormat="0" applyAlignment="0" applyProtection="0"/>
    <xf numFmtId="0" fontId="104" fillId="53" borderId="48" applyNumberFormat="0" applyAlignment="0" applyProtection="0"/>
    <xf numFmtId="0" fontId="22" fillId="20" borderId="3" applyNumberFormat="0" applyAlignment="0" applyProtection="0"/>
    <xf numFmtId="0" fontId="87" fillId="20" borderId="3" applyNumberFormat="0" applyAlignment="0" applyProtection="0"/>
    <xf numFmtId="0" fontId="23" fillId="21" borderId="4" applyNumberFormat="0" applyAlignment="0" applyProtection="0"/>
    <xf numFmtId="0" fontId="105" fillId="54" borderId="49" applyNumberFormat="0" applyAlignment="0" applyProtection="0"/>
    <xf numFmtId="0" fontId="88" fillId="21" borderId="4" applyNumberFormat="0" applyAlignment="0" applyProtection="0"/>
    <xf numFmtId="0" fontId="105" fillId="54" borderId="49" applyNumberFormat="0" applyAlignment="0" applyProtection="0"/>
    <xf numFmtId="0" fontId="23" fillId="21" borderId="4" applyNumberFormat="0" applyAlignment="0" applyProtection="0"/>
    <xf numFmtId="0" fontId="88" fillId="21" borderId="4" applyNumberFormat="0" applyAlignment="0" applyProtection="0"/>
    <xf numFmtId="43" fontId="1" fillId="0" borderId="0" applyFont="0" applyFill="0" applyBorder="0" applyAlignment="0" applyProtection="0"/>
    <xf numFmtId="41" fontId="7" fillId="0" borderId="0" applyFont="0" applyFill="0" applyBorder="0" applyAlignment="0" applyProtection="0"/>
    <xf numFmtId="41" fontId="7" fillId="0" borderId="0" applyFont="0" applyFill="0" applyBorder="0" applyAlignment="0" applyProtection="0"/>
    <xf numFmtId="40" fontId="35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0" fontId="35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0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0" fontId="35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3" fontId="7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0" fontId="35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0" fontId="35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97" fillId="0" borderId="0" applyFont="0" applyFill="0" applyBorder="0" applyAlignment="0" applyProtection="0"/>
    <xf numFmtId="3" fontId="9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9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9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101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5" fontId="7" fillId="0" borderId="0" applyFont="0" applyFill="0" applyBorder="0" applyAlignment="0" applyProtection="0"/>
    <xf numFmtId="180" fontId="97" fillId="0" borderId="0" applyFont="0" applyFill="0" applyBorder="0" applyAlignment="0" applyProtection="0"/>
    <xf numFmtId="180" fontId="97" fillId="0" borderId="0" applyFont="0" applyFill="0" applyBorder="0" applyAlignment="0" applyProtection="0"/>
    <xf numFmtId="5" fontId="7" fillId="0" borderId="0" applyFont="0" applyFill="0" applyBorder="0" applyAlignment="0" applyProtection="0"/>
    <xf numFmtId="180" fontId="97" fillId="0" borderId="0" applyFont="0" applyFill="0" applyBorder="0" applyAlignment="0" applyProtection="0"/>
    <xf numFmtId="5" fontId="7" fillId="0" borderId="0" applyFont="0" applyFill="0" applyBorder="0" applyAlignment="0" applyProtection="0"/>
    <xf numFmtId="5" fontId="7" fillId="0" borderId="0" applyFont="0" applyFill="0" applyBorder="0" applyAlignment="0" applyProtection="0"/>
    <xf numFmtId="180" fontId="97" fillId="0" borderId="0" applyFont="0" applyFill="0" applyBorder="0" applyAlignment="0" applyProtection="0"/>
    <xf numFmtId="14" fontId="7" fillId="0" borderId="0" applyFont="0" applyFill="0" applyBorder="0" applyAlignment="0" applyProtection="0"/>
    <xf numFmtId="0" fontId="97" fillId="0" borderId="0" applyFont="0" applyFill="0" applyBorder="0" applyAlignment="0" applyProtection="0"/>
    <xf numFmtId="0" fontId="97" fillId="0" borderId="0" applyFont="0" applyFill="0" applyBorder="0" applyAlignment="0" applyProtection="0"/>
    <xf numFmtId="14" fontId="7" fillId="0" borderId="0" applyFont="0" applyFill="0" applyBorder="0" applyAlignment="0" applyProtection="0"/>
    <xf numFmtId="0" fontId="97" fillId="0" borderId="0" applyFont="0" applyFill="0" applyBorder="0" applyAlignment="0" applyProtection="0"/>
    <xf numFmtId="14" fontId="7" fillId="0" borderId="0" applyFont="0" applyFill="0" applyBorder="0" applyAlignment="0" applyProtection="0"/>
    <xf numFmtId="14" fontId="7" fillId="0" borderId="0" applyFont="0" applyFill="0" applyBorder="0" applyAlignment="0" applyProtection="0"/>
    <xf numFmtId="0" fontId="97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2" fontId="7" fillId="0" borderId="0" applyFont="0" applyFill="0" applyBorder="0" applyAlignment="0" applyProtection="0"/>
    <xf numFmtId="2" fontId="97" fillId="0" borderId="0" applyFont="0" applyFill="0" applyBorder="0" applyAlignment="0" applyProtection="0"/>
    <xf numFmtId="2" fontId="97" fillId="0" borderId="0" applyFont="0" applyFill="0" applyBorder="0" applyAlignment="0" applyProtection="0"/>
    <xf numFmtId="2" fontId="7" fillId="0" borderId="0" applyFont="0" applyFill="0" applyBorder="0" applyAlignment="0" applyProtection="0"/>
    <xf numFmtId="2" fontId="97" fillId="0" borderId="0" applyFont="0" applyFill="0" applyBorder="0" applyAlignment="0" applyProtection="0"/>
    <xf numFmtId="2" fontId="7" fillId="0" borderId="0" applyFont="0" applyFill="0" applyBorder="0" applyAlignment="0" applyProtection="0"/>
    <xf numFmtId="2" fontId="7" fillId="0" borderId="0" applyFont="0" applyFill="0" applyBorder="0" applyAlignment="0" applyProtection="0"/>
    <xf numFmtId="2" fontId="97" fillId="0" borderId="0" applyFont="0" applyFill="0" applyBorder="0" applyAlignment="0" applyProtection="0"/>
    <xf numFmtId="0" fontId="25" fillId="4" borderId="0" applyNumberFormat="0" applyBorder="0" applyAlignment="0" applyProtection="0"/>
    <xf numFmtId="0" fontId="107" fillId="55" borderId="0" applyNumberFormat="0" applyBorder="0" applyAlignment="0" applyProtection="0"/>
    <xf numFmtId="0" fontId="90" fillId="4" borderId="0" applyNumberFormat="0" applyBorder="0" applyAlignment="0" applyProtection="0"/>
    <xf numFmtId="0" fontId="107" fillId="55" borderId="0" applyNumberFormat="0" applyBorder="0" applyAlignment="0" applyProtection="0"/>
    <xf numFmtId="0" fontId="25" fillId="4" borderId="0" applyNumberFormat="0" applyBorder="0" applyAlignment="0" applyProtection="0"/>
    <xf numFmtId="0" fontId="90" fillId="4" borderId="0" applyNumberFormat="0" applyBorder="0" applyAlignment="0" applyProtection="0"/>
    <xf numFmtId="0" fontId="26" fillId="0" borderId="0" applyFont="0" applyFill="0" applyBorder="0" applyAlignment="0" applyProtection="0"/>
    <xf numFmtId="0" fontId="108" fillId="0" borderId="50" applyNumberFormat="0" applyFill="0" applyAlignment="0" applyProtection="0"/>
    <xf numFmtId="0" fontId="98" fillId="0" borderId="0" applyNumberFormat="0" applyFill="0" applyBorder="0" applyAlignment="0" applyProtection="0"/>
    <xf numFmtId="0" fontId="108" fillId="0" borderId="50" applyNumberFormat="0" applyFill="0" applyAlignment="0" applyProtection="0"/>
    <xf numFmtId="0" fontId="26" fillId="0" borderId="0" applyFon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" fillId="0" borderId="0" applyFont="0" applyFill="0" applyBorder="0" applyAlignment="0" applyProtection="0"/>
    <xf numFmtId="0" fontId="109" fillId="0" borderId="51" applyNumberFormat="0" applyFill="0" applyAlignment="0" applyProtection="0"/>
    <xf numFmtId="0" fontId="99" fillId="0" borderId="0" applyNumberFormat="0" applyFill="0" applyBorder="0" applyAlignment="0" applyProtection="0"/>
    <xf numFmtId="0" fontId="109" fillId="0" borderId="51" applyNumberFormat="0" applyFill="0" applyAlignment="0" applyProtection="0"/>
    <xf numFmtId="0" fontId="9" fillId="0" borderId="0" applyFon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27" fillId="0" borderId="5" applyNumberFormat="0" applyFill="0" applyAlignment="0" applyProtection="0"/>
    <xf numFmtId="0" fontId="110" fillId="0" borderId="52" applyNumberFormat="0" applyFill="0" applyAlignment="0" applyProtection="0"/>
    <xf numFmtId="0" fontId="91" fillId="0" borderId="5" applyNumberFormat="0" applyFill="0" applyAlignment="0" applyProtection="0"/>
    <xf numFmtId="0" fontId="110" fillId="0" borderId="52" applyNumberFormat="0" applyFill="0" applyAlignment="0" applyProtection="0"/>
    <xf numFmtId="0" fontId="27" fillId="0" borderId="5" applyNumberFormat="0" applyFill="0" applyAlignment="0" applyProtection="0"/>
    <xf numFmtId="0" fontId="91" fillId="0" borderId="5" applyNumberFormat="0" applyFill="0" applyAlignment="0" applyProtection="0"/>
    <xf numFmtId="0" fontId="27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28" fillId="0" borderId="6"/>
    <xf numFmtId="0" fontId="29" fillId="0" borderId="0"/>
    <xf numFmtId="0" fontId="30" fillId="7" borderId="3" applyNumberFormat="0" applyAlignment="0" applyProtection="0"/>
    <xf numFmtId="0" fontId="111" fillId="56" borderId="48" applyNumberFormat="0" applyAlignment="0" applyProtection="0"/>
    <xf numFmtId="0" fontId="92" fillId="7" borderId="3" applyNumberFormat="0" applyAlignment="0" applyProtection="0"/>
    <xf numFmtId="0" fontId="111" fillId="56" borderId="48" applyNumberFormat="0" applyAlignment="0" applyProtection="0"/>
    <xf numFmtId="0" fontId="30" fillId="7" borderId="3" applyNumberFormat="0" applyAlignment="0" applyProtection="0"/>
    <xf numFmtId="0" fontId="92" fillId="7" borderId="3" applyNumberFormat="0" applyAlignment="0" applyProtection="0"/>
    <xf numFmtId="0" fontId="31" fillId="0" borderId="7" applyNumberFormat="0" applyFill="0" applyAlignment="0" applyProtection="0"/>
    <xf numFmtId="0" fontId="112" fillId="0" borderId="53" applyNumberFormat="0" applyFill="0" applyAlignment="0" applyProtection="0"/>
    <xf numFmtId="0" fontId="93" fillId="0" borderId="7" applyNumberFormat="0" applyFill="0" applyAlignment="0" applyProtection="0"/>
    <xf numFmtId="0" fontId="112" fillId="0" borderId="53" applyNumberFormat="0" applyFill="0" applyAlignment="0" applyProtection="0"/>
    <xf numFmtId="0" fontId="31" fillId="0" borderId="7" applyNumberFormat="0" applyFill="0" applyAlignment="0" applyProtection="0"/>
    <xf numFmtId="0" fontId="93" fillId="0" borderId="7" applyNumberFormat="0" applyFill="0" applyAlignment="0" applyProtection="0"/>
    <xf numFmtId="181" fontId="7" fillId="0" borderId="0"/>
    <xf numFmtId="181" fontId="7" fillId="0" borderId="0"/>
    <xf numFmtId="181" fontId="7" fillId="0" borderId="0"/>
    <xf numFmtId="181" fontId="7" fillId="0" borderId="0"/>
    <xf numFmtId="181" fontId="7" fillId="0" borderId="0"/>
    <xf numFmtId="181" fontId="7" fillId="0" borderId="0"/>
    <xf numFmtId="181" fontId="7" fillId="0" borderId="0"/>
    <xf numFmtId="181" fontId="7" fillId="0" borderId="0"/>
    <xf numFmtId="181" fontId="7" fillId="0" borderId="0"/>
    <xf numFmtId="181" fontId="7" fillId="0" borderId="0"/>
    <xf numFmtId="181" fontId="7" fillId="0" borderId="0"/>
    <xf numFmtId="181" fontId="7" fillId="0" borderId="0"/>
    <xf numFmtId="181" fontId="7" fillId="0" borderId="0"/>
    <xf numFmtId="0" fontId="32" fillId="22" borderId="0" applyNumberFormat="0" applyBorder="0" applyAlignment="0" applyProtection="0"/>
    <xf numFmtId="0" fontId="113" fillId="57" borderId="0" applyNumberFormat="0" applyBorder="0" applyAlignment="0" applyProtection="0"/>
    <xf numFmtId="0" fontId="94" fillId="22" borderId="0" applyNumberFormat="0" applyBorder="0" applyAlignment="0" applyProtection="0"/>
    <xf numFmtId="0" fontId="113" fillId="57" borderId="0" applyNumberFormat="0" applyBorder="0" applyAlignment="0" applyProtection="0"/>
    <xf numFmtId="0" fontId="32" fillId="22" borderId="0" applyNumberFormat="0" applyBorder="0" applyAlignment="0" applyProtection="0"/>
    <xf numFmtId="0" fontId="94" fillId="22" borderId="0" applyNumberFormat="0" applyBorder="0" applyAlignment="0" applyProtection="0"/>
    <xf numFmtId="0" fontId="101" fillId="0" borderId="0"/>
    <xf numFmtId="0" fontId="35" fillId="0" borderId="0"/>
    <xf numFmtId="3" fontId="7" fillId="0" borderId="0"/>
    <xf numFmtId="3" fontId="7" fillId="0" borderId="0"/>
    <xf numFmtId="0" fontId="35" fillId="0" borderId="0"/>
    <xf numFmtId="0" fontId="35" fillId="0" borderId="0"/>
    <xf numFmtId="0" fontId="7" fillId="0" borderId="0"/>
    <xf numFmtId="0" fontId="7" fillId="0" borderId="0"/>
    <xf numFmtId="3" fontId="7" fillId="0" borderId="0"/>
    <xf numFmtId="0" fontId="7" fillId="0" borderId="0"/>
    <xf numFmtId="0" fontId="35" fillId="0" borderId="0"/>
    <xf numFmtId="0" fontId="35" fillId="0" borderId="0"/>
    <xf numFmtId="0" fontId="101" fillId="0" borderId="0"/>
    <xf numFmtId="3" fontId="7" fillId="0" borderId="0"/>
    <xf numFmtId="3" fontId="7" fillId="0" borderId="0"/>
    <xf numFmtId="3" fontId="7" fillId="0" borderId="0"/>
    <xf numFmtId="0" fontId="7" fillId="0" borderId="0"/>
    <xf numFmtId="3" fontId="7" fillId="0" borderId="0"/>
    <xf numFmtId="3" fontId="7" fillId="0" borderId="0"/>
    <xf numFmtId="3" fontId="7" fillId="0" borderId="0"/>
    <xf numFmtId="3" fontId="7" fillId="0" borderId="0"/>
    <xf numFmtId="0" fontId="7" fillId="0" borderId="0"/>
    <xf numFmtId="0" fontId="7" fillId="0" borderId="0"/>
    <xf numFmtId="0" fontId="7" fillId="0" borderId="0"/>
    <xf numFmtId="0" fontId="114" fillId="0" borderId="0"/>
    <xf numFmtId="0" fontId="100" fillId="0" borderId="0"/>
    <xf numFmtId="0" fontId="7" fillId="0" borderId="0"/>
    <xf numFmtId="0" fontId="7" fillId="0" borderId="0"/>
    <xf numFmtId="0" fontId="114" fillId="0" borderId="0"/>
    <xf numFmtId="3" fontId="7" fillId="0" borderId="0"/>
    <xf numFmtId="3" fontId="7" fillId="0" borderId="0"/>
    <xf numFmtId="3" fontId="7" fillId="0" borderId="0"/>
    <xf numFmtId="3" fontId="7" fillId="0" borderId="0"/>
    <xf numFmtId="3" fontId="7" fillId="0" borderId="0"/>
    <xf numFmtId="3" fontId="7" fillId="0" borderId="0"/>
    <xf numFmtId="3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00" fillId="0" borderId="0"/>
    <xf numFmtId="0" fontId="7" fillId="0" borderId="0"/>
    <xf numFmtId="3" fontId="7" fillId="0" borderId="0"/>
    <xf numFmtId="0" fontId="7" fillId="0" borderId="0"/>
    <xf numFmtId="3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0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3" fontId="7" fillId="0" borderId="0"/>
    <xf numFmtId="0" fontId="7" fillId="0" borderId="0"/>
    <xf numFmtId="0" fontId="35" fillId="0" borderId="0"/>
    <xf numFmtId="0" fontId="7" fillId="0" borderId="0"/>
    <xf numFmtId="0" fontId="7" fillId="0" borderId="0"/>
    <xf numFmtId="0" fontId="35" fillId="0" borderId="0"/>
    <xf numFmtId="0" fontId="35" fillId="0" borderId="0"/>
    <xf numFmtId="3" fontId="7" fillId="0" borderId="0"/>
    <xf numFmtId="3" fontId="7" fillId="0" borderId="0"/>
    <xf numFmtId="0" fontId="7" fillId="0" borderId="0"/>
    <xf numFmtId="0" fontId="101" fillId="0" borderId="0"/>
    <xf numFmtId="0" fontId="35" fillId="0" borderId="0"/>
    <xf numFmtId="0" fontId="7" fillId="0" borderId="0"/>
    <xf numFmtId="0" fontId="7" fillId="0" borderId="0"/>
    <xf numFmtId="0" fontId="7" fillId="0" borderId="0"/>
    <xf numFmtId="0" fontId="101" fillId="0" borderId="0"/>
    <xf numFmtId="0" fontId="7" fillId="0" borderId="0"/>
    <xf numFmtId="0" fontId="7" fillId="0" borderId="0"/>
    <xf numFmtId="0" fontId="101" fillId="0" borderId="0"/>
    <xf numFmtId="0" fontId="35" fillId="0" borderId="0"/>
    <xf numFmtId="0" fontId="7" fillId="0" borderId="0"/>
    <xf numFmtId="0" fontId="101" fillId="0" borderId="0"/>
    <xf numFmtId="0" fontId="35" fillId="0" borderId="0"/>
    <xf numFmtId="0" fontId="7" fillId="0" borderId="0"/>
    <xf numFmtId="0" fontId="7" fillId="0" borderId="0"/>
    <xf numFmtId="169" fontId="33" fillId="0" borderId="0" applyProtection="0"/>
    <xf numFmtId="0" fontId="33" fillId="23" borderId="8" applyNumberFormat="0" applyFont="0" applyAlignment="0" applyProtection="0"/>
    <xf numFmtId="0" fontId="79" fillId="58" borderId="54" applyNumberFormat="0" applyFont="0" applyAlignment="0" applyProtection="0"/>
    <xf numFmtId="0" fontId="79" fillId="58" borderId="54" applyNumberFormat="0" applyFont="0" applyAlignment="0" applyProtection="0"/>
    <xf numFmtId="0" fontId="79" fillId="58" borderId="54" applyNumberFormat="0" applyFont="0" applyAlignment="0" applyProtection="0"/>
    <xf numFmtId="0" fontId="7" fillId="23" borderId="8" applyNumberFormat="0" applyFont="0" applyAlignment="0" applyProtection="0"/>
    <xf numFmtId="0" fontId="79" fillId="58" borderId="54" applyNumberFormat="0" applyFont="0" applyAlignment="0" applyProtection="0"/>
    <xf numFmtId="0" fontId="79" fillId="58" borderId="54" applyNumberFormat="0" applyFont="0" applyAlignment="0" applyProtection="0"/>
    <xf numFmtId="0" fontId="33" fillId="23" borderId="8" applyNumberFormat="0" applyFont="0" applyAlignment="0" applyProtection="0"/>
    <xf numFmtId="0" fontId="7" fillId="23" borderId="8" applyNumberFormat="0" applyFont="0" applyAlignment="0" applyProtection="0"/>
    <xf numFmtId="0" fontId="34" fillId="20" borderId="9" applyNumberFormat="0" applyAlignment="0" applyProtection="0"/>
    <xf numFmtId="0" fontId="115" fillId="53" borderId="55" applyNumberFormat="0" applyAlignment="0" applyProtection="0"/>
    <xf numFmtId="0" fontId="95" fillId="20" borderId="9" applyNumberFormat="0" applyAlignment="0" applyProtection="0"/>
    <xf numFmtId="0" fontId="115" fillId="53" borderId="55" applyNumberFormat="0" applyAlignment="0" applyProtection="0"/>
    <xf numFmtId="0" fontId="34" fillId="20" borderId="9" applyNumberFormat="0" applyAlignment="0" applyProtection="0"/>
    <xf numFmtId="0" fontId="95" fillId="20" borderId="9" applyNumberFormat="0" applyAlignment="0" applyProtection="0"/>
    <xf numFmtId="9" fontId="1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101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35" fillId="0" borderId="0" applyNumberFormat="0" applyFont="0" applyFill="0" applyBorder="0" applyAlignment="0" applyProtection="0">
      <alignment horizontal="left"/>
    </xf>
    <xf numFmtId="0" fontId="35" fillId="0" borderId="0" applyNumberFormat="0" applyFont="0" applyFill="0" applyBorder="0" applyAlignment="0" applyProtection="0">
      <alignment horizontal="left"/>
    </xf>
    <xf numFmtId="0" fontId="35" fillId="0" borderId="0" applyNumberFormat="0" applyFont="0" applyFill="0" applyBorder="0" applyAlignment="0" applyProtection="0">
      <alignment horizontal="left"/>
    </xf>
    <xf numFmtId="0" fontId="35" fillId="0" borderId="0" applyNumberFormat="0" applyFont="0" applyFill="0" applyBorder="0" applyAlignment="0" applyProtection="0">
      <alignment horizontal="left"/>
    </xf>
    <xf numFmtId="0" fontId="35" fillId="0" borderId="0" applyNumberFormat="0" applyFont="0" applyFill="0" applyBorder="0" applyAlignment="0" applyProtection="0">
      <alignment horizontal="left"/>
    </xf>
    <xf numFmtId="0" fontId="35" fillId="0" borderId="0" applyNumberFormat="0" applyFont="0" applyFill="0" applyBorder="0" applyAlignment="0" applyProtection="0">
      <alignment horizontal="left"/>
    </xf>
    <xf numFmtId="0" fontId="35" fillId="0" borderId="0" applyNumberFormat="0" applyFont="0" applyFill="0" applyBorder="0" applyAlignment="0" applyProtection="0">
      <alignment horizontal="left"/>
    </xf>
    <xf numFmtId="0" fontId="35" fillId="0" borderId="0" applyNumberFormat="0" applyFont="0" applyFill="0" applyBorder="0" applyAlignment="0" applyProtection="0">
      <alignment horizontal="left"/>
    </xf>
    <xf numFmtId="15" fontId="35" fillId="0" borderId="0" applyFont="0" applyFill="0" applyBorder="0" applyAlignment="0" applyProtection="0"/>
    <xf numFmtId="15" fontId="35" fillId="0" borderId="0" applyFont="0" applyFill="0" applyBorder="0" applyAlignment="0" applyProtection="0"/>
    <xf numFmtId="15" fontId="35" fillId="0" borderId="0" applyFont="0" applyFill="0" applyBorder="0" applyAlignment="0" applyProtection="0"/>
    <xf numFmtId="15" fontId="35" fillId="0" borderId="0" applyFont="0" applyFill="0" applyBorder="0" applyAlignment="0" applyProtection="0"/>
    <xf numFmtId="15" fontId="35" fillId="0" borderId="0" applyFont="0" applyFill="0" applyBorder="0" applyAlignment="0" applyProtection="0"/>
    <xf numFmtId="15" fontId="35" fillId="0" borderId="0" applyFont="0" applyFill="0" applyBorder="0" applyAlignment="0" applyProtection="0"/>
    <xf numFmtId="15" fontId="35" fillId="0" borderId="0" applyFont="0" applyFill="0" applyBorder="0" applyAlignment="0" applyProtection="0"/>
    <xf numFmtId="4" fontId="35" fillId="0" borderId="0" applyFont="0" applyFill="0" applyBorder="0" applyAlignment="0" applyProtection="0"/>
    <xf numFmtId="4" fontId="35" fillId="0" borderId="0" applyFont="0" applyFill="0" applyBorder="0" applyAlignment="0" applyProtection="0"/>
    <xf numFmtId="4" fontId="35" fillId="0" borderId="0" applyFont="0" applyFill="0" applyBorder="0" applyAlignment="0" applyProtection="0"/>
    <xf numFmtId="4" fontId="35" fillId="0" borderId="0" applyFont="0" applyFill="0" applyBorder="0" applyAlignment="0" applyProtection="0"/>
    <xf numFmtId="4" fontId="35" fillId="0" borderId="0" applyFont="0" applyFill="0" applyBorder="0" applyAlignment="0" applyProtection="0"/>
    <xf numFmtId="4" fontId="35" fillId="0" borderId="0" applyFont="0" applyFill="0" applyBorder="0" applyAlignment="0" applyProtection="0"/>
    <xf numFmtId="4" fontId="35" fillId="0" borderId="0" applyFont="0" applyFill="0" applyBorder="0" applyAlignment="0" applyProtection="0"/>
    <xf numFmtId="3" fontId="7" fillId="0" borderId="0">
      <alignment horizontal="left" vertical="top"/>
    </xf>
    <xf numFmtId="3" fontId="7" fillId="0" borderId="0">
      <alignment horizontal="left" vertical="top"/>
    </xf>
    <xf numFmtId="0" fontId="36" fillId="0" borderId="6">
      <alignment horizontal="center"/>
    </xf>
    <xf numFmtId="0" fontId="36" fillId="0" borderId="6">
      <alignment horizontal="center"/>
    </xf>
    <xf numFmtId="0" fontId="36" fillId="0" borderId="6">
      <alignment horizontal="center"/>
    </xf>
    <xf numFmtId="0" fontId="36" fillId="0" borderId="6">
      <alignment horizontal="center"/>
    </xf>
    <xf numFmtId="0" fontId="36" fillId="0" borderId="6">
      <alignment horizontal="center"/>
    </xf>
    <xf numFmtId="0" fontId="36" fillId="0" borderId="6">
      <alignment horizontal="center"/>
    </xf>
    <xf numFmtId="0" fontId="36" fillId="0" borderId="6">
      <alignment horizontal="center"/>
    </xf>
    <xf numFmtId="0" fontId="36" fillId="0" borderId="6">
      <alignment horizontal="center"/>
    </xf>
    <xf numFmtId="3" fontId="35" fillId="0" borderId="0" applyFont="0" applyFill="0" applyBorder="0" applyAlignment="0" applyProtection="0"/>
    <xf numFmtId="3" fontId="35" fillId="0" borderId="0" applyFont="0" applyFill="0" applyBorder="0" applyAlignment="0" applyProtection="0"/>
    <xf numFmtId="3" fontId="35" fillId="0" borderId="0" applyFont="0" applyFill="0" applyBorder="0" applyAlignment="0" applyProtection="0"/>
    <xf numFmtId="3" fontId="35" fillId="0" borderId="0" applyFont="0" applyFill="0" applyBorder="0" applyAlignment="0" applyProtection="0"/>
    <xf numFmtId="3" fontId="35" fillId="0" borderId="0" applyFont="0" applyFill="0" applyBorder="0" applyAlignment="0" applyProtection="0"/>
    <xf numFmtId="3" fontId="35" fillId="0" borderId="0" applyFont="0" applyFill="0" applyBorder="0" applyAlignment="0" applyProtection="0"/>
    <xf numFmtId="3" fontId="35" fillId="0" borderId="0" applyFont="0" applyFill="0" applyBorder="0" applyAlignment="0" applyProtection="0"/>
    <xf numFmtId="0" fontId="35" fillId="24" borderId="0" applyNumberFormat="0" applyFont="0" applyBorder="0" applyAlignment="0" applyProtection="0"/>
    <xf numFmtId="0" fontId="35" fillId="24" borderId="0" applyNumberFormat="0" applyFont="0" applyBorder="0" applyAlignment="0" applyProtection="0"/>
    <xf numFmtId="0" fontId="35" fillId="24" borderId="0" applyNumberFormat="0" applyFont="0" applyBorder="0" applyAlignment="0" applyProtection="0"/>
    <xf numFmtId="0" fontId="35" fillId="24" borderId="0" applyNumberFormat="0" applyFont="0" applyBorder="0" applyAlignment="0" applyProtection="0"/>
    <xf numFmtId="3" fontId="7" fillId="0" borderId="0">
      <alignment horizontal="right" vertical="top"/>
    </xf>
    <xf numFmtId="3" fontId="7" fillId="0" borderId="0">
      <alignment horizontal="right" vertical="top"/>
    </xf>
    <xf numFmtId="41" fontId="14" fillId="25" borderId="10" applyFill="0"/>
    <xf numFmtId="0" fontId="37" fillId="0" borderId="0">
      <alignment horizontal="left" indent="7"/>
    </xf>
    <xf numFmtId="41" fontId="14" fillId="0" borderId="10" applyFill="0">
      <alignment horizontal="left" indent="2"/>
    </xf>
    <xf numFmtId="169" fontId="38" fillId="0" borderId="11" applyFill="0">
      <alignment horizontal="right"/>
    </xf>
    <xf numFmtId="0" fontId="39" fillId="0" borderId="12" applyNumberFormat="0" applyFont="0" applyBorder="0">
      <alignment horizontal="right"/>
    </xf>
    <xf numFmtId="0" fontId="40" fillId="0" borderId="0" applyFill="0"/>
    <xf numFmtId="0" fontId="9" fillId="0" borderId="0" applyFill="0"/>
    <xf numFmtId="4" fontId="38" fillId="0" borderId="11" applyFill="0"/>
    <xf numFmtId="0" fontId="7" fillId="0" borderId="0" applyNumberFormat="0" applyFont="0" applyBorder="0" applyAlignment="0"/>
    <xf numFmtId="0" fontId="7" fillId="0" borderId="0" applyNumberFormat="0" applyFont="0" applyBorder="0" applyAlignment="0"/>
    <xf numFmtId="0" fontId="12" fillId="0" borderId="0" applyFill="0">
      <alignment horizontal="left" indent="1"/>
    </xf>
    <xf numFmtId="0" fontId="41" fillId="0" borderId="0" applyFill="0">
      <alignment horizontal="left" indent="1"/>
    </xf>
    <xf numFmtId="4" fontId="15" fillId="0" borderId="0" applyFill="0"/>
    <xf numFmtId="0" fontId="7" fillId="0" borderId="0" applyNumberFormat="0" applyFont="0" applyFill="0" applyBorder="0" applyAlignment="0"/>
    <xf numFmtId="0" fontId="7" fillId="0" borderId="0" applyNumberFormat="0" applyFont="0" applyFill="0" applyBorder="0" applyAlignment="0"/>
    <xf numFmtId="0" fontId="12" fillId="0" borderId="0" applyFill="0">
      <alignment horizontal="left" indent="2"/>
    </xf>
    <xf numFmtId="0" fontId="9" fillId="0" borderId="0" applyFill="0">
      <alignment horizontal="left" indent="2"/>
    </xf>
    <xf numFmtId="4" fontId="15" fillId="0" borderId="0" applyFill="0"/>
    <xf numFmtId="0" fontId="7" fillId="0" borderId="0" applyNumberFormat="0" applyFont="0" applyBorder="0" applyAlignment="0"/>
    <xf numFmtId="0" fontId="7" fillId="0" borderId="0" applyNumberFormat="0" applyFont="0" applyBorder="0" applyAlignment="0"/>
    <xf numFmtId="0" fontId="42" fillId="0" borderId="0">
      <alignment horizontal="left" indent="3"/>
    </xf>
    <xf numFmtId="0" fontId="43" fillId="0" borderId="0" applyFill="0">
      <alignment horizontal="left" indent="3"/>
    </xf>
    <xf numFmtId="4" fontId="15" fillId="0" borderId="0" applyFill="0"/>
    <xf numFmtId="0" fontId="7" fillId="0" borderId="0" applyNumberFormat="0" applyFont="0" applyBorder="0" applyAlignment="0"/>
    <xf numFmtId="0" fontId="7" fillId="0" borderId="0" applyNumberFormat="0" applyFont="0" applyBorder="0" applyAlignment="0"/>
    <xf numFmtId="0" fontId="16" fillId="0" borderId="0">
      <alignment horizontal="left" indent="4"/>
    </xf>
    <xf numFmtId="0" fontId="7" fillId="0" borderId="0" applyFill="0">
      <alignment horizontal="left" indent="4"/>
    </xf>
    <xf numFmtId="0" fontId="7" fillId="0" borderId="0" applyFill="0">
      <alignment horizontal="left" indent="4"/>
    </xf>
    <xf numFmtId="4" fontId="17" fillId="0" borderId="0" applyFill="0"/>
    <xf numFmtId="0" fontId="7" fillId="0" borderId="0" applyNumberFormat="0" applyFont="0" applyBorder="0" applyAlignment="0"/>
    <xf numFmtId="0" fontId="7" fillId="0" borderId="0" applyNumberFormat="0" applyFont="0" applyBorder="0" applyAlignment="0"/>
    <xf numFmtId="0" fontId="18" fillId="0" borderId="0">
      <alignment horizontal="left" indent="5"/>
    </xf>
    <xf numFmtId="0" fontId="19" fillId="0" borderId="0" applyFill="0">
      <alignment horizontal="left" indent="5"/>
    </xf>
    <xf numFmtId="4" fontId="20" fillId="0" borderId="0" applyFill="0"/>
    <xf numFmtId="0" fontId="7" fillId="0" borderId="0" applyNumberFormat="0" applyFont="0" applyFill="0" applyBorder="0" applyAlignment="0"/>
    <xf numFmtId="0" fontId="7" fillId="0" borderId="0" applyNumberFormat="0" applyFont="0" applyFill="0" applyBorder="0" applyAlignment="0"/>
    <xf numFmtId="0" fontId="21" fillId="0" borderId="0" applyFill="0">
      <alignment horizontal="left" indent="6"/>
    </xf>
    <xf numFmtId="0" fontId="17" fillId="0" borderId="0" applyFill="0">
      <alignment horizontal="left" indent="6"/>
    </xf>
    <xf numFmtId="0" fontId="44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7" fillId="0" borderId="0" applyFont="0" applyFill="0" applyBorder="0" applyAlignment="0" applyProtection="0"/>
    <xf numFmtId="0" fontId="117" fillId="0" borderId="56" applyNumberFormat="0" applyFill="0" applyAlignment="0" applyProtection="0"/>
    <xf numFmtId="0" fontId="97" fillId="0" borderId="1" applyNumberFormat="0" applyFont="0" applyFill="0" applyAlignment="0" applyProtection="0"/>
    <xf numFmtId="0" fontId="117" fillId="0" borderId="56" applyNumberFormat="0" applyFill="0" applyAlignment="0" applyProtection="0"/>
    <xf numFmtId="0" fontId="7" fillId="0" borderId="0" applyFont="0" applyFill="0" applyBorder="0" applyAlignment="0" applyProtection="0"/>
    <xf numFmtId="0" fontId="97" fillId="0" borderId="1" applyNumberFormat="0" applyFont="0" applyFill="0" applyAlignment="0" applyProtection="0"/>
    <xf numFmtId="0" fontId="97" fillId="0" borderId="1" applyNumberFormat="0" applyFont="0" applyFill="0" applyAlignment="0" applyProtection="0"/>
    <xf numFmtId="0" fontId="97" fillId="0" borderId="1" applyNumberFormat="0" applyFont="0" applyFill="0" applyAlignment="0" applyProtection="0"/>
    <xf numFmtId="0" fontId="45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96" fillId="0" borderId="0" applyNumberFormat="0" applyFill="0" applyBorder="0" applyAlignment="0" applyProtection="0"/>
  </cellStyleXfs>
  <cellXfs count="495">
    <xf numFmtId="0" fontId="0" fillId="0" borderId="0" xfId="0"/>
    <xf numFmtId="0" fontId="7" fillId="0" borderId="0" xfId="0" applyFont="1"/>
    <xf numFmtId="0" fontId="7" fillId="0" borderId="0" xfId="0" applyFont="1" applyAlignment="1">
      <alignment horizontal="center"/>
    </xf>
    <xf numFmtId="170" fontId="7" fillId="0" borderId="0" xfId="198" applyNumberFormat="1" applyFont="1"/>
    <xf numFmtId="0" fontId="7" fillId="0" borderId="0" xfId="0" applyFont="1" applyBorder="1"/>
    <xf numFmtId="0" fontId="47" fillId="0" borderId="0" xfId="0" applyFont="1" applyFill="1"/>
    <xf numFmtId="0" fontId="0" fillId="0" borderId="0" xfId="0" applyAlignment="1">
      <alignment wrapText="1"/>
    </xf>
    <xf numFmtId="0" fontId="0" fillId="0" borderId="0" xfId="0" applyBorder="1"/>
    <xf numFmtId="0" fontId="9" fillId="0" borderId="0" xfId="0" applyFont="1" applyAlignment="1">
      <alignment horizontal="left"/>
    </xf>
    <xf numFmtId="0" fontId="0" fillId="0" borderId="0" xfId="0" applyAlignment="1">
      <alignment horizontal="center"/>
    </xf>
    <xf numFmtId="170" fontId="1" fillId="0" borderId="0" xfId="198" applyNumberFormat="1"/>
    <xf numFmtId="0" fontId="7" fillId="0" borderId="0" xfId="834" applyNumberFormat="1" applyFont="1" applyBorder="1" applyAlignment="1" applyProtection="1">
      <protection locked="0"/>
    </xf>
    <xf numFmtId="3" fontId="7" fillId="0" borderId="0" xfId="834" applyNumberFormat="1" applyFont="1" applyAlignment="1" applyProtection="1">
      <protection locked="0"/>
    </xf>
    <xf numFmtId="10" fontId="7" fillId="0" borderId="0" xfId="834" applyNumberFormat="1" applyFont="1" applyAlignment="1" applyProtection="1">
      <protection locked="0"/>
    </xf>
    <xf numFmtId="166" fontId="7" fillId="0" borderId="0" xfId="834" applyNumberFormat="1" applyFont="1" applyAlignment="1" applyProtection="1">
      <protection locked="0"/>
    </xf>
    <xf numFmtId="43" fontId="7" fillId="0" borderId="0" xfId="198" applyFont="1" applyAlignment="1" applyProtection="1">
      <protection locked="0"/>
    </xf>
    <xf numFmtId="169" fontId="7" fillId="0" borderId="0" xfId="834" applyFont="1" applyAlignment="1" applyProtection="1">
      <protection locked="0"/>
    </xf>
    <xf numFmtId="169" fontId="7" fillId="0" borderId="0" xfId="834" applyFont="1" applyBorder="1" applyAlignment="1" applyProtection="1">
      <protection locked="0"/>
    </xf>
    <xf numFmtId="0" fontId="7" fillId="0" borderId="0" xfId="0" applyFont="1" applyFill="1"/>
    <xf numFmtId="10" fontId="7" fillId="0" borderId="0" xfId="834" applyNumberFormat="1" applyFont="1" applyFill="1" applyAlignment="1" applyProtection="1">
      <alignment horizontal="right"/>
      <protection locked="0"/>
    </xf>
    <xf numFmtId="3" fontId="39" fillId="0" borderId="0" xfId="834" applyNumberFormat="1" applyFont="1" applyAlignment="1" applyProtection="1">
      <protection locked="0"/>
    </xf>
    <xf numFmtId="0" fontId="7" fillId="0" borderId="0" xfId="0" applyFont="1" applyFill="1" applyBorder="1"/>
    <xf numFmtId="3" fontId="48" fillId="0" borderId="0" xfId="834" applyNumberFormat="1" applyFont="1" applyAlignment="1" applyProtection="1">
      <alignment horizontal="center"/>
      <protection locked="0"/>
    </xf>
    <xf numFmtId="10" fontId="48" fillId="0" borderId="0" xfId="834" applyNumberFormat="1" applyFont="1" applyFill="1" applyAlignment="1" applyProtection="1">
      <alignment horizontal="center"/>
      <protection locked="0"/>
    </xf>
    <xf numFmtId="0" fontId="7" fillId="0" borderId="0" xfId="834" applyNumberFormat="1" applyFont="1" applyFill="1" applyBorder="1" applyAlignment="1" applyProtection="1">
      <alignment horizontal="right"/>
      <protection locked="0"/>
    </xf>
    <xf numFmtId="10" fontId="0" fillId="0" borderId="0" xfId="0" applyNumberFormat="1" applyAlignment="1">
      <alignment horizontal="center"/>
    </xf>
    <xf numFmtId="166" fontId="7" fillId="0" borderId="0" xfId="834" applyNumberFormat="1" applyFont="1" applyAlignment="1" applyProtection="1">
      <alignment horizontal="center"/>
      <protection locked="0"/>
    </xf>
    <xf numFmtId="165" fontId="7" fillId="0" borderId="0" xfId="834" applyNumberFormat="1" applyFont="1" applyAlignment="1" applyProtection="1">
      <alignment horizontal="center"/>
      <protection locked="0"/>
    </xf>
    <xf numFmtId="165" fontId="7" fillId="0" borderId="0" xfId="834" applyNumberFormat="1" applyFont="1" applyBorder="1" applyAlignment="1" applyProtection="1">
      <alignment horizontal="center"/>
      <protection locked="0"/>
    </xf>
    <xf numFmtId="169" fontId="7" fillId="0" borderId="13" xfId="834" applyFont="1" applyBorder="1" applyAlignment="1" applyProtection="1">
      <protection locked="0"/>
    </xf>
    <xf numFmtId="0" fontId="7" fillId="0" borderId="0" xfId="834" applyNumberFormat="1" applyFont="1" applyBorder="1" applyAlignment="1" applyProtection="1">
      <alignment horizontal="center"/>
      <protection locked="0"/>
    </xf>
    <xf numFmtId="3" fontId="7" fillId="0" borderId="14" xfId="834" applyNumberFormat="1" applyFont="1" applyBorder="1" applyAlignment="1" applyProtection="1">
      <protection locked="0"/>
    </xf>
    <xf numFmtId="0" fontId="7" fillId="0" borderId="0" xfId="834" applyNumberFormat="1" applyFont="1" applyAlignment="1" applyProtection="1">
      <alignment horizontal="center"/>
      <protection locked="0"/>
    </xf>
    <xf numFmtId="41" fontId="7" fillId="0" borderId="0" xfId="834" applyNumberFormat="1" applyFont="1" applyAlignment="1" applyProtection="1">
      <protection locked="0"/>
    </xf>
    <xf numFmtId="41" fontId="7" fillId="0" borderId="0" xfId="834" applyNumberFormat="1" applyFont="1" applyAlignment="1" applyProtection="1">
      <alignment horizontal="center"/>
      <protection locked="0"/>
    </xf>
    <xf numFmtId="41" fontId="7" fillId="0" borderId="0" xfId="834" applyNumberFormat="1" applyFont="1" applyBorder="1" applyAlignment="1" applyProtection="1">
      <alignment horizontal="center"/>
      <protection locked="0"/>
    </xf>
    <xf numFmtId="0" fontId="0" fillId="0" borderId="13" xfId="0" applyBorder="1"/>
    <xf numFmtId="0" fontId="0" fillId="0" borderId="14" xfId="0" applyBorder="1"/>
    <xf numFmtId="0" fontId="7" fillId="0" borderId="0" xfId="834" applyNumberFormat="1" applyFont="1" applyBorder="1" applyAlignment="1" applyProtection="1">
      <alignment horizontal="right"/>
      <protection locked="0"/>
    </xf>
    <xf numFmtId="165" fontId="15" fillId="0" borderId="15" xfId="834" applyNumberFormat="1" applyFont="1" applyBorder="1" applyAlignment="1" applyProtection="1">
      <alignment horizontal="center"/>
      <protection locked="0"/>
    </xf>
    <xf numFmtId="0" fontId="7" fillId="0" borderId="6" xfId="834" applyNumberFormat="1" applyFont="1" applyBorder="1" applyAlignment="1" applyProtection="1">
      <alignment horizontal="center"/>
      <protection locked="0"/>
    </xf>
    <xf numFmtId="170" fontId="7" fillId="0" borderId="6" xfId="834" applyNumberFormat="1" applyFont="1" applyBorder="1" applyAlignment="1" applyProtection="1">
      <alignment horizontal="center"/>
      <protection locked="0"/>
    </xf>
    <xf numFmtId="171" fontId="0" fillId="0" borderId="16" xfId="0" applyNumberFormat="1" applyBorder="1"/>
    <xf numFmtId="3" fontId="7" fillId="0" borderId="0" xfId="834" applyNumberFormat="1" applyFont="1" applyAlignment="1" applyProtection="1">
      <alignment horizontal="right"/>
      <protection locked="0"/>
    </xf>
    <xf numFmtId="10" fontId="7" fillId="0" borderId="0" xfId="834" applyNumberFormat="1" applyFont="1" applyFill="1" applyAlignment="1" applyProtection="1">
      <alignment horizontal="left"/>
      <protection locked="0"/>
    </xf>
    <xf numFmtId="41" fontId="7" fillId="0" borderId="0" xfId="834" applyNumberFormat="1" applyFont="1" applyBorder="1" applyAlignment="1" applyProtection="1">
      <protection locked="0"/>
    </xf>
    <xf numFmtId="0" fontId="39" fillId="0" borderId="0" xfId="0" applyFont="1"/>
    <xf numFmtId="41" fontId="7" fillId="0" borderId="0" xfId="834" applyNumberFormat="1" applyFont="1" applyFill="1" applyAlignment="1" applyProtection="1">
      <protection locked="0"/>
    </xf>
    <xf numFmtId="170" fontId="0" fillId="0" borderId="0" xfId="0" applyNumberFormat="1"/>
    <xf numFmtId="41" fontId="7" fillId="0" borderId="0" xfId="834" quotePrefix="1" applyNumberFormat="1" applyFont="1" applyBorder="1" applyAlignment="1" applyProtection="1">
      <protection locked="0"/>
    </xf>
    <xf numFmtId="41" fontId="7" fillId="0" borderId="0" xfId="834" applyNumberFormat="1" applyFont="1" applyFill="1" applyBorder="1" applyAlignment="1" applyProtection="1">
      <alignment horizontal="right"/>
      <protection locked="0"/>
    </xf>
    <xf numFmtId="172" fontId="7" fillId="0" borderId="11" xfId="834" applyNumberFormat="1" applyFont="1" applyBorder="1" applyAlignment="1" applyProtection="1">
      <protection locked="0"/>
    </xf>
    <xf numFmtId="164" fontId="7" fillId="0" borderId="0" xfId="834" applyNumberFormat="1" applyFont="1" applyFill="1" applyBorder="1" applyAlignment="1" applyProtection="1">
      <alignment horizontal="left"/>
      <protection locked="0"/>
    </xf>
    <xf numFmtId="164" fontId="7" fillId="0" borderId="0" xfId="834" applyNumberFormat="1" applyFont="1" applyBorder="1" applyAlignment="1" applyProtection="1">
      <alignment horizontal="left"/>
      <protection locked="0"/>
    </xf>
    <xf numFmtId="3" fontId="7" fillId="0" borderId="0" xfId="834" applyNumberFormat="1" applyFont="1" applyAlignment="1" applyProtection="1">
      <alignment vertical="center" wrapText="1"/>
      <protection locked="0"/>
    </xf>
    <xf numFmtId="41" fontId="7" fillId="0" borderId="0" xfId="834" applyNumberFormat="1" applyFont="1" applyBorder="1" applyAlignment="1" applyProtection="1">
      <alignment vertical="center"/>
      <protection locked="0"/>
    </xf>
    <xf numFmtId="41" fontId="7" fillId="0" borderId="0" xfId="834" applyNumberFormat="1" applyFont="1" applyBorder="1" applyAlignment="1" applyProtection="1">
      <alignment horizontal="center" vertical="center"/>
      <protection locked="0"/>
    </xf>
    <xf numFmtId="41" fontId="7" fillId="0" borderId="0" xfId="834" applyNumberFormat="1" applyFont="1" applyAlignment="1" applyProtection="1">
      <alignment horizontal="right"/>
      <protection locked="0"/>
    </xf>
    <xf numFmtId="10" fontId="7" fillId="0" borderId="0" xfId="0" applyNumberFormat="1" applyFont="1" applyBorder="1"/>
    <xf numFmtId="0" fontId="7" fillId="0" borderId="0" xfId="0" applyFont="1" applyFill="1" applyAlignment="1">
      <alignment horizontal="center"/>
    </xf>
    <xf numFmtId="41" fontId="7" fillId="0" borderId="0" xfId="0" applyNumberFormat="1" applyFont="1"/>
    <xf numFmtId="0" fontId="7" fillId="0" borderId="0" xfId="0" applyFont="1" applyFill="1" applyBorder="1" applyAlignment="1"/>
    <xf numFmtId="3" fontId="14" fillId="0" borderId="0" xfId="834" applyNumberFormat="1" applyFont="1" applyFill="1" applyBorder="1" applyAlignment="1" applyProtection="1">
      <protection locked="0"/>
    </xf>
    <xf numFmtId="41" fontId="7" fillId="0" borderId="11" xfId="834" applyNumberFormat="1" applyFont="1" applyFill="1" applyBorder="1" applyAlignment="1" applyProtection="1">
      <protection locked="0"/>
    </xf>
    <xf numFmtId="3" fontId="14" fillId="0" borderId="0" xfId="834" applyNumberFormat="1" applyFont="1" applyFill="1" applyBorder="1" applyAlignment="1" applyProtection="1">
      <alignment horizontal="center"/>
      <protection locked="0"/>
    </xf>
    <xf numFmtId="41" fontId="7" fillId="0" borderId="0" xfId="834" applyNumberFormat="1" applyFont="1" applyFill="1" applyBorder="1" applyAlignment="1" applyProtection="1">
      <protection locked="0"/>
    </xf>
    <xf numFmtId="41" fontId="14" fillId="0" borderId="0" xfId="834" applyNumberFormat="1" applyFont="1" applyFill="1" applyBorder="1" applyAlignment="1" applyProtection="1">
      <protection locked="0"/>
    </xf>
    <xf numFmtId="0" fontId="14" fillId="0" borderId="0" xfId="834" applyNumberFormat="1" applyFont="1" applyFill="1" applyBorder="1" applyAlignment="1" applyProtection="1">
      <protection locked="0"/>
    </xf>
    <xf numFmtId="0" fontId="6" fillId="0" borderId="0" xfId="0" applyFont="1" applyFill="1"/>
    <xf numFmtId="0" fontId="14" fillId="0" borderId="0" xfId="834" applyNumberFormat="1" applyFont="1" applyFill="1" applyBorder="1" applyProtection="1">
      <protection locked="0"/>
    </xf>
    <xf numFmtId="0" fontId="7" fillId="0" borderId="0" xfId="834" applyNumberFormat="1" applyFont="1" applyFill="1" applyBorder="1" applyAlignment="1" applyProtection="1">
      <protection locked="0"/>
    </xf>
    <xf numFmtId="3" fontId="7" fillId="0" borderId="0" xfId="834" applyNumberFormat="1" applyFont="1" applyFill="1" applyBorder="1" applyAlignment="1" applyProtection="1">
      <protection locked="0"/>
    </xf>
    <xf numFmtId="41" fontId="7" fillId="0" borderId="0" xfId="834" applyNumberFormat="1" applyFont="1" applyFill="1" applyBorder="1" applyAlignment="1" applyProtection="1">
      <alignment horizontal="center"/>
      <protection locked="0"/>
    </xf>
    <xf numFmtId="0" fontId="7" fillId="0" borderId="0" xfId="834" applyNumberFormat="1" applyFont="1" applyFill="1" applyBorder="1" applyProtection="1">
      <protection locked="0"/>
    </xf>
    <xf numFmtId="3" fontId="7" fillId="0" borderId="0" xfId="834" applyNumberFormat="1" applyFont="1" applyFill="1" applyBorder="1" applyAlignment="1" applyProtection="1">
      <alignment horizontal="center"/>
      <protection locked="0"/>
    </xf>
    <xf numFmtId="0" fontId="7" fillId="0" borderId="0" xfId="834" applyNumberFormat="1" applyFont="1" applyFill="1" applyBorder="1" applyAlignment="1" applyProtection="1">
      <alignment horizontal="center"/>
      <protection locked="0"/>
    </xf>
    <xf numFmtId="10" fontId="7" fillId="0" borderId="0" xfId="834" applyNumberFormat="1" applyFont="1" applyFill="1" applyBorder="1" applyAlignment="1" applyProtection="1">
      <protection locked="0"/>
    </xf>
    <xf numFmtId="167" fontId="7" fillId="0" borderId="0" xfId="834" applyNumberFormat="1" applyFont="1" applyFill="1" applyBorder="1" applyAlignment="1" applyProtection="1">
      <protection locked="0"/>
    </xf>
    <xf numFmtId="169" fontId="7" fillId="0" borderId="0" xfId="834" applyFont="1" applyFill="1" applyBorder="1" applyAlignment="1" applyProtection="1">
      <protection locked="0"/>
    </xf>
    <xf numFmtId="3" fontId="7" fillId="0" borderId="0" xfId="834" quotePrefix="1" applyNumberFormat="1" applyFont="1" applyFill="1" applyBorder="1" applyAlignment="1" applyProtection="1">
      <protection locked="0"/>
    </xf>
    <xf numFmtId="3" fontId="39" fillId="0" borderId="0" xfId="834" applyNumberFormat="1" applyFont="1" applyFill="1" applyBorder="1" applyAlignment="1" applyProtection="1">
      <alignment horizontal="right"/>
      <protection locked="0"/>
    </xf>
    <xf numFmtId="167" fontId="39" fillId="0" borderId="0" xfId="834" applyNumberFormat="1" applyFont="1" applyFill="1" applyBorder="1" applyAlignment="1" applyProtection="1">
      <protection locked="0"/>
    </xf>
    <xf numFmtId="3" fontId="39" fillId="0" borderId="0" xfId="834" quotePrefix="1" applyNumberFormat="1" applyFont="1" applyFill="1" applyBorder="1" applyAlignment="1" applyProtection="1">
      <protection locked="0"/>
    </xf>
    <xf numFmtId="0" fontId="7" fillId="0" borderId="0" xfId="0" applyFont="1" applyFill="1" applyBorder="1" applyAlignment="1">
      <alignment horizontal="center"/>
    </xf>
    <xf numFmtId="41" fontId="7" fillId="0" borderId="0" xfId="0" applyNumberFormat="1" applyFont="1" applyFill="1" applyBorder="1"/>
    <xf numFmtId="170" fontId="7" fillId="0" borderId="0" xfId="198" applyNumberFormat="1" applyFont="1" applyFill="1" applyBorder="1"/>
    <xf numFmtId="41" fontId="48" fillId="0" borderId="0" xfId="834" applyNumberFormat="1" applyFont="1" applyFill="1" applyBorder="1" applyAlignment="1" applyProtection="1">
      <protection locked="0"/>
    </xf>
    <xf numFmtId="0" fontId="0" fillId="0" borderId="0" xfId="0" applyAlignment="1"/>
    <xf numFmtId="41" fontId="7" fillId="0" borderId="11" xfId="0" applyNumberFormat="1" applyFont="1" applyFill="1" applyBorder="1"/>
    <xf numFmtId="41" fontId="7" fillId="0" borderId="0" xfId="0" applyNumberFormat="1" applyFont="1" applyBorder="1"/>
    <xf numFmtId="41" fontId="48" fillId="0" borderId="0" xfId="0" applyNumberFormat="1" applyFont="1"/>
    <xf numFmtId="0" fontId="9" fillId="0" borderId="0" xfId="0" applyFont="1" applyFill="1" applyAlignment="1">
      <alignment horizontal="left"/>
    </xf>
    <xf numFmtId="0" fontId="0" fillId="0" borderId="0" xfId="0" applyFill="1" applyAlignment="1"/>
    <xf numFmtId="41" fontId="7" fillId="0" borderId="0" xfId="0" applyNumberFormat="1" applyFont="1" applyFill="1"/>
    <xf numFmtId="170" fontId="7" fillId="0" borderId="0" xfId="198" applyNumberFormat="1" applyFont="1" applyFill="1"/>
    <xf numFmtId="10" fontId="7" fillId="0" borderId="11" xfId="0" applyNumberFormat="1" applyFont="1" applyFill="1" applyBorder="1"/>
    <xf numFmtId="170" fontId="7" fillId="0" borderId="11" xfId="198" applyNumberFormat="1" applyFont="1" applyFill="1" applyBorder="1" applyAlignment="1"/>
    <xf numFmtId="41" fontId="0" fillId="0" borderId="0" xfId="0" applyNumberFormat="1"/>
    <xf numFmtId="41" fontId="7" fillId="0" borderId="11" xfId="0" applyNumberFormat="1" applyFont="1" applyBorder="1"/>
    <xf numFmtId="10" fontId="7" fillId="0" borderId="0" xfId="0" applyNumberFormat="1" applyFont="1"/>
    <xf numFmtId="10" fontId="48" fillId="0" borderId="0" xfId="0" applyNumberFormat="1" applyFont="1"/>
    <xf numFmtId="0" fontId="7" fillId="0" borderId="0" xfId="0" applyFont="1" applyFill="1" applyBorder="1" applyAlignment="1">
      <alignment wrapText="1"/>
    </xf>
    <xf numFmtId="170" fontId="7" fillId="0" borderId="11" xfId="198" applyNumberFormat="1" applyFont="1" applyFill="1" applyBorder="1"/>
    <xf numFmtId="0" fontId="0" fillId="0" borderId="0" xfId="0" applyFill="1"/>
    <xf numFmtId="175" fontId="7" fillId="0" borderId="0" xfId="0" applyNumberFormat="1" applyFont="1"/>
    <xf numFmtId="43" fontId="7" fillId="0" borderId="0" xfId="198" applyFont="1"/>
    <xf numFmtId="43" fontId="7" fillId="0" borderId="0" xfId="198" applyNumberFormat="1" applyFont="1"/>
    <xf numFmtId="170" fontId="7" fillId="0" borderId="0" xfId="0" applyNumberFormat="1" applyFont="1"/>
    <xf numFmtId="0" fontId="50" fillId="0" borderId="0" xfId="0" applyFont="1"/>
    <xf numFmtId="0" fontId="46" fillId="0" borderId="0" xfId="0" applyFont="1" applyAlignment="1">
      <alignment horizontal="right"/>
    </xf>
    <xf numFmtId="0" fontId="46" fillId="0" borderId="0" xfId="0" applyFont="1" applyFill="1" applyAlignment="1">
      <alignment horizontal="right"/>
    </xf>
    <xf numFmtId="170" fontId="7" fillId="0" borderId="0" xfId="198" applyNumberFormat="1" applyFont="1" applyBorder="1"/>
    <xf numFmtId="0" fontId="39" fillId="0" borderId="0" xfId="0" applyFont="1" applyAlignment="1">
      <alignment horizontal="left"/>
    </xf>
    <xf numFmtId="0" fontId="51" fillId="26" borderId="0" xfId="198" applyNumberFormat="1" applyFont="1" applyFill="1" applyAlignment="1">
      <alignment horizontal="left"/>
    </xf>
    <xf numFmtId="0" fontId="39" fillId="0" borderId="17" xfId="0" applyFont="1" applyBorder="1"/>
    <xf numFmtId="0" fontId="7" fillId="0" borderId="17" xfId="0" applyFont="1" applyBorder="1"/>
    <xf numFmtId="170" fontId="39" fillId="0" borderId="18" xfId="198" applyNumberFormat="1" applyFont="1" applyBorder="1"/>
    <xf numFmtId="0" fontId="14" fillId="0" borderId="0" xfId="198" applyNumberFormat="1" applyFont="1" applyFill="1" applyAlignment="1">
      <alignment horizontal="left"/>
    </xf>
    <xf numFmtId="0" fontId="14" fillId="0" borderId="0" xfId="198" applyNumberFormat="1" applyFont="1" applyFill="1" applyBorder="1" applyAlignment="1">
      <alignment horizontal="left"/>
    </xf>
    <xf numFmtId="0" fontId="9" fillId="0" borderId="0" xfId="198" applyNumberFormat="1" applyFont="1" applyFill="1" applyBorder="1" applyAlignment="1">
      <alignment horizontal="left"/>
    </xf>
    <xf numFmtId="170" fontId="39" fillId="0" borderId="19" xfId="198" applyNumberFormat="1" applyFont="1" applyBorder="1"/>
    <xf numFmtId="0" fontId="39" fillId="0" borderId="0" xfId="0" applyFont="1" applyFill="1"/>
    <xf numFmtId="170" fontId="39" fillId="0" borderId="15" xfId="198" applyNumberFormat="1" applyFont="1" applyBorder="1"/>
    <xf numFmtId="170" fontId="7" fillId="0" borderId="6" xfId="198" applyNumberFormat="1" applyFont="1" applyBorder="1"/>
    <xf numFmtId="170" fontId="7" fillId="0" borderId="16" xfId="198" applyNumberFormat="1" applyFont="1" applyBorder="1"/>
    <xf numFmtId="0" fontId="53" fillId="0" borderId="0" xfId="0" applyFont="1" applyFill="1" applyAlignment="1"/>
    <xf numFmtId="0" fontId="7" fillId="0" borderId="0" xfId="0" applyFont="1" applyFill="1" applyAlignment="1">
      <alignment wrapText="1"/>
    </xf>
    <xf numFmtId="0" fontId="39" fillId="0" borderId="20" xfId="0" applyFont="1" applyFill="1" applyBorder="1" applyAlignment="1">
      <alignment horizontal="center"/>
    </xf>
    <xf numFmtId="0" fontId="39" fillId="0" borderId="21" xfId="0" applyFont="1" applyFill="1" applyBorder="1" applyAlignment="1">
      <alignment horizontal="center"/>
    </xf>
    <xf numFmtId="0" fontId="39" fillId="0" borderId="22" xfId="0" applyFont="1" applyFill="1" applyBorder="1" applyAlignment="1">
      <alignment horizontal="center"/>
    </xf>
    <xf numFmtId="0" fontId="39" fillId="0" borderId="0" xfId="0" applyFont="1" applyFill="1" applyBorder="1" applyAlignment="1">
      <alignment horizontal="center"/>
    </xf>
    <xf numFmtId="0" fontId="0" fillId="0" borderId="0" xfId="0" applyBorder="1" applyAlignment="1"/>
    <xf numFmtId="0" fontId="7" fillId="0" borderId="13" xfId="0" applyFont="1" applyFill="1" applyBorder="1" applyAlignment="1"/>
    <xf numFmtId="170" fontId="54" fillId="26" borderId="14" xfId="198" applyNumberFormat="1" applyFont="1" applyFill="1" applyBorder="1" applyAlignment="1">
      <alignment horizontal="right"/>
    </xf>
    <xf numFmtId="0" fontId="7" fillId="0" borderId="0" xfId="0" applyFont="1" applyBorder="1" applyAlignment="1">
      <alignment horizontal="center"/>
    </xf>
    <xf numFmtId="0" fontId="39" fillId="0" borderId="18" xfId="0" applyFont="1" applyFill="1" applyBorder="1" applyAlignment="1">
      <alignment horizontal="center"/>
    </xf>
    <xf numFmtId="0" fontId="7" fillId="0" borderId="13" xfId="0" applyFont="1" applyFill="1" applyBorder="1"/>
    <xf numFmtId="0" fontId="54" fillId="26" borderId="14" xfId="0" applyFont="1" applyFill="1" applyBorder="1" applyAlignment="1">
      <alignment horizontal="right"/>
    </xf>
    <xf numFmtId="170" fontId="7" fillId="0" borderId="14" xfId="0" applyNumberFormat="1" applyFont="1" applyFill="1" applyBorder="1" applyAlignment="1">
      <alignment horizontal="right"/>
    </xf>
    <xf numFmtId="170" fontId="7" fillId="0" borderId="0" xfId="0" applyNumberFormat="1" applyFont="1" applyFill="1" applyBorder="1" applyAlignment="1">
      <alignment horizontal="right"/>
    </xf>
    <xf numFmtId="10" fontId="7" fillId="0" borderId="14" xfId="0" applyNumberFormat="1" applyFont="1" applyBorder="1"/>
    <xf numFmtId="10" fontId="7" fillId="0" borderId="0" xfId="0" applyNumberFormat="1" applyFont="1" applyFill="1" applyBorder="1"/>
    <xf numFmtId="170" fontId="7" fillId="0" borderId="14" xfId="198" applyNumberFormat="1" applyFont="1" applyBorder="1"/>
    <xf numFmtId="0" fontId="39" fillId="0" borderId="23" xfId="0" applyFont="1" applyBorder="1" applyAlignment="1">
      <alignment horizontal="center"/>
    </xf>
    <xf numFmtId="170" fontId="39" fillId="0" borderId="23" xfId="198" applyNumberFormat="1" applyFont="1" applyBorder="1" applyAlignment="1">
      <alignment horizontal="center"/>
    </xf>
    <xf numFmtId="0" fontId="39" fillId="0" borderId="24" xfId="0" applyFont="1" applyBorder="1" applyAlignment="1">
      <alignment horizontal="center"/>
    </xf>
    <xf numFmtId="170" fontId="39" fillId="0" borderId="23" xfId="198" applyNumberFormat="1" applyFont="1" applyBorder="1" applyAlignment="1">
      <alignment horizontal="center" wrapText="1"/>
    </xf>
    <xf numFmtId="0" fontId="39" fillId="0" borderId="25" xfId="0" applyFont="1" applyBorder="1" applyAlignment="1">
      <alignment horizontal="center"/>
    </xf>
    <xf numFmtId="170" fontId="39" fillId="0" borderId="16" xfId="198" applyNumberFormat="1" applyFont="1" applyBorder="1" applyAlignment="1">
      <alignment horizontal="center"/>
    </xf>
    <xf numFmtId="0" fontId="39" fillId="0" borderId="25" xfId="0" applyFont="1" applyFill="1" applyBorder="1" applyAlignment="1">
      <alignment horizontal="center"/>
    </xf>
    <xf numFmtId="0" fontId="39" fillId="0" borderId="24" xfId="0" applyFont="1" applyFill="1" applyBorder="1" applyAlignment="1">
      <alignment horizontal="center"/>
    </xf>
    <xf numFmtId="170" fontId="39" fillId="0" borderId="25" xfId="198" applyNumberFormat="1" applyFont="1" applyBorder="1" applyAlignment="1">
      <alignment horizontal="center"/>
    </xf>
    <xf numFmtId="170" fontId="39" fillId="0" borderId="15" xfId="198" applyNumberFormat="1" applyFont="1" applyBorder="1" applyAlignment="1">
      <alignment horizontal="center"/>
    </xf>
    <xf numFmtId="0" fontId="7" fillId="0" borderId="24" xfId="0" applyNumberFormat="1" applyFont="1" applyBorder="1" applyAlignment="1">
      <alignment horizontal="center"/>
    </xf>
    <xf numFmtId="170" fontId="7" fillId="0" borderId="0" xfId="0" applyNumberFormat="1" applyFont="1" applyBorder="1"/>
    <xf numFmtId="170" fontId="7" fillId="0" borderId="23" xfId="198" applyNumberFormat="1" applyFont="1" applyBorder="1"/>
    <xf numFmtId="171" fontId="7" fillId="0" borderId="14" xfId="0" applyNumberFormat="1" applyFont="1" applyBorder="1"/>
    <xf numFmtId="171" fontId="7" fillId="0" borderId="23" xfId="0" applyNumberFormat="1" applyFont="1" applyBorder="1"/>
    <xf numFmtId="171" fontId="7" fillId="0" borderId="24" xfId="0" applyNumberFormat="1" applyFont="1" applyBorder="1"/>
    <xf numFmtId="170" fontId="7" fillId="0" borderId="24" xfId="0" applyNumberFormat="1" applyFont="1" applyBorder="1"/>
    <xf numFmtId="170" fontId="1" fillId="0" borderId="24" xfId="198" applyNumberFormat="1" applyBorder="1"/>
    <xf numFmtId="170" fontId="7" fillId="0" borderId="24" xfId="198" applyNumberFormat="1" applyFont="1" applyBorder="1"/>
    <xf numFmtId="170" fontId="7" fillId="0" borderId="24" xfId="0" applyNumberFormat="1" applyFont="1" applyFill="1" applyBorder="1"/>
    <xf numFmtId="170" fontId="7" fillId="0" borderId="24" xfId="198" applyNumberFormat="1" applyFont="1" applyFill="1" applyBorder="1"/>
    <xf numFmtId="0" fontId="7" fillId="0" borderId="25" xfId="0" applyNumberFormat="1" applyFont="1" applyBorder="1" applyAlignment="1">
      <alignment horizontal="center"/>
    </xf>
    <xf numFmtId="170" fontId="7" fillId="0" borderId="25" xfId="0" applyNumberFormat="1" applyFont="1" applyBorder="1"/>
    <xf numFmtId="170" fontId="1" fillId="0" borderId="25" xfId="198" applyNumberFormat="1" applyBorder="1"/>
    <xf numFmtId="170" fontId="7" fillId="0" borderId="25" xfId="198" applyNumberFormat="1" applyFont="1" applyFill="1" applyBorder="1"/>
    <xf numFmtId="171" fontId="7" fillId="0" borderId="16" xfId="0" applyNumberFormat="1" applyFont="1" applyBorder="1"/>
    <xf numFmtId="171" fontId="7" fillId="0" borderId="25" xfId="0" applyNumberFormat="1" applyFont="1" applyBorder="1"/>
    <xf numFmtId="0" fontId="53" fillId="0" borderId="0" xfId="0" applyFont="1" applyFill="1"/>
    <xf numFmtId="171" fontId="7" fillId="0" borderId="0" xfId="0" applyNumberFormat="1" applyFont="1" applyBorder="1"/>
    <xf numFmtId="171" fontId="7" fillId="0" borderId="23" xfId="0" applyNumberFormat="1" applyFont="1" applyFill="1" applyBorder="1"/>
    <xf numFmtId="170" fontId="55" fillId="0" borderId="0" xfId="0" applyNumberFormat="1" applyFont="1" applyAlignment="1">
      <alignment horizontal="left"/>
    </xf>
    <xf numFmtId="0" fontId="7" fillId="0" borderId="0" xfId="0" applyNumberFormat="1" applyFont="1" applyBorder="1" applyAlignment="1">
      <alignment horizontal="center"/>
    </xf>
    <xf numFmtId="0" fontId="50" fillId="0" borderId="0" xfId="0" applyFont="1" applyFill="1"/>
    <xf numFmtId="0" fontId="7" fillId="0" borderId="0" xfId="198" applyNumberFormat="1" applyFont="1" applyFill="1" applyAlignment="1" applyProtection="1">
      <protection locked="0"/>
    </xf>
    <xf numFmtId="169" fontId="15" fillId="0" borderId="26" xfId="834" applyFont="1" applyBorder="1" applyAlignment="1" applyProtection="1">
      <protection locked="0"/>
    </xf>
    <xf numFmtId="169" fontId="7" fillId="0" borderId="17" xfId="834" applyFont="1" applyBorder="1" applyAlignment="1" applyProtection="1">
      <protection locked="0"/>
    </xf>
    <xf numFmtId="3" fontId="7" fillId="0" borderId="18" xfId="834" applyNumberFormat="1" applyFont="1" applyBorder="1" applyAlignment="1" applyProtection="1">
      <protection locked="0"/>
    </xf>
    <xf numFmtId="167" fontId="7" fillId="0" borderId="0" xfId="834" applyNumberFormat="1" applyFont="1" applyAlignment="1" applyProtection="1">
      <protection locked="0"/>
    </xf>
    <xf numFmtId="0" fontId="0" fillId="0" borderId="0" xfId="0" applyBorder="1" applyAlignment="1">
      <alignment horizontal="right"/>
    </xf>
    <xf numFmtId="171" fontId="0" fillId="0" borderId="0" xfId="0" applyNumberFormat="1" applyBorder="1"/>
    <xf numFmtId="171" fontId="0" fillId="0" borderId="14" xfId="0" applyNumberFormat="1" applyBorder="1"/>
    <xf numFmtId="171" fontId="0" fillId="0" borderId="6" xfId="0" applyNumberFormat="1" applyBorder="1"/>
    <xf numFmtId="167" fontId="48" fillId="0" borderId="0" xfId="834" applyNumberFormat="1" applyFont="1" applyAlignment="1" applyProtection="1">
      <protection locked="0"/>
    </xf>
    <xf numFmtId="170" fontId="0" fillId="0" borderId="0" xfId="0" applyNumberFormat="1" applyBorder="1"/>
    <xf numFmtId="170" fontId="0" fillId="0" borderId="18" xfId="0" applyNumberFormat="1" applyBorder="1"/>
    <xf numFmtId="173" fontId="7" fillId="0" borderId="0" xfId="834" applyNumberFormat="1" applyFont="1" applyAlignment="1" applyProtection="1">
      <protection locked="0"/>
    </xf>
    <xf numFmtId="165" fontId="7" fillId="0" borderId="15" xfId="834" applyNumberFormat="1" applyFont="1" applyBorder="1" applyAlignment="1" applyProtection="1">
      <alignment horizontal="center"/>
      <protection locked="0"/>
    </xf>
    <xf numFmtId="170" fontId="7" fillId="0" borderId="6" xfId="834" quotePrefix="1" applyNumberFormat="1" applyFont="1" applyBorder="1" applyAlignment="1" applyProtection="1">
      <alignment horizontal="center"/>
      <protection locked="0"/>
    </xf>
    <xf numFmtId="41" fontId="48" fillId="0" borderId="11" xfId="834" applyNumberFormat="1" applyFont="1" applyFill="1" applyBorder="1" applyAlignment="1" applyProtection="1">
      <protection locked="0"/>
    </xf>
    <xf numFmtId="9" fontId="7" fillId="0" borderId="0" xfId="850" applyFont="1" applyFill="1" applyBorder="1"/>
    <xf numFmtId="170" fontId="7" fillId="0" borderId="0" xfId="198" applyNumberFormat="1" applyFont="1" applyFill="1" applyBorder="1" applyAlignment="1"/>
    <xf numFmtId="41" fontId="56" fillId="0" borderId="0" xfId="0" applyNumberFormat="1" applyFont="1"/>
    <xf numFmtId="10" fontId="0" fillId="0" borderId="0" xfId="0" applyNumberFormat="1"/>
    <xf numFmtId="164" fontId="1" fillId="0" borderId="0" xfId="850" applyNumberFormat="1"/>
    <xf numFmtId="0" fontId="9" fillId="0" borderId="0" xfId="0" applyFont="1" applyFill="1"/>
    <xf numFmtId="170" fontId="39" fillId="0" borderId="0" xfId="198" applyNumberFormat="1" applyFont="1" applyBorder="1"/>
    <xf numFmtId="170" fontId="7" fillId="0" borderId="14" xfId="0" applyNumberFormat="1" applyFont="1" applyBorder="1"/>
    <xf numFmtId="170" fontId="39" fillId="0" borderId="11" xfId="198" applyNumberFormat="1" applyFont="1" applyBorder="1"/>
    <xf numFmtId="170" fontId="7" fillId="0" borderId="19" xfId="0" applyNumberFormat="1" applyFont="1" applyBorder="1"/>
    <xf numFmtId="0" fontId="7" fillId="0" borderId="15" xfId="0" applyFont="1" applyBorder="1"/>
    <xf numFmtId="170" fontId="39" fillId="0" borderId="6" xfId="198" applyNumberFormat="1" applyFont="1" applyFill="1" applyBorder="1" applyAlignment="1">
      <alignment horizontal="left"/>
    </xf>
    <xf numFmtId="170" fontId="39" fillId="0" borderId="16" xfId="198" applyNumberFormat="1" applyFont="1" applyFill="1" applyBorder="1" applyAlignment="1">
      <alignment horizontal="left"/>
    </xf>
    <xf numFmtId="0" fontId="7" fillId="0" borderId="20" xfId="0" applyFont="1" applyFill="1" applyBorder="1" applyAlignment="1">
      <alignment horizontal="center"/>
    </xf>
    <xf numFmtId="0" fontId="0" fillId="0" borderId="21" xfId="0" applyBorder="1" applyAlignment="1"/>
    <xf numFmtId="0" fontId="0" fillId="0" borderId="0" xfId="0" applyFill="1" applyBorder="1" applyAlignment="1"/>
    <xf numFmtId="0" fontId="7" fillId="0" borderId="6" xfId="0" applyFont="1" applyBorder="1" applyAlignment="1">
      <alignment horizontal="center"/>
    </xf>
    <xf numFmtId="0" fontId="0" fillId="0" borderId="6" xfId="0" applyBorder="1"/>
    <xf numFmtId="0" fontId="39" fillId="0" borderId="23" xfId="0" applyFont="1" applyBorder="1" applyAlignment="1">
      <alignment horizontal="center" wrapText="1"/>
    </xf>
    <xf numFmtId="170" fontId="39" fillId="0" borderId="0" xfId="198" applyNumberFormat="1" applyFont="1" applyBorder="1" applyAlignment="1">
      <alignment horizontal="center" wrapText="1"/>
    </xf>
    <xf numFmtId="0" fontId="39" fillId="0" borderId="24" xfId="0" applyFont="1" applyBorder="1" applyAlignment="1">
      <alignment horizontal="center" wrapText="1"/>
    </xf>
    <xf numFmtId="0" fontId="39" fillId="0" borderId="6" xfId="0" applyFont="1" applyBorder="1" applyAlignment="1">
      <alignment horizontal="center"/>
    </xf>
    <xf numFmtId="170" fontId="7" fillId="0" borderId="23" xfId="0" applyNumberFormat="1" applyFont="1" applyBorder="1"/>
    <xf numFmtId="170" fontId="7" fillId="0" borderId="6" xfId="0" applyNumberFormat="1" applyFont="1" applyBorder="1"/>
    <xf numFmtId="0" fontId="55" fillId="0" borderId="0" xfId="0" applyFont="1"/>
    <xf numFmtId="0" fontId="58" fillId="0" borderId="0" xfId="0" applyFont="1" applyFill="1"/>
    <xf numFmtId="170" fontId="7" fillId="0" borderId="14" xfId="198" applyNumberFormat="1" applyFont="1" applyFill="1" applyBorder="1" applyAlignment="1">
      <alignment horizontal="right"/>
    </xf>
    <xf numFmtId="0" fontId="7" fillId="0" borderId="14" xfId="0" applyFont="1" applyFill="1" applyBorder="1" applyAlignment="1">
      <alignment horizontal="right"/>
    </xf>
    <xf numFmtId="0" fontId="7" fillId="0" borderId="16" xfId="0" applyFont="1" applyFill="1" applyBorder="1" applyAlignment="1">
      <alignment horizontal="right"/>
    </xf>
    <xf numFmtId="0" fontId="7" fillId="27" borderId="6" xfId="834" applyNumberFormat="1" applyFont="1" applyFill="1" applyBorder="1" applyAlignment="1" applyProtection="1">
      <alignment horizontal="center"/>
      <protection locked="0"/>
    </xf>
    <xf numFmtId="0" fontId="7" fillId="27" borderId="0" xfId="834" applyNumberFormat="1" applyFont="1" applyFill="1" applyBorder="1" applyAlignment="1" applyProtection="1">
      <alignment horizontal="center"/>
      <protection locked="0"/>
    </xf>
    <xf numFmtId="0" fontId="52" fillId="26" borderId="0" xfId="0" applyFont="1" applyFill="1" applyAlignment="1">
      <alignment horizontal="left"/>
    </xf>
    <xf numFmtId="0" fontId="39" fillId="0" borderId="21" xfId="0" applyFont="1" applyFill="1" applyBorder="1" applyAlignment="1"/>
    <xf numFmtId="0" fontId="61" fillId="27" borderId="21" xfId="0" applyFont="1" applyFill="1" applyBorder="1" applyAlignment="1">
      <alignment horizontal="center"/>
    </xf>
    <xf numFmtId="0" fontId="63" fillId="0" borderId="0" xfId="0" applyFont="1" applyAlignment="1">
      <alignment horizontal="center"/>
    </xf>
    <xf numFmtId="0" fontId="0" fillId="0" borderId="0" xfId="0" quotePrefix="1" applyAlignment="1">
      <alignment horizontal="left"/>
    </xf>
    <xf numFmtId="0" fontId="65" fillId="0" borderId="0" xfId="0" quotePrefix="1" applyFont="1" applyAlignment="1">
      <alignment horizontal="left"/>
    </xf>
    <xf numFmtId="0" fontId="0" fillId="0" borderId="27" xfId="0" applyBorder="1"/>
    <xf numFmtId="0" fontId="66" fillId="0" borderId="0" xfId="0" quotePrefix="1" applyFont="1" applyAlignment="1">
      <alignment horizontal="left"/>
    </xf>
    <xf numFmtId="0" fontId="64" fillId="0" borderId="0" xfId="0" quotePrefix="1" applyFont="1" applyAlignment="1">
      <alignment horizontal="left"/>
    </xf>
    <xf numFmtId="170" fontId="54" fillId="0" borderId="23" xfId="0" applyNumberFormat="1" applyFont="1" applyBorder="1"/>
    <xf numFmtId="170" fontId="54" fillId="0" borderId="24" xfId="0" applyNumberFormat="1" applyFont="1" applyBorder="1"/>
    <xf numFmtId="171" fontId="54" fillId="0" borderId="25" xfId="0" applyNumberFormat="1" applyFont="1" applyBorder="1"/>
    <xf numFmtId="0" fontId="39" fillId="0" borderId="0" xfId="0" quotePrefix="1" applyFont="1" applyAlignment="1">
      <alignment horizontal="left"/>
    </xf>
    <xf numFmtId="0" fontId="0" fillId="0" borderId="18" xfId="0" applyBorder="1"/>
    <xf numFmtId="0" fontId="46" fillId="0" borderId="0" xfId="0" applyFont="1" applyAlignment="1">
      <alignment horizontal="center"/>
    </xf>
    <xf numFmtId="0" fontId="0" fillId="0" borderId="22" xfId="0" applyBorder="1" applyAlignment="1"/>
    <xf numFmtId="0" fontId="68" fillId="0" borderId="0" xfId="0" quotePrefix="1" applyFont="1" applyAlignment="1">
      <alignment horizontal="left"/>
    </xf>
    <xf numFmtId="0" fontId="68" fillId="0" borderId="0" xfId="0" applyFont="1"/>
    <xf numFmtId="0" fontId="69" fillId="0" borderId="0" xfId="0" applyFont="1"/>
    <xf numFmtId="0" fontId="7" fillId="0" borderId="0" xfId="0" applyFont="1" applyAlignment="1">
      <alignment horizontal="left"/>
    </xf>
    <xf numFmtId="0" fontId="50" fillId="0" borderId="0" xfId="0" quotePrefix="1" applyFont="1" applyAlignment="1">
      <alignment horizontal="left"/>
    </xf>
    <xf numFmtId="0" fontId="46" fillId="0" borderId="0" xfId="0" quotePrefix="1" applyFont="1" applyAlignment="1">
      <alignment horizontal="center"/>
    </xf>
    <xf numFmtId="171" fontId="46" fillId="0" borderId="0" xfId="0" quotePrefix="1" applyNumberFormat="1" applyFont="1" applyBorder="1" applyAlignment="1">
      <alignment horizontal="center"/>
    </xf>
    <xf numFmtId="0" fontId="52" fillId="0" borderId="0" xfId="0" applyFont="1" applyAlignment="1">
      <alignment horizontal="left"/>
    </xf>
    <xf numFmtId="0" fontId="55" fillId="0" borderId="0" xfId="0" applyFont="1" applyFill="1" applyAlignment="1"/>
    <xf numFmtId="0" fontId="55" fillId="0" borderId="0" xfId="0" quotePrefix="1" applyFont="1" applyAlignment="1">
      <alignment horizontal="left"/>
    </xf>
    <xf numFmtId="0" fontId="67" fillId="0" borderId="0" xfId="0" applyFont="1" applyFill="1" applyAlignment="1">
      <alignment horizontal="right"/>
    </xf>
    <xf numFmtId="0" fontId="55" fillId="0" borderId="0" xfId="0" quotePrefix="1" applyFont="1" applyFill="1" applyAlignment="1">
      <alignment horizontal="left"/>
    </xf>
    <xf numFmtId="168" fontId="7" fillId="0" borderId="24" xfId="198" applyNumberFormat="1" applyFont="1" applyFill="1" applyBorder="1"/>
    <xf numFmtId="168" fontId="7" fillId="0" borderId="14" xfId="198" applyNumberFormat="1" applyFont="1" applyFill="1" applyBorder="1"/>
    <xf numFmtId="170" fontId="7" fillId="0" borderId="14" xfId="198" applyNumberFormat="1" applyFont="1" applyFill="1" applyBorder="1"/>
    <xf numFmtId="170" fontId="7" fillId="0" borderId="16" xfId="198" applyNumberFormat="1" applyFont="1" applyFill="1" applyBorder="1"/>
    <xf numFmtId="170" fontId="39" fillId="26" borderId="25" xfId="198" applyNumberFormat="1" applyFont="1" applyFill="1" applyBorder="1" applyAlignment="1">
      <alignment horizontal="center"/>
    </xf>
    <xf numFmtId="171" fontId="54" fillId="0" borderId="23" xfId="0" applyNumberFormat="1" applyFont="1" applyFill="1" applyBorder="1"/>
    <xf numFmtId="171" fontId="7" fillId="0" borderId="24" xfId="0" applyNumberFormat="1" applyFont="1" applyFill="1" applyBorder="1"/>
    <xf numFmtId="171" fontId="54" fillId="0" borderId="24" xfId="0" applyNumberFormat="1" applyFont="1" applyFill="1" applyBorder="1"/>
    <xf numFmtId="170" fontId="7" fillId="0" borderId="13" xfId="198" quotePrefix="1" applyNumberFormat="1" applyFont="1" applyBorder="1" applyAlignment="1">
      <alignment horizontal="right"/>
    </xf>
    <xf numFmtId="0" fontId="7" fillId="0" borderId="15" xfId="0" quotePrefix="1" applyFont="1" applyBorder="1" applyAlignment="1">
      <alignment horizontal="right"/>
    </xf>
    <xf numFmtId="0" fontId="55" fillId="0" borderId="23" xfId="0" applyFont="1" applyBorder="1"/>
    <xf numFmtId="170" fontId="55" fillId="0" borderId="25" xfId="198" applyNumberFormat="1" applyFont="1" applyBorder="1"/>
    <xf numFmtId="0" fontId="57" fillId="0" borderId="28" xfId="198" applyNumberFormat="1" applyFont="1" applyFill="1" applyBorder="1" applyAlignment="1">
      <alignment horizontal="left"/>
    </xf>
    <xf numFmtId="170" fontId="7" fillId="0" borderId="29" xfId="198" quotePrefix="1" applyNumberFormat="1" applyFont="1" applyBorder="1" applyAlignment="1">
      <alignment horizontal="right"/>
    </xf>
    <xf numFmtId="0" fontId="39" fillId="0" borderId="30" xfId="0" applyFont="1" applyFill="1" applyBorder="1" applyAlignment="1">
      <alignment horizontal="center"/>
    </xf>
    <xf numFmtId="169" fontId="7" fillId="0" borderId="31" xfId="834" applyFont="1" applyBorder="1" applyAlignment="1" applyProtection="1">
      <alignment horizontal="center"/>
      <protection locked="0"/>
    </xf>
    <xf numFmtId="3" fontId="7" fillId="0" borderId="32" xfId="834" applyNumberFormat="1" applyFont="1" applyBorder="1" applyAlignment="1" applyProtection="1">
      <alignment horizontal="center"/>
      <protection locked="0"/>
    </xf>
    <xf numFmtId="0" fontId="39" fillId="0" borderId="26" xfId="0" quotePrefix="1" applyFont="1" applyBorder="1" applyAlignment="1">
      <alignment horizontal="left"/>
    </xf>
    <xf numFmtId="0" fontId="39" fillId="0" borderId="13" xfId="0" quotePrefix="1" applyFont="1" applyBorder="1" applyAlignment="1">
      <alignment horizontal="left"/>
    </xf>
    <xf numFmtId="169" fontId="7" fillId="0" borderId="31" xfId="834" quotePrefix="1" applyFont="1" applyBorder="1" applyAlignment="1" applyProtection="1">
      <alignment horizontal="center"/>
      <protection locked="0"/>
    </xf>
    <xf numFmtId="170" fontId="39" fillId="0" borderId="23" xfId="198" quotePrefix="1" applyNumberFormat="1" applyFont="1" applyBorder="1" applyAlignment="1">
      <alignment horizontal="center" wrapText="1"/>
    </xf>
    <xf numFmtId="0" fontId="52" fillId="0" borderId="0" xfId="0" applyFont="1" applyFill="1" applyAlignment="1">
      <alignment horizontal="left"/>
    </xf>
    <xf numFmtId="0" fontId="52" fillId="0" borderId="0" xfId="0" quotePrefix="1" applyFont="1" applyFill="1" applyAlignment="1">
      <alignment horizontal="left"/>
    </xf>
    <xf numFmtId="0" fontId="52" fillId="0" borderId="0" xfId="0" quotePrefix="1" applyFont="1" applyAlignment="1">
      <alignment horizontal="left"/>
    </xf>
    <xf numFmtId="170" fontId="53" fillId="0" borderId="0" xfId="198" applyNumberFormat="1" applyFont="1" applyFill="1"/>
    <xf numFmtId="0" fontId="71" fillId="0" borderId="0" xfId="0" applyFont="1" applyFill="1"/>
    <xf numFmtId="0" fontId="14" fillId="0" borderId="0" xfId="0" applyNumberFormat="1" applyFont="1" applyAlignment="1">
      <alignment horizontal="center"/>
    </xf>
    <xf numFmtId="3" fontId="14" fillId="0" borderId="0" xfId="0" quotePrefix="1" applyNumberFormat="1" applyFont="1" applyFill="1" applyAlignment="1">
      <alignment horizontal="center"/>
    </xf>
    <xf numFmtId="0" fontId="14" fillId="0" borderId="0" xfId="0" applyNumberFormat="1" applyFont="1" applyFill="1" applyAlignment="1">
      <alignment horizontal="center"/>
    </xf>
    <xf numFmtId="169" fontId="14" fillId="0" borderId="0" xfId="834" applyFont="1" applyFill="1" applyAlignment="1"/>
    <xf numFmtId="49" fontId="72" fillId="0" borderId="0" xfId="834" applyNumberFormat="1" applyFont="1" applyFill="1" applyAlignment="1" applyProtection="1">
      <alignment horizontal="center"/>
      <protection locked="0"/>
    </xf>
    <xf numFmtId="3" fontId="6" fillId="0" borderId="0" xfId="0" applyNumberFormat="1" applyFont="1" applyAlignment="1">
      <alignment horizontal="center"/>
    </xf>
    <xf numFmtId="0" fontId="39" fillId="0" borderId="11" xfId="0" applyFont="1" applyBorder="1" applyAlignment="1">
      <alignment horizontal="centerContinuous"/>
    </xf>
    <xf numFmtId="0" fontId="65" fillId="0" borderId="0" xfId="0" applyFont="1" applyFill="1" applyBorder="1" applyAlignment="1">
      <alignment horizontal="center" wrapText="1"/>
    </xf>
    <xf numFmtId="0" fontId="39" fillId="0" borderId="0" xfId="0" applyFont="1" applyBorder="1" applyAlignment="1">
      <alignment horizontal="center"/>
    </xf>
    <xf numFmtId="0" fontId="65" fillId="0" borderId="0" xfId="0" quotePrefix="1" applyFont="1" applyBorder="1" applyAlignment="1">
      <alignment horizontal="centerContinuous"/>
    </xf>
    <xf numFmtId="0" fontId="73" fillId="0" borderId="0" xfId="0" applyFont="1" applyFill="1"/>
    <xf numFmtId="0" fontId="65" fillId="0" borderId="0" xfId="0" applyFont="1" applyAlignment="1">
      <alignment horizontal="center" wrapText="1"/>
    </xf>
    <xf numFmtId="0" fontId="65" fillId="0" borderId="0" xfId="0" applyFont="1" applyAlignment="1">
      <alignment horizontal="center"/>
    </xf>
    <xf numFmtId="0" fontId="65" fillId="0" borderId="0" xfId="0" applyFont="1" applyBorder="1" applyAlignment="1">
      <alignment horizontal="center" wrapText="1"/>
    </xf>
    <xf numFmtId="0" fontId="65" fillId="0" borderId="0" xfId="0" applyFont="1" applyBorder="1" applyAlignment="1">
      <alignment horizontal="center"/>
    </xf>
    <xf numFmtId="0" fontId="65" fillId="0" borderId="0" xfId="0" quotePrefix="1" applyFont="1" applyFill="1" applyBorder="1" applyAlignment="1">
      <alignment horizontal="center" wrapText="1"/>
    </xf>
    <xf numFmtId="0" fontId="65" fillId="0" borderId="0" xfId="0" applyFont="1" applyFill="1" applyBorder="1" applyAlignment="1">
      <alignment horizontal="center"/>
    </xf>
    <xf numFmtId="0" fontId="0" fillId="0" borderId="0" xfId="0" applyAlignment="1">
      <alignment horizontal="center" vertical="center"/>
    </xf>
    <xf numFmtId="0" fontId="7" fillId="0" borderId="0" xfId="0" applyFont="1" applyFill="1" applyAlignment="1">
      <alignment vertical="center" wrapText="1"/>
    </xf>
    <xf numFmtId="0" fontId="7" fillId="0" borderId="0" xfId="0" applyFont="1" applyFill="1" applyAlignment="1">
      <alignment horizontal="center" vertical="center"/>
    </xf>
    <xf numFmtId="0" fontId="0" fillId="0" borderId="0" xfId="0" applyAlignment="1">
      <alignment vertical="center"/>
    </xf>
    <xf numFmtId="170" fontId="64" fillId="26" borderId="0" xfId="198" applyNumberFormat="1" applyFont="1" applyFill="1" applyAlignment="1">
      <alignment vertical="center"/>
    </xf>
    <xf numFmtId="170" fontId="1" fillId="0" borderId="0" xfId="198" applyNumberFormat="1" applyAlignment="1">
      <alignment vertical="center"/>
    </xf>
    <xf numFmtId="170" fontId="39" fillId="0" borderId="0" xfId="198" applyNumberFormat="1" applyFont="1" applyAlignment="1">
      <alignment horizontal="center" vertical="center"/>
    </xf>
    <xf numFmtId="170" fontId="39" fillId="0" borderId="0" xfId="198" applyNumberFormat="1" applyFont="1" applyAlignment="1">
      <alignment vertical="center"/>
    </xf>
    <xf numFmtId="0" fontId="0" fillId="0" borderId="0" xfId="0" applyFill="1" applyAlignment="1">
      <alignment vertical="center" wrapText="1"/>
    </xf>
    <xf numFmtId="170" fontId="1" fillId="0" borderId="11" xfId="198" applyNumberFormat="1" applyBorder="1" applyAlignment="1">
      <alignment vertical="center"/>
    </xf>
    <xf numFmtId="170" fontId="39" fillId="0" borderId="11" xfId="198" applyNumberFormat="1" applyFont="1" applyBorder="1" applyAlignment="1">
      <alignment vertical="center"/>
    </xf>
    <xf numFmtId="0" fontId="7" fillId="0" borderId="0" xfId="0" applyFont="1" applyAlignment="1">
      <alignment vertical="center"/>
    </xf>
    <xf numFmtId="43" fontId="1" fillId="0" borderId="0" xfId="198" applyAlignment="1">
      <alignment vertical="center"/>
    </xf>
    <xf numFmtId="0" fontId="0" fillId="0" borderId="0" xfId="0" quotePrefix="1" applyAlignment="1">
      <alignment horizontal="left" vertical="center"/>
    </xf>
    <xf numFmtId="170" fontId="64" fillId="26" borderId="0" xfId="0" applyNumberFormat="1" applyFont="1" applyFill="1" applyAlignment="1">
      <alignment vertical="center"/>
    </xf>
    <xf numFmtId="43" fontId="1" fillId="0" borderId="0" xfId="198"/>
    <xf numFmtId="0" fontId="0" fillId="0" borderId="33" xfId="0" applyBorder="1"/>
    <xf numFmtId="0" fontId="0" fillId="0" borderId="2" xfId="0" applyBorder="1"/>
    <xf numFmtId="170" fontId="1" fillId="0" borderId="2" xfId="198" applyNumberFormat="1" applyBorder="1"/>
    <xf numFmtId="0" fontId="0" fillId="0" borderId="34" xfId="0" applyBorder="1"/>
    <xf numFmtId="0" fontId="0" fillId="0" borderId="0" xfId="0" applyBorder="1" applyAlignment="1">
      <alignment horizontal="center"/>
    </xf>
    <xf numFmtId="49" fontId="72" fillId="0" borderId="0" xfId="834" applyNumberFormat="1" applyFont="1" applyFill="1" applyBorder="1" applyAlignment="1" applyProtection="1">
      <alignment horizontal="center"/>
      <protection locked="0"/>
    </xf>
    <xf numFmtId="0" fontId="0" fillId="0" borderId="35" xfId="0" applyBorder="1" applyAlignment="1">
      <alignment horizontal="center"/>
    </xf>
    <xf numFmtId="0" fontId="0" fillId="0" borderId="36" xfId="0" applyBorder="1"/>
    <xf numFmtId="0" fontId="0" fillId="0" borderId="11" xfId="0" applyBorder="1"/>
    <xf numFmtId="170" fontId="1" fillId="0" borderId="11" xfId="198" applyNumberFormat="1" applyBorder="1"/>
    <xf numFmtId="0" fontId="0" fillId="0" borderId="37" xfId="0" applyBorder="1"/>
    <xf numFmtId="0" fontId="0" fillId="0" borderId="0" xfId="0" quotePrefix="1" applyAlignment="1">
      <alignment horizontal="center" vertical="center"/>
    </xf>
    <xf numFmtId="170" fontId="74" fillId="0" borderId="0" xfId="198" applyNumberFormat="1" applyFont="1" applyAlignment="1">
      <alignment horizontal="center" vertical="center"/>
    </xf>
    <xf numFmtId="3" fontId="6" fillId="0" borderId="0" xfId="0" quotePrefix="1" applyNumberFormat="1" applyFont="1" applyAlignment="1">
      <alignment horizontal="center"/>
    </xf>
    <xf numFmtId="0" fontId="39" fillId="0" borderId="11" xfId="0" quotePrefix="1" applyFont="1" applyBorder="1" applyAlignment="1">
      <alignment horizontal="centerContinuous"/>
    </xf>
    <xf numFmtId="170" fontId="1" fillId="0" borderId="0" xfId="198" applyNumberFormat="1" applyFont="1" applyFill="1" applyAlignment="1">
      <alignment vertical="center"/>
    </xf>
    <xf numFmtId="170" fontId="1" fillId="0" borderId="0" xfId="198" applyNumberFormat="1" applyFill="1" applyAlignment="1">
      <alignment vertical="center"/>
    </xf>
    <xf numFmtId="0" fontId="0" fillId="0" borderId="0" xfId="0" applyFill="1" applyAlignment="1">
      <alignment vertical="center"/>
    </xf>
    <xf numFmtId="0" fontId="65" fillId="0" borderId="11" xfId="0" applyFont="1" applyBorder="1" applyAlignment="1">
      <alignment horizontal="centerContinuous"/>
    </xf>
    <xf numFmtId="0" fontId="65" fillId="0" borderId="0" xfId="0" quotePrefix="1" applyFont="1" applyBorder="1" applyAlignment="1">
      <alignment horizontal="center" wrapText="1"/>
    </xf>
    <xf numFmtId="0" fontId="0" fillId="0" borderId="38" xfId="0" applyBorder="1" applyAlignment="1">
      <alignment wrapText="1"/>
    </xf>
    <xf numFmtId="0" fontId="0" fillId="0" borderId="24" xfId="0" applyBorder="1"/>
    <xf numFmtId="0" fontId="0" fillId="0" borderId="28" xfId="0" applyBorder="1"/>
    <xf numFmtId="171" fontId="54" fillId="26" borderId="23" xfId="0" applyNumberFormat="1" applyFont="1" applyFill="1" applyBorder="1"/>
    <xf numFmtId="171" fontId="54" fillId="26" borderId="24" xfId="0" applyNumberFormat="1" applyFont="1" applyFill="1" applyBorder="1"/>
    <xf numFmtId="171" fontId="54" fillId="26" borderId="25" xfId="0" applyNumberFormat="1" applyFont="1" applyFill="1" applyBorder="1"/>
    <xf numFmtId="171" fontId="0" fillId="0" borderId="0" xfId="510" applyNumberFormat="1" applyFont="1"/>
    <xf numFmtId="170" fontId="53" fillId="0" borderId="0" xfId="198" quotePrefix="1" applyNumberFormat="1" applyFont="1" applyFill="1" applyAlignment="1">
      <alignment horizontal="left"/>
    </xf>
    <xf numFmtId="176" fontId="7" fillId="0" borderId="0" xfId="834" applyNumberFormat="1" applyFont="1" applyBorder="1" applyAlignment="1" applyProtection="1">
      <alignment horizontal="center" vertical="center"/>
      <protection locked="0"/>
    </xf>
    <xf numFmtId="173" fontId="7" fillId="0" borderId="0" xfId="834" applyNumberFormat="1" applyFont="1" applyBorder="1" applyAlignment="1" applyProtection="1">
      <protection locked="0"/>
    </xf>
    <xf numFmtId="174" fontId="7" fillId="0" borderId="0" xfId="834" applyNumberFormat="1" applyFont="1" applyBorder="1" applyAlignment="1" applyProtection="1">
      <alignment horizontal="center"/>
      <protection locked="0"/>
    </xf>
    <xf numFmtId="0" fontId="1" fillId="0" borderId="0" xfId="0" applyFont="1" applyFill="1" applyAlignment="1">
      <alignment vertical="center" wrapText="1"/>
    </xf>
    <xf numFmtId="0" fontId="53" fillId="0" borderId="0" xfId="0" quotePrefix="1" applyFont="1" applyAlignment="1">
      <alignment horizontal="left"/>
    </xf>
    <xf numFmtId="13" fontId="5" fillId="0" borderId="0" xfId="0" applyNumberFormat="1" applyFont="1" applyAlignment="1">
      <alignment horizontal="center" vertical="center"/>
    </xf>
    <xf numFmtId="43" fontId="76" fillId="0" borderId="0" xfId="198" applyFont="1" applyAlignment="1">
      <alignment horizontal="left" vertical="center"/>
    </xf>
    <xf numFmtId="171" fontId="39" fillId="0" borderId="0" xfId="510" applyNumberFormat="1" applyFont="1" applyAlignment="1">
      <alignment vertical="center"/>
    </xf>
    <xf numFmtId="0" fontId="1" fillId="0" borderId="0" xfId="0" applyFont="1" applyAlignment="1">
      <alignment horizontal="center" vertical="center"/>
    </xf>
    <xf numFmtId="44" fontId="7" fillId="0" borderId="0" xfId="510" applyFont="1"/>
    <xf numFmtId="170" fontId="7" fillId="0" borderId="0" xfId="0" applyNumberFormat="1" applyFont="1" applyFill="1" applyAlignment="1">
      <alignment wrapText="1"/>
    </xf>
    <xf numFmtId="44" fontId="7" fillId="0" borderId="0" xfId="0" applyNumberFormat="1" applyFont="1" applyFill="1" applyBorder="1" applyAlignment="1">
      <alignment wrapText="1"/>
    </xf>
    <xf numFmtId="170" fontId="7" fillId="0" borderId="0" xfId="0" applyNumberFormat="1" applyFont="1" applyFill="1" applyBorder="1"/>
    <xf numFmtId="0" fontId="39" fillId="0" borderId="23" xfId="0" quotePrefix="1" applyFont="1" applyBorder="1" applyAlignment="1">
      <alignment horizontal="center" wrapText="1"/>
    </xf>
    <xf numFmtId="0" fontId="55" fillId="0" borderId="0" xfId="0" applyFont="1" applyFill="1" applyAlignment="1">
      <alignment horizontal="left"/>
    </xf>
    <xf numFmtId="170" fontId="1" fillId="0" borderId="0" xfId="198" applyNumberFormat="1" applyFont="1" applyAlignment="1">
      <alignment vertical="center"/>
    </xf>
    <xf numFmtId="170" fontId="0" fillId="0" borderId="25" xfId="0" applyNumberFormat="1" applyBorder="1"/>
    <xf numFmtId="170" fontId="39" fillId="0" borderId="24" xfId="0" applyNumberFormat="1" applyFont="1" applyBorder="1"/>
    <xf numFmtId="0" fontId="55" fillId="0" borderId="0" xfId="0" applyFont="1" applyAlignment="1">
      <alignment horizontal="left"/>
    </xf>
    <xf numFmtId="170" fontId="54" fillId="26" borderId="0" xfId="0" applyNumberFormat="1" applyFont="1" applyFill="1" applyBorder="1"/>
    <xf numFmtId="170" fontId="54" fillId="26" borderId="23" xfId="198" applyNumberFormat="1" applyFont="1" applyFill="1" applyBorder="1"/>
    <xf numFmtId="170" fontId="54" fillId="26" borderId="14" xfId="198" applyNumberFormat="1" applyFont="1" applyFill="1" applyBorder="1"/>
    <xf numFmtId="170" fontId="54" fillId="26" borderId="24" xfId="198" applyNumberFormat="1" applyFont="1" applyFill="1" applyBorder="1"/>
    <xf numFmtId="170" fontId="54" fillId="26" borderId="24" xfId="0" applyNumberFormat="1" applyFont="1" applyFill="1" applyBorder="1"/>
    <xf numFmtId="168" fontId="54" fillId="26" borderId="24" xfId="198" applyNumberFormat="1" applyFont="1" applyFill="1" applyBorder="1"/>
    <xf numFmtId="168" fontId="54" fillId="26" borderId="14" xfId="198" applyNumberFormat="1" applyFont="1" applyFill="1" applyBorder="1"/>
    <xf numFmtId="170" fontId="64" fillId="26" borderId="24" xfId="198" applyNumberFormat="1" applyFont="1" applyFill="1" applyBorder="1"/>
    <xf numFmtId="170" fontId="54" fillId="26" borderId="23" xfId="0" applyNumberFormat="1" applyFont="1" applyFill="1" applyBorder="1"/>
    <xf numFmtId="170" fontId="64" fillId="26" borderId="24" xfId="0" applyNumberFormat="1" applyFont="1" applyFill="1" applyBorder="1"/>
    <xf numFmtId="0" fontId="7" fillId="0" borderId="24" xfId="0" applyNumberFormat="1" applyFont="1" applyFill="1" applyBorder="1" applyAlignment="1">
      <alignment horizontal="center"/>
    </xf>
    <xf numFmtId="171" fontId="54" fillId="0" borderId="14" xfId="0" applyNumberFormat="1" applyFont="1" applyFill="1" applyBorder="1"/>
    <xf numFmtId="0" fontId="53" fillId="0" borderId="0" xfId="0" quotePrefix="1" applyFont="1" applyFill="1" applyAlignment="1"/>
    <xf numFmtId="170" fontId="53" fillId="0" borderId="0" xfId="0" applyNumberFormat="1" applyFont="1" applyAlignment="1">
      <alignment horizontal="left"/>
    </xf>
    <xf numFmtId="0" fontId="39" fillId="27" borderId="21" xfId="0" applyFont="1" applyFill="1" applyBorder="1" applyAlignment="1">
      <alignment horizontal="center"/>
    </xf>
    <xf numFmtId="43" fontId="77" fillId="0" borderId="0" xfId="198" applyFont="1" applyAlignment="1">
      <alignment vertical="center"/>
    </xf>
    <xf numFmtId="170" fontId="0" fillId="0" borderId="24" xfId="0" applyNumberFormat="1" applyBorder="1" applyAlignment="1">
      <alignment vertical="center"/>
    </xf>
    <xf numFmtId="0" fontId="68" fillId="0" borderId="0" xfId="0" applyFont="1" applyAlignment="1">
      <alignment horizontal="center"/>
    </xf>
    <xf numFmtId="0" fontId="7" fillId="0" borderId="39" xfId="0" quotePrefix="1" applyFont="1" applyFill="1" applyBorder="1" applyAlignment="1">
      <alignment horizontal="left"/>
    </xf>
    <xf numFmtId="0" fontId="54" fillId="0" borderId="40" xfId="0" quotePrefix="1" applyFont="1" applyFill="1" applyBorder="1" applyAlignment="1">
      <alignment horizontal="right"/>
    </xf>
    <xf numFmtId="170" fontId="78" fillId="26" borderId="24" xfId="198" applyNumberFormat="1" applyFont="1" applyFill="1" applyBorder="1"/>
    <xf numFmtId="0" fontId="50" fillId="59" borderId="0" xfId="0" quotePrefix="1" applyFont="1" applyFill="1" applyAlignment="1">
      <alignment horizontal="left"/>
    </xf>
    <xf numFmtId="0" fontId="7" fillId="59" borderId="0" xfId="0" applyFont="1" applyFill="1"/>
    <xf numFmtId="0" fontId="7" fillId="59" borderId="0" xfId="0" applyFont="1" applyFill="1" applyBorder="1"/>
    <xf numFmtId="0" fontId="7" fillId="59" borderId="0" xfId="0" applyFont="1" applyFill="1" applyAlignment="1">
      <alignment horizontal="center"/>
    </xf>
    <xf numFmtId="10" fontId="7" fillId="59" borderId="0" xfId="0" applyNumberFormat="1" applyFont="1" applyFill="1"/>
    <xf numFmtId="170" fontId="7" fillId="59" borderId="0" xfId="198" applyNumberFormat="1" applyFont="1" applyFill="1"/>
    <xf numFmtId="0" fontId="0" fillId="59" borderId="0" xfId="0" applyFill="1"/>
    <xf numFmtId="0" fontId="0" fillId="59" borderId="0" xfId="0" applyFill="1" applyBorder="1"/>
    <xf numFmtId="0" fontId="52" fillId="59" borderId="0" xfId="0" applyFont="1" applyFill="1" applyAlignment="1">
      <alignment horizontal="left"/>
    </xf>
    <xf numFmtId="170" fontId="7" fillId="59" borderId="0" xfId="0" applyNumberFormat="1" applyFont="1" applyFill="1" applyBorder="1"/>
    <xf numFmtId="170" fontId="1" fillId="59" borderId="24" xfId="198" applyNumberFormat="1" applyFill="1" applyBorder="1"/>
    <xf numFmtId="170" fontId="7" fillId="59" borderId="24" xfId="0" applyNumberFormat="1" applyFont="1" applyFill="1" applyBorder="1"/>
    <xf numFmtId="170" fontId="7" fillId="59" borderId="24" xfId="198" applyNumberFormat="1" applyFont="1" applyFill="1" applyBorder="1"/>
    <xf numFmtId="170" fontId="7" fillId="59" borderId="14" xfId="198" applyNumberFormat="1" applyFont="1" applyFill="1" applyBorder="1"/>
    <xf numFmtId="177" fontId="1" fillId="0" borderId="0" xfId="198" applyNumberFormat="1" applyAlignment="1">
      <alignment vertical="center"/>
    </xf>
    <xf numFmtId="170" fontId="119" fillId="59" borderId="0" xfId="0" applyNumberFormat="1" applyFont="1" applyFill="1" applyBorder="1"/>
    <xf numFmtId="170" fontId="119" fillId="59" borderId="23" xfId="198" applyNumberFormat="1" applyFont="1" applyFill="1" applyBorder="1"/>
    <xf numFmtId="170" fontId="119" fillId="59" borderId="14" xfId="198" applyNumberFormat="1" applyFont="1" applyFill="1" applyBorder="1"/>
    <xf numFmtId="170" fontId="119" fillId="59" borderId="24" xfId="0" applyNumberFormat="1" applyFont="1" applyFill="1" applyBorder="1"/>
    <xf numFmtId="170" fontId="119" fillId="59" borderId="24" xfId="198" applyNumberFormat="1" applyFont="1" applyFill="1" applyBorder="1"/>
    <xf numFmtId="171" fontId="119" fillId="0" borderId="14" xfId="0" applyNumberFormat="1" applyFont="1" applyBorder="1"/>
    <xf numFmtId="171" fontId="119" fillId="0" borderId="14" xfId="0" applyNumberFormat="1" applyFont="1" applyFill="1" applyBorder="1"/>
    <xf numFmtId="0" fontId="7" fillId="0" borderId="0" xfId="0" quotePrefix="1" applyFont="1" applyAlignment="1">
      <alignment horizontal="center" vertical="center"/>
    </xf>
    <xf numFmtId="0" fontId="7" fillId="0" borderId="21" xfId="0" applyFont="1" applyFill="1" applyBorder="1" applyAlignment="1">
      <alignment horizontal="left"/>
    </xf>
    <xf numFmtId="170" fontId="0" fillId="0" borderId="0" xfId="198" applyNumberFormat="1" applyFont="1"/>
    <xf numFmtId="171" fontId="120" fillId="0" borderId="24" xfId="0" applyNumberFormat="1" applyFont="1" applyBorder="1"/>
    <xf numFmtId="171" fontId="120" fillId="0" borderId="14" xfId="0" applyNumberFormat="1" applyFont="1" applyBorder="1"/>
    <xf numFmtId="171" fontId="120" fillId="0" borderId="14" xfId="0" applyNumberFormat="1" applyFont="1" applyFill="1" applyBorder="1"/>
    <xf numFmtId="170" fontId="54" fillId="26" borderId="13" xfId="0" applyNumberFormat="1" applyFont="1" applyFill="1" applyBorder="1"/>
    <xf numFmtId="170" fontId="39" fillId="0" borderId="25" xfId="198" applyNumberFormat="1" applyFont="1" applyFill="1" applyBorder="1" applyAlignment="1">
      <alignment horizontal="center"/>
    </xf>
    <xf numFmtId="170" fontId="39" fillId="0" borderId="16" xfId="198" applyNumberFormat="1" applyFont="1" applyFill="1" applyBorder="1" applyAlignment="1">
      <alignment horizontal="center"/>
    </xf>
    <xf numFmtId="170" fontId="120" fillId="59" borderId="0" xfId="0" applyNumberFormat="1" applyFont="1" applyFill="1" applyBorder="1"/>
    <xf numFmtId="170" fontId="120" fillId="59" borderId="24" xfId="198" applyNumberFormat="1" applyFont="1" applyFill="1" applyBorder="1"/>
    <xf numFmtId="170" fontId="120" fillId="59" borderId="24" xfId="0" applyNumberFormat="1" applyFont="1" applyFill="1" applyBorder="1"/>
    <xf numFmtId="170" fontId="120" fillId="59" borderId="23" xfId="0" applyNumberFormat="1" applyFont="1" applyFill="1" applyBorder="1"/>
    <xf numFmtId="168" fontId="120" fillId="59" borderId="24" xfId="198" applyNumberFormat="1" applyFont="1" applyFill="1" applyBorder="1"/>
    <xf numFmtId="168" fontId="120" fillId="59" borderId="14" xfId="198" applyNumberFormat="1" applyFont="1" applyFill="1" applyBorder="1"/>
    <xf numFmtId="170" fontId="120" fillId="59" borderId="23" xfId="198" applyNumberFormat="1" applyFont="1" applyFill="1" applyBorder="1"/>
    <xf numFmtId="170" fontId="120" fillId="59" borderId="14" xfId="198" applyNumberFormat="1" applyFont="1" applyFill="1" applyBorder="1"/>
    <xf numFmtId="170" fontId="120" fillId="59" borderId="14" xfId="198" applyNumberFormat="1" applyFont="1" applyFill="1" applyBorder="1" applyAlignment="1">
      <alignment horizontal="right"/>
    </xf>
    <xf numFmtId="0" fontId="7" fillId="0" borderId="0" xfId="0" applyFont="1" applyFill="1" applyAlignment="1">
      <alignment horizontal="left"/>
    </xf>
    <xf numFmtId="170" fontId="7" fillId="0" borderId="23" xfId="0" applyNumberFormat="1" applyFont="1" applyFill="1" applyBorder="1"/>
    <xf numFmtId="170" fontId="1" fillId="0" borderId="24" xfId="198" applyNumberFormat="1" applyFill="1" applyBorder="1"/>
    <xf numFmtId="170" fontId="7" fillId="0" borderId="0" xfId="0" applyNumberFormat="1" applyFont="1" applyAlignment="1">
      <alignment horizontal="left"/>
    </xf>
    <xf numFmtId="171" fontId="120" fillId="59" borderId="24" xfId="0" applyNumberFormat="1" applyFont="1" applyFill="1" applyBorder="1"/>
    <xf numFmtId="171" fontId="54" fillId="0" borderId="26" xfId="0" applyNumberFormat="1" applyFont="1" applyFill="1" applyBorder="1"/>
    <xf numFmtId="171" fontId="7" fillId="0" borderId="17" xfId="0" applyNumberFormat="1" applyFont="1" applyFill="1" applyBorder="1"/>
    <xf numFmtId="171" fontId="54" fillId="0" borderId="17" xfId="0" applyNumberFormat="1" applyFont="1" applyFill="1" applyBorder="1"/>
    <xf numFmtId="171" fontId="7" fillId="0" borderId="18" xfId="0" applyNumberFormat="1" applyFont="1" applyBorder="1"/>
    <xf numFmtId="170" fontId="64" fillId="59" borderId="0" xfId="198" applyNumberFormat="1" applyFont="1" applyFill="1" applyAlignment="1">
      <alignment vertical="center"/>
    </xf>
    <xf numFmtId="170" fontId="7" fillId="0" borderId="14" xfId="198" quotePrefix="1" applyNumberFormat="1" applyFont="1" applyFill="1" applyBorder="1" applyAlignment="1">
      <alignment horizontal="right"/>
    </xf>
    <xf numFmtId="170" fontId="54" fillId="0" borderId="23" xfId="198" applyNumberFormat="1" applyFont="1" applyBorder="1"/>
    <xf numFmtId="170" fontId="54" fillId="0" borderId="24" xfId="198" applyNumberFormat="1" applyFont="1" applyBorder="1"/>
    <xf numFmtId="170" fontId="54" fillId="0" borderId="25" xfId="198" applyNumberFormat="1" applyFont="1" applyBorder="1"/>
    <xf numFmtId="0" fontId="7" fillId="0" borderId="39" xfId="735" quotePrefix="1" applyFont="1" applyFill="1" applyBorder="1" applyAlignment="1">
      <alignment horizontal="left"/>
    </xf>
    <xf numFmtId="0" fontId="7" fillId="0" borderId="18" xfId="735" applyFont="1" applyFill="1" applyBorder="1"/>
    <xf numFmtId="170" fontId="39" fillId="0" borderId="18" xfId="306" applyNumberFormat="1" applyFont="1" applyFill="1" applyBorder="1" applyAlignment="1">
      <alignment horizontal="center" wrapText="1"/>
    </xf>
    <xf numFmtId="170" fontId="39" fillId="0" borderId="18" xfId="306" applyNumberFormat="1" applyFont="1" applyBorder="1" applyAlignment="1">
      <alignment horizontal="center" wrapText="1"/>
    </xf>
    <xf numFmtId="170" fontId="7" fillId="0" borderId="23" xfId="247" applyNumberFormat="1" applyFont="1" applyBorder="1"/>
    <xf numFmtId="10" fontId="7" fillId="0" borderId="0" xfId="0" applyNumberFormat="1" applyFont="1" applyFill="1"/>
    <xf numFmtId="41" fontId="54" fillId="0" borderId="13" xfId="0" applyNumberFormat="1" applyFont="1" applyFill="1" applyBorder="1"/>
    <xf numFmtId="10" fontId="54" fillId="0" borderId="13" xfId="0" applyNumberFormat="1" applyFont="1" applyFill="1" applyBorder="1"/>
    <xf numFmtId="170" fontId="54" fillId="0" borderId="40" xfId="0" applyNumberFormat="1" applyFont="1" applyFill="1" applyBorder="1"/>
    <xf numFmtId="170" fontId="54" fillId="0" borderId="41" xfId="0" applyNumberFormat="1" applyFont="1" applyFill="1" applyBorder="1"/>
    <xf numFmtId="41" fontId="54" fillId="0" borderId="40" xfId="0" applyNumberFormat="1" applyFont="1" applyFill="1" applyBorder="1"/>
    <xf numFmtId="0" fontId="7" fillId="0" borderId="14" xfId="0" applyFont="1" applyFill="1" applyBorder="1"/>
    <xf numFmtId="0" fontId="7" fillId="0" borderId="42" xfId="0" applyFont="1" applyFill="1" applyBorder="1"/>
    <xf numFmtId="0" fontId="7" fillId="0" borderId="43" xfId="0" applyFont="1" applyFill="1" applyBorder="1"/>
    <xf numFmtId="3" fontId="7" fillId="0" borderId="44" xfId="0" applyNumberFormat="1" applyFont="1" applyFill="1" applyBorder="1"/>
    <xf numFmtId="0" fontId="7" fillId="0" borderId="19" xfId="0" applyFont="1" applyFill="1" applyBorder="1"/>
    <xf numFmtId="0" fontId="7" fillId="0" borderId="45" xfId="0" applyFont="1" applyFill="1" applyBorder="1"/>
    <xf numFmtId="0" fontId="7" fillId="0" borderId="16" xfId="0" applyFont="1" applyFill="1" applyBorder="1"/>
    <xf numFmtId="10" fontId="54" fillId="0" borderId="40" xfId="0" applyNumberFormat="1" applyFont="1" applyFill="1" applyBorder="1"/>
    <xf numFmtId="166" fontId="54" fillId="0" borderId="40" xfId="0" applyNumberFormat="1" applyFont="1" applyFill="1" applyBorder="1"/>
    <xf numFmtId="170" fontId="54" fillId="0" borderId="46" xfId="0" applyNumberFormat="1" applyFont="1" applyFill="1" applyBorder="1"/>
    <xf numFmtId="170" fontId="54" fillId="0" borderId="47" xfId="0" applyNumberFormat="1" applyFont="1" applyFill="1" applyBorder="1"/>
    <xf numFmtId="170" fontId="54" fillId="0" borderId="40" xfId="209" applyNumberFormat="1" applyFont="1" applyFill="1" applyBorder="1"/>
    <xf numFmtId="170" fontId="7" fillId="59" borderId="23" xfId="0" applyNumberFormat="1" applyFont="1" applyFill="1" applyBorder="1"/>
    <xf numFmtId="168" fontId="7" fillId="59" borderId="24" xfId="198" applyNumberFormat="1" applyFont="1" applyFill="1" applyBorder="1"/>
    <xf numFmtId="168" fontId="7" fillId="59" borderId="14" xfId="198" applyNumberFormat="1" applyFont="1" applyFill="1" applyBorder="1"/>
    <xf numFmtId="171" fontId="7" fillId="59" borderId="24" xfId="0" applyNumberFormat="1" applyFont="1" applyFill="1" applyBorder="1"/>
    <xf numFmtId="0" fontId="39" fillId="0" borderId="0" xfId="0" quotePrefix="1" applyFont="1" applyFill="1" applyAlignment="1">
      <alignment horizontal="left"/>
    </xf>
    <xf numFmtId="170" fontId="43" fillId="26" borderId="0" xfId="209" applyNumberFormat="1" applyFont="1" applyFill="1" applyBorder="1"/>
    <xf numFmtId="10" fontId="7" fillId="0" borderId="0" xfId="850" applyNumberFormat="1" applyFont="1" applyFill="1" applyAlignment="1" applyProtection="1">
      <protection locked="0"/>
    </xf>
    <xf numFmtId="10" fontId="48" fillId="0" borderId="0" xfId="850" applyNumberFormat="1" applyFont="1" applyFill="1" applyAlignment="1" applyProtection="1">
      <protection locked="0"/>
    </xf>
    <xf numFmtId="10" fontId="7" fillId="0" borderId="0" xfId="850" applyNumberFormat="1" applyFont="1" applyAlignment="1" applyProtection="1">
      <alignment horizontal="center"/>
      <protection locked="0"/>
    </xf>
    <xf numFmtId="0" fontId="65" fillId="0" borderId="0" xfId="833" applyFont="1" applyAlignment="1">
      <alignment horizontal="center"/>
    </xf>
    <xf numFmtId="179" fontId="7" fillId="26" borderId="0" xfId="851" applyNumberFormat="1" applyFont="1" applyFill="1" applyBorder="1"/>
    <xf numFmtId="43" fontId="54" fillId="26" borderId="14" xfId="198" applyFont="1" applyFill="1" applyBorder="1" applyAlignment="1">
      <alignment horizontal="right"/>
    </xf>
    <xf numFmtId="179" fontId="7" fillId="26" borderId="11" xfId="899" applyNumberFormat="1" applyFont="1" applyFill="1" applyBorder="1"/>
    <xf numFmtId="0" fontId="7" fillId="0" borderId="14" xfId="198" applyNumberFormat="1" applyFont="1" applyFill="1" applyBorder="1" applyAlignment="1">
      <alignment horizontal="right"/>
    </xf>
    <xf numFmtId="0" fontId="65" fillId="0" borderId="0" xfId="720" applyFont="1" applyFill="1" applyBorder="1" applyAlignment="1">
      <alignment horizontal="center" wrapText="1"/>
    </xf>
    <xf numFmtId="178" fontId="54" fillId="0" borderId="40" xfId="858" applyNumberFormat="1" applyFont="1" applyFill="1" applyBorder="1"/>
    <xf numFmtId="44" fontId="0" fillId="0" borderId="0" xfId="0" applyNumberFormat="1" applyBorder="1"/>
    <xf numFmtId="44" fontId="0" fillId="0" borderId="6" xfId="0" applyNumberFormat="1" applyBorder="1"/>
    <xf numFmtId="175" fontId="0" fillId="0" borderId="0" xfId="0" applyNumberFormat="1"/>
    <xf numFmtId="0" fontId="39" fillId="0" borderId="11" xfId="0" applyFont="1" applyBorder="1" applyAlignment="1">
      <alignment horizontal="center"/>
    </xf>
    <xf numFmtId="0" fontId="65" fillId="0" borderId="0" xfId="0" applyFont="1" applyFill="1" applyBorder="1" applyAlignment="1">
      <alignment horizontal="center" wrapText="1"/>
    </xf>
    <xf numFmtId="0" fontId="7" fillId="0" borderId="0" xfId="0" applyFont="1" applyFill="1" applyBorder="1" applyAlignment="1">
      <alignment horizontal="left" wrapText="1"/>
    </xf>
    <xf numFmtId="169" fontId="7" fillId="0" borderId="26" xfId="834" applyFont="1" applyBorder="1" applyAlignment="1" applyProtection="1">
      <alignment wrapText="1"/>
      <protection locked="0"/>
    </xf>
    <xf numFmtId="0" fontId="7" fillId="0" borderId="17" xfId="0" applyFont="1" applyBorder="1" applyAlignment="1">
      <alignment wrapText="1"/>
    </xf>
    <xf numFmtId="0" fontId="7" fillId="0" borderId="18" xfId="0" applyFont="1" applyBorder="1" applyAlignment="1">
      <alignment wrapText="1"/>
    </xf>
    <xf numFmtId="0" fontId="7" fillId="0" borderId="13" xfId="0" applyFont="1" applyBorder="1" applyAlignment="1">
      <alignment wrapText="1"/>
    </xf>
    <xf numFmtId="0" fontId="7" fillId="0" borderId="0" xfId="0" applyFont="1" applyBorder="1" applyAlignment="1">
      <alignment wrapText="1"/>
    </xf>
    <xf numFmtId="0" fontId="7" fillId="0" borderId="14" xfId="0" applyFont="1" applyBorder="1" applyAlignment="1">
      <alignment wrapText="1"/>
    </xf>
    <xf numFmtId="0" fontId="6" fillId="0" borderId="0" xfId="0" applyFont="1" applyFill="1" applyAlignment="1">
      <alignment wrapText="1"/>
    </xf>
    <xf numFmtId="0" fontId="0" fillId="0" borderId="0" xfId="0" applyAlignment="1">
      <alignment wrapText="1"/>
    </xf>
    <xf numFmtId="49" fontId="46" fillId="0" borderId="0" xfId="0" applyNumberFormat="1" applyFont="1" applyAlignment="1">
      <alignment horizontal="center"/>
    </xf>
    <xf numFmtId="0" fontId="46" fillId="0" borderId="0" xfId="0" applyFont="1" applyAlignment="1">
      <alignment horizontal="center"/>
    </xf>
    <xf numFmtId="0" fontId="46" fillId="0" borderId="0" xfId="751" applyFont="1" applyBorder="1" applyAlignment="1">
      <alignment horizontal="center"/>
    </xf>
    <xf numFmtId="0" fontId="6" fillId="0" borderId="0" xfId="751" quotePrefix="1" applyFont="1" applyBorder="1" applyAlignment="1">
      <alignment horizontal="center"/>
    </xf>
    <xf numFmtId="3" fontId="6" fillId="0" borderId="0" xfId="0" quotePrefix="1" applyNumberFormat="1" applyFont="1" applyAlignment="1">
      <alignment horizontal="center"/>
    </xf>
    <xf numFmtId="3" fontId="6" fillId="0" borderId="0" xfId="0" applyNumberFormat="1" applyFont="1" applyAlignment="1">
      <alignment horizontal="center"/>
    </xf>
    <xf numFmtId="0" fontId="7" fillId="0" borderId="0" xfId="0" applyFont="1" applyFill="1" applyAlignment="1">
      <alignment horizontal="left" wrapText="1"/>
    </xf>
    <xf numFmtId="0" fontId="46" fillId="0" borderId="0" xfId="0" applyNumberFormat="1" applyFont="1" applyAlignment="1">
      <alignment horizontal="center"/>
    </xf>
    <xf numFmtId="49" fontId="6" fillId="0" borderId="0" xfId="0" applyNumberFormat="1" applyFont="1" applyAlignment="1">
      <alignment horizontal="center"/>
    </xf>
    <xf numFmtId="0" fontId="6" fillId="0" borderId="0" xfId="0" applyNumberFormat="1" applyFont="1" applyAlignment="1">
      <alignment horizontal="center"/>
    </xf>
  </cellXfs>
  <cellStyles count="1065">
    <cellStyle name="20% - Accent1" xfId="1" builtinId="30" customBuiltin="1"/>
    <cellStyle name="20% - Accent1 2" xfId="2"/>
    <cellStyle name="20% - Accent1 2 2" xfId="3"/>
    <cellStyle name="20% - Accent1 2 3" xfId="4"/>
    <cellStyle name="20% - Accent1 2 4" xfId="5"/>
    <cellStyle name="20% - Accent1 2 5" xfId="6"/>
    <cellStyle name="20% - Accent2" xfId="7" builtinId="34" customBuiltin="1"/>
    <cellStyle name="20% - Accent2 2" xfId="8"/>
    <cellStyle name="20% - Accent2 2 2" xfId="9"/>
    <cellStyle name="20% - Accent2 2 3" xfId="10"/>
    <cellStyle name="20% - Accent2 2 4" xfId="11"/>
    <cellStyle name="20% - Accent2 2 5" xfId="12"/>
    <cellStyle name="20% - Accent3" xfId="13" builtinId="38" customBuiltin="1"/>
    <cellStyle name="20% - Accent3 2" xfId="14"/>
    <cellStyle name="20% - Accent3 2 2" xfId="15"/>
    <cellStyle name="20% - Accent3 2 3" xfId="16"/>
    <cellStyle name="20% - Accent3 2 4" xfId="17"/>
    <cellStyle name="20% - Accent3 2 5" xfId="18"/>
    <cellStyle name="20% - Accent4" xfId="19" builtinId="42" customBuiltin="1"/>
    <cellStyle name="20% - Accent4 2" xfId="20"/>
    <cellStyle name="20% - Accent4 2 2" xfId="21"/>
    <cellStyle name="20% - Accent4 2 3" xfId="22"/>
    <cellStyle name="20% - Accent4 2 4" xfId="23"/>
    <cellStyle name="20% - Accent4 2 5" xfId="24"/>
    <cellStyle name="20% - Accent5" xfId="25" builtinId="46" customBuiltin="1"/>
    <cellStyle name="20% - Accent5 2" xfId="26"/>
    <cellStyle name="20% - Accent5 2 2" xfId="27"/>
    <cellStyle name="20% - Accent5 2 3" xfId="28"/>
    <cellStyle name="20% - Accent5 2 4" xfId="29"/>
    <cellStyle name="20% - Accent5 2 5" xfId="30"/>
    <cellStyle name="20% - Accent6" xfId="31" builtinId="50" customBuiltin="1"/>
    <cellStyle name="20% - Accent6 2" xfId="32"/>
    <cellStyle name="20% - Accent6 2 2" xfId="33"/>
    <cellStyle name="20% - Accent6 2 3" xfId="34"/>
    <cellStyle name="20% - Accent6 2 4" xfId="35"/>
    <cellStyle name="20% - Accent6 2 5" xfId="36"/>
    <cellStyle name="40% - Accent1" xfId="37" builtinId="31" customBuiltin="1"/>
    <cellStyle name="40% - Accent1 2" xfId="38"/>
    <cellStyle name="40% - Accent1 2 2" xfId="39"/>
    <cellStyle name="40% - Accent1 2 3" xfId="40"/>
    <cellStyle name="40% - Accent1 2 4" xfId="41"/>
    <cellStyle name="40% - Accent1 2 5" xfId="42"/>
    <cellStyle name="40% - Accent2" xfId="43" builtinId="35" customBuiltin="1"/>
    <cellStyle name="40% - Accent2 2" xfId="44"/>
    <cellStyle name="40% - Accent2 2 2" xfId="45"/>
    <cellStyle name="40% - Accent2 2 3" xfId="46"/>
    <cellStyle name="40% - Accent2 2 4" xfId="47"/>
    <cellStyle name="40% - Accent2 2 5" xfId="48"/>
    <cellStyle name="40% - Accent3" xfId="49" builtinId="39" customBuiltin="1"/>
    <cellStyle name="40% - Accent3 2" xfId="50"/>
    <cellStyle name="40% - Accent3 2 2" xfId="51"/>
    <cellStyle name="40% - Accent3 2 3" xfId="52"/>
    <cellStyle name="40% - Accent3 2 4" xfId="53"/>
    <cellStyle name="40% - Accent3 2 5" xfId="54"/>
    <cellStyle name="40% - Accent4" xfId="55" builtinId="43" customBuiltin="1"/>
    <cellStyle name="40% - Accent4 2" xfId="56"/>
    <cellStyle name="40% - Accent4 2 2" xfId="57"/>
    <cellStyle name="40% - Accent4 2 3" xfId="58"/>
    <cellStyle name="40% - Accent4 2 4" xfId="59"/>
    <cellStyle name="40% - Accent4 2 5" xfId="60"/>
    <cellStyle name="40% - Accent5" xfId="61" builtinId="47" customBuiltin="1"/>
    <cellStyle name="40% - Accent5 2" xfId="62"/>
    <cellStyle name="40% - Accent5 2 2" xfId="63"/>
    <cellStyle name="40% - Accent5 2 3" xfId="64"/>
    <cellStyle name="40% - Accent5 2 4" xfId="65"/>
    <cellStyle name="40% - Accent5 2 5" xfId="66"/>
    <cellStyle name="40% - Accent6" xfId="67" builtinId="51" customBuiltin="1"/>
    <cellStyle name="40% - Accent6 2" xfId="68"/>
    <cellStyle name="40% - Accent6 2 2" xfId="69"/>
    <cellStyle name="40% - Accent6 2 3" xfId="70"/>
    <cellStyle name="40% - Accent6 2 4" xfId="71"/>
    <cellStyle name="40% - Accent6 2 5" xfId="72"/>
    <cellStyle name="60% - Accent1" xfId="73" builtinId="32" customBuiltin="1"/>
    <cellStyle name="60% - Accent1 2" xfId="74"/>
    <cellStyle name="60% - Accent1 2 2" xfId="75"/>
    <cellStyle name="60% - Accent1 2 3" xfId="76"/>
    <cellStyle name="60% - Accent1 2 4" xfId="77"/>
    <cellStyle name="60% - Accent1 2 5" xfId="78"/>
    <cellStyle name="60% - Accent2" xfId="79" builtinId="36" customBuiltin="1"/>
    <cellStyle name="60% - Accent2 2" xfId="80"/>
    <cellStyle name="60% - Accent2 2 2" xfId="81"/>
    <cellStyle name="60% - Accent2 2 3" xfId="82"/>
    <cellStyle name="60% - Accent2 2 4" xfId="83"/>
    <cellStyle name="60% - Accent2 2 5" xfId="84"/>
    <cellStyle name="60% - Accent3" xfId="85" builtinId="40" customBuiltin="1"/>
    <cellStyle name="60% - Accent3 2" xfId="86"/>
    <cellStyle name="60% - Accent3 2 2" xfId="87"/>
    <cellStyle name="60% - Accent3 2 3" xfId="88"/>
    <cellStyle name="60% - Accent3 2 4" xfId="89"/>
    <cellStyle name="60% - Accent3 2 5" xfId="90"/>
    <cellStyle name="60% - Accent4" xfId="91" builtinId="44" customBuiltin="1"/>
    <cellStyle name="60% - Accent4 2" xfId="92"/>
    <cellStyle name="60% - Accent4 2 2" xfId="93"/>
    <cellStyle name="60% - Accent4 2 3" xfId="94"/>
    <cellStyle name="60% - Accent4 2 4" xfId="95"/>
    <cellStyle name="60% - Accent4 2 5" xfId="96"/>
    <cellStyle name="60% - Accent5" xfId="97" builtinId="48" customBuiltin="1"/>
    <cellStyle name="60% - Accent5 2" xfId="98"/>
    <cellStyle name="60% - Accent5 2 2" xfId="99"/>
    <cellStyle name="60% - Accent5 2 3" xfId="100"/>
    <cellStyle name="60% - Accent5 2 4" xfId="101"/>
    <cellStyle name="60% - Accent5 2 5" xfId="102"/>
    <cellStyle name="60% - Accent6" xfId="103" builtinId="52" customBuiltin="1"/>
    <cellStyle name="60% - Accent6 2" xfId="104"/>
    <cellStyle name="60% - Accent6 2 2" xfId="105"/>
    <cellStyle name="60% - Accent6 2 3" xfId="106"/>
    <cellStyle name="60% - Accent6 2 4" xfId="107"/>
    <cellStyle name="60% - Accent6 2 5" xfId="108"/>
    <cellStyle name="Accent1" xfId="109" builtinId="29" customBuiltin="1"/>
    <cellStyle name="Accent1 2" xfId="110"/>
    <cellStyle name="Accent1 2 2" xfId="111"/>
    <cellStyle name="Accent1 2 3" xfId="112"/>
    <cellStyle name="Accent1 2 4" xfId="113"/>
    <cellStyle name="Accent1 2 5" xfId="114"/>
    <cellStyle name="Accent2" xfId="115" builtinId="33" customBuiltin="1"/>
    <cellStyle name="Accent2 2" xfId="116"/>
    <cellStyle name="Accent2 2 2" xfId="117"/>
    <cellStyle name="Accent2 2 3" xfId="118"/>
    <cellStyle name="Accent2 2 4" xfId="119"/>
    <cellStyle name="Accent2 2 5" xfId="120"/>
    <cellStyle name="Accent3" xfId="121" builtinId="37" customBuiltin="1"/>
    <cellStyle name="Accent3 2" xfId="122"/>
    <cellStyle name="Accent3 2 2" xfId="123"/>
    <cellStyle name="Accent3 2 3" xfId="124"/>
    <cellStyle name="Accent3 2 4" xfId="125"/>
    <cellStyle name="Accent3 2 5" xfId="126"/>
    <cellStyle name="Accent4" xfId="127" builtinId="41" customBuiltin="1"/>
    <cellStyle name="Accent4 2" xfId="128"/>
    <cellStyle name="Accent4 2 2" xfId="129"/>
    <cellStyle name="Accent4 2 3" xfId="130"/>
    <cellStyle name="Accent4 2 4" xfId="131"/>
    <cellStyle name="Accent4 2 5" xfId="132"/>
    <cellStyle name="Accent5" xfId="133" builtinId="45" customBuiltin="1"/>
    <cellStyle name="Accent5 2" xfId="134"/>
    <cellStyle name="Accent5 2 2" xfId="135"/>
    <cellStyle name="Accent5 2 3" xfId="136"/>
    <cellStyle name="Accent5 2 4" xfId="137"/>
    <cellStyle name="Accent5 2 5" xfId="138"/>
    <cellStyle name="Accent6" xfId="139" builtinId="49" customBuiltin="1"/>
    <cellStyle name="Accent6 2" xfId="140"/>
    <cellStyle name="Accent6 2 2" xfId="141"/>
    <cellStyle name="Accent6 2 3" xfId="142"/>
    <cellStyle name="Accent6 2 4" xfId="143"/>
    <cellStyle name="Accent6 2 5" xfId="144"/>
    <cellStyle name="Bad" xfId="145" builtinId="27" customBuiltin="1"/>
    <cellStyle name="Bad 2" xfId="146"/>
    <cellStyle name="Bad 2 2" xfId="147"/>
    <cellStyle name="Bad 2 3" xfId="148"/>
    <cellStyle name="Bad 2 4" xfId="149"/>
    <cellStyle name="Bad 2 5" xfId="150"/>
    <cellStyle name="C00A" xfId="151"/>
    <cellStyle name="C00B" xfId="152"/>
    <cellStyle name="C00L" xfId="153"/>
    <cellStyle name="C01A" xfId="154"/>
    <cellStyle name="C01B" xfId="155"/>
    <cellStyle name="C01B 2" xfId="156"/>
    <cellStyle name="C01H" xfId="157"/>
    <cellStyle name="C01L" xfId="158"/>
    <cellStyle name="C02A" xfId="159"/>
    <cellStyle name="C02B" xfId="160"/>
    <cellStyle name="C02B 2" xfId="161"/>
    <cellStyle name="C02H" xfId="162"/>
    <cellStyle name="C02L" xfId="163"/>
    <cellStyle name="C03A" xfId="164"/>
    <cellStyle name="C03B" xfId="165"/>
    <cellStyle name="C03H" xfId="166"/>
    <cellStyle name="C03L" xfId="167"/>
    <cellStyle name="C04A" xfId="168"/>
    <cellStyle name="C04A 2" xfId="169"/>
    <cellStyle name="C04B" xfId="170"/>
    <cellStyle name="C04H" xfId="171"/>
    <cellStyle name="C04L" xfId="172"/>
    <cellStyle name="C05A" xfId="173"/>
    <cellStyle name="C05B" xfId="174"/>
    <cellStyle name="C05H" xfId="175"/>
    <cellStyle name="C05L" xfId="176"/>
    <cellStyle name="C05L 2" xfId="177"/>
    <cellStyle name="C06A" xfId="178"/>
    <cellStyle name="C06B" xfId="179"/>
    <cellStyle name="C06H" xfId="180"/>
    <cellStyle name="C06L" xfId="181"/>
    <cellStyle name="C07A" xfId="182"/>
    <cellStyle name="C07B" xfId="183"/>
    <cellStyle name="C07H" xfId="184"/>
    <cellStyle name="C07L" xfId="185"/>
    <cellStyle name="Calculation" xfId="186" builtinId="22" customBuiltin="1"/>
    <cellStyle name="Calculation 2" xfId="187"/>
    <cellStyle name="Calculation 2 2" xfId="188"/>
    <cellStyle name="Calculation 2 3" xfId="189"/>
    <cellStyle name="Calculation 2 4" xfId="190"/>
    <cellStyle name="Calculation 2 5" xfId="191"/>
    <cellStyle name="Check Cell" xfId="192" builtinId="23" customBuiltin="1"/>
    <cellStyle name="Check Cell 2" xfId="193"/>
    <cellStyle name="Check Cell 2 2" xfId="194"/>
    <cellStyle name="Check Cell 2 3" xfId="195"/>
    <cellStyle name="Check Cell 2 4" xfId="196"/>
    <cellStyle name="Check Cell 2 5" xfId="197"/>
    <cellStyle name="Comma" xfId="198" builtinId="3"/>
    <cellStyle name="Comma [0] 2" xfId="199"/>
    <cellStyle name="Comma [0] 2 2" xfId="200"/>
    <cellStyle name="Comma 10" xfId="201"/>
    <cellStyle name="Comma 100" xfId="202"/>
    <cellStyle name="Comma 101" xfId="203"/>
    <cellStyle name="Comma 102" xfId="204"/>
    <cellStyle name="Comma 103" xfId="205"/>
    <cellStyle name="Comma 104" xfId="206"/>
    <cellStyle name="Comma 105" xfId="207"/>
    <cellStyle name="Comma 106" xfId="208"/>
    <cellStyle name="Comma 107" xfId="209"/>
    <cellStyle name="Comma 108" xfId="210"/>
    <cellStyle name="Comma 109" xfId="211"/>
    <cellStyle name="Comma 11" xfId="212"/>
    <cellStyle name="Comma 110" xfId="213"/>
    <cellStyle name="Comma 111" xfId="214"/>
    <cellStyle name="Comma 112" xfId="215"/>
    <cellStyle name="Comma 113" xfId="216"/>
    <cellStyle name="Comma 114" xfId="217"/>
    <cellStyle name="Comma 115" xfId="218"/>
    <cellStyle name="Comma 116" xfId="219"/>
    <cellStyle name="Comma 117" xfId="220"/>
    <cellStyle name="Comma 118" xfId="221"/>
    <cellStyle name="Comma 119" xfId="222"/>
    <cellStyle name="Comma 12" xfId="223"/>
    <cellStyle name="Comma 12 2" xfId="224"/>
    <cellStyle name="Comma 12 2 2" xfId="225"/>
    <cellStyle name="Comma 12 2 3" xfId="226"/>
    <cellStyle name="Comma 120" xfId="227"/>
    <cellStyle name="Comma 121" xfId="228"/>
    <cellStyle name="Comma 122" xfId="229"/>
    <cellStyle name="Comma 123" xfId="230"/>
    <cellStyle name="Comma 124" xfId="231"/>
    <cellStyle name="Comma 125" xfId="232"/>
    <cellStyle name="Comma 126" xfId="233"/>
    <cellStyle name="Comma 127" xfId="234"/>
    <cellStyle name="Comma 128" xfId="235"/>
    <cellStyle name="Comma 129" xfId="236"/>
    <cellStyle name="Comma 13" xfId="237"/>
    <cellStyle name="Comma 130" xfId="238"/>
    <cellStyle name="Comma 131" xfId="239"/>
    <cellStyle name="Comma 132" xfId="240"/>
    <cellStyle name="Comma 14" xfId="241"/>
    <cellStyle name="Comma 15" xfId="242"/>
    <cellStyle name="Comma 16" xfId="243"/>
    <cellStyle name="Comma 17" xfId="244"/>
    <cellStyle name="Comma 18" xfId="245"/>
    <cellStyle name="Comma 19" xfId="246"/>
    <cellStyle name="Comma 2" xfId="247"/>
    <cellStyle name="Comma 2 2" xfId="248"/>
    <cellStyle name="Comma 2 2 2" xfId="249"/>
    <cellStyle name="Comma 2 3" xfId="250"/>
    <cellStyle name="Comma 2 3 2" xfId="251"/>
    <cellStyle name="Comma 2 3 3" xfId="252"/>
    <cellStyle name="Comma 2 3 4" xfId="253"/>
    <cellStyle name="Comma 2 4" xfId="254"/>
    <cellStyle name="Comma 20" xfId="255"/>
    <cellStyle name="Comma 21" xfId="256"/>
    <cellStyle name="Comma 22" xfId="257"/>
    <cellStyle name="Comma 23" xfId="258"/>
    <cellStyle name="Comma 24" xfId="259"/>
    <cellStyle name="Comma 25" xfId="260"/>
    <cellStyle name="Comma 25 2" xfId="261"/>
    <cellStyle name="Comma 26" xfId="262"/>
    <cellStyle name="Comma 26 2" xfId="263"/>
    <cellStyle name="Comma 27" xfId="264"/>
    <cellStyle name="Comma 27 2" xfId="265"/>
    <cellStyle name="Comma 28" xfId="266"/>
    <cellStyle name="Comma 28 2" xfId="267"/>
    <cellStyle name="Comma 29" xfId="268"/>
    <cellStyle name="Comma 29 2" xfId="269"/>
    <cellStyle name="Comma 3" xfId="270"/>
    <cellStyle name="Comma 3 10" xfId="271"/>
    <cellStyle name="Comma 3 10 2" xfId="272"/>
    <cellStyle name="Comma 3 10 3" xfId="273"/>
    <cellStyle name="Comma 3 11" xfId="274"/>
    <cellStyle name="Comma 3 12" xfId="275"/>
    <cellStyle name="Comma 3 13" xfId="276"/>
    <cellStyle name="Comma 3 2" xfId="277"/>
    <cellStyle name="Comma 3 2 2" xfId="278"/>
    <cellStyle name="Comma 3 3" xfId="279"/>
    <cellStyle name="Comma 3 3 2" xfId="280"/>
    <cellStyle name="Comma 3 3 2 2" xfId="281"/>
    <cellStyle name="Comma 3 3 2 3" xfId="282"/>
    <cellStyle name="Comma 3 3 3" xfId="283"/>
    <cellStyle name="Comma 3 3 3 2" xfId="284"/>
    <cellStyle name="Comma 3 3 3 2 2" xfId="285"/>
    <cellStyle name="Comma 3 3 3 2 3" xfId="286"/>
    <cellStyle name="Comma 3 3 3 2 4" xfId="287"/>
    <cellStyle name="Comma 3 3 3 2 5" xfId="288"/>
    <cellStyle name="Comma 3 3 3 3" xfId="289"/>
    <cellStyle name="Comma 3 3 4" xfId="290"/>
    <cellStyle name="Comma 3 3 5" xfId="291"/>
    <cellStyle name="Comma 3 3 5 2" xfId="292"/>
    <cellStyle name="Comma 3 3 5 3" xfId="293"/>
    <cellStyle name="Comma 3 3 5 4" xfId="294"/>
    <cellStyle name="Comma 3 3 5 5" xfId="295"/>
    <cellStyle name="Comma 3 3 6" xfId="296"/>
    <cellStyle name="Comma 3 4" xfId="297"/>
    <cellStyle name="Comma 3 4 2" xfId="298"/>
    <cellStyle name="Comma 3 4 3" xfId="299"/>
    <cellStyle name="Comma 3 4 4" xfId="300"/>
    <cellStyle name="Comma 3 4 4 2" xfId="301"/>
    <cellStyle name="Comma 3 4 4 3" xfId="302"/>
    <cellStyle name="Comma 3 4 4 4" xfId="303"/>
    <cellStyle name="Comma 3 4 4 5" xfId="304"/>
    <cellStyle name="Comma 3 4 5" xfId="305"/>
    <cellStyle name="Comma 3 5" xfId="306"/>
    <cellStyle name="Comma 3 5 2" xfId="307"/>
    <cellStyle name="Comma 3 5 3" xfId="308"/>
    <cellStyle name="Comma 3 5 3 2" xfId="309"/>
    <cellStyle name="Comma 3 5 3 3" xfId="310"/>
    <cellStyle name="Comma 3 6" xfId="311"/>
    <cellStyle name="Comma 3 7" xfId="312"/>
    <cellStyle name="Comma 3 8" xfId="313"/>
    <cellStyle name="Comma 3 9" xfId="314"/>
    <cellStyle name="Comma 30" xfId="315"/>
    <cellStyle name="Comma 31" xfId="316"/>
    <cellStyle name="Comma 32" xfId="317"/>
    <cellStyle name="Comma 33" xfId="318"/>
    <cellStyle name="Comma 34" xfId="319"/>
    <cellStyle name="Comma 35" xfId="320"/>
    <cellStyle name="Comma 36" xfId="321"/>
    <cellStyle name="Comma 37" xfId="322"/>
    <cellStyle name="Comma 38" xfId="323"/>
    <cellStyle name="Comma 39" xfId="324"/>
    <cellStyle name="Comma 4" xfId="325"/>
    <cellStyle name="Comma 4 2" xfId="326"/>
    <cellStyle name="Comma 4 2 2" xfId="327"/>
    <cellStyle name="Comma 4 2 2 2" xfId="328"/>
    <cellStyle name="Comma 4 2 2 3" xfId="329"/>
    <cellStyle name="Comma 4 2 2 4" xfId="330"/>
    <cellStyle name="Comma 4 2 2 5" xfId="331"/>
    <cellStyle name="Comma 4 2 3" xfId="332"/>
    <cellStyle name="Comma 4 2 3 2" xfId="333"/>
    <cellStyle name="Comma 4 2 3 2 2" xfId="334"/>
    <cellStyle name="Comma 4 2 3 3" xfId="335"/>
    <cellStyle name="Comma 4 2 3 3 2" xfId="336"/>
    <cellStyle name="Comma 4 2 3 4" xfId="337"/>
    <cellStyle name="Comma 4 2 4" xfId="338"/>
    <cellStyle name="Comma 4 2 4 2" xfId="339"/>
    <cellStyle name="Comma 4 2 4 3" xfId="340"/>
    <cellStyle name="Comma 4 2 4 4" xfId="341"/>
    <cellStyle name="Comma 4 2 5" xfId="342"/>
    <cellStyle name="Comma 4 2 6" xfId="343"/>
    <cellStyle name="Comma 4 3" xfId="344"/>
    <cellStyle name="Comma 4 3 2" xfId="345"/>
    <cellStyle name="Comma 4 3 2 2" xfId="346"/>
    <cellStyle name="Comma 4 3 2 2 2" xfId="347"/>
    <cellStyle name="Comma 4 3 2 3" xfId="348"/>
    <cellStyle name="Comma 4 3 2 3 2" xfId="349"/>
    <cellStyle name="Comma 4 3 2 4" xfId="350"/>
    <cellStyle name="Comma 4 3 3" xfId="351"/>
    <cellStyle name="Comma 4 3 4" xfId="352"/>
    <cellStyle name="Comma 4 3 4 2" xfId="353"/>
    <cellStyle name="Comma 4 3 4 3" xfId="354"/>
    <cellStyle name="Comma 4 3 5" xfId="355"/>
    <cellStyle name="Comma 4 3 5 2" xfId="356"/>
    <cellStyle name="Comma 4 3 6" xfId="357"/>
    <cellStyle name="Comma 4 3 6 2" xfId="358"/>
    <cellStyle name="Comma 4 3 7" xfId="359"/>
    <cellStyle name="Comma 4 4" xfId="360"/>
    <cellStyle name="Comma 4 4 2" xfId="361"/>
    <cellStyle name="Comma 4 4 3" xfId="362"/>
    <cellStyle name="Comma 4 4 4" xfId="363"/>
    <cellStyle name="Comma 4 4 5" xfId="364"/>
    <cellStyle name="Comma 4 5" xfId="365"/>
    <cellStyle name="Comma 4 5 2" xfId="366"/>
    <cellStyle name="Comma 4 6" xfId="367"/>
    <cellStyle name="Comma 4 7" xfId="368"/>
    <cellStyle name="Comma 4 7 2" xfId="369"/>
    <cellStyle name="Comma 4 7 3" xfId="370"/>
    <cellStyle name="Comma 40" xfId="371"/>
    <cellStyle name="Comma 41" xfId="372"/>
    <cellStyle name="Comma 42" xfId="373"/>
    <cellStyle name="Comma 43" xfId="374"/>
    <cellStyle name="Comma 44" xfId="375"/>
    <cellStyle name="Comma 45" xfId="376"/>
    <cellStyle name="Comma 46" xfId="377"/>
    <cellStyle name="Comma 47" xfId="378"/>
    <cellStyle name="Comma 48" xfId="379"/>
    <cellStyle name="Comma 49" xfId="380"/>
    <cellStyle name="Comma 5" xfId="381"/>
    <cellStyle name="Comma 5 2" xfId="382"/>
    <cellStyle name="Comma 5 2 2" xfId="383"/>
    <cellStyle name="Comma 5 2 3" xfId="384"/>
    <cellStyle name="Comma 5 3" xfId="385"/>
    <cellStyle name="Comma 50" xfId="386"/>
    <cellStyle name="Comma 51" xfId="387"/>
    <cellStyle name="Comma 52" xfId="388"/>
    <cellStyle name="Comma 52 2" xfId="389"/>
    <cellStyle name="Comma 53" xfId="390"/>
    <cellStyle name="Comma 54" xfId="391"/>
    <cellStyle name="Comma 55" xfId="392"/>
    <cellStyle name="Comma 56" xfId="393"/>
    <cellStyle name="Comma 57" xfId="394"/>
    <cellStyle name="Comma 57 2" xfId="395"/>
    <cellStyle name="Comma 57 3" xfId="396"/>
    <cellStyle name="Comma 57 4" xfId="397"/>
    <cellStyle name="Comma 57 5" xfId="398"/>
    <cellStyle name="Comma 58" xfId="399"/>
    <cellStyle name="Comma 58 2" xfId="400"/>
    <cellStyle name="Comma 58 3" xfId="401"/>
    <cellStyle name="Comma 58 4" xfId="402"/>
    <cellStyle name="Comma 58 5" xfId="403"/>
    <cellStyle name="Comma 59" xfId="404"/>
    <cellStyle name="Comma 59 2" xfId="405"/>
    <cellStyle name="Comma 59 3" xfId="406"/>
    <cellStyle name="Comma 59 4" xfId="407"/>
    <cellStyle name="Comma 59 5" xfId="408"/>
    <cellStyle name="Comma 6" xfId="409"/>
    <cellStyle name="Comma 6 2" xfId="410"/>
    <cellStyle name="Comma 6 3" xfId="411"/>
    <cellStyle name="Comma 6 4" xfId="412"/>
    <cellStyle name="Comma 6 4 2" xfId="413"/>
    <cellStyle name="Comma 6 4 3" xfId="414"/>
    <cellStyle name="Comma 6 4 4" xfId="415"/>
    <cellStyle name="Comma 6 4 5" xfId="416"/>
    <cellStyle name="Comma 6 5" xfId="417"/>
    <cellStyle name="Comma 6 6" xfId="418"/>
    <cellStyle name="Comma 6 7" xfId="419"/>
    <cellStyle name="Comma 6 7 2" xfId="420"/>
    <cellStyle name="Comma 6 7 3" xfId="421"/>
    <cellStyle name="Comma 60" xfId="422"/>
    <cellStyle name="Comma 60 2" xfId="423"/>
    <cellStyle name="Comma 60 3" xfId="424"/>
    <cellStyle name="Comma 60 4" xfId="425"/>
    <cellStyle name="Comma 60 5" xfId="426"/>
    <cellStyle name="Comma 61" xfId="427"/>
    <cellStyle name="Comma 61 2" xfId="428"/>
    <cellStyle name="Comma 61 3" xfId="429"/>
    <cellStyle name="Comma 61 4" xfId="430"/>
    <cellStyle name="Comma 61 5" xfId="431"/>
    <cellStyle name="Comma 62" xfId="432"/>
    <cellStyle name="Comma 62 2" xfId="433"/>
    <cellStyle name="Comma 62 3" xfId="434"/>
    <cellStyle name="Comma 62 4" xfId="435"/>
    <cellStyle name="Comma 63" xfId="436"/>
    <cellStyle name="Comma 63 2" xfId="437"/>
    <cellStyle name="Comma 63 3" xfId="438"/>
    <cellStyle name="Comma 63 4" xfId="439"/>
    <cellStyle name="Comma 64" xfId="440"/>
    <cellStyle name="Comma 64 2" xfId="441"/>
    <cellStyle name="Comma 64 3" xfId="442"/>
    <cellStyle name="Comma 64 4" xfId="443"/>
    <cellStyle name="Comma 65" xfId="444"/>
    <cellStyle name="Comma 65 2" xfId="445"/>
    <cellStyle name="Comma 65 3" xfId="446"/>
    <cellStyle name="Comma 65 4" xfId="447"/>
    <cellStyle name="Comma 66" xfId="448"/>
    <cellStyle name="Comma 66 2" xfId="449"/>
    <cellStyle name="Comma 66 3" xfId="450"/>
    <cellStyle name="Comma 66 4" xfId="451"/>
    <cellStyle name="Comma 67" xfId="452"/>
    <cellStyle name="Comma 67 2" xfId="453"/>
    <cellStyle name="Comma 67 3" xfId="454"/>
    <cellStyle name="Comma 67 4" xfId="455"/>
    <cellStyle name="Comma 68" xfId="456"/>
    <cellStyle name="Comma 68 2" xfId="457"/>
    <cellStyle name="Comma 68 3" xfId="458"/>
    <cellStyle name="Comma 68 4" xfId="459"/>
    <cellStyle name="Comma 69" xfId="460"/>
    <cellStyle name="Comma 69 2" xfId="461"/>
    <cellStyle name="Comma 7" xfId="462"/>
    <cellStyle name="Comma 7 2" xfId="463"/>
    <cellStyle name="Comma 70" xfId="464"/>
    <cellStyle name="Comma 70 2" xfId="465"/>
    <cellStyle name="Comma 71" xfId="466"/>
    <cellStyle name="Comma 71 2" xfId="467"/>
    <cellStyle name="Comma 72" xfId="468"/>
    <cellStyle name="Comma 73" xfId="469"/>
    <cellStyle name="Comma 74" xfId="470"/>
    <cellStyle name="Comma 75" xfId="471"/>
    <cellStyle name="Comma 76" xfId="472"/>
    <cellStyle name="Comma 77" xfId="473"/>
    <cellStyle name="Comma 78" xfId="474"/>
    <cellStyle name="Comma 79" xfId="475"/>
    <cellStyle name="Comma 8" xfId="476"/>
    <cellStyle name="Comma 80" xfId="477"/>
    <cellStyle name="Comma 81" xfId="478"/>
    <cellStyle name="Comma 82" xfId="479"/>
    <cellStyle name="Comma 83" xfId="480"/>
    <cellStyle name="Comma 84" xfId="481"/>
    <cellStyle name="Comma 85" xfId="482"/>
    <cellStyle name="Comma 86" xfId="483"/>
    <cellStyle name="Comma 87" xfId="484"/>
    <cellStyle name="Comma 88" xfId="485"/>
    <cellStyle name="Comma 89" xfId="486"/>
    <cellStyle name="Comma 9" xfId="487"/>
    <cellStyle name="Comma 90" xfId="488"/>
    <cellStyle name="Comma 91" xfId="489"/>
    <cellStyle name="Comma 92" xfId="490"/>
    <cellStyle name="Comma 92 2" xfId="491"/>
    <cellStyle name="Comma 92 3" xfId="492"/>
    <cellStyle name="Comma 93" xfId="493"/>
    <cellStyle name="Comma 93 2" xfId="494"/>
    <cellStyle name="Comma 93 3" xfId="495"/>
    <cellStyle name="Comma 94" xfId="496"/>
    <cellStyle name="Comma 95" xfId="497"/>
    <cellStyle name="Comma 96" xfId="498"/>
    <cellStyle name="Comma 97" xfId="499"/>
    <cellStyle name="Comma 98" xfId="500"/>
    <cellStyle name="Comma 99" xfId="501"/>
    <cellStyle name="Comma0" xfId="502"/>
    <cellStyle name="Comma0 2" xfId="503"/>
    <cellStyle name="Comma0 2 2" xfId="504"/>
    <cellStyle name="Comma0 2 3" xfId="505"/>
    <cellStyle name="Comma0 2 4" xfId="506"/>
    <cellStyle name="Comma0 2 5" xfId="507"/>
    <cellStyle name="Comma0 2 6" xfId="508"/>
    <cellStyle name="Comma0 3" xfId="509"/>
    <cellStyle name="Currency" xfId="510" builtinId="4"/>
    <cellStyle name="Currency 10" xfId="511"/>
    <cellStyle name="Currency 11" xfId="512"/>
    <cellStyle name="Currency 11 2" xfId="513"/>
    <cellStyle name="Currency 11 3" xfId="514"/>
    <cellStyle name="Currency 12" xfId="515"/>
    <cellStyle name="Currency 2" xfId="516"/>
    <cellStyle name="Currency 2 2" xfId="517"/>
    <cellStyle name="Currency 2 2 2" xfId="518"/>
    <cellStyle name="Currency 2 3" xfId="519"/>
    <cellStyle name="Currency 3" xfId="520"/>
    <cellStyle name="Currency 3 10" xfId="521"/>
    <cellStyle name="Currency 3 10 2" xfId="522"/>
    <cellStyle name="Currency 3 10 3" xfId="523"/>
    <cellStyle name="Currency 3 11" xfId="524"/>
    <cellStyle name="Currency 3 12" xfId="525"/>
    <cellStyle name="Currency 3 13" xfId="526"/>
    <cellStyle name="Currency 3 2" xfId="527"/>
    <cellStyle name="Currency 3 2 2" xfId="528"/>
    <cellStyle name="Currency 3 3" xfId="529"/>
    <cellStyle name="Currency 3 3 2" xfId="530"/>
    <cellStyle name="Currency 3 3 2 2" xfId="531"/>
    <cellStyle name="Currency 3 3 2 3" xfId="532"/>
    <cellStyle name="Currency 3 3 3" xfId="533"/>
    <cellStyle name="Currency 3 3 3 2" xfId="534"/>
    <cellStyle name="Currency 3 3 3 2 2" xfId="535"/>
    <cellStyle name="Currency 3 3 3 2 3" xfId="536"/>
    <cellStyle name="Currency 3 3 3 2 4" xfId="537"/>
    <cellStyle name="Currency 3 3 3 2 5" xfId="538"/>
    <cellStyle name="Currency 3 3 3 3" xfId="539"/>
    <cellStyle name="Currency 3 3 4" xfId="540"/>
    <cellStyle name="Currency 3 3 5" xfId="541"/>
    <cellStyle name="Currency 3 3 5 2" xfId="542"/>
    <cellStyle name="Currency 3 3 5 3" xfId="543"/>
    <cellStyle name="Currency 3 3 5 4" xfId="544"/>
    <cellStyle name="Currency 3 3 5 5" xfId="545"/>
    <cellStyle name="Currency 3 3 6" xfId="546"/>
    <cellStyle name="Currency 3 4" xfId="547"/>
    <cellStyle name="Currency 3 4 2" xfId="548"/>
    <cellStyle name="Currency 3 4 3" xfId="549"/>
    <cellStyle name="Currency 3 4 4" xfId="550"/>
    <cellStyle name="Currency 3 4 4 2" xfId="551"/>
    <cellStyle name="Currency 3 4 4 3" xfId="552"/>
    <cellStyle name="Currency 3 4 4 4" xfId="553"/>
    <cellStyle name="Currency 3 4 4 5" xfId="554"/>
    <cellStyle name="Currency 3 4 5" xfId="555"/>
    <cellStyle name="Currency 3 5" xfId="556"/>
    <cellStyle name="Currency 3 5 2" xfId="557"/>
    <cellStyle name="Currency 3 6" xfId="558"/>
    <cellStyle name="Currency 3 7" xfId="559"/>
    <cellStyle name="Currency 3 8" xfId="560"/>
    <cellStyle name="Currency 3 9" xfId="561"/>
    <cellStyle name="Currency 4" xfId="562"/>
    <cellStyle name="Currency 4 10" xfId="563"/>
    <cellStyle name="Currency 4 10 2" xfId="564"/>
    <cellStyle name="Currency 4 10 2 2" xfId="565"/>
    <cellStyle name="Currency 4 10 2 2 2" xfId="566"/>
    <cellStyle name="Currency 4 10 2 3" xfId="567"/>
    <cellStyle name="Currency 4 10 2 3 2" xfId="568"/>
    <cellStyle name="Currency 4 10 2 4" xfId="569"/>
    <cellStyle name="Currency 4 10 2 5" xfId="570"/>
    <cellStyle name="Currency 4 10 3" xfId="571"/>
    <cellStyle name="Currency 4 10 3 2" xfId="572"/>
    <cellStyle name="Currency 4 10 4" xfId="573"/>
    <cellStyle name="Currency 4 10 4 2" xfId="574"/>
    <cellStyle name="Currency 4 10 4 3" xfId="575"/>
    <cellStyle name="Currency 4 10 5" xfId="576"/>
    <cellStyle name="Currency 4 10 5 2" xfId="577"/>
    <cellStyle name="Currency 4 10 6" xfId="578"/>
    <cellStyle name="Currency 4 2" xfId="579"/>
    <cellStyle name="Currency 4 2 2" xfId="580"/>
    <cellStyle name="Currency 4 2 3" xfId="581"/>
    <cellStyle name="Currency 4 3" xfId="582"/>
    <cellStyle name="Currency 4 3 2" xfId="583"/>
    <cellStyle name="Currency 4 3 2 2" xfId="584"/>
    <cellStyle name="Currency 4 3 2 3" xfId="585"/>
    <cellStyle name="Currency 4 3 2 4" xfId="586"/>
    <cellStyle name="Currency 4 3 2 5" xfId="587"/>
    <cellStyle name="Currency 4 3 3" xfId="588"/>
    <cellStyle name="Currency 4 4" xfId="589"/>
    <cellStyle name="Currency 4 5" xfId="590"/>
    <cellStyle name="Currency 4 5 2" xfId="591"/>
    <cellStyle name="Currency 4 5 3" xfId="592"/>
    <cellStyle name="Currency 4 5 4" xfId="593"/>
    <cellStyle name="Currency 4 5 5" xfId="594"/>
    <cellStyle name="Currency 5" xfId="595"/>
    <cellStyle name="Currency 5 2" xfId="596"/>
    <cellStyle name="Currency 5 3" xfId="597"/>
    <cellStyle name="Currency 5 4" xfId="598"/>
    <cellStyle name="Currency 5 4 2" xfId="599"/>
    <cellStyle name="Currency 5 4 3" xfId="600"/>
    <cellStyle name="Currency 5 4 4" xfId="601"/>
    <cellStyle name="Currency 5 4 5" xfId="602"/>
    <cellStyle name="Currency 5 5" xfId="603"/>
    <cellStyle name="Currency 6" xfId="604"/>
    <cellStyle name="Currency 6 2" xfId="605"/>
    <cellStyle name="Currency 6 3" xfId="606"/>
    <cellStyle name="Currency 6 3 2" xfId="607"/>
    <cellStyle name="Currency 6 3 3" xfId="608"/>
    <cellStyle name="Currency 6 3 4" xfId="609"/>
    <cellStyle name="Currency 6 3 5" xfId="610"/>
    <cellStyle name="Currency 6 4" xfId="611"/>
    <cellStyle name="Currency 6 4 2" xfId="612"/>
    <cellStyle name="Currency 6 4 3" xfId="613"/>
    <cellStyle name="Currency 7" xfId="614"/>
    <cellStyle name="Currency 8" xfId="615"/>
    <cellStyle name="Currency 9" xfId="616"/>
    <cellStyle name="Currency0" xfId="617"/>
    <cellStyle name="Currency0 2" xfId="618"/>
    <cellStyle name="Currency0 2 2" xfId="619"/>
    <cellStyle name="Currency0 2 3" xfId="620"/>
    <cellStyle name="Currency0 2 4" xfId="621"/>
    <cellStyle name="Currency0 2 5" xfId="622"/>
    <cellStyle name="Currency0 2 6" xfId="623"/>
    <cellStyle name="Currency0 3" xfId="624"/>
    <cellStyle name="Date" xfId="625"/>
    <cellStyle name="Date 2" xfId="626"/>
    <cellStyle name="Date 2 2" xfId="627"/>
    <cellStyle name="Date 2 3" xfId="628"/>
    <cellStyle name="Date 2 4" xfId="629"/>
    <cellStyle name="Date 2 5" xfId="630"/>
    <cellStyle name="Date 2 6" xfId="631"/>
    <cellStyle name="Date 3" xfId="632"/>
    <cellStyle name="Explanatory Text" xfId="633" builtinId="53" customBuiltin="1"/>
    <cellStyle name="Explanatory Text 2" xfId="634"/>
    <cellStyle name="Explanatory Text 2 2" xfId="635"/>
    <cellStyle name="Explanatory Text 2 3" xfId="636"/>
    <cellStyle name="Explanatory Text 2 4" xfId="637"/>
    <cellStyle name="Explanatory Text 2 5" xfId="638"/>
    <cellStyle name="Fixed" xfId="639"/>
    <cellStyle name="Fixed 2" xfId="640"/>
    <cellStyle name="Fixed 2 2" xfId="641"/>
    <cellStyle name="Fixed 2 3" xfId="642"/>
    <cellStyle name="Fixed 2 4" xfId="643"/>
    <cellStyle name="Fixed 2 5" xfId="644"/>
    <cellStyle name="Fixed 2 6" xfId="645"/>
    <cellStyle name="Fixed 3" xfId="646"/>
    <cellStyle name="Good" xfId="647" builtinId="26" customBuiltin="1"/>
    <cellStyle name="Good 2" xfId="648"/>
    <cellStyle name="Good 2 2" xfId="649"/>
    <cellStyle name="Good 2 3" xfId="650"/>
    <cellStyle name="Good 2 4" xfId="651"/>
    <cellStyle name="Good 2 5" xfId="652"/>
    <cellStyle name="Heading 1" xfId="653" builtinId="16" customBuiltin="1"/>
    <cellStyle name="Heading 1 2" xfId="654"/>
    <cellStyle name="Heading 1 2 2" xfId="655"/>
    <cellStyle name="Heading 1 2 3" xfId="656"/>
    <cellStyle name="Heading 1 2 4" xfId="657"/>
    <cellStyle name="Heading 1 2 5" xfId="658"/>
    <cellStyle name="Heading 1 3" xfId="659"/>
    <cellStyle name="Heading 1 3 2" xfId="660"/>
    <cellStyle name="Heading 2" xfId="661" builtinId="17" customBuiltin="1"/>
    <cellStyle name="Heading 2 2" xfId="662"/>
    <cellStyle name="Heading 2 2 2" xfId="663"/>
    <cellStyle name="Heading 2 2 3" xfId="664"/>
    <cellStyle name="Heading 2 2 4" xfId="665"/>
    <cellStyle name="Heading 2 2 5" xfId="666"/>
    <cellStyle name="Heading 2 3" xfId="667"/>
    <cellStyle name="Heading 2 3 2" xfId="668"/>
    <cellStyle name="Heading 3" xfId="669" builtinId="18" customBuiltin="1"/>
    <cellStyle name="Heading 3 2" xfId="670"/>
    <cellStyle name="Heading 3 2 2" xfId="671"/>
    <cellStyle name="Heading 3 2 3" xfId="672"/>
    <cellStyle name="Heading 3 2 4" xfId="673"/>
    <cellStyle name="Heading 3 2 5" xfId="674"/>
    <cellStyle name="Heading 4" xfId="675" builtinId="19" customBuiltin="1"/>
    <cellStyle name="Heading 4 2" xfId="676"/>
    <cellStyle name="Heading 4 2 2" xfId="677"/>
    <cellStyle name="Heading 4 2 3" xfId="678"/>
    <cellStyle name="Heading 4 2 4" xfId="679"/>
    <cellStyle name="Heading 4 2 5" xfId="680"/>
    <cellStyle name="Heading1" xfId="681"/>
    <cellStyle name="Heading2" xfId="682"/>
    <cellStyle name="Input" xfId="683" builtinId="20" customBuiltin="1"/>
    <cellStyle name="Input 2" xfId="684"/>
    <cellStyle name="Input 2 2" xfId="685"/>
    <cellStyle name="Input 2 3" xfId="686"/>
    <cellStyle name="Input 2 4" xfId="687"/>
    <cellStyle name="Input 2 5" xfId="688"/>
    <cellStyle name="Linked Cell" xfId="689" builtinId="24" customBuiltin="1"/>
    <cellStyle name="Linked Cell 2" xfId="690"/>
    <cellStyle name="Linked Cell 2 2" xfId="691"/>
    <cellStyle name="Linked Cell 2 3" xfId="692"/>
    <cellStyle name="Linked Cell 2 4" xfId="693"/>
    <cellStyle name="Linked Cell 2 5" xfId="694"/>
    <cellStyle name="M" xfId="695"/>
    <cellStyle name="M 2" xfId="696"/>
    <cellStyle name="M 2 2" xfId="697"/>
    <cellStyle name="M 2 2 2" xfId="698"/>
    <cellStyle name="M 3" xfId="699"/>
    <cellStyle name="M 3 2" xfId="700"/>
    <cellStyle name="M 3 2 2" xfId="701"/>
    <cellStyle name="M 4" xfId="702"/>
    <cellStyle name="M 5" xfId="703"/>
    <cellStyle name="M 5 2" xfId="704"/>
    <cellStyle name="M 6" xfId="705"/>
    <cellStyle name="M 6 2" xfId="706"/>
    <cellStyle name="M 7" xfId="707"/>
    <cellStyle name="Neutral" xfId="708" builtinId="28" customBuiltin="1"/>
    <cellStyle name="Neutral 2" xfId="709"/>
    <cellStyle name="Neutral 2 2" xfId="710"/>
    <cellStyle name="Neutral 2 3" xfId="711"/>
    <cellStyle name="Neutral 2 4" xfId="712"/>
    <cellStyle name="Neutral 2 5" xfId="713"/>
    <cellStyle name="Normal" xfId="0" builtinId="0"/>
    <cellStyle name="Normal 10" xfId="714"/>
    <cellStyle name="Normal 10 2" xfId="715"/>
    <cellStyle name="Normal 10 2 2" xfId="716"/>
    <cellStyle name="Normal 10 3" xfId="717"/>
    <cellStyle name="Normal 11" xfId="718"/>
    <cellStyle name="Normal 11 2" xfId="719"/>
    <cellStyle name="Normal 11 2 2" xfId="720"/>
    <cellStyle name="Normal 11 3" xfId="721"/>
    <cellStyle name="Normal 11 4" xfId="722"/>
    <cellStyle name="Normal 12" xfId="723"/>
    <cellStyle name="Normal 12 2" xfId="724"/>
    <cellStyle name="Normal 12 3" xfId="725"/>
    <cellStyle name="Normal 12 4" xfId="726"/>
    <cellStyle name="Normal 12 5" xfId="727"/>
    <cellStyle name="Normal 13" xfId="728"/>
    <cellStyle name="Normal 14" xfId="729"/>
    <cellStyle name="Normal 15" xfId="730"/>
    <cellStyle name="Normal 16" xfId="731"/>
    <cellStyle name="Normal 17" xfId="732"/>
    <cellStyle name="Normal 18" xfId="733"/>
    <cellStyle name="Normal 19" xfId="734"/>
    <cellStyle name="Normal 2" xfId="735"/>
    <cellStyle name="Normal 2 2" xfId="736"/>
    <cellStyle name="Normal 2 2 2" xfId="737"/>
    <cellStyle name="Normal 2 2 2 2" xfId="738"/>
    <cellStyle name="Normal 2 2 3" xfId="739"/>
    <cellStyle name="Normal 2 2 3 2" xfId="740"/>
    <cellStyle name="Normal 2 2 4" xfId="741"/>
    <cellStyle name="Normal 2 3" xfId="742"/>
    <cellStyle name="Normal 20" xfId="743"/>
    <cellStyle name="Normal 21" xfId="744"/>
    <cellStyle name="Normal 22" xfId="745"/>
    <cellStyle name="Normal 23" xfId="746"/>
    <cellStyle name="Normal 24" xfId="747"/>
    <cellStyle name="Normal 25" xfId="748"/>
    <cellStyle name="Normal 26" xfId="749"/>
    <cellStyle name="Normal 3" xfId="750"/>
    <cellStyle name="Normal 3 2" xfId="751"/>
    <cellStyle name="Normal 3 2 2" xfId="752"/>
    <cellStyle name="Normal 3 3" xfId="753"/>
    <cellStyle name="Normal 3 3 2" xfId="754"/>
    <cellStyle name="Normal 3 3 3" xfId="755"/>
    <cellStyle name="Normal 3 3 4" xfId="756"/>
    <cellStyle name="Normal 3 3 5" xfId="757"/>
    <cellStyle name="Normal 3_OPCo Period I PJM  Formula Rate" xfId="758"/>
    <cellStyle name="Normal 35" xfId="759"/>
    <cellStyle name="Normal 4" xfId="760"/>
    <cellStyle name="Normal 4 10" xfId="761"/>
    <cellStyle name="Normal 4 10 2" xfId="762"/>
    <cellStyle name="Normal 4 10 3" xfId="763"/>
    <cellStyle name="Normal 4 11" xfId="764"/>
    <cellStyle name="Normal 4 12" xfId="765"/>
    <cellStyle name="Normal 4 13" xfId="766"/>
    <cellStyle name="Normal 4 2" xfId="767"/>
    <cellStyle name="Normal 4 2 2" xfId="768"/>
    <cellStyle name="Normal 4 3" xfId="769"/>
    <cellStyle name="Normal 4 3 2" xfId="770"/>
    <cellStyle name="Normal 4 3 2 2" xfId="771"/>
    <cellStyle name="Normal 4 3 2 3" xfId="772"/>
    <cellStyle name="Normal 4 3 3" xfId="773"/>
    <cellStyle name="Normal 4 3 3 2" xfId="774"/>
    <cellStyle name="Normal 4 3 3 2 2" xfId="775"/>
    <cellStyle name="Normal 4 3 3 2 3" xfId="776"/>
    <cellStyle name="Normal 4 3 3 2 4" xfId="777"/>
    <cellStyle name="Normal 4 3 3 2 5" xfId="778"/>
    <cellStyle name="Normal 4 3 3 3" xfId="779"/>
    <cellStyle name="Normal 4 3 4" xfId="780"/>
    <cellStyle name="Normal 4 3 5" xfId="781"/>
    <cellStyle name="Normal 4 3 5 2" xfId="782"/>
    <cellStyle name="Normal 4 3 5 3" xfId="783"/>
    <cellStyle name="Normal 4 3 5 4" xfId="784"/>
    <cellStyle name="Normal 4 3 5 5" xfId="785"/>
    <cellStyle name="Normal 4 3 6" xfId="786"/>
    <cellStyle name="Normal 4 4" xfId="787"/>
    <cellStyle name="Normal 4 4 2" xfId="788"/>
    <cellStyle name="Normal 4 4 3" xfId="789"/>
    <cellStyle name="Normal 4 4 4" xfId="790"/>
    <cellStyle name="Normal 4 4 4 2" xfId="791"/>
    <cellStyle name="Normal 4 4 4 3" xfId="792"/>
    <cellStyle name="Normal 4 4 4 4" xfId="793"/>
    <cellStyle name="Normal 4 4 4 5" xfId="794"/>
    <cellStyle name="Normal 4 4 5" xfId="795"/>
    <cellStyle name="Normal 4 5" xfId="796"/>
    <cellStyle name="Normal 4 5 2" xfId="797"/>
    <cellStyle name="Normal 4 5 2 2" xfId="798"/>
    <cellStyle name="Normal 4 5 2 2 2" xfId="799"/>
    <cellStyle name="Normal 4 5 2 2 3" xfId="800"/>
    <cellStyle name="Normal 4 5 2 2 4" xfId="801"/>
    <cellStyle name="Normal 4 5 2 2 5" xfId="802"/>
    <cellStyle name="Normal 4 5 3" xfId="803"/>
    <cellStyle name="Normal 4 6" xfId="804"/>
    <cellStyle name="Normal 4 7" xfId="805"/>
    <cellStyle name="Normal 4 8" xfId="806"/>
    <cellStyle name="Normal 4 9" xfId="807"/>
    <cellStyle name="Normal 4_PBOP Exhibit 1" xfId="808"/>
    <cellStyle name="Normal 5" xfId="809"/>
    <cellStyle name="Normal 5 2" xfId="810"/>
    <cellStyle name="Normal 5 2 2" xfId="811"/>
    <cellStyle name="Normal 5 2 2 2" xfId="812"/>
    <cellStyle name="Normal 5 2 3" xfId="813"/>
    <cellStyle name="Normal 5 2 4" xfId="814"/>
    <cellStyle name="Normal 5 2 5" xfId="815"/>
    <cellStyle name="Normal 5 2 6" xfId="816"/>
    <cellStyle name="Normal 5 3" xfId="817"/>
    <cellStyle name="Normal 5 4" xfId="818"/>
    <cellStyle name="Normal 6" xfId="819"/>
    <cellStyle name="Normal 6 2" xfId="820"/>
    <cellStyle name="Normal 6 2 2" xfId="821"/>
    <cellStyle name="Normal 6 2 3" xfId="822"/>
    <cellStyle name="Normal 6 3" xfId="823"/>
    <cellStyle name="Normal 7" xfId="824"/>
    <cellStyle name="Normal 7 2" xfId="825"/>
    <cellStyle name="Normal 7 3" xfId="826"/>
    <cellStyle name="Normal 8" xfId="827"/>
    <cellStyle name="Normal 8 2" xfId="828"/>
    <cellStyle name="Normal 8 2 2" xfId="829"/>
    <cellStyle name="Normal 9" xfId="830"/>
    <cellStyle name="Normal 9 2" xfId="831"/>
    <cellStyle name="Normal 9 2 2" xfId="832"/>
    <cellStyle name="Normal_ADITAnalysisID090805 2" xfId="833"/>
    <cellStyle name="Normal_FN1 Ratebase Draft SPP template (6-11-04) v2" xfId="834"/>
    <cellStyle name="Note" xfId="835" builtinId="10" customBuiltin="1"/>
    <cellStyle name="Note 2" xfId="836"/>
    <cellStyle name="Note 2 2" xfId="837"/>
    <cellStyle name="Note 2 2 2" xfId="838"/>
    <cellStyle name="Note 2 2 3" xfId="839"/>
    <cellStyle name="Note 2 2 4" xfId="840"/>
    <cellStyle name="Note 2 3" xfId="841"/>
    <cellStyle name="Note 2 4" xfId="842"/>
    <cellStyle name="Note 2 5" xfId="843"/>
    <cellStyle name="Output" xfId="844" builtinId="21" customBuiltin="1"/>
    <cellStyle name="Output 2" xfId="845"/>
    <cellStyle name="Output 2 2" xfId="846"/>
    <cellStyle name="Output 2 3" xfId="847"/>
    <cellStyle name="Output 2 4" xfId="848"/>
    <cellStyle name="Output 2 5" xfId="849"/>
    <cellStyle name="Percent" xfId="850" builtinId="5"/>
    <cellStyle name="Percent 10" xfId="851"/>
    <cellStyle name="Percent 11" xfId="852"/>
    <cellStyle name="Percent 12" xfId="853"/>
    <cellStyle name="Percent 12 2" xfId="854"/>
    <cellStyle name="Percent 12 3" xfId="855"/>
    <cellStyle name="Percent 13" xfId="856"/>
    <cellStyle name="Percent 14" xfId="857"/>
    <cellStyle name="Percent 15" xfId="858"/>
    <cellStyle name="Percent 2" xfId="859"/>
    <cellStyle name="Percent 2 2" xfId="860"/>
    <cellStyle name="Percent 2 2 2" xfId="861"/>
    <cellStyle name="Percent 2 3" xfId="862"/>
    <cellStyle name="Percent 3" xfId="863"/>
    <cellStyle name="Percent 3 10" xfId="864"/>
    <cellStyle name="Percent 3 10 2" xfId="865"/>
    <cellStyle name="Percent 3 10 3" xfId="866"/>
    <cellStyle name="Percent 3 11" xfId="867"/>
    <cellStyle name="Percent 3 12" xfId="868"/>
    <cellStyle name="Percent 3 13" xfId="869"/>
    <cellStyle name="Percent 3 2" xfId="870"/>
    <cellStyle name="Percent 3 2 2" xfId="871"/>
    <cellStyle name="Percent 3 3" xfId="872"/>
    <cellStyle name="Percent 3 3 2" xfId="873"/>
    <cellStyle name="Percent 3 3 2 2" xfId="874"/>
    <cellStyle name="Percent 3 3 2 3" xfId="875"/>
    <cellStyle name="Percent 3 3 3" xfId="876"/>
    <cellStyle name="Percent 3 3 3 2" xfId="877"/>
    <cellStyle name="Percent 3 3 3 2 2" xfId="878"/>
    <cellStyle name="Percent 3 3 3 2 3" xfId="879"/>
    <cellStyle name="Percent 3 3 3 2 4" xfId="880"/>
    <cellStyle name="Percent 3 3 3 2 5" xfId="881"/>
    <cellStyle name="Percent 3 3 3 3" xfId="882"/>
    <cellStyle name="Percent 3 3 4" xfId="883"/>
    <cellStyle name="Percent 3 3 5" xfId="884"/>
    <cellStyle name="Percent 3 3 5 2" xfId="885"/>
    <cellStyle name="Percent 3 3 5 3" xfId="886"/>
    <cellStyle name="Percent 3 3 5 4" xfId="887"/>
    <cellStyle name="Percent 3 3 5 5" xfId="888"/>
    <cellStyle name="Percent 3 3 6" xfId="889"/>
    <cellStyle name="Percent 3 4" xfId="890"/>
    <cellStyle name="Percent 3 4 2" xfId="891"/>
    <cellStyle name="Percent 3 4 3" xfId="892"/>
    <cellStyle name="Percent 3 4 4" xfId="893"/>
    <cellStyle name="Percent 3 4 4 2" xfId="894"/>
    <cellStyle name="Percent 3 4 4 3" xfId="895"/>
    <cellStyle name="Percent 3 4 4 4" xfId="896"/>
    <cellStyle name="Percent 3 4 4 5" xfId="897"/>
    <cellStyle name="Percent 3 4 5" xfId="898"/>
    <cellStyle name="Percent 3 5" xfId="899"/>
    <cellStyle name="Percent 3 5 2" xfId="900"/>
    <cellStyle name="Percent 3 6" xfId="901"/>
    <cellStyle name="Percent 3 7" xfId="902"/>
    <cellStyle name="Percent 3 8" xfId="903"/>
    <cellStyle name="Percent 3 9" xfId="904"/>
    <cellStyle name="Percent 4" xfId="905"/>
    <cellStyle name="Percent 4 2" xfId="906"/>
    <cellStyle name="Percent 4 2 2" xfId="907"/>
    <cellStyle name="Percent 4 2 3" xfId="908"/>
    <cellStyle name="Percent 4 3" xfId="909"/>
    <cellStyle name="Percent 4 3 2" xfId="910"/>
    <cellStyle name="Percent 4 3 2 2" xfId="911"/>
    <cellStyle name="Percent 4 3 2 3" xfId="912"/>
    <cellStyle name="Percent 4 3 2 4" xfId="913"/>
    <cellStyle name="Percent 4 3 2 5" xfId="914"/>
    <cellStyle name="Percent 4 3 3" xfId="915"/>
    <cellStyle name="Percent 4 4" xfId="916"/>
    <cellStyle name="Percent 4 5" xfId="917"/>
    <cellStyle name="Percent 4 5 2" xfId="918"/>
    <cellStyle name="Percent 4 5 3" xfId="919"/>
    <cellStyle name="Percent 4 5 4" xfId="920"/>
    <cellStyle name="Percent 4 5 5" xfId="921"/>
    <cellStyle name="Percent 4 6" xfId="922"/>
    <cellStyle name="Percent 4 6 2" xfId="923"/>
    <cellStyle name="Percent 4 6 3" xfId="924"/>
    <cellStyle name="Percent 5" xfId="925"/>
    <cellStyle name="Percent 5 2" xfId="926"/>
    <cellStyle name="Percent 5 3" xfId="927"/>
    <cellStyle name="Percent 5 4" xfId="928"/>
    <cellStyle name="Percent 5 4 2" xfId="929"/>
    <cellStyle name="Percent 5 4 3" xfId="930"/>
    <cellStyle name="Percent 5 4 4" xfId="931"/>
    <cellStyle name="Percent 5 4 5" xfId="932"/>
    <cellStyle name="Percent 5 5" xfId="933"/>
    <cellStyle name="Percent 6" xfId="934"/>
    <cellStyle name="Percent 6 2" xfId="935"/>
    <cellStyle name="Percent 6 3" xfId="936"/>
    <cellStyle name="Percent 6 4" xfId="937"/>
    <cellStyle name="Percent 6 4 2" xfId="938"/>
    <cellStyle name="Percent 6 4 3" xfId="939"/>
    <cellStyle name="Percent 7" xfId="940"/>
    <cellStyle name="Percent 7 2" xfId="941"/>
    <cellStyle name="Percent 7 2 2" xfId="942"/>
    <cellStyle name="Percent 7 2 2 2" xfId="943"/>
    <cellStyle name="Percent 7 2 2 2 2" xfId="944"/>
    <cellStyle name="Percent 7 2 2 3" xfId="945"/>
    <cellStyle name="Percent 7 2 2 3 2" xfId="946"/>
    <cellStyle name="Percent 7 2 2 4" xfId="947"/>
    <cellStyle name="Percent 7 2 2 5" xfId="948"/>
    <cellStyle name="Percent 7 2 3" xfId="949"/>
    <cellStyle name="Percent 7 2 3 2" xfId="950"/>
    <cellStyle name="Percent 7 2 4" xfId="951"/>
    <cellStyle name="Percent 7 2 4 2" xfId="952"/>
    <cellStyle name="Percent 7 2 4 3" xfId="953"/>
    <cellStyle name="Percent 7 2 5" xfId="954"/>
    <cellStyle name="Percent 7 2 5 2" xfId="955"/>
    <cellStyle name="Percent 7 2 6" xfId="956"/>
    <cellStyle name="Percent 7 3" xfId="957"/>
    <cellStyle name="Percent 7 4" xfId="958"/>
    <cellStyle name="Percent 7 5" xfId="959"/>
    <cellStyle name="Percent 7 6" xfId="960"/>
    <cellStyle name="Percent 8" xfId="961"/>
    <cellStyle name="Percent 9" xfId="962"/>
    <cellStyle name="PSChar" xfId="963"/>
    <cellStyle name="PSChar 2" xfId="964"/>
    <cellStyle name="PSChar 2 2" xfId="965"/>
    <cellStyle name="PSChar 3" xfId="966"/>
    <cellStyle name="PSChar 4" xfId="967"/>
    <cellStyle name="PSChar 4 2" xfId="968"/>
    <cellStyle name="PSChar 5" xfId="969"/>
    <cellStyle name="PSChar 5 2" xfId="970"/>
    <cellStyle name="PSDate" xfId="971"/>
    <cellStyle name="PSDate 2" xfId="972"/>
    <cellStyle name="PSDate 3" xfId="973"/>
    <cellStyle name="PSDate 4" xfId="974"/>
    <cellStyle name="PSDate 4 2" xfId="975"/>
    <cellStyle name="PSDate 5" xfId="976"/>
    <cellStyle name="PSDate 5 2" xfId="977"/>
    <cellStyle name="PSDec" xfId="978"/>
    <cellStyle name="PSDec 2" xfId="979"/>
    <cellStyle name="PSDec 3" xfId="980"/>
    <cellStyle name="PSDec 4" xfId="981"/>
    <cellStyle name="PSDec 4 2" xfId="982"/>
    <cellStyle name="PSDec 5" xfId="983"/>
    <cellStyle name="PSDec 5 2" xfId="984"/>
    <cellStyle name="PSdesc" xfId="985"/>
    <cellStyle name="PSdesc 2" xfId="986"/>
    <cellStyle name="PSHeading" xfId="987"/>
    <cellStyle name="PSHeading 2" xfId="988"/>
    <cellStyle name="PSHeading 3" xfId="989"/>
    <cellStyle name="PSHeading 4" xfId="990"/>
    <cellStyle name="PSHeading 5" xfId="991"/>
    <cellStyle name="PSHeading 5 2" xfId="992"/>
    <cellStyle name="PSHeading 6" xfId="993"/>
    <cellStyle name="PSHeading 6 2" xfId="994"/>
    <cellStyle name="PSInt" xfId="995"/>
    <cellStyle name="PSInt 2" xfId="996"/>
    <cellStyle name="PSInt 3" xfId="997"/>
    <cellStyle name="PSInt 4" xfId="998"/>
    <cellStyle name="PSInt 4 2" xfId="999"/>
    <cellStyle name="PSInt 5" xfId="1000"/>
    <cellStyle name="PSInt 5 2" xfId="1001"/>
    <cellStyle name="PSSpacer" xfId="1002"/>
    <cellStyle name="PSSpacer 2" xfId="1003"/>
    <cellStyle name="PSSpacer 3" xfId="1004"/>
    <cellStyle name="PSSpacer 3 2" xfId="1005"/>
    <cellStyle name="PStest" xfId="1006"/>
    <cellStyle name="PStest 2" xfId="1007"/>
    <cellStyle name="R00A" xfId="1008"/>
    <cellStyle name="R00B" xfId="1009"/>
    <cellStyle name="R00L" xfId="1010"/>
    <cellStyle name="R01A" xfId="1011"/>
    <cellStyle name="R01B" xfId="1012"/>
    <cellStyle name="R01H" xfId="1013"/>
    <cellStyle name="R01L" xfId="1014"/>
    <cellStyle name="R02A" xfId="1015"/>
    <cellStyle name="R02B" xfId="1016"/>
    <cellStyle name="R02B 2" xfId="1017"/>
    <cellStyle name="R02H" xfId="1018"/>
    <cellStyle name="R02L" xfId="1019"/>
    <cellStyle name="R03A" xfId="1020"/>
    <cellStyle name="R03B" xfId="1021"/>
    <cellStyle name="R03B 2" xfId="1022"/>
    <cellStyle name="R03H" xfId="1023"/>
    <cellStyle name="R03L" xfId="1024"/>
    <cellStyle name="R04A" xfId="1025"/>
    <cellStyle name="R04B" xfId="1026"/>
    <cellStyle name="R04B 2" xfId="1027"/>
    <cellStyle name="R04H" xfId="1028"/>
    <cellStyle name="R04L" xfId="1029"/>
    <cellStyle name="R05A" xfId="1030"/>
    <cellStyle name="R05B" xfId="1031"/>
    <cellStyle name="R05B 2" xfId="1032"/>
    <cellStyle name="R05H" xfId="1033"/>
    <cellStyle name="R05L" xfId="1034"/>
    <cellStyle name="R05L 2" xfId="1035"/>
    <cellStyle name="R06A" xfId="1036"/>
    <cellStyle name="R06B" xfId="1037"/>
    <cellStyle name="R06B 2" xfId="1038"/>
    <cellStyle name="R06H" xfId="1039"/>
    <cellStyle name="R06L" xfId="1040"/>
    <cellStyle name="R07A" xfId="1041"/>
    <cellStyle name="R07B" xfId="1042"/>
    <cellStyle name="R07B 2" xfId="1043"/>
    <cellStyle name="R07H" xfId="1044"/>
    <cellStyle name="R07L" xfId="1045"/>
    <cellStyle name="Title" xfId="1046" builtinId="15" customBuiltin="1"/>
    <cellStyle name="Title 2" xfId="1047"/>
    <cellStyle name="Title 2 2" xfId="1048"/>
    <cellStyle name="Title 2 3" xfId="1049"/>
    <cellStyle name="Title 2 4" xfId="1050"/>
    <cellStyle name="Total" xfId="1051" builtinId="25" customBuiltin="1"/>
    <cellStyle name="Total 2" xfId="1052"/>
    <cellStyle name="Total 2 2" xfId="1053"/>
    <cellStyle name="Total 2 3" xfId="1054"/>
    <cellStyle name="Total 2 4" xfId="1055"/>
    <cellStyle name="Total 2 5" xfId="1056"/>
    <cellStyle name="Total 3" xfId="1057"/>
    <cellStyle name="Total 3 2" xfId="1058"/>
    <cellStyle name="Warning Text" xfId="1059" builtinId="11" customBuiltin="1"/>
    <cellStyle name="Warning Text 2" xfId="1060"/>
    <cellStyle name="Warning Text 2 2" xfId="1061"/>
    <cellStyle name="Warning Text 2 3" xfId="1062"/>
    <cellStyle name="Warning Text 2 4" xfId="1063"/>
    <cellStyle name="Warning Text 2 5" xfId="1064"/>
  </cellStyles>
  <dxfs count="164"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theme" Target="theme/theme1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externalLink" Target="externalLinks/externalLink1.xml"/><Relationship Id="rId8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441960</xdr:colOff>
      <xdr:row>26</xdr:row>
      <xdr:rowOff>121920</xdr:rowOff>
    </xdr:from>
    <xdr:to>
      <xdr:col>4</xdr:col>
      <xdr:colOff>548640</xdr:colOff>
      <xdr:row>28</xdr:row>
      <xdr:rowOff>7620</xdr:rowOff>
    </xdr:to>
    <xdr:sp macro="" textlink="">
      <xdr:nvSpPr>
        <xdr:cNvPr id="1470" name="Text Box 1"/>
        <xdr:cNvSpPr txBox="1">
          <a:spLocks noChangeArrowheads="1"/>
        </xdr:cNvSpPr>
      </xdr:nvSpPr>
      <xdr:spPr bwMode="auto">
        <a:xfrm>
          <a:off x="4526280" y="5113020"/>
          <a:ext cx="106680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426720</xdr:colOff>
      <xdr:row>0</xdr:row>
      <xdr:rowOff>0</xdr:rowOff>
    </xdr:from>
    <xdr:to>
      <xdr:col>4</xdr:col>
      <xdr:colOff>548640</xdr:colOff>
      <xdr:row>1</xdr:row>
      <xdr:rowOff>30480</xdr:rowOff>
    </xdr:to>
    <xdr:sp macro="" textlink="">
      <xdr:nvSpPr>
        <xdr:cNvPr id="21923" name="Text Box 1"/>
        <xdr:cNvSpPr txBox="1">
          <a:spLocks noChangeArrowheads="1"/>
        </xdr:cNvSpPr>
      </xdr:nvSpPr>
      <xdr:spPr bwMode="auto">
        <a:xfrm>
          <a:off x="4015740" y="0"/>
          <a:ext cx="121920" cy="297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426720</xdr:colOff>
      <xdr:row>0</xdr:row>
      <xdr:rowOff>0</xdr:rowOff>
    </xdr:from>
    <xdr:to>
      <xdr:col>4</xdr:col>
      <xdr:colOff>548640</xdr:colOff>
      <xdr:row>1</xdr:row>
      <xdr:rowOff>30480</xdr:rowOff>
    </xdr:to>
    <xdr:sp macro="" textlink="">
      <xdr:nvSpPr>
        <xdr:cNvPr id="99562" name="Text Box 1"/>
        <xdr:cNvSpPr txBox="1">
          <a:spLocks noChangeArrowheads="1"/>
        </xdr:cNvSpPr>
      </xdr:nvSpPr>
      <xdr:spPr bwMode="auto">
        <a:xfrm>
          <a:off x="4015740" y="0"/>
          <a:ext cx="121920" cy="297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4651</xdr:colOff>
      <xdr:row>34</xdr:row>
      <xdr:rowOff>99060</xdr:rowOff>
    </xdr:from>
    <xdr:to>
      <xdr:col>15</xdr:col>
      <xdr:colOff>66681</xdr:colOff>
      <xdr:row>52</xdr:row>
      <xdr:rowOff>9624</xdr:rowOff>
    </xdr:to>
    <xdr:sp macro="" textlink="">
      <xdr:nvSpPr>
        <xdr:cNvPr id="22532" name="WordArt 4"/>
        <xdr:cNvSpPr>
          <a:spLocks noChangeArrowheads="1" noChangeShapeType="1" noTextEdit="1"/>
        </xdr:cNvSpPr>
      </xdr:nvSpPr>
      <xdr:spPr bwMode="auto">
        <a:xfrm rot="20358274">
          <a:off x="742950" y="6362700"/>
          <a:ext cx="15640050" cy="2781300"/>
        </a:xfrm>
        <a:prstGeom prst="rect">
          <a:avLst/>
        </a:prstGeom>
        <a:extLs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FFFF"/>
              </a:solidFill>
              <a:effectLst/>
              <a:latin typeface="Arial Black"/>
            </a:rPr>
            <a:t>RESERVED</a:t>
          </a:r>
        </a:p>
      </xdr:txBody>
    </xdr:sp>
    <xdr:clientData/>
  </xdr:twoCellAnchor>
  <xdr:twoCellAnchor>
    <xdr:from>
      <xdr:col>1</xdr:col>
      <xdr:colOff>417195</xdr:colOff>
      <xdr:row>116</xdr:row>
      <xdr:rowOff>118110</xdr:rowOff>
    </xdr:from>
    <xdr:to>
      <xdr:col>15</xdr:col>
      <xdr:colOff>4162</xdr:colOff>
      <xdr:row>133</xdr:row>
      <xdr:rowOff>146634</xdr:rowOff>
    </xdr:to>
    <xdr:sp macro="" textlink="">
      <xdr:nvSpPr>
        <xdr:cNvPr id="22533" name="WordArt 5"/>
        <xdr:cNvSpPr>
          <a:spLocks noChangeArrowheads="1" noChangeShapeType="1" noTextEdit="1"/>
        </xdr:cNvSpPr>
      </xdr:nvSpPr>
      <xdr:spPr bwMode="auto">
        <a:xfrm rot="20358274">
          <a:off x="695325" y="20507325"/>
          <a:ext cx="15621000" cy="2781300"/>
        </a:xfrm>
        <a:prstGeom prst="rect">
          <a:avLst/>
        </a:prstGeom>
        <a:extLs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FFFF"/>
              </a:solidFill>
              <a:effectLst/>
              <a:latin typeface="Arial Black"/>
            </a:rPr>
            <a:t>RESERVED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426720</xdr:colOff>
      <xdr:row>0</xdr:row>
      <xdr:rowOff>0</xdr:rowOff>
    </xdr:from>
    <xdr:to>
      <xdr:col>4</xdr:col>
      <xdr:colOff>548640</xdr:colOff>
      <xdr:row>1</xdr:row>
      <xdr:rowOff>30480</xdr:rowOff>
    </xdr:to>
    <xdr:sp macro="" textlink="">
      <xdr:nvSpPr>
        <xdr:cNvPr id="100584" name="Text Box 1"/>
        <xdr:cNvSpPr txBox="1">
          <a:spLocks noChangeArrowheads="1"/>
        </xdr:cNvSpPr>
      </xdr:nvSpPr>
      <xdr:spPr bwMode="auto">
        <a:xfrm>
          <a:off x="4015740" y="0"/>
          <a:ext cx="121920" cy="297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34</xdr:row>
      <xdr:rowOff>121920</xdr:rowOff>
    </xdr:from>
    <xdr:to>
      <xdr:col>15</xdr:col>
      <xdr:colOff>85725</xdr:colOff>
      <xdr:row>52</xdr:row>
      <xdr:rowOff>9678</xdr:rowOff>
    </xdr:to>
    <xdr:sp macro="" textlink="">
      <xdr:nvSpPr>
        <xdr:cNvPr id="23555" name="WordArt 3"/>
        <xdr:cNvSpPr>
          <a:spLocks noChangeArrowheads="1" noChangeShapeType="1" noTextEdit="1"/>
        </xdr:cNvSpPr>
      </xdr:nvSpPr>
      <xdr:spPr bwMode="auto">
        <a:xfrm rot="20358274">
          <a:off x="762000" y="6362700"/>
          <a:ext cx="15640050" cy="2781300"/>
        </a:xfrm>
        <a:prstGeom prst="rect">
          <a:avLst/>
        </a:prstGeom>
        <a:extLs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FFFF"/>
              </a:solidFill>
              <a:effectLst/>
              <a:latin typeface="Arial Black"/>
            </a:rPr>
            <a:t>RESERVED</a:t>
          </a:r>
        </a:p>
      </xdr:txBody>
    </xdr:sp>
    <xdr:clientData/>
  </xdr:twoCellAnchor>
  <xdr:twoCellAnchor>
    <xdr:from>
      <xdr:col>1</xdr:col>
      <xdr:colOff>426720</xdr:colOff>
      <xdr:row>116</xdr:row>
      <xdr:rowOff>146685</xdr:rowOff>
    </xdr:from>
    <xdr:to>
      <xdr:col>15</xdr:col>
      <xdr:colOff>28573</xdr:colOff>
      <xdr:row>134</xdr:row>
      <xdr:rowOff>1964</xdr:rowOff>
    </xdr:to>
    <xdr:sp macro="" textlink="">
      <xdr:nvSpPr>
        <xdr:cNvPr id="23556" name="WordArt 4"/>
        <xdr:cNvSpPr>
          <a:spLocks noChangeArrowheads="1" noChangeShapeType="1" noTextEdit="1"/>
        </xdr:cNvSpPr>
      </xdr:nvSpPr>
      <xdr:spPr bwMode="auto">
        <a:xfrm rot="20358274">
          <a:off x="723900" y="20526375"/>
          <a:ext cx="15621000" cy="2781300"/>
        </a:xfrm>
        <a:prstGeom prst="rect">
          <a:avLst/>
        </a:prstGeom>
        <a:extLs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FFFF"/>
              </a:solidFill>
              <a:effectLst/>
              <a:latin typeface="Arial Black"/>
            </a:rPr>
            <a:t>RESERVED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426720</xdr:colOff>
      <xdr:row>0</xdr:row>
      <xdr:rowOff>0</xdr:rowOff>
    </xdr:from>
    <xdr:to>
      <xdr:col>4</xdr:col>
      <xdr:colOff>548640</xdr:colOff>
      <xdr:row>1</xdr:row>
      <xdr:rowOff>30480</xdr:rowOff>
    </xdr:to>
    <xdr:sp macro="" textlink="">
      <xdr:nvSpPr>
        <xdr:cNvPr id="24999" name="Text Box 1"/>
        <xdr:cNvSpPr txBox="1">
          <a:spLocks noChangeArrowheads="1"/>
        </xdr:cNvSpPr>
      </xdr:nvSpPr>
      <xdr:spPr bwMode="auto">
        <a:xfrm>
          <a:off x="4015740" y="0"/>
          <a:ext cx="121920" cy="297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426720</xdr:colOff>
      <xdr:row>0</xdr:row>
      <xdr:rowOff>0</xdr:rowOff>
    </xdr:from>
    <xdr:to>
      <xdr:col>4</xdr:col>
      <xdr:colOff>548640</xdr:colOff>
      <xdr:row>1</xdr:row>
      <xdr:rowOff>30480</xdr:rowOff>
    </xdr:to>
    <xdr:sp macro="" textlink="">
      <xdr:nvSpPr>
        <xdr:cNvPr id="26032" name="Text Box 1"/>
        <xdr:cNvSpPr txBox="1">
          <a:spLocks noChangeArrowheads="1"/>
        </xdr:cNvSpPr>
      </xdr:nvSpPr>
      <xdr:spPr bwMode="auto">
        <a:xfrm>
          <a:off x="4015740" y="0"/>
          <a:ext cx="121920" cy="297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426720</xdr:colOff>
      <xdr:row>0</xdr:row>
      <xdr:rowOff>0</xdr:rowOff>
    </xdr:from>
    <xdr:to>
      <xdr:col>4</xdr:col>
      <xdr:colOff>548640</xdr:colOff>
      <xdr:row>1</xdr:row>
      <xdr:rowOff>30480</xdr:rowOff>
    </xdr:to>
    <xdr:sp macro="" textlink="">
      <xdr:nvSpPr>
        <xdr:cNvPr id="27044" name="Text Box 1"/>
        <xdr:cNvSpPr txBox="1">
          <a:spLocks noChangeArrowheads="1"/>
        </xdr:cNvSpPr>
      </xdr:nvSpPr>
      <xdr:spPr bwMode="auto">
        <a:xfrm>
          <a:off x="4015740" y="0"/>
          <a:ext cx="121920" cy="297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426720</xdr:colOff>
      <xdr:row>0</xdr:row>
      <xdr:rowOff>0</xdr:rowOff>
    </xdr:from>
    <xdr:to>
      <xdr:col>4</xdr:col>
      <xdr:colOff>548640</xdr:colOff>
      <xdr:row>1</xdr:row>
      <xdr:rowOff>30480</xdr:rowOff>
    </xdr:to>
    <xdr:sp macro="" textlink="">
      <xdr:nvSpPr>
        <xdr:cNvPr id="28069" name="Text Box 1"/>
        <xdr:cNvSpPr txBox="1">
          <a:spLocks noChangeArrowheads="1"/>
        </xdr:cNvSpPr>
      </xdr:nvSpPr>
      <xdr:spPr bwMode="auto">
        <a:xfrm>
          <a:off x="4015740" y="0"/>
          <a:ext cx="121920" cy="297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426720</xdr:colOff>
      <xdr:row>0</xdr:row>
      <xdr:rowOff>0</xdr:rowOff>
    </xdr:from>
    <xdr:to>
      <xdr:col>4</xdr:col>
      <xdr:colOff>548640</xdr:colOff>
      <xdr:row>1</xdr:row>
      <xdr:rowOff>30480</xdr:rowOff>
    </xdr:to>
    <xdr:sp macro="" textlink="">
      <xdr:nvSpPr>
        <xdr:cNvPr id="29093" name="Text Box 1"/>
        <xdr:cNvSpPr txBox="1">
          <a:spLocks noChangeArrowheads="1"/>
        </xdr:cNvSpPr>
      </xdr:nvSpPr>
      <xdr:spPr bwMode="auto">
        <a:xfrm>
          <a:off x="4015740" y="0"/>
          <a:ext cx="121920" cy="297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426720</xdr:colOff>
      <xdr:row>0</xdr:row>
      <xdr:rowOff>0</xdr:rowOff>
    </xdr:from>
    <xdr:to>
      <xdr:col>4</xdr:col>
      <xdr:colOff>548640</xdr:colOff>
      <xdr:row>1</xdr:row>
      <xdr:rowOff>30480</xdr:rowOff>
    </xdr:to>
    <xdr:sp macro="" textlink="">
      <xdr:nvSpPr>
        <xdr:cNvPr id="30116" name="Text Box 1"/>
        <xdr:cNvSpPr txBox="1">
          <a:spLocks noChangeArrowheads="1"/>
        </xdr:cNvSpPr>
      </xdr:nvSpPr>
      <xdr:spPr bwMode="auto">
        <a:xfrm>
          <a:off x="4015740" y="0"/>
          <a:ext cx="121920" cy="297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426720</xdr:colOff>
      <xdr:row>0</xdr:row>
      <xdr:rowOff>0</xdr:rowOff>
    </xdr:from>
    <xdr:to>
      <xdr:col>4</xdr:col>
      <xdr:colOff>548640</xdr:colOff>
      <xdr:row>1</xdr:row>
      <xdr:rowOff>30480</xdr:rowOff>
    </xdr:to>
    <xdr:sp macro="" textlink="">
      <xdr:nvSpPr>
        <xdr:cNvPr id="101609" name="Text Box 1"/>
        <xdr:cNvSpPr txBox="1">
          <a:spLocks noChangeArrowheads="1"/>
        </xdr:cNvSpPr>
      </xdr:nvSpPr>
      <xdr:spPr bwMode="auto">
        <a:xfrm>
          <a:off x="4015740" y="0"/>
          <a:ext cx="121920" cy="297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422910</xdr:colOff>
      <xdr:row>34</xdr:row>
      <xdr:rowOff>123825</xdr:rowOff>
    </xdr:from>
    <xdr:to>
      <xdr:col>15</xdr:col>
      <xdr:colOff>74283</xdr:colOff>
      <xdr:row>52</xdr:row>
      <xdr:rowOff>2087</xdr:rowOff>
    </xdr:to>
    <xdr:sp macro="" textlink="">
      <xdr:nvSpPr>
        <xdr:cNvPr id="30723" name="WordArt 3"/>
        <xdr:cNvSpPr>
          <a:spLocks noChangeArrowheads="1" noChangeShapeType="1" noTextEdit="1"/>
        </xdr:cNvSpPr>
      </xdr:nvSpPr>
      <xdr:spPr bwMode="auto">
        <a:xfrm rot="20358274">
          <a:off x="742950" y="6372225"/>
          <a:ext cx="15640050" cy="2781300"/>
        </a:xfrm>
        <a:prstGeom prst="rect">
          <a:avLst/>
        </a:prstGeom>
        <a:extLs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FFFF"/>
              </a:solidFill>
              <a:effectLst/>
              <a:latin typeface="Arial Black"/>
            </a:rPr>
            <a:t>RESERVED</a:t>
          </a:r>
        </a:p>
      </xdr:txBody>
    </xdr:sp>
    <xdr:clientData/>
  </xdr:twoCellAnchor>
  <xdr:twoCellAnchor>
    <xdr:from>
      <xdr:col>1</xdr:col>
      <xdr:colOff>424815</xdr:colOff>
      <xdr:row>116</xdr:row>
      <xdr:rowOff>146685</xdr:rowOff>
    </xdr:from>
    <xdr:to>
      <xdr:col>15</xdr:col>
      <xdr:colOff>34297</xdr:colOff>
      <xdr:row>134</xdr:row>
      <xdr:rowOff>34381</xdr:rowOff>
    </xdr:to>
    <xdr:sp macro="" textlink="">
      <xdr:nvSpPr>
        <xdr:cNvPr id="30725" name="WordArt 5"/>
        <xdr:cNvSpPr>
          <a:spLocks noChangeArrowheads="1" noChangeShapeType="1" noTextEdit="1"/>
        </xdr:cNvSpPr>
      </xdr:nvSpPr>
      <xdr:spPr bwMode="auto">
        <a:xfrm rot="20358274">
          <a:off x="714375" y="20535900"/>
          <a:ext cx="15621000" cy="2781300"/>
        </a:xfrm>
        <a:prstGeom prst="rect">
          <a:avLst/>
        </a:prstGeom>
        <a:extLs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FFFF"/>
              </a:solidFill>
              <a:effectLst/>
              <a:latin typeface="Arial Black"/>
            </a:rPr>
            <a:t>RESERVED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426720</xdr:colOff>
      <xdr:row>0</xdr:row>
      <xdr:rowOff>0</xdr:rowOff>
    </xdr:from>
    <xdr:to>
      <xdr:col>4</xdr:col>
      <xdr:colOff>548640</xdr:colOff>
      <xdr:row>1</xdr:row>
      <xdr:rowOff>30480</xdr:rowOff>
    </xdr:to>
    <xdr:sp macro="" textlink="">
      <xdr:nvSpPr>
        <xdr:cNvPr id="2469" name="Text Box 1"/>
        <xdr:cNvSpPr txBox="1">
          <a:spLocks noChangeArrowheads="1"/>
        </xdr:cNvSpPr>
      </xdr:nvSpPr>
      <xdr:spPr bwMode="auto">
        <a:xfrm>
          <a:off x="4015740" y="0"/>
          <a:ext cx="121920" cy="297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426720</xdr:colOff>
      <xdr:row>0</xdr:row>
      <xdr:rowOff>0</xdr:rowOff>
    </xdr:from>
    <xdr:to>
      <xdr:col>4</xdr:col>
      <xdr:colOff>548640</xdr:colOff>
      <xdr:row>1</xdr:row>
      <xdr:rowOff>30480</xdr:rowOff>
    </xdr:to>
    <xdr:sp macro="" textlink="">
      <xdr:nvSpPr>
        <xdr:cNvPr id="32163" name="Text Box 1"/>
        <xdr:cNvSpPr txBox="1">
          <a:spLocks noChangeArrowheads="1"/>
        </xdr:cNvSpPr>
      </xdr:nvSpPr>
      <xdr:spPr bwMode="auto">
        <a:xfrm>
          <a:off x="4015740" y="0"/>
          <a:ext cx="121920" cy="297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426720</xdr:colOff>
      <xdr:row>0</xdr:row>
      <xdr:rowOff>0</xdr:rowOff>
    </xdr:from>
    <xdr:to>
      <xdr:col>4</xdr:col>
      <xdr:colOff>548640</xdr:colOff>
      <xdr:row>1</xdr:row>
      <xdr:rowOff>30480</xdr:rowOff>
    </xdr:to>
    <xdr:sp macro="" textlink="">
      <xdr:nvSpPr>
        <xdr:cNvPr id="107526" name="Text Box 1"/>
        <xdr:cNvSpPr txBox="1">
          <a:spLocks noChangeArrowheads="1"/>
        </xdr:cNvSpPr>
      </xdr:nvSpPr>
      <xdr:spPr bwMode="auto">
        <a:xfrm>
          <a:off x="4015740" y="0"/>
          <a:ext cx="121920" cy="297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548640</xdr:colOff>
      <xdr:row>27</xdr:row>
      <xdr:rowOff>45720</xdr:rowOff>
    </xdr:from>
    <xdr:to>
      <xdr:col>14</xdr:col>
      <xdr:colOff>899160</xdr:colOff>
      <xdr:row>67</xdr:row>
      <xdr:rowOff>99060</xdr:rowOff>
    </xdr:to>
    <xdr:pic>
      <xdr:nvPicPr>
        <xdr:cNvPr id="107527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6080" y="5234940"/>
          <a:ext cx="13571220" cy="67589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22860</xdr:colOff>
      <xdr:row>99</xdr:row>
      <xdr:rowOff>22860</xdr:rowOff>
    </xdr:from>
    <xdr:to>
      <xdr:col>14</xdr:col>
      <xdr:colOff>373380</xdr:colOff>
      <xdr:row>139</xdr:row>
      <xdr:rowOff>76200</xdr:rowOff>
    </xdr:to>
    <xdr:pic>
      <xdr:nvPicPr>
        <xdr:cNvPr id="107528" name="Picture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00300" y="18082260"/>
          <a:ext cx="13571220" cy="67589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426720</xdr:colOff>
      <xdr:row>0</xdr:row>
      <xdr:rowOff>0</xdr:rowOff>
    </xdr:from>
    <xdr:to>
      <xdr:col>4</xdr:col>
      <xdr:colOff>548640</xdr:colOff>
      <xdr:row>1</xdr:row>
      <xdr:rowOff>30480</xdr:rowOff>
    </xdr:to>
    <xdr:sp macro="" textlink="">
      <xdr:nvSpPr>
        <xdr:cNvPr id="37284" name="Text Box 1"/>
        <xdr:cNvSpPr txBox="1">
          <a:spLocks noChangeArrowheads="1"/>
        </xdr:cNvSpPr>
      </xdr:nvSpPr>
      <xdr:spPr bwMode="auto">
        <a:xfrm>
          <a:off x="4015740" y="0"/>
          <a:ext cx="121920" cy="297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426720</xdr:colOff>
      <xdr:row>0</xdr:row>
      <xdr:rowOff>0</xdr:rowOff>
    </xdr:from>
    <xdr:to>
      <xdr:col>4</xdr:col>
      <xdr:colOff>548640</xdr:colOff>
      <xdr:row>1</xdr:row>
      <xdr:rowOff>30480</xdr:rowOff>
    </xdr:to>
    <xdr:sp macro="" textlink="">
      <xdr:nvSpPr>
        <xdr:cNvPr id="39331" name="Text Box 1"/>
        <xdr:cNvSpPr txBox="1">
          <a:spLocks noChangeArrowheads="1"/>
        </xdr:cNvSpPr>
      </xdr:nvSpPr>
      <xdr:spPr bwMode="auto">
        <a:xfrm>
          <a:off x="4015740" y="0"/>
          <a:ext cx="121920" cy="297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426720</xdr:colOff>
      <xdr:row>0</xdr:row>
      <xdr:rowOff>0</xdr:rowOff>
    </xdr:from>
    <xdr:to>
      <xdr:col>4</xdr:col>
      <xdr:colOff>548640</xdr:colOff>
      <xdr:row>1</xdr:row>
      <xdr:rowOff>30480</xdr:rowOff>
    </xdr:to>
    <xdr:sp macro="" textlink="">
      <xdr:nvSpPr>
        <xdr:cNvPr id="40355" name="Text Box 1"/>
        <xdr:cNvSpPr txBox="1">
          <a:spLocks noChangeArrowheads="1"/>
        </xdr:cNvSpPr>
      </xdr:nvSpPr>
      <xdr:spPr bwMode="auto">
        <a:xfrm>
          <a:off x="4015740" y="0"/>
          <a:ext cx="121920" cy="297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426720</xdr:colOff>
      <xdr:row>0</xdr:row>
      <xdr:rowOff>0</xdr:rowOff>
    </xdr:from>
    <xdr:to>
      <xdr:col>4</xdr:col>
      <xdr:colOff>548640</xdr:colOff>
      <xdr:row>1</xdr:row>
      <xdr:rowOff>30480</xdr:rowOff>
    </xdr:to>
    <xdr:sp macro="" textlink="">
      <xdr:nvSpPr>
        <xdr:cNvPr id="41379" name="Text Box 1"/>
        <xdr:cNvSpPr txBox="1">
          <a:spLocks noChangeArrowheads="1"/>
        </xdr:cNvSpPr>
      </xdr:nvSpPr>
      <xdr:spPr bwMode="auto">
        <a:xfrm>
          <a:off x="4015740" y="0"/>
          <a:ext cx="121920" cy="297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426720</xdr:colOff>
      <xdr:row>0</xdr:row>
      <xdr:rowOff>0</xdr:rowOff>
    </xdr:from>
    <xdr:to>
      <xdr:col>4</xdr:col>
      <xdr:colOff>548640</xdr:colOff>
      <xdr:row>1</xdr:row>
      <xdr:rowOff>30480</xdr:rowOff>
    </xdr:to>
    <xdr:sp macro="" textlink="">
      <xdr:nvSpPr>
        <xdr:cNvPr id="42403" name="Text Box 1"/>
        <xdr:cNvSpPr txBox="1">
          <a:spLocks noChangeArrowheads="1"/>
        </xdr:cNvSpPr>
      </xdr:nvSpPr>
      <xdr:spPr bwMode="auto">
        <a:xfrm>
          <a:off x="4015740" y="0"/>
          <a:ext cx="121920" cy="297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426720</xdr:colOff>
      <xdr:row>0</xdr:row>
      <xdr:rowOff>0</xdr:rowOff>
    </xdr:from>
    <xdr:to>
      <xdr:col>4</xdr:col>
      <xdr:colOff>548640</xdr:colOff>
      <xdr:row>1</xdr:row>
      <xdr:rowOff>30480</xdr:rowOff>
    </xdr:to>
    <xdr:sp macro="" textlink="">
      <xdr:nvSpPr>
        <xdr:cNvPr id="43427" name="Text Box 1"/>
        <xdr:cNvSpPr txBox="1">
          <a:spLocks noChangeArrowheads="1"/>
        </xdr:cNvSpPr>
      </xdr:nvSpPr>
      <xdr:spPr bwMode="auto">
        <a:xfrm>
          <a:off x="4450080" y="0"/>
          <a:ext cx="121920" cy="297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426720</xdr:colOff>
      <xdr:row>0</xdr:row>
      <xdr:rowOff>0</xdr:rowOff>
    </xdr:from>
    <xdr:to>
      <xdr:col>4</xdr:col>
      <xdr:colOff>548640</xdr:colOff>
      <xdr:row>1</xdr:row>
      <xdr:rowOff>30480</xdr:rowOff>
    </xdr:to>
    <xdr:sp macro="" textlink="">
      <xdr:nvSpPr>
        <xdr:cNvPr id="44451" name="Text Box 1"/>
        <xdr:cNvSpPr txBox="1">
          <a:spLocks noChangeArrowheads="1"/>
        </xdr:cNvSpPr>
      </xdr:nvSpPr>
      <xdr:spPr bwMode="auto">
        <a:xfrm>
          <a:off x="4015740" y="0"/>
          <a:ext cx="121920" cy="297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426720</xdr:colOff>
      <xdr:row>0</xdr:row>
      <xdr:rowOff>0</xdr:rowOff>
    </xdr:from>
    <xdr:to>
      <xdr:col>4</xdr:col>
      <xdr:colOff>548640</xdr:colOff>
      <xdr:row>1</xdr:row>
      <xdr:rowOff>30480</xdr:rowOff>
    </xdr:to>
    <xdr:sp macro="" textlink="">
      <xdr:nvSpPr>
        <xdr:cNvPr id="51619" name="Text Box 1"/>
        <xdr:cNvSpPr txBox="1">
          <a:spLocks noChangeArrowheads="1"/>
        </xdr:cNvSpPr>
      </xdr:nvSpPr>
      <xdr:spPr bwMode="auto">
        <a:xfrm>
          <a:off x="4015740" y="0"/>
          <a:ext cx="121920" cy="297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426720</xdr:colOff>
      <xdr:row>0</xdr:row>
      <xdr:rowOff>0</xdr:rowOff>
    </xdr:from>
    <xdr:to>
      <xdr:col>4</xdr:col>
      <xdr:colOff>548640</xdr:colOff>
      <xdr:row>1</xdr:row>
      <xdr:rowOff>30480</xdr:rowOff>
    </xdr:to>
    <xdr:sp macro="" textlink="">
      <xdr:nvSpPr>
        <xdr:cNvPr id="14755" name="Text Box 1"/>
        <xdr:cNvSpPr txBox="1">
          <a:spLocks noChangeArrowheads="1"/>
        </xdr:cNvSpPr>
      </xdr:nvSpPr>
      <xdr:spPr bwMode="auto">
        <a:xfrm>
          <a:off x="4015740" y="0"/>
          <a:ext cx="121920" cy="297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426720</xdr:colOff>
      <xdr:row>0</xdr:row>
      <xdr:rowOff>0</xdr:rowOff>
    </xdr:from>
    <xdr:to>
      <xdr:col>4</xdr:col>
      <xdr:colOff>548640</xdr:colOff>
      <xdr:row>1</xdr:row>
      <xdr:rowOff>30480</xdr:rowOff>
    </xdr:to>
    <xdr:sp macro="" textlink="">
      <xdr:nvSpPr>
        <xdr:cNvPr id="52643" name="Text Box 1"/>
        <xdr:cNvSpPr txBox="1">
          <a:spLocks noChangeArrowheads="1"/>
        </xdr:cNvSpPr>
      </xdr:nvSpPr>
      <xdr:spPr bwMode="auto">
        <a:xfrm>
          <a:off x="4015740" y="0"/>
          <a:ext cx="121920" cy="297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426720</xdr:colOff>
      <xdr:row>0</xdr:row>
      <xdr:rowOff>0</xdr:rowOff>
    </xdr:from>
    <xdr:to>
      <xdr:col>4</xdr:col>
      <xdr:colOff>548640</xdr:colOff>
      <xdr:row>1</xdr:row>
      <xdr:rowOff>30480</xdr:rowOff>
    </xdr:to>
    <xdr:sp macro="" textlink="">
      <xdr:nvSpPr>
        <xdr:cNvPr id="53667" name="Text Box 1"/>
        <xdr:cNvSpPr txBox="1">
          <a:spLocks noChangeArrowheads="1"/>
        </xdr:cNvSpPr>
      </xdr:nvSpPr>
      <xdr:spPr bwMode="auto">
        <a:xfrm>
          <a:off x="4015740" y="0"/>
          <a:ext cx="121920" cy="297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426720</xdr:colOff>
      <xdr:row>0</xdr:row>
      <xdr:rowOff>0</xdr:rowOff>
    </xdr:from>
    <xdr:to>
      <xdr:col>4</xdr:col>
      <xdr:colOff>548640</xdr:colOff>
      <xdr:row>1</xdr:row>
      <xdr:rowOff>30480</xdr:rowOff>
    </xdr:to>
    <xdr:sp macro="" textlink="">
      <xdr:nvSpPr>
        <xdr:cNvPr id="54691" name="Text Box 1"/>
        <xdr:cNvSpPr txBox="1">
          <a:spLocks noChangeArrowheads="1"/>
        </xdr:cNvSpPr>
      </xdr:nvSpPr>
      <xdr:spPr bwMode="auto">
        <a:xfrm>
          <a:off x="4015740" y="0"/>
          <a:ext cx="121920" cy="297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426720</xdr:colOff>
      <xdr:row>0</xdr:row>
      <xdr:rowOff>0</xdr:rowOff>
    </xdr:from>
    <xdr:to>
      <xdr:col>4</xdr:col>
      <xdr:colOff>548640</xdr:colOff>
      <xdr:row>1</xdr:row>
      <xdr:rowOff>30480</xdr:rowOff>
    </xdr:to>
    <xdr:sp macro="" textlink="">
      <xdr:nvSpPr>
        <xdr:cNvPr id="55715" name="Text Box 1"/>
        <xdr:cNvSpPr txBox="1">
          <a:spLocks noChangeArrowheads="1"/>
        </xdr:cNvSpPr>
      </xdr:nvSpPr>
      <xdr:spPr bwMode="auto">
        <a:xfrm>
          <a:off x="4015740" y="0"/>
          <a:ext cx="121920" cy="297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426720</xdr:colOff>
      <xdr:row>0</xdr:row>
      <xdr:rowOff>0</xdr:rowOff>
    </xdr:from>
    <xdr:to>
      <xdr:col>4</xdr:col>
      <xdr:colOff>548640</xdr:colOff>
      <xdr:row>1</xdr:row>
      <xdr:rowOff>30480</xdr:rowOff>
    </xdr:to>
    <xdr:sp macro="" textlink="">
      <xdr:nvSpPr>
        <xdr:cNvPr id="56739" name="Text Box 1"/>
        <xdr:cNvSpPr txBox="1">
          <a:spLocks noChangeArrowheads="1"/>
        </xdr:cNvSpPr>
      </xdr:nvSpPr>
      <xdr:spPr bwMode="auto">
        <a:xfrm>
          <a:off x="4015740" y="0"/>
          <a:ext cx="121920" cy="297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426720</xdr:colOff>
      <xdr:row>0</xdr:row>
      <xdr:rowOff>0</xdr:rowOff>
    </xdr:from>
    <xdr:to>
      <xdr:col>4</xdr:col>
      <xdr:colOff>548640</xdr:colOff>
      <xdr:row>1</xdr:row>
      <xdr:rowOff>30480</xdr:rowOff>
    </xdr:to>
    <xdr:sp macro="" textlink="">
      <xdr:nvSpPr>
        <xdr:cNvPr id="57761" name="Text Box 1"/>
        <xdr:cNvSpPr txBox="1">
          <a:spLocks noChangeArrowheads="1"/>
        </xdr:cNvSpPr>
      </xdr:nvSpPr>
      <xdr:spPr bwMode="auto">
        <a:xfrm>
          <a:off x="4015740" y="0"/>
          <a:ext cx="121920" cy="297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426720</xdr:colOff>
      <xdr:row>0</xdr:row>
      <xdr:rowOff>0</xdr:rowOff>
    </xdr:from>
    <xdr:to>
      <xdr:col>4</xdr:col>
      <xdr:colOff>548640</xdr:colOff>
      <xdr:row>1</xdr:row>
      <xdr:rowOff>30480</xdr:rowOff>
    </xdr:to>
    <xdr:sp macro="" textlink="">
      <xdr:nvSpPr>
        <xdr:cNvPr id="59809" name="Text Box 1"/>
        <xdr:cNvSpPr txBox="1">
          <a:spLocks noChangeArrowheads="1"/>
        </xdr:cNvSpPr>
      </xdr:nvSpPr>
      <xdr:spPr bwMode="auto">
        <a:xfrm>
          <a:off x="4015740" y="0"/>
          <a:ext cx="121920" cy="297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426720</xdr:colOff>
      <xdr:row>0</xdr:row>
      <xdr:rowOff>0</xdr:rowOff>
    </xdr:from>
    <xdr:to>
      <xdr:col>4</xdr:col>
      <xdr:colOff>548640</xdr:colOff>
      <xdr:row>1</xdr:row>
      <xdr:rowOff>30480</xdr:rowOff>
    </xdr:to>
    <xdr:sp macro="" textlink="">
      <xdr:nvSpPr>
        <xdr:cNvPr id="61857" name="Text Box 1"/>
        <xdr:cNvSpPr txBox="1">
          <a:spLocks noChangeArrowheads="1"/>
        </xdr:cNvSpPr>
      </xdr:nvSpPr>
      <xdr:spPr bwMode="auto">
        <a:xfrm>
          <a:off x="4015740" y="0"/>
          <a:ext cx="121920" cy="297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426720</xdr:colOff>
      <xdr:row>0</xdr:row>
      <xdr:rowOff>0</xdr:rowOff>
    </xdr:from>
    <xdr:to>
      <xdr:col>4</xdr:col>
      <xdr:colOff>548640</xdr:colOff>
      <xdr:row>1</xdr:row>
      <xdr:rowOff>30480</xdr:rowOff>
    </xdr:to>
    <xdr:sp macro="" textlink="">
      <xdr:nvSpPr>
        <xdr:cNvPr id="60833" name="Text Box 1"/>
        <xdr:cNvSpPr txBox="1">
          <a:spLocks noChangeArrowheads="1"/>
        </xdr:cNvSpPr>
      </xdr:nvSpPr>
      <xdr:spPr bwMode="auto">
        <a:xfrm>
          <a:off x="4015740" y="0"/>
          <a:ext cx="121920" cy="297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426720</xdr:colOff>
      <xdr:row>0</xdr:row>
      <xdr:rowOff>0</xdr:rowOff>
    </xdr:from>
    <xdr:to>
      <xdr:col>4</xdr:col>
      <xdr:colOff>548640</xdr:colOff>
      <xdr:row>1</xdr:row>
      <xdr:rowOff>30480</xdr:rowOff>
    </xdr:to>
    <xdr:sp macro="" textlink="">
      <xdr:nvSpPr>
        <xdr:cNvPr id="58785" name="Text Box 1"/>
        <xdr:cNvSpPr txBox="1">
          <a:spLocks noChangeArrowheads="1"/>
        </xdr:cNvSpPr>
      </xdr:nvSpPr>
      <xdr:spPr bwMode="auto">
        <a:xfrm>
          <a:off x="4015740" y="0"/>
          <a:ext cx="121920" cy="297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426720</xdr:colOff>
      <xdr:row>0</xdr:row>
      <xdr:rowOff>0</xdr:rowOff>
    </xdr:from>
    <xdr:to>
      <xdr:col>4</xdr:col>
      <xdr:colOff>548640</xdr:colOff>
      <xdr:row>1</xdr:row>
      <xdr:rowOff>30480</xdr:rowOff>
    </xdr:to>
    <xdr:sp macro="" textlink="">
      <xdr:nvSpPr>
        <xdr:cNvPr id="15780" name="Text Box 1"/>
        <xdr:cNvSpPr txBox="1">
          <a:spLocks noChangeArrowheads="1"/>
        </xdr:cNvSpPr>
      </xdr:nvSpPr>
      <xdr:spPr bwMode="auto">
        <a:xfrm>
          <a:off x="4015740" y="0"/>
          <a:ext cx="121920" cy="297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426720</xdr:colOff>
      <xdr:row>0</xdr:row>
      <xdr:rowOff>0</xdr:rowOff>
    </xdr:from>
    <xdr:to>
      <xdr:col>4</xdr:col>
      <xdr:colOff>548640</xdr:colOff>
      <xdr:row>1</xdr:row>
      <xdr:rowOff>30480</xdr:rowOff>
    </xdr:to>
    <xdr:sp macro="" textlink="">
      <xdr:nvSpPr>
        <xdr:cNvPr id="63864" name="Text Box 1"/>
        <xdr:cNvSpPr txBox="1">
          <a:spLocks noChangeArrowheads="1"/>
        </xdr:cNvSpPr>
      </xdr:nvSpPr>
      <xdr:spPr bwMode="auto">
        <a:xfrm>
          <a:off x="4015740" y="0"/>
          <a:ext cx="121920" cy="297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426720</xdr:colOff>
      <xdr:row>0</xdr:row>
      <xdr:rowOff>0</xdr:rowOff>
    </xdr:from>
    <xdr:to>
      <xdr:col>4</xdr:col>
      <xdr:colOff>548640</xdr:colOff>
      <xdr:row>1</xdr:row>
      <xdr:rowOff>30480</xdr:rowOff>
    </xdr:to>
    <xdr:sp macro="" textlink="">
      <xdr:nvSpPr>
        <xdr:cNvPr id="64886" name="Text Box 1"/>
        <xdr:cNvSpPr txBox="1">
          <a:spLocks noChangeArrowheads="1"/>
        </xdr:cNvSpPr>
      </xdr:nvSpPr>
      <xdr:spPr bwMode="auto">
        <a:xfrm>
          <a:off x="4015740" y="0"/>
          <a:ext cx="121920" cy="297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426720</xdr:colOff>
      <xdr:row>0</xdr:row>
      <xdr:rowOff>0</xdr:rowOff>
    </xdr:from>
    <xdr:to>
      <xdr:col>4</xdr:col>
      <xdr:colOff>548640</xdr:colOff>
      <xdr:row>1</xdr:row>
      <xdr:rowOff>30480</xdr:rowOff>
    </xdr:to>
    <xdr:sp macro="" textlink="">
      <xdr:nvSpPr>
        <xdr:cNvPr id="65910" name="Text Box 1"/>
        <xdr:cNvSpPr txBox="1">
          <a:spLocks noChangeArrowheads="1"/>
        </xdr:cNvSpPr>
      </xdr:nvSpPr>
      <xdr:spPr bwMode="auto">
        <a:xfrm>
          <a:off x="4015740" y="0"/>
          <a:ext cx="121920" cy="297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426720</xdr:colOff>
      <xdr:row>0</xdr:row>
      <xdr:rowOff>0</xdr:rowOff>
    </xdr:from>
    <xdr:to>
      <xdr:col>4</xdr:col>
      <xdr:colOff>548640</xdr:colOff>
      <xdr:row>1</xdr:row>
      <xdr:rowOff>30480</xdr:rowOff>
    </xdr:to>
    <xdr:sp macro="" textlink="">
      <xdr:nvSpPr>
        <xdr:cNvPr id="66934" name="Text Box 1"/>
        <xdr:cNvSpPr txBox="1">
          <a:spLocks noChangeArrowheads="1"/>
        </xdr:cNvSpPr>
      </xdr:nvSpPr>
      <xdr:spPr bwMode="auto">
        <a:xfrm>
          <a:off x="4015740" y="0"/>
          <a:ext cx="121920" cy="297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426720</xdr:colOff>
      <xdr:row>0</xdr:row>
      <xdr:rowOff>0</xdr:rowOff>
    </xdr:from>
    <xdr:to>
      <xdr:col>4</xdr:col>
      <xdr:colOff>548640</xdr:colOff>
      <xdr:row>1</xdr:row>
      <xdr:rowOff>30480</xdr:rowOff>
    </xdr:to>
    <xdr:sp macro="" textlink="">
      <xdr:nvSpPr>
        <xdr:cNvPr id="67958" name="Text Box 1"/>
        <xdr:cNvSpPr txBox="1">
          <a:spLocks noChangeArrowheads="1"/>
        </xdr:cNvSpPr>
      </xdr:nvSpPr>
      <xdr:spPr bwMode="auto">
        <a:xfrm>
          <a:off x="4015740" y="0"/>
          <a:ext cx="121920" cy="297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426720</xdr:colOff>
      <xdr:row>0</xdr:row>
      <xdr:rowOff>0</xdr:rowOff>
    </xdr:from>
    <xdr:to>
      <xdr:col>4</xdr:col>
      <xdr:colOff>548640</xdr:colOff>
      <xdr:row>1</xdr:row>
      <xdr:rowOff>30480</xdr:rowOff>
    </xdr:to>
    <xdr:sp macro="" textlink="">
      <xdr:nvSpPr>
        <xdr:cNvPr id="68935" name="Text Box 1"/>
        <xdr:cNvSpPr txBox="1">
          <a:spLocks noChangeArrowheads="1"/>
        </xdr:cNvSpPr>
      </xdr:nvSpPr>
      <xdr:spPr bwMode="auto">
        <a:xfrm>
          <a:off x="4015740" y="0"/>
          <a:ext cx="121920" cy="297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426720</xdr:colOff>
      <xdr:row>0</xdr:row>
      <xdr:rowOff>0</xdr:rowOff>
    </xdr:from>
    <xdr:to>
      <xdr:col>4</xdr:col>
      <xdr:colOff>548640</xdr:colOff>
      <xdr:row>1</xdr:row>
      <xdr:rowOff>30480</xdr:rowOff>
    </xdr:to>
    <xdr:sp macro="" textlink="">
      <xdr:nvSpPr>
        <xdr:cNvPr id="69959" name="Text Box 1"/>
        <xdr:cNvSpPr txBox="1">
          <a:spLocks noChangeArrowheads="1"/>
        </xdr:cNvSpPr>
      </xdr:nvSpPr>
      <xdr:spPr bwMode="auto">
        <a:xfrm>
          <a:off x="4015740" y="0"/>
          <a:ext cx="121920" cy="297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426720</xdr:colOff>
      <xdr:row>0</xdr:row>
      <xdr:rowOff>0</xdr:rowOff>
    </xdr:from>
    <xdr:to>
      <xdr:col>4</xdr:col>
      <xdr:colOff>548640</xdr:colOff>
      <xdr:row>1</xdr:row>
      <xdr:rowOff>30480</xdr:rowOff>
    </xdr:to>
    <xdr:sp macro="" textlink="">
      <xdr:nvSpPr>
        <xdr:cNvPr id="70983" name="Text Box 1"/>
        <xdr:cNvSpPr txBox="1">
          <a:spLocks noChangeArrowheads="1"/>
        </xdr:cNvSpPr>
      </xdr:nvSpPr>
      <xdr:spPr bwMode="auto">
        <a:xfrm>
          <a:off x="4015740" y="0"/>
          <a:ext cx="121920" cy="297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426720</xdr:colOff>
      <xdr:row>0</xdr:row>
      <xdr:rowOff>0</xdr:rowOff>
    </xdr:from>
    <xdr:to>
      <xdr:col>4</xdr:col>
      <xdr:colOff>548640</xdr:colOff>
      <xdr:row>1</xdr:row>
      <xdr:rowOff>30480</xdr:rowOff>
    </xdr:to>
    <xdr:sp macro="" textlink="">
      <xdr:nvSpPr>
        <xdr:cNvPr id="72007" name="Text Box 1"/>
        <xdr:cNvSpPr txBox="1">
          <a:spLocks noChangeArrowheads="1"/>
        </xdr:cNvSpPr>
      </xdr:nvSpPr>
      <xdr:spPr bwMode="auto">
        <a:xfrm>
          <a:off x="4015740" y="0"/>
          <a:ext cx="121920" cy="297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426720</xdr:colOff>
      <xdr:row>0</xdr:row>
      <xdr:rowOff>0</xdr:rowOff>
    </xdr:from>
    <xdr:to>
      <xdr:col>4</xdr:col>
      <xdr:colOff>548640</xdr:colOff>
      <xdr:row>1</xdr:row>
      <xdr:rowOff>30480</xdr:rowOff>
    </xdr:to>
    <xdr:sp macro="" textlink="">
      <xdr:nvSpPr>
        <xdr:cNvPr id="73031" name="Text Box 1"/>
        <xdr:cNvSpPr txBox="1">
          <a:spLocks noChangeArrowheads="1"/>
        </xdr:cNvSpPr>
      </xdr:nvSpPr>
      <xdr:spPr bwMode="auto">
        <a:xfrm>
          <a:off x="4015740" y="0"/>
          <a:ext cx="121920" cy="297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426720</xdr:colOff>
      <xdr:row>0</xdr:row>
      <xdr:rowOff>0</xdr:rowOff>
    </xdr:from>
    <xdr:to>
      <xdr:col>4</xdr:col>
      <xdr:colOff>548640</xdr:colOff>
      <xdr:row>1</xdr:row>
      <xdr:rowOff>30480</xdr:rowOff>
    </xdr:to>
    <xdr:sp macro="" textlink="">
      <xdr:nvSpPr>
        <xdr:cNvPr id="16803" name="Text Box 1"/>
        <xdr:cNvSpPr txBox="1">
          <a:spLocks noChangeArrowheads="1"/>
        </xdr:cNvSpPr>
      </xdr:nvSpPr>
      <xdr:spPr bwMode="auto">
        <a:xfrm>
          <a:off x="4015740" y="0"/>
          <a:ext cx="121920" cy="297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426720</xdr:colOff>
      <xdr:row>0</xdr:row>
      <xdr:rowOff>0</xdr:rowOff>
    </xdr:from>
    <xdr:to>
      <xdr:col>4</xdr:col>
      <xdr:colOff>548640</xdr:colOff>
      <xdr:row>1</xdr:row>
      <xdr:rowOff>30480</xdr:rowOff>
    </xdr:to>
    <xdr:sp macro="" textlink="">
      <xdr:nvSpPr>
        <xdr:cNvPr id="74055" name="Text Box 1"/>
        <xdr:cNvSpPr txBox="1">
          <a:spLocks noChangeArrowheads="1"/>
        </xdr:cNvSpPr>
      </xdr:nvSpPr>
      <xdr:spPr bwMode="auto">
        <a:xfrm>
          <a:off x="4015740" y="0"/>
          <a:ext cx="121920" cy="297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426720</xdr:colOff>
      <xdr:row>0</xdr:row>
      <xdr:rowOff>0</xdr:rowOff>
    </xdr:from>
    <xdr:to>
      <xdr:col>4</xdr:col>
      <xdr:colOff>548640</xdr:colOff>
      <xdr:row>1</xdr:row>
      <xdr:rowOff>30480</xdr:rowOff>
    </xdr:to>
    <xdr:sp macro="" textlink="">
      <xdr:nvSpPr>
        <xdr:cNvPr id="75079" name="Text Box 1"/>
        <xdr:cNvSpPr txBox="1">
          <a:spLocks noChangeArrowheads="1"/>
        </xdr:cNvSpPr>
      </xdr:nvSpPr>
      <xdr:spPr bwMode="auto">
        <a:xfrm>
          <a:off x="4015740" y="0"/>
          <a:ext cx="121920" cy="297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426720</xdr:colOff>
      <xdr:row>0</xdr:row>
      <xdr:rowOff>0</xdr:rowOff>
    </xdr:from>
    <xdr:to>
      <xdr:col>4</xdr:col>
      <xdr:colOff>548640</xdr:colOff>
      <xdr:row>1</xdr:row>
      <xdr:rowOff>30480</xdr:rowOff>
    </xdr:to>
    <xdr:sp macro="" textlink="">
      <xdr:nvSpPr>
        <xdr:cNvPr id="76103" name="Text Box 1"/>
        <xdr:cNvSpPr txBox="1">
          <a:spLocks noChangeArrowheads="1"/>
        </xdr:cNvSpPr>
      </xdr:nvSpPr>
      <xdr:spPr bwMode="auto">
        <a:xfrm>
          <a:off x="4015740" y="0"/>
          <a:ext cx="121920" cy="297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426720</xdr:colOff>
      <xdr:row>0</xdr:row>
      <xdr:rowOff>0</xdr:rowOff>
    </xdr:from>
    <xdr:to>
      <xdr:col>4</xdr:col>
      <xdr:colOff>548640</xdr:colOff>
      <xdr:row>1</xdr:row>
      <xdr:rowOff>30480</xdr:rowOff>
    </xdr:to>
    <xdr:sp macro="" textlink="">
      <xdr:nvSpPr>
        <xdr:cNvPr id="77127" name="Text Box 1"/>
        <xdr:cNvSpPr txBox="1">
          <a:spLocks noChangeArrowheads="1"/>
        </xdr:cNvSpPr>
      </xdr:nvSpPr>
      <xdr:spPr bwMode="auto">
        <a:xfrm>
          <a:off x="4015740" y="0"/>
          <a:ext cx="121920" cy="297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426720</xdr:colOff>
      <xdr:row>0</xdr:row>
      <xdr:rowOff>0</xdr:rowOff>
    </xdr:from>
    <xdr:to>
      <xdr:col>4</xdr:col>
      <xdr:colOff>548640</xdr:colOff>
      <xdr:row>1</xdr:row>
      <xdr:rowOff>30480</xdr:rowOff>
    </xdr:to>
    <xdr:sp macro="" textlink="">
      <xdr:nvSpPr>
        <xdr:cNvPr id="78151" name="Text Box 1"/>
        <xdr:cNvSpPr txBox="1">
          <a:spLocks noChangeArrowheads="1"/>
        </xdr:cNvSpPr>
      </xdr:nvSpPr>
      <xdr:spPr bwMode="auto">
        <a:xfrm>
          <a:off x="4015740" y="0"/>
          <a:ext cx="121920" cy="297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426720</xdr:colOff>
      <xdr:row>0</xdr:row>
      <xdr:rowOff>0</xdr:rowOff>
    </xdr:from>
    <xdr:to>
      <xdr:col>4</xdr:col>
      <xdr:colOff>548640</xdr:colOff>
      <xdr:row>1</xdr:row>
      <xdr:rowOff>30480</xdr:rowOff>
    </xdr:to>
    <xdr:sp macro="" textlink="">
      <xdr:nvSpPr>
        <xdr:cNvPr id="79175" name="Text Box 1"/>
        <xdr:cNvSpPr txBox="1">
          <a:spLocks noChangeArrowheads="1"/>
        </xdr:cNvSpPr>
      </xdr:nvSpPr>
      <xdr:spPr bwMode="auto">
        <a:xfrm>
          <a:off x="4015740" y="0"/>
          <a:ext cx="121920" cy="297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426720</xdr:colOff>
      <xdr:row>0</xdr:row>
      <xdr:rowOff>0</xdr:rowOff>
    </xdr:from>
    <xdr:to>
      <xdr:col>4</xdr:col>
      <xdr:colOff>548640</xdr:colOff>
      <xdr:row>1</xdr:row>
      <xdr:rowOff>30480</xdr:rowOff>
    </xdr:to>
    <xdr:sp macro="" textlink="">
      <xdr:nvSpPr>
        <xdr:cNvPr id="80143" name="Text Box 1"/>
        <xdr:cNvSpPr txBox="1">
          <a:spLocks noChangeArrowheads="1"/>
        </xdr:cNvSpPr>
      </xdr:nvSpPr>
      <xdr:spPr bwMode="auto">
        <a:xfrm>
          <a:off x="4015740" y="0"/>
          <a:ext cx="121920" cy="297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426720</xdr:colOff>
      <xdr:row>0</xdr:row>
      <xdr:rowOff>0</xdr:rowOff>
    </xdr:from>
    <xdr:to>
      <xdr:col>4</xdr:col>
      <xdr:colOff>548640</xdr:colOff>
      <xdr:row>1</xdr:row>
      <xdr:rowOff>30480</xdr:rowOff>
    </xdr:to>
    <xdr:sp macro="" textlink="">
      <xdr:nvSpPr>
        <xdr:cNvPr id="81167" name="Text Box 1"/>
        <xdr:cNvSpPr txBox="1">
          <a:spLocks noChangeArrowheads="1"/>
        </xdr:cNvSpPr>
      </xdr:nvSpPr>
      <xdr:spPr bwMode="auto">
        <a:xfrm>
          <a:off x="4015740" y="0"/>
          <a:ext cx="121920" cy="297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426720</xdr:colOff>
      <xdr:row>0</xdr:row>
      <xdr:rowOff>0</xdr:rowOff>
    </xdr:from>
    <xdr:to>
      <xdr:col>4</xdr:col>
      <xdr:colOff>548640</xdr:colOff>
      <xdr:row>1</xdr:row>
      <xdr:rowOff>30480</xdr:rowOff>
    </xdr:to>
    <xdr:sp macro="" textlink="">
      <xdr:nvSpPr>
        <xdr:cNvPr id="82191" name="Text Box 1"/>
        <xdr:cNvSpPr txBox="1">
          <a:spLocks noChangeArrowheads="1"/>
        </xdr:cNvSpPr>
      </xdr:nvSpPr>
      <xdr:spPr bwMode="auto">
        <a:xfrm>
          <a:off x="4015740" y="0"/>
          <a:ext cx="121920" cy="297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426720</xdr:colOff>
      <xdr:row>0</xdr:row>
      <xdr:rowOff>0</xdr:rowOff>
    </xdr:from>
    <xdr:to>
      <xdr:col>4</xdr:col>
      <xdr:colOff>548640</xdr:colOff>
      <xdr:row>1</xdr:row>
      <xdr:rowOff>30480</xdr:rowOff>
    </xdr:to>
    <xdr:sp macro="" textlink="">
      <xdr:nvSpPr>
        <xdr:cNvPr id="83215" name="Text Box 1"/>
        <xdr:cNvSpPr txBox="1">
          <a:spLocks noChangeArrowheads="1"/>
        </xdr:cNvSpPr>
      </xdr:nvSpPr>
      <xdr:spPr bwMode="auto">
        <a:xfrm>
          <a:off x="4015740" y="0"/>
          <a:ext cx="121920" cy="297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426720</xdr:colOff>
      <xdr:row>0</xdr:row>
      <xdr:rowOff>0</xdr:rowOff>
    </xdr:from>
    <xdr:to>
      <xdr:col>4</xdr:col>
      <xdr:colOff>548640</xdr:colOff>
      <xdr:row>1</xdr:row>
      <xdr:rowOff>30480</xdr:rowOff>
    </xdr:to>
    <xdr:sp macro="" textlink="">
      <xdr:nvSpPr>
        <xdr:cNvPr id="17827" name="Text Box 1"/>
        <xdr:cNvSpPr txBox="1">
          <a:spLocks noChangeArrowheads="1"/>
        </xdr:cNvSpPr>
      </xdr:nvSpPr>
      <xdr:spPr bwMode="auto">
        <a:xfrm>
          <a:off x="4015740" y="0"/>
          <a:ext cx="121920" cy="297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426720</xdr:colOff>
      <xdr:row>0</xdr:row>
      <xdr:rowOff>0</xdr:rowOff>
    </xdr:from>
    <xdr:to>
      <xdr:col>4</xdr:col>
      <xdr:colOff>548640</xdr:colOff>
      <xdr:row>1</xdr:row>
      <xdr:rowOff>30480</xdr:rowOff>
    </xdr:to>
    <xdr:sp macro="" textlink="">
      <xdr:nvSpPr>
        <xdr:cNvPr id="84240" name="Text Box 1"/>
        <xdr:cNvSpPr txBox="1">
          <a:spLocks noChangeArrowheads="1"/>
        </xdr:cNvSpPr>
      </xdr:nvSpPr>
      <xdr:spPr bwMode="auto">
        <a:xfrm>
          <a:off x="4015740" y="0"/>
          <a:ext cx="121920" cy="297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426720</xdr:colOff>
      <xdr:row>0</xdr:row>
      <xdr:rowOff>0</xdr:rowOff>
    </xdr:from>
    <xdr:to>
      <xdr:col>4</xdr:col>
      <xdr:colOff>548640</xdr:colOff>
      <xdr:row>1</xdr:row>
      <xdr:rowOff>30480</xdr:rowOff>
    </xdr:to>
    <xdr:sp macro="" textlink="">
      <xdr:nvSpPr>
        <xdr:cNvPr id="85165" name="Text Box 1"/>
        <xdr:cNvSpPr txBox="1">
          <a:spLocks noChangeArrowheads="1"/>
        </xdr:cNvSpPr>
      </xdr:nvSpPr>
      <xdr:spPr bwMode="auto">
        <a:xfrm>
          <a:off x="4015740" y="0"/>
          <a:ext cx="121920" cy="297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426720</xdr:colOff>
      <xdr:row>0</xdr:row>
      <xdr:rowOff>0</xdr:rowOff>
    </xdr:from>
    <xdr:to>
      <xdr:col>4</xdr:col>
      <xdr:colOff>548640</xdr:colOff>
      <xdr:row>1</xdr:row>
      <xdr:rowOff>30480</xdr:rowOff>
    </xdr:to>
    <xdr:sp macro="" textlink="">
      <xdr:nvSpPr>
        <xdr:cNvPr id="86187" name="Text Box 1"/>
        <xdr:cNvSpPr txBox="1">
          <a:spLocks noChangeArrowheads="1"/>
        </xdr:cNvSpPr>
      </xdr:nvSpPr>
      <xdr:spPr bwMode="auto">
        <a:xfrm>
          <a:off x="4015740" y="0"/>
          <a:ext cx="121920" cy="297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426720</xdr:colOff>
      <xdr:row>0</xdr:row>
      <xdr:rowOff>0</xdr:rowOff>
    </xdr:from>
    <xdr:to>
      <xdr:col>4</xdr:col>
      <xdr:colOff>548640</xdr:colOff>
      <xdr:row>1</xdr:row>
      <xdr:rowOff>30480</xdr:rowOff>
    </xdr:to>
    <xdr:sp macro="" textlink="">
      <xdr:nvSpPr>
        <xdr:cNvPr id="87211" name="Text Box 1"/>
        <xdr:cNvSpPr txBox="1">
          <a:spLocks noChangeArrowheads="1"/>
        </xdr:cNvSpPr>
      </xdr:nvSpPr>
      <xdr:spPr bwMode="auto">
        <a:xfrm>
          <a:off x="4015740" y="0"/>
          <a:ext cx="121920" cy="297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426720</xdr:colOff>
      <xdr:row>0</xdr:row>
      <xdr:rowOff>0</xdr:rowOff>
    </xdr:from>
    <xdr:to>
      <xdr:col>4</xdr:col>
      <xdr:colOff>548640</xdr:colOff>
      <xdr:row>1</xdr:row>
      <xdr:rowOff>30480</xdr:rowOff>
    </xdr:to>
    <xdr:sp macro="" textlink="">
      <xdr:nvSpPr>
        <xdr:cNvPr id="88235" name="Text Box 1"/>
        <xdr:cNvSpPr txBox="1">
          <a:spLocks noChangeArrowheads="1"/>
        </xdr:cNvSpPr>
      </xdr:nvSpPr>
      <xdr:spPr bwMode="auto">
        <a:xfrm>
          <a:off x="4015740" y="0"/>
          <a:ext cx="121920" cy="297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426720</xdr:colOff>
      <xdr:row>0</xdr:row>
      <xdr:rowOff>0</xdr:rowOff>
    </xdr:from>
    <xdr:to>
      <xdr:col>4</xdr:col>
      <xdr:colOff>548640</xdr:colOff>
      <xdr:row>1</xdr:row>
      <xdr:rowOff>30480</xdr:rowOff>
    </xdr:to>
    <xdr:sp macro="" textlink="">
      <xdr:nvSpPr>
        <xdr:cNvPr id="89259" name="Text Box 1"/>
        <xdr:cNvSpPr txBox="1">
          <a:spLocks noChangeArrowheads="1"/>
        </xdr:cNvSpPr>
      </xdr:nvSpPr>
      <xdr:spPr bwMode="auto">
        <a:xfrm>
          <a:off x="4015740" y="0"/>
          <a:ext cx="121920" cy="297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426720</xdr:colOff>
      <xdr:row>0</xdr:row>
      <xdr:rowOff>0</xdr:rowOff>
    </xdr:from>
    <xdr:to>
      <xdr:col>4</xdr:col>
      <xdr:colOff>548640</xdr:colOff>
      <xdr:row>1</xdr:row>
      <xdr:rowOff>30480</xdr:rowOff>
    </xdr:to>
    <xdr:sp macro="" textlink="">
      <xdr:nvSpPr>
        <xdr:cNvPr id="90283" name="Text Box 1"/>
        <xdr:cNvSpPr txBox="1">
          <a:spLocks noChangeArrowheads="1"/>
        </xdr:cNvSpPr>
      </xdr:nvSpPr>
      <xdr:spPr bwMode="auto">
        <a:xfrm>
          <a:off x="4015740" y="0"/>
          <a:ext cx="121920" cy="297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426720</xdr:colOff>
      <xdr:row>0</xdr:row>
      <xdr:rowOff>0</xdr:rowOff>
    </xdr:from>
    <xdr:to>
      <xdr:col>4</xdr:col>
      <xdr:colOff>548640</xdr:colOff>
      <xdr:row>1</xdr:row>
      <xdr:rowOff>30480</xdr:rowOff>
    </xdr:to>
    <xdr:sp macro="" textlink="">
      <xdr:nvSpPr>
        <xdr:cNvPr id="91307" name="Text Box 1"/>
        <xdr:cNvSpPr txBox="1">
          <a:spLocks noChangeArrowheads="1"/>
        </xdr:cNvSpPr>
      </xdr:nvSpPr>
      <xdr:spPr bwMode="auto">
        <a:xfrm>
          <a:off x="4015740" y="0"/>
          <a:ext cx="121920" cy="297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426720</xdr:colOff>
      <xdr:row>0</xdr:row>
      <xdr:rowOff>0</xdr:rowOff>
    </xdr:from>
    <xdr:to>
      <xdr:col>4</xdr:col>
      <xdr:colOff>548640</xdr:colOff>
      <xdr:row>1</xdr:row>
      <xdr:rowOff>30480</xdr:rowOff>
    </xdr:to>
    <xdr:sp macro="" textlink="">
      <xdr:nvSpPr>
        <xdr:cNvPr id="92331" name="Text Box 1"/>
        <xdr:cNvSpPr txBox="1">
          <a:spLocks noChangeArrowheads="1"/>
        </xdr:cNvSpPr>
      </xdr:nvSpPr>
      <xdr:spPr bwMode="auto">
        <a:xfrm>
          <a:off x="4015740" y="0"/>
          <a:ext cx="121920" cy="297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426720</xdr:colOff>
      <xdr:row>0</xdr:row>
      <xdr:rowOff>0</xdr:rowOff>
    </xdr:from>
    <xdr:to>
      <xdr:col>4</xdr:col>
      <xdr:colOff>548640</xdr:colOff>
      <xdr:row>1</xdr:row>
      <xdr:rowOff>30480</xdr:rowOff>
    </xdr:to>
    <xdr:sp macro="" textlink="">
      <xdr:nvSpPr>
        <xdr:cNvPr id="95347" name="Text Box 1"/>
        <xdr:cNvSpPr txBox="1">
          <a:spLocks noChangeArrowheads="1"/>
        </xdr:cNvSpPr>
      </xdr:nvSpPr>
      <xdr:spPr bwMode="auto">
        <a:xfrm>
          <a:off x="4015740" y="0"/>
          <a:ext cx="121920" cy="297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426720</xdr:colOff>
      <xdr:row>0</xdr:row>
      <xdr:rowOff>0</xdr:rowOff>
    </xdr:from>
    <xdr:to>
      <xdr:col>4</xdr:col>
      <xdr:colOff>548640</xdr:colOff>
      <xdr:row>1</xdr:row>
      <xdr:rowOff>30480</xdr:rowOff>
    </xdr:to>
    <xdr:sp macro="" textlink="">
      <xdr:nvSpPr>
        <xdr:cNvPr id="18853" name="Text Box 1"/>
        <xdr:cNvSpPr txBox="1">
          <a:spLocks noChangeArrowheads="1"/>
        </xdr:cNvSpPr>
      </xdr:nvSpPr>
      <xdr:spPr bwMode="auto">
        <a:xfrm>
          <a:off x="4015740" y="0"/>
          <a:ext cx="121920" cy="297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426720</xdr:colOff>
      <xdr:row>0</xdr:row>
      <xdr:rowOff>0</xdr:rowOff>
    </xdr:from>
    <xdr:to>
      <xdr:col>4</xdr:col>
      <xdr:colOff>548640</xdr:colOff>
      <xdr:row>1</xdr:row>
      <xdr:rowOff>30480</xdr:rowOff>
    </xdr:to>
    <xdr:sp macro="" textlink="">
      <xdr:nvSpPr>
        <xdr:cNvPr id="96371" name="Text Box 1"/>
        <xdr:cNvSpPr txBox="1">
          <a:spLocks noChangeArrowheads="1"/>
        </xdr:cNvSpPr>
      </xdr:nvSpPr>
      <xdr:spPr bwMode="auto">
        <a:xfrm>
          <a:off x="4015740" y="0"/>
          <a:ext cx="121920" cy="297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426720</xdr:colOff>
      <xdr:row>0</xdr:row>
      <xdr:rowOff>0</xdr:rowOff>
    </xdr:from>
    <xdr:to>
      <xdr:col>4</xdr:col>
      <xdr:colOff>548640</xdr:colOff>
      <xdr:row>1</xdr:row>
      <xdr:rowOff>30480</xdr:rowOff>
    </xdr:to>
    <xdr:sp macro="" textlink="">
      <xdr:nvSpPr>
        <xdr:cNvPr id="97395" name="Text Box 1"/>
        <xdr:cNvSpPr txBox="1">
          <a:spLocks noChangeArrowheads="1"/>
        </xdr:cNvSpPr>
      </xdr:nvSpPr>
      <xdr:spPr bwMode="auto">
        <a:xfrm>
          <a:off x="4015740" y="0"/>
          <a:ext cx="121920" cy="297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426720</xdr:colOff>
      <xdr:row>0</xdr:row>
      <xdr:rowOff>0</xdr:rowOff>
    </xdr:from>
    <xdr:to>
      <xdr:col>4</xdr:col>
      <xdr:colOff>548640</xdr:colOff>
      <xdr:row>1</xdr:row>
      <xdr:rowOff>30480</xdr:rowOff>
    </xdr:to>
    <xdr:sp macro="" textlink="">
      <xdr:nvSpPr>
        <xdr:cNvPr id="98419" name="Text Box 1"/>
        <xdr:cNvSpPr txBox="1">
          <a:spLocks noChangeArrowheads="1"/>
        </xdr:cNvSpPr>
      </xdr:nvSpPr>
      <xdr:spPr bwMode="auto">
        <a:xfrm>
          <a:off x="4015740" y="0"/>
          <a:ext cx="121920" cy="297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426720</xdr:colOff>
      <xdr:row>0</xdr:row>
      <xdr:rowOff>0</xdr:rowOff>
    </xdr:from>
    <xdr:to>
      <xdr:col>4</xdr:col>
      <xdr:colOff>548640</xdr:colOff>
      <xdr:row>1</xdr:row>
      <xdr:rowOff>30480</xdr:rowOff>
    </xdr:to>
    <xdr:sp macro="" textlink="">
      <xdr:nvSpPr>
        <xdr:cNvPr id="105488" name="Text Box 1"/>
        <xdr:cNvSpPr txBox="1">
          <a:spLocks noChangeArrowheads="1"/>
        </xdr:cNvSpPr>
      </xdr:nvSpPr>
      <xdr:spPr bwMode="auto">
        <a:xfrm>
          <a:off x="4015740" y="0"/>
          <a:ext cx="121920" cy="297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426720</xdr:colOff>
      <xdr:row>0</xdr:row>
      <xdr:rowOff>0</xdr:rowOff>
    </xdr:from>
    <xdr:to>
      <xdr:col>4</xdr:col>
      <xdr:colOff>548640</xdr:colOff>
      <xdr:row>1</xdr:row>
      <xdr:rowOff>30480</xdr:rowOff>
    </xdr:to>
    <xdr:sp macro="" textlink="">
      <xdr:nvSpPr>
        <xdr:cNvPr id="106527" name="Text Box 1"/>
        <xdr:cNvSpPr txBox="1">
          <a:spLocks noChangeArrowheads="1"/>
        </xdr:cNvSpPr>
      </xdr:nvSpPr>
      <xdr:spPr bwMode="auto">
        <a:xfrm>
          <a:off x="4015740" y="0"/>
          <a:ext cx="121920" cy="297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426720</xdr:colOff>
      <xdr:row>0</xdr:row>
      <xdr:rowOff>0</xdr:rowOff>
    </xdr:from>
    <xdr:to>
      <xdr:col>4</xdr:col>
      <xdr:colOff>548640</xdr:colOff>
      <xdr:row>1</xdr:row>
      <xdr:rowOff>30480</xdr:rowOff>
    </xdr:to>
    <xdr:sp macro="" textlink="">
      <xdr:nvSpPr>
        <xdr:cNvPr id="106528" name="Text Box 1"/>
        <xdr:cNvSpPr txBox="1">
          <a:spLocks noChangeArrowheads="1"/>
        </xdr:cNvSpPr>
      </xdr:nvSpPr>
      <xdr:spPr bwMode="auto">
        <a:xfrm>
          <a:off x="4015740" y="0"/>
          <a:ext cx="121920" cy="297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426720</xdr:colOff>
      <xdr:row>0</xdr:row>
      <xdr:rowOff>0</xdr:rowOff>
    </xdr:from>
    <xdr:to>
      <xdr:col>4</xdr:col>
      <xdr:colOff>548640</xdr:colOff>
      <xdr:row>1</xdr:row>
      <xdr:rowOff>30480</xdr:rowOff>
    </xdr:to>
    <xdr:sp macro="" textlink="">
      <xdr:nvSpPr>
        <xdr:cNvPr id="12707" name="Text Box 1"/>
        <xdr:cNvSpPr txBox="1">
          <a:spLocks noChangeArrowheads="1"/>
        </xdr:cNvSpPr>
      </xdr:nvSpPr>
      <xdr:spPr bwMode="auto">
        <a:xfrm>
          <a:off x="4015740" y="0"/>
          <a:ext cx="121920" cy="297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426720</xdr:colOff>
      <xdr:row>0</xdr:row>
      <xdr:rowOff>0</xdr:rowOff>
    </xdr:from>
    <xdr:to>
      <xdr:col>4</xdr:col>
      <xdr:colOff>548640</xdr:colOff>
      <xdr:row>1</xdr:row>
      <xdr:rowOff>30480</xdr:rowOff>
    </xdr:to>
    <xdr:sp macro="" textlink="">
      <xdr:nvSpPr>
        <xdr:cNvPr id="19876" name="Text Box 1"/>
        <xdr:cNvSpPr txBox="1">
          <a:spLocks noChangeArrowheads="1"/>
        </xdr:cNvSpPr>
      </xdr:nvSpPr>
      <xdr:spPr bwMode="auto">
        <a:xfrm>
          <a:off x="4015740" y="0"/>
          <a:ext cx="121920" cy="297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426720</xdr:colOff>
      <xdr:row>0</xdr:row>
      <xdr:rowOff>0</xdr:rowOff>
    </xdr:from>
    <xdr:to>
      <xdr:col>4</xdr:col>
      <xdr:colOff>548640</xdr:colOff>
      <xdr:row>1</xdr:row>
      <xdr:rowOff>30480</xdr:rowOff>
    </xdr:to>
    <xdr:sp macro="" textlink="">
      <xdr:nvSpPr>
        <xdr:cNvPr id="20904" name="Text Box 1"/>
        <xdr:cNvSpPr txBox="1">
          <a:spLocks noChangeArrowheads="1"/>
        </xdr:cNvSpPr>
      </xdr:nvSpPr>
      <xdr:spPr bwMode="auto">
        <a:xfrm>
          <a:off x="4015740" y="0"/>
          <a:ext cx="121920" cy="297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ricing\dbw\SWPP%20Form%20Rate\Lila%20added\AEP%20SPP%20For%20Rate%20Proj%20w%2013%20mth%20rate%20base%20june-07%20-%20June-08xl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pact of Revisions"/>
      <sheetName val="Zonal Rates"/>
      <sheetName val="Sch 1 Rates"/>
      <sheetName val="Load WS"/>
      <sheetName val="PSO 2008 TCOS 13 Mnth"/>
      <sheetName val="PSO WsA Rev Credits"/>
      <sheetName val="PSO WsB IPP"/>
      <sheetName val="PSO WsC RB Tax"/>
      <sheetName val="PSO Ws C-1 2008 ADIT Avg Bal"/>
      <sheetName val="PSO WsD Misc Exp"/>
      <sheetName val="PSO WsE Acct 561"/>
      <sheetName val="PSO WsF Inc Prjts"/>
      <sheetName val="PSO WsG BPU"/>
      <sheetName val="PSO WsI Bal Sheet"/>
      <sheetName val="PSO WsI - 1 13 Month Prepaids"/>
      <sheetName val="PSO WsJ Tax"/>
      <sheetName val="PSO WsK CWIP"/>
      <sheetName val="SWP TCOS 2008 13 Month"/>
      <sheetName val="SWP WsA Rev Credits"/>
      <sheetName val="SWP WsB IPP"/>
      <sheetName val="SWP WsC RB Tax"/>
      <sheetName val="SWP WsC-1 ADIT 2008 13 Mth Avg "/>
      <sheetName val="SWP WsD Misc Exp"/>
      <sheetName val="SWP WsE Acct 561"/>
      <sheetName val="SWP WsF Inc Prjts"/>
      <sheetName val="SWP WsG BPU"/>
      <sheetName val="SWP WsI Bal Sheet"/>
      <sheetName val="SWP WsI-1 13 Month Prepaids "/>
      <sheetName val="SWP WsJ Tax"/>
      <sheetName val="SWP WsK CWIP"/>
      <sheetName val="FERC Balance Sheet"/>
      <sheetName val="PSO 13 Month Rate Base"/>
      <sheetName val="SWEPCo 13 Month Rate Base"/>
      <sheetName val="Plant Detail - Book"/>
      <sheetName val="FERC Income Stmt w Details"/>
      <sheetName val="Depreciation Detail"/>
      <sheetName val="Taxes Other Detai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317">
          <cell r="I317" t="str">
            <v>CE</v>
          </cell>
          <cell r="J317">
            <v>6.3272239966292818E-2</v>
          </cell>
        </row>
        <row r="318">
          <cell r="I318" t="str">
            <v>DA</v>
          </cell>
          <cell r="J318">
            <v>1</v>
          </cell>
        </row>
        <row r="319">
          <cell r="I319" t="str">
            <v>GP(b)</v>
          </cell>
          <cell r="J319">
            <v>0.17830317329522682</v>
          </cell>
        </row>
        <row r="320">
          <cell r="I320" t="str">
            <v>GP(p)</v>
          </cell>
          <cell r="J320">
            <v>0.17830317329522682</v>
          </cell>
        </row>
        <row r="321">
          <cell r="I321" t="str">
            <v>GTD(p)</v>
          </cell>
          <cell r="J321">
            <v>0.35796417623075211</v>
          </cell>
        </row>
        <row r="322">
          <cell r="I322" t="str">
            <v>GTD(h)</v>
          </cell>
          <cell r="J322">
            <v>0.35796417623075211</v>
          </cell>
        </row>
        <row r="323">
          <cell r="I323" t="str">
            <v>NA</v>
          </cell>
          <cell r="J323">
            <v>0</v>
          </cell>
        </row>
        <row r="324">
          <cell r="I324" t="str">
            <v>NP(b)</v>
          </cell>
          <cell r="J324">
            <v>0.21388078637862473</v>
          </cell>
        </row>
        <row r="325">
          <cell r="I325" t="str">
            <v>NP(p)</v>
          </cell>
          <cell r="J325">
            <v>0.21388078637862473</v>
          </cell>
        </row>
        <row r="326">
          <cell r="I326" t="str">
            <v>TP</v>
          </cell>
          <cell r="J326">
            <v>0.97384420488446088</v>
          </cell>
        </row>
        <row r="327">
          <cell r="I327" t="str">
            <v>TP1</v>
          </cell>
          <cell r="J327">
            <v>0.98824625472059235</v>
          </cell>
        </row>
        <row r="328">
          <cell r="I328" t="str">
            <v>W/S</v>
          </cell>
          <cell r="J328">
            <v>6.3272239966292818E-2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5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6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7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8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6.bin"/><Relationship Id="rId4" Type="http://schemas.openxmlformats.org/officeDocument/2006/relationships/comments" Target="../comments9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7.bin"/><Relationship Id="rId4" Type="http://schemas.openxmlformats.org/officeDocument/2006/relationships/comments" Target="../comments10.xm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8.bin"/><Relationship Id="rId4" Type="http://schemas.openxmlformats.org/officeDocument/2006/relationships/comments" Target="../comments11.xm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9.bin"/><Relationship Id="rId4" Type="http://schemas.openxmlformats.org/officeDocument/2006/relationships/comments" Target="../comments12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0.bin"/><Relationship Id="rId4" Type="http://schemas.openxmlformats.org/officeDocument/2006/relationships/comments" Target="../comments13.x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3.bin"/><Relationship Id="rId4" Type="http://schemas.openxmlformats.org/officeDocument/2006/relationships/comments" Target="../comments14.xm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4.xml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2.bin"/><Relationship Id="rId4" Type="http://schemas.openxmlformats.org/officeDocument/2006/relationships/comments" Target="../comments15.xml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3.bin"/><Relationship Id="rId4" Type="http://schemas.openxmlformats.org/officeDocument/2006/relationships/comments" Target="../comments16.xml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7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/>
  <dimension ref="A1:Z105"/>
  <sheetViews>
    <sheetView tabSelected="1" zoomScale="70" zoomScaleNormal="70" zoomScaleSheetLayoutView="84" workbookViewId="0">
      <pane ySplit="16" topLeftCell="A17" activePane="bottomLeft" state="frozen"/>
      <selection activeCell="A17" sqref="A17"/>
      <selection pane="bottomLeft" activeCell="A17" sqref="A17"/>
    </sheetView>
  </sheetViews>
  <sheetFormatPr defaultRowHeight="12.75" customHeight="1"/>
  <cols>
    <col min="1" max="1" width="7.42578125" customWidth="1"/>
    <col min="2" max="2" width="7" bestFit="1" customWidth="1"/>
    <col min="3" max="3" width="45.7109375" customWidth="1"/>
    <col min="4" max="4" width="9.28515625" customWidth="1"/>
    <col min="5" max="5" width="13.28515625" customWidth="1"/>
    <col min="6" max="6" width="11.5703125" customWidth="1"/>
    <col min="7" max="7" width="12.85546875" customWidth="1"/>
    <col min="8" max="8" width="3.28515625" customWidth="1"/>
    <col min="9" max="9" width="13.42578125" customWidth="1"/>
    <col min="10" max="10" width="13" customWidth="1"/>
    <col min="11" max="11" width="13.5703125" customWidth="1"/>
    <col min="12" max="12" width="15.28515625" customWidth="1"/>
    <col min="13" max="13" width="2.42578125" customWidth="1"/>
    <col min="14" max="14" width="6.28515625" customWidth="1"/>
    <col min="15" max="15" width="7.5703125" customWidth="1"/>
    <col min="16" max="16" width="10.7109375" customWidth="1"/>
    <col min="17" max="17" width="11.140625" customWidth="1"/>
    <col min="18" max="18" width="18.5703125" customWidth="1"/>
    <col min="19" max="19" width="2.42578125" customWidth="1"/>
    <col min="20" max="20" width="19.140625" customWidth="1"/>
    <col min="21" max="21" width="9.140625" customWidth="1"/>
    <col min="22" max="22" width="16.7109375" customWidth="1"/>
    <col min="23" max="24" width="9.140625" customWidth="1"/>
  </cols>
  <sheetData>
    <row r="1" spans="1:26" ht="15">
      <c r="H1" s="277" t="s">
        <v>161</v>
      </c>
      <c r="U1">
        <f>SWE.WS.F.BPU.ATRR.Projected!K17</f>
        <v>2019</v>
      </c>
    </row>
    <row r="2" spans="1:26" ht="15">
      <c r="H2" s="278" t="s">
        <v>162</v>
      </c>
    </row>
    <row r="3" spans="1:26" ht="15">
      <c r="H3" s="279" t="str">
        <f>"For Calendar Year "&amp;U1-2&amp;" and Projected Year "&amp;U1</f>
        <v>For Calendar Year 2017 and Projected Year 2019</v>
      </c>
    </row>
    <row r="4" spans="1:26" ht="15">
      <c r="H4" s="280"/>
    </row>
    <row r="5" spans="1:26" ht="15.75">
      <c r="H5" s="281" t="s">
        <v>163</v>
      </c>
    </row>
    <row r="7" spans="1:26" ht="18">
      <c r="C7" s="282"/>
      <c r="E7" s="282"/>
      <c r="F7" s="282"/>
      <c r="G7" s="282"/>
      <c r="H7" s="323" t="s">
        <v>130</v>
      </c>
      <c r="I7" s="282"/>
      <c r="J7" s="282"/>
      <c r="K7" s="282"/>
      <c r="L7" s="282"/>
    </row>
    <row r="8" spans="1:26">
      <c r="D8" s="103"/>
    </row>
    <row r="9" spans="1:26">
      <c r="A9" t="str">
        <f>"Note: Some project's final trued-up cost may not meet SPP's $100,000 threshold for socialization.  In that case a true-up of the pirior year ARR will be made in columns "&amp;I12&amp;" through "&amp;Q12&amp;", but no projected ARR will be shown in columns "&amp;E12&amp;" through "&amp;LEFT(G12,3)&amp;" for the current year."</f>
        <v>Note: Some project's final trued-up cost may not meet SPP's $100,000 threshold for socialization.  In that case a true-up of the pirior year ARR will be made in columns (H) through (O), but no projected ARR will be shown in columns (E) through (G) for the current year.</v>
      </c>
    </row>
    <row r="12" spans="1:26" ht="24.75" customHeight="1">
      <c r="A12" s="294" t="s">
        <v>164</v>
      </c>
      <c r="B12" s="294" t="s">
        <v>165</v>
      </c>
      <c r="C12" s="346" t="s">
        <v>166</v>
      </c>
      <c r="D12" s="294" t="s">
        <v>167</v>
      </c>
      <c r="E12" s="294" t="s">
        <v>168</v>
      </c>
      <c r="F12" s="294" t="s">
        <v>169</v>
      </c>
      <c r="G12" s="294" t="str">
        <f>"(G) = "&amp;E12&amp;" + "&amp;F12</f>
        <v>(G) = (E) + (F)</v>
      </c>
      <c r="H12" s="294"/>
      <c r="I12" s="294" t="s">
        <v>170</v>
      </c>
      <c r="J12" s="294" t="s">
        <v>171</v>
      </c>
      <c r="K12" s="294" t="s">
        <v>205</v>
      </c>
      <c r="L12" s="294" t="str">
        <f>"(K) = "&amp;J12&amp;" - "&amp;K12</f>
        <v>(K) = (I) - (J)</v>
      </c>
      <c r="M12" s="294"/>
      <c r="N12" s="294" t="s">
        <v>208</v>
      </c>
      <c r="O12" s="294" t="s">
        <v>172</v>
      </c>
      <c r="P12" s="294" t="str">
        <f>"(N) = "&amp;N12&amp;"-"&amp;O12</f>
        <v>(N) = (L)-(M)</v>
      </c>
      <c r="Q12" s="294" t="s">
        <v>209</v>
      </c>
      <c r="R12" s="294" t="str">
        <f>"(P) = "&amp;I12&amp;"+"&amp;LEFT(L12,3)&amp;"+"&amp;LEFT(P12,3)&amp;"+"&amp;Q12</f>
        <v>(P) = (H)+(K)+(N)+(O)</v>
      </c>
      <c r="S12" s="294"/>
      <c r="T12" s="294" t="str">
        <f>"(R) = "&amp;LEFT(G12,3)&amp;" + "&amp;LEFT(R12,3)</f>
        <v>(R) = (G) + (P)</v>
      </c>
      <c r="U12" s="294"/>
      <c r="V12" s="297"/>
      <c r="W12" s="297"/>
      <c r="X12" s="297"/>
      <c r="Y12" s="297"/>
      <c r="Z12" s="297"/>
    </row>
    <row r="13" spans="1:26" ht="16.5" customHeight="1">
      <c r="A13" s="9"/>
      <c r="B13" s="9"/>
      <c r="C13" s="9"/>
      <c r="D13" s="9"/>
      <c r="E13" s="474" t="str">
        <f>"Projected ARR For "&amp;U1&amp;" From WS-F"</f>
        <v>Projected ARR For 2019 From WS-F</v>
      </c>
      <c r="F13" s="474"/>
      <c r="G13" s="474"/>
      <c r="H13" s="9"/>
      <c r="I13" s="283" t="str">
        <f>"True-Up ARR  From "&amp;U1-2&amp;" From Worksheet G"</f>
        <v>True-Up ARR  From 2017 From Worksheet G</v>
      </c>
      <c r="J13" s="283"/>
      <c r="K13" s="283"/>
      <c r="L13" s="283"/>
      <c r="M13" s="283"/>
      <c r="N13" s="283"/>
      <c r="O13" s="283"/>
      <c r="P13" s="283"/>
      <c r="Q13" s="283"/>
      <c r="R13" s="283"/>
      <c r="S13" s="9"/>
      <c r="T13" s="9"/>
      <c r="U13" s="9"/>
    </row>
    <row r="14" spans="1:26" ht="18" customHeight="1">
      <c r="I14" s="342"/>
      <c r="T14" s="475" t="str">
        <f>"Total ADJUSTED Revenue Requirement Effective
1/1/"&amp;U1&amp;""</f>
        <v>Total ADJUSTED Revenue Requirement Effective
1/1/2019</v>
      </c>
    </row>
    <row r="15" spans="1:26" ht="18" customHeight="1" thickBot="1">
      <c r="D15" s="9"/>
      <c r="E15" s="285"/>
      <c r="F15" s="285"/>
      <c r="G15" s="285"/>
      <c r="I15" s="283" t="s">
        <v>176</v>
      </c>
      <c r="J15" s="324"/>
      <c r="K15" s="283"/>
      <c r="L15" s="324"/>
      <c r="M15" s="286"/>
      <c r="N15" s="283" t="s">
        <v>210</v>
      </c>
      <c r="O15" s="328"/>
      <c r="P15" s="328"/>
      <c r="Q15" s="287"/>
      <c r="T15" s="475"/>
    </row>
    <row r="16" spans="1:26" ht="76.900000000000006" customHeight="1">
      <c r="A16" s="288" t="s">
        <v>173</v>
      </c>
      <c r="B16" s="289" t="s">
        <v>174</v>
      </c>
      <c r="C16" s="289" t="s">
        <v>112</v>
      </c>
      <c r="D16" s="290" t="s">
        <v>175</v>
      </c>
      <c r="E16" s="291" t="s">
        <v>176</v>
      </c>
      <c r="F16" s="291" t="s">
        <v>177</v>
      </c>
      <c r="G16" s="290" t="s">
        <v>178</v>
      </c>
      <c r="I16" s="292" t="s">
        <v>489</v>
      </c>
      <c r="J16" s="292" t="s">
        <v>490</v>
      </c>
      <c r="K16" s="292" t="s">
        <v>491</v>
      </c>
      <c r="L16" s="292" t="s">
        <v>492</v>
      </c>
      <c r="M16" s="292"/>
      <c r="N16" s="284" t="s">
        <v>179</v>
      </c>
      <c r="O16" s="284" t="s">
        <v>180</v>
      </c>
      <c r="P16" s="293" t="s">
        <v>181</v>
      </c>
      <c r="Q16" s="469" t="s">
        <v>493</v>
      </c>
      <c r="R16" s="329" t="s">
        <v>211</v>
      </c>
      <c r="T16" s="475"/>
      <c r="V16" s="330" t="s">
        <v>212</v>
      </c>
    </row>
    <row r="17" spans="1:26">
      <c r="B17" s="9"/>
      <c r="C17" s="9"/>
      <c r="E17" s="46"/>
      <c r="F17" s="46"/>
      <c r="G17" s="46"/>
      <c r="I17" s="46"/>
      <c r="J17" s="46"/>
      <c r="K17" s="46"/>
      <c r="L17" s="46"/>
      <c r="M17" s="46"/>
      <c r="N17" s="46"/>
      <c r="O17" s="46"/>
      <c r="P17" s="46"/>
      <c r="Q17" s="46"/>
      <c r="R17" s="46"/>
      <c r="T17" s="46"/>
      <c r="V17" s="331"/>
    </row>
    <row r="18" spans="1:26">
      <c r="A18" s="321" t="s">
        <v>184</v>
      </c>
      <c r="B18" s="294" t="s">
        <v>185</v>
      </c>
      <c r="C18" s="295" t="str">
        <f t="shared" ref="C18:F44" ca="1" si="0">INDIRECT("'"&amp; $A18 &amp; "'!" &amp;C$100)</f>
        <v>Arsenal Hill Auto xfmr &amp; AH to Water Works line</v>
      </c>
      <c r="D18" s="296">
        <f t="shared" ca="1" si="0"/>
        <v>2009</v>
      </c>
      <c r="E18" s="325">
        <f t="shared" ca="1" si="0"/>
        <v>1767151.5501136736</v>
      </c>
      <c r="F18" s="326">
        <f t="shared" ca="1" si="0"/>
        <v>0</v>
      </c>
      <c r="G18" s="326">
        <f t="shared" ref="G18:G23" ca="1" si="1">+E18+F18</f>
        <v>1767151.5501136736</v>
      </c>
      <c r="H18" s="327"/>
      <c r="I18" s="325">
        <f ca="1">INDIRECT("'"&amp; $A18 &amp; "'!" &amp;I$100)</f>
        <v>-19038.228973397519</v>
      </c>
      <c r="J18" s="427">
        <v>2076340.5617635851</v>
      </c>
      <c r="K18" s="298">
        <f>+J18/(J$93/K$93)</f>
        <v>1987492.1931105764</v>
      </c>
      <c r="L18" s="325">
        <f t="shared" ref="L18:L42" si="2">+J18-K18</f>
        <v>88848.368653008714</v>
      </c>
      <c r="M18" s="325"/>
      <c r="N18" s="326">
        <v>0</v>
      </c>
      <c r="O18" s="326">
        <v>0</v>
      </c>
      <c r="P18" s="326">
        <f t="shared" ref="P18:P23" si="3">+N18-O18</f>
        <v>0</v>
      </c>
      <c r="Q18" s="325">
        <f t="shared" ref="Q18:Q43" ca="1" si="4">+V18/$V$93 * $Q$93</f>
        <v>23021.119522663448</v>
      </c>
      <c r="R18" s="299">
        <f ca="1">I18+L18+P18+Q18</f>
        <v>92831.259202274639</v>
      </c>
      <c r="S18" s="299"/>
      <c r="T18" s="300">
        <f t="shared" ref="T18:T42" ca="1" si="5">+G18+R18</f>
        <v>1859982.8093159483</v>
      </c>
      <c r="V18" s="373">
        <f ca="1">+I18+L18+P18</f>
        <v>69810.139679611195</v>
      </c>
      <c r="W18" t="str">
        <f>A18</f>
        <v>S.001</v>
      </c>
    </row>
    <row r="19" spans="1:26">
      <c r="A19" s="321" t="s">
        <v>186</v>
      </c>
      <c r="B19" s="294" t="s">
        <v>185</v>
      </c>
      <c r="C19" s="295" t="str">
        <f t="shared" ca="1" si="0"/>
        <v>SW Shreveport (sub work &amp; tap)</v>
      </c>
      <c r="D19" s="296">
        <f t="shared" ca="1" si="0"/>
        <v>2009</v>
      </c>
      <c r="E19" s="325">
        <f t="shared" ca="1" si="0"/>
        <v>810809.88193395641</v>
      </c>
      <c r="F19" s="326">
        <f t="shared" ca="1" si="0"/>
        <v>0</v>
      </c>
      <c r="G19" s="326">
        <f t="shared" ca="1" si="1"/>
        <v>810809.88193395641</v>
      </c>
      <c r="H19" s="327"/>
      <c r="I19" s="325">
        <f t="shared" ref="I19:I82" ca="1" si="6">INDIRECT("'"&amp; $A19 &amp; "'!" &amp;I$100)</f>
        <v>2987.8630480803549</v>
      </c>
      <c r="J19" s="427">
        <v>961730.61711838865</v>
      </c>
      <c r="K19" s="298">
        <f t="shared" ref="K19:K82" si="7">+J19/(J$93/K$93)</f>
        <v>920577.3506513295</v>
      </c>
      <c r="L19" s="325">
        <f t="shared" si="2"/>
        <v>41153.266467059148</v>
      </c>
      <c r="M19" s="325"/>
      <c r="N19" s="326">
        <v>0</v>
      </c>
      <c r="O19" s="326">
        <v>0</v>
      </c>
      <c r="P19" s="326">
        <f t="shared" si="3"/>
        <v>0</v>
      </c>
      <c r="Q19" s="325">
        <f t="shared" ca="1" si="4"/>
        <v>14556.312637348577</v>
      </c>
      <c r="R19" s="299">
        <f t="shared" ref="R19:R42" ca="1" si="8">I19+L19+P19+Q19</f>
        <v>58697.442152488082</v>
      </c>
      <c r="S19" s="299"/>
      <c r="T19" s="301">
        <f t="shared" ca="1" si="5"/>
        <v>869507.32408644445</v>
      </c>
      <c r="V19" s="373">
        <f t="shared" ref="V19:V37" ca="1" si="9">+I19+L19+P19</f>
        <v>44141.129515139502</v>
      </c>
      <c r="W19" t="str">
        <f t="shared" ref="W19:W37" si="10">A19</f>
        <v>S.002</v>
      </c>
    </row>
    <row r="20" spans="1:26" ht="25.5">
      <c r="A20" s="321" t="s">
        <v>187</v>
      </c>
      <c r="B20" s="294" t="s">
        <v>185</v>
      </c>
      <c r="C20" s="302" t="str">
        <f t="shared" ca="1" si="0"/>
        <v>[NW Ark Area Improve - 2009]  E. Centerton-Flint Crk, E Rogers-N Rogers, Centerton</v>
      </c>
      <c r="D20" s="296">
        <f t="shared" ca="1" si="0"/>
        <v>2009</v>
      </c>
      <c r="E20" s="325">
        <f t="shared" ca="1" si="0"/>
        <v>1371566.4755118289</v>
      </c>
      <c r="F20" s="326">
        <f t="shared" ca="1" si="0"/>
        <v>0</v>
      </c>
      <c r="G20" s="326">
        <f t="shared" ca="1" si="1"/>
        <v>1371566.4755118289</v>
      </c>
      <c r="H20" s="327"/>
      <c r="I20" s="325">
        <f t="shared" ca="1" si="6"/>
        <v>-31219.346176113468</v>
      </c>
      <c r="J20" s="427">
        <v>1599052.6601881934</v>
      </c>
      <c r="K20" s="298">
        <f t="shared" si="7"/>
        <v>1530627.8444983715</v>
      </c>
      <c r="L20" s="325">
        <f t="shared" si="2"/>
        <v>68424.81568982196</v>
      </c>
      <c r="M20" s="325"/>
      <c r="N20" s="326">
        <v>0</v>
      </c>
      <c r="O20" s="326">
        <v>0</v>
      </c>
      <c r="P20" s="326">
        <f t="shared" si="3"/>
        <v>0</v>
      </c>
      <c r="Q20" s="325">
        <f t="shared" ca="1" si="4"/>
        <v>12269.156952024374</v>
      </c>
      <c r="R20" s="299">
        <f t="shared" ca="1" si="8"/>
        <v>49474.626465732865</v>
      </c>
      <c r="S20" s="299"/>
      <c r="T20" s="301">
        <f t="shared" ca="1" si="5"/>
        <v>1421041.1019775618</v>
      </c>
      <c r="V20" s="373">
        <f t="shared" ca="1" si="9"/>
        <v>37205.469513708493</v>
      </c>
      <c r="W20" t="str">
        <f t="shared" si="10"/>
        <v>S.003</v>
      </c>
    </row>
    <row r="21" spans="1:26">
      <c r="A21" s="321" t="s">
        <v>188</v>
      </c>
      <c r="B21" s="294" t="s">
        <v>185</v>
      </c>
      <c r="C21" s="302" t="str">
        <f t="shared" ca="1" si="0"/>
        <v>Rebuild N. Magazine - Danville 161 kV Line</v>
      </c>
      <c r="D21" s="296">
        <f t="shared" ca="1" si="0"/>
        <v>2009</v>
      </c>
      <c r="E21" s="325">
        <f t="shared" ca="1" si="0"/>
        <v>1151409.3290477241</v>
      </c>
      <c r="F21" s="326">
        <f t="shared" ca="1" si="0"/>
        <v>0</v>
      </c>
      <c r="G21" s="326">
        <f t="shared" ca="1" si="1"/>
        <v>1151409.3290477241</v>
      </c>
      <c r="H21" s="327"/>
      <c r="I21" s="325">
        <f t="shared" ca="1" si="6"/>
        <v>-22741.605415657163</v>
      </c>
      <c r="J21" s="427">
        <v>1345037.6505633658</v>
      </c>
      <c r="K21" s="298">
        <f t="shared" si="7"/>
        <v>1287482.3519624816</v>
      </c>
      <c r="L21" s="325">
        <f t="shared" si="2"/>
        <v>57555.298600884154</v>
      </c>
      <c r="M21" s="325"/>
      <c r="N21" s="326">
        <v>0</v>
      </c>
      <c r="O21" s="326">
        <v>0</v>
      </c>
      <c r="P21" s="326">
        <f t="shared" si="3"/>
        <v>0</v>
      </c>
      <c r="Q21" s="325">
        <f t="shared" ca="1" si="4"/>
        <v>11480.426704783069</v>
      </c>
      <c r="R21" s="299">
        <f t="shared" ca="1" si="8"/>
        <v>46294.119890010057</v>
      </c>
      <c r="S21" s="299"/>
      <c r="T21" s="301">
        <f t="shared" ca="1" si="5"/>
        <v>1197703.4489377341</v>
      </c>
      <c r="V21" s="373">
        <f t="shared" ca="1" si="9"/>
        <v>34813.693185226992</v>
      </c>
      <c r="W21" t="str">
        <f t="shared" si="10"/>
        <v>S.004</v>
      </c>
    </row>
    <row r="22" spans="1:26" ht="25.5">
      <c r="A22" s="321" t="s">
        <v>189</v>
      </c>
      <c r="B22" s="294" t="s">
        <v>185</v>
      </c>
      <c r="C22" s="302" t="str">
        <f t="shared" ca="1" si="0"/>
        <v>[Greenwood, AR Area Improve]  N Huntington, Greenwood, Reeves, Bonanza</v>
      </c>
      <c r="D22" s="296">
        <f t="shared" ca="1" si="0"/>
        <v>2009</v>
      </c>
      <c r="E22" s="325">
        <f t="shared" ca="1" si="0"/>
        <v>298215.90768337488</v>
      </c>
      <c r="F22" s="326">
        <f t="shared" ca="1" si="0"/>
        <v>0</v>
      </c>
      <c r="G22" s="326">
        <f t="shared" ca="1" si="1"/>
        <v>298215.90768337488</v>
      </c>
      <c r="H22" s="327"/>
      <c r="I22" s="325">
        <f t="shared" ca="1" si="6"/>
        <v>-3252.5592057253234</v>
      </c>
      <c r="J22" s="427">
        <v>350359.1486859697</v>
      </c>
      <c r="K22" s="298">
        <f t="shared" si="7"/>
        <v>335366.98440586461</v>
      </c>
      <c r="L22" s="325">
        <f t="shared" si="2"/>
        <v>14992.164280105091</v>
      </c>
      <c r="M22" s="325"/>
      <c r="N22" s="326">
        <v>0</v>
      </c>
      <c r="O22" s="326">
        <v>0</v>
      </c>
      <c r="P22" s="326">
        <f t="shared" si="3"/>
        <v>0</v>
      </c>
      <c r="Q22" s="325">
        <f t="shared" ca="1" si="4"/>
        <v>3871.3409370973509</v>
      </c>
      <c r="R22" s="299">
        <f t="shared" ca="1" si="8"/>
        <v>15610.946011477119</v>
      </c>
      <c r="S22" s="299"/>
      <c r="T22" s="301">
        <f t="shared" ca="1" si="5"/>
        <v>313826.85369485198</v>
      </c>
      <c r="V22" s="373">
        <f t="shared" ca="1" si="9"/>
        <v>11739.605074379768</v>
      </c>
      <c r="W22" t="str">
        <f t="shared" si="10"/>
        <v>S.005</v>
      </c>
    </row>
    <row r="23" spans="1:26">
      <c r="A23" s="321" t="s">
        <v>190</v>
      </c>
      <c r="B23" s="294" t="s">
        <v>185</v>
      </c>
      <c r="C23" s="302" t="str">
        <f t="shared" ca="1" si="0"/>
        <v>Port Robson-Caplis Line (SW 138 kV Loop -- 2009)</v>
      </c>
      <c r="D23" s="296">
        <f t="shared" ca="1" si="0"/>
        <v>2009</v>
      </c>
      <c r="E23" s="325">
        <f t="shared" ca="1" si="0"/>
        <v>3799504.1337335454</v>
      </c>
      <c r="F23" s="326">
        <f t="shared" ca="1" si="0"/>
        <v>0</v>
      </c>
      <c r="G23" s="326">
        <f t="shared" ca="1" si="1"/>
        <v>3799504.1337335454</v>
      </c>
      <c r="H23" s="327"/>
      <c r="I23" s="325">
        <f t="shared" ca="1" si="6"/>
        <v>-8206.0598555626348</v>
      </c>
      <c r="J23" s="427">
        <v>4488582.4971282743</v>
      </c>
      <c r="K23" s="298">
        <f t="shared" si="7"/>
        <v>4296512.2559653493</v>
      </c>
      <c r="L23" s="325">
        <f t="shared" si="2"/>
        <v>192070.24116292503</v>
      </c>
      <c r="M23" s="325"/>
      <c r="N23" s="326">
        <v>0</v>
      </c>
      <c r="O23" s="326">
        <v>0</v>
      </c>
      <c r="P23" s="326">
        <f t="shared" si="3"/>
        <v>0</v>
      </c>
      <c r="Q23" s="325">
        <f t="shared" ca="1" si="4"/>
        <v>60632.442697284496</v>
      </c>
      <c r="R23" s="299">
        <f t="shared" ca="1" si="8"/>
        <v>244496.6240046469</v>
      </c>
      <c r="S23" s="299"/>
      <c r="T23" s="301">
        <f t="shared" ca="1" si="5"/>
        <v>4044000.7577381926</v>
      </c>
      <c r="U23" s="87"/>
      <c r="V23" s="373">
        <f t="shared" ca="1" si="9"/>
        <v>183864.18130736239</v>
      </c>
      <c r="W23" s="87" t="str">
        <f t="shared" si="10"/>
        <v>S.006</v>
      </c>
      <c r="X23" s="87"/>
      <c r="Y23" s="87"/>
      <c r="Z23" s="87"/>
    </row>
    <row r="24" spans="1:26">
      <c r="A24" s="321" t="s">
        <v>191</v>
      </c>
      <c r="B24" s="294" t="s">
        <v>185</v>
      </c>
      <c r="C24" s="302" t="str">
        <f t="shared" ca="1" si="0"/>
        <v>Linwood 138 Station Switch Replacement*</v>
      </c>
      <c r="D24" s="296">
        <f t="shared" ca="1" si="0"/>
        <v>2009</v>
      </c>
      <c r="E24" s="325">
        <f t="shared" ca="1" si="0"/>
        <v>7661.1325443702808</v>
      </c>
      <c r="F24" s="326">
        <f t="shared" ca="1" si="0"/>
        <v>0</v>
      </c>
      <c r="G24" s="326">
        <f t="shared" ref="G24:G36" ca="1" si="11">+E24+F24</f>
        <v>7661.1325443702808</v>
      </c>
      <c r="H24" s="327"/>
      <c r="I24" s="325">
        <f t="shared" ca="1" si="6"/>
        <v>-62.784722395233985</v>
      </c>
      <c r="J24" s="427">
        <v>9017.1343033914254</v>
      </c>
      <c r="K24" s="298">
        <f t="shared" si="7"/>
        <v>8631.2835005246106</v>
      </c>
      <c r="L24" s="325">
        <f t="shared" si="2"/>
        <v>385.85080286681477</v>
      </c>
      <c r="M24" s="325"/>
      <c r="N24" s="326">
        <v>0</v>
      </c>
      <c r="O24" s="326">
        <v>0</v>
      </c>
      <c r="P24" s="326">
        <f t="shared" ref="P24:P36" si="12">+N24-O24</f>
        <v>0</v>
      </c>
      <c r="Q24" s="325">
        <f t="shared" ca="1" si="4"/>
        <v>106.53671352596972</v>
      </c>
      <c r="R24" s="299">
        <f t="shared" ca="1" si="8"/>
        <v>429.60279399755052</v>
      </c>
      <c r="S24" s="353" t="s">
        <v>254</v>
      </c>
      <c r="T24" s="301">
        <f t="shared" ca="1" si="5"/>
        <v>8090.735338367831</v>
      </c>
      <c r="V24" s="373">
        <f t="shared" ca="1" si="9"/>
        <v>323.06608047158079</v>
      </c>
      <c r="W24" t="str">
        <f t="shared" si="10"/>
        <v>S.007</v>
      </c>
    </row>
    <row r="25" spans="1:26" ht="25.5">
      <c r="A25" s="321" t="s">
        <v>192</v>
      </c>
      <c r="B25" s="294" t="s">
        <v>185</v>
      </c>
      <c r="C25" s="302" t="str">
        <f t="shared" ca="1" si="0"/>
        <v>Dyess to S. Fayetteville 69 kV Convert to 161 kV (multi-projects)</v>
      </c>
      <c r="D25" s="296">
        <f t="shared" ca="1" si="0"/>
        <v>2008</v>
      </c>
      <c r="E25" s="325">
        <f t="shared" ca="1" si="0"/>
        <v>934478.91102478898</v>
      </c>
      <c r="F25" s="326">
        <f t="shared" ca="1" si="0"/>
        <v>0</v>
      </c>
      <c r="G25" s="326">
        <f t="shared" ca="1" si="11"/>
        <v>934478.91102478898</v>
      </c>
      <c r="H25" s="327"/>
      <c r="I25" s="325">
        <f t="shared" ca="1" si="6"/>
        <v>-908.68013828387484</v>
      </c>
      <c r="J25" s="427">
        <v>1105095.6227066119</v>
      </c>
      <c r="K25" s="298">
        <f t="shared" si="7"/>
        <v>1057807.6464029236</v>
      </c>
      <c r="L25" s="325">
        <f t="shared" si="2"/>
        <v>47287.97630368825</v>
      </c>
      <c r="M25" s="325"/>
      <c r="N25" s="326">
        <v>0</v>
      </c>
      <c r="O25" s="326">
        <v>0</v>
      </c>
      <c r="P25" s="326">
        <f t="shared" si="12"/>
        <v>0</v>
      </c>
      <c r="Q25" s="325">
        <f t="shared" ca="1" si="4"/>
        <v>15294.387395597993</v>
      </c>
      <c r="R25" s="299">
        <f t="shared" ca="1" si="8"/>
        <v>61673.68356100237</v>
      </c>
      <c r="S25" s="299"/>
      <c r="T25" s="301">
        <f t="shared" ca="1" si="5"/>
        <v>996152.59458579135</v>
      </c>
      <c r="V25" s="373">
        <f t="shared" ca="1" si="9"/>
        <v>46379.296165404376</v>
      </c>
      <c r="W25" t="str">
        <f t="shared" si="10"/>
        <v>S.008</v>
      </c>
    </row>
    <row r="26" spans="1:26" ht="25.5">
      <c r="A26" s="321" t="s">
        <v>193</v>
      </c>
      <c r="B26" s="294" t="s">
        <v>185</v>
      </c>
      <c r="C26" s="302" t="str">
        <f t="shared" ca="1" si="0"/>
        <v>Northwest Texarkana-Bann-Alumax Tap 138kV -- reconductor</v>
      </c>
      <c r="D26" s="296">
        <f t="shared" ca="1" si="0"/>
        <v>2008</v>
      </c>
      <c r="E26" s="325">
        <f t="shared" ca="1" si="0"/>
        <v>276574.78884881514</v>
      </c>
      <c r="F26" s="326">
        <f t="shared" ca="1" si="0"/>
        <v>0</v>
      </c>
      <c r="G26" s="326">
        <f t="shared" ca="1" si="11"/>
        <v>276574.78884881514</v>
      </c>
      <c r="H26" s="327"/>
      <c r="I26" s="325">
        <f t="shared" ca="1" si="6"/>
        <v>-6283.5787712520687</v>
      </c>
      <c r="J26" s="427">
        <v>322480.3917039262</v>
      </c>
      <c r="K26" s="298">
        <f t="shared" si="7"/>
        <v>308681.18301287171</v>
      </c>
      <c r="L26" s="325">
        <f t="shared" si="2"/>
        <v>13799.208691054489</v>
      </c>
      <c r="M26" s="325"/>
      <c r="N26" s="326">
        <v>0</v>
      </c>
      <c r="O26" s="326">
        <v>0</v>
      </c>
      <c r="P26" s="326">
        <f t="shared" si="12"/>
        <v>0</v>
      </c>
      <c r="Q26" s="325">
        <f t="shared" ca="1" si="4"/>
        <v>2478.4109509869509</v>
      </c>
      <c r="R26" s="299">
        <f t="shared" ca="1" si="8"/>
        <v>9994.0408707893712</v>
      </c>
      <c r="S26" s="299"/>
      <c r="T26" s="301">
        <f t="shared" ca="1" si="5"/>
        <v>286568.82971960452</v>
      </c>
      <c r="V26" s="373">
        <f t="shared" ca="1" si="9"/>
        <v>7515.6299198024208</v>
      </c>
      <c r="W26" t="str">
        <f t="shared" si="10"/>
        <v>S.009</v>
      </c>
    </row>
    <row r="27" spans="1:26">
      <c r="A27" s="321" t="s">
        <v>194</v>
      </c>
      <c r="B27" s="294" t="s">
        <v>185</v>
      </c>
      <c r="C27" s="341" t="str">
        <f t="shared" ca="1" si="0"/>
        <v>Tontitown - Elm Springs REC 161 kV line***</v>
      </c>
      <c r="D27" s="296">
        <f t="shared" ca="1" si="0"/>
        <v>2008</v>
      </c>
      <c r="E27" s="325">
        <f t="shared" ca="1" si="0"/>
        <v>0</v>
      </c>
      <c r="F27" s="326">
        <f t="shared" ca="1" si="0"/>
        <v>0</v>
      </c>
      <c r="G27" s="326">
        <f t="shared" ca="1" si="11"/>
        <v>0</v>
      </c>
      <c r="H27" s="327"/>
      <c r="I27" s="325">
        <f t="shared" ca="1" si="6"/>
        <v>0</v>
      </c>
      <c r="J27" s="427">
        <v>0</v>
      </c>
      <c r="K27" s="298">
        <f t="shared" si="7"/>
        <v>0</v>
      </c>
      <c r="L27" s="325">
        <f t="shared" si="2"/>
        <v>0</v>
      </c>
      <c r="M27" s="325"/>
      <c r="N27" s="326">
        <v>0</v>
      </c>
      <c r="O27" s="326">
        <v>0</v>
      </c>
      <c r="P27" s="326">
        <f t="shared" si="12"/>
        <v>0</v>
      </c>
      <c r="Q27" s="325">
        <f t="shared" ca="1" si="4"/>
        <v>0</v>
      </c>
      <c r="R27" s="299">
        <f t="shared" ca="1" si="8"/>
        <v>0</v>
      </c>
      <c r="S27" s="299"/>
      <c r="T27" s="301">
        <f t="shared" ca="1" si="5"/>
        <v>0</v>
      </c>
      <c r="V27" s="373">
        <f t="shared" ca="1" si="9"/>
        <v>0</v>
      </c>
      <c r="W27" t="str">
        <f t="shared" si="10"/>
        <v>S.010</v>
      </c>
    </row>
    <row r="28" spans="1:26" ht="16.5" customHeight="1">
      <c r="A28" s="321" t="s">
        <v>195</v>
      </c>
      <c r="B28" s="294" t="s">
        <v>185</v>
      </c>
      <c r="C28" s="341" t="str">
        <f t="shared" ca="1" si="0"/>
        <v>Siloam Springs - Chamber Springs 161 kV line***</v>
      </c>
      <c r="D28" s="296">
        <f t="shared" ca="1" si="0"/>
        <v>2007</v>
      </c>
      <c r="E28" s="325">
        <f t="shared" ca="1" si="0"/>
        <v>0</v>
      </c>
      <c r="F28" s="326">
        <f t="shared" ca="1" si="0"/>
        <v>0</v>
      </c>
      <c r="G28" s="326">
        <f t="shared" ca="1" si="11"/>
        <v>0</v>
      </c>
      <c r="H28" s="327"/>
      <c r="I28" s="325">
        <f t="shared" ca="1" si="6"/>
        <v>0</v>
      </c>
      <c r="J28" s="427">
        <v>0</v>
      </c>
      <c r="K28" s="298">
        <f t="shared" si="7"/>
        <v>0</v>
      </c>
      <c r="L28" s="325">
        <f t="shared" si="2"/>
        <v>0</v>
      </c>
      <c r="M28" s="325"/>
      <c r="N28" s="326">
        <v>0</v>
      </c>
      <c r="O28" s="326">
        <v>0</v>
      </c>
      <c r="P28" s="326">
        <f t="shared" si="12"/>
        <v>0</v>
      </c>
      <c r="Q28" s="325">
        <f t="shared" ca="1" si="4"/>
        <v>0</v>
      </c>
      <c r="R28" s="299">
        <f t="shared" ca="1" si="8"/>
        <v>0</v>
      </c>
      <c r="S28" s="299"/>
      <c r="T28" s="301">
        <f t="shared" ca="1" si="5"/>
        <v>0</v>
      </c>
      <c r="V28" s="373">
        <f t="shared" ca="1" si="9"/>
        <v>0</v>
      </c>
      <c r="W28" t="str">
        <f t="shared" si="10"/>
        <v>S.011</v>
      </c>
    </row>
    <row r="29" spans="1:26" ht="25.5">
      <c r="A29" s="321" t="s">
        <v>196</v>
      </c>
      <c r="B29" s="294" t="s">
        <v>185</v>
      </c>
      <c r="C29" s="302" t="str">
        <f t="shared" ca="1" si="0"/>
        <v>Knox Lee - Oak Hill #2 138 kV line, S. Shreveport  (SWE Minor Proj II)</v>
      </c>
      <c r="D29" s="296">
        <f t="shared" ca="1" si="0"/>
        <v>2007</v>
      </c>
      <c r="E29" s="325">
        <f t="shared" ca="1" si="0"/>
        <v>18066.687797614366</v>
      </c>
      <c r="F29" s="326">
        <f t="shared" ca="1" si="0"/>
        <v>0</v>
      </c>
      <c r="G29" s="326">
        <f t="shared" ca="1" si="11"/>
        <v>18066.687797614366</v>
      </c>
      <c r="H29" s="327"/>
      <c r="I29" s="325">
        <f t="shared" ca="1" si="6"/>
        <v>-538.76904257621209</v>
      </c>
      <c r="J29" s="427">
        <v>20968.291412160968</v>
      </c>
      <c r="K29" s="298">
        <f t="shared" si="7"/>
        <v>20071.040489205912</v>
      </c>
      <c r="L29" s="325">
        <f t="shared" si="2"/>
        <v>897.25092295505601</v>
      </c>
      <c r="M29" s="325"/>
      <c r="N29" s="326">
        <v>0</v>
      </c>
      <c r="O29" s="326">
        <v>0</v>
      </c>
      <c r="P29" s="326">
        <f t="shared" si="12"/>
        <v>0</v>
      </c>
      <c r="Q29" s="325">
        <f t="shared" ca="1" si="4"/>
        <v>118.21569549617709</v>
      </c>
      <c r="R29" s="299">
        <f t="shared" ca="1" si="8"/>
        <v>476.69757587502102</v>
      </c>
      <c r="S29" s="299"/>
      <c r="T29" s="301">
        <f ca="1">+G29+R29</f>
        <v>18543.385373489386</v>
      </c>
      <c r="V29" s="373">
        <f t="shared" ca="1" si="9"/>
        <v>358.48188037884393</v>
      </c>
      <c r="W29" t="str">
        <f t="shared" si="10"/>
        <v>S.012</v>
      </c>
    </row>
    <row r="30" spans="1:26">
      <c r="A30" s="321" t="s">
        <v>197</v>
      </c>
      <c r="B30" s="294" t="s">
        <v>185</v>
      </c>
      <c r="C30" s="302" t="str">
        <f t="shared" ca="1" si="0"/>
        <v xml:space="preserve">Carthage REC - Carthage T 138 kV </v>
      </c>
      <c r="D30" s="296">
        <f t="shared" ca="1" si="0"/>
        <v>2006</v>
      </c>
      <c r="E30" s="325">
        <f t="shared" ca="1" si="0"/>
        <v>552385.25956304069</v>
      </c>
      <c r="F30" s="326">
        <f t="shared" ca="1" si="0"/>
        <v>0</v>
      </c>
      <c r="G30" s="326">
        <f t="shared" ca="1" si="11"/>
        <v>552385.25956304069</v>
      </c>
      <c r="H30" s="327"/>
      <c r="I30" s="325">
        <f t="shared" ca="1" si="6"/>
        <v>0</v>
      </c>
      <c r="J30" s="427">
        <v>653249.57779006497</v>
      </c>
      <c r="K30" s="298">
        <f t="shared" si="7"/>
        <v>625296.47588629241</v>
      </c>
      <c r="L30" s="325">
        <f t="shared" si="2"/>
        <v>27953.101903772564</v>
      </c>
      <c r="M30" s="325"/>
      <c r="N30" s="326">
        <v>0</v>
      </c>
      <c r="O30" s="326">
        <v>0</v>
      </c>
      <c r="P30" s="326">
        <f t="shared" si="12"/>
        <v>0</v>
      </c>
      <c r="Q30" s="325">
        <f t="shared" ca="1" si="4"/>
        <v>9218.0262481824539</v>
      </c>
      <c r="R30" s="299">
        <f t="shared" ca="1" si="8"/>
        <v>37171.128151955018</v>
      </c>
      <c r="S30" s="299"/>
      <c r="T30" s="301">
        <f t="shared" ca="1" si="5"/>
        <v>589556.38771499565</v>
      </c>
      <c r="V30" s="373">
        <f t="shared" ca="1" si="9"/>
        <v>27953.101903772564</v>
      </c>
      <c r="W30" t="str">
        <f t="shared" si="10"/>
        <v>S.013</v>
      </c>
    </row>
    <row r="31" spans="1:26">
      <c r="A31" s="321" t="s">
        <v>198</v>
      </c>
      <c r="B31" s="294" t="s">
        <v>185</v>
      </c>
      <c r="C31" s="341" t="str">
        <f t="shared" ca="1" si="0"/>
        <v>NW Henderson - Oak Hill 138 kV line*</v>
      </c>
      <c r="D31" s="296">
        <f t="shared" ca="1" si="0"/>
        <v>2007</v>
      </c>
      <c r="E31" s="325">
        <f t="shared" ca="1" si="0"/>
        <v>7887.128894811628</v>
      </c>
      <c r="F31" s="326">
        <f t="shared" ca="1" si="0"/>
        <v>0</v>
      </c>
      <c r="G31" s="326">
        <f t="shared" ca="1" si="11"/>
        <v>7887.128894811628</v>
      </c>
      <c r="H31" s="327"/>
      <c r="I31" s="325">
        <f t="shared" ca="1" si="6"/>
        <v>-87.755508734844625</v>
      </c>
      <c r="J31" s="427">
        <v>9266.3624917324742</v>
      </c>
      <c r="K31" s="298">
        <f t="shared" si="7"/>
        <v>8869.8470039077947</v>
      </c>
      <c r="L31" s="325">
        <f t="shared" si="2"/>
        <v>396.51548782467944</v>
      </c>
      <c r="M31" s="325"/>
      <c r="N31" s="326">
        <v>0</v>
      </c>
      <c r="O31" s="326">
        <v>0</v>
      </c>
      <c r="P31" s="326">
        <f t="shared" si="12"/>
        <v>0</v>
      </c>
      <c r="Q31" s="325">
        <f t="shared" ca="1" si="4"/>
        <v>101.81902536026759</v>
      </c>
      <c r="R31" s="299">
        <f t="shared" ca="1" si="8"/>
        <v>410.57900445010239</v>
      </c>
      <c r="S31" s="353" t="s">
        <v>254</v>
      </c>
      <c r="T31" s="301">
        <f t="shared" ca="1" si="5"/>
        <v>8297.7078992617298</v>
      </c>
      <c r="V31" s="373">
        <f t="shared" ca="1" si="9"/>
        <v>308.75997908983481</v>
      </c>
      <c r="W31" t="str">
        <f t="shared" si="10"/>
        <v>S.014</v>
      </c>
    </row>
    <row r="32" spans="1:26">
      <c r="A32" s="321" t="s">
        <v>199</v>
      </c>
      <c r="B32" s="294" t="s">
        <v>185</v>
      </c>
      <c r="C32" s="302" t="str">
        <f t="shared" ca="1" si="0"/>
        <v>Arsenal Hill 138kV Device (Cap. Bank)</v>
      </c>
      <c r="D32" s="296">
        <f t="shared" ca="1" si="0"/>
        <v>2007</v>
      </c>
      <c r="E32" s="325">
        <f t="shared" ca="1" si="0"/>
        <v>34874.405853202261</v>
      </c>
      <c r="F32" s="326">
        <f t="shared" ca="1" si="0"/>
        <v>0</v>
      </c>
      <c r="G32" s="326">
        <f t="shared" ca="1" si="11"/>
        <v>34874.405853202261</v>
      </c>
      <c r="H32" s="327"/>
      <c r="I32" s="325">
        <f t="shared" ca="1" si="6"/>
        <v>-713.56287193088792</v>
      </c>
      <c r="J32" s="427">
        <v>40730.735374660915</v>
      </c>
      <c r="K32" s="298">
        <f t="shared" si="7"/>
        <v>38987.832760938312</v>
      </c>
      <c r="L32" s="325">
        <f t="shared" si="2"/>
        <v>1742.9026137226028</v>
      </c>
      <c r="M32" s="325"/>
      <c r="N32" s="326">
        <v>0</v>
      </c>
      <c r="O32" s="326">
        <v>0</v>
      </c>
      <c r="P32" s="326">
        <f t="shared" si="12"/>
        <v>0</v>
      </c>
      <c r="Q32" s="325">
        <f t="shared" ca="1" si="4"/>
        <v>339.44285649575107</v>
      </c>
      <c r="R32" s="299">
        <f t="shared" ca="1" si="8"/>
        <v>1368.782598287466</v>
      </c>
      <c r="S32" s="299"/>
      <c r="T32" s="301">
        <f t="shared" ca="1" si="5"/>
        <v>36243.188451489725</v>
      </c>
      <c r="V32" s="373">
        <f t="shared" ca="1" si="9"/>
        <v>1029.3397417917149</v>
      </c>
      <c r="W32" t="str">
        <f t="shared" si="10"/>
        <v>S.015</v>
      </c>
    </row>
    <row r="33" spans="1:23">
      <c r="A33" s="321" t="s">
        <v>200</v>
      </c>
      <c r="B33" s="294" t="s">
        <v>185</v>
      </c>
      <c r="C33" s="302" t="str">
        <f t="shared" ca="1" si="0"/>
        <v>Daingerfield - Jenkins REC 69 kV CB Repl**</v>
      </c>
      <c r="D33" s="296">
        <f t="shared" ca="1" si="0"/>
        <v>2008</v>
      </c>
      <c r="E33" s="325">
        <f t="shared" ca="1" si="0"/>
        <v>38328.893237173492</v>
      </c>
      <c r="F33" s="326">
        <f t="shared" ca="1" si="0"/>
        <v>0</v>
      </c>
      <c r="G33" s="326">
        <f t="shared" ca="1" si="11"/>
        <v>38328.893237173492</v>
      </c>
      <c r="H33" s="327"/>
      <c r="I33" s="325">
        <f t="shared" ca="1" si="6"/>
        <v>240.9286405370658</v>
      </c>
      <c r="J33" s="427">
        <v>45535.218578822482</v>
      </c>
      <c r="K33" s="298">
        <f t="shared" si="7"/>
        <v>43586.728065517564</v>
      </c>
      <c r="L33" s="325">
        <f t="shared" si="2"/>
        <v>1948.4905133049178</v>
      </c>
      <c r="M33" s="325"/>
      <c r="N33" s="326">
        <v>0</v>
      </c>
      <c r="O33" s="326">
        <v>0</v>
      </c>
      <c r="P33" s="326">
        <f t="shared" si="12"/>
        <v>0</v>
      </c>
      <c r="Q33" s="325">
        <f t="shared" ca="1" si="4"/>
        <v>721.99941523001542</v>
      </c>
      <c r="R33" s="299">
        <f t="shared" ca="1" si="8"/>
        <v>2911.4185690719992</v>
      </c>
      <c r="S33" s="299"/>
      <c r="T33" s="301">
        <f t="shared" ca="1" si="5"/>
        <v>41240.311806245489</v>
      </c>
      <c r="V33" s="373">
        <f t="shared" ca="1" si="9"/>
        <v>2189.4191538419836</v>
      </c>
      <c r="W33" t="str">
        <f t="shared" si="10"/>
        <v>S.016</v>
      </c>
    </row>
    <row r="34" spans="1:23">
      <c r="A34" s="321" t="s">
        <v>201</v>
      </c>
      <c r="B34" s="294" t="s">
        <v>185</v>
      </c>
      <c r="C34" s="302" t="str">
        <f t="shared" ca="1" si="0"/>
        <v>Linwood-McWillie 138 kV Rebuild</v>
      </c>
      <c r="D34" s="296">
        <f t="shared" ca="1" si="0"/>
        <v>2008</v>
      </c>
      <c r="E34" s="325">
        <f t="shared" ca="1" si="0"/>
        <v>189755.62532050579</v>
      </c>
      <c r="F34" s="326">
        <f t="shared" ca="1" si="0"/>
        <v>0</v>
      </c>
      <c r="G34" s="326">
        <f t="shared" ca="1" si="11"/>
        <v>189755.62532050579</v>
      </c>
      <c r="H34" s="327"/>
      <c r="I34" s="325">
        <f t="shared" ca="1" si="6"/>
        <v>-3961.6381254137668</v>
      </c>
      <c r="J34" s="427">
        <v>221523.80300678819</v>
      </c>
      <c r="K34" s="298">
        <f t="shared" si="7"/>
        <v>212044.61212769357</v>
      </c>
      <c r="L34" s="325">
        <f t="shared" si="2"/>
        <v>9479.1908790946181</v>
      </c>
      <c r="M34" s="325"/>
      <c r="N34" s="326">
        <v>0</v>
      </c>
      <c r="O34" s="326">
        <v>0</v>
      </c>
      <c r="P34" s="326">
        <f t="shared" si="12"/>
        <v>0</v>
      </c>
      <c r="Q34" s="325">
        <f t="shared" ca="1" si="4"/>
        <v>1819.5099164396222</v>
      </c>
      <c r="R34" s="299">
        <f t="shared" ca="1" si="8"/>
        <v>7337.0626701204737</v>
      </c>
      <c r="S34" s="299"/>
      <c r="T34" s="301">
        <f t="shared" ca="1" si="5"/>
        <v>197092.68799062626</v>
      </c>
      <c r="V34" s="373">
        <f t="shared" ca="1" si="9"/>
        <v>5517.5527536808513</v>
      </c>
      <c r="W34" t="str">
        <f t="shared" si="10"/>
        <v>S.017</v>
      </c>
    </row>
    <row r="35" spans="1:23">
      <c r="A35" s="321" t="s">
        <v>202</v>
      </c>
      <c r="B35" s="294" t="s">
        <v>185</v>
      </c>
      <c r="C35" s="302" t="str">
        <f t="shared" ca="1" si="0"/>
        <v>Port Robson (SW 138 kV Loop -- 2008)</v>
      </c>
      <c r="D35" s="296">
        <f t="shared" ca="1" si="0"/>
        <v>2009</v>
      </c>
      <c r="E35" s="325">
        <f t="shared" ca="1" si="0"/>
        <v>0</v>
      </c>
      <c r="F35" s="326">
        <f t="shared" ca="1" si="0"/>
        <v>0</v>
      </c>
      <c r="G35" s="326">
        <f t="shared" ca="1" si="11"/>
        <v>0</v>
      </c>
      <c r="H35" s="327"/>
      <c r="I35" s="325">
        <f t="shared" ca="1" si="6"/>
        <v>0</v>
      </c>
      <c r="J35" s="427">
        <v>0</v>
      </c>
      <c r="K35" s="298">
        <f t="shared" si="7"/>
        <v>0</v>
      </c>
      <c r="L35" s="325">
        <f t="shared" si="2"/>
        <v>0</v>
      </c>
      <c r="M35" s="325"/>
      <c r="N35" s="326">
        <v>0</v>
      </c>
      <c r="O35" s="326">
        <v>0</v>
      </c>
      <c r="P35" s="326">
        <f t="shared" si="12"/>
        <v>0</v>
      </c>
      <c r="Q35" s="325">
        <f t="shared" ca="1" si="4"/>
        <v>0</v>
      </c>
      <c r="R35" s="299">
        <f t="shared" ca="1" si="8"/>
        <v>0</v>
      </c>
      <c r="S35" s="299"/>
      <c r="T35" s="301">
        <f t="shared" ca="1" si="5"/>
        <v>0</v>
      </c>
      <c r="V35" s="373">
        <f t="shared" ca="1" si="9"/>
        <v>0</v>
      </c>
      <c r="W35" t="str">
        <f t="shared" si="10"/>
        <v>S.018</v>
      </c>
    </row>
    <row r="36" spans="1:23">
      <c r="A36" s="321" t="s">
        <v>203</v>
      </c>
      <c r="B36" s="294" t="s">
        <v>185</v>
      </c>
      <c r="C36" s="302" t="str">
        <f t="shared" ca="1" si="0"/>
        <v>Wallace Lake-Prt Robson-Red Point 138 kV Loop</v>
      </c>
      <c r="D36" s="296">
        <f t="shared" ca="1" si="0"/>
        <v>2008</v>
      </c>
      <c r="E36" s="325">
        <f t="shared" ca="1" si="0"/>
        <v>436084.01666239509</v>
      </c>
      <c r="F36" s="326">
        <f t="shared" ca="1" si="0"/>
        <v>0</v>
      </c>
      <c r="G36" s="326">
        <f t="shared" ca="1" si="11"/>
        <v>436084.01666239509</v>
      </c>
      <c r="H36" s="327"/>
      <c r="I36" s="325">
        <f t="shared" ca="1" si="6"/>
        <v>-9682.4289574066643</v>
      </c>
      <c r="J36" s="427">
        <v>508897.24510867806</v>
      </c>
      <c r="K36" s="298">
        <f t="shared" si="7"/>
        <v>487121.10160285921</v>
      </c>
      <c r="L36" s="325">
        <f t="shared" si="2"/>
        <v>21776.143505818851</v>
      </c>
      <c r="M36" s="325"/>
      <c r="N36" s="326">
        <v>0</v>
      </c>
      <c r="O36" s="326">
        <v>0</v>
      </c>
      <c r="P36" s="326">
        <f t="shared" si="12"/>
        <v>0</v>
      </c>
      <c r="Q36" s="325">
        <f t="shared" ca="1" si="4"/>
        <v>3988.1147548152471</v>
      </c>
      <c r="R36" s="299">
        <f t="shared" ca="1" si="8"/>
        <v>16081.829303227434</v>
      </c>
      <c r="S36" s="299"/>
      <c r="T36" s="301">
        <f t="shared" ca="1" si="5"/>
        <v>452165.84596562252</v>
      </c>
      <c r="V36" s="373">
        <f t="shared" ca="1" si="9"/>
        <v>12093.714548412187</v>
      </c>
      <c r="W36" t="str">
        <f t="shared" si="10"/>
        <v>S.019</v>
      </c>
    </row>
    <row r="37" spans="1:23" ht="25.5">
      <c r="A37" s="321" t="s">
        <v>204</v>
      </c>
      <c r="B37" s="294" t="s">
        <v>185</v>
      </c>
      <c r="C37" s="302" t="str">
        <f t="shared" ca="1" si="0"/>
        <v>[NW Ark Area Improve - 2008]  Elm Springs, East Rogers, Shipe Road Stations</v>
      </c>
      <c r="D37" s="296">
        <f t="shared" ca="1" si="0"/>
        <v>2008</v>
      </c>
      <c r="E37" s="325">
        <f t="shared" ca="1" si="0"/>
        <v>0</v>
      </c>
      <c r="F37" s="326">
        <f t="shared" ca="1" si="0"/>
        <v>0</v>
      </c>
      <c r="G37" s="326">
        <f t="shared" ref="G37:G42" ca="1" si="13">+E37+F37</f>
        <v>0</v>
      </c>
      <c r="H37" s="327"/>
      <c r="I37" s="325">
        <f t="shared" ca="1" si="6"/>
        <v>0</v>
      </c>
      <c r="J37" s="427">
        <v>0</v>
      </c>
      <c r="K37" s="298">
        <f t="shared" si="7"/>
        <v>0</v>
      </c>
      <c r="L37" s="325">
        <f t="shared" si="2"/>
        <v>0</v>
      </c>
      <c r="M37" s="325"/>
      <c r="N37" s="326">
        <v>0</v>
      </c>
      <c r="O37" s="326">
        <v>0</v>
      </c>
      <c r="P37" s="326">
        <f t="shared" ref="P37:P42" si="14">+N37-O37</f>
        <v>0</v>
      </c>
      <c r="Q37" s="325">
        <f t="shared" ca="1" si="4"/>
        <v>0</v>
      </c>
      <c r="R37" s="299">
        <f t="shared" ca="1" si="8"/>
        <v>0</v>
      </c>
      <c r="S37" s="299"/>
      <c r="T37" s="301">
        <f t="shared" ca="1" si="5"/>
        <v>0</v>
      </c>
      <c r="V37" s="373">
        <f t="shared" ca="1" si="9"/>
        <v>0</v>
      </c>
      <c r="W37" t="str">
        <f t="shared" si="10"/>
        <v>S.020</v>
      </c>
    </row>
    <row r="38" spans="1:23">
      <c r="A38" s="321" t="s">
        <v>244</v>
      </c>
      <c r="B38" s="294" t="s">
        <v>185</v>
      </c>
      <c r="C38" s="302" t="str">
        <f t="shared" ca="1" si="0"/>
        <v>Reconductor 4 mi. of McNabb-Turk</v>
      </c>
      <c r="D38" s="296">
        <f t="shared" ca="1" si="0"/>
        <v>2010</v>
      </c>
      <c r="E38" s="325">
        <f t="shared" ca="1" si="0"/>
        <v>165580.97571584338</v>
      </c>
      <c r="F38" s="326">
        <f t="shared" ca="1" si="0"/>
        <v>0</v>
      </c>
      <c r="G38" s="326">
        <f t="shared" ca="1" si="13"/>
        <v>165580.97571584338</v>
      </c>
      <c r="H38" s="327"/>
      <c r="I38" s="325">
        <f t="shared" ca="1" si="6"/>
        <v>-870.4916372228181</v>
      </c>
      <c r="J38" s="427">
        <v>195237.68685395559</v>
      </c>
      <c r="K38" s="298">
        <f t="shared" si="7"/>
        <v>186883.30111589187</v>
      </c>
      <c r="L38" s="325">
        <f t="shared" si="2"/>
        <v>8354.3857380637201</v>
      </c>
      <c r="M38" s="325"/>
      <c r="N38" s="326">
        <v>0</v>
      </c>
      <c r="O38" s="326">
        <v>0</v>
      </c>
      <c r="P38" s="326">
        <f t="shared" si="14"/>
        <v>0</v>
      </c>
      <c r="Q38" s="325">
        <f t="shared" ca="1" si="4"/>
        <v>2467.9455073591948</v>
      </c>
      <c r="R38" s="299">
        <f t="shared" ca="1" si="8"/>
        <v>9951.8396082000963</v>
      </c>
      <c r="S38" s="299"/>
      <c r="T38" s="301">
        <f t="shared" ca="1" si="5"/>
        <v>175532.81532404348</v>
      </c>
      <c r="V38" s="373">
        <f t="shared" ref="V38:V43" ca="1" si="15">+I38+L38+P38</f>
        <v>7483.894100840902</v>
      </c>
      <c r="W38" t="str">
        <f t="shared" ref="W38:W43" si="16">A38</f>
        <v>S.021</v>
      </c>
    </row>
    <row r="39" spans="1:23">
      <c r="A39" s="321" t="s">
        <v>245</v>
      </c>
      <c r="B39" s="294" t="s">
        <v>185</v>
      </c>
      <c r="C39" s="302" t="str">
        <f t="shared" ca="1" si="0"/>
        <v>Longwood: r&amp;r switches, upgrade bus</v>
      </c>
      <c r="D39" s="296">
        <f t="shared" ca="1" si="0"/>
        <v>2010</v>
      </c>
      <c r="E39" s="325">
        <f t="shared" ca="1" si="0"/>
        <v>20861.468165795835</v>
      </c>
      <c r="F39" s="326">
        <f t="shared" ca="1" si="0"/>
        <v>0</v>
      </c>
      <c r="G39" s="326">
        <f t="shared" ca="1" si="13"/>
        <v>20861.468165795835</v>
      </c>
      <c r="H39" s="327"/>
      <c r="I39" s="325">
        <f t="shared" ca="1" si="6"/>
        <v>-270.34845347411101</v>
      </c>
      <c r="J39" s="427">
        <v>24475.478133559438</v>
      </c>
      <c r="K39" s="298">
        <f t="shared" si="7"/>
        <v>23428.151724676834</v>
      </c>
      <c r="L39" s="325">
        <f t="shared" si="2"/>
        <v>1047.3264088826036</v>
      </c>
      <c r="M39" s="325"/>
      <c r="N39" s="326">
        <v>0</v>
      </c>
      <c r="O39" s="326">
        <v>0</v>
      </c>
      <c r="P39" s="326">
        <f t="shared" si="14"/>
        <v>0</v>
      </c>
      <c r="Q39" s="325">
        <f t="shared" ca="1" si="4"/>
        <v>256.22212561132636</v>
      </c>
      <c r="R39" s="299">
        <f t="shared" ca="1" si="8"/>
        <v>1033.200081019819</v>
      </c>
      <c r="S39" s="299"/>
      <c r="T39" s="301">
        <f t="shared" ca="1" si="5"/>
        <v>21894.668246815654</v>
      </c>
      <c r="V39" s="373">
        <f t="shared" ca="1" si="15"/>
        <v>776.97795540849256</v>
      </c>
      <c r="W39" t="str">
        <f t="shared" si="16"/>
        <v>S.022</v>
      </c>
    </row>
    <row r="40" spans="1:23" ht="25.5">
      <c r="A40" s="321" t="s">
        <v>246</v>
      </c>
      <c r="B40" s="294" t="s">
        <v>185</v>
      </c>
      <c r="C40" s="302" t="str">
        <f t="shared" ca="1" si="0"/>
        <v>Reconductor: Greggton-Lake Lamond &amp; Quitman-Westwood 69 kV lines</v>
      </c>
      <c r="D40" s="296">
        <f t="shared" ca="1" si="0"/>
        <v>2010</v>
      </c>
      <c r="E40" s="325">
        <f t="shared" ca="1" si="0"/>
        <v>485788.09488543868</v>
      </c>
      <c r="F40" s="326">
        <f t="shared" ca="1" si="0"/>
        <v>0</v>
      </c>
      <c r="G40" s="326">
        <f t="shared" ca="1" si="13"/>
        <v>485788.09488543868</v>
      </c>
      <c r="H40" s="327"/>
      <c r="I40" s="325">
        <f t="shared" ca="1" si="6"/>
        <v>-5869.5015784915304</v>
      </c>
      <c r="J40" s="427">
        <v>570269.63654313481</v>
      </c>
      <c r="K40" s="298">
        <f t="shared" si="7"/>
        <v>545867.31650361</v>
      </c>
      <c r="L40" s="325">
        <f t="shared" si="2"/>
        <v>24402.320039524813</v>
      </c>
      <c r="M40" s="325"/>
      <c r="N40" s="326">
        <v>0</v>
      </c>
      <c r="O40" s="326">
        <v>0</v>
      </c>
      <c r="P40" s="326">
        <f t="shared" si="14"/>
        <v>0</v>
      </c>
      <c r="Q40" s="325">
        <f t="shared" ca="1" si="4"/>
        <v>6111.522349637663</v>
      </c>
      <c r="R40" s="299">
        <f t="shared" ca="1" si="8"/>
        <v>24644.340810670947</v>
      </c>
      <c r="S40" s="299"/>
      <c r="T40" s="301">
        <f t="shared" ca="1" si="5"/>
        <v>510432.43569610961</v>
      </c>
      <c r="V40" s="373">
        <f t="shared" ca="1" si="15"/>
        <v>18532.818461033283</v>
      </c>
      <c r="W40" t="str">
        <f t="shared" si="16"/>
        <v>S.023</v>
      </c>
    </row>
    <row r="41" spans="1:23" ht="25.5">
      <c r="A41" s="321" t="s">
        <v>247</v>
      </c>
      <c r="B41" s="294" t="s">
        <v>185</v>
      </c>
      <c r="C41" s="302" t="str">
        <f t="shared" ca="1" si="0"/>
        <v>Rebuild/reconductor Dyess-Elm Springs REC [Dyess Station-Flint Creek]</v>
      </c>
      <c r="D41" s="296">
        <f t="shared" ca="1" si="0"/>
        <v>2010</v>
      </c>
      <c r="E41" s="325">
        <f t="shared" ca="1" si="0"/>
        <v>531715.98941811046</v>
      </c>
      <c r="F41" s="326">
        <f t="shared" ca="1" si="0"/>
        <v>0</v>
      </c>
      <c r="G41" s="326">
        <f t="shared" ca="1" si="13"/>
        <v>531715.98941811046</v>
      </c>
      <c r="H41" s="327"/>
      <c r="I41" s="325">
        <f t="shared" ca="1" si="6"/>
        <v>-6143.1519322042586</v>
      </c>
      <c r="J41" s="427">
        <v>624399.64150630462</v>
      </c>
      <c r="K41" s="298">
        <f t="shared" si="7"/>
        <v>597681.05277525459</v>
      </c>
      <c r="L41" s="325">
        <f t="shared" si="2"/>
        <v>26718.588731050026</v>
      </c>
      <c r="M41" s="325"/>
      <c r="N41" s="326">
        <v>0</v>
      </c>
      <c r="O41" s="326">
        <v>0</v>
      </c>
      <c r="P41" s="326">
        <f t="shared" si="14"/>
        <v>0</v>
      </c>
      <c r="Q41" s="325">
        <f t="shared" ca="1" si="4"/>
        <v>6785.1116177551003</v>
      </c>
      <c r="R41" s="299">
        <f t="shared" ca="1" si="8"/>
        <v>27360.548416600868</v>
      </c>
      <c r="S41" s="299"/>
      <c r="T41" s="301">
        <f t="shared" ca="1" si="5"/>
        <v>559076.53783471137</v>
      </c>
      <c r="V41" s="373">
        <f t="shared" ca="1" si="15"/>
        <v>20575.436798845767</v>
      </c>
      <c r="W41" t="str">
        <f t="shared" si="16"/>
        <v>S.024</v>
      </c>
    </row>
    <row r="42" spans="1:23">
      <c r="A42" s="321" t="s">
        <v>248</v>
      </c>
      <c r="B42" s="294" t="s">
        <v>185</v>
      </c>
      <c r="C42" s="302" t="str">
        <f t="shared" ca="1" si="0"/>
        <v>Replace switch at Diana*</v>
      </c>
      <c r="D42" s="296">
        <f t="shared" ca="1" si="0"/>
        <v>2010</v>
      </c>
      <c r="E42" s="325">
        <f t="shared" ca="1" si="0"/>
        <v>9117.8876942146289</v>
      </c>
      <c r="F42" s="326">
        <f t="shared" ca="1" si="0"/>
        <v>0</v>
      </c>
      <c r="G42" s="326">
        <f t="shared" ca="1" si="13"/>
        <v>9117.8876942146289</v>
      </c>
      <c r="H42" s="327"/>
      <c r="I42" s="325">
        <f t="shared" ca="1" si="6"/>
        <v>-123.29218993531322</v>
      </c>
      <c r="J42" s="427">
        <v>10692.997924815445</v>
      </c>
      <c r="K42" s="298">
        <f t="shared" si="7"/>
        <v>10235.435500266503</v>
      </c>
      <c r="L42" s="325">
        <f t="shared" si="2"/>
        <v>457.56242454894164</v>
      </c>
      <c r="M42" s="325"/>
      <c r="N42" s="326">
        <v>0</v>
      </c>
      <c r="O42" s="326">
        <v>0</v>
      </c>
      <c r="P42" s="326">
        <f t="shared" si="14"/>
        <v>0</v>
      </c>
      <c r="Q42" s="325">
        <f t="shared" ca="1" si="4"/>
        <v>110.23148011486619</v>
      </c>
      <c r="R42" s="299">
        <f t="shared" ca="1" si="8"/>
        <v>444.50171472849462</v>
      </c>
      <c r="S42" s="353" t="s">
        <v>254</v>
      </c>
      <c r="T42" s="301">
        <f t="shared" ca="1" si="5"/>
        <v>9562.3894089431233</v>
      </c>
      <c r="V42" s="373">
        <f t="shared" ca="1" si="15"/>
        <v>334.27023461362842</v>
      </c>
      <c r="W42" t="str">
        <f t="shared" si="16"/>
        <v>S.025</v>
      </c>
    </row>
    <row r="43" spans="1:23">
      <c r="A43" s="321" t="s">
        <v>261</v>
      </c>
      <c r="B43" s="294" t="s">
        <v>185</v>
      </c>
      <c r="C43" s="302" t="str">
        <f t="shared" ca="1" si="0"/>
        <v>Whitney repl CB and Switches</v>
      </c>
      <c r="D43" s="296">
        <f t="shared" ca="1" si="0"/>
        <v>2011</v>
      </c>
      <c r="E43" s="325">
        <f t="shared" ca="1" si="0"/>
        <v>26174.394999763736</v>
      </c>
      <c r="F43" s="326">
        <f t="shared" ca="1" si="0"/>
        <v>0</v>
      </c>
      <c r="G43" s="326">
        <f ca="1">+E43+F43</f>
        <v>26174.394999763736</v>
      </c>
      <c r="H43" s="327"/>
      <c r="I43" s="325">
        <f t="shared" ca="1" si="6"/>
        <v>-738.31677578121526</v>
      </c>
      <c r="J43" s="427">
        <v>30400.863029243697</v>
      </c>
      <c r="K43" s="298">
        <f t="shared" si="7"/>
        <v>29099.984389422851</v>
      </c>
      <c r="L43" s="325">
        <f>+J43-K43</f>
        <v>1300.8786398208467</v>
      </c>
      <c r="M43" s="325"/>
      <c r="N43" s="326">
        <v>0</v>
      </c>
      <c r="O43" s="326">
        <v>0</v>
      </c>
      <c r="P43" s="326">
        <f>+N43-O43</f>
        <v>0</v>
      </c>
      <c r="Q43" s="325">
        <f t="shared" ca="1" si="4"/>
        <v>185.51465403715733</v>
      </c>
      <c r="R43" s="299">
        <f ca="1">I43+L43+P43+Q43</f>
        <v>748.07651807678883</v>
      </c>
      <c r="S43" s="353" t="s">
        <v>254</v>
      </c>
      <c r="T43" s="301">
        <f ca="1">+G43+R43</f>
        <v>26922.471517840524</v>
      </c>
      <c r="V43" s="373">
        <f t="shared" ca="1" si="15"/>
        <v>562.56186403963147</v>
      </c>
      <c r="W43" t="str">
        <f t="shared" si="16"/>
        <v>S.026</v>
      </c>
    </row>
    <row r="44" spans="1:23">
      <c r="A44" s="321" t="s">
        <v>277</v>
      </c>
      <c r="B44" s="294" t="s">
        <v>185</v>
      </c>
      <c r="C44" s="302" t="str">
        <f t="shared" ca="1" si="0"/>
        <v>Linwood - Powell Street 138 kV</v>
      </c>
      <c r="D44" s="296">
        <f t="shared" ca="1" si="0"/>
        <v>2012</v>
      </c>
      <c r="E44" s="325">
        <f t="shared" ca="1" si="0"/>
        <v>44709.254787961065</v>
      </c>
      <c r="F44" s="326">
        <f t="shared" ca="1" si="0"/>
        <v>0</v>
      </c>
      <c r="G44" s="326">
        <f t="shared" ref="G44:G50" ca="1" si="17">+E44+F44</f>
        <v>44709.254787961065</v>
      </c>
      <c r="H44" s="327"/>
      <c r="I44" s="325">
        <f t="shared" ca="1" si="6"/>
        <v>-596.16585808198579</v>
      </c>
      <c r="J44" s="427">
        <v>52437.064330018016</v>
      </c>
      <c r="K44" s="298">
        <f t="shared" si="7"/>
        <v>50193.237999949219</v>
      </c>
      <c r="L44" s="325">
        <f t="shared" ref="L44:L50" si="18">+J44-K44</f>
        <v>2243.8263300687977</v>
      </c>
      <c r="M44" s="325"/>
      <c r="N44" s="326">
        <v>0</v>
      </c>
      <c r="O44" s="326">
        <v>0</v>
      </c>
      <c r="P44" s="326">
        <f t="shared" ref="P44:P50" si="19">+N44-O44</f>
        <v>0</v>
      </c>
      <c r="Q44" s="325">
        <f t="shared" ref="Q44:Q50" ca="1" si="20">+V44/$V$93 * $Q$93</f>
        <v>543.34497585104566</v>
      </c>
      <c r="R44" s="299">
        <f t="shared" ref="R44:R50" ca="1" si="21">I44+L44+P44+Q44</f>
        <v>2191.0054478378574</v>
      </c>
      <c r="S44" s="353" t="s">
        <v>254</v>
      </c>
      <c r="T44" s="301">
        <f t="shared" ref="T44:T50" ca="1" si="22">+G44+R44</f>
        <v>46900.260235798924</v>
      </c>
      <c r="V44" s="373">
        <f t="shared" ref="V44:V50" ca="1" si="23">+I44+L44+P44</f>
        <v>1647.6604719868119</v>
      </c>
      <c r="W44" t="str">
        <f t="shared" ref="W44:W50" si="24">A44</f>
        <v>S.027</v>
      </c>
    </row>
    <row r="45" spans="1:23">
      <c r="A45" s="321" t="s">
        <v>278</v>
      </c>
      <c r="B45" s="294" t="s">
        <v>185</v>
      </c>
      <c r="C45" s="302" t="str">
        <f t="shared" ref="C45:F61" ca="1" si="25">INDIRECT("'"&amp; $A45 &amp; "'!" &amp;C$100)</f>
        <v xml:space="preserve">Bloomburg-Texarkana Plant </v>
      </c>
      <c r="D45" s="296">
        <f t="shared" ca="1" si="25"/>
        <v>2012</v>
      </c>
      <c r="E45" s="325">
        <f t="shared" ca="1" si="25"/>
        <v>559091.91573083529</v>
      </c>
      <c r="F45" s="326">
        <f t="shared" ca="1" si="25"/>
        <v>0</v>
      </c>
      <c r="G45" s="326">
        <f t="shared" ca="1" si="17"/>
        <v>559091.91573083529</v>
      </c>
      <c r="H45" s="327"/>
      <c r="I45" s="325">
        <f t="shared" ca="1" si="6"/>
        <v>-7334.7779520776821</v>
      </c>
      <c r="J45" s="427">
        <v>655756.59612063738</v>
      </c>
      <c r="K45" s="298">
        <f t="shared" si="7"/>
        <v>627696.21678224904</v>
      </c>
      <c r="L45" s="325">
        <f t="shared" si="18"/>
        <v>28060.379338388331</v>
      </c>
      <c r="M45" s="325"/>
      <c r="N45" s="326">
        <v>0</v>
      </c>
      <c r="O45" s="326">
        <v>0</v>
      </c>
      <c r="P45" s="326">
        <f t="shared" si="19"/>
        <v>0</v>
      </c>
      <c r="Q45" s="325">
        <f t="shared" ca="1" si="20"/>
        <v>6834.6310275710084</v>
      </c>
      <c r="R45" s="299">
        <f t="shared" ca="1" si="21"/>
        <v>27560.232413881658</v>
      </c>
      <c r="S45" s="353" t="s">
        <v>254</v>
      </c>
      <c r="T45" s="301">
        <f t="shared" ca="1" si="22"/>
        <v>586652.14814471698</v>
      </c>
      <c r="V45" s="373">
        <f t="shared" ca="1" si="23"/>
        <v>20725.601386310649</v>
      </c>
      <c r="W45" t="str">
        <f t="shared" si="24"/>
        <v>S.028</v>
      </c>
    </row>
    <row r="46" spans="1:23" ht="38.25">
      <c r="A46" s="321" t="s">
        <v>279</v>
      </c>
      <c r="B46" s="294" t="s">
        <v>185</v>
      </c>
      <c r="C46" s="302" t="str">
        <f t="shared" ca="1" si="25"/>
        <v xml:space="preserve">Knox Lee - Pirkey 138 kV / Pirkey - Whitney 138 kV - Replace Breaker,  Wavetraps, and reset relays and CT's </v>
      </c>
      <c r="D46" s="296">
        <f t="shared" ca="1" si="25"/>
        <v>2012</v>
      </c>
      <c r="E46" s="325">
        <f t="shared" ca="1" si="25"/>
        <v>202157.58077744386</v>
      </c>
      <c r="F46" s="326">
        <f t="shared" ca="1" si="25"/>
        <v>0</v>
      </c>
      <c r="G46" s="326">
        <f t="shared" ca="1" si="17"/>
        <v>202157.58077744386</v>
      </c>
      <c r="H46" s="327"/>
      <c r="I46" s="325">
        <f t="shared" ca="1" si="6"/>
        <v>-2949.6283499022247</v>
      </c>
      <c r="J46" s="427">
        <v>236872.74777007636</v>
      </c>
      <c r="K46" s="298">
        <f t="shared" si="7"/>
        <v>226736.76256355937</v>
      </c>
      <c r="L46" s="325">
        <f t="shared" si="18"/>
        <v>10135.985206516983</v>
      </c>
      <c r="M46" s="325"/>
      <c r="N46" s="326">
        <v>0</v>
      </c>
      <c r="O46" s="326">
        <v>0</v>
      </c>
      <c r="P46" s="326">
        <f t="shared" si="19"/>
        <v>0</v>
      </c>
      <c r="Q46" s="325">
        <f t="shared" ca="1" si="20"/>
        <v>2369.8273759070889</v>
      </c>
      <c r="R46" s="299">
        <f t="shared" ca="1" si="21"/>
        <v>9556.1842325218477</v>
      </c>
      <c r="S46" s="353" t="s">
        <v>254</v>
      </c>
      <c r="T46" s="301">
        <f t="shared" ca="1" si="22"/>
        <v>211713.76500996572</v>
      </c>
      <c r="V46" s="373">
        <f t="shared" ca="1" si="23"/>
        <v>7186.3568566147587</v>
      </c>
      <c r="W46" t="str">
        <f t="shared" si="24"/>
        <v>S.029</v>
      </c>
    </row>
    <row r="47" spans="1:23">
      <c r="A47" s="321" t="s">
        <v>280</v>
      </c>
      <c r="B47" s="294" t="s">
        <v>185</v>
      </c>
      <c r="C47" s="302" t="str">
        <f t="shared" ca="1" si="25"/>
        <v>NW Texarkana - Turk 345</v>
      </c>
      <c r="D47" s="296">
        <f t="shared" ca="1" si="25"/>
        <v>2012</v>
      </c>
      <c r="E47" s="325">
        <f t="shared" ca="1" si="25"/>
        <v>5084323.9573062724</v>
      </c>
      <c r="F47" s="326">
        <f t="shared" ca="1" si="25"/>
        <v>0</v>
      </c>
      <c r="G47" s="326">
        <f t="shared" ca="1" si="17"/>
        <v>5084323.9573062724</v>
      </c>
      <c r="H47" s="327"/>
      <c r="I47" s="325">
        <f t="shared" ca="1" si="6"/>
        <v>-75352.519822512753</v>
      </c>
      <c r="J47" s="427">
        <v>5956553.0697489511</v>
      </c>
      <c r="K47" s="298">
        <f t="shared" si="7"/>
        <v>5701667.1262827441</v>
      </c>
      <c r="L47" s="325">
        <f t="shared" si="18"/>
        <v>254885.94346620701</v>
      </c>
      <c r="M47" s="325"/>
      <c r="N47" s="326">
        <v>0</v>
      </c>
      <c r="O47" s="326">
        <v>0</v>
      </c>
      <c r="P47" s="326">
        <f t="shared" si="19"/>
        <v>0</v>
      </c>
      <c r="Q47" s="325">
        <f t="shared" ca="1" si="20"/>
        <v>59204.299303551779</v>
      </c>
      <c r="R47" s="299">
        <f t="shared" ca="1" si="21"/>
        <v>238737.72294724605</v>
      </c>
      <c r="S47" s="353" t="s">
        <v>254</v>
      </c>
      <c r="T47" s="301">
        <f t="shared" ca="1" si="22"/>
        <v>5323061.6802535187</v>
      </c>
      <c r="V47" s="373">
        <f t="shared" ca="1" si="23"/>
        <v>179533.42364369426</v>
      </c>
      <c r="W47" t="str">
        <f t="shared" si="24"/>
        <v>S.030</v>
      </c>
    </row>
    <row r="48" spans="1:23" ht="25.5">
      <c r="A48" s="321" t="s">
        <v>281</v>
      </c>
      <c r="B48" s="294" t="s">
        <v>185</v>
      </c>
      <c r="C48" s="302" t="str">
        <f t="shared" ca="1" si="25"/>
        <v>Lone Star South - Pittsburg 138 kV - Replace Wavetraps, reset CT's and Relays</v>
      </c>
      <c r="D48" s="296">
        <f t="shared" ca="1" si="25"/>
        <v>2012</v>
      </c>
      <c r="E48" s="325">
        <f t="shared" ca="1" si="25"/>
        <v>24452.51509919242</v>
      </c>
      <c r="F48" s="326">
        <f t="shared" ca="1" si="25"/>
        <v>0</v>
      </c>
      <c r="G48" s="326">
        <f t="shared" ca="1" si="17"/>
        <v>24452.51509919242</v>
      </c>
      <c r="H48" s="327"/>
      <c r="I48" s="325">
        <f t="shared" ca="1" si="6"/>
        <v>-278.09523457672913</v>
      </c>
      <c r="J48" s="427">
        <v>28712.860995913888</v>
      </c>
      <c r="K48" s="298">
        <f t="shared" si="7"/>
        <v>27484.213390686389</v>
      </c>
      <c r="L48" s="325">
        <f t="shared" si="18"/>
        <v>1228.6476052274993</v>
      </c>
      <c r="M48" s="325"/>
      <c r="N48" s="326">
        <v>0</v>
      </c>
      <c r="O48" s="326">
        <v>0</v>
      </c>
      <c r="P48" s="326">
        <f t="shared" si="19"/>
        <v>0</v>
      </c>
      <c r="Q48" s="325">
        <f t="shared" ca="1" si="20"/>
        <v>313.4613372460214</v>
      </c>
      <c r="R48" s="299">
        <f t="shared" ca="1" si="21"/>
        <v>1264.0137078967916</v>
      </c>
      <c r="S48" s="353" t="s">
        <v>254</v>
      </c>
      <c r="T48" s="301">
        <f t="shared" ca="1" si="22"/>
        <v>25716.528807089213</v>
      </c>
      <c r="V48" s="373">
        <f t="shared" ca="1" si="23"/>
        <v>950.55237065077017</v>
      </c>
      <c r="W48" t="str">
        <f t="shared" si="24"/>
        <v>S.031</v>
      </c>
    </row>
    <row r="49" spans="1:23">
      <c r="A49" s="321" t="s">
        <v>282</v>
      </c>
      <c r="B49" s="294" t="s">
        <v>185</v>
      </c>
      <c r="C49" s="302" t="str">
        <f t="shared" ca="1" si="25"/>
        <v>Howell-Kilgore 69 kV rebuild</v>
      </c>
      <c r="D49" s="296">
        <f t="shared" ca="1" si="25"/>
        <v>2012</v>
      </c>
      <c r="E49" s="325">
        <f t="shared" ca="1" si="25"/>
        <v>443774.73081523203</v>
      </c>
      <c r="F49" s="326">
        <f t="shared" ca="1" si="25"/>
        <v>0</v>
      </c>
      <c r="G49" s="326">
        <f t="shared" ca="1" si="17"/>
        <v>443774.73081523203</v>
      </c>
      <c r="H49" s="327"/>
      <c r="I49" s="325">
        <f t="shared" ca="1" si="6"/>
        <v>-6691.1259697239147</v>
      </c>
      <c r="J49" s="427">
        <v>519828.8341106759</v>
      </c>
      <c r="K49" s="298">
        <f t="shared" si="7"/>
        <v>497584.91866633284</v>
      </c>
      <c r="L49" s="325">
        <f t="shared" si="18"/>
        <v>22243.91544434306</v>
      </c>
      <c r="M49" s="325"/>
      <c r="N49" s="326">
        <v>0</v>
      </c>
      <c r="O49" s="326">
        <v>0</v>
      </c>
      <c r="P49" s="326">
        <f t="shared" si="19"/>
        <v>0</v>
      </c>
      <c r="Q49" s="325">
        <f t="shared" ca="1" si="20"/>
        <v>5128.8054579068494</v>
      </c>
      <c r="R49" s="299">
        <f t="shared" ca="1" si="21"/>
        <v>20681.594932525993</v>
      </c>
      <c r="S49" s="353" t="s">
        <v>254</v>
      </c>
      <c r="T49" s="301">
        <f t="shared" ca="1" si="22"/>
        <v>464456.32574775803</v>
      </c>
      <c r="V49" s="373">
        <f t="shared" ca="1" si="23"/>
        <v>15552.789474619145</v>
      </c>
      <c r="W49" t="str">
        <f t="shared" si="24"/>
        <v>S.032</v>
      </c>
    </row>
    <row r="50" spans="1:23">
      <c r="A50" s="321" t="s">
        <v>283</v>
      </c>
      <c r="B50" s="294" t="s">
        <v>185</v>
      </c>
      <c r="C50" s="302" t="str">
        <f t="shared" ca="1" si="25"/>
        <v xml:space="preserve"> Flint Creek-Shipe Road 345 kV Line</v>
      </c>
      <c r="D50" s="296">
        <f t="shared" ca="1" si="25"/>
        <v>2012</v>
      </c>
      <c r="E50" s="325">
        <f t="shared" ca="1" si="25"/>
        <v>6492529.3826129548</v>
      </c>
      <c r="F50" s="326">
        <f t="shared" ca="1" si="25"/>
        <v>0</v>
      </c>
      <c r="G50" s="326">
        <f t="shared" ca="1" si="17"/>
        <v>6492529.3826129548</v>
      </c>
      <c r="H50" s="327"/>
      <c r="I50" s="325">
        <f t="shared" ca="1" si="6"/>
        <v>-97830.328308878466</v>
      </c>
      <c r="J50" s="427">
        <v>7603950.1462161625</v>
      </c>
      <c r="K50" s="298">
        <f t="shared" si="7"/>
        <v>7278570.6886014258</v>
      </c>
      <c r="L50" s="325">
        <f t="shared" si="18"/>
        <v>325379.45761473663</v>
      </c>
      <c r="M50" s="325"/>
      <c r="N50" s="326">
        <v>0</v>
      </c>
      <c r="O50" s="326">
        <v>0</v>
      </c>
      <c r="P50" s="326">
        <f t="shared" si="19"/>
        <v>0</v>
      </c>
      <c r="Q50" s="325">
        <f t="shared" ca="1" si="20"/>
        <v>75038.321468336828</v>
      </c>
      <c r="R50" s="299">
        <f t="shared" ca="1" si="21"/>
        <v>302587.45077419502</v>
      </c>
      <c r="S50" s="353" t="s">
        <v>254</v>
      </c>
      <c r="T50" s="301">
        <f t="shared" ca="1" si="22"/>
        <v>6795116.8333871495</v>
      </c>
      <c r="V50" s="373">
        <f t="shared" ca="1" si="23"/>
        <v>227549.12930585817</v>
      </c>
      <c r="W50" t="str">
        <f t="shared" si="24"/>
        <v>S.033</v>
      </c>
    </row>
    <row r="51" spans="1:23">
      <c r="A51" s="321" t="s">
        <v>293</v>
      </c>
      <c r="B51" s="294" t="s">
        <v>185</v>
      </c>
      <c r="C51" s="302" t="str">
        <f t="shared" ca="1" si="25"/>
        <v>Bann - LS Ordnance - Hooks 69 kV - Rebuild 7.1 mi</v>
      </c>
      <c r="D51" s="296">
        <f t="shared" ca="1" si="25"/>
        <v>2013</v>
      </c>
      <c r="E51" s="325">
        <f t="shared" ca="1" si="25"/>
        <v>934465.04750491981</v>
      </c>
      <c r="F51" s="326">
        <f t="shared" ca="1" si="25"/>
        <v>0</v>
      </c>
      <c r="G51" s="326">
        <f t="shared" ref="G51:G60" ca="1" si="26">+E51+F51</f>
        <v>934465.04750491981</v>
      </c>
      <c r="H51" s="327"/>
      <c r="I51" s="325">
        <f t="shared" ca="1" si="6"/>
        <v>-14419.643237290438</v>
      </c>
      <c r="J51" s="427">
        <v>1091780.5533226063</v>
      </c>
      <c r="K51" s="298">
        <f t="shared" si="7"/>
        <v>1045062.3400987596</v>
      </c>
      <c r="L51" s="325">
        <f t="shared" ref="L51:L60" si="27">+J51-K51</f>
        <v>46718.213223846629</v>
      </c>
      <c r="M51" s="325"/>
      <c r="N51" s="326">
        <v>0</v>
      </c>
      <c r="O51" s="326">
        <v>0</v>
      </c>
      <c r="P51" s="326">
        <f t="shared" ref="P51:P60" si="28">+N51-O51</f>
        <v>0</v>
      </c>
      <c r="Q51" s="325">
        <f t="shared" ref="Q51:Q60" ca="1" si="29">+V51/$V$93 * $Q$93</f>
        <v>10651.020660953956</v>
      </c>
      <c r="R51" s="299">
        <f t="shared" ref="R51:R60" ca="1" si="30">I51+L51+P51+Q51</f>
        <v>42949.590647510151</v>
      </c>
      <c r="S51" s="353" t="s">
        <v>254</v>
      </c>
      <c r="T51" s="301">
        <f t="shared" ref="T51:T60" ca="1" si="31">+G51+R51</f>
        <v>977414.63815242995</v>
      </c>
      <c r="V51" s="373">
        <f t="shared" ref="V51:V60" ca="1" si="32">+I51+L51+P51</f>
        <v>32298.569986556191</v>
      </c>
      <c r="W51" t="str">
        <f t="shared" ref="W51:W60" si="33">A51</f>
        <v>S.034</v>
      </c>
    </row>
    <row r="52" spans="1:23">
      <c r="A52" s="321" t="s">
        <v>294</v>
      </c>
      <c r="B52" s="294" t="s">
        <v>185</v>
      </c>
      <c r="C52" s="302" t="str">
        <f t="shared" ca="1" si="25"/>
        <v>Diana - Replace North Autotransformer #3</v>
      </c>
      <c r="D52" s="296">
        <f t="shared" ca="1" si="25"/>
        <v>2013</v>
      </c>
      <c r="E52" s="325">
        <f t="shared" ca="1" si="25"/>
        <v>472563.74534296617</v>
      </c>
      <c r="F52" s="326">
        <f t="shared" ca="1" si="25"/>
        <v>0</v>
      </c>
      <c r="G52" s="326">
        <f t="shared" ca="1" si="26"/>
        <v>472563.74534296617</v>
      </c>
      <c r="H52" s="327"/>
      <c r="I52" s="325">
        <f t="shared" ca="1" si="6"/>
        <v>-7779.3753058165312</v>
      </c>
      <c r="J52" s="427">
        <v>543535.8787054884</v>
      </c>
      <c r="K52" s="298">
        <f t="shared" si="7"/>
        <v>520277.5187732699</v>
      </c>
      <c r="L52" s="325">
        <f t="shared" si="27"/>
        <v>23258.359932218504</v>
      </c>
      <c r="M52" s="325"/>
      <c r="N52" s="326">
        <v>0</v>
      </c>
      <c r="O52" s="326">
        <v>0</v>
      </c>
      <c r="P52" s="326">
        <f t="shared" si="28"/>
        <v>0</v>
      </c>
      <c r="Q52" s="325">
        <f t="shared" ca="1" si="29"/>
        <v>5104.4670130912773</v>
      </c>
      <c r="R52" s="299">
        <f t="shared" ca="1" si="30"/>
        <v>20583.451639493251</v>
      </c>
      <c r="S52" s="353" t="s">
        <v>254</v>
      </c>
      <c r="T52" s="301">
        <f t="shared" ca="1" si="31"/>
        <v>493147.1969824594</v>
      </c>
      <c r="V52" s="373">
        <f t="shared" ca="1" si="32"/>
        <v>15478.984626401972</v>
      </c>
      <c r="W52" t="str">
        <f t="shared" si="33"/>
        <v>S.035</v>
      </c>
    </row>
    <row r="53" spans="1:23">
      <c r="A53" s="321" t="s">
        <v>295</v>
      </c>
      <c r="B53" s="294" t="s">
        <v>185</v>
      </c>
      <c r="C53" s="302" t="str">
        <f t="shared" ca="1" si="25"/>
        <v>Osburn 161 kV Line Work</v>
      </c>
      <c r="D53" s="296">
        <f t="shared" ca="1" si="25"/>
        <v>2013</v>
      </c>
      <c r="E53" s="325">
        <f t="shared" ca="1" si="25"/>
        <v>707805.11517162854</v>
      </c>
      <c r="F53" s="326">
        <f t="shared" ca="1" si="25"/>
        <v>0</v>
      </c>
      <c r="G53" s="326">
        <f t="shared" ca="1" si="26"/>
        <v>707805.11517162854</v>
      </c>
      <c r="H53" s="327"/>
      <c r="I53" s="325">
        <f t="shared" ca="1" si="6"/>
        <v>-21829.140582863474</v>
      </c>
      <c r="J53" s="427">
        <v>793379.39351075469</v>
      </c>
      <c r="K53" s="298">
        <f t="shared" si="7"/>
        <v>759430.01828086877</v>
      </c>
      <c r="L53" s="325">
        <f t="shared" si="27"/>
        <v>33949.375229885918</v>
      </c>
      <c r="M53" s="325"/>
      <c r="N53" s="326">
        <v>0</v>
      </c>
      <c r="O53" s="326">
        <v>0</v>
      </c>
      <c r="P53" s="326">
        <f t="shared" si="28"/>
        <v>0</v>
      </c>
      <c r="Q53" s="325">
        <f t="shared" ca="1" si="29"/>
        <v>3996.8602230618585</v>
      </c>
      <c r="R53" s="299">
        <f t="shared" ca="1" si="30"/>
        <v>16117.094870084302</v>
      </c>
      <c r="S53" s="353" t="s">
        <v>254</v>
      </c>
      <c r="T53" s="301">
        <f t="shared" ca="1" si="31"/>
        <v>723922.21004171285</v>
      </c>
      <c r="V53" s="373">
        <f t="shared" ca="1" si="32"/>
        <v>12120.234647022444</v>
      </c>
      <c r="W53" t="str">
        <f t="shared" si="33"/>
        <v>S.036</v>
      </c>
    </row>
    <row r="54" spans="1:23" ht="25.5">
      <c r="A54" s="321" t="s">
        <v>296</v>
      </c>
      <c r="B54" s="294" t="s">
        <v>185</v>
      </c>
      <c r="C54" s="302" t="str">
        <f t="shared" ca="1" si="25"/>
        <v>SW Shreveport to Spring Ridge REC 138 kV Line Rebuild</v>
      </c>
      <c r="D54" s="296">
        <f t="shared" ca="1" si="25"/>
        <v>2013</v>
      </c>
      <c r="E54" s="325">
        <f t="shared" ca="1" si="25"/>
        <v>548891.14961656136</v>
      </c>
      <c r="F54" s="326">
        <f t="shared" ca="1" si="25"/>
        <v>0</v>
      </c>
      <c r="G54" s="326">
        <f t="shared" ca="1" si="26"/>
        <v>548891.14961656136</v>
      </c>
      <c r="H54" s="327"/>
      <c r="I54" s="325">
        <f t="shared" ca="1" si="6"/>
        <v>-8780.8434410992777</v>
      </c>
      <c r="J54" s="427">
        <v>639721.89806731604</v>
      </c>
      <c r="K54" s="298">
        <f t="shared" si="7"/>
        <v>612347.65701959003</v>
      </c>
      <c r="L54" s="325">
        <f t="shared" si="27"/>
        <v>27374.241047726013</v>
      </c>
      <c r="M54" s="325"/>
      <c r="N54" s="326">
        <v>0</v>
      </c>
      <c r="O54" s="326">
        <v>0</v>
      </c>
      <c r="P54" s="326">
        <f t="shared" si="28"/>
        <v>0</v>
      </c>
      <c r="Q54" s="325">
        <f t="shared" ca="1" si="29"/>
        <v>6131.4993867512985</v>
      </c>
      <c r="R54" s="299">
        <f t="shared" ca="1" si="30"/>
        <v>24724.896993378032</v>
      </c>
      <c r="S54" s="353" t="s">
        <v>254</v>
      </c>
      <c r="T54" s="301">
        <f t="shared" ca="1" si="31"/>
        <v>573616.04660993943</v>
      </c>
      <c r="V54" s="373">
        <f t="shared" ca="1" si="32"/>
        <v>18593.397606626735</v>
      </c>
      <c r="W54" t="str">
        <f t="shared" si="33"/>
        <v>S.037</v>
      </c>
    </row>
    <row r="55" spans="1:23" ht="25.5">
      <c r="A55" s="321" t="s">
        <v>297</v>
      </c>
      <c r="B55" s="294" t="s">
        <v>185</v>
      </c>
      <c r="C55" s="302" t="str">
        <f t="shared" ca="1" si="25"/>
        <v>Eastex Switching Station - Whitney 138 kV Station - Rebuild 2.5 miles of 138 Kv</v>
      </c>
      <c r="D55" s="296">
        <f t="shared" ca="1" si="25"/>
        <v>2013</v>
      </c>
      <c r="E55" s="325">
        <f t="shared" ca="1" si="25"/>
        <v>285789.06420955004</v>
      </c>
      <c r="F55" s="326">
        <f t="shared" ca="1" si="25"/>
        <v>0</v>
      </c>
      <c r="G55" s="326">
        <f t="shared" ca="1" si="26"/>
        <v>285789.06420955004</v>
      </c>
      <c r="H55" s="327"/>
      <c r="I55" s="325">
        <f t="shared" ca="1" si="6"/>
        <v>-3551.4415167319821</v>
      </c>
      <c r="J55" s="427">
        <v>338189.50973209995</v>
      </c>
      <c r="K55" s="298">
        <f t="shared" si="7"/>
        <v>323718.09459501074</v>
      </c>
      <c r="L55" s="325">
        <f t="shared" si="27"/>
        <v>14471.415137089207</v>
      </c>
      <c r="M55" s="325"/>
      <c r="N55" s="326">
        <v>0</v>
      </c>
      <c r="O55" s="326">
        <v>0</v>
      </c>
      <c r="P55" s="326">
        <f t="shared" si="28"/>
        <v>0</v>
      </c>
      <c r="Q55" s="325">
        <f t="shared" ca="1" si="29"/>
        <v>3601.0530712631812</v>
      </c>
      <c r="R55" s="299">
        <f t="shared" ca="1" si="30"/>
        <v>14521.026691620405</v>
      </c>
      <c r="S55" s="353" t="s">
        <v>254</v>
      </c>
      <c r="T55" s="301">
        <f t="shared" ca="1" si="31"/>
        <v>300310.09090117045</v>
      </c>
      <c r="V55" s="373">
        <f t="shared" ca="1" si="32"/>
        <v>10919.973620357225</v>
      </c>
      <c r="W55" t="str">
        <f t="shared" si="33"/>
        <v>S.038</v>
      </c>
    </row>
    <row r="56" spans="1:23" ht="25.5">
      <c r="A56" s="400" t="s">
        <v>307</v>
      </c>
      <c r="B56" s="294" t="s">
        <v>185</v>
      </c>
      <c r="C56" s="302" t="str">
        <f t="shared" ca="1" si="25"/>
        <v>Ashdown West - Craig Junction 138KV Rebuild (tie w/PSO)</v>
      </c>
      <c r="D56" s="296">
        <f t="shared" ca="1" si="25"/>
        <v>2013</v>
      </c>
      <c r="E56" s="325">
        <f t="shared" ca="1" si="25"/>
        <v>465442.74660414137</v>
      </c>
      <c r="F56" s="326">
        <f t="shared" ca="1" si="25"/>
        <v>0</v>
      </c>
      <c r="G56" s="326">
        <f t="shared" ca="1" si="26"/>
        <v>465442.74660414137</v>
      </c>
      <c r="H56" s="327"/>
      <c r="I56" s="325">
        <f t="shared" ca="1" si="6"/>
        <v>-6841.8693934823386</v>
      </c>
      <c r="J56" s="427">
        <v>545257.28500613489</v>
      </c>
      <c r="K56" s="298">
        <f t="shared" si="7"/>
        <v>521925.26464247372</v>
      </c>
      <c r="L56" s="325">
        <f t="shared" si="27"/>
        <v>23332.02036366117</v>
      </c>
      <c r="M56" s="325"/>
      <c r="N56" s="326">
        <v>0</v>
      </c>
      <c r="O56" s="326">
        <v>0</v>
      </c>
      <c r="P56" s="326">
        <f t="shared" si="28"/>
        <v>0</v>
      </c>
      <c r="Q56" s="325">
        <f t="shared" ca="1" si="29"/>
        <v>5437.9168724414421</v>
      </c>
      <c r="R56" s="299">
        <f t="shared" ca="1" si="30"/>
        <v>21928.067842620272</v>
      </c>
      <c r="S56" s="353" t="s">
        <v>254</v>
      </c>
      <c r="T56" s="301">
        <f t="shared" ca="1" si="31"/>
        <v>487370.81444676162</v>
      </c>
      <c r="V56" s="373">
        <f t="shared" ca="1" si="32"/>
        <v>16490.150970178831</v>
      </c>
      <c r="W56" t="str">
        <f t="shared" si="33"/>
        <v>S.039</v>
      </c>
    </row>
    <row r="57" spans="1:23">
      <c r="A57" s="400" t="s">
        <v>308</v>
      </c>
      <c r="B57" s="294" t="s">
        <v>185</v>
      </c>
      <c r="C57" s="302" t="str">
        <f t="shared" ca="1" si="25"/>
        <v xml:space="preserve">Rock Hill to Carthage 69 kV Rebuild 11.4 Miles </v>
      </c>
      <c r="D57" s="296">
        <f t="shared" ca="1" si="25"/>
        <v>2014</v>
      </c>
      <c r="E57" s="325">
        <f t="shared" ca="1" si="25"/>
        <v>1065891.6711645229</v>
      </c>
      <c r="F57" s="326">
        <f t="shared" ca="1" si="25"/>
        <v>0</v>
      </c>
      <c r="G57" s="326">
        <f t="shared" ca="1" si="26"/>
        <v>1065891.6711645229</v>
      </c>
      <c r="H57" s="327"/>
      <c r="I57" s="325">
        <f t="shared" ca="1" si="6"/>
        <v>-16089.852805063827</v>
      </c>
      <c r="J57" s="427">
        <v>1250366.8161513954</v>
      </c>
      <c r="K57" s="298">
        <f t="shared" si="7"/>
        <v>1196862.5626205832</v>
      </c>
      <c r="L57" s="325">
        <f t="shared" si="27"/>
        <v>53504.253530812217</v>
      </c>
      <c r="M57" s="325"/>
      <c r="N57" s="326">
        <v>0</v>
      </c>
      <c r="O57" s="326">
        <v>0</v>
      </c>
      <c r="P57" s="326">
        <f t="shared" si="28"/>
        <v>0</v>
      </c>
      <c r="Q57" s="325">
        <f t="shared" ca="1" si="29"/>
        <v>12338.055688317696</v>
      </c>
      <c r="R57" s="299">
        <f t="shared" ca="1" si="30"/>
        <v>49752.456414066088</v>
      </c>
      <c r="S57" s="353" t="s">
        <v>254</v>
      </c>
      <c r="T57" s="301">
        <f t="shared" ca="1" si="31"/>
        <v>1115644.1275785889</v>
      </c>
      <c r="V57" s="373">
        <f t="shared" ca="1" si="32"/>
        <v>37414.40072574839</v>
      </c>
      <c r="W57" t="str">
        <f t="shared" si="33"/>
        <v>S.040</v>
      </c>
    </row>
    <row r="58" spans="1:23">
      <c r="A58" s="400" t="s">
        <v>309</v>
      </c>
      <c r="B58" s="294" t="s">
        <v>185</v>
      </c>
      <c r="C58" s="302" t="str">
        <f t="shared" ca="1" si="25"/>
        <v>Broadmoor to Fern Street 69 kV Rebuild 1 mile</v>
      </c>
      <c r="D58" s="296">
        <f t="shared" ca="1" si="25"/>
        <v>2014</v>
      </c>
      <c r="E58" s="325">
        <f t="shared" ca="1" si="25"/>
        <v>546157.53265287506</v>
      </c>
      <c r="F58" s="326">
        <f t="shared" ca="1" si="25"/>
        <v>0</v>
      </c>
      <c r="G58" s="326">
        <f t="shared" ca="1" si="26"/>
        <v>546157.53265287506</v>
      </c>
      <c r="H58" s="327"/>
      <c r="I58" s="325">
        <f t="shared" ca="1" si="6"/>
        <v>-8093.627975943964</v>
      </c>
      <c r="J58" s="427">
        <v>645113.95248441538</v>
      </c>
      <c r="K58" s="298">
        <f t="shared" si="7"/>
        <v>617508.98086798121</v>
      </c>
      <c r="L58" s="325">
        <f t="shared" si="27"/>
        <v>27604.971616434166</v>
      </c>
      <c r="M58" s="325"/>
      <c r="N58" s="326">
        <v>0</v>
      </c>
      <c r="O58" s="326">
        <v>0</v>
      </c>
      <c r="P58" s="326">
        <f t="shared" si="28"/>
        <v>0</v>
      </c>
      <c r="Q58" s="325">
        <f t="shared" ca="1" si="29"/>
        <v>6434.2082118290064</v>
      </c>
      <c r="R58" s="299">
        <f t="shared" ca="1" si="30"/>
        <v>25945.551852319208</v>
      </c>
      <c r="S58" s="353" t="s">
        <v>254</v>
      </c>
      <c r="T58" s="301">
        <f t="shared" ca="1" si="31"/>
        <v>572103.08450519422</v>
      </c>
      <c r="V58" s="373">
        <f t="shared" ca="1" si="32"/>
        <v>19511.343640490202</v>
      </c>
      <c r="W58" t="str">
        <f t="shared" si="33"/>
        <v>S.041</v>
      </c>
    </row>
    <row r="59" spans="1:23" ht="25.5" customHeight="1">
      <c r="A59" s="400" t="s">
        <v>310</v>
      </c>
      <c r="B59" s="294" t="s">
        <v>185</v>
      </c>
      <c r="C59" s="302" t="str">
        <f t="shared" ca="1" si="25"/>
        <v>Northwest Henderson to Poynter 69 kV Rebuild 3.2 miles</v>
      </c>
      <c r="D59" s="296">
        <f t="shared" ca="1" si="25"/>
        <v>2014</v>
      </c>
      <c r="E59" s="325">
        <f t="shared" ca="1" si="25"/>
        <v>587930.15868984</v>
      </c>
      <c r="F59" s="326">
        <f t="shared" ca="1" si="25"/>
        <v>0</v>
      </c>
      <c r="G59" s="326">
        <f t="shared" ca="1" si="26"/>
        <v>587930.15868984</v>
      </c>
      <c r="H59" s="327"/>
      <c r="I59" s="325">
        <f t="shared" ca="1" si="6"/>
        <v>-9922.3426097495249</v>
      </c>
      <c r="J59" s="427">
        <v>684403.04738534929</v>
      </c>
      <c r="K59" s="298">
        <f t="shared" si="7"/>
        <v>655116.86217029602</v>
      </c>
      <c r="L59" s="325">
        <f t="shared" si="27"/>
        <v>29286.185215053265</v>
      </c>
      <c r="M59" s="325"/>
      <c r="N59" s="326">
        <v>0</v>
      </c>
      <c r="O59" s="326">
        <v>0</v>
      </c>
      <c r="P59" s="326">
        <f t="shared" si="28"/>
        <v>0</v>
      </c>
      <c r="Q59" s="325">
        <f t="shared" ca="1" si="29"/>
        <v>6385.5671551525957</v>
      </c>
      <c r="R59" s="299">
        <f t="shared" ca="1" si="30"/>
        <v>25749.409760456336</v>
      </c>
      <c r="S59" s="353" t="s">
        <v>254</v>
      </c>
      <c r="T59" s="301">
        <f t="shared" ca="1" si="31"/>
        <v>613679.5684502963</v>
      </c>
      <c r="V59" s="373">
        <f t="shared" ca="1" si="32"/>
        <v>19363.84260530374</v>
      </c>
      <c r="W59" t="str">
        <f t="shared" si="33"/>
        <v>S.042</v>
      </c>
    </row>
    <row r="60" spans="1:23" ht="28.5" customHeight="1">
      <c r="A60" s="400" t="s">
        <v>311</v>
      </c>
      <c r="B60" s="294" t="s">
        <v>185</v>
      </c>
      <c r="C60" s="302" t="str">
        <f t="shared" ca="1" si="25"/>
        <v>Diana to Perdue 138 kV Rebuild 21.8 miles; Station Upgrades at Diana and Perdue</v>
      </c>
      <c r="D60" s="296">
        <f t="shared" ca="1" si="25"/>
        <v>2014</v>
      </c>
      <c r="E60" s="325">
        <f t="shared" ca="1" si="25"/>
        <v>1656690.9906646225</v>
      </c>
      <c r="F60" s="326">
        <f t="shared" ca="1" si="25"/>
        <v>0</v>
      </c>
      <c r="G60" s="326">
        <f t="shared" ca="1" si="26"/>
        <v>1656690.9906646225</v>
      </c>
      <c r="H60" s="327"/>
      <c r="I60" s="325">
        <f t="shared" ca="1" si="6"/>
        <v>-36316.95012534759</v>
      </c>
      <c r="J60" s="427">
        <v>1933258.5464621638</v>
      </c>
      <c r="K60" s="298">
        <f t="shared" si="7"/>
        <v>1850532.7782520799</v>
      </c>
      <c r="L60" s="325">
        <f t="shared" si="27"/>
        <v>82725.768210083945</v>
      </c>
      <c r="M60" s="325"/>
      <c r="N60" s="326">
        <v>0</v>
      </c>
      <c r="O60" s="326">
        <v>0</v>
      </c>
      <c r="P60" s="326">
        <f t="shared" si="28"/>
        <v>0</v>
      </c>
      <c r="Q60" s="325">
        <f t="shared" ca="1" si="29"/>
        <v>15304.122766943745</v>
      </c>
      <c r="R60" s="299">
        <f t="shared" ca="1" si="30"/>
        <v>61712.940851680098</v>
      </c>
      <c r="S60" s="353" t="s">
        <v>254</v>
      </c>
      <c r="T60" s="301">
        <f t="shared" ca="1" si="31"/>
        <v>1718403.9315163025</v>
      </c>
      <c r="V60" s="373">
        <f t="shared" ca="1" si="32"/>
        <v>46408.818084736355</v>
      </c>
      <c r="W60" t="str">
        <f t="shared" si="33"/>
        <v>S.043</v>
      </c>
    </row>
    <row r="61" spans="1:23" ht="17.25" customHeight="1">
      <c r="A61" s="400" t="s">
        <v>333</v>
      </c>
      <c r="B61" s="294" t="s">
        <v>185</v>
      </c>
      <c r="C61" s="302" t="str">
        <f t="shared" ca="1" si="25"/>
        <v>Pittsburg-Winnsboro-North Mineola</v>
      </c>
      <c r="D61" s="296">
        <f t="shared" ca="1" si="25"/>
        <v>2007</v>
      </c>
      <c r="E61" s="325">
        <f t="shared" ca="1" si="25"/>
        <v>2776246.7302931701</v>
      </c>
      <c r="F61" s="326">
        <f t="shared" ca="1" si="25"/>
        <v>0</v>
      </c>
      <c r="G61" s="326">
        <f t="shared" ref="G61:G71" ca="1" si="34">+E61+F61</f>
        <v>2776246.7302931701</v>
      </c>
      <c r="H61" s="327"/>
      <c r="I61" s="325">
        <f t="shared" ca="1" si="6"/>
        <v>573183.54713025456</v>
      </c>
      <c r="J61" s="427">
        <v>3760501.9486012473</v>
      </c>
      <c r="K61" s="298">
        <f t="shared" si="7"/>
        <v>3599586.8898664252</v>
      </c>
      <c r="L61" s="325">
        <f t="shared" ref="L61:L71" si="35">+J61-K61</f>
        <v>160915.05873482209</v>
      </c>
      <c r="M61" s="325"/>
      <c r="N61" s="326">
        <v>0</v>
      </c>
      <c r="O61" s="326">
        <v>0</v>
      </c>
      <c r="P61" s="326">
        <f t="shared" ref="P61:P71" si="36">+N61-O61</f>
        <v>0</v>
      </c>
      <c r="Q61" s="325">
        <f t="shared" ref="Q61:Q71" ca="1" si="37">+V61/$V$93 * $Q$93</f>
        <v>242081.90707826786</v>
      </c>
      <c r="R61" s="299">
        <f t="shared" ref="R61:R71" ca="1" si="38">I61+L61+P61+Q61</f>
        <v>976180.51294334454</v>
      </c>
      <c r="S61" s="353" t="s">
        <v>254</v>
      </c>
      <c r="T61" s="301">
        <f t="shared" ref="T61:T71" ca="1" si="39">+G61+R61</f>
        <v>3752427.2432365147</v>
      </c>
      <c r="V61" s="373">
        <f t="shared" ref="V61:V71" ca="1" si="40">+I61+L61+P61</f>
        <v>734098.60586507665</v>
      </c>
      <c r="W61" t="str">
        <f t="shared" ref="W61:W71" si="41">A61</f>
        <v>S.044</v>
      </c>
    </row>
    <row r="62" spans="1:23" ht="17.25" customHeight="1">
      <c r="A62" s="400" t="s">
        <v>334</v>
      </c>
      <c r="B62" s="294" t="s">
        <v>185</v>
      </c>
      <c r="C62" s="302" t="str">
        <f t="shared" ref="C62:F78" ca="1" si="42">INDIRECT("'"&amp; $A62 &amp; "'!" &amp;C$100)</f>
        <v>CHAMBER SPRINGS - TONTITOWN 161KV CKT 1</v>
      </c>
      <c r="D62" s="296">
        <f t="shared" ca="1" si="42"/>
        <v>2007</v>
      </c>
      <c r="E62" s="325">
        <f t="shared" ca="1" si="42"/>
        <v>249360.90673587442</v>
      </c>
      <c r="F62" s="326">
        <f t="shared" ca="1" si="42"/>
        <v>0</v>
      </c>
      <c r="G62" s="326">
        <f t="shared" ca="1" si="34"/>
        <v>249360.90673587442</v>
      </c>
      <c r="H62" s="327"/>
      <c r="I62" s="325">
        <f t="shared" ca="1" si="6"/>
        <v>57700.379854610015</v>
      </c>
      <c r="J62" s="427">
        <v>342904.03722592746</v>
      </c>
      <c r="K62" s="298">
        <f t="shared" si="7"/>
        <v>328230.88347017899</v>
      </c>
      <c r="L62" s="325">
        <f t="shared" si="35"/>
        <v>14673.15375574847</v>
      </c>
      <c r="M62" s="325"/>
      <c r="N62" s="326">
        <v>0</v>
      </c>
      <c r="O62" s="326">
        <v>0</v>
      </c>
      <c r="P62" s="326">
        <f t="shared" si="36"/>
        <v>0</v>
      </c>
      <c r="Q62" s="325">
        <f t="shared" ca="1" si="37"/>
        <v>23866.443688096089</v>
      </c>
      <c r="R62" s="299">
        <f t="shared" ca="1" si="38"/>
        <v>96239.977298454571</v>
      </c>
      <c r="S62" s="353" t="s">
        <v>254</v>
      </c>
      <c r="T62" s="301">
        <f t="shared" ca="1" si="39"/>
        <v>345600.88403432898</v>
      </c>
      <c r="V62" s="373">
        <f t="shared" ca="1" si="40"/>
        <v>72373.533610358485</v>
      </c>
      <c r="W62" t="str">
        <f t="shared" si="41"/>
        <v>S.045</v>
      </c>
    </row>
    <row r="63" spans="1:23" ht="17.25" customHeight="1">
      <c r="A63" s="400" t="s">
        <v>335</v>
      </c>
      <c r="B63" s="294" t="s">
        <v>185</v>
      </c>
      <c r="C63" s="302" t="str">
        <f t="shared" ca="1" si="42"/>
        <v>CHAMBER SPRINGS - TONTITOWN 345KV CKT 1</v>
      </c>
      <c r="D63" s="296">
        <f t="shared" ca="1" si="42"/>
        <v>2008</v>
      </c>
      <c r="E63" s="325">
        <f t="shared" ca="1" si="42"/>
        <v>1575824.6681806555</v>
      </c>
      <c r="F63" s="326">
        <f t="shared" ca="1" si="42"/>
        <v>0</v>
      </c>
      <c r="G63" s="326">
        <f t="shared" ca="1" si="34"/>
        <v>1575824.6681806555</v>
      </c>
      <c r="H63" s="327"/>
      <c r="I63" s="325">
        <f t="shared" ca="1" si="6"/>
        <v>296720.7367505827</v>
      </c>
      <c r="J63" s="427">
        <v>2110843.4283784716</v>
      </c>
      <c r="K63" s="298">
        <f t="shared" si="7"/>
        <v>2020518.6528830414</v>
      </c>
      <c r="L63" s="325">
        <f t="shared" si="35"/>
        <v>90324.775495430222</v>
      </c>
      <c r="M63" s="325"/>
      <c r="N63" s="326">
        <v>0</v>
      </c>
      <c r="O63" s="326">
        <v>0</v>
      </c>
      <c r="P63" s="326">
        <f t="shared" si="36"/>
        <v>0</v>
      </c>
      <c r="Q63" s="325">
        <f t="shared" ca="1" si="37"/>
        <v>127635.05472154626</v>
      </c>
      <c r="R63" s="299">
        <f t="shared" ca="1" si="38"/>
        <v>514680.56696755916</v>
      </c>
      <c r="S63" s="353" t="s">
        <v>254</v>
      </c>
      <c r="T63" s="301">
        <f t="shared" ca="1" si="39"/>
        <v>2090505.2351482147</v>
      </c>
      <c r="V63" s="373">
        <f t="shared" ca="1" si="40"/>
        <v>387045.51224601292</v>
      </c>
      <c r="W63" t="str">
        <f t="shared" si="41"/>
        <v>S.046</v>
      </c>
    </row>
    <row r="64" spans="1:23" ht="17.25" customHeight="1">
      <c r="A64" s="400" t="s">
        <v>336</v>
      </c>
      <c r="B64" s="294" t="s">
        <v>185</v>
      </c>
      <c r="C64" s="302" t="str">
        <f t="shared" ca="1" si="42"/>
        <v>FULTON - HOPE 115KV CKT 1</v>
      </c>
      <c r="D64" s="296">
        <f t="shared" ca="1" si="42"/>
        <v>2012</v>
      </c>
      <c r="E64" s="325">
        <f t="shared" ca="1" si="42"/>
        <v>83084.800810450004</v>
      </c>
      <c r="F64" s="326">
        <f t="shared" ca="1" si="42"/>
        <v>0</v>
      </c>
      <c r="G64" s="326">
        <f t="shared" ca="1" si="34"/>
        <v>83084.800810450004</v>
      </c>
      <c r="H64" s="327"/>
      <c r="I64" s="325">
        <f t="shared" ca="1" si="6"/>
        <v>5406.9384864714957</v>
      </c>
      <c r="J64" s="427">
        <v>102833.38966326017</v>
      </c>
      <c r="K64" s="298">
        <f t="shared" si="7"/>
        <v>98433.06195070059</v>
      </c>
      <c r="L64" s="325">
        <f t="shared" si="35"/>
        <v>4400.3277125595778</v>
      </c>
      <c r="M64" s="325"/>
      <c r="N64" s="326">
        <v>0</v>
      </c>
      <c r="O64" s="326">
        <v>0</v>
      </c>
      <c r="P64" s="326">
        <f t="shared" si="36"/>
        <v>0</v>
      </c>
      <c r="Q64" s="325">
        <f t="shared" ca="1" si="37"/>
        <v>3234.1182583883497</v>
      </c>
      <c r="R64" s="299">
        <f t="shared" ca="1" si="38"/>
        <v>13041.384457419423</v>
      </c>
      <c r="S64" s="353" t="s">
        <v>254</v>
      </c>
      <c r="T64" s="301">
        <f t="shared" ca="1" si="39"/>
        <v>96126.185267869427</v>
      </c>
      <c r="V64" s="373">
        <f t="shared" ca="1" si="40"/>
        <v>9807.2661990310735</v>
      </c>
      <c r="W64" t="str">
        <f t="shared" si="41"/>
        <v>S.047</v>
      </c>
    </row>
    <row r="65" spans="1:23" ht="17.25" customHeight="1">
      <c r="A65" s="400" t="s">
        <v>337</v>
      </c>
      <c r="B65" s="294" t="s">
        <v>185</v>
      </c>
      <c r="C65" s="302" t="str">
        <f t="shared" ca="1" si="42"/>
        <v>MINEOLA - NORTH MINEOLA 69KV CKT 1</v>
      </c>
      <c r="D65" s="296">
        <f t="shared" ca="1" si="42"/>
        <v>2010</v>
      </c>
      <c r="E65" s="325">
        <f t="shared" ca="1" si="42"/>
        <v>16175.544883269005</v>
      </c>
      <c r="F65" s="326">
        <f t="shared" ca="1" si="42"/>
        <v>0</v>
      </c>
      <c r="G65" s="326">
        <f t="shared" ca="1" si="34"/>
        <v>16175.544883269005</v>
      </c>
      <c r="H65" s="327"/>
      <c r="I65" s="325">
        <f t="shared" ca="1" si="6"/>
        <v>2027.4834847716229</v>
      </c>
      <c r="J65" s="427">
        <v>20825.912694281938</v>
      </c>
      <c r="K65" s="298">
        <f t="shared" si="7"/>
        <v>19934.754277078307</v>
      </c>
      <c r="L65" s="325">
        <f t="shared" si="35"/>
        <v>891.15841720363096</v>
      </c>
      <c r="M65" s="325"/>
      <c r="N65" s="326">
        <v>0</v>
      </c>
      <c r="O65" s="326">
        <v>0</v>
      </c>
      <c r="P65" s="326">
        <f t="shared" si="36"/>
        <v>0</v>
      </c>
      <c r="Q65" s="325">
        <f t="shared" ca="1" si="37"/>
        <v>962.47342259436527</v>
      </c>
      <c r="R65" s="299">
        <f t="shared" ca="1" si="38"/>
        <v>3881.1153245696191</v>
      </c>
      <c r="S65" s="353" t="s">
        <v>254</v>
      </c>
      <c r="T65" s="301">
        <f t="shared" ca="1" si="39"/>
        <v>20056.660207838624</v>
      </c>
      <c r="V65" s="373">
        <f t="shared" ca="1" si="40"/>
        <v>2918.6419019752539</v>
      </c>
      <c r="W65" t="str">
        <f t="shared" si="41"/>
        <v>S.048</v>
      </c>
    </row>
    <row r="66" spans="1:23" ht="17.25" customHeight="1">
      <c r="A66" s="400" t="s">
        <v>338</v>
      </c>
      <c r="B66" s="294" t="s">
        <v>185</v>
      </c>
      <c r="C66" s="302" t="str">
        <f t="shared" ca="1" si="42"/>
        <v xml:space="preserve">SUGAR HILL 138/69KV TRANSFORMER CKT 1 </v>
      </c>
      <c r="D66" s="296">
        <f t="shared" ca="1" si="42"/>
        <v>2010</v>
      </c>
      <c r="E66" s="325">
        <f t="shared" ca="1" si="42"/>
        <v>2373.4725090683469</v>
      </c>
      <c r="F66" s="326">
        <f t="shared" ca="1" si="42"/>
        <v>0</v>
      </c>
      <c r="G66" s="326">
        <f t="shared" ca="1" si="34"/>
        <v>2373.4725090683469</v>
      </c>
      <c r="H66" s="327"/>
      <c r="I66" s="325">
        <f t="shared" ca="1" si="6"/>
        <v>393.91909120226774</v>
      </c>
      <c r="J66" s="427">
        <v>3027.7157975353825</v>
      </c>
      <c r="K66" s="298">
        <f t="shared" si="7"/>
        <v>2898.1572779409503</v>
      </c>
      <c r="L66" s="325">
        <f t="shared" si="35"/>
        <v>129.55851959443225</v>
      </c>
      <c r="M66" s="325"/>
      <c r="N66" s="326">
        <v>0</v>
      </c>
      <c r="O66" s="326">
        <v>0</v>
      </c>
      <c r="P66" s="326">
        <f t="shared" si="36"/>
        <v>0</v>
      </c>
      <c r="Q66" s="325">
        <f t="shared" ca="1" si="37"/>
        <v>172.62593515636189</v>
      </c>
      <c r="R66" s="299">
        <f t="shared" ca="1" si="38"/>
        <v>696.10354595306194</v>
      </c>
      <c r="S66" s="353" t="s">
        <v>254</v>
      </c>
      <c r="T66" s="301">
        <f t="shared" ca="1" si="39"/>
        <v>3069.576055021409</v>
      </c>
      <c r="V66" s="373">
        <f t="shared" ca="1" si="40"/>
        <v>523.47761079669999</v>
      </c>
      <c r="W66" t="str">
        <f t="shared" si="41"/>
        <v>S.049</v>
      </c>
    </row>
    <row r="67" spans="1:23" ht="17.25" customHeight="1">
      <c r="A67" s="400" t="s">
        <v>339</v>
      </c>
      <c r="B67" s="294" t="s">
        <v>185</v>
      </c>
      <c r="C67" s="302" t="str">
        <f t="shared" ca="1" si="42"/>
        <v>Dekalb-New Boston 69 kV</v>
      </c>
      <c r="D67" s="296">
        <f t="shared" ca="1" si="42"/>
        <v>2015</v>
      </c>
      <c r="E67" s="325">
        <f t="shared" ca="1" si="42"/>
        <v>1814670.2891577268</v>
      </c>
      <c r="F67" s="326">
        <f t="shared" ca="1" si="42"/>
        <v>0</v>
      </c>
      <c r="G67" s="326">
        <f t="shared" ca="1" si="34"/>
        <v>1814670.2891577268</v>
      </c>
      <c r="H67" s="327"/>
      <c r="I67" s="325">
        <f t="shared" ca="1" si="6"/>
        <v>-7942.9026610841975</v>
      </c>
      <c r="J67" s="427">
        <v>2199663.6082225577</v>
      </c>
      <c r="K67" s="298">
        <f t="shared" si="7"/>
        <v>2105538.1421140661</v>
      </c>
      <c r="L67" s="325">
        <f t="shared" si="35"/>
        <v>94125.466108491644</v>
      </c>
      <c r="M67" s="325"/>
      <c r="N67" s="326">
        <v>0</v>
      </c>
      <c r="O67" s="326">
        <v>0</v>
      </c>
      <c r="P67" s="326">
        <f t="shared" si="36"/>
        <v>0</v>
      </c>
      <c r="Q67" s="325">
        <f t="shared" ca="1" si="37"/>
        <v>28420.213782665545</v>
      </c>
      <c r="R67" s="299">
        <f t="shared" ca="1" si="38"/>
        <v>114602.777230073</v>
      </c>
      <c r="S67" s="353" t="s">
        <v>254</v>
      </c>
      <c r="T67" s="301">
        <f t="shared" ca="1" si="39"/>
        <v>1929273.0663877998</v>
      </c>
      <c r="V67" s="373">
        <f t="shared" ca="1" si="40"/>
        <v>86182.563447407447</v>
      </c>
      <c r="W67" t="str">
        <f t="shared" si="41"/>
        <v>S.050</v>
      </c>
    </row>
    <row r="68" spans="1:23" ht="17.25" customHeight="1">
      <c r="A68" s="400" t="s">
        <v>340</v>
      </c>
      <c r="B68" s="294" t="s">
        <v>185</v>
      </c>
      <c r="C68" s="302" t="str">
        <f t="shared" ca="1" si="42"/>
        <v>Hardy Street-Waterworks 69 kV</v>
      </c>
      <c r="D68" s="296">
        <f t="shared" ca="1" si="42"/>
        <v>2015</v>
      </c>
      <c r="E68" s="325">
        <f t="shared" ca="1" si="42"/>
        <v>622065.93295104732</v>
      </c>
      <c r="F68" s="326">
        <f t="shared" ca="1" si="42"/>
        <v>0</v>
      </c>
      <c r="G68" s="326">
        <f t="shared" ca="1" si="34"/>
        <v>622065.93295104732</v>
      </c>
      <c r="H68" s="327"/>
      <c r="I68" s="325">
        <f t="shared" ca="1" si="6"/>
        <v>3738.9207022680202</v>
      </c>
      <c r="J68" s="427">
        <v>749467.48037931114</v>
      </c>
      <c r="K68" s="298">
        <f t="shared" si="7"/>
        <v>717397.13304976525</v>
      </c>
      <c r="L68" s="325">
        <f t="shared" si="35"/>
        <v>32070.347329545883</v>
      </c>
      <c r="M68" s="325"/>
      <c r="N68" s="326">
        <v>0</v>
      </c>
      <c r="O68" s="326">
        <v>0</v>
      </c>
      <c r="P68" s="326">
        <f t="shared" si="36"/>
        <v>0</v>
      </c>
      <c r="Q68" s="325">
        <f t="shared" ca="1" si="37"/>
        <v>11808.734994126435</v>
      </c>
      <c r="R68" s="299">
        <f t="shared" ca="1" si="38"/>
        <v>47618.003025940336</v>
      </c>
      <c r="S68" s="353" t="s">
        <v>254</v>
      </c>
      <c r="T68" s="301">
        <f t="shared" ca="1" si="39"/>
        <v>669683.9359769877</v>
      </c>
      <c r="V68" s="373">
        <f t="shared" ca="1" si="40"/>
        <v>35809.268031813903</v>
      </c>
      <c r="W68" t="str">
        <f t="shared" si="41"/>
        <v>S.051</v>
      </c>
    </row>
    <row r="69" spans="1:23" ht="17.25" customHeight="1">
      <c r="A69" s="400" t="s">
        <v>341</v>
      </c>
      <c r="B69" s="294" t="s">
        <v>185</v>
      </c>
      <c r="C69" s="302" t="str">
        <f t="shared" ca="1" si="42"/>
        <v>Red Oak (State Line)-North Huntington 69 kV</v>
      </c>
      <c r="D69" s="296">
        <f t="shared" ca="1" si="42"/>
        <v>2015</v>
      </c>
      <c r="E69" s="325">
        <f t="shared" ca="1" si="42"/>
        <v>1361979.1659013417</v>
      </c>
      <c r="F69" s="326">
        <f t="shared" ca="1" si="42"/>
        <v>0</v>
      </c>
      <c r="G69" s="326">
        <f t="shared" ca="1" si="34"/>
        <v>1361979.1659013417</v>
      </c>
      <c r="H69" s="327"/>
      <c r="I69" s="325">
        <f t="shared" ca="1" si="6"/>
        <v>-20283.76199730183</v>
      </c>
      <c r="J69" s="427">
        <v>1638469.1481230608</v>
      </c>
      <c r="K69" s="298">
        <f t="shared" si="7"/>
        <v>1568357.6675789582</v>
      </c>
      <c r="L69" s="325">
        <f t="shared" si="35"/>
        <v>70111.480544102611</v>
      </c>
      <c r="M69" s="325"/>
      <c r="N69" s="326">
        <v>0</v>
      </c>
      <c r="O69" s="326">
        <v>0</v>
      </c>
      <c r="P69" s="326">
        <f t="shared" si="36"/>
        <v>0</v>
      </c>
      <c r="Q69" s="325">
        <f t="shared" ca="1" si="37"/>
        <v>16431.565234964786</v>
      </c>
      <c r="R69" s="299">
        <f t="shared" ca="1" si="38"/>
        <v>66259.283781765567</v>
      </c>
      <c r="S69" s="353" t="s">
        <v>254</v>
      </c>
      <c r="T69" s="301">
        <f t="shared" ca="1" si="39"/>
        <v>1428238.4496831072</v>
      </c>
      <c r="V69" s="373">
        <f t="shared" ca="1" si="40"/>
        <v>49827.718546800781</v>
      </c>
      <c r="W69" t="str">
        <f t="shared" si="41"/>
        <v>S.052</v>
      </c>
    </row>
    <row r="70" spans="1:23" ht="17.25" customHeight="1">
      <c r="A70" s="400" t="s">
        <v>342</v>
      </c>
      <c r="B70" s="294" t="s">
        <v>185</v>
      </c>
      <c r="C70" s="302" t="str">
        <f t="shared" ca="1" si="42"/>
        <v>Mt. Pleasant - West Mt. Pleasant 69 kV Ckt 1)</v>
      </c>
      <c r="D70" s="296">
        <f t="shared" ca="1" si="42"/>
        <v>2015</v>
      </c>
      <c r="E70" s="325">
        <f t="shared" ca="1" si="42"/>
        <v>656098.79913720628</v>
      </c>
      <c r="F70" s="326">
        <f t="shared" ca="1" si="42"/>
        <v>0</v>
      </c>
      <c r="G70" s="326">
        <f t="shared" ca="1" si="34"/>
        <v>656098.79913720628</v>
      </c>
      <c r="H70" s="327"/>
      <c r="I70" s="325">
        <f t="shared" ca="1" si="6"/>
        <v>-9998.7871246645227</v>
      </c>
      <c r="J70" s="427">
        <v>789432.67107899778</v>
      </c>
      <c r="K70" s="298">
        <f t="shared" si="7"/>
        <v>755652.17943981243</v>
      </c>
      <c r="L70" s="325">
        <f t="shared" si="35"/>
        <v>33780.491639185348</v>
      </c>
      <c r="M70" s="325"/>
      <c r="N70" s="326">
        <v>0</v>
      </c>
      <c r="O70" s="326">
        <v>0</v>
      </c>
      <c r="P70" s="326">
        <f t="shared" si="36"/>
        <v>0</v>
      </c>
      <c r="Q70" s="325">
        <f t="shared" ca="1" si="37"/>
        <v>7842.434703526982</v>
      </c>
      <c r="R70" s="299">
        <f t="shared" ca="1" si="38"/>
        <v>31624.139218047807</v>
      </c>
      <c r="S70" s="353" t="s">
        <v>254</v>
      </c>
      <c r="T70" s="301">
        <f t="shared" ca="1" si="39"/>
        <v>687722.93835525413</v>
      </c>
      <c r="V70" s="373">
        <f t="shared" ca="1" si="40"/>
        <v>23781.704514520825</v>
      </c>
      <c r="W70" t="str">
        <f t="shared" si="41"/>
        <v>S.053</v>
      </c>
    </row>
    <row r="71" spans="1:23" ht="17.25" customHeight="1">
      <c r="A71" s="400" t="s">
        <v>343</v>
      </c>
      <c r="B71" s="294" t="s">
        <v>185</v>
      </c>
      <c r="C71" s="302" t="str">
        <f t="shared" ca="1" si="42"/>
        <v>Benteler - Port Robson 138 kV Ckt 1 and 2</v>
      </c>
      <c r="D71" s="296">
        <f t="shared" ca="1" si="42"/>
        <v>2015</v>
      </c>
      <c r="E71" s="325">
        <f t="shared" ca="1" si="42"/>
        <v>1583802.9577072526</v>
      </c>
      <c r="F71" s="326">
        <f t="shared" ca="1" si="42"/>
        <v>0</v>
      </c>
      <c r="G71" s="326">
        <f t="shared" ca="1" si="34"/>
        <v>1583802.9577072526</v>
      </c>
      <c r="H71" s="327"/>
      <c r="I71" s="325">
        <f t="shared" ca="1" si="6"/>
        <v>-24079.031055758242</v>
      </c>
      <c r="J71" s="427">
        <v>1896204.864795489</v>
      </c>
      <c r="K71" s="298">
        <f t="shared" si="7"/>
        <v>1815064.654961183</v>
      </c>
      <c r="L71" s="325">
        <f t="shared" si="35"/>
        <v>81140.209834306035</v>
      </c>
      <c r="M71" s="325"/>
      <c r="N71" s="326">
        <v>0</v>
      </c>
      <c r="O71" s="326">
        <v>0</v>
      </c>
      <c r="P71" s="326">
        <f t="shared" si="36"/>
        <v>0</v>
      </c>
      <c r="Q71" s="325">
        <f t="shared" ca="1" si="37"/>
        <v>18816.925776022628</v>
      </c>
      <c r="R71" s="299">
        <f t="shared" ca="1" si="38"/>
        <v>75878.104554570426</v>
      </c>
      <c r="S71" s="353" t="s">
        <v>254</v>
      </c>
      <c r="T71" s="301">
        <f t="shared" ca="1" si="39"/>
        <v>1659681.0622618231</v>
      </c>
      <c r="V71" s="373">
        <f t="shared" ca="1" si="40"/>
        <v>57061.178778547794</v>
      </c>
      <c r="W71" t="str">
        <f t="shared" si="41"/>
        <v>S.054</v>
      </c>
    </row>
    <row r="72" spans="1:23" ht="17.25" customHeight="1">
      <c r="A72" s="400" t="s">
        <v>353</v>
      </c>
      <c r="B72" s="294" t="s">
        <v>185</v>
      </c>
      <c r="C72" s="302" t="str">
        <f t="shared" ca="1" si="42"/>
        <v>Ellerbe Rd-S Shreveport 69 kv Build</v>
      </c>
      <c r="D72" s="296">
        <f t="shared" ca="1" si="42"/>
        <v>2016</v>
      </c>
      <c r="E72" s="325">
        <f t="shared" ca="1" si="42"/>
        <v>1085624.6352381217</v>
      </c>
      <c r="F72" s="326">
        <f t="shared" ca="1" si="42"/>
        <v>0</v>
      </c>
      <c r="G72" s="326">
        <f t="shared" ref="G72:G77" ca="1" si="43">+E72+F72</f>
        <v>1085624.6352381217</v>
      </c>
      <c r="H72" s="327"/>
      <c r="I72" s="325">
        <f t="shared" ca="1" si="6"/>
        <v>-16915.353336915839</v>
      </c>
      <c r="J72" s="427">
        <v>876829.42853606725</v>
      </c>
      <c r="K72" s="298">
        <f t="shared" si="7"/>
        <v>839309.15573158604</v>
      </c>
      <c r="L72" s="325">
        <f t="shared" ref="L72:L77" si="44">+J72-K72</f>
        <v>37520.27280448121</v>
      </c>
      <c r="M72" s="325"/>
      <c r="N72" s="326">
        <v>0</v>
      </c>
      <c r="O72" s="326">
        <v>0</v>
      </c>
      <c r="P72" s="326">
        <f t="shared" ref="P72:P77" si="45">+N72-O72</f>
        <v>0</v>
      </c>
      <c r="Q72" s="325">
        <f t="shared" ref="Q72:Q77" ca="1" si="46">+V72/$V$93 * $Q$93</f>
        <v>6794.8340455221278</v>
      </c>
      <c r="R72" s="299">
        <f t="shared" ref="R72:R77" ca="1" si="47">I72+L72+P72+Q72</f>
        <v>27399.753513087497</v>
      </c>
      <c r="S72" s="353" t="s">
        <v>254</v>
      </c>
      <c r="T72" s="301">
        <f t="shared" ref="T72:T77" ca="1" si="48">+G72+R72</f>
        <v>1113024.3887512092</v>
      </c>
      <c r="V72" s="373">
        <f ca="1">+I72+L72+P72</f>
        <v>20604.919467565371</v>
      </c>
      <c r="W72" t="str">
        <f t="shared" ref="W72:W88" si="49">A72</f>
        <v>S.055</v>
      </c>
    </row>
    <row r="73" spans="1:23" ht="17.25" customHeight="1">
      <c r="A73" s="400" t="s">
        <v>354</v>
      </c>
      <c r="B73" s="294" t="s">
        <v>185</v>
      </c>
      <c r="C73" s="302" t="str">
        <f t="shared" ca="1" si="42"/>
        <v>Logansport 138 kv</v>
      </c>
      <c r="D73" s="296">
        <f t="shared" ca="1" si="42"/>
        <v>2016</v>
      </c>
      <c r="E73" s="325">
        <f t="shared" ca="1" si="42"/>
        <v>180668.12554949673</v>
      </c>
      <c r="F73" s="326">
        <f t="shared" ca="1" si="42"/>
        <v>0</v>
      </c>
      <c r="G73" s="326">
        <f t="shared" ca="1" si="43"/>
        <v>180668.12554949673</v>
      </c>
      <c r="H73" s="327"/>
      <c r="I73" s="325">
        <f t="shared" ca="1" si="6"/>
        <v>-3250.5172455138527</v>
      </c>
      <c r="J73" s="427">
        <v>187105.30855117322</v>
      </c>
      <c r="K73" s="298">
        <f t="shared" si="7"/>
        <v>179098.91415844913</v>
      </c>
      <c r="L73" s="325">
        <f t="shared" si="44"/>
        <v>8006.3943927240907</v>
      </c>
      <c r="M73" s="325"/>
      <c r="N73" s="326">
        <v>0</v>
      </c>
      <c r="O73" s="326">
        <v>0</v>
      </c>
      <c r="P73" s="326">
        <f t="shared" si="45"/>
        <v>0</v>
      </c>
      <c r="Q73" s="325">
        <f t="shared" ca="1" si="46"/>
        <v>1568.334009121128</v>
      </c>
      <c r="R73" s="299">
        <f t="shared" ca="1" si="47"/>
        <v>6324.2111563313665</v>
      </c>
      <c r="S73" s="353" t="s">
        <v>254</v>
      </c>
      <c r="T73" s="301">
        <f t="shared" ca="1" si="48"/>
        <v>186992.33670582809</v>
      </c>
      <c r="V73" s="373">
        <f ca="1">+I73+L73+P73</f>
        <v>4755.877147210238</v>
      </c>
      <c r="W73" t="str">
        <f t="shared" si="49"/>
        <v>S.056</v>
      </c>
    </row>
    <row r="74" spans="1:23" ht="17.25" customHeight="1">
      <c r="A74" s="400" t="s">
        <v>355</v>
      </c>
      <c r="B74" s="294" t="s">
        <v>185</v>
      </c>
      <c r="C74" s="302" t="str">
        <f t="shared" ca="1" si="42"/>
        <v>Winnsboro 138 kw</v>
      </c>
      <c r="D74" s="296">
        <f t="shared" ca="1" si="42"/>
        <v>2016</v>
      </c>
      <c r="E74" s="325">
        <f t="shared" ca="1" si="42"/>
        <v>142548.46223135307</v>
      </c>
      <c r="F74" s="326">
        <f t="shared" ca="1" si="42"/>
        <v>0</v>
      </c>
      <c r="G74" s="326">
        <f t="shared" ca="1" si="43"/>
        <v>142548.46223135307</v>
      </c>
      <c r="H74" s="327"/>
      <c r="I74" s="325">
        <f t="shared" ca="1" si="6"/>
        <v>-2289.2974697518221</v>
      </c>
      <c r="J74" s="427">
        <v>117334.50928516098</v>
      </c>
      <c r="K74" s="298">
        <f t="shared" si="7"/>
        <v>112313.66640000674</v>
      </c>
      <c r="L74" s="325">
        <f t="shared" si="44"/>
        <v>5020.8428851542412</v>
      </c>
      <c r="M74" s="325"/>
      <c r="N74" s="326">
        <v>0</v>
      </c>
      <c r="O74" s="326">
        <v>0</v>
      </c>
      <c r="P74" s="326">
        <f t="shared" si="45"/>
        <v>0</v>
      </c>
      <c r="Q74" s="325">
        <f t="shared" ca="1" si="46"/>
        <v>900.77507047200766</v>
      </c>
      <c r="R74" s="299">
        <f t="shared" ca="1" si="47"/>
        <v>3632.3204858744266</v>
      </c>
      <c r="S74" s="353" t="s">
        <v>254</v>
      </c>
      <c r="T74" s="301">
        <f t="shared" ca="1" si="48"/>
        <v>146180.7827172275</v>
      </c>
      <c r="V74" s="373">
        <f ca="1">+I74+L74+P74</f>
        <v>2731.5454154024192</v>
      </c>
      <c r="W74" t="str">
        <f t="shared" si="49"/>
        <v>S.057</v>
      </c>
    </row>
    <row r="75" spans="1:23" ht="17.25" customHeight="1">
      <c r="A75" s="400" t="s">
        <v>356</v>
      </c>
      <c r="B75" s="294" t="s">
        <v>185</v>
      </c>
      <c r="C75" s="302" t="str">
        <f t="shared" ca="1" si="42"/>
        <v>Rock Hill-Springridge Pan-Harr REC 138 kv</v>
      </c>
      <c r="D75" s="296">
        <f t="shared" ca="1" si="42"/>
        <v>2016</v>
      </c>
      <c r="E75" s="325">
        <f t="shared" ca="1" si="42"/>
        <v>2920606.36207972</v>
      </c>
      <c r="F75" s="326">
        <f t="shared" ca="1" si="42"/>
        <v>0</v>
      </c>
      <c r="G75" s="326">
        <f t="shared" ca="1" si="43"/>
        <v>2920606.36207972</v>
      </c>
      <c r="H75" s="327"/>
      <c r="I75" s="325">
        <f t="shared" ca="1" si="6"/>
        <v>-31514.290189918131</v>
      </c>
      <c r="J75" s="427">
        <v>2391381.3610540098</v>
      </c>
      <c r="K75" s="298">
        <f t="shared" si="7"/>
        <v>2289052.1301611769</v>
      </c>
      <c r="L75" s="325">
        <f t="shared" si="44"/>
        <v>102329.23089283286</v>
      </c>
      <c r="M75" s="325"/>
      <c r="N75" s="326">
        <v>0</v>
      </c>
      <c r="O75" s="326">
        <v>0</v>
      </c>
      <c r="P75" s="326">
        <f t="shared" si="45"/>
        <v>0</v>
      </c>
      <c r="Q75" s="325">
        <f t="shared" ca="1" si="46"/>
        <v>23352.470305803636</v>
      </c>
      <c r="R75" s="299">
        <f t="shared" ca="1" si="47"/>
        <v>94167.411008718365</v>
      </c>
      <c r="S75" s="353" t="s">
        <v>254</v>
      </c>
      <c r="T75" s="301">
        <f t="shared" ca="1" si="48"/>
        <v>3014773.7730884384</v>
      </c>
      <c r="V75" s="373">
        <f ca="1">+I75+L75+P75</f>
        <v>70814.940702914726</v>
      </c>
      <c r="W75" t="str">
        <f t="shared" si="49"/>
        <v>S.058</v>
      </c>
    </row>
    <row r="76" spans="1:23" ht="17.25" customHeight="1">
      <c r="A76" s="400" t="s">
        <v>357</v>
      </c>
      <c r="B76" s="294" t="s">
        <v>185</v>
      </c>
      <c r="C76" s="302" t="str">
        <f t="shared" ca="1" si="42"/>
        <v>Brownlee-North Mrket 69 kv Rebuild</v>
      </c>
      <c r="D76" s="296">
        <f t="shared" ca="1" si="42"/>
        <v>2017</v>
      </c>
      <c r="E76" s="325">
        <f t="shared" ca="1" si="42"/>
        <v>1879734.0121499456</v>
      </c>
      <c r="F76" s="326">
        <f t="shared" ca="1" si="42"/>
        <v>0</v>
      </c>
      <c r="G76" s="326">
        <f t="shared" ca="1" si="43"/>
        <v>1879734.0121499456</v>
      </c>
      <c r="H76" s="327"/>
      <c r="I76" s="325">
        <f t="shared" ca="1" si="6"/>
        <v>-1110025.8107214682</v>
      </c>
      <c r="J76" s="427">
        <v>2289489.7247243077</v>
      </c>
      <c r="K76" s="298">
        <f t="shared" si="7"/>
        <v>2191520.5231224261</v>
      </c>
      <c r="L76" s="325">
        <f t="shared" si="44"/>
        <v>97969.201601881534</v>
      </c>
      <c r="M76" s="325"/>
      <c r="N76" s="326">
        <v>0</v>
      </c>
      <c r="O76" s="326">
        <v>0</v>
      </c>
      <c r="P76" s="326">
        <f t="shared" si="45"/>
        <v>0</v>
      </c>
      <c r="Q76" s="325">
        <f t="shared" ca="1" si="46"/>
        <v>-333743.43998122838</v>
      </c>
      <c r="R76" s="299">
        <f t="shared" ca="1" si="47"/>
        <v>-1345800.0491008151</v>
      </c>
      <c r="S76" s="353" t="s">
        <v>254</v>
      </c>
      <c r="T76" s="301">
        <f t="shared" ca="1" si="48"/>
        <v>533933.96304913051</v>
      </c>
      <c r="V76" s="373">
        <f ca="1">+I76+L76+P76</f>
        <v>-1012056.6091195866</v>
      </c>
      <c r="W76" t="str">
        <f t="shared" si="49"/>
        <v>S.059</v>
      </c>
    </row>
    <row r="77" spans="1:23" ht="17.25" customHeight="1">
      <c r="A77" s="400" t="s">
        <v>361</v>
      </c>
      <c r="B77" s="294" t="s">
        <v>185</v>
      </c>
      <c r="C77" s="302" t="str">
        <f t="shared" ca="1" si="42"/>
        <v>Valliant-NW Texarkana 345 kV</v>
      </c>
      <c r="D77" s="296">
        <f t="shared" ca="1" si="42"/>
        <v>2016</v>
      </c>
      <c r="E77" s="325">
        <f t="shared" ca="1" si="42"/>
        <v>11685982.932063362</v>
      </c>
      <c r="F77" s="326">
        <f t="shared" ca="1" si="42"/>
        <v>0</v>
      </c>
      <c r="G77" s="326">
        <f t="shared" ca="1" si="43"/>
        <v>11685982.932063362</v>
      </c>
      <c r="H77" s="327"/>
      <c r="I77" s="325">
        <f t="shared" ca="1" si="6"/>
        <v>-577321.83453409187</v>
      </c>
      <c r="J77" s="427">
        <v>19228049.23199895</v>
      </c>
      <c r="K77" s="298">
        <f t="shared" si="7"/>
        <v>18405264.743701041</v>
      </c>
      <c r="L77" s="325">
        <f t="shared" si="44"/>
        <v>822784.4882979095</v>
      </c>
      <c r="M77" s="325"/>
      <c r="N77" s="326">
        <v>0</v>
      </c>
      <c r="O77" s="326">
        <v>0</v>
      </c>
      <c r="P77" s="326">
        <f t="shared" si="45"/>
        <v>0</v>
      </c>
      <c r="Q77" s="325">
        <f t="shared" ca="1" si="46"/>
        <v>80945.620744795408</v>
      </c>
      <c r="R77" s="299">
        <f t="shared" ca="1" si="47"/>
        <v>326408.27450861305</v>
      </c>
      <c r="S77" s="353" t="s">
        <v>254</v>
      </c>
      <c r="T77" s="301">
        <f t="shared" ca="1" si="48"/>
        <v>12012391.206571974</v>
      </c>
      <c r="V77" s="373">
        <f t="shared" ref="V77:V84" ca="1" si="50">+I77+L77+P77</f>
        <v>245462.65376381762</v>
      </c>
      <c r="W77" t="str">
        <f t="shared" si="49"/>
        <v>S.060</v>
      </c>
    </row>
    <row r="78" spans="1:23" ht="17.25" customHeight="1">
      <c r="A78" s="400" t="s">
        <v>362</v>
      </c>
      <c r="B78" s="294" t="s">
        <v>185</v>
      </c>
      <c r="C78" s="302" t="str">
        <f t="shared" ca="1" si="42"/>
        <v>Messick 500/230 kV</v>
      </c>
      <c r="D78" s="296">
        <f t="shared" ca="1" si="42"/>
        <v>2016</v>
      </c>
      <c r="E78" s="325">
        <f t="shared" ca="1" si="42"/>
        <v>6861563.6128936736</v>
      </c>
      <c r="F78" s="326">
        <f t="shared" ca="1" si="42"/>
        <v>0</v>
      </c>
      <c r="G78" s="326">
        <f t="shared" ref="G78:G84" ca="1" si="51">+E78+F78</f>
        <v>6861563.6128936736</v>
      </c>
      <c r="H78" s="327"/>
      <c r="I78" s="325">
        <f t="shared" ca="1" si="6"/>
        <v>498953.5645983424</v>
      </c>
      <c r="J78" s="427">
        <v>4553761.5622253697</v>
      </c>
      <c r="K78" s="298">
        <f t="shared" si="7"/>
        <v>4358902.2537433114</v>
      </c>
      <c r="L78" s="325">
        <f t="shared" ref="L78:L84" si="52">+J78-K78</f>
        <v>194859.30848205835</v>
      </c>
      <c r="M78" s="325"/>
      <c r="N78" s="326">
        <v>0</v>
      </c>
      <c r="O78" s="326">
        <v>0</v>
      </c>
      <c r="P78" s="326">
        <f t="shared" ref="P78:P84" si="53">+N78-O78</f>
        <v>0</v>
      </c>
      <c r="Q78" s="325">
        <f t="shared" ref="Q78:Q84" ca="1" si="54">+V78/$V$93 * $Q$93</f>
        <v>228796.97921892753</v>
      </c>
      <c r="R78" s="299">
        <f t="shared" ref="R78:R84" ca="1" si="55">I78+L78+P78+Q78</f>
        <v>922609.85229932831</v>
      </c>
      <c r="S78" s="353" t="s">
        <v>254</v>
      </c>
      <c r="T78" s="301">
        <f t="shared" ref="T78:T84" ca="1" si="56">+G78+R78</f>
        <v>7784173.4651930016</v>
      </c>
      <c r="V78" s="373">
        <f t="shared" ca="1" si="50"/>
        <v>693812.87308040075</v>
      </c>
      <c r="W78" t="str">
        <f t="shared" si="49"/>
        <v>S.061</v>
      </c>
    </row>
    <row r="79" spans="1:23" ht="17.25" customHeight="1">
      <c r="A79" s="400" t="s">
        <v>363</v>
      </c>
      <c r="B79" s="294" t="s">
        <v>185</v>
      </c>
      <c r="C79" s="302" t="str">
        <f t="shared" ref="C79:F90" ca="1" si="57">INDIRECT("'"&amp; $A79 &amp; "'!" &amp;C$100)</f>
        <v>Letourneau 69 kV Capacitor Bank Addition</v>
      </c>
      <c r="D79" s="296">
        <f t="shared" ca="1" si="57"/>
        <v>2017</v>
      </c>
      <c r="E79" s="325">
        <f t="shared" ca="1" si="57"/>
        <v>139910.64053298702</v>
      </c>
      <c r="F79" s="326">
        <f t="shared" ca="1" si="57"/>
        <v>0</v>
      </c>
      <c r="G79" s="326">
        <f t="shared" ca="1" si="51"/>
        <v>139910.64053298702</v>
      </c>
      <c r="H79" s="327"/>
      <c r="I79" s="325">
        <f t="shared" ca="1" si="6"/>
        <v>3144.7603026794095</v>
      </c>
      <c r="J79" s="427">
        <v>86331.834002984833</v>
      </c>
      <c r="K79" s="298">
        <f t="shared" si="7"/>
        <v>82637.621812922676</v>
      </c>
      <c r="L79" s="325">
        <f t="shared" si="52"/>
        <v>3694.2121900621569</v>
      </c>
      <c r="M79" s="325"/>
      <c r="N79" s="326">
        <v>0</v>
      </c>
      <c r="O79" s="326">
        <v>0</v>
      </c>
      <c r="P79" s="326">
        <f t="shared" si="53"/>
        <v>0</v>
      </c>
      <c r="Q79" s="325">
        <f t="shared" ca="1" si="54"/>
        <v>2255.2712813665016</v>
      </c>
      <c r="R79" s="299">
        <f t="shared" ca="1" si="55"/>
        <v>9094.2437741080685</v>
      </c>
      <c r="S79" s="353" t="s">
        <v>254</v>
      </c>
      <c r="T79" s="301">
        <f t="shared" ca="1" si="56"/>
        <v>149004.88430709508</v>
      </c>
      <c r="V79" s="373">
        <f t="shared" ca="1" si="50"/>
        <v>6838.9724927415664</v>
      </c>
      <c r="W79" t="str">
        <f t="shared" si="49"/>
        <v>S.062</v>
      </c>
    </row>
    <row r="80" spans="1:23" ht="17.25" customHeight="1">
      <c r="A80" s="400" t="s">
        <v>364</v>
      </c>
      <c r="B80" s="294" t="s">
        <v>185</v>
      </c>
      <c r="C80" s="302" t="str">
        <f t="shared" ca="1" si="57"/>
        <v>Brooks Street - Edwards Street 69 kV Line Rebuild</v>
      </c>
      <c r="D80" s="296">
        <f t="shared" ca="1" si="57"/>
        <v>2017</v>
      </c>
      <c r="E80" s="325">
        <f t="shared" ca="1" si="57"/>
        <v>656695.01889722759</v>
      </c>
      <c r="F80" s="326">
        <f t="shared" ca="1" si="57"/>
        <v>0</v>
      </c>
      <c r="G80" s="326">
        <f t="shared" ca="1" si="51"/>
        <v>656695.01889722759</v>
      </c>
      <c r="H80" s="327"/>
      <c r="I80" s="325">
        <f t="shared" ca="1" si="6"/>
        <v>-109391.37823014284</v>
      </c>
      <c r="J80" s="427">
        <v>341200.03757960664</v>
      </c>
      <c r="K80" s="298">
        <f t="shared" si="7"/>
        <v>326599.79940984101</v>
      </c>
      <c r="L80" s="325">
        <f t="shared" si="52"/>
        <v>14600.238169765624</v>
      </c>
      <c r="M80" s="325"/>
      <c r="N80" s="326">
        <v>0</v>
      </c>
      <c r="O80" s="326">
        <v>0</v>
      </c>
      <c r="P80" s="326">
        <f t="shared" si="53"/>
        <v>0</v>
      </c>
      <c r="Q80" s="325">
        <f t="shared" ca="1" si="54"/>
        <v>-31259.043099391045</v>
      </c>
      <c r="R80" s="299">
        <f t="shared" ca="1" si="55"/>
        <v>-126050.18315976826</v>
      </c>
      <c r="S80" s="353" t="s">
        <v>254</v>
      </c>
      <c r="T80" s="301">
        <f t="shared" ca="1" si="56"/>
        <v>530644.83573745936</v>
      </c>
      <c r="V80" s="373">
        <f t="shared" ca="1" si="50"/>
        <v>-94791.14006037722</v>
      </c>
      <c r="W80" t="str">
        <f t="shared" si="49"/>
        <v>S.063</v>
      </c>
    </row>
    <row r="81" spans="1:23" ht="17.25" customHeight="1">
      <c r="A81" s="400" t="s">
        <v>365</v>
      </c>
      <c r="B81" s="294" t="s">
        <v>185</v>
      </c>
      <c r="C81" s="302" t="str">
        <f t="shared" ca="1" si="57"/>
        <v>Hallsville - Marshall New 69 kV Circuit</v>
      </c>
      <c r="D81" s="296">
        <f t="shared" ca="1" si="57"/>
        <v>2017</v>
      </c>
      <c r="E81" s="325">
        <f t="shared" ca="1" si="57"/>
        <v>1892111.4651232755</v>
      </c>
      <c r="F81" s="326">
        <f t="shared" ca="1" si="57"/>
        <v>0</v>
      </c>
      <c r="G81" s="326">
        <f t="shared" ca="1" si="51"/>
        <v>1892111.4651232755</v>
      </c>
      <c r="H81" s="327"/>
      <c r="I81" s="325">
        <f t="shared" ca="1" si="6"/>
        <v>427916.52451327303</v>
      </c>
      <c r="J81" s="427">
        <v>801460.7999645879</v>
      </c>
      <c r="K81" s="298">
        <f t="shared" si="7"/>
        <v>767165.61451788712</v>
      </c>
      <c r="L81" s="325">
        <f t="shared" si="52"/>
        <v>34295.18544670078</v>
      </c>
      <c r="M81" s="325"/>
      <c r="N81" s="326">
        <v>0</v>
      </c>
      <c r="O81" s="326">
        <v>0</v>
      </c>
      <c r="P81" s="326">
        <f t="shared" si="53"/>
        <v>0</v>
      </c>
      <c r="Q81" s="325">
        <f t="shared" ca="1" si="54"/>
        <v>152422.42844087761</v>
      </c>
      <c r="R81" s="299">
        <f t="shared" ca="1" si="55"/>
        <v>614634.1384008514</v>
      </c>
      <c r="S81" s="353" t="s">
        <v>254</v>
      </c>
      <c r="T81" s="301">
        <f t="shared" ca="1" si="56"/>
        <v>2506745.603524127</v>
      </c>
      <c r="V81" s="373">
        <f t="shared" ca="1" si="50"/>
        <v>462211.70995997381</v>
      </c>
      <c r="W81" t="str">
        <f t="shared" si="49"/>
        <v>S.064</v>
      </c>
    </row>
    <row r="82" spans="1:23" ht="17.25" customHeight="1">
      <c r="A82" s="400" t="s">
        <v>366</v>
      </c>
      <c r="B82" s="294" t="s">
        <v>185</v>
      </c>
      <c r="C82" s="302" t="str">
        <f t="shared" ca="1" si="57"/>
        <v>Daingerfield - Jenkins Rebuild</v>
      </c>
      <c r="D82" s="296">
        <f t="shared" ca="1" si="57"/>
        <v>2017</v>
      </c>
      <c r="E82" s="325">
        <f t="shared" ca="1" si="57"/>
        <v>218779.11395722814</v>
      </c>
      <c r="F82" s="326">
        <f t="shared" ca="1" si="57"/>
        <v>0</v>
      </c>
      <c r="G82" s="326">
        <f t="shared" ca="1" si="51"/>
        <v>218779.11395722814</v>
      </c>
      <c r="H82" s="327"/>
      <c r="I82" s="325">
        <f t="shared" ca="1" si="6"/>
        <v>34621.261086056329</v>
      </c>
      <c r="J82" s="427">
        <v>113671.39959306066</v>
      </c>
      <c r="K82" s="298">
        <f t="shared" si="7"/>
        <v>108807.30426961841</v>
      </c>
      <c r="L82" s="325">
        <f t="shared" si="52"/>
        <v>4864.0953234422486</v>
      </c>
      <c r="M82" s="325"/>
      <c r="N82" s="326">
        <v>0</v>
      </c>
      <c r="O82" s="326">
        <v>0</v>
      </c>
      <c r="P82" s="326">
        <f t="shared" si="53"/>
        <v>0</v>
      </c>
      <c r="Q82" s="325">
        <f t="shared" ca="1" si="54"/>
        <v>13020.989693901365</v>
      </c>
      <c r="R82" s="299">
        <f t="shared" ca="1" si="55"/>
        <v>52506.346103399941</v>
      </c>
      <c r="S82" s="353" t="s">
        <v>254</v>
      </c>
      <c r="T82" s="301">
        <f t="shared" ca="1" si="56"/>
        <v>271285.46006062807</v>
      </c>
      <c r="V82" s="373">
        <f t="shared" ca="1" si="50"/>
        <v>39485.356409498578</v>
      </c>
      <c r="W82" t="str">
        <f t="shared" si="49"/>
        <v>S.065</v>
      </c>
    </row>
    <row r="83" spans="1:23" ht="17.25" customHeight="1">
      <c r="A83" s="400" t="s">
        <v>367</v>
      </c>
      <c r="B83" s="294" t="s">
        <v>185</v>
      </c>
      <c r="C83" s="302" t="str">
        <f t="shared" ca="1" si="57"/>
        <v>Broadmoor - Fort Humbug Rebuild</v>
      </c>
      <c r="D83" s="296">
        <f t="shared" ca="1" si="57"/>
        <v>2017</v>
      </c>
      <c r="E83" s="325">
        <f t="shared" ca="1" si="57"/>
        <v>766024.96303825104</v>
      </c>
      <c r="F83" s="326">
        <f t="shared" ca="1" si="57"/>
        <v>0</v>
      </c>
      <c r="G83" s="326">
        <f t="shared" ca="1" si="51"/>
        <v>766024.96303825104</v>
      </c>
      <c r="H83" s="327"/>
      <c r="I83" s="325">
        <f t="shared" ref="I83:I90" ca="1" si="58">INDIRECT("'"&amp; $A83 &amp; "'!" &amp;I$100)</f>
        <v>68048.983203797136</v>
      </c>
      <c r="J83" s="427">
        <v>398004.76424273284</v>
      </c>
      <c r="K83" s="298">
        <f t="shared" ref="K83:K90" si="59">+J83/(J$93/K$93)</f>
        <v>380973.80377781921</v>
      </c>
      <c r="L83" s="325">
        <f t="shared" si="52"/>
        <v>17030.960464913631</v>
      </c>
      <c r="M83" s="325"/>
      <c r="N83" s="326">
        <v>0</v>
      </c>
      <c r="O83" s="326">
        <v>0</v>
      </c>
      <c r="P83" s="326">
        <f t="shared" si="53"/>
        <v>0</v>
      </c>
      <c r="Q83" s="325">
        <f t="shared" ca="1" si="54"/>
        <v>28056.605547100837</v>
      </c>
      <c r="R83" s="299">
        <f t="shared" ca="1" si="55"/>
        <v>113136.5492158116</v>
      </c>
      <c r="S83" s="353" t="s">
        <v>254</v>
      </c>
      <c r="T83" s="301">
        <f t="shared" ca="1" si="56"/>
        <v>879161.51225406257</v>
      </c>
      <c r="V83" s="373">
        <f t="shared" ca="1" si="50"/>
        <v>85079.943668710766</v>
      </c>
      <c r="W83" t="str">
        <f t="shared" si="49"/>
        <v>S.066</v>
      </c>
    </row>
    <row r="84" spans="1:23" ht="17.25" customHeight="1">
      <c r="A84" s="400" t="s">
        <v>368</v>
      </c>
      <c r="B84" s="294" t="s">
        <v>185</v>
      </c>
      <c r="C84" s="302" t="str">
        <f t="shared" ca="1" si="57"/>
        <v>Chamber Springs - Farmington 161 kV Line</v>
      </c>
      <c r="D84" s="296">
        <f t="shared" ca="1" si="57"/>
        <v>2017</v>
      </c>
      <c r="E84" s="325">
        <f t="shared" ca="1" si="57"/>
        <v>1081638.2440832164</v>
      </c>
      <c r="F84" s="326">
        <f t="shared" ca="1" si="57"/>
        <v>0</v>
      </c>
      <c r="G84" s="326">
        <f t="shared" ca="1" si="51"/>
        <v>1081638.2440832164</v>
      </c>
      <c r="H84" s="327"/>
      <c r="I84" s="325">
        <f t="shared" ca="1" si="58"/>
        <v>97867.272664736956</v>
      </c>
      <c r="J84" s="427">
        <v>720921.93663194391</v>
      </c>
      <c r="K84" s="298">
        <f t="shared" si="59"/>
        <v>690073.0772610557</v>
      </c>
      <c r="L84" s="325">
        <f t="shared" si="52"/>
        <v>30848.859370888211</v>
      </c>
      <c r="M84" s="325"/>
      <c r="N84" s="326">
        <v>0</v>
      </c>
      <c r="O84" s="326">
        <v>0</v>
      </c>
      <c r="P84" s="326">
        <f t="shared" si="53"/>
        <v>0</v>
      </c>
      <c r="Q84" s="325">
        <f t="shared" ca="1" si="54"/>
        <v>42446.404973352146</v>
      </c>
      <c r="R84" s="299">
        <f t="shared" ca="1" si="55"/>
        <v>171162.53700897732</v>
      </c>
      <c r="S84" s="353" t="s">
        <v>254</v>
      </c>
      <c r="T84" s="301">
        <f t="shared" ca="1" si="56"/>
        <v>1252800.7810921937</v>
      </c>
      <c r="V84" s="373">
        <f t="shared" ca="1" si="50"/>
        <v>128716.13203562517</v>
      </c>
      <c r="W84" t="str">
        <f t="shared" si="49"/>
        <v>S.067</v>
      </c>
    </row>
    <row r="85" spans="1:23" ht="17.25" customHeight="1">
      <c r="A85" s="400" t="s">
        <v>386</v>
      </c>
      <c r="B85" s="294" t="s">
        <v>185</v>
      </c>
      <c r="C85" s="302" t="str">
        <f t="shared" ca="1" si="57"/>
        <v>Everside - Northwest Henderson 69KV Line Rebuild</v>
      </c>
      <c r="D85" s="296">
        <f t="shared" ca="1" si="57"/>
        <v>2018</v>
      </c>
      <c r="E85" s="325">
        <f t="shared" ca="1" si="57"/>
        <v>1170030.3322670816</v>
      </c>
      <c r="F85" s="326">
        <f t="shared" ca="1" si="57"/>
        <v>0</v>
      </c>
      <c r="G85" s="326">
        <f t="shared" ref="G85:G90" ca="1" si="60">+E85+F85</f>
        <v>1170030.3322670816</v>
      </c>
      <c r="H85" s="327"/>
      <c r="I85" s="325">
        <f t="shared" ca="1" si="58"/>
        <v>0</v>
      </c>
      <c r="J85" s="427"/>
      <c r="K85" s="298">
        <f t="shared" si="59"/>
        <v>0</v>
      </c>
      <c r="L85" s="325">
        <f t="shared" ref="L85:L90" si="61">+J85-K85</f>
        <v>0</v>
      </c>
      <c r="M85" s="325"/>
      <c r="N85" s="326">
        <v>0</v>
      </c>
      <c r="O85" s="326">
        <v>0</v>
      </c>
      <c r="P85" s="326">
        <f t="shared" ref="P85:P90" si="62">+N85-O85</f>
        <v>0</v>
      </c>
      <c r="Q85" s="325">
        <f t="shared" ref="Q85:Q90" ca="1" si="63">+V85/$V$93 * $Q$93</f>
        <v>0</v>
      </c>
      <c r="R85" s="299">
        <f t="shared" ref="R85:R90" ca="1" si="64">I85+L85+P85+Q85</f>
        <v>0</v>
      </c>
      <c r="S85" s="353" t="s">
        <v>254</v>
      </c>
      <c r="T85" s="301">
        <f t="shared" ref="T85:T90" ca="1" si="65">+G85+R85</f>
        <v>1170030.3322670816</v>
      </c>
      <c r="V85" s="373">
        <f t="shared" ref="V85:V90" ca="1" si="66">+I85+L85+P85</f>
        <v>0</v>
      </c>
      <c r="W85" t="str">
        <f t="shared" si="49"/>
        <v>S.068</v>
      </c>
    </row>
    <row r="86" spans="1:23" ht="17.25" customHeight="1">
      <c r="A86" s="400" t="s">
        <v>387</v>
      </c>
      <c r="B86" s="294" t="s">
        <v>185</v>
      </c>
      <c r="C86" s="302" t="str">
        <f t="shared" ca="1" si="57"/>
        <v>Hallsville - Longview Heights 69 KV Line Rebuild</v>
      </c>
      <c r="D86" s="296">
        <f t="shared" ca="1" si="57"/>
        <v>2018</v>
      </c>
      <c r="E86" s="325">
        <f t="shared" ca="1" si="57"/>
        <v>1096709.0714176192</v>
      </c>
      <c r="F86" s="326">
        <f t="shared" ca="1" si="57"/>
        <v>0</v>
      </c>
      <c r="G86" s="326">
        <f t="shared" ca="1" si="60"/>
        <v>1096709.0714176192</v>
      </c>
      <c r="H86" s="327"/>
      <c r="I86" s="325">
        <f t="shared" ca="1" si="58"/>
        <v>0</v>
      </c>
      <c r="J86" s="427"/>
      <c r="K86" s="298">
        <f t="shared" si="59"/>
        <v>0</v>
      </c>
      <c r="L86" s="325">
        <f t="shared" si="61"/>
        <v>0</v>
      </c>
      <c r="M86" s="325"/>
      <c r="N86" s="326">
        <v>0</v>
      </c>
      <c r="O86" s="326">
        <v>0</v>
      </c>
      <c r="P86" s="326">
        <f t="shared" si="62"/>
        <v>0</v>
      </c>
      <c r="Q86" s="325">
        <f t="shared" ca="1" si="63"/>
        <v>0</v>
      </c>
      <c r="R86" s="299">
        <f t="shared" ca="1" si="64"/>
        <v>0</v>
      </c>
      <c r="S86" s="353" t="s">
        <v>254</v>
      </c>
      <c r="T86" s="301">
        <f t="shared" ca="1" si="65"/>
        <v>1096709.0714176192</v>
      </c>
      <c r="V86" s="373">
        <f t="shared" ca="1" si="66"/>
        <v>0</v>
      </c>
      <c r="W86" t="str">
        <f t="shared" si="49"/>
        <v>S.069</v>
      </c>
    </row>
    <row r="87" spans="1:23" ht="17.25" customHeight="1">
      <c r="A87" s="400" t="s">
        <v>388</v>
      </c>
      <c r="B87" s="294" t="s">
        <v>185</v>
      </c>
      <c r="C87" s="302" t="str">
        <f t="shared" ca="1" si="57"/>
        <v>Linwood - South Shreveport 138 KV Line Rebuild</v>
      </c>
      <c r="D87" s="296">
        <f t="shared" ca="1" si="57"/>
        <v>2018</v>
      </c>
      <c r="E87" s="325">
        <f t="shared" ca="1" si="57"/>
        <v>949667.57657502161</v>
      </c>
      <c r="F87" s="326">
        <f t="shared" ca="1" si="57"/>
        <v>0</v>
      </c>
      <c r="G87" s="326">
        <f t="shared" ca="1" si="60"/>
        <v>949667.57657502161</v>
      </c>
      <c r="H87" s="327"/>
      <c r="I87" s="325">
        <f t="shared" ca="1" si="58"/>
        <v>0</v>
      </c>
      <c r="J87" s="427"/>
      <c r="K87" s="298">
        <f t="shared" si="59"/>
        <v>0</v>
      </c>
      <c r="L87" s="325">
        <f t="shared" si="61"/>
        <v>0</v>
      </c>
      <c r="M87" s="325"/>
      <c r="N87" s="326">
        <v>0</v>
      </c>
      <c r="O87" s="326">
        <v>0</v>
      </c>
      <c r="P87" s="326">
        <f t="shared" si="62"/>
        <v>0</v>
      </c>
      <c r="Q87" s="325">
        <f t="shared" ca="1" si="63"/>
        <v>0</v>
      </c>
      <c r="R87" s="299">
        <f t="shared" ca="1" si="64"/>
        <v>0</v>
      </c>
      <c r="S87" s="353" t="s">
        <v>254</v>
      </c>
      <c r="T87" s="301">
        <f t="shared" ca="1" si="65"/>
        <v>949667.57657502161</v>
      </c>
      <c r="V87" s="373">
        <f t="shared" ca="1" si="66"/>
        <v>0</v>
      </c>
      <c r="W87" t="str">
        <f t="shared" si="49"/>
        <v>S.070</v>
      </c>
    </row>
    <row r="88" spans="1:23" ht="17.25" customHeight="1">
      <c r="A88" s="400" t="s">
        <v>389</v>
      </c>
      <c r="B88" s="294" t="s">
        <v>185</v>
      </c>
      <c r="C88" s="302" t="str">
        <f t="shared" ca="1" si="57"/>
        <v>IPC 138 KV Capacitor Bank Addtion</v>
      </c>
      <c r="D88" s="296">
        <f t="shared" ca="1" si="57"/>
        <v>2018</v>
      </c>
      <c r="E88" s="325">
        <f t="shared" ca="1" si="57"/>
        <v>205595.02731099608</v>
      </c>
      <c r="F88" s="326">
        <f t="shared" ca="1" si="57"/>
        <v>0</v>
      </c>
      <c r="G88" s="326">
        <f t="shared" ca="1" si="60"/>
        <v>205595.02731099608</v>
      </c>
      <c r="H88" s="327"/>
      <c r="I88" s="325">
        <f t="shared" ca="1" si="58"/>
        <v>0</v>
      </c>
      <c r="J88" s="427"/>
      <c r="K88" s="298">
        <f t="shared" si="59"/>
        <v>0</v>
      </c>
      <c r="L88" s="325">
        <f t="shared" si="61"/>
        <v>0</v>
      </c>
      <c r="M88" s="325"/>
      <c r="N88" s="326">
        <v>0</v>
      </c>
      <c r="O88" s="326">
        <v>0</v>
      </c>
      <c r="P88" s="326">
        <f t="shared" si="62"/>
        <v>0</v>
      </c>
      <c r="Q88" s="325">
        <f t="shared" ca="1" si="63"/>
        <v>0</v>
      </c>
      <c r="R88" s="299">
        <f t="shared" ca="1" si="64"/>
        <v>0</v>
      </c>
      <c r="S88" s="353" t="s">
        <v>254</v>
      </c>
      <c r="T88" s="301">
        <f t="shared" ca="1" si="65"/>
        <v>205595.02731099608</v>
      </c>
      <c r="V88" s="373">
        <f t="shared" ca="1" si="66"/>
        <v>0</v>
      </c>
      <c r="W88" t="str">
        <f t="shared" si="49"/>
        <v>S.071</v>
      </c>
    </row>
    <row r="89" spans="1:23" ht="17.25" customHeight="1">
      <c r="A89" s="400" t="s">
        <v>498</v>
      </c>
      <c r="B89" s="294" t="s">
        <v>185</v>
      </c>
      <c r="C89" s="302" t="str">
        <f t="shared" ca="1" si="57"/>
        <v>Ellerbe Road - Lucas 69 kV Rebuild</v>
      </c>
      <c r="D89" s="296">
        <f t="shared" ca="1" si="57"/>
        <v>2019</v>
      </c>
      <c r="E89" s="325">
        <f t="shared" ca="1" si="57"/>
        <v>396082.33747842355</v>
      </c>
      <c r="F89" s="326">
        <f t="shared" ca="1" si="57"/>
        <v>0</v>
      </c>
      <c r="G89" s="326">
        <f t="shared" ca="1" si="60"/>
        <v>396082.33747842355</v>
      </c>
      <c r="H89" s="327"/>
      <c r="I89" s="325">
        <f t="shared" ca="1" si="58"/>
        <v>0</v>
      </c>
      <c r="J89" s="427"/>
      <c r="K89" s="298">
        <f t="shared" si="59"/>
        <v>0</v>
      </c>
      <c r="L89" s="325">
        <f t="shared" si="61"/>
        <v>0</v>
      </c>
      <c r="M89" s="325"/>
      <c r="N89" s="326">
        <v>0</v>
      </c>
      <c r="O89" s="326">
        <v>0</v>
      </c>
      <c r="P89" s="326">
        <f t="shared" si="62"/>
        <v>0</v>
      </c>
      <c r="Q89" s="325">
        <f t="shared" ca="1" si="63"/>
        <v>0</v>
      </c>
      <c r="R89" s="299">
        <f t="shared" ca="1" si="64"/>
        <v>0</v>
      </c>
      <c r="S89" s="353" t="s">
        <v>254</v>
      </c>
      <c r="T89" s="301">
        <f t="shared" ca="1" si="65"/>
        <v>396082.33747842355</v>
      </c>
      <c r="V89" s="373">
        <f t="shared" ca="1" si="66"/>
        <v>0</v>
      </c>
      <c r="W89" t="str">
        <f>A89</f>
        <v>S.072</v>
      </c>
    </row>
    <row r="90" spans="1:23" ht="17.25" customHeight="1">
      <c r="A90" s="400" t="s">
        <v>499</v>
      </c>
      <c r="B90" s="294" t="s">
        <v>185</v>
      </c>
      <c r="C90" s="302" t="str">
        <f t="shared" ca="1" si="57"/>
        <v>Siloam Springs - Siloam Springs City 161 kV Rebuild</v>
      </c>
      <c r="D90" s="296">
        <f t="shared" ca="1" si="57"/>
        <v>2019</v>
      </c>
      <c r="E90" s="325">
        <f t="shared" ca="1" si="57"/>
        <v>192042.98677355595</v>
      </c>
      <c r="F90" s="326">
        <f t="shared" ca="1" si="57"/>
        <v>0</v>
      </c>
      <c r="G90" s="326">
        <f t="shared" ca="1" si="60"/>
        <v>192042.98677355595</v>
      </c>
      <c r="H90" s="327"/>
      <c r="I90" s="325">
        <f t="shared" ca="1" si="58"/>
        <v>0</v>
      </c>
      <c r="J90" s="427"/>
      <c r="K90" s="298">
        <f t="shared" si="59"/>
        <v>0</v>
      </c>
      <c r="L90" s="325">
        <f t="shared" si="61"/>
        <v>0</v>
      </c>
      <c r="M90" s="325"/>
      <c r="N90" s="326">
        <v>0</v>
      </c>
      <c r="O90" s="326">
        <v>0</v>
      </c>
      <c r="P90" s="326">
        <f t="shared" si="62"/>
        <v>0</v>
      </c>
      <c r="Q90" s="325">
        <f t="shared" ca="1" si="63"/>
        <v>0</v>
      </c>
      <c r="R90" s="299">
        <f t="shared" ca="1" si="64"/>
        <v>0</v>
      </c>
      <c r="S90" s="353" t="s">
        <v>254</v>
      </c>
      <c r="T90" s="301">
        <f t="shared" ca="1" si="65"/>
        <v>192042.98677355595</v>
      </c>
      <c r="V90" s="373">
        <f t="shared" ca="1" si="66"/>
        <v>0</v>
      </c>
      <c r="W90" t="str">
        <f>A90</f>
        <v>S.073</v>
      </c>
    </row>
    <row r="91" spans="1:23" ht="17.25" customHeight="1">
      <c r="A91" s="400"/>
      <c r="B91" s="294"/>
      <c r="C91" s="302"/>
      <c r="D91" s="296"/>
      <c r="E91" s="325"/>
      <c r="F91" s="326"/>
      <c r="G91" s="326"/>
      <c r="H91" s="327"/>
      <c r="I91" s="325"/>
      <c r="J91" s="427"/>
      <c r="K91" s="298"/>
      <c r="L91" s="325"/>
      <c r="M91" s="325"/>
      <c r="N91" s="326"/>
      <c r="O91" s="326"/>
      <c r="P91" s="326"/>
      <c r="Q91" s="325"/>
      <c r="R91" s="299"/>
      <c r="S91" s="353"/>
      <c r="T91" s="301"/>
      <c r="V91" s="373"/>
    </row>
    <row r="92" spans="1:23">
      <c r="A92" s="297"/>
      <c r="B92" s="297"/>
      <c r="C92" s="297"/>
      <c r="D92" s="294"/>
      <c r="E92" s="303"/>
      <c r="F92" s="303"/>
      <c r="G92" s="303"/>
      <c r="H92" s="299"/>
      <c r="I92" s="303"/>
      <c r="J92" s="303"/>
      <c r="K92" s="303"/>
      <c r="L92" s="303"/>
      <c r="M92" s="303"/>
      <c r="N92" s="303"/>
      <c r="O92" s="303"/>
      <c r="P92" s="303"/>
      <c r="Q92" s="303"/>
      <c r="R92" s="303"/>
      <c r="S92" s="299"/>
      <c r="T92" s="304"/>
      <c r="V92" s="332"/>
    </row>
    <row r="93" spans="1:23">
      <c r="A93" s="297"/>
      <c r="B93" s="297"/>
      <c r="C93" s="321" t="s">
        <v>236</v>
      </c>
      <c r="D93" s="294"/>
      <c r="E93" s="299">
        <f ca="1">SUM(E18:E92)</f>
        <v>77320357.685329109</v>
      </c>
      <c r="F93" s="299">
        <f ca="1">SUM(F18:F92)</f>
        <v>0</v>
      </c>
      <c r="G93" s="299">
        <f ca="1">SUM(G18:G92)</f>
        <v>77320357.685329109</v>
      </c>
      <c r="H93" s="299"/>
      <c r="I93" s="299">
        <f ca="1">ROUND(SUM(I18:I92),0)</f>
        <v>-285430</v>
      </c>
      <c r="J93" s="299">
        <f>SUM(J18:J92)</f>
        <v>84452178.125385895</v>
      </c>
      <c r="K93" s="298">
        <v>80838398</v>
      </c>
      <c r="L93" s="299">
        <f>SUM(L18:L92)</f>
        <v>3613780.1253859019</v>
      </c>
      <c r="M93" s="299"/>
      <c r="N93" s="299">
        <f>SUM(N18:N92)</f>
        <v>0</v>
      </c>
      <c r="O93" s="299">
        <f>SUM(O18:O92)</f>
        <v>0</v>
      </c>
      <c r="P93" s="299">
        <f>SUM(P18:P92)</f>
        <v>0</v>
      </c>
      <c r="Q93" s="427">
        <v>1097582</v>
      </c>
      <c r="R93" s="299">
        <f ca="1">SUM(R18:R92)</f>
        <v>4425932.415556252</v>
      </c>
      <c r="S93" s="299"/>
      <c r="T93" s="345">
        <f ca="1">SUM(T18:T92)</f>
        <v>81746290.100885376</v>
      </c>
      <c r="V93" s="355">
        <f ca="1">SUM(V18:V92)</f>
        <v>3328350.4155562511</v>
      </c>
      <c r="W93" s="231" t="s">
        <v>358</v>
      </c>
    </row>
    <row r="94" spans="1:23" ht="13.5" thickBot="1">
      <c r="A94" s="297"/>
      <c r="B94" s="297"/>
      <c r="C94" s="305"/>
      <c r="D94" s="297"/>
      <c r="E94" s="322" t="str">
        <f ca="1">IF(E93=SWE.WS.F.BPU.ATRR.Projected!L17,"","Error")</f>
        <v/>
      </c>
      <c r="F94" s="299"/>
      <c r="G94" s="299" t="str">
        <f ca="1">IF(G93=SWE.WS.F.BPU.ATRR.Projected!M17,"","Error")</f>
        <v/>
      </c>
      <c r="H94" s="297"/>
      <c r="I94" s="344"/>
      <c r="J94" s="322"/>
      <c r="K94" s="372" t="str">
        <f>IF(K93=SUM(K18:K92),"","Error -- check allocations above).")</f>
        <v/>
      </c>
      <c r="L94" s="306"/>
      <c r="M94" s="306"/>
      <c r="N94" s="306"/>
      <c r="O94" s="306"/>
      <c r="P94" s="306"/>
      <c r="Q94" s="372" t="str">
        <f ca="1">IF(ROUND(Q93,0)=ROUND(SUM(Q18:Q92),0),"","Error -- check allocations above).")</f>
        <v/>
      </c>
      <c r="R94" s="299"/>
      <c r="S94" s="299"/>
      <c r="T94" s="299"/>
      <c r="V94" s="354"/>
      <c r="W94" s="231"/>
    </row>
    <row r="95" spans="1:23">
      <c r="A95" s="297"/>
      <c r="B95" s="297"/>
      <c r="C95" s="307" t="s">
        <v>390</v>
      </c>
      <c r="D95" s="297"/>
      <c r="E95" s="299"/>
      <c r="F95" s="299"/>
      <c r="G95" s="299"/>
      <c r="H95" s="297"/>
      <c r="I95" s="343"/>
      <c r="J95" s="343"/>
      <c r="K95" s="306"/>
      <c r="L95" s="297"/>
      <c r="M95" s="297"/>
      <c r="N95" s="306"/>
      <c r="O95" s="306"/>
      <c r="P95" s="306"/>
      <c r="Q95" s="306"/>
      <c r="R95" s="299"/>
      <c r="S95" s="299"/>
      <c r="T95" s="299"/>
    </row>
    <row r="96" spans="1:23">
      <c r="A96" s="297"/>
      <c r="B96" s="297"/>
      <c r="C96" s="307"/>
      <c r="D96" s="297"/>
      <c r="E96" s="299"/>
      <c r="F96" s="299"/>
      <c r="G96" s="299"/>
      <c r="H96" s="297"/>
      <c r="I96" s="308"/>
      <c r="J96" s="308"/>
      <c r="K96" s="298"/>
      <c r="L96" s="297"/>
      <c r="M96" s="297"/>
      <c r="N96" s="306"/>
      <c r="O96" s="306"/>
      <c r="P96" s="306"/>
      <c r="Q96" s="392"/>
      <c r="R96" s="306"/>
      <c r="S96" s="297"/>
      <c r="T96" s="297"/>
    </row>
    <row r="97" spans="1:22">
      <c r="E97" s="10"/>
      <c r="F97" s="10"/>
      <c r="G97" s="10"/>
      <c r="I97" s="10"/>
      <c r="K97" s="10"/>
      <c r="N97" s="309"/>
      <c r="O97" s="309"/>
      <c r="P97" s="309"/>
      <c r="Q97" s="309"/>
      <c r="R97" s="309"/>
    </row>
    <row r="98" spans="1:22">
      <c r="E98" s="10"/>
      <c r="F98" s="10"/>
      <c r="G98" s="10"/>
      <c r="K98" s="48"/>
      <c r="V98" t="s">
        <v>213</v>
      </c>
    </row>
    <row r="99" spans="1:22">
      <c r="A99" s="310" t="s">
        <v>182</v>
      </c>
      <c r="B99" s="311"/>
      <c r="C99" s="311"/>
      <c r="D99" s="311"/>
      <c r="E99" s="312"/>
      <c r="F99" s="312"/>
      <c r="G99" s="312"/>
      <c r="H99" s="311"/>
      <c r="I99" s="311"/>
      <c r="J99" s="311"/>
      <c r="K99" s="311"/>
      <c r="L99" s="311"/>
      <c r="M99" s="311"/>
      <c r="N99" s="311"/>
      <c r="O99" s="229"/>
      <c r="V99" t="s">
        <v>214</v>
      </c>
    </row>
    <row r="100" spans="1:22" ht="15.75">
      <c r="A100" s="313" t="s">
        <v>206</v>
      </c>
      <c r="B100" s="7"/>
      <c r="C100" s="314" t="str">
        <f ca="1">RIGHT(CELL("address",S.001!D7),4)</f>
        <v>$D$7</v>
      </c>
      <c r="D100" s="314" t="str">
        <f ca="1">RIGHT(CELL("address",S.001!D11),4)</f>
        <v>D$11</v>
      </c>
      <c r="E100" s="314" t="str">
        <f ca="1">RIGHT(CELL("address",S.001!N5),4)</f>
        <v>$N$5</v>
      </c>
      <c r="F100" s="314" t="str">
        <f ca="1">RIGHT(CELL("address",S.001!N7),4)</f>
        <v>$N$7</v>
      </c>
      <c r="G100" s="7"/>
      <c r="H100" s="315"/>
      <c r="I100" s="314" t="str">
        <f ca="1">RIGHT(CELL("address",S.001!M89),4)</f>
        <v>M$89</v>
      </c>
      <c r="J100" s="314"/>
      <c r="K100" s="7"/>
      <c r="L100" s="7"/>
      <c r="M100" s="7"/>
      <c r="N100" s="314" t="str">
        <f ca="1">RIGHT(CELL("address",S.001!N87),4)</f>
        <v>N$87</v>
      </c>
      <c r="O100" s="316" t="str">
        <f ca="1">RIGHT(CELL("address",S.001!N88),4)</f>
        <v>N$88</v>
      </c>
      <c r="P100" s="46" t="s">
        <v>183</v>
      </c>
      <c r="V100" t="s">
        <v>215</v>
      </c>
    </row>
    <row r="101" spans="1:22">
      <c r="A101" s="317" t="s">
        <v>207</v>
      </c>
      <c r="B101" s="318"/>
      <c r="C101" s="318"/>
      <c r="D101" s="318"/>
      <c r="E101" s="319"/>
      <c r="F101" s="319"/>
      <c r="G101" s="319"/>
      <c r="H101" s="318"/>
      <c r="I101" s="318"/>
      <c r="J101" s="318"/>
      <c r="K101" s="318"/>
      <c r="L101" s="318"/>
      <c r="M101" s="318"/>
      <c r="N101" s="318"/>
      <c r="O101" s="320"/>
      <c r="V101" t="s">
        <v>216</v>
      </c>
    </row>
    <row r="102" spans="1:22">
      <c r="E102" s="10"/>
      <c r="F102" s="10"/>
      <c r="G102" s="10"/>
      <c r="V102" s="227" t="s">
        <v>256</v>
      </c>
    </row>
    <row r="103" spans="1:22">
      <c r="E103" s="10"/>
      <c r="F103" s="10"/>
      <c r="G103" s="10"/>
    </row>
    <row r="104" spans="1:22">
      <c r="E104" s="10"/>
      <c r="F104" s="10"/>
      <c r="G104" s="10"/>
      <c r="J104" s="402"/>
      <c r="K104" s="402"/>
    </row>
    <row r="105" spans="1:22">
      <c r="E105" s="10"/>
      <c r="F105" s="10"/>
      <c r="G105" s="10"/>
    </row>
  </sheetData>
  <mergeCells count="2">
    <mergeCell ref="E13:G13"/>
    <mergeCell ref="T14:T16"/>
  </mergeCells>
  <phoneticPr fontId="62" type="noConversion"/>
  <pageMargins left="0.5" right="0.5" top="1" bottom="1" header="0.65" footer="0.5"/>
  <pageSetup scale="53" fitToHeight="0" orientation="landscape" horizontalDpi="1200" verticalDpi="1200" r:id="rId1"/>
  <headerFooter alignWithMargins="0">
    <oddHeader xml:space="preserve">&amp;R&amp;16AEP - SPP Formula Rate
Schedule 11 Revenue Requirements
Southwestern Electric Power Company
Page: &amp;P of &amp;N
</oddHeader>
    <oddFooter>&amp;L&amp;A</oddFooter>
  </headerFooter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5">
    <tabColor indexed="16"/>
  </sheetPr>
  <dimension ref="A1:Q162"/>
  <sheetViews>
    <sheetView view="pageBreakPreview" zoomScale="80" zoomScaleNormal="100" zoomScaleSheetLayoutView="80" workbookViewId="0">
      <selection activeCell="C19" sqref="C19"/>
    </sheetView>
  </sheetViews>
  <sheetFormatPr defaultRowHeight="12.75" customHeight="1"/>
  <cols>
    <col min="1" max="1" width="4.7109375" customWidth="1"/>
    <col min="2" max="2" width="6.7109375" customWidth="1"/>
    <col min="3" max="3" width="23.28515625" customWidth="1"/>
    <col min="4" max="8" width="17.7109375" customWidth="1"/>
    <col min="9" max="9" width="20.42578125" customWidth="1"/>
    <col min="10" max="10" width="16.42578125" customWidth="1"/>
    <col min="11" max="11" width="17.7109375" customWidth="1"/>
    <col min="12" max="12" width="16.140625" customWidth="1"/>
    <col min="13" max="13" width="17.7109375" customWidth="1"/>
    <col min="14" max="14" width="16.140625" customWidth="1"/>
    <col min="15" max="15" width="16.85546875" customWidth="1"/>
    <col min="16" max="16" width="24.42578125" customWidth="1"/>
    <col min="17" max="17" width="4.7109375" customWidth="1"/>
    <col min="23" max="23" width="9.140625" customWidth="1"/>
  </cols>
  <sheetData>
    <row r="1" spans="1:17" ht="20.25">
      <c r="A1" s="243" t="s">
        <v>128</v>
      </c>
      <c r="B1" s="1"/>
      <c r="C1" s="21"/>
      <c r="D1" s="2"/>
      <c r="E1" s="1"/>
      <c r="F1" s="99"/>
      <c r="G1" s="1"/>
      <c r="H1" s="3"/>
      <c r="J1" s="7"/>
      <c r="K1" s="109"/>
      <c r="L1" s="109"/>
      <c r="M1" s="109"/>
      <c r="P1" s="249" t="str">
        <f ca="1">"SWEPCO Project "&amp;RIGHT(MID(CELL("filename",$A$1),FIND("]",CELL("filename",$A$1))+1,256),1)&amp;" of "&amp;COUNT('S.001:S.xyz - blank'!$P$3)-1</f>
        <v>SWEPCO Project 7 of 73</v>
      </c>
      <c r="Q1" s="276" t="s">
        <v>160</v>
      </c>
    </row>
    <row r="2" spans="1:17" ht="18">
      <c r="B2" s="1"/>
      <c r="C2" s="1"/>
      <c r="D2" s="2"/>
      <c r="E2" s="1"/>
      <c r="F2" s="1"/>
      <c r="G2" s="1"/>
      <c r="H2" s="3"/>
      <c r="I2" s="1"/>
      <c r="J2" s="4"/>
      <c r="K2" s="1"/>
      <c r="L2" s="1"/>
      <c r="M2" s="1"/>
      <c r="N2" s="1"/>
      <c r="P2" s="237" t="s">
        <v>124</v>
      </c>
    </row>
    <row r="3" spans="1:17" ht="18.75">
      <c r="B3" s="5" t="s">
        <v>40</v>
      </c>
      <c r="C3" s="68" t="s">
        <v>41</v>
      </c>
      <c r="D3" s="2"/>
      <c r="E3" s="1"/>
      <c r="F3" s="1"/>
      <c r="G3" s="1"/>
      <c r="H3" s="3"/>
      <c r="I3" s="3"/>
      <c r="J3" s="111"/>
      <c r="K3" s="3"/>
      <c r="L3" s="3"/>
      <c r="M3" s="3"/>
      <c r="N3" s="3"/>
      <c r="O3" s="1" t="str">
        <f>RIGHT(N3,3)</f>
        <v/>
      </c>
      <c r="P3" s="239">
        <v>1</v>
      </c>
    </row>
    <row r="4" spans="1:17" ht="15.75" thickBot="1">
      <c r="C4" s="67"/>
      <c r="D4" s="2"/>
      <c r="E4" s="1"/>
      <c r="F4" s="1"/>
      <c r="G4" s="1"/>
      <c r="H4" s="3"/>
      <c r="I4" s="3"/>
      <c r="J4" s="111"/>
      <c r="K4" s="3"/>
      <c r="L4" s="3"/>
      <c r="M4" s="3"/>
      <c r="N4" s="3"/>
      <c r="O4" s="1"/>
      <c r="P4" s="1"/>
    </row>
    <row r="5" spans="1:17" ht="15">
      <c r="C5" s="112" t="s">
        <v>42</v>
      </c>
      <c r="D5" s="2"/>
      <c r="E5" s="1"/>
      <c r="F5" s="1"/>
      <c r="G5" s="113"/>
      <c r="H5" s="1" t="s">
        <v>43</v>
      </c>
      <c r="I5" s="1"/>
      <c r="J5" s="4"/>
      <c r="K5" s="268" t="s">
        <v>152</v>
      </c>
      <c r="L5" s="114"/>
      <c r="M5" s="115"/>
      <c r="N5" s="116">
        <f>VLOOKUP(I10,C17:I72,5)</f>
        <v>7661.1325443702808</v>
      </c>
      <c r="P5" s="1"/>
    </row>
    <row r="6" spans="1:17" ht="15.75">
      <c r="C6" s="8"/>
      <c r="D6" s="2"/>
      <c r="E6" s="1"/>
      <c r="F6" s="1"/>
      <c r="G6" s="1"/>
      <c r="H6" s="117"/>
      <c r="I6" s="117"/>
      <c r="J6" s="118"/>
      <c r="K6" s="269" t="s">
        <v>153</v>
      </c>
      <c r="L6" s="119"/>
      <c r="M6" s="4"/>
      <c r="N6" s="120">
        <f>VLOOKUP(I10,C17:I72,6)</f>
        <v>7661.1325443702808</v>
      </c>
      <c r="O6" s="1"/>
      <c r="P6" s="1"/>
    </row>
    <row r="7" spans="1:17" ht="13.5" thickBot="1">
      <c r="C7" s="121" t="s">
        <v>44</v>
      </c>
      <c r="D7" s="273" t="s">
        <v>225</v>
      </c>
      <c r="E7" s="1"/>
      <c r="F7" s="1"/>
      <c r="G7" s="1"/>
      <c r="H7" s="275"/>
      <c r="I7" s="3"/>
      <c r="J7" s="111"/>
      <c r="K7" s="122" t="s">
        <v>45</v>
      </c>
      <c r="L7" s="123"/>
      <c r="M7" s="123"/>
      <c r="N7" s="124">
        <f>+N6-N5</f>
        <v>0</v>
      </c>
      <c r="O7" s="1"/>
      <c r="P7" s="1"/>
    </row>
    <row r="8" spans="1:17" ht="13.5" thickBot="1">
      <c r="C8" s="125"/>
      <c r="D8" s="247" t="str">
        <f>IF(D10&lt;100000,"DOES NOT MEET SPP $100,000 MINIMUM INVESTMENT FOR REGIONAL BPU SHARING.","")</f>
        <v>DOES NOT MEET SPP $100,000 MINIMUM INVESTMENT FOR REGIONAL BPU SHARING.</v>
      </c>
      <c r="E8" s="126"/>
      <c r="F8" s="126"/>
      <c r="G8" s="126"/>
      <c r="H8" s="126"/>
      <c r="I8" s="126"/>
      <c r="J8" s="101"/>
      <c r="K8" s="126"/>
      <c r="L8" s="126"/>
      <c r="M8" s="126"/>
      <c r="N8" s="126"/>
      <c r="O8" s="101"/>
      <c r="P8" s="21"/>
    </row>
    <row r="9" spans="1:17" ht="13.5" thickBot="1">
      <c r="A9" s="103"/>
      <c r="C9" s="127" t="s">
        <v>46</v>
      </c>
      <c r="D9" s="225" t="s">
        <v>141</v>
      </c>
      <c r="E9" s="401" t="s">
        <v>401</v>
      </c>
      <c r="F9" s="128"/>
      <c r="G9" s="128"/>
      <c r="H9" s="128"/>
      <c r="I9" s="129"/>
      <c r="J9" s="130"/>
      <c r="O9" s="131"/>
      <c r="P9" s="4"/>
    </row>
    <row r="10" spans="1:17">
      <c r="C10" s="132" t="s">
        <v>47</v>
      </c>
      <c r="D10" s="133">
        <v>77750</v>
      </c>
      <c r="E10" s="61" t="s">
        <v>459</v>
      </c>
      <c r="F10" s="131"/>
      <c r="G10" s="134"/>
      <c r="H10" s="134"/>
      <c r="I10" s="135">
        <f>+SWE.WS.F.BPU.ATRR.Projected!K17</f>
        <v>2019</v>
      </c>
      <c r="J10" s="130"/>
      <c r="K10" s="111" t="s">
        <v>48</v>
      </c>
      <c r="O10" s="4"/>
      <c r="P10" s="4"/>
    </row>
    <row r="11" spans="1:17">
      <c r="C11" s="136" t="s">
        <v>49</v>
      </c>
      <c r="D11" s="137">
        <v>2009</v>
      </c>
      <c r="E11" s="136" t="s">
        <v>50</v>
      </c>
      <c r="F11" s="134"/>
      <c r="G11" s="7"/>
      <c r="H11" s="7"/>
      <c r="I11" s="138">
        <v>0</v>
      </c>
      <c r="J11" s="139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4"/>
      <c r="P11" s="4"/>
    </row>
    <row r="12" spans="1:17">
      <c r="C12" s="136" t="s">
        <v>51</v>
      </c>
      <c r="D12" s="133">
        <v>5</v>
      </c>
      <c r="E12" s="136" t="s">
        <v>52</v>
      </c>
      <c r="F12" s="134"/>
      <c r="G12" s="7"/>
      <c r="H12" s="7"/>
      <c r="I12" s="140">
        <f>SWE.WS.F.BPU.ATRR.Projected!$F$76</f>
        <v>9.9555672459071778E-2</v>
      </c>
      <c r="J12" s="141"/>
      <c r="K12" t="s">
        <v>53</v>
      </c>
      <c r="O12" s="4"/>
      <c r="P12" s="4"/>
    </row>
    <row r="13" spans="1:17">
      <c r="C13" s="136" t="s">
        <v>54</v>
      </c>
      <c r="D13" s="138">
        <f>+SWE.WS.F.BPU.ATRR.Projected!F$87</f>
        <v>43</v>
      </c>
      <c r="E13" s="136" t="s">
        <v>55</v>
      </c>
      <c r="F13" s="134"/>
      <c r="G13" s="7"/>
      <c r="H13" s="7"/>
      <c r="I13" s="140">
        <f>IF(G5="",I12,SWE.WS.F.BPU.ATRR.Projected!$F$75)</f>
        <v>9.9555672459071778E-2</v>
      </c>
      <c r="J13" s="141"/>
      <c r="K13" s="111" t="s">
        <v>56</v>
      </c>
      <c r="L13" s="58"/>
      <c r="M13" s="58"/>
      <c r="N13" s="58"/>
      <c r="O13" s="4"/>
      <c r="P13" s="4"/>
    </row>
    <row r="14" spans="1:17" ht="13.5" thickBot="1">
      <c r="C14" s="136" t="s">
        <v>57</v>
      </c>
      <c r="D14" s="137" t="s">
        <v>58</v>
      </c>
      <c r="E14" s="4" t="s">
        <v>59</v>
      </c>
      <c r="F14" s="134"/>
      <c r="G14" s="7"/>
      <c r="H14" s="7"/>
      <c r="I14" s="142">
        <f>IF(D10=0,0,D10/D13)</f>
        <v>1808.1395348837209</v>
      </c>
      <c r="J14" s="111"/>
      <c r="K14" s="111"/>
      <c r="L14" s="111"/>
      <c r="M14" s="111"/>
      <c r="N14" s="111"/>
      <c r="O14" s="4"/>
      <c r="P14" s="4"/>
    </row>
    <row r="15" spans="1:17" ht="38.25">
      <c r="C15" s="143" t="s">
        <v>47</v>
      </c>
      <c r="D15" s="144" t="s">
        <v>60</v>
      </c>
      <c r="E15" s="144" t="s">
        <v>61</v>
      </c>
      <c r="F15" s="144" t="s">
        <v>62</v>
      </c>
      <c r="G15" s="434" t="s">
        <v>378</v>
      </c>
      <c r="H15" s="435" t="s">
        <v>379</v>
      </c>
      <c r="I15" s="351" t="s">
        <v>249</v>
      </c>
      <c r="J15" s="145"/>
      <c r="K15" s="271" t="s">
        <v>219</v>
      </c>
      <c r="L15" s="146" t="s">
        <v>64</v>
      </c>
      <c r="M15" s="271" t="s">
        <v>219</v>
      </c>
      <c r="N15" s="146" t="s">
        <v>64</v>
      </c>
      <c r="O15" s="146" t="s">
        <v>65</v>
      </c>
      <c r="P15" s="4"/>
    </row>
    <row r="16" spans="1:17" ht="13.5" thickBot="1">
      <c r="C16" s="147" t="s">
        <v>66</v>
      </c>
      <c r="D16" s="147" t="s">
        <v>67</v>
      </c>
      <c r="E16" s="147" t="s">
        <v>68</v>
      </c>
      <c r="F16" s="147" t="s">
        <v>67</v>
      </c>
      <c r="G16" s="408" t="s">
        <v>69</v>
      </c>
      <c r="H16" s="148" t="s">
        <v>70</v>
      </c>
      <c r="I16" s="149" t="s">
        <v>89</v>
      </c>
      <c r="J16" s="150" t="s">
        <v>71</v>
      </c>
      <c r="K16" s="151" t="s">
        <v>72</v>
      </c>
      <c r="L16" s="151" t="s">
        <v>72</v>
      </c>
      <c r="M16" s="151" t="s">
        <v>90</v>
      </c>
      <c r="N16" s="152" t="s">
        <v>90</v>
      </c>
      <c r="O16" s="151" t="s">
        <v>90</v>
      </c>
      <c r="P16" s="4"/>
    </row>
    <row r="17" spans="2:16">
      <c r="C17" s="153">
        <f>IF(D11= "","-",D11)</f>
        <v>2009</v>
      </c>
      <c r="D17" s="357">
        <v>64397</v>
      </c>
      <c r="E17" s="358">
        <v>1015</v>
      </c>
      <c r="F17" s="357">
        <v>63382</v>
      </c>
      <c r="G17" s="358">
        <v>0</v>
      </c>
      <c r="H17" s="359">
        <v>0</v>
      </c>
      <c r="I17" s="398">
        <f t="shared" ref="I17:I48" si="0">H17-G17</f>
        <v>0</v>
      </c>
      <c r="J17" s="156"/>
      <c r="K17" s="256">
        <v>0</v>
      </c>
      <c r="L17" s="157">
        <f t="shared" ref="L17:L48" si="1">IF(K17&lt;&gt;0,+G17-K17,0)</f>
        <v>0</v>
      </c>
      <c r="M17" s="256">
        <v>0</v>
      </c>
      <c r="N17" s="157">
        <f t="shared" ref="N17:N48" si="2">IF(M17&lt;&gt;0,+H17-M17,0)</f>
        <v>0</v>
      </c>
      <c r="O17" s="158">
        <f t="shared" ref="O17:O48" si="3">+N17-L17</f>
        <v>0</v>
      </c>
      <c r="P17" s="4"/>
    </row>
    <row r="18" spans="2:16">
      <c r="B18" s="9" t="str">
        <f>IF(D18=F17,"","IU")</f>
        <v>IU</v>
      </c>
      <c r="C18" s="153">
        <f>IF(D11="","-",+C17+1)</f>
        <v>2010</v>
      </c>
      <c r="D18" s="361">
        <v>81941</v>
      </c>
      <c r="E18" s="360">
        <v>2183</v>
      </c>
      <c r="F18" s="361">
        <v>79757</v>
      </c>
      <c r="G18" s="360">
        <v>13649</v>
      </c>
      <c r="H18" s="359">
        <v>13649</v>
      </c>
      <c r="I18" s="368">
        <v>0</v>
      </c>
      <c r="J18" s="156"/>
      <c r="K18" s="258">
        <f t="shared" ref="K18:K23" si="4">G18</f>
        <v>13649</v>
      </c>
      <c r="L18" s="257">
        <f t="shared" si="1"/>
        <v>0</v>
      </c>
      <c r="M18" s="258">
        <f t="shared" ref="M18:M23" si="5">H18</f>
        <v>13649</v>
      </c>
      <c r="N18" s="158">
        <f t="shared" si="2"/>
        <v>0</v>
      </c>
      <c r="O18" s="158">
        <f t="shared" si="3"/>
        <v>0</v>
      </c>
      <c r="P18" s="4"/>
    </row>
    <row r="19" spans="2:16">
      <c r="B19" s="9" t="str">
        <f>IF(D19=F18,"","IU")</f>
        <v>IU</v>
      </c>
      <c r="C19" s="153">
        <f>IF(D11="","-",+C18+1)</f>
        <v>2011</v>
      </c>
      <c r="D19" s="361">
        <v>74552</v>
      </c>
      <c r="E19" s="360">
        <v>1896.3414634146341</v>
      </c>
      <c r="F19" s="361">
        <v>72655.658536585368</v>
      </c>
      <c r="G19" s="360">
        <v>13244.587478742107</v>
      </c>
      <c r="H19" s="359">
        <v>13244.587478742107</v>
      </c>
      <c r="I19" s="368">
        <v>0</v>
      </c>
      <c r="J19" s="156"/>
      <c r="K19" s="258">
        <f t="shared" si="4"/>
        <v>13244.587478742107</v>
      </c>
      <c r="L19" s="257">
        <f t="shared" si="1"/>
        <v>0</v>
      </c>
      <c r="M19" s="258">
        <f t="shared" si="5"/>
        <v>13244.587478742107</v>
      </c>
      <c r="N19" s="158">
        <f t="shared" si="2"/>
        <v>0</v>
      </c>
      <c r="O19" s="158">
        <f t="shared" si="3"/>
        <v>0</v>
      </c>
      <c r="P19" s="4"/>
    </row>
    <row r="20" spans="2:16">
      <c r="B20" s="9" t="str">
        <f t="shared" ref="B20:B72" si="6">IF(D20=F19,"","IU")</f>
        <v/>
      </c>
      <c r="C20" s="153">
        <f>IF(D11="","-",+C19+1)</f>
        <v>2012</v>
      </c>
      <c r="D20" s="361">
        <v>72655.658536585368</v>
      </c>
      <c r="E20" s="377">
        <v>1851.1904761904761</v>
      </c>
      <c r="F20" s="361">
        <v>70804.468060394895</v>
      </c>
      <c r="G20" s="360">
        <v>12381.24088352887</v>
      </c>
      <c r="H20" s="359">
        <v>12381.24088352887</v>
      </c>
      <c r="I20" s="368">
        <v>0</v>
      </c>
      <c r="J20" s="156"/>
      <c r="K20" s="258">
        <f t="shared" si="4"/>
        <v>12381.24088352887</v>
      </c>
      <c r="L20" s="257">
        <f t="shared" si="1"/>
        <v>0</v>
      </c>
      <c r="M20" s="258">
        <f t="shared" si="5"/>
        <v>12381.24088352887</v>
      </c>
      <c r="N20" s="158">
        <f t="shared" si="2"/>
        <v>0</v>
      </c>
      <c r="O20" s="158">
        <f t="shared" si="3"/>
        <v>0</v>
      </c>
      <c r="P20" s="4"/>
    </row>
    <row r="21" spans="2:16">
      <c r="B21" s="9" t="str">
        <f t="shared" si="6"/>
        <v/>
      </c>
      <c r="C21" s="153">
        <f>IF(D12="","-",+C20+1)</f>
        <v>2013</v>
      </c>
      <c r="D21" s="396">
        <v>70804.468060394895</v>
      </c>
      <c r="E21" s="397">
        <v>1851.1904761904761</v>
      </c>
      <c r="F21" s="396">
        <v>68953.277584204421</v>
      </c>
      <c r="G21" s="397">
        <v>11503.75860476607</v>
      </c>
      <c r="H21" s="395">
        <v>11503.75860476607</v>
      </c>
      <c r="I21" s="398">
        <v>0</v>
      </c>
      <c r="J21" s="156"/>
      <c r="K21" s="258">
        <f t="shared" si="4"/>
        <v>11503.75860476607</v>
      </c>
      <c r="L21" s="257">
        <f t="shared" ref="L21:L26" si="7">IF(K21&lt;&gt;0,+G21-K21,0)</f>
        <v>0</v>
      </c>
      <c r="M21" s="258">
        <f t="shared" si="5"/>
        <v>11503.75860476607</v>
      </c>
      <c r="N21" s="158">
        <f t="shared" ref="N21:N26" si="8">IF(M21&lt;&gt;0,+H21-M21,0)</f>
        <v>0</v>
      </c>
      <c r="O21" s="158">
        <f t="shared" ref="O21:O26" si="9">+N21-L21</f>
        <v>0</v>
      </c>
      <c r="P21" s="4"/>
    </row>
    <row r="22" spans="2:16">
      <c r="B22" s="9" t="str">
        <f t="shared" si="6"/>
        <v/>
      </c>
      <c r="C22" s="153">
        <f>IF(D11="","-",+C21+1)</f>
        <v>2014</v>
      </c>
      <c r="D22" s="396">
        <v>68953.277584204421</v>
      </c>
      <c r="E22" s="397">
        <v>1851.1904761904761</v>
      </c>
      <c r="F22" s="396">
        <v>67102.087108013948</v>
      </c>
      <c r="G22" s="397">
        <v>10903.96715256805</v>
      </c>
      <c r="H22" s="395">
        <v>10903.96715256805</v>
      </c>
      <c r="I22" s="398">
        <v>0</v>
      </c>
      <c r="J22" s="156"/>
      <c r="K22" s="258">
        <f t="shared" si="4"/>
        <v>10903.96715256805</v>
      </c>
      <c r="L22" s="257">
        <f t="shared" si="7"/>
        <v>0</v>
      </c>
      <c r="M22" s="258">
        <f t="shared" si="5"/>
        <v>10903.96715256805</v>
      </c>
      <c r="N22" s="158">
        <f t="shared" si="8"/>
        <v>0</v>
      </c>
      <c r="O22" s="158">
        <f t="shared" si="9"/>
        <v>0</v>
      </c>
      <c r="P22" s="4"/>
    </row>
    <row r="23" spans="2:16">
      <c r="B23" s="9" t="str">
        <f t="shared" si="6"/>
        <v/>
      </c>
      <c r="C23" s="153">
        <f>IF(D11="","-",+C22+1)</f>
        <v>2015</v>
      </c>
      <c r="D23" s="396">
        <v>67102.087108013948</v>
      </c>
      <c r="E23" s="397">
        <v>1851.1904761904761</v>
      </c>
      <c r="F23" s="396">
        <v>65250.896631823474</v>
      </c>
      <c r="G23" s="397">
        <v>10445.046830532348</v>
      </c>
      <c r="H23" s="395">
        <v>10445.046830532348</v>
      </c>
      <c r="I23" s="156">
        <v>0</v>
      </c>
      <c r="J23" s="156"/>
      <c r="K23" s="258">
        <f t="shared" si="4"/>
        <v>10445.046830532348</v>
      </c>
      <c r="L23" s="257">
        <f t="shared" si="7"/>
        <v>0</v>
      </c>
      <c r="M23" s="258">
        <f t="shared" si="5"/>
        <v>10445.046830532348</v>
      </c>
      <c r="N23" s="158">
        <f t="shared" si="8"/>
        <v>0</v>
      </c>
      <c r="O23" s="158">
        <f t="shared" si="9"/>
        <v>0</v>
      </c>
      <c r="P23" s="4"/>
    </row>
    <row r="24" spans="2:16">
      <c r="B24" s="9" t="str">
        <f t="shared" si="6"/>
        <v/>
      </c>
      <c r="C24" s="153">
        <f>IF(D11="","-",+C23+1)</f>
        <v>2016</v>
      </c>
      <c r="D24" s="396">
        <v>65250.896631823474</v>
      </c>
      <c r="E24" s="397">
        <v>1851.1904761904761</v>
      </c>
      <c r="F24" s="396">
        <v>63399.706155633001</v>
      </c>
      <c r="G24" s="397">
        <v>10098.222669121984</v>
      </c>
      <c r="H24" s="395">
        <v>10098.222669121984</v>
      </c>
      <c r="I24" s="156">
        <f t="shared" si="0"/>
        <v>0</v>
      </c>
      <c r="J24" s="156"/>
      <c r="K24" s="258">
        <f>G24</f>
        <v>10098.222669121984</v>
      </c>
      <c r="L24" s="257">
        <f t="shared" si="7"/>
        <v>0</v>
      </c>
      <c r="M24" s="258">
        <f>H24</f>
        <v>10098.222669121984</v>
      </c>
      <c r="N24" s="158">
        <f t="shared" si="8"/>
        <v>0</v>
      </c>
      <c r="O24" s="158">
        <f t="shared" si="9"/>
        <v>0</v>
      </c>
      <c r="P24" s="4"/>
    </row>
    <row r="25" spans="2:16">
      <c r="B25" s="9" t="str">
        <f t="shared" si="6"/>
        <v/>
      </c>
      <c r="C25" s="153">
        <f>IF(D11="","-",+C24+1)</f>
        <v>2017</v>
      </c>
      <c r="D25" s="396">
        <v>63399.706155633001</v>
      </c>
      <c r="E25" s="397">
        <v>1808.1395348837209</v>
      </c>
      <c r="F25" s="396">
        <v>61591.566620749283</v>
      </c>
      <c r="G25" s="397">
        <v>9550.8822669869332</v>
      </c>
      <c r="H25" s="395">
        <v>9550.8822669869332</v>
      </c>
      <c r="I25" s="156">
        <v>0</v>
      </c>
      <c r="J25" s="156"/>
      <c r="K25" s="258">
        <f>G25</f>
        <v>9550.8822669869332</v>
      </c>
      <c r="L25" s="257">
        <f t="shared" si="7"/>
        <v>0</v>
      </c>
      <c r="M25" s="258">
        <f>H25</f>
        <v>9550.8822669869332</v>
      </c>
      <c r="N25" s="158">
        <f t="shared" si="8"/>
        <v>0</v>
      </c>
      <c r="O25" s="158">
        <f t="shared" si="9"/>
        <v>0</v>
      </c>
      <c r="P25" s="4"/>
    </row>
    <row r="26" spans="2:16">
      <c r="B26" s="9" t="str">
        <f t="shared" si="6"/>
        <v/>
      </c>
      <c r="C26" s="153">
        <f>IF(D11="","-",+C25+1)</f>
        <v>2018</v>
      </c>
      <c r="D26" s="396">
        <v>61591.566620749283</v>
      </c>
      <c r="E26" s="397">
        <v>1896.3414634146341</v>
      </c>
      <c r="F26" s="396">
        <v>59695.225157334651</v>
      </c>
      <c r="G26" s="397">
        <v>8681.3799065233979</v>
      </c>
      <c r="H26" s="395">
        <v>8681.3799065233979</v>
      </c>
      <c r="I26" s="156">
        <f t="shared" si="0"/>
        <v>0</v>
      </c>
      <c r="J26" s="156"/>
      <c r="K26" s="258">
        <f>G26</f>
        <v>8681.3799065233979</v>
      </c>
      <c r="L26" s="257">
        <f t="shared" si="7"/>
        <v>0</v>
      </c>
      <c r="M26" s="258">
        <f>H26</f>
        <v>8681.3799065233979</v>
      </c>
      <c r="N26" s="158">
        <f t="shared" si="8"/>
        <v>0</v>
      </c>
      <c r="O26" s="158">
        <f t="shared" si="9"/>
        <v>0</v>
      </c>
      <c r="P26" s="4"/>
    </row>
    <row r="27" spans="2:16">
      <c r="B27" s="9" t="str">
        <f t="shared" si="6"/>
        <v/>
      </c>
      <c r="C27" s="153">
        <f>IF(D11="","-",+C26+1)</f>
        <v>2019</v>
      </c>
      <c r="D27" s="162">
        <f>IF(F26+SUM(E$17:E26)=D$10,F26,D$10-SUM(E$17:E26))</f>
        <v>59695.225157334651</v>
      </c>
      <c r="E27" s="160">
        <f>IF(+I14&lt;F26,I14,D27)</f>
        <v>1808.1395348837209</v>
      </c>
      <c r="F27" s="159">
        <f t="shared" ref="F27:F48" si="10">+D27-E27</f>
        <v>57887.085622450933</v>
      </c>
      <c r="G27" s="161">
        <f t="shared" ref="G27:G72" si="11">+I$12*((D27+F27)/2)+E27</f>
        <v>7661.1325443702808</v>
      </c>
      <c r="H27" s="142">
        <f t="shared" ref="H27:H72" si="12">+I$13*((D27+F27)/2)+E27</f>
        <v>7661.1325443702808</v>
      </c>
      <c r="I27" s="156">
        <f t="shared" si="0"/>
        <v>0</v>
      </c>
      <c r="J27" s="156"/>
      <c r="K27" s="334"/>
      <c r="L27" s="158">
        <f t="shared" si="1"/>
        <v>0</v>
      </c>
      <c r="M27" s="334"/>
      <c r="N27" s="158">
        <f t="shared" si="2"/>
        <v>0</v>
      </c>
      <c r="O27" s="158">
        <f t="shared" si="3"/>
        <v>0</v>
      </c>
      <c r="P27" s="4"/>
    </row>
    <row r="28" spans="2:16">
      <c r="B28" s="9" t="str">
        <f t="shared" si="6"/>
        <v/>
      </c>
      <c r="C28" s="153">
        <f>IF(D11="","-",+C27+1)</f>
        <v>2020</v>
      </c>
      <c r="D28" s="159">
        <f>IF(F27+SUM(E$17:E27)=D$10,F27,D$10-SUM(E$17:E27))</f>
        <v>57887.085622450933</v>
      </c>
      <c r="E28" s="160">
        <f>IF(+I14&lt;F27,I14,D28)</f>
        <v>1808.1395348837209</v>
      </c>
      <c r="F28" s="159">
        <f t="shared" si="10"/>
        <v>56078.946087567216</v>
      </c>
      <c r="G28" s="161">
        <f t="shared" si="11"/>
        <v>7481.1219970750972</v>
      </c>
      <c r="H28" s="142">
        <f t="shared" si="12"/>
        <v>7481.1219970750972</v>
      </c>
      <c r="I28" s="156">
        <f t="shared" si="0"/>
        <v>0</v>
      </c>
      <c r="J28" s="156"/>
      <c r="K28" s="334"/>
      <c r="L28" s="158">
        <f t="shared" si="1"/>
        <v>0</v>
      </c>
      <c r="M28" s="334"/>
      <c r="N28" s="158">
        <f t="shared" si="2"/>
        <v>0</v>
      </c>
      <c r="O28" s="158">
        <f t="shared" si="3"/>
        <v>0</v>
      </c>
      <c r="P28" s="4"/>
    </row>
    <row r="29" spans="2:16">
      <c r="B29" s="9" t="str">
        <f t="shared" si="6"/>
        <v/>
      </c>
      <c r="C29" s="153">
        <f>IF(D11="","-",+C28+1)</f>
        <v>2021</v>
      </c>
      <c r="D29" s="159">
        <f>IF(F28+SUM(E$17:E28)=D$10,F28,D$10-SUM(E$17:E28))</f>
        <v>56078.946087567216</v>
      </c>
      <c r="E29" s="160">
        <f>IF(+I14&lt;F28,I14,D29)</f>
        <v>1808.1395348837209</v>
      </c>
      <c r="F29" s="159">
        <f t="shared" si="10"/>
        <v>54270.806552683498</v>
      </c>
      <c r="G29" s="161">
        <f t="shared" si="11"/>
        <v>7301.1114497799172</v>
      </c>
      <c r="H29" s="142">
        <f t="shared" si="12"/>
        <v>7301.1114497799172</v>
      </c>
      <c r="I29" s="156">
        <f t="shared" si="0"/>
        <v>0</v>
      </c>
      <c r="J29" s="156"/>
      <c r="K29" s="334"/>
      <c r="L29" s="158">
        <f t="shared" si="1"/>
        <v>0</v>
      </c>
      <c r="M29" s="334"/>
      <c r="N29" s="158">
        <f t="shared" si="2"/>
        <v>0</v>
      </c>
      <c r="O29" s="158">
        <f t="shared" si="3"/>
        <v>0</v>
      </c>
      <c r="P29" s="4"/>
    </row>
    <row r="30" spans="2:16">
      <c r="B30" s="9" t="str">
        <f t="shared" si="6"/>
        <v/>
      </c>
      <c r="C30" s="153">
        <f>IF(D11="","-",+C29+1)</f>
        <v>2022</v>
      </c>
      <c r="D30" s="159">
        <f>IF(F29+SUM(E$17:E29)=D$10,F29,D$10-SUM(E$17:E29))</f>
        <v>54270.806552683498</v>
      </c>
      <c r="E30" s="160">
        <f>IF(+I14&lt;F29,I14,D30)</f>
        <v>1808.1395348837209</v>
      </c>
      <c r="F30" s="159">
        <f t="shared" si="10"/>
        <v>52462.66701779978</v>
      </c>
      <c r="G30" s="161">
        <f t="shared" si="11"/>
        <v>7121.1009024847335</v>
      </c>
      <c r="H30" s="142">
        <f t="shared" si="12"/>
        <v>7121.1009024847335</v>
      </c>
      <c r="I30" s="156">
        <f t="shared" si="0"/>
        <v>0</v>
      </c>
      <c r="J30" s="156"/>
      <c r="K30" s="334"/>
      <c r="L30" s="158">
        <f t="shared" si="1"/>
        <v>0</v>
      </c>
      <c r="M30" s="334"/>
      <c r="N30" s="158">
        <f t="shared" si="2"/>
        <v>0</v>
      </c>
      <c r="O30" s="158">
        <f t="shared" si="3"/>
        <v>0</v>
      </c>
      <c r="P30" s="4"/>
    </row>
    <row r="31" spans="2:16">
      <c r="B31" s="9" t="str">
        <f t="shared" si="6"/>
        <v/>
      </c>
      <c r="C31" s="153">
        <f>IF(D11="","-",+C30+1)</f>
        <v>2023</v>
      </c>
      <c r="D31" s="159">
        <f>IF(F30+SUM(E$17:E30)=D$10,F30,D$10-SUM(E$17:E30))</f>
        <v>52462.66701779978</v>
      </c>
      <c r="E31" s="160">
        <f>IF(+I14&lt;F30,I14,D31)</f>
        <v>1808.1395348837209</v>
      </c>
      <c r="F31" s="159">
        <f t="shared" si="10"/>
        <v>50654.527482916063</v>
      </c>
      <c r="G31" s="161">
        <f t="shared" si="11"/>
        <v>6941.0903551895535</v>
      </c>
      <c r="H31" s="142">
        <f t="shared" si="12"/>
        <v>6941.0903551895535</v>
      </c>
      <c r="I31" s="156">
        <f t="shared" si="0"/>
        <v>0</v>
      </c>
      <c r="J31" s="156"/>
      <c r="K31" s="334"/>
      <c r="L31" s="158">
        <f t="shared" si="1"/>
        <v>0</v>
      </c>
      <c r="M31" s="334"/>
      <c r="N31" s="158">
        <f t="shared" si="2"/>
        <v>0</v>
      </c>
      <c r="O31" s="158">
        <f t="shared" si="3"/>
        <v>0</v>
      </c>
      <c r="P31" s="4"/>
    </row>
    <row r="32" spans="2:16">
      <c r="B32" s="9" t="str">
        <f t="shared" si="6"/>
        <v/>
      </c>
      <c r="C32" s="153">
        <f>IF(D11="","-",+C31+1)</f>
        <v>2024</v>
      </c>
      <c r="D32" s="159">
        <f>IF(F31+SUM(E$17:E31)=D$10,F31,D$10-SUM(E$17:E31))</f>
        <v>50654.527482916063</v>
      </c>
      <c r="E32" s="160">
        <f>IF(+I14&lt;F31,I14,D32)</f>
        <v>1808.1395348837209</v>
      </c>
      <c r="F32" s="159">
        <f t="shared" si="10"/>
        <v>48846.387948032345</v>
      </c>
      <c r="G32" s="161">
        <f t="shared" si="11"/>
        <v>6761.0798078943699</v>
      </c>
      <c r="H32" s="142">
        <f t="shared" si="12"/>
        <v>6761.0798078943699</v>
      </c>
      <c r="I32" s="156">
        <f t="shared" si="0"/>
        <v>0</v>
      </c>
      <c r="J32" s="156"/>
      <c r="K32" s="334"/>
      <c r="L32" s="158">
        <f t="shared" si="1"/>
        <v>0</v>
      </c>
      <c r="M32" s="334"/>
      <c r="N32" s="158">
        <f t="shared" si="2"/>
        <v>0</v>
      </c>
      <c r="O32" s="158">
        <f t="shared" si="3"/>
        <v>0</v>
      </c>
      <c r="P32" s="4"/>
    </row>
    <row r="33" spans="2:16">
      <c r="B33" s="9" t="str">
        <f t="shared" si="6"/>
        <v/>
      </c>
      <c r="C33" s="153">
        <f>IF(D11="","-",+C32+1)</f>
        <v>2025</v>
      </c>
      <c r="D33" s="159">
        <f>IF(F32+SUM(E$17:E32)=D$10,F32,D$10-SUM(E$17:E32))</f>
        <v>48846.387948032345</v>
      </c>
      <c r="E33" s="160">
        <f>IF(+I14&lt;F32,I14,D33)</f>
        <v>1808.1395348837209</v>
      </c>
      <c r="F33" s="159">
        <f t="shared" si="10"/>
        <v>47038.248413148627</v>
      </c>
      <c r="G33" s="161">
        <f t="shared" si="11"/>
        <v>6581.0692605991899</v>
      </c>
      <c r="H33" s="142">
        <f t="shared" si="12"/>
        <v>6581.0692605991899</v>
      </c>
      <c r="I33" s="156">
        <f t="shared" si="0"/>
        <v>0</v>
      </c>
      <c r="J33" s="156"/>
      <c r="K33" s="334"/>
      <c r="L33" s="158">
        <f t="shared" si="1"/>
        <v>0</v>
      </c>
      <c r="M33" s="334"/>
      <c r="N33" s="158">
        <f t="shared" si="2"/>
        <v>0</v>
      </c>
      <c r="O33" s="158">
        <f t="shared" si="3"/>
        <v>0</v>
      </c>
      <c r="P33" s="4"/>
    </row>
    <row r="34" spans="2:16">
      <c r="B34" s="9" t="str">
        <f t="shared" si="6"/>
        <v/>
      </c>
      <c r="C34" s="153">
        <f>IF(D11="","-",+C33+1)</f>
        <v>2026</v>
      </c>
      <c r="D34" s="159">
        <f>IF(F33+SUM(E$17:E33)=D$10,F33,D$10-SUM(E$17:E33))</f>
        <v>47038.248413148576</v>
      </c>
      <c r="E34" s="160">
        <f>IF(+I14&lt;F33,I14,D34)</f>
        <v>1808.1395348837209</v>
      </c>
      <c r="F34" s="159">
        <f t="shared" si="10"/>
        <v>45230.108878264859</v>
      </c>
      <c r="G34" s="161">
        <f t="shared" si="11"/>
        <v>6401.0587133040026</v>
      </c>
      <c r="H34" s="142">
        <f t="shared" si="12"/>
        <v>6401.0587133040026</v>
      </c>
      <c r="I34" s="156">
        <f t="shared" si="0"/>
        <v>0</v>
      </c>
      <c r="J34" s="156"/>
      <c r="K34" s="334"/>
      <c r="L34" s="158">
        <f t="shared" si="1"/>
        <v>0</v>
      </c>
      <c r="M34" s="334"/>
      <c r="N34" s="158">
        <f t="shared" si="2"/>
        <v>0</v>
      </c>
      <c r="O34" s="158">
        <f t="shared" si="3"/>
        <v>0</v>
      </c>
      <c r="P34" s="4"/>
    </row>
    <row r="35" spans="2:16">
      <c r="B35" s="9" t="str">
        <f t="shared" si="6"/>
        <v/>
      </c>
      <c r="C35" s="153">
        <f>IF(D11="","-",+C34+1)</f>
        <v>2027</v>
      </c>
      <c r="D35" s="159">
        <f>IF(F34+SUM(E$17:E34)=D$10,F34,D$10-SUM(E$17:E34))</f>
        <v>45230.108878264859</v>
      </c>
      <c r="E35" s="160">
        <f>IF(+I14&lt;F34,I14,D35)</f>
        <v>1808.1395348837209</v>
      </c>
      <c r="F35" s="159">
        <f t="shared" si="10"/>
        <v>43421.969343381141</v>
      </c>
      <c r="G35" s="161">
        <f t="shared" si="11"/>
        <v>6221.0481660088208</v>
      </c>
      <c r="H35" s="142">
        <f t="shared" si="12"/>
        <v>6221.0481660088208</v>
      </c>
      <c r="I35" s="156">
        <f t="shared" si="0"/>
        <v>0</v>
      </c>
      <c r="J35" s="156"/>
      <c r="K35" s="334"/>
      <c r="L35" s="158">
        <f t="shared" si="1"/>
        <v>0</v>
      </c>
      <c r="M35" s="334"/>
      <c r="N35" s="158">
        <f t="shared" si="2"/>
        <v>0</v>
      </c>
      <c r="O35" s="158">
        <f t="shared" si="3"/>
        <v>0</v>
      </c>
      <c r="P35" s="4"/>
    </row>
    <row r="36" spans="2:16">
      <c r="B36" s="9" t="str">
        <f t="shared" si="6"/>
        <v/>
      </c>
      <c r="C36" s="153">
        <f>IF(D11="","-",+C35+1)</f>
        <v>2028</v>
      </c>
      <c r="D36" s="159">
        <f>IF(F35+SUM(E$17:E35)=D$10,F35,D$10-SUM(E$17:E35))</f>
        <v>43421.969343381141</v>
      </c>
      <c r="E36" s="160">
        <f>IF(+I14&lt;F35,I14,D36)</f>
        <v>1808.1395348837209</v>
      </c>
      <c r="F36" s="159">
        <f t="shared" si="10"/>
        <v>41613.829808497423</v>
      </c>
      <c r="G36" s="161">
        <f t="shared" si="11"/>
        <v>6041.0376187136389</v>
      </c>
      <c r="H36" s="142">
        <f t="shared" si="12"/>
        <v>6041.0376187136389</v>
      </c>
      <c r="I36" s="156">
        <f t="shared" si="0"/>
        <v>0</v>
      </c>
      <c r="J36" s="156"/>
      <c r="K36" s="334"/>
      <c r="L36" s="158">
        <f t="shared" si="1"/>
        <v>0</v>
      </c>
      <c r="M36" s="334"/>
      <c r="N36" s="158">
        <f t="shared" si="2"/>
        <v>0</v>
      </c>
      <c r="O36" s="158">
        <f t="shared" si="3"/>
        <v>0</v>
      </c>
      <c r="P36" s="4"/>
    </row>
    <row r="37" spans="2:16">
      <c r="B37" s="9" t="str">
        <f t="shared" si="6"/>
        <v/>
      </c>
      <c r="C37" s="153">
        <f>IF(D11="","-",+C36+1)</f>
        <v>2029</v>
      </c>
      <c r="D37" s="159">
        <f>IF(F36+SUM(E$17:E36)=D$10,F36,D$10-SUM(E$17:E36))</f>
        <v>41613.829808497423</v>
      </c>
      <c r="E37" s="160">
        <f>IF(+I14&lt;F36,I14,D37)</f>
        <v>1808.1395348837209</v>
      </c>
      <c r="F37" s="159">
        <f t="shared" si="10"/>
        <v>39805.690273613705</v>
      </c>
      <c r="G37" s="161">
        <f t="shared" si="11"/>
        <v>5861.0270714184571</v>
      </c>
      <c r="H37" s="142">
        <f t="shared" si="12"/>
        <v>5861.0270714184571</v>
      </c>
      <c r="I37" s="156">
        <f t="shared" si="0"/>
        <v>0</v>
      </c>
      <c r="J37" s="156"/>
      <c r="K37" s="334"/>
      <c r="L37" s="158">
        <f t="shared" si="1"/>
        <v>0</v>
      </c>
      <c r="M37" s="334"/>
      <c r="N37" s="158">
        <f t="shared" si="2"/>
        <v>0</v>
      </c>
      <c r="O37" s="158">
        <f t="shared" si="3"/>
        <v>0</v>
      </c>
      <c r="P37" s="4"/>
    </row>
    <row r="38" spans="2:16">
      <c r="B38" s="9" t="str">
        <f t="shared" si="6"/>
        <v/>
      </c>
      <c r="C38" s="153">
        <f>IF(D11="","-",+C37+1)</f>
        <v>2030</v>
      </c>
      <c r="D38" s="159">
        <f>IF(F37+SUM(E$17:E37)=D$10,F37,D$10-SUM(E$17:E37))</f>
        <v>39805.690273613705</v>
      </c>
      <c r="E38" s="160">
        <f>IF(+I14&lt;F37,I14,D38)</f>
        <v>1808.1395348837209</v>
      </c>
      <c r="F38" s="159">
        <f t="shared" si="10"/>
        <v>37997.550738729988</v>
      </c>
      <c r="G38" s="161">
        <f t="shared" si="11"/>
        <v>5681.0165241232753</v>
      </c>
      <c r="H38" s="142">
        <f t="shared" si="12"/>
        <v>5681.0165241232753</v>
      </c>
      <c r="I38" s="156">
        <f t="shared" si="0"/>
        <v>0</v>
      </c>
      <c r="J38" s="156"/>
      <c r="K38" s="334"/>
      <c r="L38" s="158">
        <f t="shared" si="1"/>
        <v>0</v>
      </c>
      <c r="M38" s="334"/>
      <c r="N38" s="158">
        <f t="shared" si="2"/>
        <v>0</v>
      </c>
      <c r="O38" s="158">
        <f t="shared" si="3"/>
        <v>0</v>
      </c>
      <c r="P38" s="4"/>
    </row>
    <row r="39" spans="2:16">
      <c r="B39" s="9" t="str">
        <f t="shared" si="6"/>
        <v/>
      </c>
      <c r="C39" s="153">
        <f>IF(D11="","-",+C38+1)</f>
        <v>2031</v>
      </c>
      <c r="D39" s="159">
        <f>IF(F38+SUM(E$17:E38)=D$10,F38,D$10-SUM(E$17:E38))</f>
        <v>37997.550738729988</v>
      </c>
      <c r="E39" s="160">
        <f>IF(+I14&lt;F38,I14,D39)</f>
        <v>1808.1395348837209</v>
      </c>
      <c r="F39" s="159">
        <f t="shared" si="10"/>
        <v>36189.41120384627</v>
      </c>
      <c r="G39" s="161">
        <f t="shared" si="11"/>
        <v>5501.0059768280935</v>
      </c>
      <c r="H39" s="142">
        <f t="shared" si="12"/>
        <v>5501.0059768280935</v>
      </c>
      <c r="I39" s="156">
        <f t="shared" si="0"/>
        <v>0</v>
      </c>
      <c r="J39" s="156"/>
      <c r="K39" s="334"/>
      <c r="L39" s="158">
        <f t="shared" si="1"/>
        <v>0</v>
      </c>
      <c r="M39" s="334"/>
      <c r="N39" s="158">
        <f t="shared" si="2"/>
        <v>0</v>
      </c>
      <c r="O39" s="158">
        <f t="shared" si="3"/>
        <v>0</v>
      </c>
      <c r="P39" s="4"/>
    </row>
    <row r="40" spans="2:16">
      <c r="B40" s="9" t="str">
        <f t="shared" si="6"/>
        <v/>
      </c>
      <c r="C40" s="153">
        <f>IF(D11="","-",+C39+1)</f>
        <v>2032</v>
      </c>
      <c r="D40" s="159">
        <f>IF(F39+SUM(E$17:E39)=D$10,F39,D$10-SUM(E$17:E39))</f>
        <v>36189.41120384627</v>
      </c>
      <c r="E40" s="160">
        <f>IF(+I14&lt;F39,I14,D40)</f>
        <v>1808.1395348837209</v>
      </c>
      <c r="F40" s="159">
        <f t="shared" si="10"/>
        <v>34381.271668962552</v>
      </c>
      <c r="G40" s="161">
        <f t="shared" si="11"/>
        <v>5320.9954295329117</v>
      </c>
      <c r="H40" s="142">
        <f t="shared" si="12"/>
        <v>5320.9954295329117</v>
      </c>
      <c r="I40" s="156">
        <f t="shared" si="0"/>
        <v>0</v>
      </c>
      <c r="J40" s="156"/>
      <c r="K40" s="334"/>
      <c r="L40" s="158">
        <f t="shared" si="1"/>
        <v>0</v>
      </c>
      <c r="M40" s="334"/>
      <c r="N40" s="158">
        <f t="shared" si="2"/>
        <v>0</v>
      </c>
      <c r="O40" s="158">
        <f t="shared" si="3"/>
        <v>0</v>
      </c>
      <c r="P40" s="4"/>
    </row>
    <row r="41" spans="2:16">
      <c r="B41" s="9" t="str">
        <f t="shared" si="6"/>
        <v/>
      </c>
      <c r="C41" s="153">
        <f>IF(D11="","-",+C40+1)</f>
        <v>2033</v>
      </c>
      <c r="D41" s="159">
        <f>IF(F40+SUM(E$17:E40)=D$10,F40,D$10-SUM(E$17:E40))</f>
        <v>34381.271668962552</v>
      </c>
      <c r="E41" s="160">
        <f>IF(+I14&lt;F40,I14,D41)</f>
        <v>1808.1395348837209</v>
      </c>
      <c r="F41" s="159">
        <f t="shared" si="10"/>
        <v>32573.132134078831</v>
      </c>
      <c r="G41" s="161">
        <f t="shared" si="11"/>
        <v>5140.9848822377298</v>
      </c>
      <c r="H41" s="142">
        <f t="shared" si="12"/>
        <v>5140.9848822377298</v>
      </c>
      <c r="I41" s="156">
        <f t="shared" si="0"/>
        <v>0</v>
      </c>
      <c r="J41" s="156"/>
      <c r="K41" s="334"/>
      <c r="L41" s="158">
        <f t="shared" si="1"/>
        <v>0</v>
      </c>
      <c r="M41" s="334"/>
      <c r="N41" s="158">
        <f t="shared" si="2"/>
        <v>0</v>
      </c>
      <c r="O41" s="158">
        <f t="shared" si="3"/>
        <v>0</v>
      </c>
      <c r="P41" s="4"/>
    </row>
    <row r="42" spans="2:16">
      <c r="B42" s="9" t="str">
        <f t="shared" si="6"/>
        <v/>
      </c>
      <c r="C42" s="153">
        <f>IF(D11="","-",+C41+1)</f>
        <v>2034</v>
      </c>
      <c r="D42" s="159">
        <f>IF(F41+SUM(E$17:E41)=D$10,F41,D$10-SUM(E$17:E41))</f>
        <v>32573.132134078831</v>
      </c>
      <c r="E42" s="160">
        <f>IF(+I14&lt;F41,I14,D42)</f>
        <v>1808.1395348837209</v>
      </c>
      <c r="F42" s="159">
        <f t="shared" si="10"/>
        <v>30764.99259919511</v>
      </c>
      <c r="G42" s="161">
        <f t="shared" si="11"/>
        <v>4960.974334942548</v>
      </c>
      <c r="H42" s="142">
        <f t="shared" si="12"/>
        <v>4960.974334942548</v>
      </c>
      <c r="I42" s="156">
        <f t="shared" si="0"/>
        <v>0</v>
      </c>
      <c r="J42" s="156"/>
      <c r="K42" s="334"/>
      <c r="L42" s="158">
        <f t="shared" si="1"/>
        <v>0</v>
      </c>
      <c r="M42" s="334"/>
      <c r="N42" s="158">
        <f t="shared" si="2"/>
        <v>0</v>
      </c>
      <c r="O42" s="158">
        <f t="shared" si="3"/>
        <v>0</v>
      </c>
      <c r="P42" s="4"/>
    </row>
    <row r="43" spans="2:16">
      <c r="B43" s="9" t="str">
        <f t="shared" si="6"/>
        <v/>
      </c>
      <c r="C43" s="153">
        <f>IF(D11="","-",+C42+1)</f>
        <v>2035</v>
      </c>
      <c r="D43" s="159">
        <f>IF(F42+SUM(E$17:E42)=D$10,F42,D$10-SUM(E$17:E42))</f>
        <v>30764.99259919511</v>
      </c>
      <c r="E43" s="160">
        <f>IF(+I14&lt;F42,I14,D43)</f>
        <v>1808.1395348837209</v>
      </c>
      <c r="F43" s="159">
        <f t="shared" si="10"/>
        <v>28956.853064311388</v>
      </c>
      <c r="G43" s="161">
        <f t="shared" si="11"/>
        <v>4780.9637876473653</v>
      </c>
      <c r="H43" s="142">
        <f t="shared" si="12"/>
        <v>4780.9637876473653</v>
      </c>
      <c r="I43" s="156">
        <f t="shared" si="0"/>
        <v>0</v>
      </c>
      <c r="J43" s="156"/>
      <c r="K43" s="334"/>
      <c r="L43" s="158">
        <f t="shared" si="1"/>
        <v>0</v>
      </c>
      <c r="M43" s="334"/>
      <c r="N43" s="158">
        <f t="shared" si="2"/>
        <v>0</v>
      </c>
      <c r="O43" s="158">
        <f t="shared" si="3"/>
        <v>0</v>
      </c>
      <c r="P43" s="4"/>
    </row>
    <row r="44" spans="2:16">
      <c r="B44" s="9" t="str">
        <f t="shared" si="6"/>
        <v/>
      </c>
      <c r="C44" s="153">
        <f>IF(D11="","-",+C43+1)</f>
        <v>2036</v>
      </c>
      <c r="D44" s="159">
        <f>IF(F43+SUM(E$17:E43)=D$10,F43,D$10-SUM(E$17:E43))</f>
        <v>28956.853064311388</v>
      </c>
      <c r="E44" s="160">
        <f>IF(+I14&lt;F43,I14,D44)</f>
        <v>1808.1395348837209</v>
      </c>
      <c r="F44" s="159">
        <f t="shared" si="10"/>
        <v>27148.713529427667</v>
      </c>
      <c r="G44" s="161">
        <f t="shared" si="11"/>
        <v>4600.9532403521835</v>
      </c>
      <c r="H44" s="142">
        <f t="shared" si="12"/>
        <v>4600.9532403521835</v>
      </c>
      <c r="I44" s="156">
        <f t="shared" si="0"/>
        <v>0</v>
      </c>
      <c r="J44" s="156"/>
      <c r="K44" s="334"/>
      <c r="L44" s="158">
        <f t="shared" si="1"/>
        <v>0</v>
      </c>
      <c r="M44" s="334"/>
      <c r="N44" s="158">
        <f t="shared" si="2"/>
        <v>0</v>
      </c>
      <c r="O44" s="158">
        <f t="shared" si="3"/>
        <v>0</v>
      </c>
      <c r="P44" s="4"/>
    </row>
    <row r="45" spans="2:16">
      <c r="B45" s="9" t="str">
        <f t="shared" si="6"/>
        <v/>
      </c>
      <c r="C45" s="153">
        <f>IF(D11="","-",+C44+1)</f>
        <v>2037</v>
      </c>
      <c r="D45" s="159">
        <f>IF(F44+SUM(E$17:E44)=D$10,F44,D$10-SUM(E$17:E44))</f>
        <v>27148.713529427667</v>
      </c>
      <c r="E45" s="160">
        <f>IF(+I14&lt;F44,I14,D45)</f>
        <v>1808.1395348837209</v>
      </c>
      <c r="F45" s="159">
        <f t="shared" si="10"/>
        <v>25340.573994543945</v>
      </c>
      <c r="G45" s="161">
        <f t="shared" si="11"/>
        <v>4420.9426930570007</v>
      </c>
      <c r="H45" s="142">
        <f t="shared" si="12"/>
        <v>4420.9426930570007</v>
      </c>
      <c r="I45" s="156">
        <f t="shared" si="0"/>
        <v>0</v>
      </c>
      <c r="J45" s="156"/>
      <c r="K45" s="334"/>
      <c r="L45" s="158">
        <f t="shared" si="1"/>
        <v>0</v>
      </c>
      <c r="M45" s="334"/>
      <c r="N45" s="158">
        <f t="shared" si="2"/>
        <v>0</v>
      </c>
      <c r="O45" s="158">
        <f t="shared" si="3"/>
        <v>0</v>
      </c>
      <c r="P45" s="4"/>
    </row>
    <row r="46" spans="2:16">
      <c r="B46" s="9" t="str">
        <f t="shared" si="6"/>
        <v/>
      </c>
      <c r="C46" s="153">
        <f>IF(D11="","-",+C45+1)</f>
        <v>2038</v>
      </c>
      <c r="D46" s="159">
        <f>IF(F45+SUM(E$17:E45)=D$10,F45,D$10-SUM(E$17:E45))</f>
        <v>25340.573994543945</v>
      </c>
      <c r="E46" s="160">
        <f>IF(+I14&lt;F45,I14,D46)</f>
        <v>1808.1395348837209</v>
      </c>
      <c r="F46" s="159">
        <f t="shared" si="10"/>
        <v>23532.434459660224</v>
      </c>
      <c r="G46" s="161">
        <f t="shared" si="11"/>
        <v>4240.9321457618189</v>
      </c>
      <c r="H46" s="142">
        <f t="shared" si="12"/>
        <v>4240.9321457618189</v>
      </c>
      <c r="I46" s="156">
        <f t="shared" si="0"/>
        <v>0</v>
      </c>
      <c r="J46" s="156"/>
      <c r="K46" s="334"/>
      <c r="L46" s="158">
        <f t="shared" si="1"/>
        <v>0</v>
      </c>
      <c r="M46" s="334"/>
      <c r="N46" s="158">
        <f t="shared" si="2"/>
        <v>0</v>
      </c>
      <c r="O46" s="158">
        <f t="shared" si="3"/>
        <v>0</v>
      </c>
      <c r="P46" s="4"/>
    </row>
    <row r="47" spans="2:16">
      <c r="B47" s="9" t="str">
        <f t="shared" si="6"/>
        <v/>
      </c>
      <c r="C47" s="153">
        <f>IF(D11="","-",+C46+1)</f>
        <v>2039</v>
      </c>
      <c r="D47" s="159">
        <f>IF(F46+SUM(E$17:E46)=D$10,F46,D$10-SUM(E$17:E46))</f>
        <v>23532.434459660224</v>
      </c>
      <c r="E47" s="160">
        <f>IF(+I14&lt;F46,I14,D47)</f>
        <v>1808.1395348837209</v>
      </c>
      <c r="F47" s="159">
        <f t="shared" si="10"/>
        <v>21724.294924776503</v>
      </c>
      <c r="G47" s="161">
        <f t="shared" si="11"/>
        <v>4060.9215984666366</v>
      </c>
      <c r="H47" s="142">
        <f t="shared" si="12"/>
        <v>4060.9215984666366</v>
      </c>
      <c r="I47" s="156">
        <f t="shared" si="0"/>
        <v>0</v>
      </c>
      <c r="J47" s="156"/>
      <c r="K47" s="334"/>
      <c r="L47" s="158">
        <f t="shared" si="1"/>
        <v>0</v>
      </c>
      <c r="M47" s="334"/>
      <c r="N47" s="158">
        <f t="shared" si="2"/>
        <v>0</v>
      </c>
      <c r="O47" s="158">
        <f t="shared" si="3"/>
        <v>0</v>
      </c>
      <c r="P47" s="4"/>
    </row>
    <row r="48" spans="2:16">
      <c r="B48" s="9" t="str">
        <f t="shared" si="6"/>
        <v/>
      </c>
      <c r="C48" s="153">
        <f>IF(D11="","-",+C47+1)</f>
        <v>2040</v>
      </c>
      <c r="D48" s="159">
        <f>IF(F47+SUM(E$17:E47)=D$10,F47,D$10-SUM(E$17:E47))</f>
        <v>21724.294924776503</v>
      </c>
      <c r="E48" s="160">
        <f>IF(+I14&lt;F47,I14,D48)</f>
        <v>1808.1395348837209</v>
      </c>
      <c r="F48" s="159">
        <f t="shared" si="10"/>
        <v>19916.155389892781</v>
      </c>
      <c r="G48" s="161">
        <f t="shared" si="11"/>
        <v>3880.9110511714548</v>
      </c>
      <c r="H48" s="142">
        <f t="shared" si="12"/>
        <v>3880.9110511714548</v>
      </c>
      <c r="I48" s="156">
        <f t="shared" si="0"/>
        <v>0</v>
      </c>
      <c r="J48" s="156"/>
      <c r="K48" s="334"/>
      <c r="L48" s="158">
        <f t="shared" si="1"/>
        <v>0</v>
      </c>
      <c r="M48" s="334"/>
      <c r="N48" s="158">
        <f t="shared" si="2"/>
        <v>0</v>
      </c>
      <c r="O48" s="158">
        <f t="shared" si="3"/>
        <v>0</v>
      </c>
      <c r="P48" s="4"/>
    </row>
    <row r="49" spans="2:17">
      <c r="B49" s="9" t="str">
        <f t="shared" si="6"/>
        <v/>
      </c>
      <c r="C49" s="153">
        <f>IF(D11="","-",+C48+1)</f>
        <v>2041</v>
      </c>
      <c r="D49" s="159">
        <f>IF(F48+SUM(E$17:E48)=D$10,F48,D$10-SUM(E$17:E48))</f>
        <v>19916.155389892781</v>
      </c>
      <c r="E49" s="160">
        <f>IF(+I14&lt;F48,I14,D49)</f>
        <v>1808.1395348837209</v>
      </c>
      <c r="F49" s="159">
        <f t="shared" ref="F49:F72" si="13">+D49-E49</f>
        <v>18108.01585500906</v>
      </c>
      <c r="G49" s="161">
        <f t="shared" si="11"/>
        <v>3700.9005038762725</v>
      </c>
      <c r="H49" s="142">
        <f t="shared" si="12"/>
        <v>3700.9005038762725</v>
      </c>
      <c r="I49" s="156">
        <f t="shared" ref="I49:I72" si="14">H49-G49</f>
        <v>0</v>
      </c>
      <c r="J49" s="156"/>
      <c r="K49" s="334"/>
      <c r="L49" s="158">
        <f t="shared" ref="L49:L72" si="15">IF(K49&lt;&gt;0,+G49-K49,0)</f>
        <v>0</v>
      </c>
      <c r="M49" s="334"/>
      <c r="N49" s="158">
        <f t="shared" ref="N49:N72" si="16">IF(M49&lt;&gt;0,+H49-M49,0)</f>
        <v>0</v>
      </c>
      <c r="O49" s="158">
        <f t="shared" ref="O49:O72" si="17">+N49-L49</f>
        <v>0</v>
      </c>
      <c r="P49" s="4"/>
    </row>
    <row r="50" spans="2:17">
      <c r="B50" s="9" t="str">
        <f t="shared" si="6"/>
        <v/>
      </c>
      <c r="C50" s="153">
        <f>IF(D11="","-",+C49+1)</f>
        <v>2042</v>
      </c>
      <c r="D50" s="159">
        <f>IF(F49+SUM(E$17:E49)=D$10,F49,D$10-SUM(E$17:E49))</f>
        <v>18108.01585500906</v>
      </c>
      <c r="E50" s="160">
        <f>IF(+I14&lt;F49,I14,D50)</f>
        <v>1808.1395348837209</v>
      </c>
      <c r="F50" s="159">
        <f t="shared" si="13"/>
        <v>16299.876320125339</v>
      </c>
      <c r="G50" s="161">
        <f t="shared" si="11"/>
        <v>3520.8899565810907</v>
      </c>
      <c r="H50" s="142">
        <f t="shared" si="12"/>
        <v>3520.8899565810907</v>
      </c>
      <c r="I50" s="156">
        <f t="shared" si="14"/>
        <v>0</v>
      </c>
      <c r="J50" s="156"/>
      <c r="K50" s="334"/>
      <c r="L50" s="158">
        <f t="shared" si="15"/>
        <v>0</v>
      </c>
      <c r="M50" s="334"/>
      <c r="N50" s="158">
        <f t="shared" si="16"/>
        <v>0</v>
      </c>
      <c r="O50" s="158">
        <f t="shared" si="17"/>
        <v>0</v>
      </c>
      <c r="P50" s="4"/>
    </row>
    <row r="51" spans="2:17">
      <c r="B51" s="9" t="str">
        <f t="shared" si="6"/>
        <v/>
      </c>
      <c r="C51" s="153">
        <f>IF(D11="","-",+C50+1)</f>
        <v>2043</v>
      </c>
      <c r="D51" s="159">
        <f>IF(F50+SUM(E$17:E50)=D$10,F50,D$10-SUM(E$17:E50))</f>
        <v>16299.876320125339</v>
      </c>
      <c r="E51" s="160">
        <f>IF(+I14&lt;F50,I14,D51)</f>
        <v>1808.1395348837209</v>
      </c>
      <c r="F51" s="159">
        <f t="shared" si="13"/>
        <v>14491.736785241617</v>
      </c>
      <c r="G51" s="161">
        <f t="shared" si="11"/>
        <v>3340.879409285908</v>
      </c>
      <c r="H51" s="142">
        <f t="shared" si="12"/>
        <v>3340.879409285908</v>
      </c>
      <c r="I51" s="156">
        <f t="shared" si="14"/>
        <v>0</v>
      </c>
      <c r="J51" s="156"/>
      <c r="K51" s="334"/>
      <c r="L51" s="158">
        <f t="shared" si="15"/>
        <v>0</v>
      </c>
      <c r="M51" s="334"/>
      <c r="N51" s="158">
        <f t="shared" si="16"/>
        <v>0</v>
      </c>
      <c r="O51" s="158">
        <f t="shared" si="17"/>
        <v>0</v>
      </c>
      <c r="P51" s="4"/>
    </row>
    <row r="52" spans="2:17">
      <c r="B52" s="9" t="str">
        <f t="shared" si="6"/>
        <v/>
      </c>
      <c r="C52" s="153">
        <f>IF(D11="","-",+C51+1)</f>
        <v>2044</v>
      </c>
      <c r="D52" s="159">
        <f>IF(F51+SUM(E$17:E51)=D$10,F51,D$10-SUM(E$17:E51))</f>
        <v>14491.736785241617</v>
      </c>
      <c r="E52" s="160">
        <f>IF(+I14&lt;F51,I14,D52)</f>
        <v>1808.1395348837209</v>
      </c>
      <c r="F52" s="159">
        <f t="shared" si="13"/>
        <v>12683.597250357896</v>
      </c>
      <c r="G52" s="161">
        <f t="shared" si="11"/>
        <v>3160.8688619907261</v>
      </c>
      <c r="H52" s="142">
        <f t="shared" si="12"/>
        <v>3160.8688619907261</v>
      </c>
      <c r="I52" s="156">
        <f t="shared" si="14"/>
        <v>0</v>
      </c>
      <c r="J52" s="156"/>
      <c r="K52" s="334"/>
      <c r="L52" s="158">
        <f t="shared" si="15"/>
        <v>0</v>
      </c>
      <c r="M52" s="334"/>
      <c r="N52" s="158">
        <f t="shared" si="16"/>
        <v>0</v>
      </c>
      <c r="O52" s="158">
        <f t="shared" si="17"/>
        <v>0</v>
      </c>
      <c r="P52" s="4"/>
    </row>
    <row r="53" spans="2:17">
      <c r="B53" s="9" t="str">
        <f t="shared" si="6"/>
        <v/>
      </c>
      <c r="C53" s="153">
        <f>IF(D11="","-",+C52+1)</f>
        <v>2045</v>
      </c>
      <c r="D53" s="159">
        <f>IF(F52+SUM(E$17:E52)=D$10,F52,D$10-SUM(E$17:E52))</f>
        <v>12683.597250357896</v>
      </c>
      <c r="E53" s="160">
        <f>IF(+I14&lt;F52,I14,D53)</f>
        <v>1808.1395348837209</v>
      </c>
      <c r="F53" s="159">
        <f t="shared" si="13"/>
        <v>10875.457715474175</v>
      </c>
      <c r="G53" s="161">
        <f t="shared" si="11"/>
        <v>2980.8583146955439</v>
      </c>
      <c r="H53" s="142">
        <f t="shared" si="12"/>
        <v>2980.8583146955439</v>
      </c>
      <c r="I53" s="156">
        <f t="shared" si="14"/>
        <v>0</v>
      </c>
      <c r="J53" s="156"/>
      <c r="K53" s="334"/>
      <c r="L53" s="158">
        <f t="shared" si="15"/>
        <v>0</v>
      </c>
      <c r="M53" s="334"/>
      <c r="N53" s="158">
        <f t="shared" si="16"/>
        <v>0</v>
      </c>
      <c r="O53" s="158">
        <f t="shared" si="17"/>
        <v>0</v>
      </c>
      <c r="P53" s="4"/>
    </row>
    <row r="54" spans="2:17">
      <c r="B54" s="9" t="str">
        <f t="shared" si="6"/>
        <v/>
      </c>
      <c r="C54" s="153">
        <f>IF(D11="","-",+C53+1)</f>
        <v>2046</v>
      </c>
      <c r="D54" s="159">
        <f>IF(F53+SUM(E$17:E53)=D$10,F53,D$10-SUM(E$17:E53))</f>
        <v>10875.457715474175</v>
      </c>
      <c r="E54" s="160">
        <f>IF(+I14&lt;F53,I14,D54)</f>
        <v>1808.1395348837209</v>
      </c>
      <c r="F54" s="159">
        <f t="shared" si="13"/>
        <v>9067.3181805904533</v>
      </c>
      <c r="G54" s="161">
        <f t="shared" si="11"/>
        <v>2800.8477674003616</v>
      </c>
      <c r="H54" s="142">
        <f t="shared" si="12"/>
        <v>2800.8477674003616</v>
      </c>
      <c r="I54" s="156">
        <f t="shared" si="14"/>
        <v>0</v>
      </c>
      <c r="J54" s="156"/>
      <c r="K54" s="334"/>
      <c r="L54" s="158">
        <f t="shared" si="15"/>
        <v>0</v>
      </c>
      <c r="M54" s="334"/>
      <c r="N54" s="158">
        <f t="shared" si="16"/>
        <v>0</v>
      </c>
      <c r="O54" s="158">
        <f t="shared" si="17"/>
        <v>0</v>
      </c>
      <c r="P54" s="4"/>
    </row>
    <row r="55" spans="2:17">
      <c r="B55" s="9" t="str">
        <f t="shared" si="6"/>
        <v/>
      </c>
      <c r="C55" s="153">
        <f>IF(D11="","-",+C54+1)</f>
        <v>2047</v>
      </c>
      <c r="D55" s="159">
        <f>IF(F54+SUM(E$17:E54)=D$10,F54,D$10-SUM(E$17:E54))</f>
        <v>9067.3181805904533</v>
      </c>
      <c r="E55" s="160">
        <f>IF(+I14&lt;F54,I14,D55)</f>
        <v>1808.1395348837209</v>
      </c>
      <c r="F55" s="159">
        <f t="shared" si="13"/>
        <v>7259.1786457067319</v>
      </c>
      <c r="G55" s="161">
        <f t="shared" si="11"/>
        <v>2620.8372201051798</v>
      </c>
      <c r="H55" s="142">
        <f t="shared" si="12"/>
        <v>2620.8372201051798</v>
      </c>
      <c r="I55" s="156">
        <f t="shared" si="14"/>
        <v>0</v>
      </c>
      <c r="J55" s="156"/>
      <c r="K55" s="334"/>
      <c r="L55" s="158">
        <f t="shared" si="15"/>
        <v>0</v>
      </c>
      <c r="M55" s="334"/>
      <c r="N55" s="158">
        <f t="shared" si="16"/>
        <v>0</v>
      </c>
      <c r="O55" s="158">
        <f t="shared" si="17"/>
        <v>0</v>
      </c>
      <c r="P55" s="4"/>
    </row>
    <row r="56" spans="2:17">
      <c r="B56" s="9" t="str">
        <f t="shared" si="6"/>
        <v/>
      </c>
      <c r="C56" s="153">
        <f>IF(D11="","-",+C55+1)</f>
        <v>2048</v>
      </c>
      <c r="D56" s="159">
        <f>IF(F55+SUM(E$17:E55)=D$10,F55,D$10-SUM(E$17:E55))</f>
        <v>7259.1786457067319</v>
      </c>
      <c r="E56" s="160">
        <f>IF(+I14&lt;F55,I14,D56)</f>
        <v>1808.1395348837209</v>
      </c>
      <c r="F56" s="159">
        <f t="shared" si="13"/>
        <v>5451.0391108230106</v>
      </c>
      <c r="G56" s="161">
        <f t="shared" si="11"/>
        <v>2440.8266728099975</v>
      </c>
      <c r="H56" s="142">
        <f t="shared" si="12"/>
        <v>2440.8266728099975</v>
      </c>
      <c r="I56" s="156">
        <f t="shared" si="14"/>
        <v>0</v>
      </c>
      <c r="J56" s="156"/>
      <c r="K56" s="334"/>
      <c r="L56" s="158">
        <f t="shared" si="15"/>
        <v>0</v>
      </c>
      <c r="M56" s="334"/>
      <c r="N56" s="158">
        <f t="shared" si="16"/>
        <v>0</v>
      </c>
      <c r="O56" s="158">
        <f t="shared" si="17"/>
        <v>0</v>
      </c>
      <c r="P56" s="4"/>
    </row>
    <row r="57" spans="2:17">
      <c r="B57" s="9" t="str">
        <f t="shared" si="6"/>
        <v/>
      </c>
      <c r="C57" s="153">
        <f>IF(D11="","-",+C56+1)</f>
        <v>2049</v>
      </c>
      <c r="D57" s="159">
        <f>IF(F56+SUM(E$17:E56)=D$10,F56,D$10-SUM(E$17:E56))</f>
        <v>5451.0391108230106</v>
      </c>
      <c r="E57" s="160">
        <f>IF(+I14&lt;F56,I14,D57)</f>
        <v>1808.1395348837209</v>
      </c>
      <c r="F57" s="159">
        <f t="shared" si="13"/>
        <v>3642.8995759392897</v>
      </c>
      <c r="G57" s="161">
        <f t="shared" si="11"/>
        <v>2260.8161255148152</v>
      </c>
      <c r="H57" s="142">
        <f t="shared" si="12"/>
        <v>2260.8161255148152</v>
      </c>
      <c r="I57" s="156">
        <f t="shared" si="14"/>
        <v>0</v>
      </c>
      <c r="J57" s="156"/>
      <c r="K57" s="334"/>
      <c r="L57" s="158">
        <f t="shared" si="15"/>
        <v>0</v>
      </c>
      <c r="M57" s="334"/>
      <c r="N57" s="158">
        <f t="shared" si="16"/>
        <v>0</v>
      </c>
      <c r="O57" s="158">
        <f t="shared" si="17"/>
        <v>0</v>
      </c>
      <c r="P57" s="4"/>
    </row>
    <row r="58" spans="2:17">
      <c r="B58" s="374" t="str">
        <f t="shared" si="6"/>
        <v/>
      </c>
      <c r="C58" s="153">
        <f>IF(D11="","-",+C57+1)</f>
        <v>2050</v>
      </c>
      <c r="D58" s="159">
        <f>IF(F57+SUM(E$17:E57)=D$10,F57,D$10-SUM(E$17:E57))</f>
        <v>3642.8995759392897</v>
      </c>
      <c r="E58" s="160">
        <f>IF(+I14&lt;F57,I14,D58)</f>
        <v>1808.1395348837209</v>
      </c>
      <c r="F58" s="159">
        <f t="shared" si="13"/>
        <v>1834.7600410555688</v>
      </c>
      <c r="G58" s="161">
        <f t="shared" si="11"/>
        <v>2080.8055782196334</v>
      </c>
      <c r="H58" s="142">
        <f t="shared" si="12"/>
        <v>2080.8055782196334</v>
      </c>
      <c r="I58" s="156">
        <f t="shared" si="14"/>
        <v>0</v>
      </c>
      <c r="J58" s="156"/>
      <c r="K58" s="334"/>
      <c r="L58" s="158">
        <f t="shared" si="15"/>
        <v>0</v>
      </c>
      <c r="M58" s="334"/>
      <c r="N58" s="158">
        <f t="shared" si="16"/>
        <v>0</v>
      </c>
      <c r="O58" s="158">
        <f t="shared" si="17"/>
        <v>0</v>
      </c>
      <c r="P58" s="4"/>
      <c r="Q58" t="str">
        <f>IF(ROUND(Q57,0)=ROUND(SUM(Q18:Q56),0),"","Error -- check allocations above).")</f>
        <v/>
      </c>
    </row>
    <row r="59" spans="2:17">
      <c r="B59" s="9" t="str">
        <f t="shared" si="6"/>
        <v/>
      </c>
      <c r="C59" s="153">
        <f>IF(D11="","-",+C58+1)</f>
        <v>2051</v>
      </c>
      <c r="D59" s="159">
        <f>IF(F58+SUM(E$17:E58)=D$10,F58,D$10-SUM(E$17:E58))</f>
        <v>1834.7600410555688</v>
      </c>
      <c r="E59" s="160">
        <f>IF(+I14&lt;F58,I14,D59)</f>
        <v>1808.1395348837209</v>
      </c>
      <c r="F59" s="159">
        <f t="shared" si="13"/>
        <v>26.620506171847865</v>
      </c>
      <c r="G59" s="161">
        <f t="shared" si="11"/>
        <v>1900.7950309244511</v>
      </c>
      <c r="H59" s="142">
        <f t="shared" si="12"/>
        <v>1900.7950309244511</v>
      </c>
      <c r="I59" s="156">
        <f t="shared" si="14"/>
        <v>0</v>
      </c>
      <c r="J59" s="156"/>
      <c r="K59" s="334"/>
      <c r="L59" s="158">
        <f t="shared" si="15"/>
        <v>0</v>
      </c>
      <c r="M59" s="334"/>
      <c r="N59" s="158">
        <f t="shared" si="16"/>
        <v>0</v>
      </c>
      <c r="O59" s="158">
        <f t="shared" si="17"/>
        <v>0</v>
      </c>
      <c r="P59" s="4"/>
    </row>
    <row r="60" spans="2:17">
      <c r="B60" s="9" t="str">
        <f t="shared" si="6"/>
        <v/>
      </c>
      <c r="C60" s="153">
        <f>IF(D11="","-",+C59+1)</f>
        <v>2052</v>
      </c>
      <c r="D60" s="159">
        <f>IF(F59+SUM(E$17:E59)=D$10,F59,D$10-SUM(E$17:E59))</f>
        <v>26.620506171847865</v>
      </c>
      <c r="E60" s="160">
        <f>IF(+I14&lt;F59,I14,D60)</f>
        <v>26.620506171847865</v>
      </c>
      <c r="F60" s="159">
        <f t="shared" si="13"/>
        <v>0</v>
      </c>
      <c r="G60" s="161">
        <f t="shared" si="11"/>
        <v>27.945617368417459</v>
      </c>
      <c r="H60" s="142">
        <f t="shared" si="12"/>
        <v>27.945617368417459</v>
      </c>
      <c r="I60" s="156">
        <f t="shared" si="14"/>
        <v>0</v>
      </c>
      <c r="J60" s="156"/>
      <c r="K60" s="334"/>
      <c r="L60" s="158">
        <f t="shared" si="15"/>
        <v>0</v>
      </c>
      <c r="M60" s="334"/>
      <c r="N60" s="158">
        <f t="shared" si="16"/>
        <v>0</v>
      </c>
      <c r="O60" s="158">
        <f t="shared" si="17"/>
        <v>0</v>
      </c>
      <c r="P60" s="4"/>
    </row>
    <row r="61" spans="2:17">
      <c r="B61" s="9" t="str">
        <f t="shared" si="6"/>
        <v/>
      </c>
      <c r="C61" s="153">
        <f>IF(D11="","-",+C60+1)</f>
        <v>2053</v>
      </c>
      <c r="D61" s="159">
        <f>IF(F60+SUM(E$17:E60)=D$10,F60,D$10-SUM(E$17:E60))</f>
        <v>0</v>
      </c>
      <c r="E61" s="160">
        <f>IF(+I14&lt;F60,I14,D61)</f>
        <v>0</v>
      </c>
      <c r="F61" s="159">
        <f t="shared" si="13"/>
        <v>0</v>
      </c>
      <c r="G61" s="163">
        <f t="shared" si="11"/>
        <v>0</v>
      </c>
      <c r="H61" s="142">
        <f t="shared" si="12"/>
        <v>0</v>
      </c>
      <c r="I61" s="156">
        <f t="shared" si="14"/>
        <v>0</v>
      </c>
      <c r="J61" s="156"/>
      <c r="K61" s="334"/>
      <c r="L61" s="158">
        <f t="shared" si="15"/>
        <v>0</v>
      </c>
      <c r="M61" s="334"/>
      <c r="N61" s="158">
        <f t="shared" si="16"/>
        <v>0</v>
      </c>
      <c r="O61" s="158">
        <f t="shared" si="17"/>
        <v>0</v>
      </c>
      <c r="P61" s="4"/>
    </row>
    <row r="62" spans="2:17">
      <c r="B62" s="9" t="str">
        <f t="shared" si="6"/>
        <v/>
      </c>
      <c r="C62" s="153">
        <f>IF(D11="","-",+C61+1)</f>
        <v>2054</v>
      </c>
      <c r="D62" s="159">
        <f>IF(F61+SUM(E$17:E61)=D$10,F61,D$10-SUM(E$17:E61))</f>
        <v>0</v>
      </c>
      <c r="E62" s="160">
        <f>IF(+I14&lt;F61,I14,D62)</f>
        <v>0</v>
      </c>
      <c r="F62" s="159">
        <f t="shared" si="13"/>
        <v>0</v>
      </c>
      <c r="G62" s="163">
        <f t="shared" si="11"/>
        <v>0</v>
      </c>
      <c r="H62" s="142">
        <f t="shared" si="12"/>
        <v>0</v>
      </c>
      <c r="I62" s="156">
        <f t="shared" si="14"/>
        <v>0</v>
      </c>
      <c r="J62" s="156"/>
      <c r="K62" s="334"/>
      <c r="L62" s="158">
        <f t="shared" si="15"/>
        <v>0</v>
      </c>
      <c r="M62" s="334"/>
      <c r="N62" s="158">
        <f t="shared" si="16"/>
        <v>0</v>
      </c>
      <c r="O62" s="158">
        <f t="shared" si="17"/>
        <v>0</v>
      </c>
      <c r="P62" s="4"/>
    </row>
    <row r="63" spans="2:17">
      <c r="B63" s="9" t="str">
        <f t="shared" si="6"/>
        <v/>
      </c>
      <c r="C63" s="153">
        <f>IF(D11="","-",+C62+1)</f>
        <v>2055</v>
      </c>
      <c r="D63" s="159">
        <f>IF(F62+SUM(E$17:E62)=D$10,F62,D$10-SUM(E$17:E62))</f>
        <v>0</v>
      </c>
      <c r="E63" s="160">
        <f>IF(+I14&lt;F62,I14,D63)</f>
        <v>0</v>
      </c>
      <c r="F63" s="159">
        <f t="shared" si="13"/>
        <v>0</v>
      </c>
      <c r="G63" s="163">
        <f t="shared" si="11"/>
        <v>0</v>
      </c>
      <c r="H63" s="142">
        <f t="shared" si="12"/>
        <v>0</v>
      </c>
      <c r="I63" s="156">
        <f t="shared" si="14"/>
        <v>0</v>
      </c>
      <c r="J63" s="156"/>
      <c r="K63" s="334"/>
      <c r="L63" s="158">
        <f t="shared" si="15"/>
        <v>0</v>
      </c>
      <c r="M63" s="334"/>
      <c r="N63" s="158">
        <f t="shared" si="16"/>
        <v>0</v>
      </c>
      <c r="O63" s="158">
        <f t="shared" si="17"/>
        <v>0</v>
      </c>
      <c r="P63" s="4"/>
    </row>
    <row r="64" spans="2:17">
      <c r="B64" s="9" t="str">
        <f t="shared" si="6"/>
        <v/>
      </c>
      <c r="C64" s="153">
        <f>IF(D11="","-",+C63+1)</f>
        <v>2056</v>
      </c>
      <c r="D64" s="159">
        <f>IF(F63+SUM(E$17:E63)=D$10,F63,D$10-SUM(E$17:E63))</f>
        <v>0</v>
      </c>
      <c r="E64" s="160">
        <f>IF(+I14&lt;F63,I14,D64)</f>
        <v>0</v>
      </c>
      <c r="F64" s="159">
        <f t="shared" si="13"/>
        <v>0</v>
      </c>
      <c r="G64" s="163">
        <f t="shared" si="11"/>
        <v>0</v>
      </c>
      <c r="H64" s="142">
        <f t="shared" si="12"/>
        <v>0</v>
      </c>
      <c r="I64" s="156">
        <f t="shared" si="14"/>
        <v>0</v>
      </c>
      <c r="J64" s="156"/>
      <c r="K64" s="334"/>
      <c r="L64" s="158">
        <f t="shared" si="15"/>
        <v>0</v>
      </c>
      <c r="M64" s="334"/>
      <c r="N64" s="158">
        <f t="shared" si="16"/>
        <v>0</v>
      </c>
      <c r="O64" s="158">
        <f t="shared" si="17"/>
        <v>0</v>
      </c>
      <c r="P64" s="4"/>
    </row>
    <row r="65" spans="1:16">
      <c r="B65" s="9" t="str">
        <f t="shared" si="6"/>
        <v/>
      </c>
      <c r="C65" s="153">
        <f>IF(D11="","-",+C64+1)</f>
        <v>2057</v>
      </c>
      <c r="D65" s="159">
        <f>IF(F64+SUM(E$17:E64)=D$10,F64,D$10-SUM(E$17:E64))</f>
        <v>0</v>
      </c>
      <c r="E65" s="160">
        <f>IF(+I14&lt;F64,I14,D65)</f>
        <v>0</v>
      </c>
      <c r="F65" s="159">
        <f t="shared" si="13"/>
        <v>0</v>
      </c>
      <c r="G65" s="163">
        <f t="shared" si="11"/>
        <v>0</v>
      </c>
      <c r="H65" s="142">
        <f t="shared" si="12"/>
        <v>0</v>
      </c>
      <c r="I65" s="156">
        <f t="shared" si="14"/>
        <v>0</v>
      </c>
      <c r="J65" s="156"/>
      <c r="K65" s="334"/>
      <c r="L65" s="158">
        <f t="shared" si="15"/>
        <v>0</v>
      </c>
      <c r="M65" s="334"/>
      <c r="N65" s="158">
        <f t="shared" si="16"/>
        <v>0</v>
      </c>
      <c r="O65" s="158">
        <f t="shared" si="17"/>
        <v>0</v>
      </c>
      <c r="P65" s="4"/>
    </row>
    <row r="66" spans="1:16">
      <c r="B66" s="9" t="str">
        <f t="shared" si="6"/>
        <v/>
      </c>
      <c r="C66" s="153">
        <f>IF(D11="","-",+C65+1)</f>
        <v>2058</v>
      </c>
      <c r="D66" s="159">
        <f>IF(F65+SUM(E$17:E65)=D$10,F65,D$10-SUM(E$17:E65))</f>
        <v>0</v>
      </c>
      <c r="E66" s="160">
        <f>IF(+I14&lt;F65,I14,D66)</f>
        <v>0</v>
      </c>
      <c r="F66" s="159">
        <f t="shared" si="13"/>
        <v>0</v>
      </c>
      <c r="G66" s="163">
        <f t="shared" si="11"/>
        <v>0</v>
      </c>
      <c r="H66" s="142">
        <f t="shared" si="12"/>
        <v>0</v>
      </c>
      <c r="I66" s="156">
        <f t="shared" si="14"/>
        <v>0</v>
      </c>
      <c r="J66" s="156"/>
      <c r="K66" s="334"/>
      <c r="L66" s="158">
        <f t="shared" si="15"/>
        <v>0</v>
      </c>
      <c r="M66" s="334"/>
      <c r="N66" s="158">
        <f t="shared" si="16"/>
        <v>0</v>
      </c>
      <c r="O66" s="158">
        <f t="shared" si="17"/>
        <v>0</v>
      </c>
      <c r="P66" s="4"/>
    </row>
    <row r="67" spans="1:16">
      <c r="B67" s="9" t="str">
        <f t="shared" si="6"/>
        <v/>
      </c>
      <c r="C67" s="153">
        <f>IF(D11="","-",+C66+1)</f>
        <v>2059</v>
      </c>
      <c r="D67" s="159">
        <f>IF(F66+SUM(E$17:E66)=D$10,F66,D$10-SUM(E$17:E66))</f>
        <v>0</v>
      </c>
      <c r="E67" s="160">
        <f>IF(+I14&lt;F66,I14,D67)</f>
        <v>0</v>
      </c>
      <c r="F67" s="159">
        <f t="shared" si="13"/>
        <v>0</v>
      </c>
      <c r="G67" s="163">
        <f t="shared" si="11"/>
        <v>0</v>
      </c>
      <c r="H67" s="142">
        <f t="shared" si="12"/>
        <v>0</v>
      </c>
      <c r="I67" s="156">
        <f t="shared" si="14"/>
        <v>0</v>
      </c>
      <c r="J67" s="156"/>
      <c r="K67" s="334"/>
      <c r="L67" s="158">
        <f t="shared" si="15"/>
        <v>0</v>
      </c>
      <c r="M67" s="334"/>
      <c r="N67" s="158">
        <f t="shared" si="16"/>
        <v>0</v>
      </c>
      <c r="O67" s="158">
        <f t="shared" si="17"/>
        <v>0</v>
      </c>
      <c r="P67" s="4"/>
    </row>
    <row r="68" spans="1:16">
      <c r="B68" s="9" t="str">
        <f t="shared" si="6"/>
        <v/>
      </c>
      <c r="C68" s="153">
        <f>IF(D11="","-",+C67+1)</f>
        <v>2060</v>
      </c>
      <c r="D68" s="159">
        <f>IF(F67+SUM(E$17:E67)=D$10,F67,D$10-SUM(E$17:E67))</f>
        <v>0</v>
      </c>
      <c r="E68" s="160">
        <f>IF(+I14&lt;F67,I14,D68)</f>
        <v>0</v>
      </c>
      <c r="F68" s="159">
        <f t="shared" si="13"/>
        <v>0</v>
      </c>
      <c r="G68" s="163">
        <f t="shared" si="11"/>
        <v>0</v>
      </c>
      <c r="H68" s="142">
        <f t="shared" si="12"/>
        <v>0</v>
      </c>
      <c r="I68" s="156">
        <f t="shared" si="14"/>
        <v>0</v>
      </c>
      <c r="J68" s="156"/>
      <c r="K68" s="334"/>
      <c r="L68" s="158">
        <f t="shared" si="15"/>
        <v>0</v>
      </c>
      <c r="M68" s="334"/>
      <c r="N68" s="158">
        <f t="shared" si="16"/>
        <v>0</v>
      </c>
      <c r="O68" s="158">
        <f t="shared" si="17"/>
        <v>0</v>
      </c>
      <c r="P68" s="4"/>
    </row>
    <row r="69" spans="1:16">
      <c r="B69" s="9" t="str">
        <f t="shared" si="6"/>
        <v/>
      </c>
      <c r="C69" s="153">
        <f>IF(D11="","-",+C68+1)</f>
        <v>2061</v>
      </c>
      <c r="D69" s="159">
        <f>IF(F68+SUM(E$17:E68)=D$10,F68,D$10-SUM(E$17:E68))</f>
        <v>0</v>
      </c>
      <c r="E69" s="160">
        <f>IF(+I14&lt;F68,I14,D69)</f>
        <v>0</v>
      </c>
      <c r="F69" s="159">
        <f t="shared" si="13"/>
        <v>0</v>
      </c>
      <c r="G69" s="163">
        <f t="shared" si="11"/>
        <v>0</v>
      </c>
      <c r="H69" s="142">
        <f t="shared" si="12"/>
        <v>0</v>
      </c>
      <c r="I69" s="156">
        <f t="shared" si="14"/>
        <v>0</v>
      </c>
      <c r="J69" s="156"/>
      <c r="K69" s="334"/>
      <c r="L69" s="158">
        <f t="shared" si="15"/>
        <v>0</v>
      </c>
      <c r="M69" s="334"/>
      <c r="N69" s="158">
        <f t="shared" si="16"/>
        <v>0</v>
      </c>
      <c r="O69" s="158">
        <f t="shared" si="17"/>
        <v>0</v>
      </c>
      <c r="P69" s="4"/>
    </row>
    <row r="70" spans="1:16">
      <c r="B70" s="9" t="str">
        <f t="shared" si="6"/>
        <v/>
      </c>
      <c r="C70" s="153">
        <f>IF(D11="","-",+C69+1)</f>
        <v>2062</v>
      </c>
      <c r="D70" s="159">
        <f>IF(F69+SUM(E$17:E69)=D$10,F69,D$10-SUM(E$17:E69))</f>
        <v>0</v>
      </c>
      <c r="E70" s="160">
        <f>IF(+I14&lt;F69,I14,D70)</f>
        <v>0</v>
      </c>
      <c r="F70" s="159">
        <f t="shared" si="13"/>
        <v>0</v>
      </c>
      <c r="G70" s="163">
        <f t="shared" si="11"/>
        <v>0</v>
      </c>
      <c r="H70" s="142">
        <f t="shared" si="12"/>
        <v>0</v>
      </c>
      <c r="I70" s="156">
        <f t="shared" si="14"/>
        <v>0</v>
      </c>
      <c r="J70" s="156"/>
      <c r="K70" s="334"/>
      <c r="L70" s="158">
        <f t="shared" si="15"/>
        <v>0</v>
      </c>
      <c r="M70" s="334"/>
      <c r="N70" s="158">
        <f t="shared" si="16"/>
        <v>0</v>
      </c>
      <c r="O70" s="158">
        <f t="shared" si="17"/>
        <v>0</v>
      </c>
      <c r="P70" s="4"/>
    </row>
    <row r="71" spans="1:16">
      <c r="B71" s="9" t="str">
        <f t="shared" si="6"/>
        <v/>
      </c>
      <c r="C71" s="153">
        <f>IF(D11="","-",+C70+1)</f>
        <v>2063</v>
      </c>
      <c r="D71" s="159">
        <f>IF(F70+SUM(E$17:E70)=D$10,F70,D$10-SUM(E$17:E70))</f>
        <v>0</v>
      </c>
      <c r="E71" s="160">
        <f>IF(+I14&lt;F70,I14,D71)</f>
        <v>0</v>
      </c>
      <c r="F71" s="159">
        <f t="shared" si="13"/>
        <v>0</v>
      </c>
      <c r="G71" s="163">
        <f t="shared" si="11"/>
        <v>0</v>
      </c>
      <c r="H71" s="142">
        <f t="shared" si="12"/>
        <v>0</v>
      </c>
      <c r="I71" s="156">
        <f t="shared" si="14"/>
        <v>0</v>
      </c>
      <c r="J71" s="156"/>
      <c r="K71" s="334"/>
      <c r="L71" s="158">
        <f t="shared" si="15"/>
        <v>0</v>
      </c>
      <c r="M71" s="334"/>
      <c r="N71" s="158">
        <f t="shared" si="16"/>
        <v>0</v>
      </c>
      <c r="O71" s="158">
        <f t="shared" si="17"/>
        <v>0</v>
      </c>
      <c r="P71" s="4"/>
    </row>
    <row r="72" spans="1:16" ht="13.5" thickBot="1">
      <c r="B72" s="9" t="str">
        <f t="shared" si="6"/>
        <v/>
      </c>
      <c r="C72" s="164">
        <f>IF(D11="","-",+C71+1)</f>
        <v>2064</v>
      </c>
      <c r="D72" s="165">
        <f>IF(F71+SUM(E$17:E71)=D$10,F71,D$10-SUM(E$17:E71))</f>
        <v>0</v>
      </c>
      <c r="E72" s="166">
        <f>IF(+I14&lt;F71,I14,D72)</f>
        <v>0</v>
      </c>
      <c r="F72" s="165">
        <f t="shared" si="13"/>
        <v>0</v>
      </c>
      <c r="G72" s="167">
        <f t="shared" si="11"/>
        <v>0</v>
      </c>
      <c r="H72" s="124">
        <f t="shared" si="12"/>
        <v>0</v>
      </c>
      <c r="I72" s="168">
        <f t="shared" si="14"/>
        <v>0</v>
      </c>
      <c r="J72" s="156"/>
      <c r="K72" s="335"/>
      <c r="L72" s="169">
        <f t="shared" si="15"/>
        <v>0</v>
      </c>
      <c r="M72" s="335"/>
      <c r="N72" s="169">
        <f t="shared" si="16"/>
        <v>0</v>
      </c>
      <c r="O72" s="169">
        <f t="shared" si="17"/>
        <v>0</v>
      </c>
      <c r="P72" s="4"/>
    </row>
    <row r="73" spans="1:16">
      <c r="C73" s="154" t="s">
        <v>73</v>
      </c>
      <c r="D73" s="111"/>
      <c r="E73" s="111">
        <f>SUM(E17:E72)</f>
        <v>77749.999999999985</v>
      </c>
      <c r="F73" s="111"/>
      <c r="G73" s="111">
        <f>SUM(G17:G72)</f>
        <v>258257.83640250115</v>
      </c>
      <c r="H73" s="111">
        <f>SUM(H17:H72)</f>
        <v>258257.83640250115</v>
      </c>
      <c r="I73" s="111">
        <f>SUM(I17:I72)</f>
        <v>0</v>
      </c>
      <c r="J73" s="111"/>
      <c r="K73" s="111"/>
      <c r="L73" s="111"/>
      <c r="M73" s="111"/>
      <c r="N73" s="111"/>
      <c r="O73" s="4"/>
      <c r="P73" s="4"/>
    </row>
    <row r="74" spans="1:16">
      <c r="D74" s="2"/>
      <c r="E74" s="1"/>
      <c r="F74" s="1"/>
      <c r="G74" s="1"/>
      <c r="H74" s="3"/>
      <c r="I74" s="3"/>
      <c r="J74" s="111"/>
      <c r="K74" s="3"/>
      <c r="L74" s="3"/>
      <c r="M74" s="3"/>
      <c r="N74" s="3"/>
      <c r="O74" s="1"/>
      <c r="P74" s="1"/>
    </row>
    <row r="75" spans="1:16">
      <c r="C75" s="170" t="s">
        <v>91</v>
      </c>
      <c r="D75" s="2"/>
      <c r="E75" s="1"/>
      <c r="F75" s="1"/>
      <c r="G75" s="1"/>
      <c r="H75" s="3"/>
      <c r="I75" s="3"/>
      <c r="J75" s="111"/>
      <c r="K75" s="3"/>
      <c r="L75" s="3"/>
      <c r="M75" s="3"/>
      <c r="N75" s="3"/>
      <c r="O75" s="1"/>
      <c r="P75" s="1"/>
    </row>
    <row r="76" spans="1:16">
      <c r="C76" s="121" t="s">
        <v>74</v>
      </c>
      <c r="D76" s="2"/>
      <c r="E76" s="1"/>
      <c r="F76" s="1"/>
      <c r="G76" s="1"/>
      <c r="H76" s="3"/>
      <c r="I76" s="3"/>
      <c r="J76" s="111"/>
      <c r="K76" s="3"/>
      <c r="L76" s="3"/>
      <c r="M76" s="3"/>
      <c r="N76" s="3"/>
      <c r="O76" s="4"/>
      <c r="P76" s="4"/>
    </row>
    <row r="77" spans="1:16" ht="18">
      <c r="C77" s="121" t="s">
        <v>75</v>
      </c>
      <c r="D77" s="154"/>
      <c r="E77" s="154"/>
      <c r="F77" s="154"/>
      <c r="G77" s="111"/>
      <c r="H77" s="111"/>
      <c r="I77" s="171"/>
      <c r="J77" s="171"/>
      <c r="K77" s="171"/>
      <c r="L77" s="171"/>
      <c r="M77" s="171"/>
      <c r="N77" s="171"/>
      <c r="O77" s="110"/>
      <c r="P77" s="4"/>
    </row>
    <row r="78" spans="1:16">
      <c r="C78" s="121"/>
      <c r="D78" s="154"/>
      <c r="E78" s="154"/>
      <c r="F78" s="154"/>
      <c r="G78" s="111"/>
      <c r="H78" s="111"/>
      <c r="I78" s="171"/>
      <c r="J78" s="171"/>
      <c r="K78" s="171"/>
      <c r="L78" s="171"/>
      <c r="M78" s="171"/>
      <c r="N78" s="171"/>
      <c r="O78" s="4"/>
      <c r="P78" s="1"/>
    </row>
    <row r="79" spans="1:16" ht="15">
      <c r="A79" s="241"/>
      <c r="B79" s="1"/>
      <c r="C79" s="21"/>
      <c r="D79" s="2"/>
      <c r="E79" s="1"/>
      <c r="F79" s="107"/>
      <c r="G79" s="1"/>
      <c r="H79" s="3"/>
      <c r="I79" s="1"/>
      <c r="J79" s="4"/>
      <c r="K79" s="1"/>
      <c r="L79" s="1"/>
      <c r="M79" s="1"/>
      <c r="N79" s="1"/>
    </row>
    <row r="80" spans="1:16" ht="18">
      <c r="B80" s="1"/>
      <c r="C80" s="242"/>
      <c r="D80" s="2"/>
      <c r="E80" s="1"/>
      <c r="F80" s="107"/>
      <c r="G80" s="1"/>
      <c r="H80" s="3"/>
      <c r="I80" s="1"/>
      <c r="J80" s="4"/>
      <c r="K80" s="1"/>
      <c r="L80" s="1"/>
      <c r="M80" s="1"/>
      <c r="N80" s="1"/>
      <c r="P80" s="244" t="s">
        <v>125</v>
      </c>
    </row>
    <row r="81" spans="1:17">
      <c r="B81" s="1"/>
      <c r="C81" s="242"/>
      <c r="D81" s="2"/>
      <c r="E81" s="1"/>
      <c r="F81" s="107"/>
      <c r="G81" s="1"/>
      <c r="H81" s="3"/>
      <c r="I81" s="1"/>
      <c r="J81" s="4"/>
      <c r="K81" s="1"/>
      <c r="L81" s="1"/>
      <c r="M81" s="1"/>
      <c r="N81" s="1"/>
      <c r="O81" s="1"/>
      <c r="P81" s="1"/>
    </row>
    <row r="82" spans="1:17">
      <c r="B82" s="1"/>
      <c r="C82" s="21"/>
      <c r="D82" s="2"/>
      <c r="E82" s="1"/>
      <c r="F82" s="107"/>
      <c r="G82" s="1"/>
      <c r="H82" s="3"/>
      <c r="I82" s="1"/>
      <c r="J82" s="4"/>
      <c r="K82" s="1"/>
      <c r="L82" s="1"/>
      <c r="M82" s="1"/>
      <c r="N82" s="1"/>
      <c r="O82" s="1"/>
      <c r="P82" s="1"/>
      <c r="Q82" s="1"/>
    </row>
    <row r="83" spans="1:17" ht="20.25">
      <c r="A83" s="243" t="s">
        <v>129</v>
      </c>
      <c r="B83" s="1"/>
      <c r="C83" s="21"/>
      <c r="D83" s="2"/>
      <c r="E83" s="1"/>
      <c r="F83" s="99"/>
      <c r="G83" s="99"/>
      <c r="H83" s="1"/>
      <c r="I83" s="3"/>
      <c r="K83" s="7"/>
      <c r="L83" s="109"/>
      <c r="M83" s="109"/>
      <c r="P83" s="110" t="str">
        <f ca="1">P1</f>
        <v>SWEPCO Project 7 of 73</v>
      </c>
      <c r="Q83" s="1"/>
    </row>
    <row r="84" spans="1:17" ht="18">
      <c r="B84" s="1"/>
      <c r="C84" s="1"/>
      <c r="D84" s="2"/>
      <c r="E84" s="1"/>
      <c r="F84" s="1"/>
      <c r="G84" s="1"/>
      <c r="H84" s="1"/>
      <c r="I84" s="3"/>
      <c r="J84" s="1"/>
      <c r="K84" s="4"/>
      <c r="L84" s="1"/>
      <c r="M84" s="1"/>
      <c r="P84" s="237" t="s">
        <v>123</v>
      </c>
      <c r="Q84" s="1"/>
    </row>
    <row r="85" spans="1:17" ht="18.75" thickBot="1">
      <c r="B85" s="5" t="s">
        <v>40</v>
      </c>
      <c r="C85" s="197" t="s">
        <v>78</v>
      </c>
      <c r="D85" s="2"/>
      <c r="E85" s="1"/>
      <c r="F85" s="1"/>
      <c r="G85" s="1"/>
      <c r="H85" s="1"/>
      <c r="I85" s="3"/>
      <c r="J85" s="3"/>
      <c r="K85" s="111"/>
      <c r="L85" s="3"/>
      <c r="M85" s="3"/>
      <c r="N85" s="3"/>
      <c r="O85" s="111"/>
      <c r="P85" s="1"/>
      <c r="Q85" s="1"/>
    </row>
    <row r="86" spans="1:17" ht="15.75" thickBot="1">
      <c r="C86" s="67"/>
      <c r="D86" s="2"/>
      <c r="E86" s="1"/>
      <c r="F86" s="1"/>
      <c r="G86" s="1"/>
      <c r="H86" s="1"/>
      <c r="I86" s="3"/>
      <c r="J86" s="3"/>
      <c r="K86" s="111"/>
      <c r="L86" s="265">
        <f>+J92</f>
        <v>2017</v>
      </c>
      <c r="M86" s="266" t="s">
        <v>7</v>
      </c>
      <c r="N86" s="270" t="s">
        <v>154</v>
      </c>
      <c r="O86" s="267" t="s">
        <v>9</v>
      </c>
      <c r="P86" s="1"/>
      <c r="Q86" s="1"/>
    </row>
    <row r="87" spans="1:17" ht="15">
      <c r="C87" s="235" t="s">
        <v>42</v>
      </c>
      <c r="D87" s="2"/>
      <c r="E87" s="1"/>
      <c r="F87" s="1"/>
      <c r="G87" s="1"/>
      <c r="H87" s="113"/>
      <c r="I87" s="1" t="s">
        <v>43</v>
      </c>
      <c r="J87" s="1"/>
      <c r="K87" s="261"/>
      <c r="L87" s="259" t="s">
        <v>381</v>
      </c>
      <c r="M87" s="198">
        <f>IF(J92&lt;D11,0,VLOOKUP(J92,C17:O72,9))</f>
        <v>9550.8822669869332</v>
      </c>
      <c r="N87" s="198">
        <f>IF(J92&lt;D11,0,VLOOKUP(J92,C17:O72,11))</f>
        <v>9550.8822669869332</v>
      </c>
      <c r="O87" s="199">
        <f>+N87-M87</f>
        <v>0</v>
      </c>
      <c r="P87" s="1"/>
      <c r="Q87" s="1"/>
    </row>
    <row r="88" spans="1:17" ht="15.75">
      <c r="C88" s="8"/>
      <c r="D88" s="2"/>
      <c r="E88" s="1"/>
      <c r="F88" s="1"/>
      <c r="G88" s="1"/>
      <c r="H88" s="1"/>
      <c r="I88" s="117"/>
      <c r="J88" s="117"/>
      <c r="K88" s="263"/>
      <c r="L88" s="264" t="s">
        <v>382</v>
      </c>
      <c r="M88" s="200">
        <f>IF(J92&lt;D11,0,VLOOKUP(J92,C99:P154,6))</f>
        <v>9488.0975445916993</v>
      </c>
      <c r="N88" s="200">
        <f>IF(J92&lt;D11,0,VLOOKUP(J92,C99:P154,7))</f>
        <v>9488.0975445916993</v>
      </c>
      <c r="O88" s="201">
        <f>+N88-M88</f>
        <v>0</v>
      </c>
      <c r="P88" s="1"/>
      <c r="Q88" s="1"/>
    </row>
    <row r="89" spans="1:17" ht="13.5" thickBot="1">
      <c r="C89" s="121" t="s">
        <v>79</v>
      </c>
      <c r="D89" s="246" t="str">
        <f>+D7</f>
        <v>Linwood 138 Station Switch Replacement*</v>
      </c>
      <c r="E89" s="1"/>
      <c r="F89" s="1"/>
      <c r="G89" s="1"/>
      <c r="H89" s="1"/>
      <c r="I89" s="3"/>
      <c r="J89" s="3"/>
      <c r="K89" s="262"/>
      <c r="L89" s="260" t="s">
        <v>151</v>
      </c>
      <c r="M89" s="203">
        <f>+M88-M87</f>
        <v>-62.784722395233985</v>
      </c>
      <c r="N89" s="203">
        <f>+N88-N87</f>
        <v>-62.784722395233985</v>
      </c>
      <c r="O89" s="204">
        <f>+O88-O87</f>
        <v>0</v>
      </c>
      <c r="P89" s="1"/>
      <c r="Q89" s="1"/>
    </row>
    <row r="90" spans="1:17" ht="13.5" thickBot="1">
      <c r="C90" s="170"/>
      <c r="D90" s="173" t="str">
        <f>D8</f>
        <v>DOES NOT MEET SPP $100,000 MINIMUM INVESTMENT FOR REGIONAL BPU SHARING.</v>
      </c>
      <c r="E90" s="107"/>
      <c r="F90" s="107"/>
      <c r="G90" s="107"/>
      <c r="H90" s="126"/>
      <c r="I90" s="3"/>
      <c r="J90" s="3"/>
      <c r="K90" s="111"/>
      <c r="L90" s="3"/>
      <c r="M90" s="3"/>
      <c r="N90" s="3"/>
      <c r="O90" s="111"/>
      <c r="P90" s="1"/>
      <c r="Q90" s="1"/>
    </row>
    <row r="91" spans="1:17" ht="13.5" thickBot="1">
      <c r="A91" s="103"/>
      <c r="C91" s="205" t="s">
        <v>80</v>
      </c>
      <c r="D91" s="224" t="str">
        <f>+D9</f>
        <v>TP2008080</v>
      </c>
      <c r="E91" s="206"/>
      <c r="F91" s="206"/>
      <c r="G91" s="206"/>
      <c r="H91" s="206"/>
      <c r="I91" s="206"/>
      <c r="J91" s="238"/>
      <c r="K91" s="207"/>
      <c r="P91" s="131"/>
      <c r="Q91" s="1"/>
    </row>
    <row r="92" spans="1:17">
      <c r="C92" s="136" t="s">
        <v>47</v>
      </c>
      <c r="D92" s="133">
        <v>77750</v>
      </c>
      <c r="E92" s="21" t="s">
        <v>81</v>
      </c>
      <c r="H92" s="134"/>
      <c r="I92" s="134"/>
      <c r="J92" s="135">
        <f>+'SWE.WS.G.BPU.ATRR.True-up'!M15</f>
        <v>2017</v>
      </c>
      <c r="K92" s="130"/>
      <c r="L92" s="111" t="s">
        <v>82</v>
      </c>
      <c r="P92" s="4"/>
      <c r="Q92" s="1"/>
    </row>
    <row r="93" spans="1:17">
      <c r="C93" s="136" t="s">
        <v>49</v>
      </c>
      <c r="D93" s="219">
        <f>IF(D11=I10,"",D11)</f>
        <v>2009</v>
      </c>
      <c r="E93" s="136" t="s">
        <v>50</v>
      </c>
      <c r="F93" s="134"/>
      <c r="G93" s="134"/>
      <c r="J93" s="138">
        <f>IF(H87="",0,'SWE.WS.G.BPU.ATRR.True-up'!$F$12)</f>
        <v>0</v>
      </c>
      <c r="K93" s="139"/>
      <c r="L93" t="str">
        <f>"          INPUT TRUE-UP ARR (WITH &amp; WITHOUT INCENTIVES) FROM EACH PRIOR YEAR"</f>
        <v xml:space="preserve">          INPUT TRUE-UP ARR (WITH &amp; WITHOUT INCENTIVES) FROM EACH PRIOR YEAR</v>
      </c>
      <c r="P93" s="4"/>
      <c r="Q93" s="1"/>
    </row>
    <row r="94" spans="1:17">
      <c r="C94" s="136" t="s">
        <v>51</v>
      </c>
      <c r="D94" s="218">
        <f>IF(D11=I10,"",D12)</f>
        <v>5</v>
      </c>
      <c r="E94" s="136" t="s">
        <v>52</v>
      </c>
      <c r="F94" s="134"/>
      <c r="G94" s="134"/>
      <c r="J94" s="140">
        <f>'SWE.WS.G.BPU.ATRR.True-up'!$F$80</f>
        <v>0.12147145768398206</v>
      </c>
      <c r="K94" s="141"/>
      <c r="L94" t="s">
        <v>83</v>
      </c>
      <c r="P94" s="4"/>
      <c r="Q94" s="1"/>
    </row>
    <row r="95" spans="1:17">
      <c r="C95" s="136" t="s">
        <v>54</v>
      </c>
      <c r="D95" s="138">
        <f>'SWE.WS.G.BPU.ATRR.True-up'!F$92</f>
        <v>42</v>
      </c>
      <c r="E95" s="136" t="s">
        <v>55</v>
      </c>
      <c r="F95" s="134"/>
      <c r="G95" s="134"/>
      <c r="J95" s="140">
        <f>IF(H87="",J94,'SWE.WS.G.BPU.ATRR.True-up'!$F$79)</f>
        <v>0.12147145768398206</v>
      </c>
      <c r="K95" s="58"/>
      <c r="L95" s="111" t="s">
        <v>56</v>
      </c>
      <c r="M95" s="58"/>
      <c r="N95" s="58"/>
      <c r="O95" s="58"/>
      <c r="P95" s="4"/>
      <c r="Q95" s="1"/>
    </row>
    <row r="96" spans="1:17" ht="13.5" thickBot="1">
      <c r="C96" s="136" t="s">
        <v>57</v>
      </c>
      <c r="D96" s="220" t="str">
        <f>+D14</f>
        <v>No</v>
      </c>
      <c r="E96" s="202" t="s">
        <v>59</v>
      </c>
      <c r="F96" s="208"/>
      <c r="G96" s="208"/>
      <c r="H96" s="209"/>
      <c r="I96" s="209"/>
      <c r="J96" s="124">
        <f>IF(D92=0,0,D92/D95)</f>
        <v>1851.1904761904761</v>
      </c>
      <c r="K96" s="111"/>
      <c r="L96" s="111"/>
      <c r="M96" s="111"/>
      <c r="N96" s="111"/>
      <c r="O96" s="111"/>
      <c r="P96" s="4"/>
      <c r="Q96" s="1"/>
    </row>
    <row r="97" spans="1:17" ht="38.25">
      <c r="A97" s="6"/>
      <c r="B97" s="6"/>
      <c r="C97" s="210" t="s">
        <v>47</v>
      </c>
      <c r="D97" s="211" t="s">
        <v>60</v>
      </c>
      <c r="E97" s="146" t="s">
        <v>61</v>
      </c>
      <c r="F97" s="146" t="s">
        <v>62</v>
      </c>
      <c r="G97" s="144" t="s">
        <v>84</v>
      </c>
      <c r="H97" s="434" t="s">
        <v>378</v>
      </c>
      <c r="I97" s="435" t="s">
        <v>379</v>
      </c>
      <c r="J97" s="210" t="s">
        <v>85</v>
      </c>
      <c r="K97" s="212"/>
      <c r="L97" s="271" t="s">
        <v>220</v>
      </c>
      <c r="M97" s="146" t="s">
        <v>86</v>
      </c>
      <c r="N97" s="271" t="s">
        <v>220</v>
      </c>
      <c r="O97" s="146" t="s">
        <v>86</v>
      </c>
      <c r="P97" s="146" t="s">
        <v>65</v>
      </c>
      <c r="Q97" s="1"/>
    </row>
    <row r="98" spans="1:17" ht="13.5" thickBot="1">
      <c r="C98" s="147" t="s">
        <v>66</v>
      </c>
      <c r="D98" s="213" t="s">
        <v>67</v>
      </c>
      <c r="E98" s="147" t="s">
        <v>68</v>
      </c>
      <c r="F98" s="147" t="s">
        <v>67</v>
      </c>
      <c r="G98" s="147" t="s">
        <v>67</v>
      </c>
      <c r="H98" s="407" t="s">
        <v>69</v>
      </c>
      <c r="I98" s="148" t="s">
        <v>70</v>
      </c>
      <c r="J98" s="149" t="s">
        <v>89</v>
      </c>
      <c r="K98" s="150"/>
      <c r="L98" s="151" t="s">
        <v>72</v>
      </c>
      <c r="M98" s="151" t="s">
        <v>72</v>
      </c>
      <c r="N98" s="151" t="s">
        <v>90</v>
      </c>
      <c r="O98" s="151" t="s">
        <v>90</v>
      </c>
      <c r="P98" s="151" t="s">
        <v>90</v>
      </c>
      <c r="Q98" s="1"/>
    </row>
    <row r="99" spans="1:17">
      <c r="C99" s="153">
        <f>IF(D93= "","-",D93)</f>
        <v>2009</v>
      </c>
      <c r="D99" s="357">
        <v>0</v>
      </c>
      <c r="E99" s="360">
        <v>994</v>
      </c>
      <c r="F99" s="361">
        <v>63775</v>
      </c>
      <c r="G99" s="365">
        <v>318887</v>
      </c>
      <c r="H99" s="362">
        <v>5610</v>
      </c>
      <c r="I99" s="363">
        <v>5610</v>
      </c>
      <c r="J99" s="158">
        <f t="shared" ref="J99:J130" si="18">+I99-H99</f>
        <v>0</v>
      </c>
      <c r="K99" s="158"/>
      <c r="L99" s="256">
        <f t="shared" ref="L99:L104" si="19">H99</f>
        <v>5610</v>
      </c>
      <c r="M99" s="172">
        <f t="shared" ref="M99:M130" si="20">IF(L99&lt;&gt;0,+H99-L99,0)</f>
        <v>0</v>
      </c>
      <c r="N99" s="256">
        <f t="shared" ref="N99:N104" si="21">I99</f>
        <v>5610</v>
      </c>
      <c r="O99" s="157">
        <f t="shared" ref="O99:O130" si="22">IF(N99&lt;&gt;0,+I99-N99,0)</f>
        <v>0</v>
      </c>
      <c r="P99" s="157">
        <f t="shared" ref="P99:P130" si="23">+O99-M99</f>
        <v>0</v>
      </c>
      <c r="Q99" s="1"/>
    </row>
    <row r="100" spans="1:17">
      <c r="B100" s="9" t="str">
        <f>IF(D100=F99,"","IU")</f>
        <v>IU</v>
      </c>
      <c r="C100" s="153">
        <f>IF(D93="","-",+C99+1)</f>
        <v>2010</v>
      </c>
      <c r="D100" s="357">
        <v>76756</v>
      </c>
      <c r="E100" s="360">
        <v>1896.3414634146341</v>
      </c>
      <c r="F100" s="361">
        <v>74859.658536585368</v>
      </c>
      <c r="G100" s="361">
        <v>75807.829268292684</v>
      </c>
      <c r="H100" s="360">
        <v>14411.158990782849</v>
      </c>
      <c r="I100" s="359">
        <v>14411.158990782849</v>
      </c>
      <c r="J100" s="158">
        <f t="shared" si="18"/>
        <v>0</v>
      </c>
      <c r="K100" s="158"/>
      <c r="L100" s="258">
        <f t="shared" si="19"/>
        <v>14411.158990782849</v>
      </c>
      <c r="M100" s="257">
        <f t="shared" si="20"/>
        <v>0</v>
      </c>
      <c r="N100" s="258">
        <f t="shared" si="21"/>
        <v>14411.158990782849</v>
      </c>
      <c r="O100" s="158">
        <f t="shared" si="22"/>
        <v>0</v>
      </c>
      <c r="P100" s="158">
        <f t="shared" si="23"/>
        <v>0</v>
      </c>
      <c r="Q100" s="1"/>
    </row>
    <row r="101" spans="1:17">
      <c r="B101" s="9" t="str">
        <f t="shared" ref="B101:B154" si="24">IF(D101=F100,"","IU")</f>
        <v/>
      </c>
      <c r="C101" s="153">
        <f>IF(D93="","-",+C100+1)</f>
        <v>2011</v>
      </c>
      <c r="D101" s="357">
        <v>74859.658536585368</v>
      </c>
      <c r="E101" s="377">
        <v>1851.1904761904761</v>
      </c>
      <c r="F101" s="361">
        <v>73008.468060394895</v>
      </c>
      <c r="G101" s="361">
        <v>73934.063298490131</v>
      </c>
      <c r="H101" s="360">
        <v>12969.387615340562</v>
      </c>
      <c r="I101" s="359">
        <v>12969.387615340562</v>
      </c>
      <c r="J101" s="158">
        <f t="shared" si="18"/>
        <v>0</v>
      </c>
      <c r="K101" s="158"/>
      <c r="L101" s="258">
        <f t="shared" si="19"/>
        <v>12969.387615340562</v>
      </c>
      <c r="M101" s="257">
        <f t="shared" si="20"/>
        <v>0</v>
      </c>
      <c r="N101" s="258">
        <f t="shared" si="21"/>
        <v>12969.387615340562</v>
      </c>
      <c r="O101" s="158">
        <f t="shared" si="22"/>
        <v>0</v>
      </c>
      <c r="P101" s="158">
        <f t="shared" si="23"/>
        <v>0</v>
      </c>
      <c r="Q101" s="1"/>
    </row>
    <row r="102" spans="1:17">
      <c r="B102" s="9" t="str">
        <f t="shared" si="24"/>
        <v/>
      </c>
      <c r="C102" s="153">
        <f>IF(D93="","-",+C101+1)</f>
        <v>2012</v>
      </c>
      <c r="D102" s="357">
        <v>73008.468060394895</v>
      </c>
      <c r="E102" s="360">
        <v>1851.1904761904761</v>
      </c>
      <c r="F102" s="361">
        <v>71157.277584204421</v>
      </c>
      <c r="G102" s="361">
        <v>72082.872822299658</v>
      </c>
      <c r="H102" s="360">
        <v>12458.468627153823</v>
      </c>
      <c r="I102" s="359">
        <v>12458.468627153823</v>
      </c>
      <c r="J102" s="158">
        <f t="shared" si="18"/>
        <v>0</v>
      </c>
      <c r="K102" s="158"/>
      <c r="L102" s="258">
        <f t="shared" si="19"/>
        <v>12458.468627153823</v>
      </c>
      <c r="M102" s="257">
        <f t="shared" si="20"/>
        <v>0</v>
      </c>
      <c r="N102" s="258">
        <f t="shared" si="21"/>
        <v>12458.468627153823</v>
      </c>
      <c r="O102" s="158">
        <f t="shared" si="22"/>
        <v>0</v>
      </c>
      <c r="P102" s="158">
        <f t="shared" si="23"/>
        <v>0</v>
      </c>
      <c r="Q102" s="1"/>
    </row>
    <row r="103" spans="1:17">
      <c r="B103" s="9" t="str">
        <f t="shared" si="24"/>
        <v/>
      </c>
      <c r="C103" s="153">
        <f>IF(D93="","-",+C102+1)</f>
        <v>2013</v>
      </c>
      <c r="D103" s="357">
        <v>71157.277584204421</v>
      </c>
      <c r="E103" s="360">
        <v>1851.1904761904761</v>
      </c>
      <c r="F103" s="361">
        <v>69306.087108013948</v>
      </c>
      <c r="G103" s="361">
        <v>70231.682346109184</v>
      </c>
      <c r="H103" s="360">
        <v>11352.954336851966</v>
      </c>
      <c r="I103" s="359">
        <v>11352.954336851966</v>
      </c>
      <c r="J103" s="158">
        <v>0</v>
      </c>
      <c r="K103" s="158"/>
      <c r="L103" s="258">
        <f t="shared" si="19"/>
        <v>11352.954336851966</v>
      </c>
      <c r="M103" s="257">
        <f>IF(L103&lt;&gt;0,+H103-L103,0)</f>
        <v>0</v>
      </c>
      <c r="N103" s="258">
        <f t="shared" si="21"/>
        <v>11352.954336851966</v>
      </c>
      <c r="O103" s="158">
        <f>IF(N103&lt;&gt;0,+I103-N103,0)</f>
        <v>0</v>
      </c>
      <c r="P103" s="158">
        <f>+O103-M103</f>
        <v>0</v>
      </c>
      <c r="Q103" s="1"/>
    </row>
    <row r="104" spans="1:17">
      <c r="B104" s="9" t="str">
        <f t="shared" si="24"/>
        <v/>
      </c>
      <c r="C104" s="153">
        <f>IF(D93="","-",+C103+1)</f>
        <v>2014</v>
      </c>
      <c r="D104" s="357">
        <v>69306.087108013948</v>
      </c>
      <c r="E104" s="360">
        <v>1851.1904761904761</v>
      </c>
      <c r="F104" s="361">
        <v>67454.896631823474</v>
      </c>
      <c r="G104" s="361">
        <v>68380.491869918711</v>
      </c>
      <c r="H104" s="360">
        <v>11145.703511546504</v>
      </c>
      <c r="I104" s="359">
        <v>11145.703511546504</v>
      </c>
      <c r="J104" s="158">
        <v>0</v>
      </c>
      <c r="K104" s="158"/>
      <c r="L104" s="258">
        <f t="shared" si="19"/>
        <v>11145.703511546504</v>
      </c>
      <c r="M104" s="257">
        <f>IF(L104&lt;&gt;0,+H104-L104,0)</f>
        <v>0</v>
      </c>
      <c r="N104" s="258">
        <f t="shared" si="21"/>
        <v>11145.703511546504</v>
      </c>
      <c r="O104" s="158">
        <f>IF(N104&lt;&gt;0,+I104-N104,0)</f>
        <v>0</v>
      </c>
      <c r="P104" s="158">
        <f>+O104-M104</f>
        <v>0</v>
      </c>
      <c r="Q104" s="1"/>
    </row>
    <row r="105" spans="1:17">
      <c r="B105" s="9" t="str">
        <f t="shared" si="24"/>
        <v/>
      </c>
      <c r="C105" s="153">
        <f>IF(D93="","-",+C104+1)</f>
        <v>2015</v>
      </c>
      <c r="D105" s="357">
        <v>67454.896631823474</v>
      </c>
      <c r="E105" s="360">
        <v>1851.1904761904761</v>
      </c>
      <c r="F105" s="361">
        <v>65603.706155633001</v>
      </c>
      <c r="G105" s="361">
        <v>66529.301393728238</v>
      </c>
      <c r="H105" s="360">
        <v>10617.681866649142</v>
      </c>
      <c r="I105" s="359">
        <v>10617.681866649142</v>
      </c>
      <c r="J105" s="158">
        <f t="shared" si="18"/>
        <v>0</v>
      </c>
      <c r="K105" s="158"/>
      <c r="L105" s="258">
        <f>H105</f>
        <v>10617.681866649142</v>
      </c>
      <c r="M105" s="257">
        <f>IF(L105&lt;&gt;0,+H105-L105,0)</f>
        <v>0</v>
      </c>
      <c r="N105" s="258">
        <f>I105</f>
        <v>10617.681866649142</v>
      </c>
      <c r="O105" s="158">
        <f>IF(N105&lt;&gt;0,+I105-N105,0)</f>
        <v>0</v>
      </c>
      <c r="P105" s="158">
        <f>+O105-M105</f>
        <v>0</v>
      </c>
      <c r="Q105" s="1"/>
    </row>
    <row r="106" spans="1:17">
      <c r="B106" s="9" t="str">
        <f t="shared" si="24"/>
        <v/>
      </c>
      <c r="C106" s="153">
        <f>IF(D93="","-",+C105+1)</f>
        <v>2016</v>
      </c>
      <c r="D106" s="357">
        <v>65603.706155633001</v>
      </c>
      <c r="E106" s="360">
        <v>1808.1395348837209</v>
      </c>
      <c r="F106" s="361">
        <v>63795.566620749283</v>
      </c>
      <c r="G106" s="361">
        <v>64699.636388191138</v>
      </c>
      <c r="H106" s="360">
        <v>10021.757616625862</v>
      </c>
      <c r="I106" s="359">
        <v>10021.757616625862</v>
      </c>
      <c r="J106" s="158">
        <v>0</v>
      </c>
      <c r="K106" s="158"/>
      <c r="L106" s="258">
        <f>H106</f>
        <v>10021.757616625862</v>
      </c>
      <c r="M106" s="257">
        <f>IF(L106&lt;&gt;0,+H106-L106,0)</f>
        <v>0</v>
      </c>
      <c r="N106" s="258">
        <f>I106</f>
        <v>10021.757616625862</v>
      </c>
      <c r="O106" s="158">
        <f>IF(N106&lt;&gt;0,+I106-N106,0)</f>
        <v>0</v>
      </c>
      <c r="P106" s="158">
        <f>+O106-M106</f>
        <v>0</v>
      </c>
      <c r="Q106" s="1"/>
    </row>
    <row r="107" spans="1:17">
      <c r="B107" s="9" t="str">
        <f t="shared" si="24"/>
        <v/>
      </c>
      <c r="C107" s="153">
        <f>IF(D93="","-",+C106+1)</f>
        <v>2017</v>
      </c>
      <c r="D107" s="154">
        <f>IF(F106+SUM(E$99:E106)=D$92,F106,D$92-SUM(E$99:E106))</f>
        <v>63795.566620749283</v>
      </c>
      <c r="E107" s="160">
        <f>IF(+J96&lt;F106,J96,D107)</f>
        <v>1851.1904761904761</v>
      </c>
      <c r="F107" s="159">
        <f t="shared" ref="F107:F130" si="25">+D107-E107</f>
        <v>61944.37614455881</v>
      </c>
      <c r="G107" s="159">
        <f t="shared" ref="G107:G130" si="26">+(F107+D107)/2</f>
        <v>62869.971382654046</v>
      </c>
      <c r="H107" s="163">
        <f t="shared" ref="H107:H112" si="27">+J$94*G107+E107</f>
        <v>9488.0975445916993</v>
      </c>
      <c r="I107" s="253">
        <f t="shared" ref="I107:I112" si="28">+J$95*G107+E107</f>
        <v>9488.0975445916993</v>
      </c>
      <c r="J107" s="158">
        <f t="shared" si="18"/>
        <v>0</v>
      </c>
      <c r="K107" s="158"/>
      <c r="L107" s="334"/>
      <c r="M107" s="158">
        <f t="shared" si="20"/>
        <v>0</v>
      </c>
      <c r="N107" s="334"/>
      <c r="O107" s="158">
        <f t="shared" si="22"/>
        <v>0</v>
      </c>
      <c r="P107" s="158">
        <f t="shared" si="23"/>
        <v>0</v>
      </c>
      <c r="Q107" s="1"/>
    </row>
    <row r="108" spans="1:17">
      <c r="B108" s="9" t="str">
        <f t="shared" si="24"/>
        <v/>
      </c>
      <c r="C108" s="153">
        <f>IF(D93="","-",+C107+1)</f>
        <v>2018</v>
      </c>
      <c r="D108" s="154">
        <f>IF(F107+SUM(E$99:E107)=D$92,F107,D$92-SUM(E$99:E107))</f>
        <v>61944.37614455881</v>
      </c>
      <c r="E108" s="160">
        <f>IF(+J96&lt;F107,J96,D108)</f>
        <v>1851.1904761904761</v>
      </c>
      <c r="F108" s="159">
        <f t="shared" si="25"/>
        <v>60093.185668368336</v>
      </c>
      <c r="G108" s="159">
        <f t="shared" si="26"/>
        <v>61018.780906463573</v>
      </c>
      <c r="H108" s="163">
        <f t="shared" si="27"/>
        <v>9263.2307389981379</v>
      </c>
      <c r="I108" s="253">
        <f t="shared" si="28"/>
        <v>9263.2307389981379</v>
      </c>
      <c r="J108" s="158">
        <f t="shared" si="18"/>
        <v>0</v>
      </c>
      <c r="K108" s="158"/>
      <c r="L108" s="334"/>
      <c r="M108" s="158">
        <f t="shared" si="20"/>
        <v>0</v>
      </c>
      <c r="N108" s="334"/>
      <c r="O108" s="158">
        <f t="shared" si="22"/>
        <v>0</v>
      </c>
      <c r="P108" s="158">
        <f t="shared" si="23"/>
        <v>0</v>
      </c>
      <c r="Q108" s="1"/>
    </row>
    <row r="109" spans="1:17">
      <c r="B109" s="9" t="str">
        <f t="shared" si="24"/>
        <v/>
      </c>
      <c r="C109" s="153">
        <f>IF(D93="","-",+C108+1)</f>
        <v>2019</v>
      </c>
      <c r="D109" s="154">
        <f>IF(F108+SUM(E$99:E108)=D$92,F108,D$92-SUM(E$99:E108))</f>
        <v>60093.185668368336</v>
      </c>
      <c r="E109" s="160">
        <f>IF(+J96&lt;F108,J96,D109)</f>
        <v>1851.1904761904761</v>
      </c>
      <c r="F109" s="159">
        <f t="shared" si="25"/>
        <v>58241.995192177863</v>
      </c>
      <c r="G109" s="159">
        <f t="shared" si="26"/>
        <v>59167.5904302731</v>
      </c>
      <c r="H109" s="163">
        <f t="shared" si="27"/>
        <v>9038.3639334045765</v>
      </c>
      <c r="I109" s="253">
        <f t="shared" si="28"/>
        <v>9038.3639334045765</v>
      </c>
      <c r="J109" s="158">
        <f t="shared" si="18"/>
        <v>0</v>
      </c>
      <c r="K109" s="158"/>
      <c r="L109" s="334"/>
      <c r="M109" s="158">
        <f t="shared" si="20"/>
        <v>0</v>
      </c>
      <c r="N109" s="334"/>
      <c r="O109" s="158">
        <f t="shared" si="22"/>
        <v>0</v>
      </c>
      <c r="P109" s="158">
        <f t="shared" si="23"/>
        <v>0</v>
      </c>
      <c r="Q109" s="1"/>
    </row>
    <row r="110" spans="1:17">
      <c r="B110" s="9" t="str">
        <f t="shared" si="24"/>
        <v/>
      </c>
      <c r="C110" s="153">
        <f>IF(D93="","-",+C109+1)</f>
        <v>2020</v>
      </c>
      <c r="D110" s="154">
        <f>IF(F109+SUM(E$99:E109)=D$92,F109,D$92-SUM(E$99:E109))</f>
        <v>58241.995192177863</v>
      </c>
      <c r="E110" s="160">
        <f>IF(+J96&lt;F109,J96,D110)</f>
        <v>1851.1904761904761</v>
      </c>
      <c r="F110" s="159">
        <f t="shared" si="25"/>
        <v>56390.804715987389</v>
      </c>
      <c r="G110" s="159">
        <f t="shared" si="26"/>
        <v>57316.399954082626</v>
      </c>
      <c r="H110" s="163">
        <f t="shared" si="27"/>
        <v>8813.4971278110152</v>
      </c>
      <c r="I110" s="253">
        <f t="shared" si="28"/>
        <v>8813.4971278110152</v>
      </c>
      <c r="J110" s="158">
        <f t="shared" si="18"/>
        <v>0</v>
      </c>
      <c r="K110" s="158"/>
      <c r="L110" s="334"/>
      <c r="M110" s="158">
        <f t="shared" si="20"/>
        <v>0</v>
      </c>
      <c r="N110" s="334"/>
      <c r="O110" s="158">
        <f t="shared" si="22"/>
        <v>0</v>
      </c>
      <c r="P110" s="158">
        <f t="shared" si="23"/>
        <v>0</v>
      </c>
      <c r="Q110" s="1"/>
    </row>
    <row r="111" spans="1:17">
      <c r="B111" s="9" t="str">
        <f t="shared" si="24"/>
        <v/>
      </c>
      <c r="C111" s="153">
        <f>IF(D93="","-",+C110+1)</f>
        <v>2021</v>
      </c>
      <c r="D111" s="154">
        <f>IF(F110+SUM(E$99:E110)=D$92,F110,D$92-SUM(E$99:E110))</f>
        <v>56390.804715987389</v>
      </c>
      <c r="E111" s="160">
        <f>IF(+J96&lt;F110,J96,D111)</f>
        <v>1851.1904761904761</v>
      </c>
      <c r="F111" s="159">
        <f t="shared" si="25"/>
        <v>54539.614239796916</v>
      </c>
      <c r="G111" s="159">
        <f t="shared" si="26"/>
        <v>55465.209477892153</v>
      </c>
      <c r="H111" s="163">
        <f t="shared" si="27"/>
        <v>8588.6303222174538</v>
      </c>
      <c r="I111" s="253">
        <f t="shared" si="28"/>
        <v>8588.6303222174538</v>
      </c>
      <c r="J111" s="158">
        <f t="shared" si="18"/>
        <v>0</v>
      </c>
      <c r="K111" s="158"/>
      <c r="L111" s="334"/>
      <c r="M111" s="158">
        <f t="shared" si="20"/>
        <v>0</v>
      </c>
      <c r="N111" s="334"/>
      <c r="O111" s="158">
        <f t="shared" si="22"/>
        <v>0</v>
      </c>
      <c r="P111" s="158">
        <f t="shared" si="23"/>
        <v>0</v>
      </c>
      <c r="Q111" s="1"/>
    </row>
    <row r="112" spans="1:17">
      <c r="B112" s="9" t="str">
        <f t="shared" si="24"/>
        <v/>
      </c>
      <c r="C112" s="153">
        <f>IF(D93="","-",+C111+1)</f>
        <v>2022</v>
      </c>
      <c r="D112" s="154">
        <f>IF(F111+SUM(E$99:E111)=D$92,F111,D$92-SUM(E$99:E111))</f>
        <v>54539.614239796916</v>
      </c>
      <c r="E112" s="160">
        <f>IF(+J96&lt;F111,J96,D112)</f>
        <v>1851.1904761904761</v>
      </c>
      <c r="F112" s="159">
        <f t="shared" si="25"/>
        <v>52688.423763606443</v>
      </c>
      <c r="G112" s="159">
        <f t="shared" si="26"/>
        <v>53614.019001701679</v>
      </c>
      <c r="H112" s="163">
        <f t="shared" si="27"/>
        <v>8363.7635166238906</v>
      </c>
      <c r="I112" s="253">
        <f t="shared" si="28"/>
        <v>8363.7635166238906</v>
      </c>
      <c r="J112" s="158">
        <f t="shared" si="18"/>
        <v>0</v>
      </c>
      <c r="K112" s="158"/>
      <c r="L112" s="334"/>
      <c r="M112" s="158">
        <f t="shared" si="20"/>
        <v>0</v>
      </c>
      <c r="N112" s="334"/>
      <c r="O112" s="158">
        <f t="shared" si="22"/>
        <v>0</v>
      </c>
      <c r="P112" s="158">
        <f t="shared" si="23"/>
        <v>0</v>
      </c>
      <c r="Q112" s="1"/>
    </row>
    <row r="113" spans="2:17">
      <c r="B113" s="9" t="str">
        <f t="shared" si="24"/>
        <v/>
      </c>
      <c r="C113" s="153">
        <f>IF(D93="","-",+C112+1)</f>
        <v>2023</v>
      </c>
      <c r="D113" s="154">
        <f>IF(F112+SUM(E$99:E112)=D$92,F112,D$92-SUM(E$99:E112))</f>
        <v>52688.423763606443</v>
      </c>
      <c r="E113" s="160">
        <f>IF(+J96&lt;F112,J96,D113)</f>
        <v>1851.1904761904761</v>
      </c>
      <c r="F113" s="159">
        <f t="shared" si="25"/>
        <v>50837.233287415969</v>
      </c>
      <c r="G113" s="159">
        <f t="shared" si="26"/>
        <v>51762.828525511206</v>
      </c>
      <c r="H113" s="163">
        <f t="shared" ref="H113:H154" si="29">+J$94*G113+E113</f>
        <v>8138.8967110303302</v>
      </c>
      <c r="I113" s="253">
        <f t="shared" ref="I113:I154" si="30">+J$95*G113+E113</f>
        <v>8138.8967110303302</v>
      </c>
      <c r="J113" s="158">
        <f t="shared" si="18"/>
        <v>0</v>
      </c>
      <c r="K113" s="158"/>
      <c r="L113" s="334"/>
      <c r="M113" s="158">
        <f t="shared" si="20"/>
        <v>0</v>
      </c>
      <c r="N113" s="334"/>
      <c r="O113" s="158">
        <f t="shared" si="22"/>
        <v>0</v>
      </c>
      <c r="P113" s="158">
        <f t="shared" si="23"/>
        <v>0</v>
      </c>
      <c r="Q113" s="1"/>
    </row>
    <row r="114" spans="2:17">
      <c r="B114" s="9" t="str">
        <f t="shared" si="24"/>
        <v/>
      </c>
      <c r="C114" s="153">
        <f>IF(D93="","-",+C113+1)</f>
        <v>2024</v>
      </c>
      <c r="D114" s="154">
        <f>IF(F113+SUM(E$99:E113)=D$92,F113,D$92-SUM(E$99:E113))</f>
        <v>50837.233287415969</v>
      </c>
      <c r="E114" s="160">
        <f>IF(+J96&lt;F113,J96,D114)</f>
        <v>1851.1904761904761</v>
      </c>
      <c r="F114" s="159">
        <f t="shared" si="25"/>
        <v>48986.042811225496</v>
      </c>
      <c r="G114" s="159">
        <f t="shared" si="26"/>
        <v>49911.638049320733</v>
      </c>
      <c r="H114" s="163">
        <f t="shared" si="29"/>
        <v>7914.0299054367679</v>
      </c>
      <c r="I114" s="253">
        <f t="shared" si="30"/>
        <v>7914.0299054367679</v>
      </c>
      <c r="J114" s="158">
        <f t="shared" si="18"/>
        <v>0</v>
      </c>
      <c r="K114" s="158"/>
      <c r="L114" s="334"/>
      <c r="M114" s="158">
        <f t="shared" si="20"/>
        <v>0</v>
      </c>
      <c r="N114" s="334"/>
      <c r="O114" s="158">
        <f t="shared" si="22"/>
        <v>0</v>
      </c>
      <c r="P114" s="158">
        <f t="shared" si="23"/>
        <v>0</v>
      </c>
      <c r="Q114" s="1"/>
    </row>
    <row r="115" spans="2:17">
      <c r="B115" s="9" t="str">
        <f t="shared" si="24"/>
        <v>IU</v>
      </c>
      <c r="C115" s="153">
        <f>IF(D93="","-",+C114+1)</f>
        <v>2025</v>
      </c>
      <c r="D115" s="154">
        <f>IF(F114+SUM(E$99:E114)=D$92,F114,D$92-SUM(E$99:E114))</f>
        <v>48986.042811225445</v>
      </c>
      <c r="E115" s="160">
        <f>IF(+J96&lt;F114,J96,D115)</f>
        <v>1851.1904761904761</v>
      </c>
      <c r="F115" s="159">
        <f t="shared" si="25"/>
        <v>47134.852335034971</v>
      </c>
      <c r="G115" s="159">
        <f t="shared" si="26"/>
        <v>48060.447573130208</v>
      </c>
      <c r="H115" s="163">
        <f t="shared" si="29"/>
        <v>7689.1630998432001</v>
      </c>
      <c r="I115" s="253">
        <f t="shared" si="30"/>
        <v>7689.1630998432001</v>
      </c>
      <c r="J115" s="158">
        <f t="shared" si="18"/>
        <v>0</v>
      </c>
      <c r="K115" s="158"/>
      <c r="L115" s="334"/>
      <c r="M115" s="158">
        <f t="shared" si="20"/>
        <v>0</v>
      </c>
      <c r="N115" s="334"/>
      <c r="O115" s="158">
        <f t="shared" si="22"/>
        <v>0</v>
      </c>
      <c r="P115" s="158">
        <f t="shared" si="23"/>
        <v>0</v>
      </c>
      <c r="Q115" s="1"/>
    </row>
    <row r="116" spans="2:17">
      <c r="B116" s="9" t="str">
        <f t="shared" si="24"/>
        <v/>
      </c>
      <c r="C116" s="153">
        <f>IF(D93="","-",+C115+1)</f>
        <v>2026</v>
      </c>
      <c r="D116" s="154">
        <f>IF(F115+SUM(E$99:E115)=D$92,F115,D$92-SUM(E$99:E115))</f>
        <v>47134.852335034971</v>
      </c>
      <c r="E116" s="160">
        <f>IF(+J96&lt;F115,J96,D116)</f>
        <v>1851.1904761904761</v>
      </c>
      <c r="F116" s="159">
        <f t="shared" si="25"/>
        <v>45283.661858844498</v>
      </c>
      <c r="G116" s="159">
        <f t="shared" si="26"/>
        <v>46209.257096939735</v>
      </c>
      <c r="H116" s="163">
        <f t="shared" si="29"/>
        <v>7464.2962942496388</v>
      </c>
      <c r="I116" s="253">
        <f t="shared" si="30"/>
        <v>7464.2962942496388</v>
      </c>
      <c r="J116" s="158">
        <f t="shared" si="18"/>
        <v>0</v>
      </c>
      <c r="K116" s="158"/>
      <c r="L116" s="334"/>
      <c r="M116" s="158">
        <f t="shared" si="20"/>
        <v>0</v>
      </c>
      <c r="N116" s="334"/>
      <c r="O116" s="158">
        <f t="shared" si="22"/>
        <v>0</v>
      </c>
      <c r="P116" s="158">
        <f t="shared" si="23"/>
        <v>0</v>
      </c>
      <c r="Q116" s="1"/>
    </row>
    <row r="117" spans="2:17">
      <c r="B117" s="9" t="str">
        <f t="shared" si="24"/>
        <v/>
      </c>
      <c r="C117" s="153">
        <f>IF(D93="","-",+C116+1)</f>
        <v>2027</v>
      </c>
      <c r="D117" s="154">
        <f>IF(F116+SUM(E$99:E116)=D$92,F116,D$92-SUM(E$99:E116))</f>
        <v>45283.661858844498</v>
      </c>
      <c r="E117" s="160">
        <f>IF(+J96&lt;F116,J96,D117)</f>
        <v>1851.1904761904761</v>
      </c>
      <c r="F117" s="159">
        <f t="shared" si="25"/>
        <v>43432.471382654025</v>
      </c>
      <c r="G117" s="159">
        <f t="shared" si="26"/>
        <v>44358.066620749261</v>
      </c>
      <c r="H117" s="163">
        <f t="shared" si="29"/>
        <v>7239.4294886560774</v>
      </c>
      <c r="I117" s="253">
        <f t="shared" si="30"/>
        <v>7239.4294886560774</v>
      </c>
      <c r="J117" s="158">
        <f t="shared" si="18"/>
        <v>0</v>
      </c>
      <c r="K117" s="158"/>
      <c r="L117" s="334"/>
      <c r="M117" s="158">
        <f t="shared" si="20"/>
        <v>0</v>
      </c>
      <c r="N117" s="334"/>
      <c r="O117" s="158">
        <f t="shared" si="22"/>
        <v>0</v>
      </c>
      <c r="P117" s="158">
        <f t="shared" si="23"/>
        <v>0</v>
      </c>
      <c r="Q117" s="1"/>
    </row>
    <row r="118" spans="2:17">
      <c r="B118" s="9" t="str">
        <f t="shared" si="24"/>
        <v/>
      </c>
      <c r="C118" s="153">
        <f>IF(D93="","-",+C117+1)</f>
        <v>2028</v>
      </c>
      <c r="D118" s="154">
        <f>IF(F117+SUM(E$99:E117)=D$92,F117,D$92-SUM(E$99:E117))</f>
        <v>43432.471382654025</v>
      </c>
      <c r="E118" s="160">
        <f>IF(+J96&lt;F117,J96,D118)</f>
        <v>1851.1904761904761</v>
      </c>
      <c r="F118" s="159">
        <f t="shared" si="25"/>
        <v>41581.280906463551</v>
      </c>
      <c r="G118" s="159">
        <f t="shared" si="26"/>
        <v>42506.876144558788</v>
      </c>
      <c r="H118" s="163">
        <f t="shared" si="29"/>
        <v>7014.5626830625151</v>
      </c>
      <c r="I118" s="253">
        <f t="shared" si="30"/>
        <v>7014.5626830625151</v>
      </c>
      <c r="J118" s="158">
        <f t="shared" si="18"/>
        <v>0</v>
      </c>
      <c r="K118" s="158"/>
      <c r="L118" s="334"/>
      <c r="M118" s="158">
        <f t="shared" si="20"/>
        <v>0</v>
      </c>
      <c r="N118" s="334"/>
      <c r="O118" s="158">
        <f t="shared" si="22"/>
        <v>0</v>
      </c>
      <c r="P118" s="158">
        <f t="shared" si="23"/>
        <v>0</v>
      </c>
      <c r="Q118" s="1"/>
    </row>
    <row r="119" spans="2:17">
      <c r="B119" s="9" t="str">
        <f t="shared" si="24"/>
        <v/>
      </c>
      <c r="C119" s="153">
        <f>IF(D93="","-",+C118+1)</f>
        <v>2029</v>
      </c>
      <c r="D119" s="154">
        <f>IF(F118+SUM(E$99:E118)=D$92,F118,D$92-SUM(E$99:E118))</f>
        <v>41581.280906463551</v>
      </c>
      <c r="E119" s="160">
        <f>IF(+J96&lt;F118,J96,D119)</f>
        <v>1851.1904761904761</v>
      </c>
      <c r="F119" s="159">
        <f t="shared" si="25"/>
        <v>39730.090430273078</v>
      </c>
      <c r="G119" s="159">
        <f t="shared" si="26"/>
        <v>40655.685668368315</v>
      </c>
      <c r="H119" s="163">
        <f t="shared" si="29"/>
        <v>6789.6958774689538</v>
      </c>
      <c r="I119" s="253">
        <f t="shared" si="30"/>
        <v>6789.6958774689538</v>
      </c>
      <c r="J119" s="158">
        <f t="shared" si="18"/>
        <v>0</v>
      </c>
      <c r="K119" s="158"/>
      <c r="L119" s="334"/>
      <c r="M119" s="158">
        <f t="shared" si="20"/>
        <v>0</v>
      </c>
      <c r="N119" s="334"/>
      <c r="O119" s="158">
        <f t="shared" si="22"/>
        <v>0</v>
      </c>
      <c r="P119" s="158">
        <f t="shared" si="23"/>
        <v>0</v>
      </c>
      <c r="Q119" s="1"/>
    </row>
    <row r="120" spans="2:17">
      <c r="B120" s="9" t="str">
        <f t="shared" si="24"/>
        <v/>
      </c>
      <c r="C120" s="153">
        <f>IF(D93="","-",+C119+1)</f>
        <v>2030</v>
      </c>
      <c r="D120" s="154">
        <f>IF(F119+SUM(E$99:E119)=D$92,F119,D$92-SUM(E$99:E119))</f>
        <v>39730.090430273078</v>
      </c>
      <c r="E120" s="160">
        <f>IF(+J96&lt;F119,J96,D120)</f>
        <v>1851.1904761904761</v>
      </c>
      <c r="F120" s="159">
        <f t="shared" si="25"/>
        <v>37878.899954082604</v>
      </c>
      <c r="G120" s="159">
        <f t="shared" si="26"/>
        <v>38804.495192177841</v>
      </c>
      <c r="H120" s="163">
        <f t="shared" si="29"/>
        <v>6564.8290718753915</v>
      </c>
      <c r="I120" s="253">
        <f t="shared" si="30"/>
        <v>6564.8290718753915</v>
      </c>
      <c r="J120" s="158">
        <f t="shared" si="18"/>
        <v>0</v>
      </c>
      <c r="K120" s="158"/>
      <c r="L120" s="334"/>
      <c r="M120" s="158">
        <f t="shared" si="20"/>
        <v>0</v>
      </c>
      <c r="N120" s="334"/>
      <c r="O120" s="158">
        <f t="shared" si="22"/>
        <v>0</v>
      </c>
      <c r="P120" s="158">
        <f t="shared" si="23"/>
        <v>0</v>
      </c>
      <c r="Q120" s="1"/>
    </row>
    <row r="121" spans="2:17">
      <c r="B121" s="9" t="str">
        <f t="shared" si="24"/>
        <v/>
      </c>
      <c r="C121" s="153">
        <f>IF(D93="","-",+C120+1)</f>
        <v>2031</v>
      </c>
      <c r="D121" s="154">
        <f>IF(F120+SUM(E$99:E120)=D$92,F120,D$92-SUM(E$99:E120))</f>
        <v>37878.899954082604</v>
      </c>
      <c r="E121" s="160">
        <f>IF(+J96&lt;F120,J96,D121)</f>
        <v>1851.1904761904761</v>
      </c>
      <c r="F121" s="159">
        <f t="shared" si="25"/>
        <v>36027.709477892131</v>
      </c>
      <c r="G121" s="159">
        <f t="shared" si="26"/>
        <v>36953.304715987368</v>
      </c>
      <c r="H121" s="163">
        <f t="shared" si="29"/>
        <v>6339.9622662818301</v>
      </c>
      <c r="I121" s="253">
        <f t="shared" si="30"/>
        <v>6339.9622662818301</v>
      </c>
      <c r="J121" s="158">
        <f t="shared" si="18"/>
        <v>0</v>
      </c>
      <c r="K121" s="158"/>
      <c r="L121" s="334"/>
      <c r="M121" s="158">
        <f t="shared" si="20"/>
        <v>0</v>
      </c>
      <c r="N121" s="334"/>
      <c r="O121" s="158">
        <f t="shared" si="22"/>
        <v>0</v>
      </c>
      <c r="P121" s="158">
        <f t="shared" si="23"/>
        <v>0</v>
      </c>
      <c r="Q121" s="1"/>
    </row>
    <row r="122" spans="2:17">
      <c r="B122" s="9" t="str">
        <f t="shared" si="24"/>
        <v/>
      </c>
      <c r="C122" s="153">
        <f>IF(D93="","-",+C121+1)</f>
        <v>2032</v>
      </c>
      <c r="D122" s="154">
        <f>IF(F121+SUM(E$99:E121)=D$92,F121,D$92-SUM(E$99:E121))</f>
        <v>36027.709477892131</v>
      </c>
      <c r="E122" s="160">
        <f>IF(+J96&lt;F121,J96,D122)</f>
        <v>1851.1904761904761</v>
      </c>
      <c r="F122" s="159">
        <f t="shared" si="25"/>
        <v>34176.519001701658</v>
      </c>
      <c r="G122" s="159">
        <f t="shared" si="26"/>
        <v>35102.114239796894</v>
      </c>
      <c r="H122" s="163">
        <f t="shared" si="29"/>
        <v>6115.0954606882688</v>
      </c>
      <c r="I122" s="253">
        <f t="shared" si="30"/>
        <v>6115.0954606882688</v>
      </c>
      <c r="J122" s="158">
        <f t="shared" si="18"/>
        <v>0</v>
      </c>
      <c r="K122" s="158"/>
      <c r="L122" s="334"/>
      <c r="M122" s="158">
        <f t="shared" si="20"/>
        <v>0</v>
      </c>
      <c r="N122" s="334"/>
      <c r="O122" s="158">
        <f t="shared" si="22"/>
        <v>0</v>
      </c>
      <c r="P122" s="158">
        <f t="shared" si="23"/>
        <v>0</v>
      </c>
      <c r="Q122" s="1"/>
    </row>
    <row r="123" spans="2:17">
      <c r="B123" s="9" t="str">
        <f t="shared" si="24"/>
        <v/>
      </c>
      <c r="C123" s="153">
        <f>IF(D93="","-",+C122+1)</f>
        <v>2033</v>
      </c>
      <c r="D123" s="154">
        <f>IF(F122+SUM(E$99:E122)=D$92,F122,D$92-SUM(E$99:E122))</f>
        <v>34176.519001701658</v>
      </c>
      <c r="E123" s="160">
        <f>IF(+J96&lt;F122,J96,D123)</f>
        <v>1851.1904761904761</v>
      </c>
      <c r="F123" s="159">
        <f t="shared" si="25"/>
        <v>32325.32852551118</v>
      </c>
      <c r="G123" s="159">
        <f t="shared" si="26"/>
        <v>33250.923763606421</v>
      </c>
      <c r="H123" s="163">
        <f t="shared" si="29"/>
        <v>5890.2286550947065</v>
      </c>
      <c r="I123" s="253">
        <f t="shared" si="30"/>
        <v>5890.2286550947065</v>
      </c>
      <c r="J123" s="158">
        <f t="shared" si="18"/>
        <v>0</v>
      </c>
      <c r="K123" s="158"/>
      <c r="L123" s="334"/>
      <c r="M123" s="158">
        <f t="shared" si="20"/>
        <v>0</v>
      </c>
      <c r="N123" s="334"/>
      <c r="O123" s="158">
        <f t="shared" si="22"/>
        <v>0</v>
      </c>
      <c r="P123" s="158">
        <f t="shared" si="23"/>
        <v>0</v>
      </c>
      <c r="Q123" s="1"/>
    </row>
    <row r="124" spans="2:17">
      <c r="B124" s="9" t="str">
        <f t="shared" si="24"/>
        <v/>
      </c>
      <c r="C124" s="153">
        <f>IF(D93="","-",+C123+1)</f>
        <v>2034</v>
      </c>
      <c r="D124" s="154">
        <f>IF(F123+SUM(E$99:E123)=D$92,F123,D$92-SUM(E$99:E123))</f>
        <v>32325.32852551118</v>
      </c>
      <c r="E124" s="160">
        <f>IF(+J96&lt;F123,J96,D124)</f>
        <v>1851.1904761904761</v>
      </c>
      <c r="F124" s="159">
        <f t="shared" si="25"/>
        <v>30474.138049320703</v>
      </c>
      <c r="G124" s="159">
        <f t="shared" si="26"/>
        <v>31399.73328741594</v>
      </c>
      <c r="H124" s="163">
        <f t="shared" si="29"/>
        <v>5665.3618495011442</v>
      </c>
      <c r="I124" s="253">
        <f t="shared" si="30"/>
        <v>5665.3618495011442</v>
      </c>
      <c r="J124" s="158">
        <f t="shared" si="18"/>
        <v>0</v>
      </c>
      <c r="K124" s="158"/>
      <c r="L124" s="334"/>
      <c r="M124" s="158">
        <f t="shared" si="20"/>
        <v>0</v>
      </c>
      <c r="N124" s="334"/>
      <c r="O124" s="158">
        <f t="shared" si="22"/>
        <v>0</v>
      </c>
      <c r="P124" s="158">
        <f t="shared" si="23"/>
        <v>0</v>
      </c>
      <c r="Q124" s="1"/>
    </row>
    <row r="125" spans="2:17">
      <c r="B125" s="9" t="str">
        <f t="shared" si="24"/>
        <v/>
      </c>
      <c r="C125" s="153">
        <f>IF(D93="","-",+C124+1)</f>
        <v>2035</v>
      </c>
      <c r="D125" s="154">
        <f>IF(F124+SUM(E$99:E124)=D$92,F124,D$92-SUM(E$99:E124))</f>
        <v>30474.138049320703</v>
      </c>
      <c r="E125" s="160">
        <f>IF(+J96&lt;F124,J96,D125)</f>
        <v>1851.1904761904761</v>
      </c>
      <c r="F125" s="159">
        <f t="shared" si="25"/>
        <v>28622.947573130226</v>
      </c>
      <c r="G125" s="159">
        <f t="shared" si="26"/>
        <v>29548.542811225467</v>
      </c>
      <c r="H125" s="163">
        <f t="shared" si="29"/>
        <v>5440.4950439075828</v>
      </c>
      <c r="I125" s="253">
        <f t="shared" si="30"/>
        <v>5440.4950439075828</v>
      </c>
      <c r="J125" s="158">
        <f t="shared" si="18"/>
        <v>0</v>
      </c>
      <c r="K125" s="158"/>
      <c r="L125" s="334"/>
      <c r="M125" s="158">
        <f t="shared" si="20"/>
        <v>0</v>
      </c>
      <c r="N125" s="334"/>
      <c r="O125" s="158">
        <f t="shared" si="22"/>
        <v>0</v>
      </c>
      <c r="P125" s="158">
        <f t="shared" si="23"/>
        <v>0</v>
      </c>
      <c r="Q125" s="1"/>
    </row>
    <row r="126" spans="2:17">
      <c r="B126" s="9" t="str">
        <f t="shared" si="24"/>
        <v/>
      </c>
      <c r="C126" s="153">
        <f>IF(D93="","-",+C125+1)</f>
        <v>2036</v>
      </c>
      <c r="D126" s="154">
        <f>IF(F125+SUM(E$99:E125)=D$92,F125,D$92-SUM(E$99:E125))</f>
        <v>28622.947573130226</v>
      </c>
      <c r="E126" s="160">
        <f>IF(+J96&lt;F125,J96,D126)</f>
        <v>1851.1904761904761</v>
      </c>
      <c r="F126" s="159">
        <f t="shared" si="25"/>
        <v>26771.757096939749</v>
      </c>
      <c r="G126" s="159">
        <f t="shared" si="26"/>
        <v>27697.352335034986</v>
      </c>
      <c r="H126" s="163">
        <f t="shared" si="29"/>
        <v>5215.6282383140206</v>
      </c>
      <c r="I126" s="253">
        <f t="shared" si="30"/>
        <v>5215.6282383140206</v>
      </c>
      <c r="J126" s="158">
        <f t="shared" si="18"/>
        <v>0</v>
      </c>
      <c r="K126" s="158"/>
      <c r="L126" s="334"/>
      <c r="M126" s="158">
        <f t="shared" si="20"/>
        <v>0</v>
      </c>
      <c r="N126" s="334"/>
      <c r="O126" s="158">
        <f t="shared" si="22"/>
        <v>0</v>
      </c>
      <c r="P126" s="158">
        <f t="shared" si="23"/>
        <v>0</v>
      </c>
      <c r="Q126" s="1"/>
    </row>
    <row r="127" spans="2:17">
      <c r="B127" s="9" t="str">
        <f t="shared" si="24"/>
        <v/>
      </c>
      <c r="C127" s="153">
        <f>IF(D93="","-",+C126+1)</f>
        <v>2037</v>
      </c>
      <c r="D127" s="154">
        <f>IF(F126+SUM(E$99:E126)=D$92,F126,D$92-SUM(E$99:E126))</f>
        <v>26771.757096939749</v>
      </c>
      <c r="E127" s="160">
        <f>IF(+J96&lt;F126,J96,D127)</f>
        <v>1851.1904761904761</v>
      </c>
      <c r="F127" s="159">
        <f t="shared" si="25"/>
        <v>24920.566620749272</v>
      </c>
      <c r="G127" s="159">
        <f t="shared" si="26"/>
        <v>25846.161858844513</v>
      </c>
      <c r="H127" s="163">
        <f t="shared" si="29"/>
        <v>4990.7614327204583</v>
      </c>
      <c r="I127" s="253">
        <f t="shared" si="30"/>
        <v>4990.7614327204583</v>
      </c>
      <c r="J127" s="158">
        <f t="shared" si="18"/>
        <v>0</v>
      </c>
      <c r="K127" s="158"/>
      <c r="L127" s="334"/>
      <c r="M127" s="158">
        <f t="shared" si="20"/>
        <v>0</v>
      </c>
      <c r="N127" s="334"/>
      <c r="O127" s="158">
        <f t="shared" si="22"/>
        <v>0</v>
      </c>
      <c r="P127" s="158">
        <f t="shared" si="23"/>
        <v>0</v>
      </c>
      <c r="Q127" s="1"/>
    </row>
    <row r="128" spans="2:17">
      <c r="B128" s="9" t="str">
        <f t="shared" si="24"/>
        <v/>
      </c>
      <c r="C128" s="153">
        <f>IF(D93="","-",+C127+1)</f>
        <v>2038</v>
      </c>
      <c r="D128" s="154">
        <f>IF(F127+SUM(E$99:E127)=D$92,F127,D$92-SUM(E$99:E127))</f>
        <v>24920.566620749272</v>
      </c>
      <c r="E128" s="160">
        <f>IF(+J96&lt;F127,J96,D128)</f>
        <v>1851.1904761904761</v>
      </c>
      <c r="F128" s="159">
        <f t="shared" si="25"/>
        <v>23069.376144558795</v>
      </c>
      <c r="G128" s="159">
        <f t="shared" si="26"/>
        <v>23994.971382654032</v>
      </c>
      <c r="H128" s="163">
        <f t="shared" si="29"/>
        <v>4765.894627126896</v>
      </c>
      <c r="I128" s="253">
        <f t="shared" si="30"/>
        <v>4765.894627126896</v>
      </c>
      <c r="J128" s="158">
        <f t="shared" si="18"/>
        <v>0</v>
      </c>
      <c r="K128" s="158"/>
      <c r="L128" s="334"/>
      <c r="M128" s="158">
        <f t="shared" si="20"/>
        <v>0</v>
      </c>
      <c r="N128" s="334"/>
      <c r="O128" s="158">
        <f t="shared" si="22"/>
        <v>0</v>
      </c>
      <c r="P128" s="158">
        <f t="shared" si="23"/>
        <v>0</v>
      </c>
      <c r="Q128" s="1"/>
    </row>
    <row r="129" spans="2:17">
      <c r="B129" s="9" t="str">
        <f t="shared" si="24"/>
        <v/>
      </c>
      <c r="C129" s="153">
        <f>IF(D93="","-",+C128+1)</f>
        <v>2039</v>
      </c>
      <c r="D129" s="154">
        <f>IF(F128+SUM(E$99:E128)=D$92,F128,D$92-SUM(E$99:E128))</f>
        <v>23069.376144558795</v>
      </c>
      <c r="E129" s="160">
        <f>IF(+J96&lt;F128,J96,D129)</f>
        <v>1851.1904761904761</v>
      </c>
      <c r="F129" s="159">
        <f t="shared" si="25"/>
        <v>21218.185668368318</v>
      </c>
      <c r="G129" s="159">
        <f t="shared" si="26"/>
        <v>22143.780906463558</v>
      </c>
      <c r="H129" s="163">
        <f t="shared" si="29"/>
        <v>4541.0278215333346</v>
      </c>
      <c r="I129" s="253">
        <f t="shared" si="30"/>
        <v>4541.0278215333346</v>
      </c>
      <c r="J129" s="158">
        <f t="shared" si="18"/>
        <v>0</v>
      </c>
      <c r="K129" s="158"/>
      <c r="L129" s="334"/>
      <c r="M129" s="158">
        <f t="shared" si="20"/>
        <v>0</v>
      </c>
      <c r="N129" s="334"/>
      <c r="O129" s="158">
        <f t="shared" si="22"/>
        <v>0</v>
      </c>
      <c r="P129" s="158">
        <f t="shared" si="23"/>
        <v>0</v>
      </c>
      <c r="Q129" s="1"/>
    </row>
    <row r="130" spans="2:17">
      <c r="B130" s="9" t="str">
        <f t="shared" si="24"/>
        <v/>
      </c>
      <c r="C130" s="153">
        <f>IF(D93="","-",+C129+1)</f>
        <v>2040</v>
      </c>
      <c r="D130" s="154">
        <f>IF(F129+SUM(E$99:E129)=D$92,F129,D$92-SUM(E$99:E129))</f>
        <v>21218.185668368318</v>
      </c>
      <c r="E130" s="160">
        <f>IF(+J96&lt;F129,J96,D130)</f>
        <v>1851.1904761904761</v>
      </c>
      <c r="F130" s="159">
        <f t="shared" si="25"/>
        <v>19366.995192177841</v>
      </c>
      <c r="G130" s="159">
        <f t="shared" si="26"/>
        <v>20292.590430273078</v>
      </c>
      <c r="H130" s="163">
        <f t="shared" si="29"/>
        <v>4316.1610159397715</v>
      </c>
      <c r="I130" s="253">
        <f t="shared" si="30"/>
        <v>4316.1610159397715</v>
      </c>
      <c r="J130" s="158">
        <f t="shared" si="18"/>
        <v>0</v>
      </c>
      <c r="K130" s="158"/>
      <c r="L130" s="334"/>
      <c r="M130" s="158">
        <f t="shared" si="20"/>
        <v>0</v>
      </c>
      <c r="N130" s="334"/>
      <c r="O130" s="158">
        <f t="shared" si="22"/>
        <v>0</v>
      </c>
      <c r="P130" s="158">
        <f t="shared" si="23"/>
        <v>0</v>
      </c>
      <c r="Q130" s="1"/>
    </row>
    <row r="131" spans="2:17">
      <c r="B131" s="9" t="str">
        <f t="shared" si="24"/>
        <v/>
      </c>
      <c r="C131" s="153">
        <f>IF(D93="","-",+C130+1)</f>
        <v>2041</v>
      </c>
      <c r="D131" s="154">
        <f>IF(F130+SUM(E$99:E130)=D$92,F130,D$92-SUM(E$99:E130))</f>
        <v>19366.995192177841</v>
      </c>
      <c r="E131" s="160">
        <f>IF(+J96&lt;F130,J96,D131)</f>
        <v>1851.1904761904761</v>
      </c>
      <c r="F131" s="159">
        <f t="shared" ref="F131:F154" si="31">+D131-E131</f>
        <v>17515.804715987364</v>
      </c>
      <c r="G131" s="159">
        <f t="shared" ref="G131:G154" si="32">+(F131+D131)/2</f>
        <v>18441.399954082604</v>
      </c>
      <c r="H131" s="163">
        <f t="shared" si="29"/>
        <v>4091.2942103462096</v>
      </c>
      <c r="I131" s="253">
        <f t="shared" si="30"/>
        <v>4091.2942103462096</v>
      </c>
      <c r="J131" s="158">
        <f t="shared" ref="J131:J154" si="33">+I131-H131</f>
        <v>0</v>
      </c>
      <c r="K131" s="158"/>
      <c r="L131" s="334"/>
      <c r="M131" s="158">
        <f t="shared" ref="M131:M154" si="34">IF(L131&lt;&gt;0,+H131-L131,0)</f>
        <v>0</v>
      </c>
      <c r="N131" s="334"/>
      <c r="O131" s="158">
        <f t="shared" ref="O131:O154" si="35">IF(N131&lt;&gt;0,+I131-N131,0)</f>
        <v>0</v>
      </c>
      <c r="P131" s="158">
        <f t="shared" ref="P131:P154" si="36">+O131-M131</f>
        <v>0</v>
      </c>
      <c r="Q131" s="1"/>
    </row>
    <row r="132" spans="2:17">
      <c r="B132" s="9" t="str">
        <f t="shared" si="24"/>
        <v/>
      </c>
      <c r="C132" s="153">
        <f>IF(D93="","-",+C131+1)</f>
        <v>2042</v>
      </c>
      <c r="D132" s="154">
        <f>IF(F131+SUM(E$99:E131)=D$92,F131,D$92-SUM(E$99:E131))</f>
        <v>17515.804715987364</v>
      </c>
      <c r="E132" s="160">
        <f>IF(+J96&lt;F131,J96,D132)</f>
        <v>1851.1904761904761</v>
      </c>
      <c r="F132" s="159">
        <f t="shared" si="31"/>
        <v>15664.614239796887</v>
      </c>
      <c r="G132" s="159">
        <f t="shared" si="32"/>
        <v>16590.209477892124</v>
      </c>
      <c r="H132" s="163">
        <f t="shared" si="29"/>
        <v>3866.4274047526474</v>
      </c>
      <c r="I132" s="253">
        <f t="shared" si="30"/>
        <v>3866.4274047526474</v>
      </c>
      <c r="J132" s="158">
        <f t="shared" si="33"/>
        <v>0</v>
      </c>
      <c r="K132" s="158"/>
      <c r="L132" s="334"/>
      <c r="M132" s="158">
        <f t="shared" si="34"/>
        <v>0</v>
      </c>
      <c r="N132" s="334"/>
      <c r="O132" s="158">
        <f t="shared" si="35"/>
        <v>0</v>
      </c>
      <c r="P132" s="158">
        <f t="shared" si="36"/>
        <v>0</v>
      </c>
      <c r="Q132" s="1"/>
    </row>
    <row r="133" spans="2:17">
      <c r="B133" s="9" t="str">
        <f t="shared" si="24"/>
        <v/>
      </c>
      <c r="C133" s="153">
        <f>IF(D93="","-",+C132+1)</f>
        <v>2043</v>
      </c>
      <c r="D133" s="154">
        <f>IF(F132+SUM(E$99:E132)=D$92,F132,D$92-SUM(E$99:E132))</f>
        <v>15664.614239796887</v>
      </c>
      <c r="E133" s="160">
        <f>IF(+J96&lt;F132,J96,D133)</f>
        <v>1851.1904761904761</v>
      </c>
      <c r="F133" s="159">
        <f t="shared" si="31"/>
        <v>13813.42376360641</v>
      </c>
      <c r="G133" s="159">
        <f t="shared" si="32"/>
        <v>14739.019001701648</v>
      </c>
      <c r="H133" s="163">
        <f t="shared" si="29"/>
        <v>3641.5605991590855</v>
      </c>
      <c r="I133" s="253">
        <f t="shared" si="30"/>
        <v>3641.5605991590855</v>
      </c>
      <c r="J133" s="158">
        <f t="shared" si="33"/>
        <v>0</v>
      </c>
      <c r="K133" s="158"/>
      <c r="L133" s="334"/>
      <c r="M133" s="158">
        <f t="shared" si="34"/>
        <v>0</v>
      </c>
      <c r="N133" s="334"/>
      <c r="O133" s="158">
        <f t="shared" si="35"/>
        <v>0</v>
      </c>
      <c r="P133" s="158">
        <f t="shared" si="36"/>
        <v>0</v>
      </c>
      <c r="Q133" s="1"/>
    </row>
    <row r="134" spans="2:17">
      <c r="B134" s="9" t="str">
        <f t="shared" si="24"/>
        <v/>
      </c>
      <c r="C134" s="153">
        <f>IF(D93="","-",+C133+1)</f>
        <v>2044</v>
      </c>
      <c r="D134" s="154">
        <f>IF(F133+SUM(E$99:E133)=D$92,F133,D$92-SUM(E$99:E133))</f>
        <v>13813.42376360641</v>
      </c>
      <c r="E134" s="160">
        <f>IF(+J96&lt;F133,J96,D134)</f>
        <v>1851.1904761904761</v>
      </c>
      <c r="F134" s="159">
        <f t="shared" si="31"/>
        <v>11962.233287415933</v>
      </c>
      <c r="G134" s="159">
        <f t="shared" si="32"/>
        <v>12887.828525511171</v>
      </c>
      <c r="H134" s="163">
        <f t="shared" si="29"/>
        <v>3416.6937935655233</v>
      </c>
      <c r="I134" s="253">
        <f t="shared" si="30"/>
        <v>3416.6937935655233</v>
      </c>
      <c r="J134" s="158">
        <f t="shared" si="33"/>
        <v>0</v>
      </c>
      <c r="K134" s="158"/>
      <c r="L134" s="334"/>
      <c r="M134" s="158">
        <f t="shared" si="34"/>
        <v>0</v>
      </c>
      <c r="N134" s="334"/>
      <c r="O134" s="158">
        <f t="shared" si="35"/>
        <v>0</v>
      </c>
      <c r="P134" s="158">
        <f t="shared" si="36"/>
        <v>0</v>
      </c>
      <c r="Q134" s="1"/>
    </row>
    <row r="135" spans="2:17">
      <c r="B135" s="9" t="str">
        <f t="shared" si="24"/>
        <v/>
      </c>
      <c r="C135" s="153">
        <f>IF(D93="","-",+C134+1)</f>
        <v>2045</v>
      </c>
      <c r="D135" s="154">
        <f>IF(F134+SUM(E$99:E134)=D$92,F134,D$92-SUM(E$99:E134))</f>
        <v>11962.233287415933</v>
      </c>
      <c r="E135" s="160">
        <f>IF(+J96&lt;F134,J96,D135)</f>
        <v>1851.1904761904761</v>
      </c>
      <c r="F135" s="159">
        <f t="shared" si="31"/>
        <v>10111.042811225456</v>
      </c>
      <c r="G135" s="159">
        <f t="shared" si="32"/>
        <v>11036.638049320694</v>
      </c>
      <c r="H135" s="163">
        <f t="shared" si="29"/>
        <v>3191.826987971961</v>
      </c>
      <c r="I135" s="253">
        <f t="shared" si="30"/>
        <v>3191.826987971961</v>
      </c>
      <c r="J135" s="158">
        <f t="shared" si="33"/>
        <v>0</v>
      </c>
      <c r="K135" s="158"/>
      <c r="L135" s="334"/>
      <c r="M135" s="158">
        <f t="shared" si="34"/>
        <v>0</v>
      </c>
      <c r="N135" s="334"/>
      <c r="O135" s="158">
        <f t="shared" si="35"/>
        <v>0</v>
      </c>
      <c r="P135" s="158">
        <f t="shared" si="36"/>
        <v>0</v>
      </c>
      <c r="Q135" s="1"/>
    </row>
    <row r="136" spans="2:17">
      <c r="B136" s="9" t="str">
        <f t="shared" si="24"/>
        <v/>
      </c>
      <c r="C136" s="153">
        <f>IF(D93="","-",+C135+1)</f>
        <v>2046</v>
      </c>
      <c r="D136" s="154">
        <f>IF(F135+SUM(E$99:E135)=D$92,F135,D$92-SUM(E$99:E135))</f>
        <v>10111.042811225456</v>
      </c>
      <c r="E136" s="160">
        <f>IF(+J96&lt;F135,J96,D136)</f>
        <v>1851.1904761904761</v>
      </c>
      <c r="F136" s="159">
        <f t="shared" si="31"/>
        <v>8259.8523350349788</v>
      </c>
      <c r="G136" s="159">
        <f t="shared" si="32"/>
        <v>9185.4475731302173</v>
      </c>
      <c r="H136" s="163">
        <f t="shared" si="29"/>
        <v>2966.9601823783987</v>
      </c>
      <c r="I136" s="253">
        <f t="shared" si="30"/>
        <v>2966.9601823783987</v>
      </c>
      <c r="J136" s="158">
        <f t="shared" si="33"/>
        <v>0</v>
      </c>
      <c r="K136" s="158"/>
      <c r="L136" s="334"/>
      <c r="M136" s="158">
        <f t="shared" si="34"/>
        <v>0</v>
      </c>
      <c r="N136" s="334"/>
      <c r="O136" s="158">
        <f t="shared" si="35"/>
        <v>0</v>
      </c>
      <c r="P136" s="158">
        <f t="shared" si="36"/>
        <v>0</v>
      </c>
      <c r="Q136" s="1"/>
    </row>
    <row r="137" spans="2:17">
      <c r="B137" s="9" t="str">
        <f t="shared" si="24"/>
        <v/>
      </c>
      <c r="C137" s="153">
        <f>IF(D93="","-",+C136+1)</f>
        <v>2047</v>
      </c>
      <c r="D137" s="154">
        <f>IF(F136+SUM(E$99:E136)=D$92,F136,D$92-SUM(E$99:E136))</f>
        <v>8259.8523350349788</v>
      </c>
      <c r="E137" s="160">
        <f>IF(+J96&lt;F136,J96,D137)</f>
        <v>1851.1904761904761</v>
      </c>
      <c r="F137" s="159">
        <f t="shared" si="31"/>
        <v>6408.6618588445026</v>
      </c>
      <c r="G137" s="159">
        <f t="shared" si="32"/>
        <v>7334.2570969397402</v>
      </c>
      <c r="H137" s="163">
        <f t="shared" si="29"/>
        <v>2742.0933767848369</v>
      </c>
      <c r="I137" s="253">
        <f t="shared" si="30"/>
        <v>2742.0933767848369</v>
      </c>
      <c r="J137" s="158">
        <f t="shared" si="33"/>
        <v>0</v>
      </c>
      <c r="K137" s="158"/>
      <c r="L137" s="334"/>
      <c r="M137" s="158">
        <f t="shared" si="34"/>
        <v>0</v>
      </c>
      <c r="N137" s="334"/>
      <c r="O137" s="158">
        <f t="shared" si="35"/>
        <v>0</v>
      </c>
      <c r="P137" s="158">
        <f t="shared" si="36"/>
        <v>0</v>
      </c>
      <c r="Q137" s="1"/>
    </row>
    <row r="138" spans="2:17">
      <c r="B138" s="9" t="str">
        <f t="shared" si="24"/>
        <v/>
      </c>
      <c r="C138" s="153">
        <f>IF(D93="","-",+C137+1)</f>
        <v>2048</v>
      </c>
      <c r="D138" s="154">
        <f>IF(F137+SUM(E$99:E137)=D$92,F137,D$92-SUM(E$99:E137))</f>
        <v>6408.6618588445026</v>
      </c>
      <c r="E138" s="160">
        <f>IF(+J96&lt;F137,J96,D138)</f>
        <v>1851.1904761904761</v>
      </c>
      <c r="F138" s="159">
        <f t="shared" si="31"/>
        <v>4557.4713826540265</v>
      </c>
      <c r="G138" s="159">
        <f t="shared" si="32"/>
        <v>5483.066620749265</v>
      </c>
      <c r="H138" s="163">
        <f t="shared" si="29"/>
        <v>2517.2265711912751</v>
      </c>
      <c r="I138" s="253">
        <f t="shared" si="30"/>
        <v>2517.2265711912751</v>
      </c>
      <c r="J138" s="158">
        <f t="shared" si="33"/>
        <v>0</v>
      </c>
      <c r="K138" s="158"/>
      <c r="L138" s="334"/>
      <c r="M138" s="158">
        <f t="shared" si="34"/>
        <v>0</v>
      </c>
      <c r="N138" s="334"/>
      <c r="O138" s="158">
        <f t="shared" si="35"/>
        <v>0</v>
      </c>
      <c r="P138" s="158">
        <f t="shared" si="36"/>
        <v>0</v>
      </c>
      <c r="Q138" s="1"/>
    </row>
    <row r="139" spans="2:17">
      <c r="B139" s="9" t="str">
        <f t="shared" si="24"/>
        <v/>
      </c>
      <c r="C139" s="153">
        <f>IF(D93="","-",+C138+1)</f>
        <v>2049</v>
      </c>
      <c r="D139" s="154">
        <f>IF(F138+SUM(E$99:E138)=D$92,F138,D$92-SUM(E$99:E138))</f>
        <v>4557.4713826540265</v>
      </c>
      <c r="E139" s="160">
        <f>IF(+J96&lt;F138,J96,D139)</f>
        <v>1851.1904761904761</v>
      </c>
      <c r="F139" s="159">
        <f t="shared" si="31"/>
        <v>2706.2809064635503</v>
      </c>
      <c r="G139" s="159">
        <f t="shared" si="32"/>
        <v>3631.8761445587884</v>
      </c>
      <c r="H139" s="163">
        <f t="shared" si="29"/>
        <v>2292.3597655977128</v>
      </c>
      <c r="I139" s="253">
        <f t="shared" si="30"/>
        <v>2292.3597655977128</v>
      </c>
      <c r="J139" s="158">
        <f t="shared" si="33"/>
        <v>0</v>
      </c>
      <c r="K139" s="158"/>
      <c r="L139" s="334"/>
      <c r="M139" s="158">
        <f t="shared" si="34"/>
        <v>0</v>
      </c>
      <c r="N139" s="334"/>
      <c r="O139" s="158">
        <f t="shared" si="35"/>
        <v>0</v>
      </c>
      <c r="P139" s="158">
        <f t="shared" si="36"/>
        <v>0</v>
      </c>
      <c r="Q139" s="1"/>
    </row>
    <row r="140" spans="2:17">
      <c r="B140" s="374" t="str">
        <f t="shared" si="24"/>
        <v/>
      </c>
      <c r="C140" s="153">
        <f>IF(D93="","-",+C139+1)</f>
        <v>2050</v>
      </c>
      <c r="D140" s="154">
        <f>IF(F139+SUM(E$99:E139)=D$92,F139,D$92-SUM(E$99:E139))</f>
        <v>2706.2809064635503</v>
      </c>
      <c r="E140" s="160">
        <f>IF(+J96&lt;F139,J96,D140)</f>
        <v>1851.1904761904761</v>
      </c>
      <c r="F140" s="159">
        <f t="shared" si="31"/>
        <v>855.09043027307416</v>
      </c>
      <c r="G140" s="159">
        <f t="shared" si="32"/>
        <v>1780.6856683683122</v>
      </c>
      <c r="H140" s="163">
        <f t="shared" si="29"/>
        <v>2067.492960004151</v>
      </c>
      <c r="I140" s="253">
        <f t="shared" si="30"/>
        <v>2067.492960004151</v>
      </c>
      <c r="J140" s="158">
        <f t="shared" si="33"/>
        <v>0</v>
      </c>
      <c r="K140" s="158"/>
      <c r="L140" s="334"/>
      <c r="M140" s="158">
        <f t="shared" si="34"/>
        <v>0</v>
      </c>
      <c r="N140" s="334"/>
      <c r="O140" s="158">
        <f t="shared" si="35"/>
        <v>0</v>
      </c>
      <c r="P140" s="158">
        <f t="shared" si="36"/>
        <v>0</v>
      </c>
      <c r="Q140" s="1"/>
    </row>
    <row r="141" spans="2:17">
      <c r="B141" s="9" t="str">
        <f t="shared" si="24"/>
        <v/>
      </c>
      <c r="C141" s="153">
        <f>IF(D93="","-",+C140+1)</f>
        <v>2051</v>
      </c>
      <c r="D141" s="154">
        <f>IF(F140+SUM(E$99:E140)=D$92,F140,D$92-SUM(E$99:E140))</f>
        <v>855.09043027307416</v>
      </c>
      <c r="E141" s="160">
        <f>IF(+J96&lt;F140,J96,D141)</f>
        <v>855.09043027307416</v>
      </c>
      <c r="F141" s="159">
        <f t="shared" si="31"/>
        <v>0</v>
      </c>
      <c r="G141" s="159">
        <f t="shared" si="32"/>
        <v>427.54521513653708</v>
      </c>
      <c r="H141" s="163">
        <f t="shared" si="29"/>
        <v>907.02497078152101</v>
      </c>
      <c r="I141" s="253">
        <f t="shared" si="30"/>
        <v>907.02497078152101</v>
      </c>
      <c r="J141" s="158">
        <f t="shared" si="33"/>
        <v>0</v>
      </c>
      <c r="K141" s="158"/>
      <c r="L141" s="334"/>
      <c r="M141" s="158">
        <f t="shared" si="34"/>
        <v>0</v>
      </c>
      <c r="N141" s="334"/>
      <c r="O141" s="158">
        <f t="shared" si="35"/>
        <v>0</v>
      </c>
      <c r="P141" s="158">
        <f t="shared" si="36"/>
        <v>0</v>
      </c>
      <c r="Q141" s="1"/>
    </row>
    <row r="142" spans="2:17">
      <c r="B142" s="9" t="str">
        <f t="shared" si="24"/>
        <v/>
      </c>
      <c r="C142" s="153">
        <f>IF(D93="","-",+C141+1)</f>
        <v>2052</v>
      </c>
      <c r="D142" s="154">
        <f>IF(F141+SUM(E$99:E141)=D$92,F141,D$92-SUM(E$99:E141))</f>
        <v>0</v>
      </c>
      <c r="E142" s="160">
        <f>IF(+J96&lt;F141,J96,D142)</f>
        <v>0</v>
      </c>
      <c r="F142" s="159">
        <f t="shared" si="31"/>
        <v>0</v>
      </c>
      <c r="G142" s="159">
        <f t="shared" si="32"/>
        <v>0</v>
      </c>
      <c r="H142" s="163">
        <f t="shared" si="29"/>
        <v>0</v>
      </c>
      <c r="I142" s="253">
        <f t="shared" si="30"/>
        <v>0</v>
      </c>
      <c r="J142" s="158">
        <f t="shared" si="33"/>
        <v>0</v>
      </c>
      <c r="K142" s="158"/>
      <c r="L142" s="334"/>
      <c r="M142" s="158">
        <f t="shared" si="34"/>
        <v>0</v>
      </c>
      <c r="N142" s="334"/>
      <c r="O142" s="158">
        <f t="shared" si="35"/>
        <v>0</v>
      </c>
      <c r="P142" s="158">
        <f t="shared" si="36"/>
        <v>0</v>
      </c>
      <c r="Q142" s="1"/>
    </row>
    <row r="143" spans="2:17">
      <c r="B143" s="9" t="str">
        <f t="shared" si="24"/>
        <v/>
      </c>
      <c r="C143" s="153">
        <f>IF(D93="","-",+C142+1)</f>
        <v>2053</v>
      </c>
      <c r="D143" s="154">
        <f>IF(F142+SUM(E$99:E142)=D$92,F142,D$92-SUM(E$99:E142))</f>
        <v>0</v>
      </c>
      <c r="E143" s="160">
        <f>IF(+J96&lt;F142,J96,D143)</f>
        <v>0</v>
      </c>
      <c r="F143" s="159">
        <f t="shared" si="31"/>
        <v>0</v>
      </c>
      <c r="G143" s="159">
        <f t="shared" si="32"/>
        <v>0</v>
      </c>
      <c r="H143" s="163">
        <f t="shared" si="29"/>
        <v>0</v>
      </c>
      <c r="I143" s="253">
        <f t="shared" si="30"/>
        <v>0</v>
      </c>
      <c r="J143" s="158">
        <f t="shared" si="33"/>
        <v>0</v>
      </c>
      <c r="K143" s="158"/>
      <c r="L143" s="334"/>
      <c r="M143" s="158">
        <f t="shared" si="34"/>
        <v>0</v>
      </c>
      <c r="N143" s="334"/>
      <c r="O143" s="158">
        <f t="shared" si="35"/>
        <v>0</v>
      </c>
      <c r="P143" s="158">
        <f t="shared" si="36"/>
        <v>0</v>
      </c>
      <c r="Q143" s="1"/>
    </row>
    <row r="144" spans="2:17">
      <c r="B144" s="9" t="str">
        <f t="shared" si="24"/>
        <v/>
      </c>
      <c r="C144" s="153">
        <f>IF(D93="","-",+C143+1)</f>
        <v>2054</v>
      </c>
      <c r="D144" s="154">
        <f>IF(F143+SUM(E$99:E143)=D$92,F143,D$92-SUM(E$99:E143))</f>
        <v>0</v>
      </c>
      <c r="E144" s="160">
        <f>IF(+J96&lt;F143,J96,D144)</f>
        <v>0</v>
      </c>
      <c r="F144" s="159">
        <f t="shared" si="31"/>
        <v>0</v>
      </c>
      <c r="G144" s="159">
        <f t="shared" si="32"/>
        <v>0</v>
      </c>
      <c r="H144" s="163">
        <f t="shared" si="29"/>
        <v>0</v>
      </c>
      <c r="I144" s="253">
        <f t="shared" si="30"/>
        <v>0</v>
      </c>
      <c r="J144" s="158">
        <f t="shared" si="33"/>
        <v>0</v>
      </c>
      <c r="K144" s="158"/>
      <c r="L144" s="334"/>
      <c r="M144" s="158">
        <f t="shared" si="34"/>
        <v>0</v>
      </c>
      <c r="N144" s="334"/>
      <c r="O144" s="158">
        <f t="shared" si="35"/>
        <v>0</v>
      </c>
      <c r="P144" s="158">
        <f t="shared" si="36"/>
        <v>0</v>
      </c>
      <c r="Q144" s="1"/>
    </row>
    <row r="145" spans="2:17">
      <c r="B145" s="9" t="str">
        <f t="shared" si="24"/>
        <v/>
      </c>
      <c r="C145" s="153">
        <f>IF(D93="","-",+C144+1)</f>
        <v>2055</v>
      </c>
      <c r="D145" s="154">
        <f>IF(F144+SUM(E$99:E144)=D$92,F144,D$92-SUM(E$99:E144))</f>
        <v>0</v>
      </c>
      <c r="E145" s="160">
        <f>IF(+J96&lt;F144,J96,D145)</f>
        <v>0</v>
      </c>
      <c r="F145" s="159">
        <f t="shared" si="31"/>
        <v>0</v>
      </c>
      <c r="G145" s="159">
        <f t="shared" si="32"/>
        <v>0</v>
      </c>
      <c r="H145" s="163">
        <f t="shared" si="29"/>
        <v>0</v>
      </c>
      <c r="I145" s="253">
        <f t="shared" si="30"/>
        <v>0</v>
      </c>
      <c r="J145" s="158">
        <f t="shared" si="33"/>
        <v>0</v>
      </c>
      <c r="K145" s="158"/>
      <c r="L145" s="334"/>
      <c r="M145" s="158">
        <f t="shared" si="34"/>
        <v>0</v>
      </c>
      <c r="N145" s="334"/>
      <c r="O145" s="158">
        <f t="shared" si="35"/>
        <v>0</v>
      </c>
      <c r="P145" s="158">
        <f t="shared" si="36"/>
        <v>0</v>
      </c>
      <c r="Q145" s="1"/>
    </row>
    <row r="146" spans="2:17">
      <c r="B146" s="9" t="str">
        <f t="shared" si="24"/>
        <v/>
      </c>
      <c r="C146" s="153">
        <f>IF(D93="","-",+C145+1)</f>
        <v>2056</v>
      </c>
      <c r="D146" s="154">
        <f>IF(F145+SUM(E$99:E145)=D$92,F145,D$92-SUM(E$99:E145))</f>
        <v>0</v>
      </c>
      <c r="E146" s="160">
        <f>IF(+J96&lt;F145,J96,D146)</f>
        <v>0</v>
      </c>
      <c r="F146" s="159">
        <f t="shared" si="31"/>
        <v>0</v>
      </c>
      <c r="G146" s="159">
        <f t="shared" si="32"/>
        <v>0</v>
      </c>
      <c r="H146" s="163">
        <f t="shared" si="29"/>
        <v>0</v>
      </c>
      <c r="I146" s="253">
        <f t="shared" si="30"/>
        <v>0</v>
      </c>
      <c r="J146" s="158">
        <f t="shared" si="33"/>
        <v>0</v>
      </c>
      <c r="K146" s="158"/>
      <c r="L146" s="334"/>
      <c r="M146" s="158">
        <f t="shared" si="34"/>
        <v>0</v>
      </c>
      <c r="N146" s="334"/>
      <c r="O146" s="158">
        <f t="shared" si="35"/>
        <v>0</v>
      </c>
      <c r="P146" s="158">
        <f t="shared" si="36"/>
        <v>0</v>
      </c>
      <c r="Q146" s="1"/>
    </row>
    <row r="147" spans="2:17">
      <c r="B147" s="9" t="str">
        <f t="shared" si="24"/>
        <v/>
      </c>
      <c r="C147" s="153">
        <f>IF(D93="","-",+C146+1)</f>
        <v>2057</v>
      </c>
      <c r="D147" s="154">
        <f>IF(F146+SUM(E$99:E146)=D$92,F146,D$92-SUM(E$99:E146))</f>
        <v>0</v>
      </c>
      <c r="E147" s="160">
        <f>IF(+J96&lt;F146,J96,D147)</f>
        <v>0</v>
      </c>
      <c r="F147" s="159">
        <f t="shared" si="31"/>
        <v>0</v>
      </c>
      <c r="G147" s="159">
        <f t="shared" si="32"/>
        <v>0</v>
      </c>
      <c r="H147" s="163">
        <f t="shared" si="29"/>
        <v>0</v>
      </c>
      <c r="I147" s="253">
        <f t="shared" si="30"/>
        <v>0</v>
      </c>
      <c r="J147" s="158">
        <f t="shared" si="33"/>
        <v>0</v>
      </c>
      <c r="K147" s="158"/>
      <c r="L147" s="334"/>
      <c r="M147" s="158">
        <f t="shared" si="34"/>
        <v>0</v>
      </c>
      <c r="N147" s="334"/>
      <c r="O147" s="158">
        <f t="shared" si="35"/>
        <v>0</v>
      </c>
      <c r="P147" s="158">
        <f t="shared" si="36"/>
        <v>0</v>
      </c>
      <c r="Q147" s="1"/>
    </row>
    <row r="148" spans="2:17">
      <c r="B148" s="9" t="str">
        <f t="shared" si="24"/>
        <v/>
      </c>
      <c r="C148" s="153">
        <f>IF(D93="","-",+C147+1)</f>
        <v>2058</v>
      </c>
      <c r="D148" s="154">
        <f>IF(F147+SUM(E$99:E147)=D$92,F147,D$92-SUM(E$99:E147))</f>
        <v>0</v>
      </c>
      <c r="E148" s="160">
        <f>IF(+J96&lt;F147,J96,D148)</f>
        <v>0</v>
      </c>
      <c r="F148" s="159">
        <f t="shared" si="31"/>
        <v>0</v>
      </c>
      <c r="G148" s="159">
        <f t="shared" si="32"/>
        <v>0</v>
      </c>
      <c r="H148" s="163">
        <f t="shared" si="29"/>
        <v>0</v>
      </c>
      <c r="I148" s="253">
        <f t="shared" si="30"/>
        <v>0</v>
      </c>
      <c r="J148" s="158">
        <f t="shared" si="33"/>
        <v>0</v>
      </c>
      <c r="K148" s="158"/>
      <c r="L148" s="334"/>
      <c r="M148" s="158">
        <f t="shared" si="34"/>
        <v>0</v>
      </c>
      <c r="N148" s="334"/>
      <c r="O148" s="158">
        <f t="shared" si="35"/>
        <v>0</v>
      </c>
      <c r="P148" s="158">
        <f t="shared" si="36"/>
        <v>0</v>
      </c>
      <c r="Q148" s="1"/>
    </row>
    <row r="149" spans="2:17">
      <c r="B149" s="9" t="str">
        <f t="shared" si="24"/>
        <v/>
      </c>
      <c r="C149" s="153">
        <f>IF(D93="","-",+C148+1)</f>
        <v>2059</v>
      </c>
      <c r="D149" s="154">
        <f>IF(F148+SUM(E$99:E148)=D$92,F148,D$92-SUM(E$99:E148))</f>
        <v>0</v>
      </c>
      <c r="E149" s="160">
        <f>IF(+J96&lt;F148,J96,D149)</f>
        <v>0</v>
      </c>
      <c r="F149" s="159">
        <f t="shared" si="31"/>
        <v>0</v>
      </c>
      <c r="G149" s="159">
        <f t="shared" si="32"/>
        <v>0</v>
      </c>
      <c r="H149" s="163">
        <f t="shared" si="29"/>
        <v>0</v>
      </c>
      <c r="I149" s="253">
        <f t="shared" si="30"/>
        <v>0</v>
      </c>
      <c r="J149" s="158">
        <f t="shared" si="33"/>
        <v>0</v>
      </c>
      <c r="K149" s="158"/>
      <c r="L149" s="334"/>
      <c r="M149" s="158">
        <f t="shared" si="34"/>
        <v>0</v>
      </c>
      <c r="N149" s="334"/>
      <c r="O149" s="158">
        <f t="shared" si="35"/>
        <v>0</v>
      </c>
      <c r="P149" s="158">
        <f t="shared" si="36"/>
        <v>0</v>
      </c>
      <c r="Q149" s="1"/>
    </row>
    <row r="150" spans="2:17">
      <c r="B150" s="9" t="str">
        <f t="shared" si="24"/>
        <v/>
      </c>
      <c r="C150" s="153">
        <f>IF(D93="","-",+C149+1)</f>
        <v>2060</v>
      </c>
      <c r="D150" s="154">
        <f>IF(F149+SUM(E$99:E149)=D$92,F149,D$92-SUM(E$99:E149))</f>
        <v>0</v>
      </c>
      <c r="E150" s="160">
        <f>IF(+J96&lt;F149,J96,D150)</f>
        <v>0</v>
      </c>
      <c r="F150" s="159">
        <f t="shared" si="31"/>
        <v>0</v>
      </c>
      <c r="G150" s="159">
        <f t="shared" si="32"/>
        <v>0</v>
      </c>
      <c r="H150" s="163">
        <f t="shared" si="29"/>
        <v>0</v>
      </c>
      <c r="I150" s="253">
        <f t="shared" si="30"/>
        <v>0</v>
      </c>
      <c r="J150" s="158">
        <f t="shared" si="33"/>
        <v>0</v>
      </c>
      <c r="K150" s="158"/>
      <c r="L150" s="334"/>
      <c r="M150" s="158">
        <f t="shared" si="34"/>
        <v>0</v>
      </c>
      <c r="N150" s="334"/>
      <c r="O150" s="158">
        <f t="shared" si="35"/>
        <v>0</v>
      </c>
      <c r="P150" s="158">
        <f t="shared" si="36"/>
        <v>0</v>
      </c>
      <c r="Q150" s="1"/>
    </row>
    <row r="151" spans="2:17">
      <c r="B151" s="9" t="str">
        <f t="shared" si="24"/>
        <v/>
      </c>
      <c r="C151" s="153">
        <f>IF(D93="","-",+C150+1)</f>
        <v>2061</v>
      </c>
      <c r="D151" s="154">
        <f>IF(F150+SUM(E$99:E150)=D$92,F150,D$92-SUM(E$99:E150))</f>
        <v>0</v>
      </c>
      <c r="E151" s="160">
        <f>IF(+J96&lt;F150,J96,D151)</f>
        <v>0</v>
      </c>
      <c r="F151" s="159">
        <f t="shared" si="31"/>
        <v>0</v>
      </c>
      <c r="G151" s="159">
        <f t="shared" si="32"/>
        <v>0</v>
      </c>
      <c r="H151" s="163">
        <f t="shared" si="29"/>
        <v>0</v>
      </c>
      <c r="I151" s="253">
        <f t="shared" si="30"/>
        <v>0</v>
      </c>
      <c r="J151" s="158">
        <f t="shared" si="33"/>
        <v>0</v>
      </c>
      <c r="K151" s="158"/>
      <c r="L151" s="334"/>
      <c r="M151" s="158">
        <f t="shared" si="34"/>
        <v>0</v>
      </c>
      <c r="N151" s="334"/>
      <c r="O151" s="158">
        <f t="shared" si="35"/>
        <v>0</v>
      </c>
      <c r="P151" s="158">
        <f t="shared" si="36"/>
        <v>0</v>
      </c>
      <c r="Q151" s="1"/>
    </row>
    <row r="152" spans="2:17">
      <c r="B152" s="9" t="str">
        <f t="shared" si="24"/>
        <v/>
      </c>
      <c r="C152" s="153">
        <f>IF(D93="","-",+C151+1)</f>
        <v>2062</v>
      </c>
      <c r="D152" s="154">
        <f>IF(F151+SUM(E$99:E151)=D$92,F151,D$92-SUM(E$99:E151))</f>
        <v>0</v>
      </c>
      <c r="E152" s="160">
        <f>IF(+J96&lt;F151,J96,D152)</f>
        <v>0</v>
      </c>
      <c r="F152" s="159">
        <f t="shared" si="31"/>
        <v>0</v>
      </c>
      <c r="G152" s="159">
        <f t="shared" si="32"/>
        <v>0</v>
      </c>
      <c r="H152" s="163">
        <f t="shared" si="29"/>
        <v>0</v>
      </c>
      <c r="I152" s="253">
        <f t="shared" si="30"/>
        <v>0</v>
      </c>
      <c r="J152" s="158">
        <f t="shared" si="33"/>
        <v>0</v>
      </c>
      <c r="K152" s="158"/>
      <c r="L152" s="334"/>
      <c r="M152" s="158">
        <f t="shared" si="34"/>
        <v>0</v>
      </c>
      <c r="N152" s="334"/>
      <c r="O152" s="158">
        <f t="shared" si="35"/>
        <v>0</v>
      </c>
      <c r="P152" s="158">
        <f t="shared" si="36"/>
        <v>0</v>
      </c>
      <c r="Q152" s="1"/>
    </row>
    <row r="153" spans="2:17">
      <c r="B153" s="9" t="str">
        <f t="shared" si="24"/>
        <v/>
      </c>
      <c r="C153" s="153">
        <f>IF(D93="","-",+C152+1)</f>
        <v>2063</v>
      </c>
      <c r="D153" s="154">
        <f>IF(F152+SUM(E$99:E152)=D$92,F152,D$92-SUM(E$99:E152))</f>
        <v>0</v>
      </c>
      <c r="E153" s="160">
        <f>IF(+J96&lt;F152,J96,D153)</f>
        <v>0</v>
      </c>
      <c r="F153" s="159">
        <f t="shared" si="31"/>
        <v>0</v>
      </c>
      <c r="G153" s="159">
        <f t="shared" si="32"/>
        <v>0</v>
      </c>
      <c r="H153" s="163">
        <f t="shared" si="29"/>
        <v>0</v>
      </c>
      <c r="I153" s="253">
        <f t="shared" si="30"/>
        <v>0</v>
      </c>
      <c r="J153" s="158">
        <f t="shared" si="33"/>
        <v>0</v>
      </c>
      <c r="K153" s="158"/>
      <c r="L153" s="334"/>
      <c r="M153" s="158">
        <f t="shared" si="34"/>
        <v>0</v>
      </c>
      <c r="N153" s="334"/>
      <c r="O153" s="158">
        <f t="shared" si="35"/>
        <v>0</v>
      </c>
      <c r="P153" s="158">
        <f t="shared" si="36"/>
        <v>0</v>
      </c>
      <c r="Q153" s="1"/>
    </row>
    <row r="154" spans="2:17" ht="13.5" thickBot="1">
      <c r="B154" s="9" t="str">
        <f t="shared" si="24"/>
        <v/>
      </c>
      <c r="C154" s="164">
        <f>IF(D93="","-",+C153+1)</f>
        <v>2064</v>
      </c>
      <c r="D154" s="215">
        <f>IF(F153+SUM(E$99:E153)=D$92,F153,D$92-SUM(E$99:E153))</f>
        <v>0</v>
      </c>
      <c r="E154" s="166">
        <f>IF(+J96&lt;F153,J96,D154)</f>
        <v>0</v>
      </c>
      <c r="F154" s="165">
        <f t="shared" si="31"/>
        <v>0</v>
      </c>
      <c r="G154" s="165">
        <f t="shared" si="32"/>
        <v>0</v>
      </c>
      <c r="H154" s="167">
        <f t="shared" si="29"/>
        <v>0</v>
      </c>
      <c r="I154" s="254">
        <f t="shared" si="30"/>
        <v>0</v>
      </c>
      <c r="J154" s="169">
        <f t="shared" si="33"/>
        <v>0</v>
      </c>
      <c r="K154" s="158"/>
      <c r="L154" s="335"/>
      <c r="M154" s="169">
        <f t="shared" si="34"/>
        <v>0</v>
      </c>
      <c r="N154" s="335"/>
      <c r="O154" s="169">
        <f t="shared" si="35"/>
        <v>0</v>
      </c>
      <c r="P154" s="169">
        <f t="shared" si="36"/>
        <v>0</v>
      </c>
      <c r="Q154" s="1"/>
    </row>
    <row r="155" spans="2:17">
      <c r="C155" s="154" t="s">
        <v>73</v>
      </c>
      <c r="D155" s="111"/>
      <c r="E155" s="111">
        <f>SUM(E99:E154)</f>
        <v>77749.999999999956</v>
      </c>
      <c r="F155" s="111"/>
      <c r="G155" s="111"/>
      <c r="H155" s="111">
        <f>SUM(H99:H154)</f>
        <v>285939.17611386173</v>
      </c>
      <c r="I155" s="111">
        <f>SUM(I99:I154)</f>
        <v>285939.17611386173</v>
      </c>
      <c r="J155" s="111">
        <f>SUM(J99:J154)</f>
        <v>0</v>
      </c>
      <c r="K155" s="111"/>
      <c r="L155" s="111"/>
      <c r="M155" s="111"/>
      <c r="N155" s="111"/>
      <c r="O155" s="111"/>
      <c r="P155" s="1"/>
      <c r="Q155" s="1"/>
    </row>
    <row r="156" spans="2:17">
      <c r="D156" s="2"/>
      <c r="E156" s="1"/>
      <c r="F156" s="1"/>
      <c r="G156" s="1"/>
      <c r="H156" s="1"/>
      <c r="I156" s="3"/>
      <c r="J156" s="3"/>
      <c r="K156" s="111"/>
      <c r="L156" s="3"/>
      <c r="M156" s="3"/>
      <c r="N156" s="3"/>
      <c r="O156" s="3"/>
      <c r="P156" s="1"/>
      <c r="Q156" s="1"/>
    </row>
    <row r="157" spans="2:17">
      <c r="C157" s="216" t="s">
        <v>87</v>
      </c>
      <c r="D157" s="2"/>
      <c r="E157" s="1"/>
      <c r="F157" s="1"/>
      <c r="G157" s="1"/>
      <c r="H157" s="1"/>
      <c r="I157" s="3"/>
      <c r="J157" s="3"/>
      <c r="K157" s="111"/>
      <c r="L157" s="3"/>
      <c r="M157" s="3"/>
      <c r="N157" s="3"/>
      <c r="O157" s="3"/>
      <c r="P157" s="1"/>
      <c r="Q157" s="1"/>
    </row>
    <row r="158" spans="2:17">
      <c r="D158" s="2"/>
      <c r="E158" s="1"/>
      <c r="F158" s="1"/>
      <c r="G158" s="1"/>
      <c r="H158" s="1"/>
      <c r="I158" s="3"/>
      <c r="J158" s="3"/>
      <c r="K158" s="111"/>
      <c r="L158" s="3"/>
      <c r="M158" s="3"/>
      <c r="N158" s="3"/>
      <c r="O158" s="3"/>
      <c r="P158" s="1"/>
      <c r="Q158" s="1"/>
    </row>
    <row r="159" spans="2:17">
      <c r="C159" s="170" t="s">
        <v>92</v>
      </c>
      <c r="D159" s="154"/>
      <c r="E159" s="154"/>
      <c r="F159" s="154"/>
      <c r="G159" s="154"/>
      <c r="H159" s="111"/>
      <c r="I159" s="111"/>
      <c r="J159" s="171"/>
      <c r="K159" s="171"/>
      <c r="L159" s="171"/>
      <c r="M159" s="171"/>
      <c r="N159" s="171"/>
      <c r="O159" s="171"/>
      <c r="P159" s="1"/>
      <c r="Q159" s="1"/>
    </row>
    <row r="160" spans="2:17">
      <c r="C160" s="217" t="s">
        <v>74</v>
      </c>
      <c r="D160" s="154"/>
      <c r="E160" s="154"/>
      <c r="F160" s="154"/>
      <c r="G160" s="154"/>
      <c r="H160" s="111"/>
      <c r="I160" s="111"/>
      <c r="J160" s="171"/>
      <c r="K160" s="171"/>
      <c r="L160" s="171"/>
      <c r="M160" s="171"/>
      <c r="N160" s="171"/>
      <c r="O160" s="171"/>
      <c r="P160" s="1"/>
      <c r="Q160" s="1"/>
    </row>
    <row r="161" spans="3:17">
      <c r="C161" s="217" t="s">
        <v>75</v>
      </c>
      <c r="D161" s="154"/>
      <c r="E161" s="154"/>
      <c r="F161" s="154"/>
      <c r="G161" s="154"/>
      <c r="H161" s="111"/>
      <c r="I161" s="111"/>
      <c r="J161" s="171"/>
      <c r="K161" s="171"/>
      <c r="L161" s="171"/>
      <c r="M161" s="171"/>
      <c r="N161" s="171"/>
      <c r="O161" s="171"/>
      <c r="P161" s="1"/>
      <c r="Q161" s="1"/>
    </row>
    <row r="162" spans="3:17" ht="18">
      <c r="C162" s="217"/>
      <c r="D162" s="154"/>
      <c r="E162" s="154"/>
      <c r="F162" s="154"/>
      <c r="G162" s="154"/>
      <c r="H162" s="111"/>
      <c r="I162" s="111"/>
      <c r="J162" s="171"/>
      <c r="K162" s="171"/>
      <c r="L162" s="171"/>
      <c r="M162" s="171"/>
      <c r="N162" s="171"/>
      <c r="P162" s="237" t="s">
        <v>126</v>
      </c>
      <c r="Q162" s="1"/>
    </row>
  </sheetData>
  <phoneticPr fontId="0" type="noConversion"/>
  <conditionalFormatting sqref="C17:C72">
    <cfRule type="cellIs" dxfId="151" priority="1" stopIfTrue="1" operator="equal">
      <formula>$I$10</formula>
    </cfRule>
  </conditionalFormatting>
  <conditionalFormatting sqref="C99:C154">
    <cfRule type="cellIs" dxfId="150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6"/>
  <dimension ref="A1:Q162"/>
  <sheetViews>
    <sheetView view="pageBreakPreview" topLeftCell="A4" zoomScale="89" zoomScaleNormal="100" zoomScaleSheetLayoutView="89" workbookViewId="0">
      <selection activeCell="C19" sqref="C19"/>
    </sheetView>
  </sheetViews>
  <sheetFormatPr defaultRowHeight="12.75" customHeight="1"/>
  <cols>
    <col min="1" max="1" width="4.7109375" customWidth="1"/>
    <col min="2" max="2" width="6.7109375" customWidth="1"/>
    <col min="3" max="3" width="23.28515625" customWidth="1"/>
    <col min="4" max="8" width="17.7109375" customWidth="1"/>
    <col min="9" max="9" width="20.42578125" customWidth="1"/>
    <col min="10" max="10" width="20.28515625" customWidth="1"/>
    <col min="11" max="11" width="17.7109375" customWidth="1"/>
    <col min="12" max="12" width="16.140625" customWidth="1"/>
    <col min="13" max="13" width="17.7109375" customWidth="1"/>
    <col min="14" max="14" width="16.140625" customWidth="1"/>
    <col min="15" max="15" width="16.85546875" customWidth="1"/>
    <col min="16" max="16" width="24.42578125" customWidth="1"/>
    <col min="17" max="17" width="4.7109375" customWidth="1"/>
    <col min="23" max="23" width="9.140625" customWidth="1"/>
  </cols>
  <sheetData>
    <row r="1" spans="1:17" ht="20.25">
      <c r="A1" s="243" t="s">
        <v>128</v>
      </c>
      <c r="B1" s="1"/>
      <c r="C1" s="21"/>
      <c r="D1" s="2"/>
      <c r="E1" s="1"/>
      <c r="F1" s="99"/>
      <c r="G1" s="1"/>
      <c r="H1" s="3"/>
      <c r="J1" s="7"/>
      <c r="K1" s="109"/>
      <c r="L1" s="109"/>
      <c r="M1" s="109"/>
      <c r="P1" s="249" t="str">
        <f ca="1">"SWEPCO Project "&amp;RIGHT(MID(CELL("filename",$A$1),FIND("]",CELL("filename",$A$1))+1,256),1)&amp;" of "&amp;COUNT('S.001:S.xyz - blank'!$P$3)-1</f>
        <v>SWEPCO Project 8 of 73</v>
      </c>
      <c r="Q1" s="108"/>
    </row>
    <row r="2" spans="1:17" ht="18">
      <c r="B2" s="1"/>
      <c r="C2" s="1"/>
      <c r="D2" s="2"/>
      <c r="E2" s="1"/>
      <c r="F2" s="1"/>
      <c r="G2" s="1"/>
      <c r="H2" s="3"/>
      <c r="I2" s="1"/>
      <c r="J2" s="4"/>
      <c r="K2" s="1"/>
      <c r="L2" s="1"/>
      <c r="M2" s="1"/>
      <c r="N2" s="1"/>
      <c r="P2" s="237" t="s">
        <v>124</v>
      </c>
    </row>
    <row r="3" spans="1:17" ht="18.75">
      <c r="B3" s="5" t="s">
        <v>40</v>
      </c>
      <c r="C3" s="68" t="s">
        <v>41</v>
      </c>
      <c r="D3" s="2"/>
      <c r="E3" s="1"/>
      <c r="F3" s="1"/>
      <c r="G3" s="1"/>
      <c r="H3" s="3"/>
      <c r="I3" s="3"/>
      <c r="J3" s="111"/>
      <c r="K3" s="3"/>
      <c r="L3" s="3"/>
      <c r="M3" s="3"/>
      <c r="N3" s="3"/>
      <c r="O3" s="1" t="str">
        <f>RIGHT(N3,3)</f>
        <v/>
      </c>
      <c r="P3" s="239">
        <v>1</v>
      </c>
    </row>
    <row r="4" spans="1:17" ht="15.75" thickBot="1">
      <c r="C4" s="67"/>
      <c r="D4" s="2"/>
      <c r="E4" s="1"/>
      <c r="F4" s="1"/>
      <c r="G4" s="1"/>
      <c r="H4" s="3"/>
      <c r="I4" s="3"/>
      <c r="J4" s="111"/>
      <c r="K4" s="3"/>
      <c r="L4" s="3"/>
      <c r="M4" s="3"/>
      <c r="N4" s="3"/>
      <c r="O4" s="1"/>
      <c r="P4" s="1"/>
    </row>
    <row r="5" spans="1:17" ht="15">
      <c r="C5" s="112" t="s">
        <v>42</v>
      </c>
      <c r="D5" s="2"/>
      <c r="E5" s="1"/>
      <c r="F5" s="1"/>
      <c r="G5" s="113"/>
      <c r="H5" s="1" t="s">
        <v>43</v>
      </c>
      <c r="I5" s="1"/>
      <c r="J5" s="4"/>
      <c r="K5" s="268" t="s">
        <v>152</v>
      </c>
      <c r="L5" s="114"/>
      <c r="M5" s="115"/>
      <c r="N5" s="116">
        <f>VLOOKUP(I10,C17:I72,5)</f>
        <v>934478.91102478898</v>
      </c>
      <c r="P5" s="1"/>
    </row>
    <row r="6" spans="1:17" ht="15.75">
      <c r="C6" s="8"/>
      <c r="D6" s="2"/>
      <c r="E6" s="1"/>
      <c r="F6" s="1"/>
      <c r="G6" s="1"/>
      <c r="H6" s="117"/>
      <c r="I6" s="117"/>
      <c r="J6" s="118"/>
      <c r="K6" s="269" t="s">
        <v>153</v>
      </c>
      <c r="L6" s="119"/>
      <c r="M6" s="4"/>
      <c r="N6" s="120">
        <f>VLOOKUP(I10,C17:I72,6)</f>
        <v>934478.91102478898</v>
      </c>
      <c r="O6" s="1"/>
      <c r="P6" s="1"/>
    </row>
    <row r="7" spans="1:17" ht="13.5" thickBot="1">
      <c r="C7" s="121" t="s">
        <v>44</v>
      </c>
      <c r="D7" s="273" t="s">
        <v>222</v>
      </c>
      <c r="E7" s="1"/>
      <c r="F7" s="1"/>
      <c r="G7" s="1"/>
      <c r="H7" s="3"/>
      <c r="I7" s="3"/>
      <c r="J7" s="111"/>
      <c r="K7" s="122" t="s">
        <v>45</v>
      </c>
      <c r="L7" s="123"/>
      <c r="M7" s="123"/>
      <c r="N7" s="124">
        <f>+N6-N5</f>
        <v>0</v>
      </c>
      <c r="O7" s="1"/>
      <c r="P7" s="1"/>
    </row>
    <row r="8" spans="1:17" ht="13.5" thickBot="1">
      <c r="C8" s="125"/>
      <c r="D8" s="247" t="str">
        <f>IF(D10&lt;100000,"DOES NOT MEET SPP $100,000 MINIMUM INVESTMENT FOR REGIONAL BPU SHARING.","")</f>
        <v/>
      </c>
      <c r="E8" s="126"/>
      <c r="F8" s="126"/>
      <c r="G8" s="126"/>
      <c r="H8" s="126"/>
      <c r="I8" s="126"/>
      <c r="J8" s="101"/>
      <c r="K8" s="126"/>
      <c r="L8" s="126"/>
      <c r="M8" s="126"/>
      <c r="N8" s="126"/>
      <c r="O8" s="101"/>
      <c r="P8" s="21"/>
    </row>
    <row r="9" spans="1:17" ht="13.5" thickBot="1">
      <c r="A9" s="103"/>
      <c r="C9" s="127" t="s">
        <v>46</v>
      </c>
      <c r="D9" s="225" t="s">
        <v>142</v>
      </c>
      <c r="E9" s="401" t="s">
        <v>402</v>
      </c>
      <c r="F9" s="128"/>
      <c r="G9" s="128"/>
      <c r="H9" s="128"/>
      <c r="I9" s="129"/>
      <c r="J9" s="130"/>
      <c r="O9" s="131"/>
      <c r="P9" s="4"/>
    </row>
    <row r="10" spans="1:17">
      <c r="C10" s="132" t="s">
        <v>47</v>
      </c>
      <c r="D10" s="133">
        <v>9655697</v>
      </c>
      <c r="E10" s="61" t="s">
        <v>459</v>
      </c>
      <c r="F10" s="131"/>
      <c r="G10" s="134"/>
      <c r="H10" s="134"/>
      <c r="I10" s="135">
        <f>+SWE.WS.F.BPU.ATRR.Projected!K17</f>
        <v>2019</v>
      </c>
      <c r="J10" s="130"/>
      <c r="K10" s="111" t="s">
        <v>48</v>
      </c>
      <c r="O10" s="4"/>
      <c r="P10" s="4"/>
    </row>
    <row r="11" spans="1:17">
      <c r="C11" s="136" t="s">
        <v>49</v>
      </c>
      <c r="D11" s="137">
        <v>2008</v>
      </c>
      <c r="E11" s="136" t="s">
        <v>50</v>
      </c>
      <c r="F11" s="134"/>
      <c r="G11" s="7"/>
      <c r="H11" s="7"/>
      <c r="I11" s="138">
        <v>0</v>
      </c>
      <c r="J11" s="139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4"/>
      <c r="P11" s="4"/>
    </row>
    <row r="12" spans="1:17">
      <c r="C12" s="136" t="s">
        <v>51</v>
      </c>
      <c r="D12" s="133">
        <v>7</v>
      </c>
      <c r="E12" s="136" t="s">
        <v>52</v>
      </c>
      <c r="F12" s="134"/>
      <c r="G12" s="7"/>
      <c r="H12" s="7"/>
      <c r="I12" s="140">
        <f>SWE.WS.F.BPU.ATRR.Projected!$F$76</f>
        <v>9.9555672459071778E-2</v>
      </c>
      <c r="J12" s="141"/>
      <c r="K12" t="s">
        <v>53</v>
      </c>
      <c r="O12" s="4"/>
      <c r="P12" s="4"/>
    </row>
    <row r="13" spans="1:17">
      <c r="C13" s="136" t="s">
        <v>54</v>
      </c>
      <c r="D13" s="138">
        <f>+SWE.WS.F.BPU.ATRR.Projected!F$87</f>
        <v>43</v>
      </c>
      <c r="E13" s="136" t="s">
        <v>55</v>
      </c>
      <c r="F13" s="134"/>
      <c r="G13" s="7"/>
      <c r="H13" s="7"/>
      <c r="I13" s="140">
        <f>IF(G5="",I12,SWE.WS.F.BPU.ATRR.Projected!$F$75)</f>
        <v>9.9555672459071778E-2</v>
      </c>
      <c r="J13" s="141"/>
      <c r="K13" s="111" t="s">
        <v>56</v>
      </c>
      <c r="L13" s="58"/>
      <c r="M13" s="58"/>
      <c r="N13" s="58"/>
      <c r="O13" s="4"/>
      <c r="P13" s="4"/>
    </row>
    <row r="14" spans="1:17" ht="13.5" thickBot="1">
      <c r="C14" s="136" t="s">
        <v>57</v>
      </c>
      <c r="D14" s="137" t="s">
        <v>58</v>
      </c>
      <c r="E14" s="4" t="s">
        <v>59</v>
      </c>
      <c r="F14" s="134"/>
      <c r="G14" s="7"/>
      <c r="H14" s="7"/>
      <c r="I14" s="142">
        <f>IF(D10=0,0,D10/D13)</f>
        <v>224551.09302325582</v>
      </c>
      <c r="J14" s="111"/>
      <c r="K14" s="111"/>
      <c r="L14" s="111"/>
      <c r="M14" s="111"/>
      <c r="N14" s="111"/>
      <c r="O14" s="4"/>
      <c r="P14" s="4"/>
    </row>
    <row r="15" spans="1:17" ht="38.25">
      <c r="C15" s="143" t="s">
        <v>47</v>
      </c>
      <c r="D15" s="144" t="s">
        <v>60</v>
      </c>
      <c r="E15" s="144" t="s">
        <v>61</v>
      </c>
      <c r="F15" s="144" t="s">
        <v>62</v>
      </c>
      <c r="G15" s="434" t="s">
        <v>378</v>
      </c>
      <c r="H15" s="435" t="s">
        <v>379</v>
      </c>
      <c r="I15" s="351" t="s">
        <v>249</v>
      </c>
      <c r="J15" s="145"/>
      <c r="K15" s="271" t="s">
        <v>219</v>
      </c>
      <c r="L15" s="146" t="s">
        <v>64</v>
      </c>
      <c r="M15" s="271" t="s">
        <v>219</v>
      </c>
      <c r="N15" s="146" t="s">
        <v>64</v>
      </c>
      <c r="O15" s="146" t="s">
        <v>65</v>
      </c>
      <c r="P15" s="4"/>
    </row>
    <row r="16" spans="1:17" ht="13.5" thickBot="1">
      <c r="C16" s="147" t="s">
        <v>66</v>
      </c>
      <c r="D16" s="147" t="s">
        <v>67</v>
      </c>
      <c r="E16" s="147" t="s">
        <v>68</v>
      </c>
      <c r="F16" s="147" t="s">
        <v>67</v>
      </c>
      <c r="G16" s="408" t="s">
        <v>69</v>
      </c>
      <c r="H16" s="148">
        <v>1708278</v>
      </c>
      <c r="I16" s="149" t="s">
        <v>89</v>
      </c>
      <c r="J16" s="150" t="s">
        <v>71</v>
      </c>
      <c r="K16" s="151" t="s">
        <v>72</v>
      </c>
      <c r="L16" s="151" t="s">
        <v>72</v>
      </c>
      <c r="M16" s="151" t="s">
        <v>90</v>
      </c>
      <c r="N16" s="152" t="s">
        <v>90</v>
      </c>
      <c r="O16" s="151" t="s">
        <v>90</v>
      </c>
      <c r="P16" s="4"/>
    </row>
    <row r="17" spans="2:16">
      <c r="C17" s="153">
        <f>IF(D11= "","-",D11)</f>
        <v>2008</v>
      </c>
      <c r="D17" s="357">
        <v>16763318</v>
      </c>
      <c r="E17" s="358">
        <v>226531</v>
      </c>
      <c r="F17" s="357">
        <v>16536787</v>
      </c>
      <c r="G17" s="358">
        <v>1708278</v>
      </c>
      <c r="H17" s="359">
        <v>1708278</v>
      </c>
      <c r="I17" s="398">
        <f t="shared" ref="I17:I48" si="0">H17-G17</f>
        <v>0</v>
      </c>
      <c r="J17" s="156"/>
      <c r="K17" s="256">
        <v>1708278</v>
      </c>
      <c r="L17" s="157">
        <f t="shared" ref="L17:L48" si="1">IF(K17&lt;&gt;0,+G17-K17,0)</f>
        <v>0</v>
      </c>
      <c r="M17" s="256">
        <f>K17</f>
        <v>1708278</v>
      </c>
      <c r="N17" s="157">
        <f t="shared" ref="N17:N48" si="2">IF(M17&lt;&gt;0,+H17-M17,0)</f>
        <v>0</v>
      </c>
      <c r="O17" s="158">
        <f t="shared" ref="O17:O48" si="3">+N17-L17</f>
        <v>0</v>
      </c>
      <c r="P17" s="4"/>
    </row>
    <row r="18" spans="2:16">
      <c r="B18" s="9" t="str">
        <f>IF(D18=F17,"","IU")</f>
        <v>IU</v>
      </c>
      <c r="C18" s="153">
        <f>IF(D11="","-",+C17+1)</f>
        <v>2009</v>
      </c>
      <c r="D18" s="361">
        <v>6302584</v>
      </c>
      <c r="E18" s="360">
        <v>172280</v>
      </c>
      <c r="F18" s="361">
        <v>6130304</v>
      </c>
      <c r="G18" s="360">
        <v>1111825</v>
      </c>
      <c r="H18" s="359">
        <v>1111825</v>
      </c>
      <c r="I18" s="398">
        <f t="shared" si="0"/>
        <v>0</v>
      </c>
      <c r="J18" s="156"/>
      <c r="K18" s="258">
        <v>1111825</v>
      </c>
      <c r="L18" s="158">
        <f t="shared" si="1"/>
        <v>0</v>
      </c>
      <c r="M18" s="258">
        <v>1111825</v>
      </c>
      <c r="N18" s="158">
        <f t="shared" si="2"/>
        <v>0</v>
      </c>
      <c r="O18" s="158">
        <f t="shared" si="3"/>
        <v>0</v>
      </c>
      <c r="P18" s="4"/>
    </row>
    <row r="19" spans="2:16">
      <c r="B19" s="9" t="str">
        <f>IF(D19=F18,"","IU")</f>
        <v>IU</v>
      </c>
      <c r="C19" s="153">
        <f>IF(D11="","-",+C18+1)</f>
        <v>2010</v>
      </c>
      <c r="D19" s="361">
        <v>6007971</v>
      </c>
      <c r="E19" s="360">
        <v>168599</v>
      </c>
      <c r="F19" s="361">
        <v>5839371</v>
      </c>
      <c r="G19" s="360">
        <v>1008096</v>
      </c>
      <c r="H19" s="359">
        <v>1008096</v>
      </c>
      <c r="I19" s="368">
        <v>0</v>
      </c>
      <c r="J19" s="156"/>
      <c r="K19" s="258">
        <f t="shared" ref="K19:K24" si="4">G19</f>
        <v>1008096</v>
      </c>
      <c r="L19" s="257">
        <f t="shared" si="1"/>
        <v>0</v>
      </c>
      <c r="M19" s="258">
        <f t="shared" ref="M19:M24" si="5">H19</f>
        <v>1008096</v>
      </c>
      <c r="N19" s="158">
        <f t="shared" si="2"/>
        <v>0</v>
      </c>
      <c r="O19" s="158">
        <f t="shared" si="3"/>
        <v>0</v>
      </c>
      <c r="P19" s="4"/>
    </row>
    <row r="20" spans="2:16">
      <c r="B20" s="9" t="str">
        <f t="shared" ref="B20:B72" si="6">IF(D20=F19,"","IU")</f>
        <v>IU</v>
      </c>
      <c r="C20" s="153">
        <f>IF(D11="","-",+C19+1)</f>
        <v>2011</v>
      </c>
      <c r="D20" s="361">
        <v>9088287</v>
      </c>
      <c r="E20" s="360">
        <v>235504.80487804877</v>
      </c>
      <c r="F20" s="361">
        <v>8852782.1951219514</v>
      </c>
      <c r="G20" s="360">
        <v>1618240.1938879332</v>
      </c>
      <c r="H20" s="359">
        <v>1618240.1938879332</v>
      </c>
      <c r="I20" s="368">
        <v>0</v>
      </c>
      <c r="J20" s="156"/>
      <c r="K20" s="258">
        <f t="shared" si="4"/>
        <v>1618240.1938879332</v>
      </c>
      <c r="L20" s="257">
        <f t="shared" si="1"/>
        <v>0</v>
      </c>
      <c r="M20" s="258">
        <f t="shared" si="5"/>
        <v>1618240.1938879332</v>
      </c>
      <c r="N20" s="158">
        <f t="shared" si="2"/>
        <v>0</v>
      </c>
      <c r="O20" s="158">
        <f t="shared" si="3"/>
        <v>0</v>
      </c>
      <c r="P20" s="4"/>
    </row>
    <row r="21" spans="2:16">
      <c r="B21" s="9" t="str">
        <f t="shared" si="6"/>
        <v/>
      </c>
      <c r="C21" s="153">
        <f>IF(D12="","-",+C20+1)</f>
        <v>2012</v>
      </c>
      <c r="D21" s="361">
        <v>8852782.1951219514</v>
      </c>
      <c r="E21" s="377">
        <v>229897.54761904763</v>
      </c>
      <c r="F21" s="361">
        <v>8622884.6475029029</v>
      </c>
      <c r="G21" s="360">
        <v>1512294.1601805561</v>
      </c>
      <c r="H21" s="359">
        <v>1512294.1601805561</v>
      </c>
      <c r="I21" s="368">
        <v>0</v>
      </c>
      <c r="J21" s="156"/>
      <c r="K21" s="258">
        <f t="shared" si="4"/>
        <v>1512294.1601805561</v>
      </c>
      <c r="L21" s="257">
        <f t="shared" si="1"/>
        <v>0</v>
      </c>
      <c r="M21" s="258">
        <f t="shared" si="5"/>
        <v>1512294.1601805561</v>
      </c>
      <c r="N21" s="158">
        <f t="shared" si="2"/>
        <v>0</v>
      </c>
      <c r="O21" s="158">
        <f t="shared" si="3"/>
        <v>0</v>
      </c>
      <c r="P21" s="4"/>
    </row>
    <row r="22" spans="2:16">
      <c r="B22" s="9" t="str">
        <f t="shared" si="6"/>
        <v/>
      </c>
      <c r="C22" s="153">
        <f>IF(D11="","-",+C21+1)</f>
        <v>2013</v>
      </c>
      <c r="D22" s="396">
        <v>8622884.6475029029</v>
      </c>
      <c r="E22" s="397">
        <v>229897.54761904763</v>
      </c>
      <c r="F22" s="396">
        <v>8392987.0998838544</v>
      </c>
      <c r="G22" s="397">
        <v>1404807.3216316376</v>
      </c>
      <c r="H22" s="395">
        <v>1404807.3216316376</v>
      </c>
      <c r="I22" s="398">
        <v>0</v>
      </c>
      <c r="J22" s="156"/>
      <c r="K22" s="258">
        <f t="shared" si="4"/>
        <v>1404807.3216316376</v>
      </c>
      <c r="L22" s="257">
        <f t="shared" ref="L22:L27" si="7">IF(K22&lt;&gt;0,+G22-K22,0)</f>
        <v>0</v>
      </c>
      <c r="M22" s="258">
        <f t="shared" si="5"/>
        <v>1404807.3216316376</v>
      </c>
      <c r="N22" s="158">
        <f t="shared" ref="N22:N27" si="8">IF(M22&lt;&gt;0,+H22-M22,0)</f>
        <v>0</v>
      </c>
      <c r="O22" s="158">
        <f t="shared" ref="O22:O27" si="9">+N22-L22</f>
        <v>0</v>
      </c>
      <c r="P22" s="4"/>
    </row>
    <row r="23" spans="2:16">
      <c r="B23" s="9" t="str">
        <f t="shared" si="6"/>
        <v/>
      </c>
      <c r="C23" s="153">
        <f>IF(D11="","-",+C22+1)</f>
        <v>2014</v>
      </c>
      <c r="D23" s="396">
        <v>8392987.0998838544</v>
      </c>
      <c r="E23" s="397">
        <v>229897.54761904763</v>
      </c>
      <c r="F23" s="396">
        <v>8163089.5522648068</v>
      </c>
      <c r="G23" s="397">
        <v>1331184.1080053137</v>
      </c>
      <c r="H23" s="395">
        <v>1331184.1080053137</v>
      </c>
      <c r="I23" s="398">
        <v>0</v>
      </c>
      <c r="J23" s="156"/>
      <c r="K23" s="258">
        <f t="shared" si="4"/>
        <v>1331184.1080053137</v>
      </c>
      <c r="L23" s="257">
        <f t="shared" si="7"/>
        <v>0</v>
      </c>
      <c r="M23" s="258">
        <f t="shared" si="5"/>
        <v>1331184.1080053137</v>
      </c>
      <c r="N23" s="158">
        <f t="shared" si="8"/>
        <v>0</v>
      </c>
      <c r="O23" s="158">
        <f t="shared" si="9"/>
        <v>0</v>
      </c>
      <c r="P23" s="4"/>
    </row>
    <row r="24" spans="2:16">
      <c r="B24" s="9" t="str">
        <f t="shared" si="6"/>
        <v/>
      </c>
      <c r="C24" s="153">
        <f>IF(D11="","-",+C23+1)</f>
        <v>2015</v>
      </c>
      <c r="D24" s="396">
        <v>8163089.5522648068</v>
      </c>
      <c r="E24" s="397">
        <v>229897.54761904763</v>
      </c>
      <c r="F24" s="396">
        <v>7933192.0046457592</v>
      </c>
      <c r="G24" s="397">
        <v>1274737.0216882618</v>
      </c>
      <c r="H24" s="395">
        <v>1274737.0216882618</v>
      </c>
      <c r="I24" s="156">
        <v>0</v>
      </c>
      <c r="J24" s="156"/>
      <c r="K24" s="258">
        <f t="shared" si="4"/>
        <v>1274737.0216882618</v>
      </c>
      <c r="L24" s="257">
        <f t="shared" si="7"/>
        <v>0</v>
      </c>
      <c r="M24" s="258">
        <f t="shared" si="5"/>
        <v>1274737.0216882618</v>
      </c>
      <c r="N24" s="158">
        <f t="shared" si="8"/>
        <v>0</v>
      </c>
      <c r="O24" s="158">
        <f t="shared" si="9"/>
        <v>0</v>
      </c>
      <c r="P24" s="4"/>
    </row>
    <row r="25" spans="2:16">
      <c r="B25" s="9" t="str">
        <f t="shared" si="6"/>
        <v/>
      </c>
      <c r="C25" s="153">
        <f>IF(D11="","-",+C24+1)</f>
        <v>2016</v>
      </c>
      <c r="D25" s="396">
        <v>7933192.0046457592</v>
      </c>
      <c r="E25" s="397">
        <v>229897.54761904763</v>
      </c>
      <c r="F25" s="396">
        <v>7703294.4570267117</v>
      </c>
      <c r="G25" s="397">
        <v>1231941.898152455</v>
      </c>
      <c r="H25" s="395">
        <v>1231941.898152455</v>
      </c>
      <c r="I25" s="156">
        <f t="shared" si="0"/>
        <v>0</v>
      </c>
      <c r="J25" s="156"/>
      <c r="K25" s="258">
        <f>G25</f>
        <v>1231941.898152455</v>
      </c>
      <c r="L25" s="257">
        <f t="shared" si="7"/>
        <v>0</v>
      </c>
      <c r="M25" s="258">
        <f>H25</f>
        <v>1231941.898152455</v>
      </c>
      <c r="N25" s="158">
        <f t="shared" si="8"/>
        <v>0</v>
      </c>
      <c r="O25" s="158">
        <f t="shared" si="9"/>
        <v>0</v>
      </c>
      <c r="P25" s="4"/>
    </row>
    <row r="26" spans="2:16">
      <c r="B26" s="9" t="str">
        <f t="shared" si="6"/>
        <v/>
      </c>
      <c r="C26" s="153">
        <f>IF(D11="","-",+C25+1)</f>
        <v>2017</v>
      </c>
      <c r="D26" s="396">
        <v>7703294.4570267117</v>
      </c>
      <c r="E26" s="397">
        <v>224551.09302325582</v>
      </c>
      <c r="F26" s="396">
        <v>7478743.3640034562</v>
      </c>
      <c r="G26" s="397">
        <v>1165021.6585770869</v>
      </c>
      <c r="H26" s="395">
        <v>1165021.6585770869</v>
      </c>
      <c r="I26" s="156">
        <v>0</v>
      </c>
      <c r="J26" s="156"/>
      <c r="K26" s="258">
        <f>G26</f>
        <v>1165021.6585770869</v>
      </c>
      <c r="L26" s="257">
        <f t="shared" si="7"/>
        <v>0</v>
      </c>
      <c r="M26" s="258">
        <f>H26</f>
        <v>1165021.6585770869</v>
      </c>
      <c r="N26" s="158">
        <f t="shared" si="8"/>
        <v>0</v>
      </c>
      <c r="O26" s="158">
        <f t="shared" si="9"/>
        <v>0</v>
      </c>
      <c r="P26" s="4"/>
    </row>
    <row r="27" spans="2:16">
      <c r="B27" s="9" t="str">
        <f t="shared" si="6"/>
        <v/>
      </c>
      <c r="C27" s="153">
        <f>IF(D11="","-",+C26+1)</f>
        <v>2018</v>
      </c>
      <c r="D27" s="396">
        <v>7478743.3640034562</v>
      </c>
      <c r="E27" s="397">
        <v>235504.80487804877</v>
      </c>
      <c r="F27" s="396">
        <v>7243238.5591254076</v>
      </c>
      <c r="G27" s="397">
        <v>1059083.4637145936</v>
      </c>
      <c r="H27" s="395">
        <v>1059083.4637145936</v>
      </c>
      <c r="I27" s="156">
        <f t="shared" si="0"/>
        <v>0</v>
      </c>
      <c r="J27" s="156"/>
      <c r="K27" s="258">
        <f>G27</f>
        <v>1059083.4637145936</v>
      </c>
      <c r="L27" s="257">
        <f t="shared" si="7"/>
        <v>0</v>
      </c>
      <c r="M27" s="258">
        <f>H27</f>
        <v>1059083.4637145936</v>
      </c>
      <c r="N27" s="158">
        <f t="shared" si="8"/>
        <v>0</v>
      </c>
      <c r="O27" s="158">
        <f t="shared" si="9"/>
        <v>0</v>
      </c>
      <c r="P27" s="4"/>
    </row>
    <row r="28" spans="2:16">
      <c r="B28" s="9" t="str">
        <f t="shared" si="6"/>
        <v/>
      </c>
      <c r="C28" s="153">
        <f>IF(D11="","-",+C27+1)</f>
        <v>2019</v>
      </c>
      <c r="D28" s="159">
        <f>IF(F27+SUM(E$17:E27)=D$10,F27,D$10-SUM(E$17:E27))</f>
        <v>7243238.5591254076</v>
      </c>
      <c r="E28" s="160">
        <f>IF(+I14&lt;F27,I14,D28)</f>
        <v>224551.09302325582</v>
      </c>
      <c r="F28" s="159">
        <f t="shared" ref="F28:F48" si="10">+D28-E28</f>
        <v>7018687.4661021521</v>
      </c>
      <c r="G28" s="161">
        <f t="shared" ref="G28:G72" si="11">+I$12*((D28+F28)/2)+E28</f>
        <v>934478.91102478898</v>
      </c>
      <c r="H28" s="142">
        <f t="shared" ref="H28:H72" si="12">+I$13*((D28+F28)/2)+E28</f>
        <v>934478.91102478898</v>
      </c>
      <c r="I28" s="156">
        <f t="shared" si="0"/>
        <v>0</v>
      </c>
      <c r="J28" s="156"/>
      <c r="K28" s="334"/>
      <c r="L28" s="158">
        <f t="shared" si="1"/>
        <v>0</v>
      </c>
      <c r="M28" s="334"/>
      <c r="N28" s="158">
        <f t="shared" si="2"/>
        <v>0</v>
      </c>
      <c r="O28" s="158">
        <f t="shared" si="3"/>
        <v>0</v>
      </c>
      <c r="P28" s="4"/>
    </row>
    <row r="29" spans="2:16">
      <c r="B29" s="9" t="str">
        <f t="shared" si="6"/>
        <v/>
      </c>
      <c r="C29" s="153">
        <f>IF(D11="","-",+C28+1)</f>
        <v>2020</v>
      </c>
      <c r="D29" s="159">
        <f>IF(F28+SUM(E$17:E28)=D$10,F28,D$10-SUM(E$17:E28))</f>
        <v>7018687.4661021521</v>
      </c>
      <c r="E29" s="160">
        <f>IF(+I14&lt;F28,I14,D29)</f>
        <v>224551.09302325582</v>
      </c>
      <c r="F29" s="159">
        <f t="shared" si="10"/>
        <v>6794136.3730788967</v>
      </c>
      <c r="G29" s="161">
        <f t="shared" si="11"/>
        <v>912123.57595743926</v>
      </c>
      <c r="H29" s="142">
        <f t="shared" si="12"/>
        <v>912123.57595743926</v>
      </c>
      <c r="I29" s="156">
        <f t="shared" si="0"/>
        <v>0</v>
      </c>
      <c r="J29" s="156"/>
      <c r="K29" s="334"/>
      <c r="L29" s="158">
        <f t="shared" si="1"/>
        <v>0</v>
      </c>
      <c r="M29" s="334"/>
      <c r="N29" s="158">
        <f t="shared" si="2"/>
        <v>0</v>
      </c>
      <c r="O29" s="158">
        <f t="shared" si="3"/>
        <v>0</v>
      </c>
      <c r="P29" s="4"/>
    </row>
    <row r="30" spans="2:16">
      <c r="B30" s="9" t="str">
        <f t="shared" si="6"/>
        <v/>
      </c>
      <c r="C30" s="153">
        <f>IF(D11="","-",+C29+1)</f>
        <v>2021</v>
      </c>
      <c r="D30" s="159">
        <f>IF(F29+SUM(E$17:E29)=D$10,F29,D$10-SUM(E$17:E29))</f>
        <v>6794136.3730788967</v>
      </c>
      <c r="E30" s="160">
        <f>IF(+I14&lt;F29,I14,D30)</f>
        <v>224551.09302325582</v>
      </c>
      <c r="F30" s="159">
        <f t="shared" si="10"/>
        <v>6569585.2800556412</v>
      </c>
      <c r="G30" s="161">
        <f t="shared" si="11"/>
        <v>889768.24089008942</v>
      </c>
      <c r="H30" s="142">
        <f t="shared" si="12"/>
        <v>889768.24089008942</v>
      </c>
      <c r="I30" s="156">
        <f t="shared" si="0"/>
        <v>0</v>
      </c>
      <c r="J30" s="156"/>
      <c r="K30" s="334"/>
      <c r="L30" s="158">
        <f t="shared" si="1"/>
        <v>0</v>
      </c>
      <c r="M30" s="334"/>
      <c r="N30" s="158">
        <f t="shared" si="2"/>
        <v>0</v>
      </c>
      <c r="O30" s="158">
        <f t="shared" si="3"/>
        <v>0</v>
      </c>
      <c r="P30" s="4"/>
    </row>
    <row r="31" spans="2:16">
      <c r="B31" s="9" t="str">
        <f t="shared" si="6"/>
        <v/>
      </c>
      <c r="C31" s="153">
        <f>IF(D11="","-",+C30+1)</f>
        <v>2022</v>
      </c>
      <c r="D31" s="159">
        <f>IF(F30+SUM(E$17:E30)=D$10,F30,D$10-SUM(E$17:E30))</f>
        <v>6569585.2800556412</v>
      </c>
      <c r="E31" s="160">
        <f>IF(+I14&lt;F30,I14,D31)</f>
        <v>224551.09302325582</v>
      </c>
      <c r="F31" s="159">
        <f t="shared" si="10"/>
        <v>6345034.1870323857</v>
      </c>
      <c r="G31" s="161">
        <f t="shared" si="11"/>
        <v>867412.9058227397</v>
      </c>
      <c r="H31" s="142">
        <f t="shared" si="12"/>
        <v>867412.9058227397</v>
      </c>
      <c r="I31" s="156">
        <f t="shared" si="0"/>
        <v>0</v>
      </c>
      <c r="J31" s="156"/>
      <c r="K31" s="334"/>
      <c r="L31" s="158">
        <f t="shared" si="1"/>
        <v>0</v>
      </c>
      <c r="M31" s="334"/>
      <c r="N31" s="158">
        <f t="shared" si="2"/>
        <v>0</v>
      </c>
      <c r="O31" s="158">
        <f t="shared" si="3"/>
        <v>0</v>
      </c>
      <c r="P31" s="4"/>
    </row>
    <row r="32" spans="2:16">
      <c r="B32" s="9" t="str">
        <f t="shared" si="6"/>
        <v/>
      </c>
      <c r="C32" s="153">
        <f>IF(D11="","-",+C31+1)</f>
        <v>2023</v>
      </c>
      <c r="D32" s="159">
        <f>IF(F31+SUM(E$17:E31)=D$10,F31,D$10-SUM(E$17:E31))</f>
        <v>6345034.1870323857</v>
      </c>
      <c r="E32" s="160">
        <f>IF(+I14&lt;F31,I14,D32)</f>
        <v>224551.09302325582</v>
      </c>
      <c r="F32" s="159">
        <f t="shared" si="10"/>
        <v>6120483.0940091303</v>
      </c>
      <c r="G32" s="161">
        <f t="shared" si="11"/>
        <v>845057.57075538987</v>
      </c>
      <c r="H32" s="142">
        <f t="shared" si="12"/>
        <v>845057.57075538987</v>
      </c>
      <c r="I32" s="156">
        <f t="shared" si="0"/>
        <v>0</v>
      </c>
      <c r="J32" s="156"/>
      <c r="K32" s="334"/>
      <c r="L32" s="158">
        <f t="shared" si="1"/>
        <v>0</v>
      </c>
      <c r="M32" s="334"/>
      <c r="N32" s="158">
        <f t="shared" si="2"/>
        <v>0</v>
      </c>
      <c r="O32" s="158">
        <f t="shared" si="3"/>
        <v>0</v>
      </c>
      <c r="P32" s="4"/>
    </row>
    <row r="33" spans="2:16">
      <c r="B33" s="9" t="str">
        <f t="shared" si="6"/>
        <v/>
      </c>
      <c r="C33" s="153">
        <f>IF(D11="","-",+C32+1)</f>
        <v>2024</v>
      </c>
      <c r="D33" s="159">
        <f>IF(F32+SUM(E$17:E32)=D$10,F32,D$10-SUM(E$17:E32))</f>
        <v>6120483.0940091303</v>
      </c>
      <c r="E33" s="160">
        <f>IF(+I14&lt;F32,I14,D33)</f>
        <v>224551.09302325582</v>
      </c>
      <c r="F33" s="159">
        <f t="shared" si="10"/>
        <v>5895932.0009858748</v>
      </c>
      <c r="G33" s="161">
        <f t="shared" si="11"/>
        <v>822702.23568804015</v>
      </c>
      <c r="H33" s="142">
        <f t="shared" si="12"/>
        <v>822702.23568804015</v>
      </c>
      <c r="I33" s="156">
        <f t="shared" si="0"/>
        <v>0</v>
      </c>
      <c r="J33" s="156"/>
      <c r="K33" s="334"/>
      <c r="L33" s="158">
        <f t="shared" si="1"/>
        <v>0</v>
      </c>
      <c r="M33" s="334"/>
      <c r="N33" s="158">
        <f t="shared" si="2"/>
        <v>0</v>
      </c>
      <c r="O33" s="158">
        <f t="shared" si="3"/>
        <v>0</v>
      </c>
      <c r="P33" s="4"/>
    </row>
    <row r="34" spans="2:16">
      <c r="B34" s="9" t="str">
        <f t="shared" si="6"/>
        <v/>
      </c>
      <c r="C34" s="153">
        <f>IF(D11="","-",+C33+1)</f>
        <v>2025</v>
      </c>
      <c r="D34" s="159">
        <f>IF(F33+SUM(E$17:E33)=D$10,F33,D$10-SUM(E$17:E33))</f>
        <v>5895932.0009858748</v>
      </c>
      <c r="E34" s="160">
        <f>IF(+I14&lt;F33,I14,D34)</f>
        <v>224551.09302325582</v>
      </c>
      <c r="F34" s="159">
        <f t="shared" si="10"/>
        <v>5671380.9079626193</v>
      </c>
      <c r="G34" s="161">
        <f t="shared" si="11"/>
        <v>800346.90062069031</v>
      </c>
      <c r="H34" s="142">
        <f t="shared" si="12"/>
        <v>800346.90062069031</v>
      </c>
      <c r="I34" s="156">
        <f t="shared" si="0"/>
        <v>0</v>
      </c>
      <c r="J34" s="156"/>
      <c r="K34" s="334"/>
      <c r="L34" s="158">
        <f t="shared" si="1"/>
        <v>0</v>
      </c>
      <c r="M34" s="334"/>
      <c r="N34" s="158">
        <f t="shared" si="2"/>
        <v>0</v>
      </c>
      <c r="O34" s="158">
        <f t="shared" si="3"/>
        <v>0</v>
      </c>
      <c r="P34" s="4"/>
    </row>
    <row r="35" spans="2:16">
      <c r="B35" s="9" t="str">
        <f t="shared" si="6"/>
        <v/>
      </c>
      <c r="C35" s="153">
        <f>IF(D11="","-",+C34+1)</f>
        <v>2026</v>
      </c>
      <c r="D35" s="159">
        <f>IF(F34+SUM(E$17:E34)=D$10,F34,D$10-SUM(E$17:E34))</f>
        <v>5671380.9079626193</v>
      </c>
      <c r="E35" s="160">
        <f>IF(+I14&lt;F34,I14,D35)</f>
        <v>224551.09302325582</v>
      </c>
      <c r="F35" s="159">
        <f t="shared" si="10"/>
        <v>5446829.8149393639</v>
      </c>
      <c r="G35" s="161">
        <f t="shared" si="11"/>
        <v>777991.5655533406</v>
      </c>
      <c r="H35" s="142">
        <f t="shared" si="12"/>
        <v>777991.5655533406</v>
      </c>
      <c r="I35" s="156">
        <f t="shared" si="0"/>
        <v>0</v>
      </c>
      <c r="J35" s="156"/>
      <c r="K35" s="334"/>
      <c r="L35" s="158">
        <f t="shared" si="1"/>
        <v>0</v>
      </c>
      <c r="M35" s="334"/>
      <c r="N35" s="158">
        <f t="shared" si="2"/>
        <v>0</v>
      </c>
      <c r="O35" s="158">
        <f t="shared" si="3"/>
        <v>0</v>
      </c>
      <c r="P35" s="4"/>
    </row>
    <row r="36" spans="2:16">
      <c r="B36" s="9" t="str">
        <f t="shared" si="6"/>
        <v/>
      </c>
      <c r="C36" s="153">
        <f>IF(D11="","-",+C35+1)</f>
        <v>2027</v>
      </c>
      <c r="D36" s="159">
        <f>IF(F35+SUM(E$17:E35)=D$10,F35,D$10-SUM(E$17:E35))</f>
        <v>5446829.8149393639</v>
      </c>
      <c r="E36" s="160">
        <f>IF(+I14&lt;F35,I14,D36)</f>
        <v>224551.09302325582</v>
      </c>
      <c r="F36" s="159">
        <f t="shared" si="10"/>
        <v>5222278.7219161084</v>
      </c>
      <c r="G36" s="161">
        <f t="shared" si="11"/>
        <v>755636.23048599076</v>
      </c>
      <c r="H36" s="142">
        <f t="shared" si="12"/>
        <v>755636.23048599076</v>
      </c>
      <c r="I36" s="156">
        <f t="shared" si="0"/>
        <v>0</v>
      </c>
      <c r="J36" s="156"/>
      <c r="K36" s="334"/>
      <c r="L36" s="158">
        <f t="shared" si="1"/>
        <v>0</v>
      </c>
      <c r="M36" s="334"/>
      <c r="N36" s="158">
        <f t="shared" si="2"/>
        <v>0</v>
      </c>
      <c r="O36" s="158">
        <f t="shared" si="3"/>
        <v>0</v>
      </c>
      <c r="P36" s="4"/>
    </row>
    <row r="37" spans="2:16">
      <c r="B37" s="9" t="str">
        <f t="shared" si="6"/>
        <v/>
      </c>
      <c r="C37" s="153">
        <f>IF(D11="","-",+C36+1)</f>
        <v>2028</v>
      </c>
      <c r="D37" s="159">
        <f>IF(F36+SUM(E$17:E36)=D$10,F36,D$10-SUM(E$17:E36))</f>
        <v>5222278.7219161084</v>
      </c>
      <c r="E37" s="160">
        <f>IF(+I14&lt;F36,I14,D37)</f>
        <v>224551.09302325582</v>
      </c>
      <c r="F37" s="159">
        <f t="shared" si="10"/>
        <v>4997727.6288928529</v>
      </c>
      <c r="G37" s="161">
        <f t="shared" si="11"/>
        <v>733280.89541864092</v>
      </c>
      <c r="H37" s="142">
        <f t="shared" si="12"/>
        <v>733280.89541864092</v>
      </c>
      <c r="I37" s="156">
        <f t="shared" si="0"/>
        <v>0</v>
      </c>
      <c r="J37" s="156"/>
      <c r="K37" s="334"/>
      <c r="L37" s="158">
        <f t="shared" si="1"/>
        <v>0</v>
      </c>
      <c r="M37" s="334"/>
      <c r="N37" s="158">
        <f t="shared" si="2"/>
        <v>0</v>
      </c>
      <c r="O37" s="158">
        <f t="shared" si="3"/>
        <v>0</v>
      </c>
      <c r="P37" s="4"/>
    </row>
    <row r="38" spans="2:16">
      <c r="B38" s="9" t="str">
        <f t="shared" si="6"/>
        <v/>
      </c>
      <c r="C38" s="153">
        <f>IF(D11="","-",+C37+1)</f>
        <v>2029</v>
      </c>
      <c r="D38" s="159">
        <f>IF(F37+SUM(E$17:E37)=D$10,F37,D$10-SUM(E$17:E37))</f>
        <v>4997727.6288928529</v>
      </c>
      <c r="E38" s="160">
        <f>IF(+I14&lt;F37,I14,D38)</f>
        <v>224551.09302325582</v>
      </c>
      <c r="F38" s="159">
        <f t="shared" si="10"/>
        <v>4773176.5358695975</v>
      </c>
      <c r="G38" s="161">
        <f t="shared" si="11"/>
        <v>710925.56035129121</v>
      </c>
      <c r="H38" s="142">
        <f t="shared" si="12"/>
        <v>710925.56035129121</v>
      </c>
      <c r="I38" s="156">
        <f t="shared" si="0"/>
        <v>0</v>
      </c>
      <c r="J38" s="156"/>
      <c r="K38" s="334"/>
      <c r="L38" s="158">
        <f t="shared" si="1"/>
        <v>0</v>
      </c>
      <c r="M38" s="334"/>
      <c r="N38" s="158">
        <f t="shared" si="2"/>
        <v>0</v>
      </c>
      <c r="O38" s="158">
        <f t="shared" si="3"/>
        <v>0</v>
      </c>
      <c r="P38" s="4"/>
    </row>
    <row r="39" spans="2:16">
      <c r="B39" s="9" t="str">
        <f t="shared" si="6"/>
        <v/>
      </c>
      <c r="C39" s="153">
        <f>IF(D11="","-",+C38+1)</f>
        <v>2030</v>
      </c>
      <c r="D39" s="159">
        <f>IF(F38+SUM(E$17:E38)=D$10,F38,D$10-SUM(E$17:E38))</f>
        <v>4773176.5358695975</v>
      </c>
      <c r="E39" s="160">
        <f>IF(+I14&lt;F38,I14,D39)</f>
        <v>224551.09302325582</v>
      </c>
      <c r="F39" s="159">
        <f t="shared" si="10"/>
        <v>4548625.442846342</v>
      </c>
      <c r="G39" s="161">
        <f t="shared" si="11"/>
        <v>688570.22528394149</v>
      </c>
      <c r="H39" s="142">
        <f t="shared" si="12"/>
        <v>688570.22528394149</v>
      </c>
      <c r="I39" s="156">
        <f t="shared" si="0"/>
        <v>0</v>
      </c>
      <c r="J39" s="156"/>
      <c r="K39" s="334"/>
      <c r="L39" s="158">
        <f t="shared" si="1"/>
        <v>0</v>
      </c>
      <c r="M39" s="334"/>
      <c r="N39" s="158">
        <f t="shared" si="2"/>
        <v>0</v>
      </c>
      <c r="O39" s="158">
        <f t="shared" si="3"/>
        <v>0</v>
      </c>
      <c r="P39" s="4"/>
    </row>
    <row r="40" spans="2:16">
      <c r="B40" s="9" t="str">
        <f t="shared" si="6"/>
        <v/>
      </c>
      <c r="C40" s="153">
        <f>IF(D11="","-",+C39+1)</f>
        <v>2031</v>
      </c>
      <c r="D40" s="159">
        <f>IF(F39+SUM(E$17:E39)=D$10,F39,D$10-SUM(E$17:E39))</f>
        <v>4548625.442846342</v>
      </c>
      <c r="E40" s="160">
        <f>IF(+I14&lt;F39,I14,D40)</f>
        <v>224551.09302325582</v>
      </c>
      <c r="F40" s="159">
        <f t="shared" si="10"/>
        <v>4324074.3498230865</v>
      </c>
      <c r="G40" s="161">
        <f t="shared" si="11"/>
        <v>666214.89021659165</v>
      </c>
      <c r="H40" s="142">
        <f t="shared" si="12"/>
        <v>666214.89021659165</v>
      </c>
      <c r="I40" s="156">
        <f t="shared" si="0"/>
        <v>0</v>
      </c>
      <c r="J40" s="156"/>
      <c r="K40" s="334"/>
      <c r="L40" s="158">
        <f t="shared" si="1"/>
        <v>0</v>
      </c>
      <c r="M40" s="334"/>
      <c r="N40" s="158">
        <f t="shared" si="2"/>
        <v>0</v>
      </c>
      <c r="O40" s="158">
        <f t="shared" si="3"/>
        <v>0</v>
      </c>
      <c r="P40" s="4"/>
    </row>
    <row r="41" spans="2:16">
      <c r="B41" s="9" t="str">
        <f t="shared" si="6"/>
        <v/>
      </c>
      <c r="C41" s="153">
        <f>IF(D11="","-",+C40+1)</f>
        <v>2032</v>
      </c>
      <c r="D41" s="159">
        <f>IF(F40+SUM(E$17:E40)=D$10,F40,D$10-SUM(E$17:E40))</f>
        <v>4324074.3498230865</v>
      </c>
      <c r="E41" s="160">
        <f>IF(+I14&lt;F40,I14,D41)</f>
        <v>224551.09302325582</v>
      </c>
      <c r="F41" s="159">
        <f t="shared" si="10"/>
        <v>4099523.2567998306</v>
      </c>
      <c r="G41" s="161">
        <f t="shared" si="11"/>
        <v>643859.55514924182</v>
      </c>
      <c r="H41" s="142">
        <f t="shared" si="12"/>
        <v>643859.55514924182</v>
      </c>
      <c r="I41" s="156">
        <f t="shared" si="0"/>
        <v>0</v>
      </c>
      <c r="J41" s="156"/>
      <c r="K41" s="334"/>
      <c r="L41" s="158">
        <f t="shared" si="1"/>
        <v>0</v>
      </c>
      <c r="M41" s="334"/>
      <c r="N41" s="158">
        <f t="shared" si="2"/>
        <v>0</v>
      </c>
      <c r="O41" s="158">
        <f t="shared" si="3"/>
        <v>0</v>
      </c>
      <c r="P41" s="4"/>
    </row>
    <row r="42" spans="2:16">
      <c r="B42" s="9" t="str">
        <f t="shared" si="6"/>
        <v/>
      </c>
      <c r="C42" s="153">
        <f>IF(D11="","-",+C41+1)</f>
        <v>2033</v>
      </c>
      <c r="D42" s="159">
        <f>IF(F41+SUM(E$17:E41)=D$10,F41,D$10-SUM(E$17:E41))</f>
        <v>4099523.2567998306</v>
      </c>
      <c r="E42" s="160">
        <f>IF(+I14&lt;F41,I14,D42)</f>
        <v>224551.09302325582</v>
      </c>
      <c r="F42" s="159">
        <f t="shared" si="10"/>
        <v>3874972.1637765747</v>
      </c>
      <c r="G42" s="161">
        <f t="shared" si="11"/>
        <v>621504.2200818921</v>
      </c>
      <c r="H42" s="142">
        <f t="shared" si="12"/>
        <v>621504.2200818921</v>
      </c>
      <c r="I42" s="156">
        <f t="shared" si="0"/>
        <v>0</v>
      </c>
      <c r="J42" s="156"/>
      <c r="K42" s="334"/>
      <c r="L42" s="158">
        <f t="shared" si="1"/>
        <v>0</v>
      </c>
      <c r="M42" s="334"/>
      <c r="N42" s="158">
        <f t="shared" si="2"/>
        <v>0</v>
      </c>
      <c r="O42" s="158">
        <f t="shared" si="3"/>
        <v>0</v>
      </c>
      <c r="P42" s="4"/>
    </row>
    <row r="43" spans="2:16">
      <c r="B43" s="9" t="str">
        <f t="shared" si="6"/>
        <v/>
      </c>
      <c r="C43" s="153">
        <f>IF(D11="","-",+C42+1)</f>
        <v>2034</v>
      </c>
      <c r="D43" s="159">
        <f>IF(F42+SUM(E$17:E42)=D$10,F42,D$10-SUM(E$17:E42))</f>
        <v>3874972.1637765747</v>
      </c>
      <c r="E43" s="160">
        <f>IF(+I14&lt;F42,I14,D43)</f>
        <v>224551.09302325582</v>
      </c>
      <c r="F43" s="159">
        <f t="shared" si="10"/>
        <v>3650421.0707533187</v>
      </c>
      <c r="G43" s="161">
        <f t="shared" si="11"/>
        <v>599148.88501454226</v>
      </c>
      <c r="H43" s="142">
        <f t="shared" si="12"/>
        <v>599148.88501454226</v>
      </c>
      <c r="I43" s="156">
        <f t="shared" si="0"/>
        <v>0</v>
      </c>
      <c r="J43" s="156"/>
      <c r="K43" s="334"/>
      <c r="L43" s="158">
        <f t="shared" si="1"/>
        <v>0</v>
      </c>
      <c r="M43" s="334"/>
      <c r="N43" s="158">
        <f t="shared" si="2"/>
        <v>0</v>
      </c>
      <c r="O43" s="158">
        <f t="shared" si="3"/>
        <v>0</v>
      </c>
      <c r="P43" s="4"/>
    </row>
    <row r="44" spans="2:16">
      <c r="B44" s="9" t="str">
        <f t="shared" si="6"/>
        <v/>
      </c>
      <c r="C44" s="153">
        <f>IF(D11="","-",+C43+1)</f>
        <v>2035</v>
      </c>
      <c r="D44" s="159">
        <f>IF(F43+SUM(E$17:E43)=D$10,F43,D$10-SUM(E$17:E43))</f>
        <v>3650421.0707533187</v>
      </c>
      <c r="E44" s="160">
        <f>IF(+I14&lt;F43,I14,D44)</f>
        <v>224551.09302325582</v>
      </c>
      <c r="F44" s="159">
        <f t="shared" si="10"/>
        <v>3425869.9777300628</v>
      </c>
      <c r="G44" s="161">
        <f t="shared" si="11"/>
        <v>576793.54994719243</v>
      </c>
      <c r="H44" s="142">
        <f t="shared" si="12"/>
        <v>576793.54994719243</v>
      </c>
      <c r="I44" s="156">
        <f t="shared" si="0"/>
        <v>0</v>
      </c>
      <c r="J44" s="156"/>
      <c r="K44" s="334"/>
      <c r="L44" s="158">
        <f t="shared" si="1"/>
        <v>0</v>
      </c>
      <c r="M44" s="334"/>
      <c r="N44" s="158">
        <f t="shared" si="2"/>
        <v>0</v>
      </c>
      <c r="O44" s="158">
        <f t="shared" si="3"/>
        <v>0</v>
      </c>
      <c r="P44" s="4"/>
    </row>
    <row r="45" spans="2:16">
      <c r="B45" s="9" t="str">
        <f t="shared" si="6"/>
        <v/>
      </c>
      <c r="C45" s="153">
        <f>IF(D11="","-",+C44+1)</f>
        <v>2036</v>
      </c>
      <c r="D45" s="159">
        <f>IF(F44+SUM(E$17:E44)=D$10,F44,D$10-SUM(E$17:E44))</f>
        <v>3425869.9777300628</v>
      </c>
      <c r="E45" s="160">
        <f>IF(+I14&lt;F44,I14,D45)</f>
        <v>224551.09302325582</v>
      </c>
      <c r="F45" s="159">
        <f t="shared" si="10"/>
        <v>3201318.8847068069</v>
      </c>
      <c r="G45" s="161">
        <f t="shared" si="11"/>
        <v>554438.21487984259</v>
      </c>
      <c r="H45" s="142">
        <f t="shared" si="12"/>
        <v>554438.21487984259</v>
      </c>
      <c r="I45" s="156">
        <f t="shared" si="0"/>
        <v>0</v>
      </c>
      <c r="J45" s="156"/>
      <c r="K45" s="334"/>
      <c r="L45" s="158">
        <f t="shared" si="1"/>
        <v>0</v>
      </c>
      <c r="M45" s="334"/>
      <c r="N45" s="158">
        <f t="shared" si="2"/>
        <v>0</v>
      </c>
      <c r="O45" s="158">
        <f t="shared" si="3"/>
        <v>0</v>
      </c>
      <c r="P45" s="4"/>
    </row>
    <row r="46" spans="2:16">
      <c r="B46" s="9" t="str">
        <f t="shared" si="6"/>
        <v/>
      </c>
      <c r="C46" s="153">
        <f>IF(D11="","-",+C45+1)</f>
        <v>2037</v>
      </c>
      <c r="D46" s="159">
        <f>IF(F45+SUM(E$17:E45)=D$10,F45,D$10-SUM(E$17:E45))</f>
        <v>3201318.8847068069</v>
      </c>
      <c r="E46" s="160">
        <f>IF(+I14&lt;F45,I14,D46)</f>
        <v>224551.09302325582</v>
      </c>
      <c r="F46" s="159">
        <f t="shared" si="10"/>
        <v>2976767.7916835509</v>
      </c>
      <c r="G46" s="161">
        <f t="shared" si="11"/>
        <v>532082.87981249276</v>
      </c>
      <c r="H46" s="142">
        <f t="shared" si="12"/>
        <v>532082.87981249276</v>
      </c>
      <c r="I46" s="156">
        <f t="shared" si="0"/>
        <v>0</v>
      </c>
      <c r="J46" s="156"/>
      <c r="K46" s="334"/>
      <c r="L46" s="158">
        <f t="shared" si="1"/>
        <v>0</v>
      </c>
      <c r="M46" s="334"/>
      <c r="N46" s="158">
        <f t="shared" si="2"/>
        <v>0</v>
      </c>
      <c r="O46" s="158">
        <f t="shared" si="3"/>
        <v>0</v>
      </c>
      <c r="P46" s="4"/>
    </row>
    <row r="47" spans="2:16">
      <c r="B47" s="9" t="str">
        <f t="shared" si="6"/>
        <v/>
      </c>
      <c r="C47" s="153">
        <f>IF(D11="","-",+C46+1)</f>
        <v>2038</v>
      </c>
      <c r="D47" s="159">
        <f>IF(F46+SUM(E$17:E46)=D$10,F46,D$10-SUM(E$17:E46))</f>
        <v>2976767.7916835509</v>
      </c>
      <c r="E47" s="160">
        <f>IF(+I14&lt;F46,I14,D47)</f>
        <v>224551.09302325582</v>
      </c>
      <c r="F47" s="159">
        <f t="shared" si="10"/>
        <v>2752216.698660295</v>
      </c>
      <c r="G47" s="161">
        <f t="shared" si="11"/>
        <v>509727.54474514292</v>
      </c>
      <c r="H47" s="142">
        <f t="shared" si="12"/>
        <v>509727.54474514292</v>
      </c>
      <c r="I47" s="156">
        <f t="shared" si="0"/>
        <v>0</v>
      </c>
      <c r="J47" s="156"/>
      <c r="K47" s="334"/>
      <c r="L47" s="158">
        <f t="shared" si="1"/>
        <v>0</v>
      </c>
      <c r="M47" s="334"/>
      <c r="N47" s="158">
        <f t="shared" si="2"/>
        <v>0</v>
      </c>
      <c r="O47" s="158">
        <f t="shared" si="3"/>
        <v>0</v>
      </c>
      <c r="P47" s="4"/>
    </row>
    <row r="48" spans="2:16">
      <c r="B48" s="9" t="str">
        <f t="shared" si="6"/>
        <v/>
      </c>
      <c r="C48" s="153">
        <f>IF(D11="","-",+C47+1)</f>
        <v>2039</v>
      </c>
      <c r="D48" s="159">
        <f>IF(F47+SUM(E$17:E47)=D$10,F47,D$10-SUM(E$17:E47))</f>
        <v>2752216.698660295</v>
      </c>
      <c r="E48" s="160">
        <f>IF(+I14&lt;F47,I14,D48)</f>
        <v>224551.09302325582</v>
      </c>
      <c r="F48" s="159">
        <f t="shared" si="10"/>
        <v>2527665.6056370391</v>
      </c>
      <c r="G48" s="161">
        <f t="shared" si="11"/>
        <v>487372.20967779309</v>
      </c>
      <c r="H48" s="142">
        <f t="shared" si="12"/>
        <v>487372.20967779309</v>
      </c>
      <c r="I48" s="156">
        <f t="shared" si="0"/>
        <v>0</v>
      </c>
      <c r="J48" s="156"/>
      <c r="K48" s="334"/>
      <c r="L48" s="158">
        <f t="shared" si="1"/>
        <v>0</v>
      </c>
      <c r="M48" s="334"/>
      <c r="N48" s="158">
        <f t="shared" si="2"/>
        <v>0</v>
      </c>
      <c r="O48" s="158">
        <f t="shared" si="3"/>
        <v>0</v>
      </c>
      <c r="P48" s="4"/>
    </row>
    <row r="49" spans="2:17">
      <c r="B49" s="9" t="str">
        <f t="shared" si="6"/>
        <v/>
      </c>
      <c r="C49" s="153">
        <f>IF(D11="","-",+C48+1)</f>
        <v>2040</v>
      </c>
      <c r="D49" s="159">
        <f>IF(F48+SUM(E$17:E48)=D$10,F48,D$10-SUM(E$17:E48))</f>
        <v>2527665.6056370391</v>
      </c>
      <c r="E49" s="160">
        <f>IF(+I14&lt;F48,I14,D49)</f>
        <v>224551.09302325582</v>
      </c>
      <c r="F49" s="159">
        <f t="shared" ref="F49:F72" si="13">+D49-E49</f>
        <v>2303114.5126137831</v>
      </c>
      <c r="G49" s="161">
        <f t="shared" si="11"/>
        <v>465016.87461044325</v>
      </c>
      <c r="H49" s="142">
        <f t="shared" si="12"/>
        <v>465016.87461044325</v>
      </c>
      <c r="I49" s="156">
        <f t="shared" ref="I49:I72" si="14">H49-G49</f>
        <v>0</v>
      </c>
      <c r="J49" s="156"/>
      <c r="K49" s="334"/>
      <c r="L49" s="158">
        <f t="shared" ref="L49:L72" si="15">IF(K49&lt;&gt;0,+G49-K49,0)</f>
        <v>0</v>
      </c>
      <c r="M49" s="334"/>
      <c r="N49" s="158">
        <f t="shared" ref="N49:N72" si="16">IF(M49&lt;&gt;0,+H49-M49,0)</f>
        <v>0</v>
      </c>
      <c r="O49" s="158">
        <f t="shared" ref="O49:O72" si="17">+N49-L49</f>
        <v>0</v>
      </c>
      <c r="P49" s="4"/>
    </row>
    <row r="50" spans="2:17">
      <c r="B50" s="9" t="str">
        <f t="shared" si="6"/>
        <v/>
      </c>
      <c r="C50" s="153">
        <f>IF(D11="","-",+C49+1)</f>
        <v>2041</v>
      </c>
      <c r="D50" s="159">
        <f>IF(F49+SUM(E$17:E49)=D$10,F49,D$10-SUM(E$17:E49))</f>
        <v>2303114.5126137831</v>
      </c>
      <c r="E50" s="160">
        <f>IF(+I14&lt;F49,I14,D50)</f>
        <v>224551.09302325582</v>
      </c>
      <c r="F50" s="159">
        <f t="shared" si="13"/>
        <v>2078563.4195905272</v>
      </c>
      <c r="G50" s="161">
        <f t="shared" si="11"/>
        <v>442661.53954309341</v>
      </c>
      <c r="H50" s="142">
        <f t="shared" si="12"/>
        <v>442661.53954309341</v>
      </c>
      <c r="I50" s="156">
        <f t="shared" si="14"/>
        <v>0</v>
      </c>
      <c r="J50" s="156"/>
      <c r="K50" s="334"/>
      <c r="L50" s="158">
        <f t="shared" si="15"/>
        <v>0</v>
      </c>
      <c r="M50" s="334"/>
      <c r="N50" s="158">
        <f t="shared" si="16"/>
        <v>0</v>
      </c>
      <c r="O50" s="158">
        <f t="shared" si="17"/>
        <v>0</v>
      </c>
      <c r="P50" s="4"/>
    </row>
    <row r="51" spans="2:17">
      <c r="B51" s="9" t="str">
        <f t="shared" si="6"/>
        <v/>
      </c>
      <c r="C51" s="153">
        <f>IF(D11="","-",+C50+1)</f>
        <v>2042</v>
      </c>
      <c r="D51" s="159">
        <f>IF(F50+SUM(E$17:E50)=D$10,F50,D$10-SUM(E$17:E50))</f>
        <v>2078563.4195905272</v>
      </c>
      <c r="E51" s="160">
        <f>IF(+I14&lt;F50,I14,D51)</f>
        <v>224551.09302325582</v>
      </c>
      <c r="F51" s="159">
        <f t="shared" si="13"/>
        <v>1854012.3265672713</v>
      </c>
      <c r="G51" s="161">
        <f t="shared" si="11"/>
        <v>420306.20447574358</v>
      </c>
      <c r="H51" s="142">
        <f t="shared" si="12"/>
        <v>420306.20447574358</v>
      </c>
      <c r="I51" s="156">
        <f t="shared" si="14"/>
        <v>0</v>
      </c>
      <c r="J51" s="156"/>
      <c r="K51" s="334"/>
      <c r="L51" s="158">
        <f t="shared" si="15"/>
        <v>0</v>
      </c>
      <c r="M51" s="334"/>
      <c r="N51" s="158">
        <f t="shared" si="16"/>
        <v>0</v>
      </c>
      <c r="O51" s="158">
        <f t="shared" si="17"/>
        <v>0</v>
      </c>
      <c r="P51" s="4"/>
    </row>
    <row r="52" spans="2:17">
      <c r="B52" s="9" t="str">
        <f t="shared" si="6"/>
        <v/>
      </c>
      <c r="C52" s="153">
        <f>IF(D11="","-",+C51+1)</f>
        <v>2043</v>
      </c>
      <c r="D52" s="159">
        <f>IF(F51+SUM(E$17:E51)=D$10,F51,D$10-SUM(E$17:E51))</f>
        <v>1854012.3265672713</v>
      </c>
      <c r="E52" s="160">
        <f>IF(+I14&lt;F51,I14,D52)</f>
        <v>224551.09302325582</v>
      </c>
      <c r="F52" s="159">
        <f t="shared" si="13"/>
        <v>1629461.2335440153</v>
      </c>
      <c r="G52" s="161">
        <f t="shared" si="11"/>
        <v>397950.86940839374</v>
      </c>
      <c r="H52" s="142">
        <f t="shared" si="12"/>
        <v>397950.86940839374</v>
      </c>
      <c r="I52" s="156">
        <f t="shared" si="14"/>
        <v>0</v>
      </c>
      <c r="J52" s="156"/>
      <c r="K52" s="334"/>
      <c r="L52" s="158">
        <f t="shared" si="15"/>
        <v>0</v>
      </c>
      <c r="M52" s="334"/>
      <c r="N52" s="158">
        <f t="shared" si="16"/>
        <v>0</v>
      </c>
      <c r="O52" s="158">
        <f t="shared" si="17"/>
        <v>0</v>
      </c>
      <c r="P52" s="4"/>
    </row>
    <row r="53" spans="2:17">
      <c r="B53" s="9" t="str">
        <f t="shared" si="6"/>
        <v/>
      </c>
      <c r="C53" s="153">
        <f>IF(D11="","-",+C52+1)</f>
        <v>2044</v>
      </c>
      <c r="D53" s="159">
        <f>IF(F52+SUM(E$17:E52)=D$10,F52,D$10-SUM(E$17:E52))</f>
        <v>1629461.2335440153</v>
      </c>
      <c r="E53" s="160">
        <f>IF(+I14&lt;F52,I14,D53)</f>
        <v>224551.09302325582</v>
      </c>
      <c r="F53" s="159">
        <f t="shared" si="13"/>
        <v>1404910.1405207594</v>
      </c>
      <c r="G53" s="161">
        <f t="shared" si="11"/>
        <v>375595.53434104397</v>
      </c>
      <c r="H53" s="142">
        <f t="shared" si="12"/>
        <v>375595.53434104397</v>
      </c>
      <c r="I53" s="156">
        <f t="shared" si="14"/>
        <v>0</v>
      </c>
      <c r="J53" s="156"/>
      <c r="K53" s="334"/>
      <c r="L53" s="158">
        <f t="shared" si="15"/>
        <v>0</v>
      </c>
      <c r="M53" s="334"/>
      <c r="N53" s="158">
        <f t="shared" si="16"/>
        <v>0</v>
      </c>
      <c r="O53" s="158">
        <f t="shared" si="17"/>
        <v>0</v>
      </c>
      <c r="P53" s="4"/>
    </row>
    <row r="54" spans="2:17">
      <c r="B54" s="9" t="str">
        <f t="shared" si="6"/>
        <v/>
      </c>
      <c r="C54" s="153">
        <f>IF(D11="","-",+C53+1)</f>
        <v>2045</v>
      </c>
      <c r="D54" s="159">
        <f>IF(F53+SUM(E$17:E53)=D$10,F53,D$10-SUM(E$17:E53))</f>
        <v>1404910.1405207594</v>
      </c>
      <c r="E54" s="160">
        <f>IF(+I14&lt;F53,I14,D54)</f>
        <v>224551.09302325582</v>
      </c>
      <c r="F54" s="159">
        <f t="shared" si="13"/>
        <v>1180359.0474975035</v>
      </c>
      <c r="G54" s="161">
        <f t="shared" si="11"/>
        <v>353240.19927369413</v>
      </c>
      <c r="H54" s="142">
        <f t="shared" si="12"/>
        <v>353240.19927369413</v>
      </c>
      <c r="I54" s="156">
        <f t="shared" si="14"/>
        <v>0</v>
      </c>
      <c r="J54" s="156"/>
      <c r="K54" s="334"/>
      <c r="L54" s="158">
        <f t="shared" si="15"/>
        <v>0</v>
      </c>
      <c r="M54" s="334"/>
      <c r="N54" s="158">
        <f t="shared" si="16"/>
        <v>0</v>
      </c>
      <c r="O54" s="158">
        <f t="shared" si="17"/>
        <v>0</v>
      </c>
      <c r="P54" s="4"/>
    </row>
    <row r="55" spans="2:17">
      <c r="B55" s="9" t="str">
        <f t="shared" si="6"/>
        <v/>
      </c>
      <c r="C55" s="153">
        <f>IF(D11="","-",+C54+1)</f>
        <v>2046</v>
      </c>
      <c r="D55" s="159">
        <f>IF(F54+SUM(E$17:E54)=D$10,F54,D$10-SUM(E$17:E54))</f>
        <v>1180359.0474975035</v>
      </c>
      <c r="E55" s="160">
        <f>IF(+I14&lt;F54,I14,D55)</f>
        <v>224551.09302325582</v>
      </c>
      <c r="F55" s="159">
        <f t="shared" si="13"/>
        <v>955807.95447424764</v>
      </c>
      <c r="G55" s="161">
        <f t="shared" si="11"/>
        <v>330884.8642063443</v>
      </c>
      <c r="H55" s="142">
        <f t="shared" si="12"/>
        <v>330884.8642063443</v>
      </c>
      <c r="I55" s="156">
        <f t="shared" si="14"/>
        <v>0</v>
      </c>
      <c r="J55" s="156"/>
      <c r="K55" s="334"/>
      <c r="L55" s="158">
        <f t="shared" si="15"/>
        <v>0</v>
      </c>
      <c r="M55" s="334"/>
      <c r="N55" s="158">
        <f t="shared" si="16"/>
        <v>0</v>
      </c>
      <c r="O55" s="158">
        <f t="shared" si="17"/>
        <v>0</v>
      </c>
      <c r="P55" s="4"/>
    </row>
    <row r="56" spans="2:17">
      <c r="B56" s="9" t="str">
        <f t="shared" si="6"/>
        <v/>
      </c>
      <c r="C56" s="153">
        <f>IF(D11="","-",+C55+1)</f>
        <v>2047</v>
      </c>
      <c r="D56" s="159">
        <f>IF(F55+SUM(E$17:E55)=D$10,F55,D$10-SUM(E$17:E55))</f>
        <v>955807.95447424764</v>
      </c>
      <c r="E56" s="160">
        <f>IF(+I14&lt;F55,I14,D56)</f>
        <v>224551.09302325582</v>
      </c>
      <c r="F56" s="159">
        <f t="shared" si="13"/>
        <v>731256.86145099183</v>
      </c>
      <c r="G56" s="161">
        <f t="shared" si="11"/>
        <v>308529.52913899452</v>
      </c>
      <c r="H56" s="142">
        <f t="shared" si="12"/>
        <v>308529.52913899452</v>
      </c>
      <c r="I56" s="156">
        <f t="shared" si="14"/>
        <v>0</v>
      </c>
      <c r="J56" s="156"/>
      <c r="K56" s="334"/>
      <c r="L56" s="158">
        <f t="shared" si="15"/>
        <v>0</v>
      </c>
      <c r="M56" s="334"/>
      <c r="N56" s="158">
        <f t="shared" si="16"/>
        <v>0</v>
      </c>
      <c r="O56" s="158">
        <f t="shared" si="17"/>
        <v>0</v>
      </c>
      <c r="P56" s="4"/>
    </row>
    <row r="57" spans="2:17">
      <c r="B57" s="9" t="str">
        <f t="shared" si="6"/>
        <v/>
      </c>
      <c r="C57" s="153">
        <f>IF(D11="","-",+C56+1)</f>
        <v>2048</v>
      </c>
      <c r="D57" s="159">
        <f>IF(F56+SUM(E$17:E56)=D$10,F56,D$10-SUM(E$17:E56))</f>
        <v>731256.86145099183</v>
      </c>
      <c r="E57" s="160">
        <f>IF(+I14&lt;F56,I14,D57)</f>
        <v>224551.09302325582</v>
      </c>
      <c r="F57" s="159">
        <f t="shared" si="13"/>
        <v>506705.76842773601</v>
      </c>
      <c r="G57" s="161">
        <f t="shared" si="11"/>
        <v>286174.19407164468</v>
      </c>
      <c r="H57" s="142">
        <f t="shared" si="12"/>
        <v>286174.19407164468</v>
      </c>
      <c r="I57" s="156">
        <f t="shared" si="14"/>
        <v>0</v>
      </c>
      <c r="J57" s="156"/>
      <c r="K57" s="334"/>
      <c r="L57" s="158">
        <f t="shared" si="15"/>
        <v>0</v>
      </c>
      <c r="M57" s="334"/>
      <c r="N57" s="158">
        <f t="shared" si="16"/>
        <v>0</v>
      </c>
      <c r="O57" s="158">
        <f t="shared" si="17"/>
        <v>0</v>
      </c>
      <c r="P57" s="4"/>
    </row>
    <row r="58" spans="2:17">
      <c r="B58" s="9" t="str">
        <f t="shared" si="6"/>
        <v>IU</v>
      </c>
      <c r="C58" s="153">
        <f>IF(D11="","-",+C57+1)</f>
        <v>2049</v>
      </c>
      <c r="D58" s="159">
        <f>IF(F57+SUM(E$17:E57)=D$10,F57,D$10-SUM(E$17:E57))</f>
        <v>506705.76842774078</v>
      </c>
      <c r="E58" s="160">
        <f>IF(+I14&lt;F57,I14,D58)</f>
        <v>224551.09302325582</v>
      </c>
      <c r="F58" s="159">
        <f t="shared" si="13"/>
        <v>282154.67540448497</v>
      </c>
      <c r="G58" s="161">
        <f t="shared" si="11"/>
        <v>263818.85900429531</v>
      </c>
      <c r="H58" s="142">
        <f t="shared" si="12"/>
        <v>263818.85900429531</v>
      </c>
      <c r="I58" s="156">
        <f t="shared" si="14"/>
        <v>0</v>
      </c>
      <c r="J58" s="156"/>
      <c r="K58" s="334"/>
      <c r="L58" s="158">
        <f t="shared" si="15"/>
        <v>0</v>
      </c>
      <c r="M58" s="334"/>
      <c r="N58" s="158">
        <f t="shared" si="16"/>
        <v>0</v>
      </c>
      <c r="O58" s="158">
        <f t="shared" si="17"/>
        <v>0</v>
      </c>
      <c r="P58" s="4"/>
      <c r="Q58" t="str">
        <f>IF(ROUND(Q57,0)=ROUND(SUM(Q18:Q56),0),"","Error -- check allocations above).")</f>
        <v/>
      </c>
    </row>
    <row r="59" spans="2:17">
      <c r="B59" s="9" t="str">
        <f t="shared" si="6"/>
        <v/>
      </c>
      <c r="C59" s="153">
        <f>IF(D11="","-",+C58+1)</f>
        <v>2050</v>
      </c>
      <c r="D59" s="159">
        <f>IF(F58+SUM(E$17:E58)=D$10,F58,D$10-SUM(E$17:E58))</f>
        <v>282154.67540448497</v>
      </c>
      <c r="E59" s="160">
        <f>IF(+I14&lt;F58,I14,D59)</f>
        <v>224551.09302325582</v>
      </c>
      <c r="F59" s="159">
        <f t="shared" si="13"/>
        <v>57603.582381229149</v>
      </c>
      <c r="G59" s="161">
        <f t="shared" si="11"/>
        <v>241463.52393694554</v>
      </c>
      <c r="H59" s="142">
        <f t="shared" si="12"/>
        <v>241463.52393694554</v>
      </c>
      <c r="I59" s="156">
        <f t="shared" si="14"/>
        <v>0</v>
      </c>
      <c r="J59" s="156"/>
      <c r="K59" s="334"/>
      <c r="L59" s="158">
        <f t="shared" si="15"/>
        <v>0</v>
      </c>
      <c r="M59" s="334"/>
      <c r="N59" s="158">
        <f t="shared" si="16"/>
        <v>0</v>
      </c>
      <c r="O59" s="158">
        <f t="shared" si="17"/>
        <v>0</v>
      </c>
      <c r="P59" s="4"/>
    </row>
    <row r="60" spans="2:17">
      <c r="B60" s="9" t="str">
        <f t="shared" si="6"/>
        <v/>
      </c>
      <c r="C60" s="153">
        <f>IF(D11="","-",+C59+1)</f>
        <v>2051</v>
      </c>
      <c r="D60" s="159">
        <f>IF(F59+SUM(E$17:E59)=D$10,F59,D$10-SUM(E$17:E59))</f>
        <v>57603.582381229149</v>
      </c>
      <c r="E60" s="160">
        <f>IF(+I14&lt;F59,I14,D60)</f>
        <v>57603.582381229149</v>
      </c>
      <c r="F60" s="159">
        <f t="shared" si="13"/>
        <v>0</v>
      </c>
      <c r="G60" s="161">
        <f t="shared" si="11"/>
        <v>60470.964071236551</v>
      </c>
      <c r="H60" s="142">
        <f t="shared" si="12"/>
        <v>60470.964071236551</v>
      </c>
      <c r="I60" s="156">
        <f t="shared" si="14"/>
        <v>0</v>
      </c>
      <c r="J60" s="156"/>
      <c r="K60" s="334"/>
      <c r="L60" s="158">
        <f t="shared" si="15"/>
        <v>0</v>
      </c>
      <c r="M60" s="334"/>
      <c r="N60" s="158">
        <f t="shared" si="16"/>
        <v>0</v>
      </c>
      <c r="O60" s="158">
        <f t="shared" si="17"/>
        <v>0</v>
      </c>
      <c r="P60" s="4"/>
    </row>
    <row r="61" spans="2:17">
      <c r="B61" s="9" t="str">
        <f t="shared" si="6"/>
        <v/>
      </c>
      <c r="C61" s="153">
        <f>IF(D11="","-",+C60+1)</f>
        <v>2052</v>
      </c>
      <c r="D61" s="159">
        <f>IF(F60+SUM(E$17:E60)=D$10,F60,D$10-SUM(E$17:E60))</f>
        <v>0</v>
      </c>
      <c r="E61" s="160">
        <f>IF(+I14&lt;F60,I14,D61)</f>
        <v>0</v>
      </c>
      <c r="F61" s="159">
        <f t="shared" si="13"/>
        <v>0</v>
      </c>
      <c r="G61" s="163">
        <f t="shared" si="11"/>
        <v>0</v>
      </c>
      <c r="H61" s="142">
        <f t="shared" si="12"/>
        <v>0</v>
      </c>
      <c r="I61" s="156">
        <f t="shared" si="14"/>
        <v>0</v>
      </c>
      <c r="J61" s="156"/>
      <c r="K61" s="334"/>
      <c r="L61" s="158">
        <f t="shared" si="15"/>
        <v>0</v>
      </c>
      <c r="M61" s="334"/>
      <c r="N61" s="158">
        <f t="shared" si="16"/>
        <v>0</v>
      </c>
      <c r="O61" s="158">
        <f t="shared" si="17"/>
        <v>0</v>
      </c>
      <c r="P61" s="4"/>
    </row>
    <row r="62" spans="2:17">
      <c r="B62" s="9" t="str">
        <f t="shared" si="6"/>
        <v/>
      </c>
      <c r="C62" s="153">
        <f>IF(D11="","-",+C61+1)</f>
        <v>2053</v>
      </c>
      <c r="D62" s="159">
        <f>IF(F61+SUM(E$17:E61)=D$10,F61,D$10-SUM(E$17:E61))</f>
        <v>0</v>
      </c>
      <c r="E62" s="160">
        <f>IF(+I14&lt;F61,I14,D62)</f>
        <v>0</v>
      </c>
      <c r="F62" s="159">
        <f t="shared" si="13"/>
        <v>0</v>
      </c>
      <c r="G62" s="163">
        <f t="shared" si="11"/>
        <v>0</v>
      </c>
      <c r="H62" s="142">
        <f t="shared" si="12"/>
        <v>0</v>
      </c>
      <c r="I62" s="156">
        <f t="shared" si="14"/>
        <v>0</v>
      </c>
      <c r="J62" s="156"/>
      <c r="K62" s="334"/>
      <c r="L62" s="158">
        <f t="shared" si="15"/>
        <v>0</v>
      </c>
      <c r="M62" s="334"/>
      <c r="N62" s="158">
        <f t="shared" si="16"/>
        <v>0</v>
      </c>
      <c r="O62" s="158">
        <f t="shared" si="17"/>
        <v>0</v>
      </c>
      <c r="P62" s="4"/>
    </row>
    <row r="63" spans="2:17">
      <c r="B63" s="9" t="str">
        <f t="shared" si="6"/>
        <v/>
      </c>
      <c r="C63" s="153">
        <f>IF(D11="","-",+C62+1)</f>
        <v>2054</v>
      </c>
      <c r="D63" s="159">
        <f>IF(F62+SUM(E$17:E62)=D$10,F62,D$10-SUM(E$17:E62))</f>
        <v>0</v>
      </c>
      <c r="E63" s="160">
        <f>IF(+I14&lt;F62,I14,D63)</f>
        <v>0</v>
      </c>
      <c r="F63" s="159">
        <f t="shared" si="13"/>
        <v>0</v>
      </c>
      <c r="G63" s="163">
        <f t="shared" si="11"/>
        <v>0</v>
      </c>
      <c r="H63" s="142">
        <f t="shared" si="12"/>
        <v>0</v>
      </c>
      <c r="I63" s="156">
        <f t="shared" si="14"/>
        <v>0</v>
      </c>
      <c r="J63" s="156"/>
      <c r="K63" s="334"/>
      <c r="L63" s="158">
        <f t="shared" si="15"/>
        <v>0</v>
      </c>
      <c r="M63" s="334"/>
      <c r="N63" s="158">
        <f t="shared" si="16"/>
        <v>0</v>
      </c>
      <c r="O63" s="158">
        <f t="shared" si="17"/>
        <v>0</v>
      </c>
      <c r="P63" s="4"/>
    </row>
    <row r="64" spans="2:17">
      <c r="B64" s="9" t="str">
        <f t="shared" si="6"/>
        <v/>
      </c>
      <c r="C64" s="153">
        <f>IF(D11="","-",+C63+1)</f>
        <v>2055</v>
      </c>
      <c r="D64" s="159">
        <f>IF(F63+SUM(E$17:E63)=D$10,F63,D$10-SUM(E$17:E63))</f>
        <v>0</v>
      </c>
      <c r="E64" s="160">
        <f>IF(+I14&lt;F63,I14,D64)</f>
        <v>0</v>
      </c>
      <c r="F64" s="159">
        <f t="shared" si="13"/>
        <v>0</v>
      </c>
      <c r="G64" s="163">
        <f t="shared" si="11"/>
        <v>0</v>
      </c>
      <c r="H64" s="142">
        <f t="shared" si="12"/>
        <v>0</v>
      </c>
      <c r="I64" s="156">
        <f t="shared" si="14"/>
        <v>0</v>
      </c>
      <c r="J64" s="156"/>
      <c r="K64" s="334"/>
      <c r="L64" s="158">
        <f t="shared" si="15"/>
        <v>0</v>
      </c>
      <c r="M64" s="334"/>
      <c r="N64" s="158">
        <f t="shared" si="16"/>
        <v>0</v>
      </c>
      <c r="O64" s="158">
        <f t="shared" si="17"/>
        <v>0</v>
      </c>
      <c r="P64" s="4"/>
    </row>
    <row r="65" spans="1:16">
      <c r="B65" s="9" t="str">
        <f t="shared" si="6"/>
        <v/>
      </c>
      <c r="C65" s="153">
        <f>IF(D11="","-",+C64+1)</f>
        <v>2056</v>
      </c>
      <c r="D65" s="159">
        <f>IF(F64+SUM(E$17:E64)=D$10,F64,D$10-SUM(E$17:E64))</f>
        <v>0</v>
      </c>
      <c r="E65" s="160">
        <f>IF(+I14&lt;F64,I14,D65)</f>
        <v>0</v>
      </c>
      <c r="F65" s="159">
        <f t="shared" si="13"/>
        <v>0</v>
      </c>
      <c r="G65" s="163">
        <f t="shared" si="11"/>
        <v>0</v>
      </c>
      <c r="H65" s="142">
        <f t="shared" si="12"/>
        <v>0</v>
      </c>
      <c r="I65" s="156">
        <f t="shared" si="14"/>
        <v>0</v>
      </c>
      <c r="J65" s="156"/>
      <c r="K65" s="334"/>
      <c r="L65" s="158">
        <f t="shared" si="15"/>
        <v>0</v>
      </c>
      <c r="M65" s="334"/>
      <c r="N65" s="158">
        <f t="shared" si="16"/>
        <v>0</v>
      </c>
      <c r="O65" s="158">
        <f t="shared" si="17"/>
        <v>0</v>
      </c>
      <c r="P65" s="4"/>
    </row>
    <row r="66" spans="1:16">
      <c r="B66" s="9" t="str">
        <f t="shared" si="6"/>
        <v/>
      </c>
      <c r="C66" s="153">
        <f>IF(D11="","-",+C65+1)</f>
        <v>2057</v>
      </c>
      <c r="D66" s="159">
        <f>IF(F65+SUM(E$17:E65)=D$10,F65,D$10-SUM(E$17:E65))</f>
        <v>0</v>
      </c>
      <c r="E66" s="160">
        <f>IF(+I14&lt;F65,I14,D66)</f>
        <v>0</v>
      </c>
      <c r="F66" s="159">
        <f t="shared" si="13"/>
        <v>0</v>
      </c>
      <c r="G66" s="163">
        <f t="shared" si="11"/>
        <v>0</v>
      </c>
      <c r="H66" s="142">
        <f t="shared" si="12"/>
        <v>0</v>
      </c>
      <c r="I66" s="156">
        <f t="shared" si="14"/>
        <v>0</v>
      </c>
      <c r="J66" s="156"/>
      <c r="K66" s="334"/>
      <c r="L66" s="158">
        <f t="shared" si="15"/>
        <v>0</v>
      </c>
      <c r="M66" s="334"/>
      <c r="N66" s="158">
        <f t="shared" si="16"/>
        <v>0</v>
      </c>
      <c r="O66" s="158">
        <f t="shared" si="17"/>
        <v>0</v>
      </c>
      <c r="P66" s="4"/>
    </row>
    <row r="67" spans="1:16">
      <c r="B67" s="9" t="str">
        <f t="shared" si="6"/>
        <v/>
      </c>
      <c r="C67" s="153">
        <f>IF(D11="","-",+C66+1)</f>
        <v>2058</v>
      </c>
      <c r="D67" s="159">
        <f>IF(F66+SUM(E$17:E66)=D$10,F66,D$10-SUM(E$17:E66))</f>
        <v>0</v>
      </c>
      <c r="E67" s="160">
        <f>IF(+I14&lt;F66,I14,D67)</f>
        <v>0</v>
      </c>
      <c r="F67" s="159">
        <f t="shared" si="13"/>
        <v>0</v>
      </c>
      <c r="G67" s="163">
        <f t="shared" si="11"/>
        <v>0</v>
      </c>
      <c r="H67" s="142">
        <f t="shared" si="12"/>
        <v>0</v>
      </c>
      <c r="I67" s="156">
        <f t="shared" si="14"/>
        <v>0</v>
      </c>
      <c r="J67" s="156"/>
      <c r="K67" s="334"/>
      <c r="L67" s="158">
        <f t="shared" si="15"/>
        <v>0</v>
      </c>
      <c r="M67" s="334"/>
      <c r="N67" s="158">
        <f t="shared" si="16"/>
        <v>0</v>
      </c>
      <c r="O67" s="158">
        <f t="shared" si="17"/>
        <v>0</v>
      </c>
      <c r="P67" s="4"/>
    </row>
    <row r="68" spans="1:16">
      <c r="B68" s="9" t="str">
        <f t="shared" si="6"/>
        <v/>
      </c>
      <c r="C68" s="153">
        <f>IF(D11="","-",+C67+1)</f>
        <v>2059</v>
      </c>
      <c r="D68" s="159">
        <f>IF(F67+SUM(E$17:E67)=D$10,F67,D$10-SUM(E$17:E67))</f>
        <v>0</v>
      </c>
      <c r="E68" s="160">
        <f>IF(+I14&lt;F67,I14,D68)</f>
        <v>0</v>
      </c>
      <c r="F68" s="159">
        <f t="shared" si="13"/>
        <v>0</v>
      </c>
      <c r="G68" s="163">
        <f t="shared" si="11"/>
        <v>0</v>
      </c>
      <c r="H68" s="142">
        <f t="shared" si="12"/>
        <v>0</v>
      </c>
      <c r="I68" s="156">
        <f t="shared" si="14"/>
        <v>0</v>
      </c>
      <c r="J68" s="156"/>
      <c r="K68" s="334"/>
      <c r="L68" s="158">
        <f t="shared" si="15"/>
        <v>0</v>
      </c>
      <c r="M68" s="334"/>
      <c r="N68" s="158">
        <f t="shared" si="16"/>
        <v>0</v>
      </c>
      <c r="O68" s="158">
        <f t="shared" si="17"/>
        <v>0</v>
      </c>
      <c r="P68" s="4"/>
    </row>
    <row r="69" spans="1:16">
      <c r="B69" s="9" t="str">
        <f t="shared" si="6"/>
        <v/>
      </c>
      <c r="C69" s="153">
        <f>IF(D11="","-",+C68+1)</f>
        <v>2060</v>
      </c>
      <c r="D69" s="159">
        <f>IF(F68+SUM(E$17:E68)=D$10,F68,D$10-SUM(E$17:E68))</f>
        <v>0</v>
      </c>
      <c r="E69" s="160">
        <f>IF(+I14&lt;F68,I14,D69)</f>
        <v>0</v>
      </c>
      <c r="F69" s="159">
        <f t="shared" si="13"/>
        <v>0</v>
      </c>
      <c r="G69" s="163">
        <f t="shared" si="11"/>
        <v>0</v>
      </c>
      <c r="H69" s="142">
        <f t="shared" si="12"/>
        <v>0</v>
      </c>
      <c r="I69" s="156">
        <f t="shared" si="14"/>
        <v>0</v>
      </c>
      <c r="J69" s="156"/>
      <c r="K69" s="334"/>
      <c r="L69" s="158">
        <f t="shared" si="15"/>
        <v>0</v>
      </c>
      <c r="M69" s="334"/>
      <c r="N69" s="158">
        <f t="shared" si="16"/>
        <v>0</v>
      </c>
      <c r="O69" s="158">
        <f t="shared" si="17"/>
        <v>0</v>
      </c>
      <c r="P69" s="4"/>
    </row>
    <row r="70" spans="1:16">
      <c r="B70" s="9" t="str">
        <f t="shared" si="6"/>
        <v/>
      </c>
      <c r="C70" s="153">
        <f>IF(D11="","-",+C69+1)</f>
        <v>2061</v>
      </c>
      <c r="D70" s="159">
        <f>IF(F69+SUM(E$17:E69)=D$10,F69,D$10-SUM(E$17:E69))</f>
        <v>0</v>
      </c>
      <c r="E70" s="160">
        <f>IF(+I14&lt;F69,I14,D70)</f>
        <v>0</v>
      </c>
      <c r="F70" s="159">
        <f t="shared" si="13"/>
        <v>0</v>
      </c>
      <c r="G70" s="163">
        <f t="shared" si="11"/>
        <v>0</v>
      </c>
      <c r="H70" s="142">
        <f t="shared" si="12"/>
        <v>0</v>
      </c>
      <c r="I70" s="156">
        <f t="shared" si="14"/>
        <v>0</v>
      </c>
      <c r="J70" s="156"/>
      <c r="K70" s="334"/>
      <c r="L70" s="158">
        <f t="shared" si="15"/>
        <v>0</v>
      </c>
      <c r="M70" s="334"/>
      <c r="N70" s="158">
        <f t="shared" si="16"/>
        <v>0</v>
      </c>
      <c r="O70" s="158">
        <f t="shared" si="17"/>
        <v>0</v>
      </c>
      <c r="P70" s="4"/>
    </row>
    <row r="71" spans="1:16">
      <c r="B71" s="9" t="str">
        <f t="shared" si="6"/>
        <v/>
      </c>
      <c r="C71" s="153">
        <f>IF(D11="","-",+C70+1)</f>
        <v>2062</v>
      </c>
      <c r="D71" s="159">
        <f>IF(F70+SUM(E$17:E70)=D$10,F70,D$10-SUM(E$17:E70))</f>
        <v>0</v>
      </c>
      <c r="E71" s="160">
        <f>IF(+I14&lt;F70,I14,D71)</f>
        <v>0</v>
      </c>
      <c r="F71" s="159">
        <f t="shared" si="13"/>
        <v>0</v>
      </c>
      <c r="G71" s="163">
        <f t="shared" si="11"/>
        <v>0</v>
      </c>
      <c r="H71" s="142">
        <f t="shared" si="12"/>
        <v>0</v>
      </c>
      <c r="I71" s="156">
        <f t="shared" si="14"/>
        <v>0</v>
      </c>
      <c r="J71" s="156"/>
      <c r="K71" s="334"/>
      <c r="L71" s="158">
        <f t="shared" si="15"/>
        <v>0</v>
      </c>
      <c r="M71" s="334"/>
      <c r="N71" s="158">
        <f t="shared" si="16"/>
        <v>0</v>
      </c>
      <c r="O71" s="158">
        <f t="shared" si="17"/>
        <v>0</v>
      </c>
      <c r="P71" s="4"/>
    </row>
    <row r="72" spans="1:16" ht="13.5" thickBot="1">
      <c r="B72" s="9" t="str">
        <f t="shared" si="6"/>
        <v/>
      </c>
      <c r="C72" s="164">
        <f>IF(D11="","-",+C71+1)</f>
        <v>2063</v>
      </c>
      <c r="D72" s="165">
        <f>IF(F71+SUM(E$17:E71)=D$10,F71,D$10-SUM(E$17:E71))</f>
        <v>0</v>
      </c>
      <c r="E72" s="166">
        <f>IF(+I14&lt;F71,I14,D72)</f>
        <v>0</v>
      </c>
      <c r="F72" s="165">
        <f t="shared" si="13"/>
        <v>0</v>
      </c>
      <c r="G72" s="167">
        <f t="shared" si="11"/>
        <v>0</v>
      </c>
      <c r="H72" s="124">
        <f t="shared" si="12"/>
        <v>0</v>
      </c>
      <c r="I72" s="168">
        <f t="shared" si="14"/>
        <v>0</v>
      </c>
      <c r="J72" s="156"/>
      <c r="K72" s="335"/>
      <c r="L72" s="169">
        <f t="shared" si="15"/>
        <v>0</v>
      </c>
      <c r="M72" s="335"/>
      <c r="N72" s="169">
        <f t="shared" si="16"/>
        <v>0</v>
      </c>
      <c r="O72" s="169">
        <f t="shared" si="17"/>
        <v>0</v>
      </c>
      <c r="P72" s="4"/>
    </row>
    <row r="73" spans="1:16">
      <c r="C73" s="154" t="s">
        <v>73</v>
      </c>
      <c r="D73" s="111"/>
      <c r="E73" s="111">
        <f>SUM(E17:E72)</f>
        <v>9655697</v>
      </c>
      <c r="F73" s="111"/>
      <c r="G73" s="111">
        <f>SUM(G17:G72)</f>
        <v>33301058.749296825</v>
      </c>
      <c r="H73" s="111">
        <f>SUM(H17:H72)</f>
        <v>33301058.749296825</v>
      </c>
      <c r="I73" s="111">
        <f>SUM(I17:I72)</f>
        <v>0</v>
      </c>
      <c r="J73" s="111"/>
      <c r="K73" s="111"/>
      <c r="L73" s="111"/>
      <c r="M73" s="111"/>
      <c r="N73" s="111"/>
      <c r="O73" s="4"/>
      <c r="P73" s="4"/>
    </row>
    <row r="74" spans="1:16">
      <c r="D74" s="2"/>
      <c r="E74" s="1"/>
      <c r="F74" s="1"/>
      <c r="G74" s="1"/>
      <c r="H74" s="3"/>
      <c r="I74" s="3"/>
      <c r="J74" s="111"/>
      <c r="K74" s="3"/>
      <c r="L74" s="3"/>
      <c r="M74" s="3"/>
      <c r="N74" s="3"/>
      <c r="O74" s="1"/>
      <c r="P74" s="1"/>
    </row>
    <row r="75" spans="1:16">
      <c r="C75" s="170" t="s">
        <v>91</v>
      </c>
      <c r="D75" s="2"/>
      <c r="E75" s="1"/>
      <c r="F75" s="1"/>
      <c r="G75" s="1"/>
      <c r="H75" s="3"/>
      <c r="I75" s="3"/>
      <c r="J75" s="111"/>
      <c r="K75" s="3"/>
      <c r="L75" s="3"/>
      <c r="M75" s="3"/>
      <c r="N75" s="3"/>
      <c r="O75" s="1"/>
      <c r="P75" s="1"/>
    </row>
    <row r="76" spans="1:16">
      <c r="C76" s="121" t="s">
        <v>74</v>
      </c>
      <c r="D76" s="2"/>
      <c r="E76" s="1"/>
      <c r="F76" s="1"/>
      <c r="G76" s="1"/>
      <c r="H76" s="3"/>
      <c r="I76" s="3"/>
      <c r="J76" s="111"/>
      <c r="K76" s="3"/>
      <c r="L76" s="3"/>
      <c r="M76" s="3"/>
      <c r="N76" s="3"/>
      <c r="O76" s="4"/>
      <c r="P76" s="4"/>
    </row>
    <row r="77" spans="1:16" ht="18">
      <c r="C77" s="121" t="s">
        <v>75</v>
      </c>
      <c r="D77" s="154"/>
      <c r="E77" s="154"/>
      <c r="F77" s="154"/>
      <c r="G77" s="111"/>
      <c r="H77" s="111"/>
      <c r="I77" s="171"/>
      <c r="J77" s="171"/>
      <c r="K77" s="171"/>
      <c r="L77" s="171"/>
      <c r="M77" s="171"/>
      <c r="N77" s="171"/>
      <c r="O77" s="110"/>
      <c r="P77" s="4"/>
    </row>
    <row r="78" spans="1:16">
      <c r="C78" s="121"/>
      <c r="D78" s="154"/>
      <c r="E78" s="154"/>
      <c r="F78" s="154"/>
      <c r="G78" s="111"/>
      <c r="H78" s="111"/>
      <c r="I78" s="171"/>
      <c r="J78" s="171"/>
      <c r="K78" s="171"/>
      <c r="L78" s="171"/>
      <c r="M78" s="171"/>
      <c r="N78" s="171"/>
      <c r="O78" s="4"/>
      <c r="P78" s="1"/>
    </row>
    <row r="79" spans="1:16" ht="15">
      <c r="A79" s="241"/>
      <c r="B79" s="1"/>
      <c r="C79" s="21"/>
      <c r="D79" s="2"/>
      <c r="E79" s="1"/>
      <c r="F79" s="107"/>
      <c r="G79" s="1"/>
      <c r="H79" s="3"/>
      <c r="I79" s="1"/>
      <c r="J79" s="4"/>
      <c r="K79" s="1"/>
      <c r="L79" s="1"/>
      <c r="M79" s="1"/>
      <c r="N79" s="1"/>
    </row>
    <row r="80" spans="1:16" ht="18">
      <c r="B80" s="1"/>
      <c r="C80" s="242"/>
      <c r="D80" s="2"/>
      <c r="E80" s="1"/>
      <c r="F80" s="107"/>
      <c r="G80" s="1"/>
      <c r="H80" s="3"/>
      <c r="I80" s="1"/>
      <c r="J80" s="4"/>
      <c r="K80" s="1"/>
      <c r="L80" s="1"/>
      <c r="M80" s="1"/>
      <c r="N80" s="1"/>
      <c r="P80" s="244" t="s">
        <v>125</v>
      </c>
    </row>
    <row r="81" spans="1:17">
      <c r="B81" s="1"/>
      <c r="C81" s="242"/>
      <c r="D81" s="2"/>
      <c r="E81" s="1"/>
      <c r="F81" s="107"/>
      <c r="G81" s="1"/>
      <c r="H81" s="3"/>
      <c r="I81" s="1"/>
      <c r="J81" s="4"/>
      <c r="K81" s="1"/>
      <c r="L81" s="1"/>
      <c r="M81" s="1"/>
      <c r="N81" s="1"/>
      <c r="O81" s="1"/>
      <c r="P81" s="1"/>
    </row>
    <row r="82" spans="1:17">
      <c r="B82" s="1"/>
      <c r="C82" s="21"/>
      <c r="D82" s="2"/>
      <c r="E82" s="1"/>
      <c r="F82" s="107"/>
      <c r="G82" s="1"/>
      <c r="H82" s="3"/>
      <c r="I82" s="1"/>
      <c r="J82" s="4"/>
      <c r="K82" s="1"/>
      <c r="L82" s="1"/>
      <c r="M82" s="1"/>
      <c r="N82" s="1"/>
      <c r="O82" s="1"/>
      <c r="P82" s="1"/>
      <c r="Q82" s="1"/>
    </row>
    <row r="83" spans="1:17" ht="20.25">
      <c r="A83" s="243" t="s">
        <v>129</v>
      </c>
      <c r="B83" s="1"/>
      <c r="C83" s="21"/>
      <c r="D83" s="2"/>
      <c r="E83" s="1"/>
      <c r="F83" s="99"/>
      <c r="G83" s="99"/>
      <c r="H83" s="1"/>
      <c r="I83" s="3"/>
      <c r="K83" s="7"/>
      <c r="L83" s="109"/>
      <c r="M83" s="109"/>
      <c r="P83" s="110" t="str">
        <f ca="1">P1</f>
        <v>SWEPCO Project 8 of 73</v>
      </c>
      <c r="Q83" s="1"/>
    </row>
    <row r="84" spans="1:17" ht="18">
      <c r="B84" s="1"/>
      <c r="C84" s="1"/>
      <c r="D84" s="2"/>
      <c r="E84" s="1"/>
      <c r="F84" s="1"/>
      <c r="G84" s="1"/>
      <c r="H84" s="1"/>
      <c r="I84" s="3"/>
      <c r="J84" s="1"/>
      <c r="K84" s="4"/>
      <c r="L84" s="1"/>
      <c r="M84" s="1"/>
      <c r="P84" s="237" t="s">
        <v>123</v>
      </c>
      <c r="Q84" s="1"/>
    </row>
    <row r="85" spans="1:17" ht="18.75" thickBot="1">
      <c r="B85" s="5" t="s">
        <v>40</v>
      </c>
      <c r="C85" s="197" t="s">
        <v>78</v>
      </c>
      <c r="D85" s="2"/>
      <c r="E85" s="1"/>
      <c r="F85" s="1"/>
      <c r="G85" s="1"/>
      <c r="H85" s="1"/>
      <c r="I85" s="3"/>
      <c r="J85" s="3"/>
      <c r="K85" s="111"/>
      <c r="L85" s="3"/>
      <c r="M85" s="3"/>
      <c r="N85" s="3"/>
      <c r="O85" s="111"/>
      <c r="P85" s="1"/>
      <c r="Q85" s="1"/>
    </row>
    <row r="86" spans="1:17" ht="15.75" thickBot="1">
      <c r="C86" s="67"/>
      <c r="D86" s="2"/>
      <c r="E86" s="1"/>
      <c r="F86" s="1"/>
      <c r="G86" s="1"/>
      <c r="H86" s="1"/>
      <c r="I86" s="3"/>
      <c r="J86" s="3"/>
      <c r="K86" s="111"/>
      <c r="L86" s="265">
        <f>+J92</f>
        <v>2017</v>
      </c>
      <c r="M86" s="266" t="s">
        <v>7</v>
      </c>
      <c r="N86" s="270" t="s">
        <v>154</v>
      </c>
      <c r="O86" s="267" t="s">
        <v>9</v>
      </c>
      <c r="P86" s="1"/>
      <c r="Q86" s="1"/>
    </row>
    <row r="87" spans="1:17" ht="15">
      <c r="C87" s="235" t="s">
        <v>42</v>
      </c>
      <c r="D87" s="2"/>
      <c r="E87" s="1"/>
      <c r="F87" s="1"/>
      <c r="G87" s="1"/>
      <c r="H87" s="113"/>
      <c r="I87" s="1" t="s">
        <v>43</v>
      </c>
      <c r="J87" s="1"/>
      <c r="K87" s="261"/>
      <c r="L87" s="259" t="s">
        <v>381</v>
      </c>
      <c r="M87" s="198">
        <f>IF(J92&lt;D11,0,VLOOKUP(J92,C17:O72,9))</f>
        <v>1165021.6585770869</v>
      </c>
      <c r="N87" s="198">
        <f>IF(J92&lt;D11,0,VLOOKUP(J92,C17:O72,11))</f>
        <v>1165021.6585770869</v>
      </c>
      <c r="O87" s="199">
        <f>+N87-M87</f>
        <v>0</v>
      </c>
      <c r="P87" s="1"/>
      <c r="Q87" s="1"/>
    </row>
    <row r="88" spans="1:17" ht="15.75">
      <c r="C88" s="8"/>
      <c r="D88" s="2"/>
      <c r="E88" s="1"/>
      <c r="F88" s="1"/>
      <c r="G88" s="1"/>
      <c r="H88" s="1"/>
      <c r="I88" s="117"/>
      <c r="J88" s="117"/>
      <c r="K88" s="263"/>
      <c r="L88" s="264" t="s">
        <v>382</v>
      </c>
      <c r="M88" s="200">
        <f>IF(J92&lt;D11,0,VLOOKUP(J92,C99:P154,6))</f>
        <v>1164112.978438803</v>
      </c>
      <c r="N88" s="200">
        <f>IF(J92&lt;D11,0,VLOOKUP(J92,C99:P154,7))</f>
        <v>1164112.978438803</v>
      </c>
      <c r="O88" s="201">
        <f>+N88-M88</f>
        <v>0</v>
      </c>
      <c r="P88" s="1"/>
      <c r="Q88" s="1"/>
    </row>
    <row r="89" spans="1:17" ht="13.5" thickBot="1">
      <c r="C89" s="121" t="s">
        <v>79</v>
      </c>
      <c r="D89" s="246" t="str">
        <f>+D7</f>
        <v>Dyess to S. Fayetteville 69 kV Convert to 161 kV (multi-projects)</v>
      </c>
      <c r="E89" s="1"/>
      <c r="F89" s="1"/>
      <c r="G89" s="1"/>
      <c r="H89" s="1"/>
      <c r="I89" s="3"/>
      <c r="J89" s="3"/>
      <c r="K89" s="262"/>
      <c r="L89" s="260" t="s">
        <v>151</v>
      </c>
      <c r="M89" s="203">
        <f>+M88-M87</f>
        <v>-908.68013828387484</v>
      </c>
      <c r="N89" s="203">
        <f>+N88-N87</f>
        <v>-908.68013828387484</v>
      </c>
      <c r="O89" s="204">
        <f>+O88-O87</f>
        <v>0</v>
      </c>
      <c r="P89" s="1"/>
      <c r="Q89" s="1"/>
    </row>
    <row r="90" spans="1:17" ht="13.5" thickBot="1">
      <c r="C90" s="170"/>
      <c r="D90" s="173" t="str">
        <f>D8</f>
        <v/>
      </c>
      <c r="E90" s="107"/>
      <c r="F90" s="107"/>
      <c r="G90" s="107"/>
      <c r="H90" s="126"/>
      <c r="I90" s="3"/>
      <c r="J90" s="3"/>
      <c r="K90" s="111"/>
      <c r="L90" s="3"/>
      <c r="M90" s="3"/>
      <c r="N90" s="3"/>
      <c r="O90" s="111"/>
      <c r="P90" s="1"/>
      <c r="Q90" s="1"/>
    </row>
    <row r="91" spans="1:17" ht="13.5" thickBot="1">
      <c r="A91" s="103"/>
      <c r="C91" s="205" t="s">
        <v>80</v>
      </c>
      <c r="D91" s="224" t="str">
        <f>+D9</f>
        <v>TP2002085</v>
      </c>
      <c r="E91" s="206"/>
      <c r="F91" s="206"/>
      <c r="G91" s="206"/>
      <c r="H91" s="206"/>
      <c r="I91" s="206"/>
      <c r="J91" s="238"/>
      <c r="K91" s="207"/>
      <c r="P91" s="131"/>
      <c r="Q91" s="1"/>
    </row>
    <row r="92" spans="1:17">
      <c r="C92" s="136" t="s">
        <v>47</v>
      </c>
      <c r="D92" s="133">
        <v>9655697</v>
      </c>
      <c r="E92" s="21" t="s">
        <v>81</v>
      </c>
      <c r="H92" s="134"/>
      <c r="I92" s="134"/>
      <c r="J92" s="135">
        <f>+'SWE.WS.G.BPU.ATRR.True-up'!M15</f>
        <v>2017</v>
      </c>
      <c r="K92" s="130"/>
      <c r="L92" s="111" t="s">
        <v>82</v>
      </c>
      <c r="P92" s="4"/>
      <c r="Q92" s="1"/>
    </row>
    <row r="93" spans="1:17">
      <c r="C93" s="136" t="s">
        <v>49</v>
      </c>
      <c r="D93" s="219">
        <f>IF(D11=I10,"",D11)</f>
        <v>2008</v>
      </c>
      <c r="E93" s="136" t="s">
        <v>50</v>
      </c>
      <c r="F93" s="134"/>
      <c r="G93" s="134"/>
      <c r="J93" s="138">
        <f>IF(H87="",0,'SWE.WS.G.BPU.ATRR.True-up'!$F$12)</f>
        <v>0</v>
      </c>
      <c r="K93" s="139"/>
      <c r="L93" t="str">
        <f>"          INPUT TRUE-UP ARR (WITH &amp; WITHOUT INCENTIVES) FROM EACH PRIOR YEAR"</f>
        <v xml:space="preserve">          INPUT TRUE-UP ARR (WITH &amp; WITHOUT INCENTIVES) FROM EACH PRIOR YEAR</v>
      </c>
      <c r="P93" s="4"/>
      <c r="Q93" s="1"/>
    </row>
    <row r="94" spans="1:17">
      <c r="C94" s="136" t="s">
        <v>51</v>
      </c>
      <c r="D94" s="218">
        <f>IF(D11=I10,"",D12)</f>
        <v>7</v>
      </c>
      <c r="E94" s="136" t="s">
        <v>52</v>
      </c>
      <c r="F94" s="134"/>
      <c r="G94" s="134"/>
      <c r="J94" s="140">
        <f>'SWE.WS.G.BPU.ATRR.True-up'!$F$80</f>
        <v>0.12147145768398206</v>
      </c>
      <c r="K94" s="141"/>
      <c r="L94" t="s">
        <v>83</v>
      </c>
      <c r="P94" s="4"/>
      <c r="Q94" s="1"/>
    </row>
    <row r="95" spans="1:17">
      <c r="C95" s="136" t="s">
        <v>54</v>
      </c>
      <c r="D95" s="138">
        <f>'SWE.WS.G.BPU.ATRR.True-up'!F$92</f>
        <v>42</v>
      </c>
      <c r="E95" s="136" t="s">
        <v>55</v>
      </c>
      <c r="F95" s="134"/>
      <c r="G95" s="134"/>
      <c r="J95" s="140">
        <f>IF(H87="",J94,'SWE.WS.G.BPU.ATRR.True-up'!$F$79)</f>
        <v>0.12147145768398206</v>
      </c>
      <c r="K95" s="58"/>
      <c r="L95" s="111" t="s">
        <v>56</v>
      </c>
      <c r="M95" s="58"/>
      <c r="N95" s="58"/>
      <c r="O95" s="58"/>
      <c r="P95" s="4"/>
      <c r="Q95" s="1"/>
    </row>
    <row r="96" spans="1:17" ht="13.5" thickBot="1">
      <c r="C96" s="136" t="s">
        <v>57</v>
      </c>
      <c r="D96" s="220" t="str">
        <f>+D14</f>
        <v>No</v>
      </c>
      <c r="E96" s="202" t="s">
        <v>59</v>
      </c>
      <c r="F96" s="208"/>
      <c r="G96" s="208"/>
      <c r="H96" s="209"/>
      <c r="I96" s="209"/>
      <c r="J96" s="124">
        <f>IF(D92=0,0,D92/D95)</f>
        <v>229897.54761904763</v>
      </c>
      <c r="K96" s="111"/>
      <c r="L96" s="111"/>
      <c r="M96" s="111"/>
      <c r="N96" s="111"/>
      <c r="O96" s="111"/>
      <c r="P96" s="4"/>
      <c r="Q96" s="1"/>
    </row>
    <row r="97" spans="1:17" ht="38.25">
      <c r="A97" s="6"/>
      <c r="B97" s="6"/>
      <c r="C97" s="210" t="s">
        <v>47</v>
      </c>
      <c r="D97" s="211" t="s">
        <v>60</v>
      </c>
      <c r="E97" s="146" t="s">
        <v>61</v>
      </c>
      <c r="F97" s="146" t="s">
        <v>62</v>
      </c>
      <c r="G97" s="144" t="s">
        <v>84</v>
      </c>
      <c r="H97" s="434" t="s">
        <v>378</v>
      </c>
      <c r="I97" s="435" t="s">
        <v>379</v>
      </c>
      <c r="J97" s="210" t="s">
        <v>85</v>
      </c>
      <c r="K97" s="212"/>
      <c r="L97" s="271" t="s">
        <v>220</v>
      </c>
      <c r="M97" s="146" t="s">
        <v>86</v>
      </c>
      <c r="N97" s="271" t="s">
        <v>220</v>
      </c>
      <c r="O97" s="146" t="s">
        <v>86</v>
      </c>
      <c r="P97" s="146" t="s">
        <v>65</v>
      </c>
      <c r="Q97" s="1"/>
    </row>
    <row r="98" spans="1:17" ht="13.5" thickBot="1">
      <c r="C98" s="147" t="s">
        <v>66</v>
      </c>
      <c r="D98" s="213" t="s">
        <v>67</v>
      </c>
      <c r="E98" s="147" t="s">
        <v>68</v>
      </c>
      <c r="F98" s="147" t="s">
        <v>67</v>
      </c>
      <c r="G98" s="147" t="s">
        <v>67</v>
      </c>
      <c r="H98" s="407" t="s">
        <v>69</v>
      </c>
      <c r="I98" s="408" t="s">
        <v>70</v>
      </c>
      <c r="J98" s="149" t="s">
        <v>89</v>
      </c>
      <c r="K98" s="150"/>
      <c r="L98" s="151" t="s">
        <v>72</v>
      </c>
      <c r="M98" s="151" t="s">
        <v>72</v>
      </c>
      <c r="N98" s="151" t="s">
        <v>90</v>
      </c>
      <c r="O98" s="151" t="s">
        <v>90</v>
      </c>
      <c r="P98" s="151" t="s">
        <v>90</v>
      </c>
      <c r="Q98" s="1"/>
    </row>
    <row r="99" spans="1:17">
      <c r="C99" s="153">
        <f>IF(D93= "","-",D93)</f>
        <v>2008</v>
      </c>
      <c r="D99" s="357">
        <v>0</v>
      </c>
      <c r="E99" s="360">
        <v>71783</v>
      </c>
      <c r="F99" s="361">
        <v>6302584</v>
      </c>
      <c r="G99" s="365">
        <v>3151292</v>
      </c>
      <c r="H99" s="362">
        <v>574103</v>
      </c>
      <c r="I99" s="363">
        <v>574103</v>
      </c>
      <c r="J99" s="158">
        <f t="shared" ref="J99:J130" si="18">+I99-H99</f>
        <v>0</v>
      </c>
      <c r="K99" s="158"/>
      <c r="L99" s="256">
        <v>574103</v>
      </c>
      <c r="M99" s="172">
        <f t="shared" ref="M99:M130" si="19">IF(L99&lt;&gt;0,+H99-L99,0)</f>
        <v>0</v>
      </c>
      <c r="N99" s="256">
        <v>574103</v>
      </c>
      <c r="O99" s="157">
        <f t="shared" ref="O99:O130" si="20">IF(N99&lt;&gt;0,+I99-N99,0)</f>
        <v>0</v>
      </c>
      <c r="P99" s="157">
        <f t="shared" ref="P99:P130" si="21">+O99-M99</f>
        <v>0</v>
      </c>
      <c r="Q99" s="1"/>
    </row>
    <row r="100" spans="1:17">
      <c r="B100" s="9" t="str">
        <f>IF(D100=F99,"","IU")</f>
        <v>IU</v>
      </c>
      <c r="C100" s="153">
        <f>IF(D93="","-",+C99+1)</f>
        <v>2009</v>
      </c>
      <c r="D100" s="357">
        <v>6334999</v>
      </c>
      <c r="E100" s="360">
        <v>168599</v>
      </c>
      <c r="F100" s="361">
        <v>6166399</v>
      </c>
      <c r="G100" s="361">
        <v>6250699</v>
      </c>
      <c r="H100" s="360">
        <v>1073311</v>
      </c>
      <c r="I100" s="359">
        <v>1073311</v>
      </c>
      <c r="J100" s="158">
        <f t="shared" si="18"/>
        <v>0</v>
      </c>
      <c r="K100" s="158"/>
      <c r="L100" s="258">
        <f t="shared" ref="L100:L105" si="22">H100</f>
        <v>1073311</v>
      </c>
      <c r="M100" s="257">
        <f t="shared" si="19"/>
        <v>0</v>
      </c>
      <c r="N100" s="258">
        <f t="shared" ref="N100:N105" si="23">I100</f>
        <v>1073311</v>
      </c>
      <c r="O100" s="158">
        <f t="shared" si="20"/>
        <v>0</v>
      </c>
      <c r="P100" s="158">
        <f t="shared" si="21"/>
        <v>0</v>
      </c>
      <c r="Q100" s="1"/>
    </row>
    <row r="101" spans="1:17">
      <c r="B101" s="9" t="str">
        <f t="shared" ref="B101:B154" si="24">IF(D101=F100,"","IU")</f>
        <v>IU</v>
      </c>
      <c r="C101" s="153">
        <f>IF(D93="","-",+C100+1)</f>
        <v>2010</v>
      </c>
      <c r="D101" s="357">
        <v>9415315</v>
      </c>
      <c r="E101" s="360">
        <v>235504.80487804877</v>
      </c>
      <c r="F101" s="361">
        <v>9179810.1951219514</v>
      </c>
      <c r="G101" s="361">
        <v>9297562.5975609757</v>
      </c>
      <c r="H101" s="360">
        <v>1770402.9873066382</v>
      </c>
      <c r="I101" s="359">
        <v>1770402.9873066382</v>
      </c>
      <c r="J101" s="158">
        <f t="shared" si="18"/>
        <v>0</v>
      </c>
      <c r="K101" s="158"/>
      <c r="L101" s="258">
        <f t="shared" si="22"/>
        <v>1770402.9873066382</v>
      </c>
      <c r="M101" s="257">
        <f t="shared" si="19"/>
        <v>0</v>
      </c>
      <c r="N101" s="258">
        <f t="shared" si="23"/>
        <v>1770402.9873066382</v>
      </c>
      <c r="O101" s="158">
        <f t="shared" si="20"/>
        <v>0</v>
      </c>
      <c r="P101" s="158">
        <f t="shared" si="21"/>
        <v>0</v>
      </c>
      <c r="Q101" s="1"/>
    </row>
    <row r="102" spans="1:17">
      <c r="B102" s="9" t="str">
        <f t="shared" si="24"/>
        <v/>
      </c>
      <c r="C102" s="153">
        <f>IF(D93="","-",+C101+1)</f>
        <v>2011</v>
      </c>
      <c r="D102" s="357">
        <v>9179810.1951219514</v>
      </c>
      <c r="E102" s="377">
        <v>229897.54761904763</v>
      </c>
      <c r="F102" s="361">
        <v>8949912.6475029029</v>
      </c>
      <c r="G102" s="361">
        <v>9064861.4213124271</v>
      </c>
      <c r="H102" s="360">
        <v>1593070.5131617924</v>
      </c>
      <c r="I102" s="359">
        <v>1593070.5131617924</v>
      </c>
      <c r="J102" s="158">
        <f t="shared" si="18"/>
        <v>0</v>
      </c>
      <c r="K102" s="158"/>
      <c r="L102" s="258">
        <f t="shared" si="22"/>
        <v>1593070.5131617924</v>
      </c>
      <c r="M102" s="257">
        <f t="shared" si="19"/>
        <v>0</v>
      </c>
      <c r="N102" s="258">
        <f t="shared" si="23"/>
        <v>1593070.5131617924</v>
      </c>
      <c r="O102" s="158">
        <f t="shared" si="20"/>
        <v>0</v>
      </c>
      <c r="P102" s="158">
        <f t="shared" si="21"/>
        <v>0</v>
      </c>
      <c r="Q102" s="1"/>
    </row>
    <row r="103" spans="1:17">
      <c r="B103" s="9" t="str">
        <f t="shared" si="24"/>
        <v/>
      </c>
      <c r="C103" s="153">
        <f>IF(D93="","-",+C102+1)</f>
        <v>2012</v>
      </c>
      <c r="D103" s="357">
        <v>8949912.6475029029</v>
      </c>
      <c r="E103" s="360">
        <v>229897.54761904763</v>
      </c>
      <c r="F103" s="361">
        <v>8720015.0998838544</v>
      </c>
      <c r="G103" s="361">
        <v>8834963.8736933786</v>
      </c>
      <c r="H103" s="360">
        <v>1529997.2189099854</v>
      </c>
      <c r="I103" s="359">
        <v>1529997.2189099854</v>
      </c>
      <c r="J103" s="158">
        <f t="shared" si="18"/>
        <v>0</v>
      </c>
      <c r="K103" s="158"/>
      <c r="L103" s="258">
        <f t="shared" si="22"/>
        <v>1529997.2189099854</v>
      </c>
      <c r="M103" s="257">
        <f t="shared" si="19"/>
        <v>0</v>
      </c>
      <c r="N103" s="258">
        <f t="shared" si="23"/>
        <v>1529997.2189099854</v>
      </c>
      <c r="O103" s="158">
        <f t="shared" si="20"/>
        <v>0</v>
      </c>
      <c r="P103" s="158">
        <f t="shared" si="21"/>
        <v>0</v>
      </c>
      <c r="Q103" s="1"/>
    </row>
    <row r="104" spans="1:17">
      <c r="B104" s="9" t="str">
        <f t="shared" si="24"/>
        <v/>
      </c>
      <c r="C104" s="153">
        <f>IF(D93="","-",+C103+1)</f>
        <v>2013</v>
      </c>
      <c r="D104" s="357">
        <v>8720015.0998838544</v>
      </c>
      <c r="E104" s="360">
        <v>229897.54761904763</v>
      </c>
      <c r="F104" s="361">
        <v>8490117.5522648059</v>
      </c>
      <c r="G104" s="361">
        <v>8605066.3260743301</v>
      </c>
      <c r="H104" s="360">
        <v>1394091.6193593477</v>
      </c>
      <c r="I104" s="359">
        <v>1394091.6193593477</v>
      </c>
      <c r="J104" s="158">
        <v>0</v>
      </c>
      <c r="K104" s="158"/>
      <c r="L104" s="258">
        <f t="shared" si="22"/>
        <v>1394091.6193593477</v>
      </c>
      <c r="M104" s="257">
        <f>IF(L104&lt;&gt;0,+H104-L104,0)</f>
        <v>0</v>
      </c>
      <c r="N104" s="258">
        <f t="shared" si="23"/>
        <v>1394091.6193593477</v>
      </c>
      <c r="O104" s="158">
        <f>IF(N104&lt;&gt;0,+I104-N104,0)</f>
        <v>0</v>
      </c>
      <c r="P104" s="158">
        <f>+O104-M104</f>
        <v>0</v>
      </c>
      <c r="Q104" s="1"/>
    </row>
    <row r="105" spans="1:17">
      <c r="B105" s="9" t="str">
        <f t="shared" si="24"/>
        <v/>
      </c>
      <c r="C105" s="153">
        <f>IF(D93="","-",+C104+1)</f>
        <v>2014</v>
      </c>
      <c r="D105" s="357">
        <v>8490117.5522648059</v>
      </c>
      <c r="E105" s="360">
        <v>229897.54761904763</v>
      </c>
      <c r="F105" s="361">
        <v>8260220.0046457583</v>
      </c>
      <c r="G105" s="361">
        <v>8375168.7784552816</v>
      </c>
      <c r="H105" s="360">
        <v>1368279.4640981164</v>
      </c>
      <c r="I105" s="359">
        <v>1368279.4640981164</v>
      </c>
      <c r="J105" s="158">
        <v>0</v>
      </c>
      <c r="K105" s="158"/>
      <c r="L105" s="258">
        <f t="shared" si="22"/>
        <v>1368279.4640981164</v>
      </c>
      <c r="M105" s="257">
        <f>IF(L105&lt;&gt;0,+H105-L105,0)</f>
        <v>0</v>
      </c>
      <c r="N105" s="258">
        <f t="shared" si="23"/>
        <v>1368279.4640981164</v>
      </c>
      <c r="O105" s="158">
        <f>IF(N105&lt;&gt;0,+I105-N105,0)</f>
        <v>0</v>
      </c>
      <c r="P105" s="158">
        <f>+O105-M105</f>
        <v>0</v>
      </c>
      <c r="Q105" s="1"/>
    </row>
    <row r="106" spans="1:17">
      <c r="B106" s="9" t="str">
        <f t="shared" si="24"/>
        <v/>
      </c>
      <c r="C106" s="153">
        <f>IF(D93="","-",+C105+1)</f>
        <v>2015</v>
      </c>
      <c r="D106" s="357">
        <v>8260220.0046457583</v>
      </c>
      <c r="E106" s="360">
        <v>229897.54761904763</v>
      </c>
      <c r="F106" s="361">
        <v>8030322.4570267107</v>
      </c>
      <c r="G106" s="361">
        <v>8145271.230836235</v>
      </c>
      <c r="H106" s="360">
        <v>1303190.7976937878</v>
      </c>
      <c r="I106" s="359">
        <v>1303190.7976937878</v>
      </c>
      <c r="J106" s="158">
        <f t="shared" si="18"/>
        <v>0</v>
      </c>
      <c r="K106" s="158"/>
      <c r="L106" s="258">
        <f>H106</f>
        <v>1303190.7976937878</v>
      </c>
      <c r="M106" s="257">
        <f>IF(L106&lt;&gt;0,+H106-L106,0)</f>
        <v>0</v>
      </c>
      <c r="N106" s="258">
        <f>I106</f>
        <v>1303190.7976937878</v>
      </c>
      <c r="O106" s="158">
        <f>IF(N106&lt;&gt;0,+I106-N106,0)</f>
        <v>0</v>
      </c>
      <c r="P106" s="158">
        <f>+O106-M106</f>
        <v>0</v>
      </c>
      <c r="Q106" s="1"/>
    </row>
    <row r="107" spans="1:17">
      <c r="B107" s="9" t="str">
        <f t="shared" si="24"/>
        <v/>
      </c>
      <c r="C107" s="153">
        <f>IF(D93="","-",+C106+1)</f>
        <v>2016</v>
      </c>
      <c r="D107" s="357">
        <v>8030322.4570267107</v>
      </c>
      <c r="E107" s="360">
        <v>224551.09302325582</v>
      </c>
      <c r="F107" s="361">
        <v>7805771.3640034553</v>
      </c>
      <c r="G107" s="361">
        <v>7918046.910515083</v>
      </c>
      <c r="H107" s="360">
        <v>1229747.055579846</v>
      </c>
      <c r="I107" s="359">
        <v>1229747.055579846</v>
      </c>
      <c r="J107" s="158">
        <v>0</v>
      </c>
      <c r="K107" s="158"/>
      <c r="L107" s="258">
        <f>H107</f>
        <v>1229747.055579846</v>
      </c>
      <c r="M107" s="257">
        <f>IF(L107&lt;&gt;0,+H107-L107,0)</f>
        <v>0</v>
      </c>
      <c r="N107" s="258">
        <f>I107</f>
        <v>1229747.055579846</v>
      </c>
      <c r="O107" s="158">
        <f>IF(N107&lt;&gt;0,+I107-N107,0)</f>
        <v>0</v>
      </c>
      <c r="P107" s="158">
        <f>+O107-M107</f>
        <v>0</v>
      </c>
      <c r="Q107" s="1"/>
    </row>
    <row r="108" spans="1:17">
      <c r="B108" s="9" t="str">
        <f t="shared" si="24"/>
        <v/>
      </c>
      <c r="C108" s="153">
        <f>IF(D93="","-",+C107+1)</f>
        <v>2017</v>
      </c>
      <c r="D108" s="154">
        <f>IF(F107+SUM(E$99:E107)=D$92,F107,D$92-SUM(E$99:E107))</f>
        <v>7805771.3640034553</v>
      </c>
      <c r="E108" s="160">
        <f>IF(+J96&lt;F107,J96,D108)</f>
        <v>229897.54761904763</v>
      </c>
      <c r="F108" s="159">
        <f t="shared" ref="F108:F130" si="25">+D108-E108</f>
        <v>7575873.8163844077</v>
      </c>
      <c r="G108" s="159">
        <f t="shared" ref="G108:G130" si="26">+(F108+D108)/2</f>
        <v>7690822.590193931</v>
      </c>
      <c r="H108" s="163">
        <f>+J$94*G108+E108</f>
        <v>1164112.978438803</v>
      </c>
      <c r="I108" s="253">
        <f>+J$95*G108+E108</f>
        <v>1164112.978438803</v>
      </c>
      <c r="J108" s="158">
        <f t="shared" si="18"/>
        <v>0</v>
      </c>
      <c r="K108" s="158"/>
      <c r="L108" s="334"/>
      <c r="M108" s="158">
        <f t="shared" si="19"/>
        <v>0</v>
      </c>
      <c r="N108" s="334"/>
      <c r="O108" s="158">
        <f t="shared" si="20"/>
        <v>0</v>
      </c>
      <c r="P108" s="158">
        <f t="shared" si="21"/>
        <v>0</v>
      </c>
      <c r="Q108" s="1"/>
    </row>
    <row r="109" spans="1:17">
      <c r="B109" s="9" t="str">
        <f t="shared" si="24"/>
        <v/>
      </c>
      <c r="C109" s="153">
        <f>IF(D93="","-",+C108+1)</f>
        <v>2018</v>
      </c>
      <c r="D109" s="154">
        <f>IF(F108+SUM(E$99:E108)=D$92,F108,D$92-SUM(E$99:E108))</f>
        <v>7575873.8163844077</v>
      </c>
      <c r="E109" s="160">
        <f>IF(+J96&lt;F108,J96,D109)</f>
        <v>229897.54761904763</v>
      </c>
      <c r="F109" s="159">
        <f t="shared" si="25"/>
        <v>7345976.2687653601</v>
      </c>
      <c r="G109" s="159">
        <f t="shared" si="26"/>
        <v>7460925.0425748844</v>
      </c>
      <c r="H109" s="163">
        <f>+J$94*G109+E109</f>
        <v>1136186.9882115447</v>
      </c>
      <c r="I109" s="253">
        <f>+J$95*G109+E109</f>
        <v>1136186.9882115447</v>
      </c>
      <c r="J109" s="158">
        <f t="shared" si="18"/>
        <v>0</v>
      </c>
      <c r="K109" s="158"/>
      <c r="L109" s="334"/>
      <c r="M109" s="158">
        <f t="shared" si="19"/>
        <v>0</v>
      </c>
      <c r="N109" s="334"/>
      <c r="O109" s="158">
        <f t="shared" si="20"/>
        <v>0</v>
      </c>
      <c r="P109" s="158">
        <f t="shared" si="21"/>
        <v>0</v>
      </c>
      <c r="Q109" s="1"/>
    </row>
    <row r="110" spans="1:17">
      <c r="B110" s="9" t="str">
        <f t="shared" si="24"/>
        <v/>
      </c>
      <c r="C110" s="153">
        <f>IF(D93="","-",+C109+1)</f>
        <v>2019</v>
      </c>
      <c r="D110" s="154">
        <f>IF(F109+SUM(E$99:E109)=D$92,F109,D$92-SUM(E$99:E109))</f>
        <v>7345976.2687653601</v>
      </c>
      <c r="E110" s="160">
        <f>IF(+J96&lt;F109,J96,D110)</f>
        <v>229897.54761904763</v>
      </c>
      <c r="F110" s="159">
        <f t="shared" si="25"/>
        <v>7116078.7211463125</v>
      </c>
      <c r="G110" s="159">
        <f t="shared" si="26"/>
        <v>7231027.4949558359</v>
      </c>
      <c r="H110" s="163">
        <f>+J$94*G110+E110</f>
        <v>1108260.9979842862</v>
      </c>
      <c r="I110" s="253">
        <f>+J$95*G110+E110</f>
        <v>1108260.9979842862</v>
      </c>
      <c r="J110" s="158">
        <f t="shared" si="18"/>
        <v>0</v>
      </c>
      <c r="K110" s="158"/>
      <c r="L110" s="334"/>
      <c r="M110" s="158">
        <f t="shared" si="19"/>
        <v>0</v>
      </c>
      <c r="N110" s="334"/>
      <c r="O110" s="158">
        <f t="shared" si="20"/>
        <v>0</v>
      </c>
      <c r="P110" s="158">
        <f t="shared" si="21"/>
        <v>0</v>
      </c>
      <c r="Q110" s="1"/>
    </row>
    <row r="111" spans="1:17">
      <c r="B111" s="9" t="str">
        <f t="shared" si="24"/>
        <v/>
      </c>
      <c r="C111" s="153">
        <f>IF(D93="","-",+C110+1)</f>
        <v>2020</v>
      </c>
      <c r="D111" s="154">
        <f>IF(F110+SUM(E$99:E110)=D$92,F110,D$92-SUM(E$99:E110))</f>
        <v>7116078.7211463125</v>
      </c>
      <c r="E111" s="160">
        <f>IF(+J96&lt;F110,J96,D111)</f>
        <v>229897.54761904763</v>
      </c>
      <c r="F111" s="159">
        <f t="shared" si="25"/>
        <v>6886181.173527265</v>
      </c>
      <c r="G111" s="159">
        <f t="shared" si="26"/>
        <v>7001129.9473367892</v>
      </c>
      <c r="H111" s="163">
        <f>+J$94*G111+E111</f>
        <v>1080335.0077570279</v>
      </c>
      <c r="I111" s="253">
        <f>+J$95*G111+E111</f>
        <v>1080335.0077570279</v>
      </c>
      <c r="J111" s="158">
        <f t="shared" si="18"/>
        <v>0</v>
      </c>
      <c r="K111" s="158"/>
      <c r="L111" s="334"/>
      <c r="M111" s="158">
        <f t="shared" si="19"/>
        <v>0</v>
      </c>
      <c r="N111" s="334"/>
      <c r="O111" s="158">
        <f t="shared" si="20"/>
        <v>0</v>
      </c>
      <c r="P111" s="158">
        <f t="shared" si="21"/>
        <v>0</v>
      </c>
      <c r="Q111" s="1"/>
    </row>
    <row r="112" spans="1:17">
      <c r="B112" s="9" t="str">
        <f t="shared" si="24"/>
        <v/>
      </c>
      <c r="C112" s="153">
        <f>IF(D93="","-",+C111+1)</f>
        <v>2021</v>
      </c>
      <c r="D112" s="154">
        <f>IF(F111+SUM(E$99:E111)=D$92,F111,D$92-SUM(E$99:E111))</f>
        <v>6886181.173527265</v>
      </c>
      <c r="E112" s="160">
        <f>IF(+J96&lt;F111,J96,D112)</f>
        <v>229897.54761904763</v>
      </c>
      <c r="F112" s="159">
        <f t="shared" si="25"/>
        <v>6656283.6259082174</v>
      </c>
      <c r="G112" s="159">
        <f t="shared" si="26"/>
        <v>6771232.3997177407</v>
      </c>
      <c r="H112" s="163">
        <f>+J$94*G112+E112</f>
        <v>1052409.0175297693</v>
      </c>
      <c r="I112" s="253">
        <f>+J$95*G112+E112</f>
        <v>1052409.0175297693</v>
      </c>
      <c r="J112" s="158">
        <f t="shared" si="18"/>
        <v>0</v>
      </c>
      <c r="K112" s="158"/>
      <c r="L112" s="334"/>
      <c r="M112" s="158">
        <f t="shared" si="19"/>
        <v>0</v>
      </c>
      <c r="N112" s="334"/>
      <c r="O112" s="158">
        <f t="shared" si="20"/>
        <v>0</v>
      </c>
      <c r="P112" s="158">
        <f t="shared" si="21"/>
        <v>0</v>
      </c>
      <c r="Q112" s="1"/>
    </row>
    <row r="113" spans="2:17">
      <c r="B113" s="9" t="str">
        <f t="shared" si="24"/>
        <v/>
      </c>
      <c r="C113" s="153">
        <f>IF(D93="","-",+C112+1)</f>
        <v>2022</v>
      </c>
      <c r="D113" s="154">
        <f>IF(F112+SUM(E$99:E112)=D$92,F112,D$92-SUM(E$99:E112))</f>
        <v>6656283.6259082174</v>
      </c>
      <c r="E113" s="160">
        <f>IF(+J96&lt;F112,J96,D113)</f>
        <v>229897.54761904763</v>
      </c>
      <c r="F113" s="159">
        <f t="shared" si="25"/>
        <v>6426386.0782891698</v>
      </c>
      <c r="G113" s="159">
        <f t="shared" si="26"/>
        <v>6541334.8520986941</v>
      </c>
      <c r="H113" s="163">
        <f t="shared" ref="H113:H154" si="27">+J$94*G113+E113</f>
        <v>1024483.0273025113</v>
      </c>
      <c r="I113" s="253">
        <f t="shared" ref="I113:I154" si="28">+J$95*G113+E113</f>
        <v>1024483.0273025113</v>
      </c>
      <c r="J113" s="158">
        <f t="shared" si="18"/>
        <v>0</v>
      </c>
      <c r="K113" s="158"/>
      <c r="L113" s="334"/>
      <c r="M113" s="158">
        <f t="shared" si="19"/>
        <v>0</v>
      </c>
      <c r="N113" s="334"/>
      <c r="O113" s="158">
        <f t="shared" si="20"/>
        <v>0</v>
      </c>
      <c r="P113" s="158">
        <f t="shared" si="21"/>
        <v>0</v>
      </c>
      <c r="Q113" s="1"/>
    </row>
    <row r="114" spans="2:17">
      <c r="B114" s="9" t="str">
        <f t="shared" si="24"/>
        <v/>
      </c>
      <c r="C114" s="153">
        <f>IF(D93="","-",+C113+1)</f>
        <v>2023</v>
      </c>
      <c r="D114" s="154">
        <f>IF(F113+SUM(E$99:E113)=D$92,F113,D$92-SUM(E$99:E113))</f>
        <v>6426386.0782891698</v>
      </c>
      <c r="E114" s="160">
        <f>IF(+J96&lt;F113,J96,D114)</f>
        <v>229897.54761904763</v>
      </c>
      <c r="F114" s="159">
        <f t="shared" si="25"/>
        <v>6196488.5306701222</v>
      </c>
      <c r="G114" s="159">
        <f t="shared" si="26"/>
        <v>6311437.3044796456</v>
      </c>
      <c r="H114" s="163">
        <f t="shared" si="27"/>
        <v>996557.03707525274</v>
      </c>
      <c r="I114" s="253">
        <f t="shared" si="28"/>
        <v>996557.03707525274</v>
      </c>
      <c r="J114" s="158">
        <f t="shared" si="18"/>
        <v>0</v>
      </c>
      <c r="K114" s="158"/>
      <c r="L114" s="334"/>
      <c r="M114" s="158">
        <f t="shared" si="19"/>
        <v>0</v>
      </c>
      <c r="N114" s="334"/>
      <c r="O114" s="158">
        <f t="shared" si="20"/>
        <v>0</v>
      </c>
      <c r="P114" s="158">
        <f t="shared" si="21"/>
        <v>0</v>
      </c>
      <c r="Q114" s="1"/>
    </row>
    <row r="115" spans="2:17">
      <c r="B115" s="9" t="str">
        <f t="shared" si="24"/>
        <v/>
      </c>
      <c r="C115" s="153">
        <f>IF(D93="","-",+C114+1)</f>
        <v>2024</v>
      </c>
      <c r="D115" s="154">
        <f>IF(F114+SUM(E$99:E114)=D$92,F114,D$92-SUM(E$99:E114))</f>
        <v>6196488.5306701222</v>
      </c>
      <c r="E115" s="160">
        <f>IF(+J96&lt;F114,J96,D115)</f>
        <v>229897.54761904763</v>
      </c>
      <c r="F115" s="159">
        <f t="shared" si="25"/>
        <v>5966590.9830510747</v>
      </c>
      <c r="G115" s="159">
        <f t="shared" si="26"/>
        <v>6081539.7568605989</v>
      </c>
      <c r="H115" s="163">
        <f t="shared" si="27"/>
        <v>968631.04684799444</v>
      </c>
      <c r="I115" s="253">
        <f t="shared" si="28"/>
        <v>968631.04684799444</v>
      </c>
      <c r="J115" s="158">
        <f t="shared" si="18"/>
        <v>0</v>
      </c>
      <c r="K115" s="158"/>
      <c r="L115" s="334"/>
      <c r="M115" s="158">
        <f t="shared" si="19"/>
        <v>0</v>
      </c>
      <c r="N115" s="334"/>
      <c r="O115" s="158">
        <f t="shared" si="20"/>
        <v>0</v>
      </c>
      <c r="P115" s="158">
        <f t="shared" si="21"/>
        <v>0</v>
      </c>
      <c r="Q115" s="1"/>
    </row>
    <row r="116" spans="2:17">
      <c r="B116" s="9" t="str">
        <f t="shared" si="24"/>
        <v/>
      </c>
      <c r="C116" s="153">
        <f>IF(D93="","-",+C115+1)</f>
        <v>2025</v>
      </c>
      <c r="D116" s="154">
        <f>IF(F115+SUM(E$99:E115)=D$92,F115,D$92-SUM(E$99:E115))</f>
        <v>5966590.9830510747</v>
      </c>
      <c r="E116" s="160">
        <f>IF(+J96&lt;F115,J96,D116)</f>
        <v>229897.54761904763</v>
      </c>
      <c r="F116" s="159">
        <f t="shared" si="25"/>
        <v>5736693.4354320271</v>
      </c>
      <c r="G116" s="159">
        <f t="shared" si="26"/>
        <v>5851642.2092415504</v>
      </c>
      <c r="H116" s="163">
        <f t="shared" si="27"/>
        <v>940705.05662073591</v>
      </c>
      <c r="I116" s="253">
        <f t="shared" si="28"/>
        <v>940705.05662073591</v>
      </c>
      <c r="J116" s="158">
        <f t="shared" si="18"/>
        <v>0</v>
      </c>
      <c r="K116" s="158"/>
      <c r="L116" s="334"/>
      <c r="M116" s="158">
        <f t="shared" si="19"/>
        <v>0</v>
      </c>
      <c r="N116" s="334"/>
      <c r="O116" s="158">
        <f t="shared" si="20"/>
        <v>0</v>
      </c>
      <c r="P116" s="158">
        <f t="shared" si="21"/>
        <v>0</v>
      </c>
      <c r="Q116" s="1"/>
    </row>
    <row r="117" spans="2:17">
      <c r="B117" s="9" t="str">
        <f t="shared" si="24"/>
        <v/>
      </c>
      <c r="C117" s="153">
        <f>IF(D93="","-",+C116+1)</f>
        <v>2026</v>
      </c>
      <c r="D117" s="154">
        <f>IF(F116+SUM(E$99:E116)=D$92,F116,D$92-SUM(E$99:E116))</f>
        <v>5736693.4354320271</v>
      </c>
      <c r="E117" s="160">
        <f>IF(+J96&lt;F116,J96,D117)</f>
        <v>229897.54761904763</v>
      </c>
      <c r="F117" s="159">
        <f t="shared" si="25"/>
        <v>5506795.8878129795</v>
      </c>
      <c r="G117" s="159">
        <f t="shared" si="26"/>
        <v>5621744.6616225038</v>
      </c>
      <c r="H117" s="163">
        <f t="shared" si="27"/>
        <v>912779.06639347761</v>
      </c>
      <c r="I117" s="253">
        <f t="shared" si="28"/>
        <v>912779.06639347761</v>
      </c>
      <c r="J117" s="158">
        <f t="shared" si="18"/>
        <v>0</v>
      </c>
      <c r="K117" s="158"/>
      <c r="L117" s="334"/>
      <c r="M117" s="158">
        <f t="shared" si="19"/>
        <v>0</v>
      </c>
      <c r="N117" s="334"/>
      <c r="O117" s="158">
        <f t="shared" si="20"/>
        <v>0</v>
      </c>
      <c r="P117" s="158">
        <f t="shared" si="21"/>
        <v>0</v>
      </c>
      <c r="Q117" s="1"/>
    </row>
    <row r="118" spans="2:17">
      <c r="B118" s="9" t="str">
        <f t="shared" si="24"/>
        <v/>
      </c>
      <c r="C118" s="153">
        <f>IF(D93="","-",+C117+1)</f>
        <v>2027</v>
      </c>
      <c r="D118" s="154">
        <f>IF(F117+SUM(E$99:E117)=D$92,F117,D$92-SUM(E$99:E117))</f>
        <v>5506795.8878129795</v>
      </c>
      <c r="E118" s="160">
        <f>IF(+J96&lt;F117,J96,D118)</f>
        <v>229897.54761904763</v>
      </c>
      <c r="F118" s="159">
        <f t="shared" si="25"/>
        <v>5276898.3401939319</v>
      </c>
      <c r="G118" s="159">
        <f t="shared" si="26"/>
        <v>5391847.1140034553</v>
      </c>
      <c r="H118" s="163">
        <f t="shared" si="27"/>
        <v>884853.07616621908</v>
      </c>
      <c r="I118" s="253">
        <f t="shared" si="28"/>
        <v>884853.07616621908</v>
      </c>
      <c r="J118" s="158">
        <f t="shared" si="18"/>
        <v>0</v>
      </c>
      <c r="K118" s="158"/>
      <c r="L118" s="334"/>
      <c r="M118" s="158">
        <f t="shared" si="19"/>
        <v>0</v>
      </c>
      <c r="N118" s="334"/>
      <c r="O118" s="158">
        <f t="shared" si="20"/>
        <v>0</v>
      </c>
      <c r="P118" s="158">
        <f t="shared" si="21"/>
        <v>0</v>
      </c>
      <c r="Q118" s="1"/>
    </row>
    <row r="119" spans="2:17">
      <c r="B119" s="9" t="str">
        <f t="shared" si="24"/>
        <v/>
      </c>
      <c r="C119" s="153">
        <f>IF(D93="","-",+C118+1)</f>
        <v>2028</v>
      </c>
      <c r="D119" s="154">
        <f>IF(F118+SUM(E$99:E118)=D$92,F118,D$92-SUM(E$99:E118))</f>
        <v>5276898.3401939319</v>
      </c>
      <c r="E119" s="160">
        <f>IF(+J96&lt;F118,J96,D119)</f>
        <v>229897.54761904763</v>
      </c>
      <c r="F119" s="159">
        <f t="shared" si="25"/>
        <v>5047000.7925748844</v>
      </c>
      <c r="G119" s="159">
        <f t="shared" si="26"/>
        <v>5161949.5663844086</v>
      </c>
      <c r="H119" s="163">
        <f t="shared" si="27"/>
        <v>856927.08593896078</v>
      </c>
      <c r="I119" s="253">
        <f t="shared" si="28"/>
        <v>856927.08593896078</v>
      </c>
      <c r="J119" s="158">
        <f t="shared" si="18"/>
        <v>0</v>
      </c>
      <c r="K119" s="158"/>
      <c r="L119" s="334"/>
      <c r="M119" s="158">
        <f t="shared" si="19"/>
        <v>0</v>
      </c>
      <c r="N119" s="334"/>
      <c r="O119" s="158">
        <f t="shared" si="20"/>
        <v>0</v>
      </c>
      <c r="P119" s="158">
        <f t="shared" si="21"/>
        <v>0</v>
      </c>
      <c r="Q119" s="1"/>
    </row>
    <row r="120" spans="2:17">
      <c r="B120" s="9" t="str">
        <f t="shared" si="24"/>
        <v/>
      </c>
      <c r="C120" s="153">
        <f>IF(D93="","-",+C119+1)</f>
        <v>2029</v>
      </c>
      <c r="D120" s="154">
        <f>IF(F119+SUM(E$99:E119)=D$92,F119,D$92-SUM(E$99:E119))</f>
        <v>5047000.7925748844</v>
      </c>
      <c r="E120" s="160">
        <f>IF(+J96&lt;F119,J96,D120)</f>
        <v>229897.54761904763</v>
      </c>
      <c r="F120" s="159">
        <f t="shared" si="25"/>
        <v>4817103.2449558368</v>
      </c>
      <c r="G120" s="159">
        <f t="shared" si="26"/>
        <v>4932052.0187653601</v>
      </c>
      <c r="H120" s="163">
        <f t="shared" si="27"/>
        <v>829001.09571170225</v>
      </c>
      <c r="I120" s="253">
        <f t="shared" si="28"/>
        <v>829001.09571170225</v>
      </c>
      <c r="J120" s="158">
        <f t="shared" si="18"/>
        <v>0</v>
      </c>
      <c r="K120" s="158"/>
      <c r="L120" s="334"/>
      <c r="M120" s="158">
        <f t="shared" si="19"/>
        <v>0</v>
      </c>
      <c r="N120" s="334"/>
      <c r="O120" s="158">
        <f t="shared" si="20"/>
        <v>0</v>
      </c>
      <c r="P120" s="158">
        <f t="shared" si="21"/>
        <v>0</v>
      </c>
      <c r="Q120" s="1"/>
    </row>
    <row r="121" spans="2:17">
      <c r="B121" s="9" t="str">
        <f t="shared" si="24"/>
        <v/>
      </c>
      <c r="C121" s="153">
        <f>IF(D93="","-",+C120+1)</f>
        <v>2030</v>
      </c>
      <c r="D121" s="154">
        <f>IF(F120+SUM(E$99:E120)=D$92,F120,D$92-SUM(E$99:E120))</f>
        <v>4817103.2449558368</v>
      </c>
      <c r="E121" s="160">
        <f>IF(+J96&lt;F120,J96,D121)</f>
        <v>229897.54761904763</v>
      </c>
      <c r="F121" s="159">
        <f t="shared" si="25"/>
        <v>4587205.6973367892</v>
      </c>
      <c r="G121" s="159">
        <f t="shared" si="26"/>
        <v>4702154.4711463135</v>
      </c>
      <c r="H121" s="163">
        <f t="shared" si="27"/>
        <v>801075.10548444418</v>
      </c>
      <c r="I121" s="253">
        <f t="shared" si="28"/>
        <v>801075.10548444418</v>
      </c>
      <c r="J121" s="158">
        <f t="shared" si="18"/>
        <v>0</v>
      </c>
      <c r="K121" s="158"/>
      <c r="L121" s="334"/>
      <c r="M121" s="158">
        <f t="shared" si="19"/>
        <v>0</v>
      </c>
      <c r="N121" s="334"/>
      <c r="O121" s="158">
        <f t="shared" si="20"/>
        <v>0</v>
      </c>
      <c r="P121" s="158">
        <f t="shared" si="21"/>
        <v>0</v>
      </c>
      <c r="Q121" s="1"/>
    </row>
    <row r="122" spans="2:17">
      <c r="B122" s="9" t="str">
        <f t="shared" si="24"/>
        <v/>
      </c>
      <c r="C122" s="153">
        <f>IF(D93="","-",+C121+1)</f>
        <v>2031</v>
      </c>
      <c r="D122" s="154">
        <f>IF(F121+SUM(E$99:E121)=D$92,F121,D$92-SUM(E$99:E121))</f>
        <v>4587205.6973367892</v>
      </c>
      <c r="E122" s="160">
        <f>IF(+J96&lt;F121,J96,D122)</f>
        <v>229897.54761904763</v>
      </c>
      <c r="F122" s="159">
        <f t="shared" si="25"/>
        <v>4357308.1497177416</v>
      </c>
      <c r="G122" s="159">
        <f t="shared" si="26"/>
        <v>4472256.923527265</v>
      </c>
      <c r="H122" s="163">
        <f t="shared" si="27"/>
        <v>773149.11525718565</v>
      </c>
      <c r="I122" s="253">
        <f t="shared" si="28"/>
        <v>773149.11525718565</v>
      </c>
      <c r="J122" s="158">
        <f t="shared" si="18"/>
        <v>0</v>
      </c>
      <c r="K122" s="158"/>
      <c r="L122" s="334"/>
      <c r="M122" s="158">
        <f t="shared" si="19"/>
        <v>0</v>
      </c>
      <c r="N122" s="334"/>
      <c r="O122" s="158">
        <f t="shared" si="20"/>
        <v>0</v>
      </c>
      <c r="P122" s="158">
        <f t="shared" si="21"/>
        <v>0</v>
      </c>
      <c r="Q122" s="1"/>
    </row>
    <row r="123" spans="2:17">
      <c r="B123" s="9" t="str">
        <f t="shared" si="24"/>
        <v/>
      </c>
      <c r="C123" s="153">
        <f>IF(D93="","-",+C122+1)</f>
        <v>2032</v>
      </c>
      <c r="D123" s="154">
        <f>IF(F122+SUM(E$99:E122)=D$92,F122,D$92-SUM(E$99:E122))</f>
        <v>4357308.1497177416</v>
      </c>
      <c r="E123" s="160">
        <f>IF(+J96&lt;F122,J96,D123)</f>
        <v>229897.54761904763</v>
      </c>
      <c r="F123" s="159">
        <f t="shared" si="25"/>
        <v>4127410.6020986941</v>
      </c>
      <c r="G123" s="159">
        <f t="shared" si="26"/>
        <v>4242359.3759082183</v>
      </c>
      <c r="H123" s="163">
        <f t="shared" si="27"/>
        <v>745223.12502992735</v>
      </c>
      <c r="I123" s="253">
        <f t="shared" si="28"/>
        <v>745223.12502992735</v>
      </c>
      <c r="J123" s="158">
        <f t="shared" si="18"/>
        <v>0</v>
      </c>
      <c r="K123" s="158"/>
      <c r="L123" s="334"/>
      <c r="M123" s="158">
        <f t="shared" si="19"/>
        <v>0</v>
      </c>
      <c r="N123" s="334"/>
      <c r="O123" s="158">
        <f t="shared" si="20"/>
        <v>0</v>
      </c>
      <c r="P123" s="158">
        <f t="shared" si="21"/>
        <v>0</v>
      </c>
      <c r="Q123" s="1"/>
    </row>
    <row r="124" spans="2:17">
      <c r="B124" s="9" t="str">
        <f t="shared" si="24"/>
        <v/>
      </c>
      <c r="C124" s="153">
        <f>IF(D93="","-",+C123+1)</f>
        <v>2033</v>
      </c>
      <c r="D124" s="154">
        <f>IF(F123+SUM(E$99:E123)=D$92,F123,D$92-SUM(E$99:E123))</f>
        <v>4127410.6020986941</v>
      </c>
      <c r="E124" s="160">
        <f>IF(+J96&lt;F123,J96,D124)</f>
        <v>229897.54761904763</v>
      </c>
      <c r="F124" s="159">
        <f t="shared" si="25"/>
        <v>3897513.0544796465</v>
      </c>
      <c r="G124" s="159">
        <f t="shared" si="26"/>
        <v>4012461.8282891703</v>
      </c>
      <c r="H124" s="163">
        <f t="shared" si="27"/>
        <v>717297.13480266882</v>
      </c>
      <c r="I124" s="253">
        <f t="shared" si="28"/>
        <v>717297.13480266882</v>
      </c>
      <c r="J124" s="158">
        <f t="shared" si="18"/>
        <v>0</v>
      </c>
      <c r="K124" s="158"/>
      <c r="L124" s="334"/>
      <c r="M124" s="158">
        <f t="shared" si="19"/>
        <v>0</v>
      </c>
      <c r="N124" s="334"/>
      <c r="O124" s="158">
        <f t="shared" si="20"/>
        <v>0</v>
      </c>
      <c r="P124" s="158">
        <f t="shared" si="21"/>
        <v>0</v>
      </c>
      <c r="Q124" s="1"/>
    </row>
    <row r="125" spans="2:17">
      <c r="B125" s="9" t="str">
        <f t="shared" si="24"/>
        <v/>
      </c>
      <c r="C125" s="153">
        <f>IF(D93="","-",+C124+1)</f>
        <v>2034</v>
      </c>
      <c r="D125" s="154">
        <f>IF(F124+SUM(E$99:E124)=D$92,F124,D$92-SUM(E$99:E124))</f>
        <v>3897513.0544796465</v>
      </c>
      <c r="E125" s="160">
        <f>IF(+J96&lt;F124,J96,D125)</f>
        <v>229897.54761904763</v>
      </c>
      <c r="F125" s="159">
        <f t="shared" si="25"/>
        <v>3667615.5068605989</v>
      </c>
      <c r="G125" s="159">
        <f t="shared" si="26"/>
        <v>3782564.2806701227</v>
      </c>
      <c r="H125" s="163">
        <f t="shared" si="27"/>
        <v>689371.14457541052</v>
      </c>
      <c r="I125" s="253">
        <f t="shared" si="28"/>
        <v>689371.14457541052</v>
      </c>
      <c r="J125" s="158">
        <f t="shared" si="18"/>
        <v>0</v>
      </c>
      <c r="K125" s="158"/>
      <c r="L125" s="334"/>
      <c r="M125" s="158">
        <f t="shared" si="19"/>
        <v>0</v>
      </c>
      <c r="N125" s="334"/>
      <c r="O125" s="158">
        <f t="shared" si="20"/>
        <v>0</v>
      </c>
      <c r="P125" s="158">
        <f t="shared" si="21"/>
        <v>0</v>
      </c>
      <c r="Q125" s="1"/>
    </row>
    <row r="126" spans="2:17">
      <c r="B126" s="9" t="str">
        <f t="shared" si="24"/>
        <v/>
      </c>
      <c r="C126" s="153">
        <f>IF(D93="","-",+C125+1)</f>
        <v>2035</v>
      </c>
      <c r="D126" s="154">
        <f>IF(F125+SUM(E$99:E125)=D$92,F125,D$92-SUM(E$99:E125))</f>
        <v>3667615.5068605989</v>
      </c>
      <c r="E126" s="160">
        <f>IF(+J96&lt;F125,J96,D126)</f>
        <v>229897.54761904763</v>
      </c>
      <c r="F126" s="159">
        <f t="shared" si="25"/>
        <v>3437717.9592415513</v>
      </c>
      <c r="G126" s="159">
        <f t="shared" si="26"/>
        <v>3552666.7330510751</v>
      </c>
      <c r="H126" s="163">
        <f t="shared" si="27"/>
        <v>661445.15434815211</v>
      </c>
      <c r="I126" s="253">
        <f t="shared" si="28"/>
        <v>661445.15434815211</v>
      </c>
      <c r="J126" s="158">
        <f t="shared" si="18"/>
        <v>0</v>
      </c>
      <c r="K126" s="158"/>
      <c r="L126" s="334"/>
      <c r="M126" s="158">
        <f t="shared" si="19"/>
        <v>0</v>
      </c>
      <c r="N126" s="334"/>
      <c r="O126" s="158">
        <f t="shared" si="20"/>
        <v>0</v>
      </c>
      <c r="P126" s="158">
        <f t="shared" si="21"/>
        <v>0</v>
      </c>
      <c r="Q126" s="1"/>
    </row>
    <row r="127" spans="2:17">
      <c r="B127" s="9" t="str">
        <f t="shared" si="24"/>
        <v/>
      </c>
      <c r="C127" s="153">
        <f>IF(D93="","-",+C126+1)</f>
        <v>2036</v>
      </c>
      <c r="D127" s="154">
        <f>IF(F126+SUM(E$99:E126)=D$92,F126,D$92-SUM(E$99:E126))</f>
        <v>3437717.9592415513</v>
      </c>
      <c r="E127" s="160">
        <f>IF(+J96&lt;F126,J96,D127)</f>
        <v>229897.54761904763</v>
      </c>
      <c r="F127" s="159">
        <f t="shared" si="25"/>
        <v>3207820.4116225038</v>
      </c>
      <c r="G127" s="159">
        <f t="shared" si="26"/>
        <v>3322769.1854320276</v>
      </c>
      <c r="H127" s="163">
        <f t="shared" si="27"/>
        <v>633519.16412089369</v>
      </c>
      <c r="I127" s="253">
        <f t="shared" si="28"/>
        <v>633519.16412089369</v>
      </c>
      <c r="J127" s="158">
        <f t="shared" si="18"/>
        <v>0</v>
      </c>
      <c r="K127" s="158"/>
      <c r="L127" s="334"/>
      <c r="M127" s="158">
        <f t="shared" si="19"/>
        <v>0</v>
      </c>
      <c r="N127" s="334"/>
      <c r="O127" s="158">
        <f t="shared" si="20"/>
        <v>0</v>
      </c>
      <c r="P127" s="158">
        <f t="shared" si="21"/>
        <v>0</v>
      </c>
      <c r="Q127" s="1"/>
    </row>
    <row r="128" spans="2:17">
      <c r="B128" s="9" t="str">
        <f t="shared" si="24"/>
        <v/>
      </c>
      <c r="C128" s="153">
        <f>IF(D93="","-",+C127+1)</f>
        <v>2037</v>
      </c>
      <c r="D128" s="154">
        <f>IF(F127+SUM(E$99:E127)=D$92,F127,D$92-SUM(E$99:E127))</f>
        <v>3207820.4116225038</v>
      </c>
      <c r="E128" s="160">
        <f>IF(+J96&lt;F127,J96,D128)</f>
        <v>229897.54761904763</v>
      </c>
      <c r="F128" s="159">
        <f t="shared" si="25"/>
        <v>2977922.8640034562</v>
      </c>
      <c r="G128" s="159">
        <f t="shared" si="26"/>
        <v>3092871.63781298</v>
      </c>
      <c r="H128" s="163">
        <f t="shared" si="27"/>
        <v>605593.17389363539</v>
      </c>
      <c r="I128" s="253">
        <f t="shared" si="28"/>
        <v>605593.17389363539</v>
      </c>
      <c r="J128" s="158">
        <f t="shared" si="18"/>
        <v>0</v>
      </c>
      <c r="K128" s="158"/>
      <c r="L128" s="334"/>
      <c r="M128" s="158">
        <f t="shared" si="19"/>
        <v>0</v>
      </c>
      <c r="N128" s="334"/>
      <c r="O128" s="158">
        <f t="shared" si="20"/>
        <v>0</v>
      </c>
      <c r="P128" s="158">
        <f t="shared" si="21"/>
        <v>0</v>
      </c>
      <c r="Q128" s="1"/>
    </row>
    <row r="129" spans="2:17">
      <c r="B129" s="9" t="str">
        <f t="shared" si="24"/>
        <v/>
      </c>
      <c r="C129" s="153">
        <f>IF(D93="","-",+C128+1)</f>
        <v>2038</v>
      </c>
      <c r="D129" s="154">
        <f>IF(F128+SUM(E$99:E128)=D$92,F128,D$92-SUM(E$99:E128))</f>
        <v>2977922.8640034562</v>
      </c>
      <c r="E129" s="160">
        <f>IF(+J96&lt;F128,J96,D129)</f>
        <v>229897.54761904763</v>
      </c>
      <c r="F129" s="159">
        <f t="shared" si="25"/>
        <v>2748025.3163844086</v>
      </c>
      <c r="G129" s="159">
        <f t="shared" si="26"/>
        <v>2862974.0901939324</v>
      </c>
      <c r="H129" s="163">
        <f t="shared" si="27"/>
        <v>577667.18366637686</v>
      </c>
      <c r="I129" s="253">
        <f t="shared" si="28"/>
        <v>577667.18366637686</v>
      </c>
      <c r="J129" s="158">
        <f t="shared" si="18"/>
        <v>0</v>
      </c>
      <c r="K129" s="158"/>
      <c r="L129" s="334"/>
      <c r="M129" s="158">
        <f t="shared" si="19"/>
        <v>0</v>
      </c>
      <c r="N129" s="334"/>
      <c r="O129" s="158">
        <f t="shared" si="20"/>
        <v>0</v>
      </c>
      <c r="P129" s="158">
        <f t="shared" si="21"/>
        <v>0</v>
      </c>
      <c r="Q129" s="1"/>
    </row>
    <row r="130" spans="2:17">
      <c r="B130" s="9" t="str">
        <f t="shared" si="24"/>
        <v/>
      </c>
      <c r="C130" s="153">
        <f>IF(D93="","-",+C129+1)</f>
        <v>2039</v>
      </c>
      <c r="D130" s="154">
        <f>IF(F129+SUM(E$99:E129)=D$92,F129,D$92-SUM(E$99:E129))</f>
        <v>2748025.3163844086</v>
      </c>
      <c r="E130" s="160">
        <f>IF(+J96&lt;F129,J96,D130)</f>
        <v>229897.54761904763</v>
      </c>
      <c r="F130" s="159">
        <f t="shared" si="25"/>
        <v>2518127.768765361</v>
      </c>
      <c r="G130" s="159">
        <f t="shared" si="26"/>
        <v>2633076.5425748848</v>
      </c>
      <c r="H130" s="163">
        <f t="shared" si="27"/>
        <v>549741.19343911856</v>
      </c>
      <c r="I130" s="253">
        <f t="shared" si="28"/>
        <v>549741.19343911856</v>
      </c>
      <c r="J130" s="158">
        <f t="shared" si="18"/>
        <v>0</v>
      </c>
      <c r="K130" s="158"/>
      <c r="L130" s="334"/>
      <c r="M130" s="158">
        <f t="shared" si="19"/>
        <v>0</v>
      </c>
      <c r="N130" s="334"/>
      <c r="O130" s="158">
        <f t="shared" si="20"/>
        <v>0</v>
      </c>
      <c r="P130" s="158">
        <f t="shared" si="21"/>
        <v>0</v>
      </c>
      <c r="Q130" s="1"/>
    </row>
    <row r="131" spans="2:17">
      <c r="B131" s="9" t="str">
        <f t="shared" si="24"/>
        <v/>
      </c>
      <c r="C131" s="153">
        <f>IF(D93="","-",+C130+1)</f>
        <v>2040</v>
      </c>
      <c r="D131" s="154">
        <f>IF(F130+SUM(E$99:E130)=D$92,F130,D$92-SUM(E$99:E130))</f>
        <v>2518127.768765361</v>
      </c>
      <c r="E131" s="160">
        <f>IF(+J96&lt;F130,J96,D131)</f>
        <v>229897.54761904763</v>
      </c>
      <c r="F131" s="159">
        <f t="shared" ref="F131:F154" si="29">+D131-E131</f>
        <v>2288230.2211463135</v>
      </c>
      <c r="G131" s="159">
        <f t="shared" ref="G131:G154" si="30">+(F131+D131)/2</f>
        <v>2403178.9949558373</v>
      </c>
      <c r="H131" s="163">
        <f t="shared" si="27"/>
        <v>521815.20321186015</v>
      </c>
      <c r="I131" s="253">
        <f t="shared" si="28"/>
        <v>521815.20321186015</v>
      </c>
      <c r="J131" s="158">
        <f t="shared" ref="J131:J154" si="31">+I131-H131</f>
        <v>0</v>
      </c>
      <c r="K131" s="158"/>
      <c r="L131" s="334"/>
      <c r="M131" s="158">
        <f t="shared" ref="M131:M154" si="32">IF(L131&lt;&gt;0,+H131-L131,0)</f>
        <v>0</v>
      </c>
      <c r="N131" s="334"/>
      <c r="O131" s="158">
        <f t="shared" ref="O131:O154" si="33">IF(N131&lt;&gt;0,+I131-N131,0)</f>
        <v>0</v>
      </c>
      <c r="P131" s="158">
        <f t="shared" ref="P131:P154" si="34">+O131-M131</f>
        <v>0</v>
      </c>
      <c r="Q131" s="1"/>
    </row>
    <row r="132" spans="2:17">
      <c r="B132" s="9" t="str">
        <f t="shared" si="24"/>
        <v/>
      </c>
      <c r="C132" s="153">
        <f>IF(D93="","-",+C131+1)</f>
        <v>2041</v>
      </c>
      <c r="D132" s="154">
        <f>IF(F131+SUM(E$99:E131)=D$92,F131,D$92-SUM(E$99:E131))</f>
        <v>2288230.2211463135</v>
      </c>
      <c r="E132" s="160">
        <f>IF(+J96&lt;F131,J96,D132)</f>
        <v>229897.54761904763</v>
      </c>
      <c r="F132" s="159">
        <f t="shared" si="29"/>
        <v>2058332.6735272659</v>
      </c>
      <c r="G132" s="159">
        <f t="shared" si="30"/>
        <v>2173281.4473367897</v>
      </c>
      <c r="H132" s="163">
        <f t="shared" si="27"/>
        <v>493889.21298460173</v>
      </c>
      <c r="I132" s="253">
        <f t="shared" si="28"/>
        <v>493889.21298460173</v>
      </c>
      <c r="J132" s="158">
        <f t="shared" si="31"/>
        <v>0</v>
      </c>
      <c r="K132" s="158"/>
      <c r="L132" s="334"/>
      <c r="M132" s="158">
        <f t="shared" si="32"/>
        <v>0</v>
      </c>
      <c r="N132" s="334"/>
      <c r="O132" s="158">
        <f t="shared" si="33"/>
        <v>0</v>
      </c>
      <c r="P132" s="158">
        <f t="shared" si="34"/>
        <v>0</v>
      </c>
      <c r="Q132" s="1"/>
    </row>
    <row r="133" spans="2:17">
      <c r="B133" s="9" t="str">
        <f t="shared" si="24"/>
        <v/>
      </c>
      <c r="C133" s="153">
        <f>IF(D93="","-",+C132+1)</f>
        <v>2042</v>
      </c>
      <c r="D133" s="154">
        <f>IF(F132+SUM(E$99:E132)=D$92,F132,D$92-SUM(E$99:E132))</f>
        <v>2058332.6735272659</v>
      </c>
      <c r="E133" s="160">
        <f>IF(+J96&lt;F132,J96,D133)</f>
        <v>229897.54761904763</v>
      </c>
      <c r="F133" s="159">
        <f t="shared" si="29"/>
        <v>1828435.1259082183</v>
      </c>
      <c r="G133" s="159">
        <f t="shared" si="30"/>
        <v>1943383.8997177421</v>
      </c>
      <c r="H133" s="163">
        <f t="shared" si="27"/>
        <v>465963.22275734338</v>
      </c>
      <c r="I133" s="253">
        <f t="shared" si="28"/>
        <v>465963.22275734338</v>
      </c>
      <c r="J133" s="158">
        <f t="shared" si="31"/>
        <v>0</v>
      </c>
      <c r="K133" s="158"/>
      <c r="L133" s="334"/>
      <c r="M133" s="158">
        <f t="shared" si="32"/>
        <v>0</v>
      </c>
      <c r="N133" s="334"/>
      <c r="O133" s="158">
        <f t="shared" si="33"/>
        <v>0</v>
      </c>
      <c r="P133" s="158">
        <f t="shared" si="34"/>
        <v>0</v>
      </c>
      <c r="Q133" s="1"/>
    </row>
    <row r="134" spans="2:17">
      <c r="B134" s="9" t="str">
        <f t="shared" si="24"/>
        <v/>
      </c>
      <c r="C134" s="153">
        <f>IF(D93="","-",+C133+1)</f>
        <v>2043</v>
      </c>
      <c r="D134" s="154">
        <f>IF(F133+SUM(E$99:E133)=D$92,F133,D$92-SUM(E$99:E133))</f>
        <v>1828435.1259082183</v>
      </c>
      <c r="E134" s="160">
        <f>IF(+J96&lt;F133,J96,D134)</f>
        <v>229897.54761904763</v>
      </c>
      <c r="F134" s="159">
        <f t="shared" si="29"/>
        <v>1598537.5782891707</v>
      </c>
      <c r="G134" s="159">
        <f t="shared" si="30"/>
        <v>1713486.3520986945</v>
      </c>
      <c r="H134" s="163">
        <f t="shared" si="27"/>
        <v>438037.23253008502</v>
      </c>
      <c r="I134" s="253">
        <f t="shared" si="28"/>
        <v>438037.23253008502</v>
      </c>
      <c r="J134" s="158">
        <f t="shared" si="31"/>
        <v>0</v>
      </c>
      <c r="K134" s="158"/>
      <c r="L134" s="334"/>
      <c r="M134" s="158">
        <f t="shared" si="32"/>
        <v>0</v>
      </c>
      <c r="N134" s="334"/>
      <c r="O134" s="158">
        <f t="shared" si="33"/>
        <v>0</v>
      </c>
      <c r="P134" s="158">
        <f t="shared" si="34"/>
        <v>0</v>
      </c>
      <c r="Q134" s="1"/>
    </row>
    <row r="135" spans="2:17">
      <c r="B135" s="9" t="str">
        <f t="shared" si="24"/>
        <v/>
      </c>
      <c r="C135" s="153">
        <f>IF(D93="","-",+C134+1)</f>
        <v>2044</v>
      </c>
      <c r="D135" s="154">
        <f>IF(F134+SUM(E$99:E134)=D$92,F134,D$92-SUM(E$99:E134))</f>
        <v>1598537.5782891707</v>
      </c>
      <c r="E135" s="160">
        <f>IF(+J96&lt;F134,J96,D135)</f>
        <v>229897.54761904763</v>
      </c>
      <c r="F135" s="159">
        <f t="shared" si="29"/>
        <v>1368640.0306701232</v>
      </c>
      <c r="G135" s="159">
        <f t="shared" si="30"/>
        <v>1483588.804479647</v>
      </c>
      <c r="H135" s="163">
        <f t="shared" si="27"/>
        <v>410111.24230282661</v>
      </c>
      <c r="I135" s="253">
        <f t="shared" si="28"/>
        <v>410111.24230282661</v>
      </c>
      <c r="J135" s="158">
        <f t="shared" si="31"/>
        <v>0</v>
      </c>
      <c r="K135" s="158"/>
      <c r="L135" s="334"/>
      <c r="M135" s="158">
        <f t="shared" si="32"/>
        <v>0</v>
      </c>
      <c r="N135" s="334"/>
      <c r="O135" s="158">
        <f t="shared" si="33"/>
        <v>0</v>
      </c>
      <c r="P135" s="158">
        <f t="shared" si="34"/>
        <v>0</v>
      </c>
      <c r="Q135" s="1"/>
    </row>
    <row r="136" spans="2:17">
      <c r="B136" s="9" t="str">
        <f t="shared" si="24"/>
        <v/>
      </c>
      <c r="C136" s="153">
        <f>IF(D93="","-",+C135+1)</f>
        <v>2045</v>
      </c>
      <c r="D136" s="154">
        <f>IF(F135+SUM(E$99:E135)=D$92,F135,D$92-SUM(E$99:E135))</f>
        <v>1368640.0306701232</v>
      </c>
      <c r="E136" s="160">
        <f>IF(+J96&lt;F135,J96,D136)</f>
        <v>229897.54761904763</v>
      </c>
      <c r="F136" s="159">
        <f t="shared" si="29"/>
        <v>1138742.4830510756</v>
      </c>
      <c r="G136" s="159">
        <f t="shared" si="30"/>
        <v>1253691.2568605994</v>
      </c>
      <c r="H136" s="163">
        <f t="shared" si="27"/>
        <v>382185.25207556819</v>
      </c>
      <c r="I136" s="253">
        <f t="shared" si="28"/>
        <v>382185.25207556819</v>
      </c>
      <c r="J136" s="158">
        <f t="shared" si="31"/>
        <v>0</v>
      </c>
      <c r="K136" s="158"/>
      <c r="L136" s="334"/>
      <c r="M136" s="158">
        <f t="shared" si="32"/>
        <v>0</v>
      </c>
      <c r="N136" s="334"/>
      <c r="O136" s="158">
        <f t="shared" si="33"/>
        <v>0</v>
      </c>
      <c r="P136" s="158">
        <f t="shared" si="34"/>
        <v>0</v>
      </c>
      <c r="Q136" s="1"/>
    </row>
    <row r="137" spans="2:17">
      <c r="B137" s="9" t="str">
        <f t="shared" si="24"/>
        <v/>
      </c>
      <c r="C137" s="153">
        <f>IF(D93="","-",+C136+1)</f>
        <v>2046</v>
      </c>
      <c r="D137" s="154">
        <f>IF(F136+SUM(E$99:E136)=D$92,F136,D$92-SUM(E$99:E136))</f>
        <v>1138742.4830510756</v>
      </c>
      <c r="E137" s="160">
        <f>IF(+J96&lt;F136,J96,D137)</f>
        <v>229897.54761904763</v>
      </c>
      <c r="F137" s="159">
        <f t="shared" si="29"/>
        <v>908844.93543202803</v>
      </c>
      <c r="G137" s="159">
        <f t="shared" si="30"/>
        <v>1023793.7092415518</v>
      </c>
      <c r="H137" s="163">
        <f t="shared" si="27"/>
        <v>354259.26184830983</v>
      </c>
      <c r="I137" s="253">
        <f t="shared" si="28"/>
        <v>354259.26184830983</v>
      </c>
      <c r="J137" s="158">
        <f t="shared" si="31"/>
        <v>0</v>
      </c>
      <c r="K137" s="158"/>
      <c r="L137" s="334"/>
      <c r="M137" s="158">
        <f t="shared" si="32"/>
        <v>0</v>
      </c>
      <c r="N137" s="334"/>
      <c r="O137" s="158">
        <f t="shared" si="33"/>
        <v>0</v>
      </c>
      <c r="P137" s="158">
        <f t="shared" si="34"/>
        <v>0</v>
      </c>
      <c r="Q137" s="1"/>
    </row>
    <row r="138" spans="2:17">
      <c r="B138" s="9" t="str">
        <f t="shared" si="24"/>
        <v/>
      </c>
      <c r="C138" s="153">
        <f>IF(D93="","-",+C137+1)</f>
        <v>2047</v>
      </c>
      <c r="D138" s="154">
        <f>IF(F137+SUM(E$99:E137)=D$92,F137,D$92-SUM(E$99:E137))</f>
        <v>908844.93543202803</v>
      </c>
      <c r="E138" s="160">
        <f>IF(+J96&lt;F137,J96,D138)</f>
        <v>229897.54761904763</v>
      </c>
      <c r="F138" s="159">
        <f t="shared" si="29"/>
        <v>678947.38781298045</v>
      </c>
      <c r="G138" s="159">
        <f t="shared" si="30"/>
        <v>793896.16162250424</v>
      </c>
      <c r="H138" s="163">
        <f t="shared" si="27"/>
        <v>326333.27162105142</v>
      </c>
      <c r="I138" s="253">
        <f t="shared" si="28"/>
        <v>326333.27162105142</v>
      </c>
      <c r="J138" s="158">
        <f t="shared" si="31"/>
        <v>0</v>
      </c>
      <c r="K138" s="158"/>
      <c r="L138" s="334"/>
      <c r="M138" s="158">
        <f t="shared" si="32"/>
        <v>0</v>
      </c>
      <c r="N138" s="334"/>
      <c r="O138" s="158">
        <f t="shared" si="33"/>
        <v>0</v>
      </c>
      <c r="P138" s="158">
        <f t="shared" si="34"/>
        <v>0</v>
      </c>
      <c r="Q138" s="1"/>
    </row>
    <row r="139" spans="2:17">
      <c r="B139" s="9" t="str">
        <f t="shared" si="24"/>
        <v/>
      </c>
      <c r="C139" s="153">
        <f>IF(D93="","-",+C138+1)</f>
        <v>2048</v>
      </c>
      <c r="D139" s="154">
        <f>IF(F138+SUM(E$99:E138)=D$92,F138,D$92-SUM(E$99:E138))</f>
        <v>678947.38781298045</v>
      </c>
      <c r="E139" s="160">
        <f>IF(+J96&lt;F138,J96,D139)</f>
        <v>229897.54761904763</v>
      </c>
      <c r="F139" s="159">
        <f t="shared" si="29"/>
        <v>449049.84019393282</v>
      </c>
      <c r="G139" s="159">
        <f t="shared" si="30"/>
        <v>563998.61400345666</v>
      </c>
      <c r="H139" s="163">
        <f t="shared" si="27"/>
        <v>298407.28139379306</v>
      </c>
      <c r="I139" s="253">
        <f t="shared" si="28"/>
        <v>298407.28139379306</v>
      </c>
      <c r="J139" s="158">
        <f t="shared" si="31"/>
        <v>0</v>
      </c>
      <c r="K139" s="158"/>
      <c r="L139" s="334"/>
      <c r="M139" s="158">
        <f t="shared" si="32"/>
        <v>0</v>
      </c>
      <c r="N139" s="334"/>
      <c r="O139" s="158">
        <f t="shared" si="33"/>
        <v>0</v>
      </c>
      <c r="P139" s="158">
        <f t="shared" si="34"/>
        <v>0</v>
      </c>
      <c r="Q139" s="1"/>
    </row>
    <row r="140" spans="2:17">
      <c r="B140" s="9" t="str">
        <f t="shared" si="24"/>
        <v/>
      </c>
      <c r="C140" s="153">
        <f>IF(D93="","-",+C139+1)</f>
        <v>2049</v>
      </c>
      <c r="D140" s="154">
        <f>IF(F139+SUM(E$99:E139)=D$92,F139,D$92-SUM(E$99:E139))</f>
        <v>449049.84019393282</v>
      </c>
      <c r="E140" s="160">
        <f>IF(+J96&lt;F139,J96,D140)</f>
        <v>229897.54761904763</v>
      </c>
      <c r="F140" s="159">
        <f t="shared" si="29"/>
        <v>219152.29257488518</v>
      </c>
      <c r="G140" s="159">
        <f t="shared" si="30"/>
        <v>334101.06638440897</v>
      </c>
      <c r="H140" s="163">
        <f t="shared" si="27"/>
        <v>270481.29116653465</v>
      </c>
      <c r="I140" s="253">
        <f t="shared" si="28"/>
        <v>270481.29116653465</v>
      </c>
      <c r="J140" s="158">
        <f t="shared" si="31"/>
        <v>0</v>
      </c>
      <c r="K140" s="158"/>
      <c r="L140" s="334"/>
      <c r="M140" s="158">
        <f t="shared" si="32"/>
        <v>0</v>
      </c>
      <c r="N140" s="334"/>
      <c r="O140" s="158">
        <f t="shared" si="33"/>
        <v>0</v>
      </c>
      <c r="P140" s="158">
        <f t="shared" si="34"/>
        <v>0</v>
      </c>
      <c r="Q140" s="1"/>
    </row>
    <row r="141" spans="2:17">
      <c r="B141" s="9" t="str">
        <f t="shared" si="24"/>
        <v/>
      </c>
      <c r="C141" s="153">
        <f>IF(D93="","-",+C140+1)</f>
        <v>2050</v>
      </c>
      <c r="D141" s="154">
        <f>IF(F140+SUM(E$99:E140)=D$92,F140,D$92-SUM(E$99:E140))</f>
        <v>219152.29257488518</v>
      </c>
      <c r="E141" s="160">
        <f>IF(+J96&lt;F140,J96,D141)</f>
        <v>219152.29257488518</v>
      </c>
      <c r="F141" s="159">
        <f t="shared" si="29"/>
        <v>0</v>
      </c>
      <c r="G141" s="159">
        <f t="shared" si="30"/>
        <v>109576.14628744259</v>
      </c>
      <c r="H141" s="163">
        <f t="shared" si="27"/>
        <v>232462.66679181409</v>
      </c>
      <c r="I141" s="253">
        <f t="shared" si="28"/>
        <v>232462.66679181409</v>
      </c>
      <c r="J141" s="158">
        <f t="shared" si="31"/>
        <v>0</v>
      </c>
      <c r="K141" s="158"/>
      <c r="L141" s="334"/>
      <c r="M141" s="158">
        <f t="shared" si="32"/>
        <v>0</v>
      </c>
      <c r="N141" s="334"/>
      <c r="O141" s="158">
        <f t="shared" si="33"/>
        <v>0</v>
      </c>
      <c r="P141" s="158">
        <f t="shared" si="34"/>
        <v>0</v>
      </c>
      <c r="Q141" s="1"/>
    </row>
    <row r="142" spans="2:17">
      <c r="B142" s="9" t="str">
        <f t="shared" si="24"/>
        <v/>
      </c>
      <c r="C142" s="153">
        <f>IF(D93="","-",+C141+1)</f>
        <v>2051</v>
      </c>
      <c r="D142" s="154">
        <f>IF(F141+SUM(E$99:E141)=D$92,F141,D$92-SUM(E$99:E141))</f>
        <v>0</v>
      </c>
      <c r="E142" s="160">
        <f>IF(+J96&lt;F141,J96,D142)</f>
        <v>0</v>
      </c>
      <c r="F142" s="159">
        <f t="shared" si="29"/>
        <v>0</v>
      </c>
      <c r="G142" s="159">
        <f t="shared" si="30"/>
        <v>0</v>
      </c>
      <c r="H142" s="163">
        <f t="shared" si="27"/>
        <v>0</v>
      </c>
      <c r="I142" s="253">
        <f t="shared" si="28"/>
        <v>0</v>
      </c>
      <c r="J142" s="158">
        <f t="shared" si="31"/>
        <v>0</v>
      </c>
      <c r="K142" s="158"/>
      <c r="L142" s="334"/>
      <c r="M142" s="158">
        <f t="shared" si="32"/>
        <v>0</v>
      </c>
      <c r="N142" s="334"/>
      <c r="O142" s="158">
        <f t="shared" si="33"/>
        <v>0</v>
      </c>
      <c r="P142" s="158">
        <f t="shared" si="34"/>
        <v>0</v>
      </c>
      <c r="Q142" s="1"/>
    </row>
    <row r="143" spans="2:17">
      <c r="B143" s="9" t="str">
        <f t="shared" si="24"/>
        <v/>
      </c>
      <c r="C143" s="153">
        <f>IF(D93="","-",+C142+1)</f>
        <v>2052</v>
      </c>
      <c r="D143" s="154">
        <f>IF(F142+SUM(E$99:E142)=D$92,F142,D$92-SUM(E$99:E142))</f>
        <v>0</v>
      </c>
      <c r="E143" s="160">
        <f>IF(+J96&lt;F142,J96,D143)</f>
        <v>0</v>
      </c>
      <c r="F143" s="159">
        <f t="shared" si="29"/>
        <v>0</v>
      </c>
      <c r="G143" s="159">
        <f t="shared" si="30"/>
        <v>0</v>
      </c>
      <c r="H143" s="163">
        <f t="shared" si="27"/>
        <v>0</v>
      </c>
      <c r="I143" s="253">
        <f t="shared" si="28"/>
        <v>0</v>
      </c>
      <c r="J143" s="158">
        <f t="shared" si="31"/>
        <v>0</v>
      </c>
      <c r="K143" s="158"/>
      <c r="L143" s="334"/>
      <c r="M143" s="158">
        <f t="shared" si="32"/>
        <v>0</v>
      </c>
      <c r="N143" s="334"/>
      <c r="O143" s="158">
        <f t="shared" si="33"/>
        <v>0</v>
      </c>
      <c r="P143" s="158">
        <f t="shared" si="34"/>
        <v>0</v>
      </c>
      <c r="Q143" s="1"/>
    </row>
    <row r="144" spans="2:17">
      <c r="B144" s="9" t="str">
        <f t="shared" si="24"/>
        <v/>
      </c>
      <c r="C144" s="153">
        <f>IF(D93="","-",+C143+1)</f>
        <v>2053</v>
      </c>
      <c r="D144" s="154">
        <f>IF(F143+SUM(E$99:E143)=D$92,F143,D$92-SUM(E$99:E143))</f>
        <v>0</v>
      </c>
      <c r="E144" s="160">
        <f>IF(+J96&lt;F143,J96,D144)</f>
        <v>0</v>
      </c>
      <c r="F144" s="159">
        <f t="shared" si="29"/>
        <v>0</v>
      </c>
      <c r="G144" s="159">
        <f t="shared" si="30"/>
        <v>0</v>
      </c>
      <c r="H144" s="163">
        <f t="shared" si="27"/>
        <v>0</v>
      </c>
      <c r="I144" s="253">
        <f t="shared" si="28"/>
        <v>0</v>
      </c>
      <c r="J144" s="158">
        <f t="shared" si="31"/>
        <v>0</v>
      </c>
      <c r="K144" s="158"/>
      <c r="L144" s="334"/>
      <c r="M144" s="158">
        <f t="shared" si="32"/>
        <v>0</v>
      </c>
      <c r="N144" s="334"/>
      <c r="O144" s="158">
        <f t="shared" si="33"/>
        <v>0</v>
      </c>
      <c r="P144" s="158">
        <f t="shared" si="34"/>
        <v>0</v>
      </c>
      <c r="Q144" s="1"/>
    </row>
    <row r="145" spans="2:17">
      <c r="B145" s="9" t="str">
        <f t="shared" si="24"/>
        <v/>
      </c>
      <c r="C145" s="153">
        <f>IF(D93="","-",+C144+1)</f>
        <v>2054</v>
      </c>
      <c r="D145" s="154">
        <f>IF(F144+SUM(E$99:E144)=D$92,F144,D$92-SUM(E$99:E144))</f>
        <v>0</v>
      </c>
      <c r="E145" s="160">
        <f>IF(+J96&lt;F144,J96,D145)</f>
        <v>0</v>
      </c>
      <c r="F145" s="159">
        <f t="shared" si="29"/>
        <v>0</v>
      </c>
      <c r="G145" s="159">
        <f t="shared" si="30"/>
        <v>0</v>
      </c>
      <c r="H145" s="163">
        <f t="shared" si="27"/>
        <v>0</v>
      </c>
      <c r="I145" s="253">
        <f t="shared" si="28"/>
        <v>0</v>
      </c>
      <c r="J145" s="158">
        <f t="shared" si="31"/>
        <v>0</v>
      </c>
      <c r="K145" s="158"/>
      <c r="L145" s="334"/>
      <c r="M145" s="158">
        <f t="shared" si="32"/>
        <v>0</v>
      </c>
      <c r="N145" s="334"/>
      <c r="O145" s="158">
        <f t="shared" si="33"/>
        <v>0</v>
      </c>
      <c r="P145" s="158">
        <f t="shared" si="34"/>
        <v>0</v>
      </c>
      <c r="Q145" s="1"/>
    </row>
    <row r="146" spans="2:17">
      <c r="B146" s="9" t="str">
        <f t="shared" si="24"/>
        <v/>
      </c>
      <c r="C146" s="153">
        <f>IF(D93="","-",+C145+1)</f>
        <v>2055</v>
      </c>
      <c r="D146" s="154">
        <f>IF(F145+SUM(E$99:E145)=D$92,F145,D$92-SUM(E$99:E145))</f>
        <v>0</v>
      </c>
      <c r="E146" s="160">
        <f>IF(+J96&lt;F145,J96,D146)</f>
        <v>0</v>
      </c>
      <c r="F146" s="159">
        <f t="shared" si="29"/>
        <v>0</v>
      </c>
      <c r="G146" s="159">
        <f t="shared" si="30"/>
        <v>0</v>
      </c>
      <c r="H146" s="163">
        <f t="shared" si="27"/>
        <v>0</v>
      </c>
      <c r="I146" s="253">
        <f t="shared" si="28"/>
        <v>0</v>
      </c>
      <c r="J146" s="158">
        <f t="shared" si="31"/>
        <v>0</v>
      </c>
      <c r="K146" s="158"/>
      <c r="L146" s="334"/>
      <c r="M146" s="158">
        <f t="shared" si="32"/>
        <v>0</v>
      </c>
      <c r="N146" s="334"/>
      <c r="O146" s="158">
        <f t="shared" si="33"/>
        <v>0</v>
      </c>
      <c r="P146" s="158">
        <f t="shared" si="34"/>
        <v>0</v>
      </c>
      <c r="Q146" s="1"/>
    </row>
    <row r="147" spans="2:17">
      <c r="B147" s="9" t="str">
        <f t="shared" si="24"/>
        <v/>
      </c>
      <c r="C147" s="153">
        <f>IF(D93="","-",+C146+1)</f>
        <v>2056</v>
      </c>
      <c r="D147" s="154">
        <f>IF(F146+SUM(E$99:E146)=D$92,F146,D$92-SUM(E$99:E146))</f>
        <v>0</v>
      </c>
      <c r="E147" s="160">
        <f>IF(+J96&lt;F146,J96,D147)</f>
        <v>0</v>
      </c>
      <c r="F147" s="159">
        <f t="shared" si="29"/>
        <v>0</v>
      </c>
      <c r="G147" s="159">
        <f t="shared" si="30"/>
        <v>0</v>
      </c>
      <c r="H147" s="163">
        <f t="shared" si="27"/>
        <v>0</v>
      </c>
      <c r="I147" s="253">
        <f t="shared" si="28"/>
        <v>0</v>
      </c>
      <c r="J147" s="158">
        <f t="shared" si="31"/>
        <v>0</v>
      </c>
      <c r="K147" s="158"/>
      <c r="L147" s="334"/>
      <c r="M147" s="158">
        <f t="shared" si="32"/>
        <v>0</v>
      </c>
      <c r="N147" s="334"/>
      <c r="O147" s="158">
        <f t="shared" si="33"/>
        <v>0</v>
      </c>
      <c r="P147" s="158">
        <f t="shared" si="34"/>
        <v>0</v>
      </c>
      <c r="Q147" s="1"/>
    </row>
    <row r="148" spans="2:17">
      <c r="B148" s="9" t="str">
        <f t="shared" si="24"/>
        <v/>
      </c>
      <c r="C148" s="153">
        <f>IF(D93="","-",+C147+1)</f>
        <v>2057</v>
      </c>
      <c r="D148" s="154">
        <f>IF(F147+SUM(E$99:E147)=D$92,F147,D$92-SUM(E$99:E147))</f>
        <v>0</v>
      </c>
      <c r="E148" s="160">
        <f>IF(+J96&lt;F147,J96,D148)</f>
        <v>0</v>
      </c>
      <c r="F148" s="159">
        <f t="shared" si="29"/>
        <v>0</v>
      </c>
      <c r="G148" s="159">
        <f t="shared" si="30"/>
        <v>0</v>
      </c>
      <c r="H148" s="163">
        <f t="shared" si="27"/>
        <v>0</v>
      </c>
      <c r="I148" s="253">
        <f t="shared" si="28"/>
        <v>0</v>
      </c>
      <c r="J148" s="158">
        <f t="shared" si="31"/>
        <v>0</v>
      </c>
      <c r="K148" s="158"/>
      <c r="L148" s="334"/>
      <c r="M148" s="158">
        <f t="shared" si="32"/>
        <v>0</v>
      </c>
      <c r="N148" s="334"/>
      <c r="O148" s="158">
        <f t="shared" si="33"/>
        <v>0</v>
      </c>
      <c r="P148" s="158">
        <f t="shared" si="34"/>
        <v>0</v>
      </c>
      <c r="Q148" s="1"/>
    </row>
    <row r="149" spans="2:17">
      <c r="B149" s="9" t="str">
        <f t="shared" si="24"/>
        <v/>
      </c>
      <c r="C149" s="153">
        <f>IF(D93="","-",+C148+1)</f>
        <v>2058</v>
      </c>
      <c r="D149" s="154">
        <f>IF(F148+SUM(E$99:E148)=D$92,F148,D$92-SUM(E$99:E148))</f>
        <v>0</v>
      </c>
      <c r="E149" s="160">
        <f>IF(+J96&lt;F148,J96,D149)</f>
        <v>0</v>
      </c>
      <c r="F149" s="159">
        <f t="shared" si="29"/>
        <v>0</v>
      </c>
      <c r="G149" s="159">
        <f t="shared" si="30"/>
        <v>0</v>
      </c>
      <c r="H149" s="163">
        <f t="shared" si="27"/>
        <v>0</v>
      </c>
      <c r="I149" s="253">
        <f t="shared" si="28"/>
        <v>0</v>
      </c>
      <c r="J149" s="158">
        <f t="shared" si="31"/>
        <v>0</v>
      </c>
      <c r="K149" s="158"/>
      <c r="L149" s="334"/>
      <c r="M149" s="158">
        <f t="shared" si="32"/>
        <v>0</v>
      </c>
      <c r="N149" s="334"/>
      <c r="O149" s="158">
        <f t="shared" si="33"/>
        <v>0</v>
      </c>
      <c r="P149" s="158">
        <f t="shared" si="34"/>
        <v>0</v>
      </c>
      <c r="Q149" s="1"/>
    </row>
    <row r="150" spans="2:17">
      <c r="B150" s="9" t="str">
        <f t="shared" si="24"/>
        <v/>
      </c>
      <c r="C150" s="153">
        <f>IF(D93="","-",+C149+1)</f>
        <v>2059</v>
      </c>
      <c r="D150" s="154">
        <f>IF(F149+SUM(E$99:E149)=D$92,F149,D$92-SUM(E$99:E149))</f>
        <v>0</v>
      </c>
      <c r="E150" s="160">
        <f>IF(+J96&lt;F149,J96,D150)</f>
        <v>0</v>
      </c>
      <c r="F150" s="159">
        <f t="shared" si="29"/>
        <v>0</v>
      </c>
      <c r="G150" s="159">
        <f t="shared" si="30"/>
        <v>0</v>
      </c>
      <c r="H150" s="163">
        <f t="shared" si="27"/>
        <v>0</v>
      </c>
      <c r="I150" s="253">
        <f t="shared" si="28"/>
        <v>0</v>
      </c>
      <c r="J150" s="158">
        <f t="shared" si="31"/>
        <v>0</v>
      </c>
      <c r="K150" s="158"/>
      <c r="L150" s="334"/>
      <c r="M150" s="158">
        <f t="shared" si="32"/>
        <v>0</v>
      </c>
      <c r="N150" s="334"/>
      <c r="O150" s="158">
        <f t="shared" si="33"/>
        <v>0</v>
      </c>
      <c r="P150" s="158">
        <f t="shared" si="34"/>
        <v>0</v>
      </c>
      <c r="Q150" s="1"/>
    </row>
    <row r="151" spans="2:17">
      <c r="B151" s="9" t="str">
        <f t="shared" si="24"/>
        <v/>
      </c>
      <c r="C151" s="153">
        <f>IF(D93="","-",+C150+1)</f>
        <v>2060</v>
      </c>
      <c r="D151" s="154">
        <f>IF(F150+SUM(E$99:E150)=D$92,F150,D$92-SUM(E$99:E150))</f>
        <v>0</v>
      </c>
      <c r="E151" s="160">
        <f>IF(+J96&lt;F150,J96,D151)</f>
        <v>0</v>
      </c>
      <c r="F151" s="159">
        <f t="shared" si="29"/>
        <v>0</v>
      </c>
      <c r="G151" s="159">
        <f t="shared" si="30"/>
        <v>0</v>
      </c>
      <c r="H151" s="163">
        <f t="shared" si="27"/>
        <v>0</v>
      </c>
      <c r="I151" s="253">
        <f t="shared" si="28"/>
        <v>0</v>
      </c>
      <c r="J151" s="158">
        <f t="shared" si="31"/>
        <v>0</v>
      </c>
      <c r="K151" s="158"/>
      <c r="L151" s="334"/>
      <c r="M151" s="158">
        <f t="shared" si="32"/>
        <v>0</v>
      </c>
      <c r="N151" s="334"/>
      <c r="O151" s="158">
        <f t="shared" si="33"/>
        <v>0</v>
      </c>
      <c r="P151" s="158">
        <f t="shared" si="34"/>
        <v>0</v>
      </c>
      <c r="Q151" s="1"/>
    </row>
    <row r="152" spans="2:17">
      <c r="B152" s="9" t="str">
        <f t="shared" si="24"/>
        <v/>
      </c>
      <c r="C152" s="153">
        <f>IF(D93="","-",+C151+1)</f>
        <v>2061</v>
      </c>
      <c r="D152" s="154">
        <f>IF(F151+SUM(E$99:E151)=D$92,F151,D$92-SUM(E$99:E151))</f>
        <v>0</v>
      </c>
      <c r="E152" s="160">
        <f>IF(+J96&lt;F151,J96,D152)</f>
        <v>0</v>
      </c>
      <c r="F152" s="159">
        <f t="shared" si="29"/>
        <v>0</v>
      </c>
      <c r="G152" s="159">
        <f t="shared" si="30"/>
        <v>0</v>
      </c>
      <c r="H152" s="163">
        <f t="shared" si="27"/>
        <v>0</v>
      </c>
      <c r="I152" s="253">
        <f t="shared" si="28"/>
        <v>0</v>
      </c>
      <c r="J152" s="158">
        <f t="shared" si="31"/>
        <v>0</v>
      </c>
      <c r="K152" s="158"/>
      <c r="L152" s="334"/>
      <c r="M152" s="158">
        <f t="shared" si="32"/>
        <v>0</v>
      </c>
      <c r="N152" s="334"/>
      <c r="O152" s="158">
        <f t="shared" si="33"/>
        <v>0</v>
      </c>
      <c r="P152" s="158">
        <f t="shared" si="34"/>
        <v>0</v>
      </c>
      <c r="Q152" s="1"/>
    </row>
    <row r="153" spans="2:17">
      <c r="B153" s="9" t="str">
        <f t="shared" si="24"/>
        <v/>
      </c>
      <c r="C153" s="153">
        <f>IF(D93="","-",+C152+1)</f>
        <v>2062</v>
      </c>
      <c r="D153" s="154">
        <f>IF(F152+SUM(E$99:E152)=D$92,F152,D$92-SUM(E$99:E152))</f>
        <v>0</v>
      </c>
      <c r="E153" s="160">
        <f>IF(+J96&lt;F152,J96,D153)</f>
        <v>0</v>
      </c>
      <c r="F153" s="159">
        <f t="shared" si="29"/>
        <v>0</v>
      </c>
      <c r="G153" s="159">
        <f t="shared" si="30"/>
        <v>0</v>
      </c>
      <c r="H153" s="163">
        <f t="shared" si="27"/>
        <v>0</v>
      </c>
      <c r="I153" s="253">
        <f t="shared" si="28"/>
        <v>0</v>
      </c>
      <c r="J153" s="158">
        <f t="shared" si="31"/>
        <v>0</v>
      </c>
      <c r="K153" s="158"/>
      <c r="L153" s="334"/>
      <c r="M153" s="158">
        <f t="shared" si="32"/>
        <v>0</v>
      </c>
      <c r="N153" s="334"/>
      <c r="O153" s="158">
        <f t="shared" si="33"/>
        <v>0</v>
      </c>
      <c r="P153" s="158">
        <f t="shared" si="34"/>
        <v>0</v>
      </c>
      <c r="Q153" s="1"/>
    </row>
    <row r="154" spans="2:17" ht="13.5" thickBot="1">
      <c r="B154" s="9" t="str">
        <f t="shared" si="24"/>
        <v/>
      </c>
      <c r="C154" s="164">
        <f>IF(D93="","-",+C153+1)</f>
        <v>2063</v>
      </c>
      <c r="D154" s="215">
        <f>IF(F153+SUM(E$99:E153)=D$92,F153,D$92-SUM(E$99:E153))</f>
        <v>0</v>
      </c>
      <c r="E154" s="166">
        <f>IF(+J96&lt;F153,J96,D154)</f>
        <v>0</v>
      </c>
      <c r="F154" s="165">
        <f t="shared" si="29"/>
        <v>0</v>
      </c>
      <c r="G154" s="165">
        <f t="shared" si="30"/>
        <v>0</v>
      </c>
      <c r="H154" s="167">
        <f t="shared" si="27"/>
        <v>0</v>
      </c>
      <c r="I154" s="254">
        <f t="shared" si="28"/>
        <v>0</v>
      </c>
      <c r="J154" s="169">
        <f t="shared" si="31"/>
        <v>0</v>
      </c>
      <c r="K154" s="158"/>
      <c r="L154" s="335"/>
      <c r="M154" s="169">
        <f t="shared" si="32"/>
        <v>0</v>
      </c>
      <c r="N154" s="335"/>
      <c r="O154" s="169">
        <f t="shared" si="33"/>
        <v>0</v>
      </c>
      <c r="P154" s="169">
        <f t="shared" si="34"/>
        <v>0</v>
      </c>
      <c r="Q154" s="1"/>
    </row>
    <row r="155" spans="2:17">
      <c r="C155" s="154" t="s">
        <v>73</v>
      </c>
      <c r="D155" s="111"/>
      <c r="E155" s="111">
        <f>SUM(E99:E154)</f>
        <v>9655697.0000000019</v>
      </c>
      <c r="F155" s="111"/>
      <c r="G155" s="111"/>
      <c r="H155" s="111">
        <f>SUM(H99:H154)</f>
        <v>35739461.771389395</v>
      </c>
      <c r="I155" s="111">
        <f>SUM(I99:I154)</f>
        <v>35739461.771389395</v>
      </c>
      <c r="J155" s="111">
        <f>SUM(J99:J154)</f>
        <v>0</v>
      </c>
      <c r="K155" s="111"/>
      <c r="L155" s="111"/>
      <c r="M155" s="111"/>
      <c r="N155" s="111"/>
      <c r="O155" s="111"/>
      <c r="P155" s="1"/>
      <c r="Q155" s="1"/>
    </row>
    <row r="156" spans="2:17">
      <c r="D156" s="2"/>
      <c r="E156" s="1"/>
      <c r="F156" s="1"/>
      <c r="G156" s="1"/>
      <c r="H156" s="1"/>
      <c r="I156" s="3"/>
      <c r="J156" s="3"/>
      <c r="K156" s="111"/>
      <c r="L156" s="3"/>
      <c r="M156" s="3"/>
      <c r="N156" s="3"/>
      <c r="O156" s="3"/>
      <c r="P156" s="1"/>
      <c r="Q156" s="1"/>
    </row>
    <row r="157" spans="2:17">
      <c r="C157" s="216" t="s">
        <v>87</v>
      </c>
      <c r="D157" s="2"/>
      <c r="E157" s="1"/>
      <c r="F157" s="1"/>
      <c r="G157" s="1"/>
      <c r="H157" s="1"/>
      <c r="I157" s="3"/>
      <c r="J157" s="3"/>
      <c r="K157" s="111"/>
      <c r="L157" s="3"/>
      <c r="M157" s="3"/>
      <c r="N157" s="3"/>
      <c r="O157" s="3"/>
      <c r="P157" s="1"/>
      <c r="Q157" s="1"/>
    </row>
    <row r="158" spans="2:17">
      <c r="D158" s="2"/>
      <c r="E158" s="1"/>
      <c r="F158" s="1"/>
      <c r="G158" s="1"/>
      <c r="H158" s="1"/>
      <c r="I158" s="3"/>
      <c r="J158" s="3"/>
      <c r="K158" s="111"/>
      <c r="L158" s="3"/>
      <c r="M158" s="3"/>
      <c r="N158" s="3"/>
      <c r="O158" s="3"/>
      <c r="P158" s="1"/>
      <c r="Q158" s="1"/>
    </row>
    <row r="159" spans="2:17">
      <c r="C159" s="170" t="s">
        <v>92</v>
      </c>
      <c r="D159" s="154"/>
      <c r="E159" s="154"/>
      <c r="F159" s="154"/>
      <c r="G159" s="154"/>
      <c r="H159" s="111"/>
      <c r="I159" s="111"/>
      <c r="J159" s="171"/>
      <c r="K159" s="171"/>
      <c r="L159" s="171"/>
      <c r="M159" s="171"/>
      <c r="N159" s="171"/>
      <c r="O159" s="171"/>
      <c r="P159" s="1"/>
      <c r="Q159" s="1"/>
    </row>
    <row r="160" spans="2:17">
      <c r="C160" s="217" t="s">
        <v>74</v>
      </c>
      <c r="D160" s="154"/>
      <c r="E160" s="154"/>
      <c r="F160" s="154"/>
      <c r="G160" s="154"/>
      <c r="H160" s="111"/>
      <c r="I160" s="111"/>
      <c r="J160" s="171"/>
      <c r="K160" s="171"/>
      <c r="L160" s="171"/>
      <c r="M160" s="171"/>
      <c r="N160" s="171"/>
      <c r="O160" s="171"/>
      <c r="P160" s="1"/>
      <c r="Q160" s="1"/>
    </row>
    <row r="161" spans="3:17">
      <c r="C161" s="217" t="s">
        <v>75</v>
      </c>
      <c r="D161" s="154"/>
      <c r="E161" s="154"/>
      <c r="F161" s="154"/>
      <c r="G161" s="154"/>
      <c r="H161" s="111"/>
      <c r="I161" s="111"/>
      <c r="J161" s="171"/>
      <c r="K161" s="171"/>
      <c r="L161" s="171"/>
      <c r="M161" s="171"/>
      <c r="N161" s="171"/>
      <c r="O161" s="171"/>
      <c r="P161" s="1"/>
      <c r="Q161" s="1"/>
    </row>
    <row r="162" spans="3:17" ht="18">
      <c r="C162" s="217"/>
      <c r="D162" s="154"/>
      <c r="E162" s="154"/>
      <c r="F162" s="154"/>
      <c r="G162" s="154"/>
      <c r="H162" s="111"/>
      <c r="I162" s="111"/>
      <c r="J162" s="171"/>
      <c r="K162" s="171"/>
      <c r="L162" s="171"/>
      <c r="M162" s="171"/>
      <c r="N162" s="171"/>
      <c r="P162" s="237" t="s">
        <v>126</v>
      </c>
      <c r="Q162" s="1"/>
    </row>
  </sheetData>
  <phoneticPr fontId="0" type="noConversion"/>
  <conditionalFormatting sqref="C17:C72">
    <cfRule type="cellIs" dxfId="149" priority="1" stopIfTrue="1" operator="equal">
      <formula>$I$10</formula>
    </cfRule>
  </conditionalFormatting>
  <conditionalFormatting sqref="C99:C154">
    <cfRule type="cellIs" dxfId="148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/>
  <dimension ref="A1:Q162"/>
  <sheetViews>
    <sheetView view="pageBreakPreview" zoomScale="84" zoomScaleNormal="100" zoomScaleSheetLayoutView="84" workbookViewId="0">
      <selection activeCell="C19" sqref="C19"/>
    </sheetView>
  </sheetViews>
  <sheetFormatPr defaultRowHeight="12.75" customHeight="1"/>
  <cols>
    <col min="1" max="1" width="4.7109375" customWidth="1"/>
    <col min="2" max="2" width="6.7109375" customWidth="1"/>
    <col min="3" max="3" width="23.28515625" customWidth="1"/>
    <col min="4" max="8" width="17.7109375" customWidth="1"/>
    <col min="9" max="9" width="20.42578125" customWidth="1"/>
    <col min="10" max="10" width="16.42578125" customWidth="1"/>
    <col min="11" max="11" width="17.7109375" customWidth="1"/>
    <col min="12" max="12" width="16.140625" customWidth="1"/>
    <col min="13" max="13" width="17.7109375" customWidth="1"/>
    <col min="14" max="14" width="16.140625" customWidth="1"/>
    <col min="15" max="15" width="16.85546875" customWidth="1"/>
    <col min="16" max="16" width="24.42578125" customWidth="1"/>
    <col min="17" max="17" width="4.7109375" customWidth="1"/>
    <col min="23" max="23" width="9.140625" customWidth="1"/>
  </cols>
  <sheetData>
    <row r="1" spans="1:17" ht="20.25">
      <c r="A1" s="243" t="s">
        <v>128</v>
      </c>
      <c r="B1" s="1"/>
      <c r="C1" s="21"/>
      <c r="D1" s="2"/>
      <c r="E1" s="1"/>
      <c r="F1" s="99"/>
      <c r="G1" s="1"/>
      <c r="H1" s="3"/>
      <c r="J1" s="7"/>
      <c r="K1" s="109"/>
      <c r="L1" s="109"/>
      <c r="M1" s="109"/>
      <c r="P1" s="249" t="str">
        <f ca="1">"SWEPCO Project "&amp;RIGHT(MID(CELL("filename",$A$1),FIND("]",CELL("filename",$A$1))+1,256),1)&amp;" of "&amp;COUNT('S.001:S.xyz - blank'!$P$3)-1</f>
        <v>SWEPCO Project 9 of 73</v>
      </c>
      <c r="Q1" s="108"/>
    </row>
    <row r="2" spans="1:17" ht="18">
      <c r="B2" s="1"/>
      <c r="C2" s="1"/>
      <c r="D2" s="2"/>
      <c r="E2" s="1"/>
      <c r="F2" s="1"/>
      <c r="G2" s="1"/>
      <c r="H2" s="3"/>
      <c r="I2" s="1"/>
      <c r="J2" s="4"/>
      <c r="K2" s="1"/>
      <c r="L2" s="1"/>
      <c r="M2" s="1"/>
      <c r="N2" s="1"/>
      <c r="P2" s="237" t="s">
        <v>124</v>
      </c>
    </row>
    <row r="3" spans="1:17" ht="18.75">
      <c r="B3" s="5" t="s">
        <v>40</v>
      </c>
      <c r="C3" s="68" t="s">
        <v>41</v>
      </c>
      <c r="D3" s="2"/>
      <c r="E3" s="1"/>
      <c r="F3" s="1"/>
      <c r="G3" s="1"/>
      <c r="H3" s="3"/>
      <c r="I3" s="3"/>
      <c r="J3" s="111"/>
      <c r="K3" s="3"/>
      <c r="L3" s="3"/>
      <c r="M3" s="3"/>
      <c r="N3" s="3"/>
      <c r="O3" s="1" t="str">
        <f>RIGHT(N3,3)</f>
        <v/>
      </c>
      <c r="P3" s="239">
        <v>1</v>
      </c>
    </row>
    <row r="4" spans="1:17" ht="15.75" thickBot="1">
      <c r="C4" s="67"/>
      <c r="D4" s="2"/>
      <c r="E4" s="1"/>
      <c r="F4" s="1"/>
      <c r="G4" s="1"/>
      <c r="H4" s="3"/>
      <c r="I4" s="3"/>
      <c r="J4" s="111"/>
      <c r="K4" s="3"/>
      <c r="L4" s="3"/>
      <c r="M4" s="3"/>
      <c r="N4" s="3"/>
      <c r="O4" s="1"/>
      <c r="P4" s="1"/>
    </row>
    <row r="5" spans="1:17" ht="15">
      <c r="C5" s="112" t="s">
        <v>42</v>
      </c>
      <c r="D5" s="2"/>
      <c r="E5" s="1"/>
      <c r="F5" s="1"/>
      <c r="G5" s="113"/>
      <c r="H5" s="1" t="s">
        <v>43</v>
      </c>
      <c r="I5" s="1"/>
      <c r="J5" s="4"/>
      <c r="K5" s="268" t="s">
        <v>152</v>
      </c>
      <c r="L5" s="114"/>
      <c r="M5" s="115"/>
      <c r="N5" s="116">
        <f>VLOOKUP(I10,C17:I72,5)</f>
        <v>276574.78884881514</v>
      </c>
      <c r="P5" s="1"/>
    </row>
    <row r="6" spans="1:17" ht="15.75">
      <c r="C6" s="8"/>
      <c r="D6" s="2"/>
      <c r="E6" s="1"/>
      <c r="F6" s="1"/>
      <c r="G6" s="1"/>
      <c r="H6" s="117"/>
      <c r="I6" s="117"/>
      <c r="J6" s="118"/>
      <c r="K6" s="269" t="s">
        <v>153</v>
      </c>
      <c r="L6" s="119"/>
      <c r="M6" s="4"/>
      <c r="N6" s="120">
        <f>VLOOKUP(I10,C17:I72,6)</f>
        <v>276574.78884881514</v>
      </c>
      <c r="O6" s="1"/>
      <c r="P6" s="1"/>
    </row>
    <row r="7" spans="1:17" ht="13.5" thickBot="1">
      <c r="C7" s="121" t="s">
        <v>44</v>
      </c>
      <c r="D7" s="273" t="s">
        <v>223</v>
      </c>
      <c r="E7" s="1"/>
      <c r="F7" s="1"/>
      <c r="G7" s="1"/>
      <c r="H7" s="3"/>
      <c r="I7" s="3"/>
      <c r="J7" s="111"/>
      <c r="K7" s="122" t="s">
        <v>45</v>
      </c>
      <c r="L7" s="123"/>
      <c r="M7" s="123"/>
      <c r="N7" s="124">
        <f>+N6-N5</f>
        <v>0</v>
      </c>
      <c r="O7" s="1"/>
      <c r="P7" s="1"/>
    </row>
    <row r="8" spans="1:17" ht="13.5" thickBot="1">
      <c r="C8" s="125"/>
      <c r="D8" s="247" t="str">
        <f>IF(D10&lt;100000,"DOES NOT MEET SPP $100,000 MINIMUM INVESTMENT FOR REGIONAL BPU SHARING.","")</f>
        <v/>
      </c>
      <c r="E8" s="126"/>
      <c r="F8" s="126"/>
      <c r="G8" s="126"/>
      <c r="H8" s="126"/>
      <c r="I8" s="126"/>
      <c r="J8" s="101"/>
      <c r="K8" s="126"/>
      <c r="L8" s="126"/>
      <c r="M8" s="126"/>
      <c r="N8" s="126"/>
      <c r="O8" s="101"/>
      <c r="P8" s="21"/>
    </row>
    <row r="9" spans="1:17" ht="13.5" thickBot="1">
      <c r="A9" s="103"/>
      <c r="C9" s="127" t="s">
        <v>46</v>
      </c>
      <c r="D9" s="225" t="s">
        <v>143</v>
      </c>
      <c r="E9" s="401" t="s">
        <v>403</v>
      </c>
      <c r="F9" s="128"/>
      <c r="G9" s="128"/>
      <c r="H9" s="128"/>
      <c r="I9" s="129"/>
      <c r="J9" s="130"/>
      <c r="O9" s="131"/>
      <c r="P9" s="4"/>
    </row>
    <row r="10" spans="1:17">
      <c r="C10" s="132" t="s">
        <v>47</v>
      </c>
      <c r="D10" s="133">
        <v>2820328</v>
      </c>
      <c r="E10" s="61" t="s">
        <v>459</v>
      </c>
      <c r="F10" s="131"/>
      <c r="G10" s="134"/>
      <c r="H10" s="134"/>
      <c r="I10" s="135">
        <f>+SWE.WS.F.BPU.ATRR.Projected!K17</f>
        <v>2019</v>
      </c>
      <c r="J10" s="130"/>
      <c r="K10" s="111" t="s">
        <v>48</v>
      </c>
      <c r="O10" s="4"/>
      <c r="P10" s="4"/>
    </row>
    <row r="11" spans="1:17">
      <c r="C11" s="136" t="s">
        <v>49</v>
      </c>
      <c r="D11" s="137">
        <v>2008</v>
      </c>
      <c r="E11" s="136" t="s">
        <v>50</v>
      </c>
      <c r="F11" s="134"/>
      <c r="G11" s="7"/>
      <c r="H11" s="7"/>
      <c r="I11" s="138">
        <v>0</v>
      </c>
      <c r="J11" s="139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4"/>
      <c r="P11" s="4"/>
    </row>
    <row r="12" spans="1:17">
      <c r="C12" s="136" t="s">
        <v>51</v>
      </c>
      <c r="D12" s="133">
        <v>4</v>
      </c>
      <c r="E12" s="136" t="s">
        <v>52</v>
      </c>
      <c r="F12" s="134"/>
      <c r="G12" s="7"/>
      <c r="H12" s="7"/>
      <c r="I12" s="140">
        <f>SWE.WS.F.BPU.ATRR.Projected!$F$76</f>
        <v>9.9555672459071778E-2</v>
      </c>
      <c r="J12" s="141"/>
      <c r="K12" t="s">
        <v>53</v>
      </c>
      <c r="O12" s="4"/>
      <c r="P12" s="4"/>
    </row>
    <row r="13" spans="1:17">
      <c r="C13" s="136" t="s">
        <v>54</v>
      </c>
      <c r="D13" s="138">
        <f>+SWE.WS.F.BPU.ATRR.Projected!F$87</f>
        <v>43</v>
      </c>
      <c r="E13" s="136" t="s">
        <v>55</v>
      </c>
      <c r="F13" s="134"/>
      <c r="G13" s="7"/>
      <c r="H13" s="7"/>
      <c r="I13" s="140">
        <f>IF(G5="",I12,SWE.WS.F.BPU.ATRR.Projected!$F$75)</f>
        <v>9.9555672459071778E-2</v>
      </c>
      <c r="J13" s="141"/>
      <c r="K13" s="111" t="s">
        <v>56</v>
      </c>
      <c r="L13" s="58"/>
      <c r="M13" s="58"/>
      <c r="N13" s="58"/>
      <c r="O13" s="4"/>
      <c r="P13" s="4"/>
    </row>
    <row r="14" spans="1:17" ht="13.5" thickBot="1">
      <c r="C14" s="136" t="s">
        <v>57</v>
      </c>
      <c r="D14" s="137" t="s">
        <v>58</v>
      </c>
      <c r="E14" s="4" t="s">
        <v>59</v>
      </c>
      <c r="F14" s="134"/>
      <c r="G14" s="7"/>
      <c r="H14" s="7"/>
      <c r="I14" s="142">
        <f>IF(D10=0,0,D10/D13)</f>
        <v>65589.023255813954</v>
      </c>
      <c r="J14" s="111"/>
      <c r="K14" s="111"/>
      <c r="L14" s="111"/>
      <c r="M14" s="111"/>
      <c r="N14" s="111"/>
      <c r="O14" s="4"/>
      <c r="P14" s="4"/>
    </row>
    <row r="15" spans="1:17" ht="38.25">
      <c r="C15" s="143" t="s">
        <v>47</v>
      </c>
      <c r="D15" s="144" t="s">
        <v>60</v>
      </c>
      <c r="E15" s="144" t="s">
        <v>61</v>
      </c>
      <c r="F15" s="144" t="s">
        <v>62</v>
      </c>
      <c r="G15" s="434" t="s">
        <v>378</v>
      </c>
      <c r="H15" s="435" t="s">
        <v>379</v>
      </c>
      <c r="I15" s="351" t="s">
        <v>249</v>
      </c>
      <c r="J15" s="145"/>
      <c r="K15" s="271" t="s">
        <v>219</v>
      </c>
      <c r="L15" s="146" t="s">
        <v>64</v>
      </c>
      <c r="M15" s="271" t="s">
        <v>219</v>
      </c>
      <c r="N15" s="146" t="s">
        <v>64</v>
      </c>
      <c r="O15" s="146" t="s">
        <v>65</v>
      </c>
      <c r="P15" s="4"/>
    </row>
    <row r="16" spans="1:17" ht="13.5" thickBot="1">
      <c r="C16" s="147" t="s">
        <v>66</v>
      </c>
      <c r="D16" s="147" t="s">
        <v>67</v>
      </c>
      <c r="E16" s="147" t="s">
        <v>68</v>
      </c>
      <c r="F16" s="147" t="s">
        <v>67</v>
      </c>
      <c r="G16" s="408" t="s">
        <v>69</v>
      </c>
      <c r="H16" s="148" t="s">
        <v>70</v>
      </c>
      <c r="I16" s="149" t="s">
        <v>89</v>
      </c>
      <c r="J16" s="150" t="s">
        <v>71</v>
      </c>
      <c r="K16" s="151" t="s">
        <v>72</v>
      </c>
      <c r="L16" s="151" t="s">
        <v>72</v>
      </c>
      <c r="M16" s="151" t="s">
        <v>90</v>
      </c>
      <c r="N16" s="152" t="s">
        <v>90</v>
      </c>
      <c r="O16" s="151" t="s">
        <v>90</v>
      </c>
      <c r="P16" s="4"/>
    </row>
    <row r="17" spans="2:16">
      <c r="C17" s="153">
        <f>IF(D11= "","-",D11)</f>
        <v>2008</v>
      </c>
      <c r="D17" s="357">
        <v>1475169</v>
      </c>
      <c r="E17" s="358">
        <v>29902</v>
      </c>
      <c r="F17" s="357">
        <v>1445267</v>
      </c>
      <c r="G17" s="358">
        <v>214903</v>
      </c>
      <c r="H17" s="359">
        <v>214903</v>
      </c>
      <c r="I17" s="398">
        <f t="shared" ref="I17:I48" si="0">H17-G17</f>
        <v>0</v>
      </c>
      <c r="J17" s="156"/>
      <c r="K17" s="256">
        <v>214903</v>
      </c>
      <c r="L17" s="157">
        <f t="shared" ref="L17:L48" si="1">IF(K17&lt;&gt;0,+G17-K17,0)</f>
        <v>0</v>
      </c>
      <c r="M17" s="256">
        <f>K17</f>
        <v>214903</v>
      </c>
      <c r="N17" s="157">
        <f t="shared" ref="N17:N48" si="2">IF(M17&lt;&gt;0,+H17-M17,0)</f>
        <v>0</v>
      </c>
      <c r="O17" s="158">
        <f t="shared" ref="O17:O48" si="3">+N17-L17</f>
        <v>0</v>
      </c>
      <c r="P17" s="4"/>
    </row>
    <row r="18" spans="2:16">
      <c r="B18" s="9" t="str">
        <f>IF(D18=F17,"","IU")</f>
        <v>IU</v>
      </c>
      <c r="C18" s="153">
        <f>IF(D11="","-",+C17+1)</f>
        <v>2009</v>
      </c>
      <c r="D18" s="361">
        <v>1831326</v>
      </c>
      <c r="E18" s="360">
        <v>50403</v>
      </c>
      <c r="F18" s="361">
        <v>1780923</v>
      </c>
      <c r="G18" s="360">
        <v>323352</v>
      </c>
      <c r="H18" s="359">
        <v>323352</v>
      </c>
      <c r="I18" s="398">
        <f t="shared" si="0"/>
        <v>0</v>
      </c>
      <c r="J18" s="156"/>
      <c r="K18" s="258">
        <v>323352</v>
      </c>
      <c r="L18" s="158">
        <f t="shared" si="1"/>
        <v>0</v>
      </c>
      <c r="M18" s="258">
        <v>323352</v>
      </c>
      <c r="N18" s="158">
        <f t="shared" si="2"/>
        <v>0</v>
      </c>
      <c r="O18" s="158">
        <f t="shared" si="3"/>
        <v>0</v>
      </c>
      <c r="P18" s="4"/>
    </row>
    <row r="19" spans="2:16">
      <c r="B19" s="9" t="str">
        <f>IF(D19=F18,"","IU")</f>
        <v>IU</v>
      </c>
      <c r="C19" s="153">
        <f>IF(D11="","-",+C18+1)</f>
        <v>2010</v>
      </c>
      <c r="D19" s="361">
        <v>1782801</v>
      </c>
      <c r="E19" s="360">
        <v>49029</v>
      </c>
      <c r="F19" s="361">
        <v>1733771</v>
      </c>
      <c r="G19" s="360">
        <v>298284</v>
      </c>
      <c r="H19" s="359">
        <v>298285</v>
      </c>
      <c r="I19" s="399">
        <v>0</v>
      </c>
      <c r="J19" s="156"/>
      <c r="K19" s="258">
        <f t="shared" ref="K19:K24" si="4">G19</f>
        <v>298284</v>
      </c>
      <c r="L19" s="257">
        <f t="shared" si="1"/>
        <v>0</v>
      </c>
      <c r="M19" s="258">
        <f t="shared" ref="M19:M24" si="5">H19</f>
        <v>298285</v>
      </c>
      <c r="N19" s="158">
        <f t="shared" si="2"/>
        <v>0</v>
      </c>
      <c r="O19" s="158">
        <f t="shared" si="3"/>
        <v>0</v>
      </c>
      <c r="P19" s="4"/>
    </row>
    <row r="20" spans="2:16">
      <c r="B20" s="9" t="str">
        <f t="shared" ref="B20:B72" si="6">IF(D20=F19,"","IU")</f>
        <v>IU</v>
      </c>
      <c r="C20" s="153">
        <f>IF(D11="","-",+C19+1)</f>
        <v>2011</v>
      </c>
      <c r="D20" s="361">
        <v>2691044</v>
      </c>
      <c r="E20" s="360">
        <v>68789.707317073175</v>
      </c>
      <c r="F20" s="361">
        <v>2622254.2926829266</v>
      </c>
      <c r="G20" s="360">
        <v>478365.33332464576</v>
      </c>
      <c r="H20" s="359">
        <v>478365.33332464576</v>
      </c>
      <c r="I20" s="399">
        <v>0</v>
      </c>
      <c r="J20" s="156"/>
      <c r="K20" s="258">
        <f t="shared" si="4"/>
        <v>478365.33332464576</v>
      </c>
      <c r="L20" s="257">
        <f t="shared" si="1"/>
        <v>0</v>
      </c>
      <c r="M20" s="258">
        <f t="shared" si="5"/>
        <v>478365.33332464576</v>
      </c>
      <c r="N20" s="158">
        <f t="shared" si="2"/>
        <v>0</v>
      </c>
      <c r="O20" s="158">
        <f t="shared" si="3"/>
        <v>0</v>
      </c>
      <c r="P20" s="4"/>
    </row>
    <row r="21" spans="2:16">
      <c r="B21" s="9" t="str">
        <f t="shared" si="6"/>
        <v/>
      </c>
      <c r="C21" s="153">
        <f>IF(D12="","-",+C20+1)</f>
        <v>2012</v>
      </c>
      <c r="D21" s="361">
        <v>2622254.2926829266</v>
      </c>
      <c r="E21" s="377">
        <v>67151.857142857145</v>
      </c>
      <c r="F21" s="361">
        <v>2555102.4355400694</v>
      </c>
      <c r="G21" s="360">
        <v>447147.04924288485</v>
      </c>
      <c r="H21" s="359">
        <v>447147.04924288485</v>
      </c>
      <c r="I21" s="368">
        <v>0</v>
      </c>
      <c r="J21" s="156"/>
      <c r="K21" s="258">
        <f t="shared" si="4"/>
        <v>447147.04924288485</v>
      </c>
      <c r="L21" s="257">
        <f t="shared" si="1"/>
        <v>0</v>
      </c>
      <c r="M21" s="258">
        <f t="shared" si="5"/>
        <v>447147.04924288485</v>
      </c>
      <c r="N21" s="158">
        <f t="shared" si="2"/>
        <v>0</v>
      </c>
      <c r="O21" s="158">
        <f t="shared" si="3"/>
        <v>0</v>
      </c>
      <c r="P21" s="4"/>
    </row>
    <row r="22" spans="2:16">
      <c r="B22" s="9" t="str">
        <f t="shared" si="6"/>
        <v/>
      </c>
      <c r="C22" s="153">
        <f>IF(D11="","-",+C21+1)</f>
        <v>2013</v>
      </c>
      <c r="D22" s="396">
        <v>2555102.4355400694</v>
      </c>
      <c r="E22" s="397">
        <v>67151.857142857145</v>
      </c>
      <c r="F22" s="396">
        <v>2487950.5783972121</v>
      </c>
      <c r="G22" s="397">
        <v>415432.79896148719</v>
      </c>
      <c r="H22" s="395">
        <v>415432.79896148719</v>
      </c>
      <c r="I22" s="398">
        <v>0</v>
      </c>
      <c r="J22" s="156"/>
      <c r="K22" s="258">
        <f t="shared" si="4"/>
        <v>415432.79896148719</v>
      </c>
      <c r="L22" s="257">
        <f t="shared" ref="L22:L27" si="7">IF(K22&lt;&gt;0,+G22-K22,0)</f>
        <v>0</v>
      </c>
      <c r="M22" s="258">
        <f t="shared" si="5"/>
        <v>415432.79896148719</v>
      </c>
      <c r="N22" s="158">
        <f t="shared" ref="N22:N27" si="8">IF(M22&lt;&gt;0,+H22-M22,0)</f>
        <v>0</v>
      </c>
      <c r="O22" s="158">
        <f t="shared" ref="O22:O27" si="9">+N22-L22</f>
        <v>0</v>
      </c>
      <c r="P22" s="4"/>
    </row>
    <row r="23" spans="2:16">
      <c r="B23" s="9" t="str">
        <f t="shared" si="6"/>
        <v/>
      </c>
      <c r="C23" s="153">
        <f>IF(D11="","-",+C22+1)</f>
        <v>2014</v>
      </c>
      <c r="D23" s="396">
        <v>2487950.5783972121</v>
      </c>
      <c r="E23" s="397">
        <v>67151.857142857145</v>
      </c>
      <c r="F23" s="396">
        <v>2420798.7212543548</v>
      </c>
      <c r="G23" s="397">
        <v>393743.0429982192</v>
      </c>
      <c r="H23" s="395">
        <v>393743.0429982192</v>
      </c>
      <c r="I23" s="398">
        <v>0</v>
      </c>
      <c r="J23" s="156"/>
      <c r="K23" s="258">
        <f t="shared" si="4"/>
        <v>393743.0429982192</v>
      </c>
      <c r="L23" s="257">
        <f t="shared" si="7"/>
        <v>0</v>
      </c>
      <c r="M23" s="258">
        <f t="shared" si="5"/>
        <v>393743.0429982192</v>
      </c>
      <c r="N23" s="158">
        <f t="shared" si="8"/>
        <v>0</v>
      </c>
      <c r="O23" s="158">
        <f t="shared" si="9"/>
        <v>0</v>
      </c>
      <c r="P23" s="4"/>
    </row>
    <row r="24" spans="2:16">
      <c r="B24" s="9" t="str">
        <f t="shared" si="6"/>
        <v/>
      </c>
      <c r="C24" s="153">
        <f>IF(D11="","-",+C23+1)</f>
        <v>2015</v>
      </c>
      <c r="D24" s="396">
        <v>2420798.7212543548</v>
      </c>
      <c r="E24" s="397">
        <v>67151.857142857145</v>
      </c>
      <c r="F24" s="396">
        <v>2353646.8641114975</v>
      </c>
      <c r="G24" s="397">
        <v>377138.44894635677</v>
      </c>
      <c r="H24" s="395">
        <v>377138.44894635677</v>
      </c>
      <c r="I24" s="156">
        <v>0</v>
      </c>
      <c r="J24" s="156"/>
      <c r="K24" s="258">
        <f t="shared" si="4"/>
        <v>377138.44894635677</v>
      </c>
      <c r="L24" s="257">
        <f t="shared" si="7"/>
        <v>0</v>
      </c>
      <c r="M24" s="258">
        <f t="shared" si="5"/>
        <v>377138.44894635677</v>
      </c>
      <c r="N24" s="158">
        <f t="shared" si="8"/>
        <v>0</v>
      </c>
      <c r="O24" s="158">
        <f t="shared" si="9"/>
        <v>0</v>
      </c>
      <c r="P24" s="4"/>
    </row>
    <row r="25" spans="2:16">
      <c r="B25" s="9" t="str">
        <f t="shared" si="6"/>
        <v>IU</v>
      </c>
      <c r="C25" s="153">
        <f>IF(D11="","-",+C24+1)</f>
        <v>2016</v>
      </c>
      <c r="D25" s="396">
        <v>2353596.864111498</v>
      </c>
      <c r="E25" s="397">
        <v>67150.666666666672</v>
      </c>
      <c r="F25" s="396">
        <v>2286446.1974448315</v>
      </c>
      <c r="G25" s="397">
        <v>364571.53091239138</v>
      </c>
      <c r="H25" s="395">
        <v>364571.53091239138</v>
      </c>
      <c r="I25" s="156">
        <f t="shared" si="0"/>
        <v>0</v>
      </c>
      <c r="J25" s="156"/>
      <c r="K25" s="258">
        <f>G25</f>
        <v>364571.53091239138</v>
      </c>
      <c r="L25" s="257">
        <f t="shared" si="7"/>
        <v>0</v>
      </c>
      <c r="M25" s="258">
        <f>H25</f>
        <v>364571.53091239138</v>
      </c>
      <c r="N25" s="158">
        <f t="shared" si="8"/>
        <v>0</v>
      </c>
      <c r="O25" s="158">
        <f t="shared" si="9"/>
        <v>0</v>
      </c>
      <c r="P25" s="4"/>
    </row>
    <row r="26" spans="2:16">
      <c r="B26" s="9" t="str">
        <f t="shared" si="6"/>
        <v/>
      </c>
      <c r="C26" s="153">
        <f>IF(D11="","-",+C25+1)</f>
        <v>2017</v>
      </c>
      <c r="D26" s="396">
        <v>2286446.1974448315</v>
      </c>
      <c r="E26" s="397">
        <v>65589.023255813954</v>
      </c>
      <c r="F26" s="396">
        <v>2220857.1741890176</v>
      </c>
      <c r="G26" s="397">
        <v>344799.6405005774</v>
      </c>
      <c r="H26" s="395">
        <v>344799.6405005774</v>
      </c>
      <c r="I26" s="156">
        <v>0</v>
      </c>
      <c r="J26" s="156"/>
      <c r="K26" s="258">
        <f>G26</f>
        <v>344799.6405005774</v>
      </c>
      <c r="L26" s="257">
        <f t="shared" si="7"/>
        <v>0</v>
      </c>
      <c r="M26" s="258">
        <f>H26</f>
        <v>344799.6405005774</v>
      </c>
      <c r="N26" s="158">
        <f t="shared" si="8"/>
        <v>0</v>
      </c>
      <c r="O26" s="158">
        <f t="shared" si="9"/>
        <v>0</v>
      </c>
      <c r="P26" s="4"/>
    </row>
    <row r="27" spans="2:16">
      <c r="B27" s="9" t="str">
        <f t="shared" si="6"/>
        <v/>
      </c>
      <c r="C27" s="153">
        <f>IF(D11="","-",+C26+1)</f>
        <v>2018</v>
      </c>
      <c r="D27" s="396">
        <v>2220857.1741890176</v>
      </c>
      <c r="E27" s="397">
        <v>68788.487804878052</v>
      </c>
      <c r="F27" s="396">
        <v>2152068.6863841396</v>
      </c>
      <c r="G27" s="397">
        <v>313419.1655388627</v>
      </c>
      <c r="H27" s="395">
        <v>313419.1655388627</v>
      </c>
      <c r="I27" s="156">
        <f t="shared" si="0"/>
        <v>0</v>
      </c>
      <c r="J27" s="156"/>
      <c r="K27" s="258">
        <f>G27</f>
        <v>313419.1655388627</v>
      </c>
      <c r="L27" s="257">
        <f t="shared" si="7"/>
        <v>0</v>
      </c>
      <c r="M27" s="258">
        <f>H27</f>
        <v>313419.1655388627</v>
      </c>
      <c r="N27" s="158">
        <f t="shared" si="8"/>
        <v>0</v>
      </c>
      <c r="O27" s="158">
        <f t="shared" si="9"/>
        <v>0</v>
      </c>
      <c r="P27" s="4"/>
    </row>
    <row r="28" spans="2:16">
      <c r="B28" s="9" t="str">
        <f t="shared" si="6"/>
        <v/>
      </c>
      <c r="C28" s="153">
        <f>IF(D11="","-",+C27+1)</f>
        <v>2019</v>
      </c>
      <c r="D28" s="159">
        <f>IF(F27+SUM(E$17:E27)=D$10,F27,D$10-SUM(E$17:E27))</f>
        <v>2152068.6863841396</v>
      </c>
      <c r="E28" s="160">
        <f>IF(+I14&lt;F27,I14,D28)</f>
        <v>65589.023255813954</v>
      </c>
      <c r="F28" s="159">
        <f t="shared" ref="F28:F48" si="10">+D28-E28</f>
        <v>2086479.6631283257</v>
      </c>
      <c r="G28" s="161">
        <f t="shared" ref="G28:G72" si="11">+I$12*((D28+F28)/2)+E28</f>
        <v>276574.78884881514</v>
      </c>
      <c r="H28" s="142">
        <f t="shared" ref="H28:H72" si="12">+I$13*((D28+F28)/2)+E28</f>
        <v>276574.78884881514</v>
      </c>
      <c r="I28" s="156">
        <f t="shared" si="0"/>
        <v>0</v>
      </c>
      <c r="J28" s="156"/>
      <c r="K28" s="334"/>
      <c r="L28" s="158">
        <f t="shared" si="1"/>
        <v>0</v>
      </c>
      <c r="M28" s="334"/>
      <c r="N28" s="158">
        <f t="shared" si="2"/>
        <v>0</v>
      </c>
      <c r="O28" s="158">
        <f t="shared" si="3"/>
        <v>0</v>
      </c>
      <c r="P28" s="4"/>
    </row>
    <row r="29" spans="2:16">
      <c r="B29" s="9" t="str">
        <f t="shared" si="6"/>
        <v/>
      </c>
      <c r="C29" s="153">
        <f>IF(D11="","-",+C28+1)</f>
        <v>2020</v>
      </c>
      <c r="D29" s="159">
        <f>IF(F28+SUM(E$17:E28)=D$10,F28,D$10-SUM(E$17:E28))</f>
        <v>2086479.6631283257</v>
      </c>
      <c r="E29" s="160">
        <f>IF(+I14&lt;F28,I14,D29)</f>
        <v>65589.023255813954</v>
      </c>
      <c r="F29" s="159">
        <f t="shared" si="10"/>
        <v>2020890.6398725118</v>
      </c>
      <c r="G29" s="161">
        <f t="shared" si="11"/>
        <v>270045.02953264886</v>
      </c>
      <c r="H29" s="142">
        <f t="shared" si="12"/>
        <v>270045.02953264886</v>
      </c>
      <c r="I29" s="156">
        <f t="shared" si="0"/>
        <v>0</v>
      </c>
      <c r="J29" s="156"/>
      <c r="K29" s="334"/>
      <c r="L29" s="158">
        <f t="shared" si="1"/>
        <v>0</v>
      </c>
      <c r="M29" s="334"/>
      <c r="N29" s="158">
        <f t="shared" si="2"/>
        <v>0</v>
      </c>
      <c r="O29" s="158">
        <f t="shared" si="3"/>
        <v>0</v>
      </c>
      <c r="P29" s="4"/>
    </row>
    <row r="30" spans="2:16">
      <c r="B30" s="9" t="str">
        <f t="shared" si="6"/>
        <v/>
      </c>
      <c r="C30" s="153">
        <f>IF(D11="","-",+C29+1)</f>
        <v>2021</v>
      </c>
      <c r="D30" s="159">
        <f>IF(F29+SUM(E$17:E29)=D$10,F29,D$10-SUM(E$17:E29))</f>
        <v>2020890.6398725118</v>
      </c>
      <c r="E30" s="160">
        <f>IF(+I14&lt;F29,I14,D30)</f>
        <v>65589.023255813954</v>
      </c>
      <c r="F30" s="159">
        <f t="shared" si="10"/>
        <v>1955301.616616698</v>
      </c>
      <c r="G30" s="161">
        <f t="shared" si="11"/>
        <v>263515.27021648258</v>
      </c>
      <c r="H30" s="142">
        <f t="shared" si="12"/>
        <v>263515.27021648258</v>
      </c>
      <c r="I30" s="156">
        <f t="shared" si="0"/>
        <v>0</v>
      </c>
      <c r="J30" s="156"/>
      <c r="K30" s="334"/>
      <c r="L30" s="158">
        <f t="shared" si="1"/>
        <v>0</v>
      </c>
      <c r="M30" s="334"/>
      <c r="N30" s="158">
        <f t="shared" si="2"/>
        <v>0</v>
      </c>
      <c r="O30" s="158">
        <f t="shared" si="3"/>
        <v>0</v>
      </c>
      <c r="P30" s="4"/>
    </row>
    <row r="31" spans="2:16">
      <c r="B31" s="9" t="str">
        <f t="shared" si="6"/>
        <v/>
      </c>
      <c r="C31" s="153">
        <f>IF(D11="","-",+C30+1)</f>
        <v>2022</v>
      </c>
      <c r="D31" s="159">
        <f>IF(F30+SUM(E$17:E30)=D$10,F30,D$10-SUM(E$17:E30))</f>
        <v>1955301.616616698</v>
      </c>
      <c r="E31" s="160">
        <f>IF(+I14&lt;F30,I14,D31)</f>
        <v>65589.023255813954</v>
      </c>
      <c r="F31" s="159">
        <f t="shared" si="10"/>
        <v>1889712.5933608841</v>
      </c>
      <c r="G31" s="161">
        <f t="shared" si="11"/>
        <v>256985.51090031635</v>
      </c>
      <c r="H31" s="142">
        <f t="shared" si="12"/>
        <v>256985.51090031635</v>
      </c>
      <c r="I31" s="156">
        <f t="shared" si="0"/>
        <v>0</v>
      </c>
      <c r="J31" s="156"/>
      <c r="K31" s="334"/>
      <c r="L31" s="158">
        <f t="shared" si="1"/>
        <v>0</v>
      </c>
      <c r="M31" s="334"/>
      <c r="N31" s="158">
        <f t="shared" si="2"/>
        <v>0</v>
      </c>
      <c r="O31" s="158">
        <f t="shared" si="3"/>
        <v>0</v>
      </c>
      <c r="P31" s="4"/>
    </row>
    <row r="32" spans="2:16">
      <c r="B32" s="9" t="str">
        <f t="shared" si="6"/>
        <v/>
      </c>
      <c r="C32" s="153">
        <f>IF(D11="","-",+C31+1)</f>
        <v>2023</v>
      </c>
      <c r="D32" s="159">
        <f>IF(F31+SUM(E$17:E31)=D$10,F31,D$10-SUM(E$17:E31))</f>
        <v>1889712.5933608841</v>
      </c>
      <c r="E32" s="160">
        <f>IF(+I14&lt;F31,I14,D32)</f>
        <v>65589.023255813954</v>
      </c>
      <c r="F32" s="159">
        <f t="shared" si="10"/>
        <v>1824123.5701050702</v>
      </c>
      <c r="G32" s="161">
        <f t="shared" si="11"/>
        <v>250455.7515841501</v>
      </c>
      <c r="H32" s="142">
        <f t="shared" si="12"/>
        <v>250455.7515841501</v>
      </c>
      <c r="I32" s="156">
        <f t="shared" si="0"/>
        <v>0</v>
      </c>
      <c r="J32" s="156"/>
      <c r="K32" s="334"/>
      <c r="L32" s="158">
        <f t="shared" si="1"/>
        <v>0</v>
      </c>
      <c r="M32" s="334"/>
      <c r="N32" s="158">
        <f t="shared" si="2"/>
        <v>0</v>
      </c>
      <c r="O32" s="158">
        <f t="shared" si="3"/>
        <v>0</v>
      </c>
      <c r="P32" s="4"/>
    </row>
    <row r="33" spans="2:16">
      <c r="B33" s="9" t="str">
        <f t="shared" si="6"/>
        <v/>
      </c>
      <c r="C33" s="153">
        <f>IF(D11="","-",+C32+1)</f>
        <v>2024</v>
      </c>
      <c r="D33" s="159">
        <f>IF(F32+SUM(E$17:E32)=D$10,F32,D$10-SUM(E$17:E32))</f>
        <v>1824123.5701050702</v>
      </c>
      <c r="E33" s="160">
        <f>IF(+I14&lt;F32,I14,D33)</f>
        <v>65589.023255813954</v>
      </c>
      <c r="F33" s="159">
        <f t="shared" si="10"/>
        <v>1758534.5468492564</v>
      </c>
      <c r="G33" s="161">
        <f t="shared" si="11"/>
        <v>243925.99226798385</v>
      </c>
      <c r="H33" s="142">
        <f t="shared" si="12"/>
        <v>243925.99226798385</v>
      </c>
      <c r="I33" s="156">
        <f t="shared" si="0"/>
        <v>0</v>
      </c>
      <c r="J33" s="156"/>
      <c r="K33" s="334"/>
      <c r="L33" s="158">
        <f t="shared" si="1"/>
        <v>0</v>
      </c>
      <c r="M33" s="334"/>
      <c r="N33" s="158">
        <f t="shared" si="2"/>
        <v>0</v>
      </c>
      <c r="O33" s="158">
        <f t="shared" si="3"/>
        <v>0</v>
      </c>
      <c r="P33" s="4"/>
    </row>
    <row r="34" spans="2:16">
      <c r="B34" s="9" t="str">
        <f t="shared" si="6"/>
        <v/>
      </c>
      <c r="C34" s="153">
        <f>IF(D11="","-",+C33+1)</f>
        <v>2025</v>
      </c>
      <c r="D34" s="159">
        <f>IF(F33+SUM(E$17:E33)=D$10,F33,D$10-SUM(E$17:E33))</f>
        <v>1758534.5468492564</v>
      </c>
      <c r="E34" s="160">
        <f>IF(+I14&lt;F33,I14,D34)</f>
        <v>65589.023255813954</v>
      </c>
      <c r="F34" s="159">
        <f t="shared" si="10"/>
        <v>1692945.5235934425</v>
      </c>
      <c r="G34" s="161">
        <f t="shared" si="11"/>
        <v>237396.23295181763</v>
      </c>
      <c r="H34" s="142">
        <f t="shared" si="12"/>
        <v>237396.23295181763</v>
      </c>
      <c r="I34" s="156">
        <f t="shared" si="0"/>
        <v>0</v>
      </c>
      <c r="J34" s="156"/>
      <c r="K34" s="334"/>
      <c r="L34" s="158">
        <f t="shared" si="1"/>
        <v>0</v>
      </c>
      <c r="M34" s="334"/>
      <c r="N34" s="158">
        <f t="shared" si="2"/>
        <v>0</v>
      </c>
      <c r="O34" s="158">
        <f t="shared" si="3"/>
        <v>0</v>
      </c>
      <c r="P34" s="4"/>
    </row>
    <row r="35" spans="2:16">
      <c r="B35" s="9" t="str">
        <f t="shared" si="6"/>
        <v/>
      </c>
      <c r="C35" s="153">
        <f>IF(D11="","-",+C34+1)</f>
        <v>2026</v>
      </c>
      <c r="D35" s="159">
        <f>IF(F34+SUM(E$17:E34)=D$10,F34,D$10-SUM(E$17:E34))</f>
        <v>1692945.5235934425</v>
      </c>
      <c r="E35" s="160">
        <f>IF(+I14&lt;F34,I14,D35)</f>
        <v>65589.023255813954</v>
      </c>
      <c r="F35" s="159">
        <f t="shared" si="10"/>
        <v>1627356.5003376286</v>
      </c>
      <c r="G35" s="161">
        <f t="shared" si="11"/>
        <v>230866.47363565137</v>
      </c>
      <c r="H35" s="142">
        <f t="shared" si="12"/>
        <v>230866.47363565137</v>
      </c>
      <c r="I35" s="156">
        <f t="shared" si="0"/>
        <v>0</v>
      </c>
      <c r="J35" s="156"/>
      <c r="K35" s="334"/>
      <c r="L35" s="158">
        <f t="shared" si="1"/>
        <v>0</v>
      </c>
      <c r="M35" s="334"/>
      <c r="N35" s="158">
        <f t="shared" si="2"/>
        <v>0</v>
      </c>
      <c r="O35" s="158">
        <f t="shared" si="3"/>
        <v>0</v>
      </c>
      <c r="P35" s="4"/>
    </row>
    <row r="36" spans="2:16">
      <c r="B36" s="9" t="str">
        <f t="shared" si="6"/>
        <v/>
      </c>
      <c r="C36" s="153">
        <f>IF(D11="","-",+C35+1)</f>
        <v>2027</v>
      </c>
      <c r="D36" s="159">
        <f>IF(F35+SUM(E$17:E35)=D$10,F35,D$10-SUM(E$17:E35))</f>
        <v>1627356.5003376286</v>
      </c>
      <c r="E36" s="160">
        <f>IF(+I14&lt;F35,I14,D36)</f>
        <v>65589.023255813954</v>
      </c>
      <c r="F36" s="159">
        <f t="shared" si="10"/>
        <v>1561767.4770818148</v>
      </c>
      <c r="G36" s="161">
        <f t="shared" si="11"/>
        <v>224336.71431948512</v>
      </c>
      <c r="H36" s="142">
        <f t="shared" si="12"/>
        <v>224336.71431948512</v>
      </c>
      <c r="I36" s="156">
        <f t="shared" si="0"/>
        <v>0</v>
      </c>
      <c r="J36" s="156"/>
      <c r="K36" s="334"/>
      <c r="L36" s="158">
        <f t="shared" si="1"/>
        <v>0</v>
      </c>
      <c r="M36" s="334"/>
      <c r="N36" s="158">
        <f t="shared" si="2"/>
        <v>0</v>
      </c>
      <c r="O36" s="158">
        <f t="shared" si="3"/>
        <v>0</v>
      </c>
      <c r="P36" s="4"/>
    </row>
    <row r="37" spans="2:16">
      <c r="B37" s="9" t="str">
        <f t="shared" si="6"/>
        <v/>
      </c>
      <c r="C37" s="153">
        <f>IF(D11="","-",+C36+1)</f>
        <v>2028</v>
      </c>
      <c r="D37" s="159">
        <f>IF(F36+SUM(E$17:E36)=D$10,F36,D$10-SUM(E$17:E36))</f>
        <v>1561767.4770818148</v>
      </c>
      <c r="E37" s="160">
        <f>IF(+I14&lt;F36,I14,D37)</f>
        <v>65589.023255813954</v>
      </c>
      <c r="F37" s="159">
        <f t="shared" si="10"/>
        <v>1496178.4538260009</v>
      </c>
      <c r="G37" s="161">
        <f t="shared" si="11"/>
        <v>217806.95500331887</v>
      </c>
      <c r="H37" s="142">
        <f t="shared" si="12"/>
        <v>217806.95500331887</v>
      </c>
      <c r="I37" s="156">
        <f t="shared" si="0"/>
        <v>0</v>
      </c>
      <c r="J37" s="156"/>
      <c r="K37" s="334"/>
      <c r="L37" s="158">
        <f t="shared" si="1"/>
        <v>0</v>
      </c>
      <c r="M37" s="334"/>
      <c r="N37" s="158">
        <f t="shared" si="2"/>
        <v>0</v>
      </c>
      <c r="O37" s="158">
        <f t="shared" si="3"/>
        <v>0</v>
      </c>
      <c r="P37" s="4"/>
    </row>
    <row r="38" spans="2:16">
      <c r="B38" s="9" t="str">
        <f t="shared" si="6"/>
        <v/>
      </c>
      <c r="C38" s="153">
        <f>IF(D11="","-",+C37+1)</f>
        <v>2029</v>
      </c>
      <c r="D38" s="159">
        <f>IF(F37+SUM(E$17:E37)=D$10,F37,D$10-SUM(E$17:E37))</f>
        <v>1496178.4538260009</v>
      </c>
      <c r="E38" s="160">
        <f>IF(+I14&lt;F37,I14,D38)</f>
        <v>65589.023255813954</v>
      </c>
      <c r="F38" s="159">
        <f t="shared" si="10"/>
        <v>1430589.430570187</v>
      </c>
      <c r="G38" s="161">
        <f t="shared" si="11"/>
        <v>211277.19568715262</v>
      </c>
      <c r="H38" s="142">
        <f t="shared" si="12"/>
        <v>211277.19568715262</v>
      </c>
      <c r="I38" s="156">
        <f t="shared" si="0"/>
        <v>0</v>
      </c>
      <c r="J38" s="156"/>
      <c r="K38" s="334"/>
      <c r="L38" s="158">
        <f t="shared" si="1"/>
        <v>0</v>
      </c>
      <c r="M38" s="334"/>
      <c r="N38" s="158">
        <f t="shared" si="2"/>
        <v>0</v>
      </c>
      <c r="O38" s="158">
        <f t="shared" si="3"/>
        <v>0</v>
      </c>
      <c r="P38" s="4"/>
    </row>
    <row r="39" spans="2:16">
      <c r="B39" s="9" t="str">
        <f t="shared" si="6"/>
        <v/>
      </c>
      <c r="C39" s="153">
        <f>IF(D11="","-",+C38+1)</f>
        <v>2030</v>
      </c>
      <c r="D39" s="159">
        <f>IF(F38+SUM(E$17:E38)=D$10,F38,D$10-SUM(E$17:E38))</f>
        <v>1430589.430570187</v>
      </c>
      <c r="E39" s="160">
        <f>IF(+I14&lt;F38,I14,D39)</f>
        <v>65589.023255813954</v>
      </c>
      <c r="F39" s="159">
        <f t="shared" si="10"/>
        <v>1365000.4073143732</v>
      </c>
      <c r="G39" s="161">
        <f t="shared" si="11"/>
        <v>204747.43637098637</v>
      </c>
      <c r="H39" s="142">
        <f t="shared" si="12"/>
        <v>204747.43637098637</v>
      </c>
      <c r="I39" s="156">
        <f t="shared" si="0"/>
        <v>0</v>
      </c>
      <c r="J39" s="156"/>
      <c r="K39" s="334"/>
      <c r="L39" s="158">
        <f t="shared" si="1"/>
        <v>0</v>
      </c>
      <c r="M39" s="334"/>
      <c r="N39" s="158">
        <f t="shared" si="2"/>
        <v>0</v>
      </c>
      <c r="O39" s="158">
        <f t="shared" si="3"/>
        <v>0</v>
      </c>
      <c r="P39" s="4"/>
    </row>
    <row r="40" spans="2:16">
      <c r="B40" s="9" t="str">
        <f t="shared" si="6"/>
        <v/>
      </c>
      <c r="C40" s="153">
        <f>IF(D11="","-",+C39+1)</f>
        <v>2031</v>
      </c>
      <c r="D40" s="159">
        <f>IF(F39+SUM(E$17:E39)=D$10,F39,D$10-SUM(E$17:E39))</f>
        <v>1365000.4073143732</v>
      </c>
      <c r="E40" s="160">
        <f>IF(+I14&lt;F39,I14,D40)</f>
        <v>65589.023255813954</v>
      </c>
      <c r="F40" s="159">
        <f t="shared" si="10"/>
        <v>1299411.3840585593</v>
      </c>
      <c r="G40" s="161">
        <f t="shared" si="11"/>
        <v>198217.67705482015</v>
      </c>
      <c r="H40" s="142">
        <f t="shared" si="12"/>
        <v>198217.67705482015</v>
      </c>
      <c r="I40" s="156">
        <f t="shared" si="0"/>
        <v>0</v>
      </c>
      <c r="J40" s="156"/>
      <c r="K40" s="334"/>
      <c r="L40" s="158">
        <f t="shared" si="1"/>
        <v>0</v>
      </c>
      <c r="M40" s="334"/>
      <c r="N40" s="158">
        <f t="shared" si="2"/>
        <v>0</v>
      </c>
      <c r="O40" s="158">
        <f t="shared" si="3"/>
        <v>0</v>
      </c>
      <c r="P40" s="4"/>
    </row>
    <row r="41" spans="2:16">
      <c r="B41" s="9" t="str">
        <f t="shared" si="6"/>
        <v/>
      </c>
      <c r="C41" s="153">
        <f>IF(D11="","-",+C40+1)</f>
        <v>2032</v>
      </c>
      <c r="D41" s="159">
        <f>IF(F40+SUM(E$17:E40)=D$10,F40,D$10-SUM(E$17:E40))</f>
        <v>1299411.3840585593</v>
      </c>
      <c r="E41" s="160">
        <f>IF(+I14&lt;F40,I14,D41)</f>
        <v>65589.023255813954</v>
      </c>
      <c r="F41" s="159">
        <f t="shared" si="10"/>
        <v>1233822.3608027454</v>
      </c>
      <c r="G41" s="161">
        <f t="shared" si="11"/>
        <v>191687.91773865389</v>
      </c>
      <c r="H41" s="142">
        <f t="shared" si="12"/>
        <v>191687.91773865389</v>
      </c>
      <c r="I41" s="156">
        <f t="shared" si="0"/>
        <v>0</v>
      </c>
      <c r="J41" s="156"/>
      <c r="K41" s="334"/>
      <c r="L41" s="158">
        <f t="shared" si="1"/>
        <v>0</v>
      </c>
      <c r="M41" s="334"/>
      <c r="N41" s="158">
        <f t="shared" si="2"/>
        <v>0</v>
      </c>
      <c r="O41" s="158">
        <f t="shared" si="3"/>
        <v>0</v>
      </c>
      <c r="P41" s="4"/>
    </row>
    <row r="42" spans="2:16">
      <c r="B42" s="9" t="str">
        <f t="shared" si="6"/>
        <v/>
      </c>
      <c r="C42" s="153">
        <f>IF(D11="","-",+C41+1)</f>
        <v>2033</v>
      </c>
      <c r="D42" s="159">
        <f>IF(F41+SUM(E$17:E41)=D$10,F41,D$10-SUM(E$17:E41))</f>
        <v>1233822.3608027454</v>
      </c>
      <c r="E42" s="160">
        <f>IF(+I14&lt;F41,I14,D42)</f>
        <v>65589.023255813954</v>
      </c>
      <c r="F42" s="159">
        <f t="shared" si="10"/>
        <v>1168233.3375469316</v>
      </c>
      <c r="G42" s="161">
        <f t="shared" si="11"/>
        <v>185158.15842248764</v>
      </c>
      <c r="H42" s="142">
        <f t="shared" si="12"/>
        <v>185158.15842248764</v>
      </c>
      <c r="I42" s="156">
        <f t="shared" si="0"/>
        <v>0</v>
      </c>
      <c r="J42" s="156"/>
      <c r="K42" s="334"/>
      <c r="L42" s="158">
        <f t="shared" si="1"/>
        <v>0</v>
      </c>
      <c r="M42" s="334"/>
      <c r="N42" s="158">
        <f t="shared" si="2"/>
        <v>0</v>
      </c>
      <c r="O42" s="158">
        <f t="shared" si="3"/>
        <v>0</v>
      </c>
      <c r="P42" s="4"/>
    </row>
    <row r="43" spans="2:16">
      <c r="B43" s="9" t="str">
        <f t="shared" si="6"/>
        <v/>
      </c>
      <c r="C43" s="153">
        <f>IF(D11="","-",+C42+1)</f>
        <v>2034</v>
      </c>
      <c r="D43" s="159">
        <f>IF(F42+SUM(E$17:E42)=D$10,F42,D$10-SUM(E$17:E42))</f>
        <v>1168233.3375469316</v>
      </c>
      <c r="E43" s="160">
        <f>IF(+I14&lt;F42,I14,D43)</f>
        <v>65589.023255813954</v>
      </c>
      <c r="F43" s="159">
        <f t="shared" si="10"/>
        <v>1102644.3142911177</v>
      </c>
      <c r="G43" s="161">
        <f t="shared" si="11"/>
        <v>178628.39910632139</v>
      </c>
      <c r="H43" s="142">
        <f t="shared" si="12"/>
        <v>178628.39910632139</v>
      </c>
      <c r="I43" s="156">
        <f t="shared" si="0"/>
        <v>0</v>
      </c>
      <c r="J43" s="156"/>
      <c r="K43" s="334"/>
      <c r="L43" s="158">
        <f t="shared" si="1"/>
        <v>0</v>
      </c>
      <c r="M43" s="334"/>
      <c r="N43" s="158">
        <f t="shared" si="2"/>
        <v>0</v>
      </c>
      <c r="O43" s="158">
        <f t="shared" si="3"/>
        <v>0</v>
      </c>
      <c r="P43" s="4"/>
    </row>
    <row r="44" spans="2:16">
      <c r="B44" s="9" t="str">
        <f t="shared" si="6"/>
        <v/>
      </c>
      <c r="C44" s="153">
        <f>IF(D11="","-",+C43+1)</f>
        <v>2035</v>
      </c>
      <c r="D44" s="159">
        <f>IF(F43+SUM(E$17:E43)=D$10,F43,D$10-SUM(E$17:E43))</f>
        <v>1102644.3142911177</v>
      </c>
      <c r="E44" s="160">
        <f>IF(+I14&lt;F43,I14,D44)</f>
        <v>65589.023255813954</v>
      </c>
      <c r="F44" s="159">
        <f t="shared" si="10"/>
        <v>1037055.2910353037</v>
      </c>
      <c r="G44" s="161">
        <f t="shared" si="11"/>
        <v>172098.63979015514</v>
      </c>
      <c r="H44" s="142">
        <f t="shared" si="12"/>
        <v>172098.63979015514</v>
      </c>
      <c r="I44" s="156">
        <f t="shared" si="0"/>
        <v>0</v>
      </c>
      <c r="J44" s="156"/>
      <c r="K44" s="334"/>
      <c r="L44" s="158">
        <f t="shared" si="1"/>
        <v>0</v>
      </c>
      <c r="M44" s="334"/>
      <c r="N44" s="158">
        <f t="shared" si="2"/>
        <v>0</v>
      </c>
      <c r="O44" s="158">
        <f t="shared" si="3"/>
        <v>0</v>
      </c>
      <c r="P44" s="4"/>
    </row>
    <row r="45" spans="2:16">
      <c r="B45" s="9" t="str">
        <f t="shared" si="6"/>
        <v/>
      </c>
      <c r="C45" s="153">
        <f>IF(D11="","-",+C44+1)</f>
        <v>2036</v>
      </c>
      <c r="D45" s="159">
        <f>IF(F44+SUM(E$17:E44)=D$10,F44,D$10-SUM(E$17:E44))</f>
        <v>1037055.2910353037</v>
      </c>
      <c r="E45" s="160">
        <f>IF(+I14&lt;F44,I14,D45)</f>
        <v>65589.023255813954</v>
      </c>
      <c r="F45" s="159">
        <f t="shared" si="10"/>
        <v>971466.26777948975</v>
      </c>
      <c r="G45" s="161">
        <f t="shared" si="11"/>
        <v>165568.88047398889</v>
      </c>
      <c r="H45" s="142">
        <f t="shared" si="12"/>
        <v>165568.88047398889</v>
      </c>
      <c r="I45" s="156">
        <f t="shared" si="0"/>
        <v>0</v>
      </c>
      <c r="J45" s="156"/>
      <c r="K45" s="334"/>
      <c r="L45" s="158">
        <f t="shared" si="1"/>
        <v>0</v>
      </c>
      <c r="M45" s="334"/>
      <c r="N45" s="158">
        <f t="shared" si="2"/>
        <v>0</v>
      </c>
      <c r="O45" s="158">
        <f t="shared" si="3"/>
        <v>0</v>
      </c>
      <c r="P45" s="4"/>
    </row>
    <row r="46" spans="2:16">
      <c r="B46" s="9" t="str">
        <f t="shared" si="6"/>
        <v/>
      </c>
      <c r="C46" s="153">
        <f>IF(D11="","-",+C45+1)</f>
        <v>2037</v>
      </c>
      <c r="D46" s="159">
        <f>IF(F45+SUM(E$17:E45)=D$10,F45,D$10-SUM(E$17:E45))</f>
        <v>971466.26777948975</v>
      </c>
      <c r="E46" s="160">
        <f>IF(+I14&lt;F45,I14,D46)</f>
        <v>65589.023255813954</v>
      </c>
      <c r="F46" s="159">
        <f t="shared" si="10"/>
        <v>905877.24452367576</v>
      </c>
      <c r="G46" s="161">
        <f t="shared" si="11"/>
        <v>159039.12115782261</v>
      </c>
      <c r="H46" s="142">
        <f t="shared" si="12"/>
        <v>159039.12115782261</v>
      </c>
      <c r="I46" s="156">
        <f t="shared" si="0"/>
        <v>0</v>
      </c>
      <c r="J46" s="156"/>
      <c r="K46" s="334"/>
      <c r="L46" s="158">
        <f t="shared" si="1"/>
        <v>0</v>
      </c>
      <c r="M46" s="334"/>
      <c r="N46" s="158">
        <f t="shared" si="2"/>
        <v>0</v>
      </c>
      <c r="O46" s="158">
        <f t="shared" si="3"/>
        <v>0</v>
      </c>
      <c r="P46" s="4"/>
    </row>
    <row r="47" spans="2:16">
      <c r="B47" s="9" t="str">
        <f t="shared" si="6"/>
        <v/>
      </c>
      <c r="C47" s="153">
        <f>IF(D11="","-",+C46+1)</f>
        <v>2038</v>
      </c>
      <c r="D47" s="159">
        <f>IF(F46+SUM(E$17:E46)=D$10,F46,D$10-SUM(E$17:E46))</f>
        <v>905877.24452367576</v>
      </c>
      <c r="E47" s="160">
        <f>IF(+I14&lt;F46,I14,D47)</f>
        <v>65589.023255813954</v>
      </c>
      <c r="F47" s="159">
        <f t="shared" si="10"/>
        <v>840288.22126786178</v>
      </c>
      <c r="G47" s="161">
        <f t="shared" si="11"/>
        <v>152509.36184165635</v>
      </c>
      <c r="H47" s="142">
        <f t="shared" si="12"/>
        <v>152509.36184165635</v>
      </c>
      <c r="I47" s="156">
        <f t="shared" si="0"/>
        <v>0</v>
      </c>
      <c r="J47" s="156"/>
      <c r="K47" s="334"/>
      <c r="L47" s="158">
        <f t="shared" si="1"/>
        <v>0</v>
      </c>
      <c r="M47" s="334"/>
      <c r="N47" s="158">
        <f t="shared" si="2"/>
        <v>0</v>
      </c>
      <c r="O47" s="158">
        <f t="shared" si="3"/>
        <v>0</v>
      </c>
      <c r="P47" s="4"/>
    </row>
    <row r="48" spans="2:16">
      <c r="B48" s="9" t="str">
        <f t="shared" si="6"/>
        <v/>
      </c>
      <c r="C48" s="153">
        <f>IF(D11="","-",+C47+1)</f>
        <v>2039</v>
      </c>
      <c r="D48" s="159">
        <f>IF(F47+SUM(E$17:E47)=D$10,F47,D$10-SUM(E$17:E47))</f>
        <v>840288.22126786178</v>
      </c>
      <c r="E48" s="160">
        <f>IF(+I14&lt;F47,I14,D48)</f>
        <v>65589.023255813954</v>
      </c>
      <c r="F48" s="159">
        <f t="shared" si="10"/>
        <v>774699.1980120478</v>
      </c>
      <c r="G48" s="161">
        <f t="shared" si="11"/>
        <v>145979.6025254901</v>
      </c>
      <c r="H48" s="142">
        <f t="shared" si="12"/>
        <v>145979.6025254901</v>
      </c>
      <c r="I48" s="156">
        <f t="shared" si="0"/>
        <v>0</v>
      </c>
      <c r="J48" s="156"/>
      <c r="K48" s="334"/>
      <c r="L48" s="158">
        <f t="shared" si="1"/>
        <v>0</v>
      </c>
      <c r="M48" s="334"/>
      <c r="N48" s="158">
        <f t="shared" si="2"/>
        <v>0</v>
      </c>
      <c r="O48" s="158">
        <f t="shared" si="3"/>
        <v>0</v>
      </c>
      <c r="P48" s="4"/>
    </row>
    <row r="49" spans="2:17">
      <c r="B49" s="9" t="str">
        <f t="shared" si="6"/>
        <v/>
      </c>
      <c r="C49" s="153">
        <f>IF(D11="","-",+C48+1)</f>
        <v>2040</v>
      </c>
      <c r="D49" s="159">
        <f>IF(F48+SUM(E$17:E48)=D$10,F48,D$10-SUM(E$17:E48))</f>
        <v>774699.1980120478</v>
      </c>
      <c r="E49" s="160">
        <f>IF(+I14&lt;F48,I14,D49)</f>
        <v>65589.023255813954</v>
      </c>
      <c r="F49" s="159">
        <f t="shared" ref="F49:F72" si="13">+D49-E49</f>
        <v>709110.17475623381</v>
      </c>
      <c r="G49" s="161">
        <f t="shared" si="11"/>
        <v>139449.84320932382</v>
      </c>
      <c r="H49" s="142">
        <f t="shared" si="12"/>
        <v>139449.84320932382</v>
      </c>
      <c r="I49" s="156">
        <f t="shared" ref="I49:I72" si="14">H49-G49</f>
        <v>0</v>
      </c>
      <c r="J49" s="156"/>
      <c r="K49" s="334"/>
      <c r="L49" s="158">
        <f t="shared" ref="L49:L72" si="15">IF(K49&lt;&gt;0,+G49-K49,0)</f>
        <v>0</v>
      </c>
      <c r="M49" s="334"/>
      <c r="N49" s="158">
        <f t="shared" ref="N49:N72" si="16">IF(M49&lt;&gt;0,+H49-M49,0)</f>
        <v>0</v>
      </c>
      <c r="O49" s="158">
        <f t="shared" ref="O49:O72" si="17">+N49-L49</f>
        <v>0</v>
      </c>
      <c r="P49" s="4"/>
    </row>
    <row r="50" spans="2:17">
      <c r="B50" s="9" t="str">
        <f t="shared" si="6"/>
        <v/>
      </c>
      <c r="C50" s="153">
        <f>IF(D11="","-",+C49+1)</f>
        <v>2041</v>
      </c>
      <c r="D50" s="159">
        <f>IF(F49+SUM(E$17:E49)=D$10,F49,D$10-SUM(E$17:E49))</f>
        <v>709110.17475623381</v>
      </c>
      <c r="E50" s="160">
        <f>IF(+I14&lt;F49,I14,D50)</f>
        <v>65589.023255813954</v>
      </c>
      <c r="F50" s="159">
        <f t="shared" si="13"/>
        <v>643521.15150041983</v>
      </c>
      <c r="G50" s="161">
        <f t="shared" si="11"/>
        <v>132920.0838931576</v>
      </c>
      <c r="H50" s="142">
        <f t="shared" si="12"/>
        <v>132920.0838931576</v>
      </c>
      <c r="I50" s="156">
        <f t="shared" si="14"/>
        <v>0</v>
      </c>
      <c r="J50" s="156"/>
      <c r="K50" s="334"/>
      <c r="L50" s="158">
        <f t="shared" si="15"/>
        <v>0</v>
      </c>
      <c r="M50" s="334"/>
      <c r="N50" s="158">
        <f t="shared" si="16"/>
        <v>0</v>
      </c>
      <c r="O50" s="158">
        <f t="shared" si="17"/>
        <v>0</v>
      </c>
      <c r="P50" s="4"/>
    </row>
    <row r="51" spans="2:17">
      <c r="B51" s="9" t="str">
        <f t="shared" si="6"/>
        <v/>
      </c>
      <c r="C51" s="153">
        <f>IF(D11="","-",+C50+1)</f>
        <v>2042</v>
      </c>
      <c r="D51" s="159">
        <f>IF(F50+SUM(E$17:E50)=D$10,F50,D$10-SUM(E$17:E50))</f>
        <v>643521.15150041983</v>
      </c>
      <c r="E51" s="160">
        <f>IF(+I14&lt;F50,I14,D51)</f>
        <v>65589.023255813954</v>
      </c>
      <c r="F51" s="159">
        <f t="shared" si="13"/>
        <v>577932.12824460585</v>
      </c>
      <c r="G51" s="161">
        <f t="shared" si="11"/>
        <v>126390.32457699132</v>
      </c>
      <c r="H51" s="142">
        <f t="shared" si="12"/>
        <v>126390.32457699132</v>
      </c>
      <c r="I51" s="156">
        <f t="shared" si="14"/>
        <v>0</v>
      </c>
      <c r="J51" s="156"/>
      <c r="K51" s="334"/>
      <c r="L51" s="158">
        <f t="shared" si="15"/>
        <v>0</v>
      </c>
      <c r="M51" s="334"/>
      <c r="N51" s="158">
        <f t="shared" si="16"/>
        <v>0</v>
      </c>
      <c r="O51" s="158">
        <f t="shared" si="17"/>
        <v>0</v>
      </c>
      <c r="P51" s="4"/>
    </row>
    <row r="52" spans="2:17">
      <c r="B52" s="9" t="str">
        <f t="shared" si="6"/>
        <v/>
      </c>
      <c r="C52" s="153">
        <f>IF(D11="","-",+C51+1)</f>
        <v>2043</v>
      </c>
      <c r="D52" s="159">
        <f>IF(F51+SUM(E$17:E51)=D$10,F51,D$10-SUM(E$17:E51))</f>
        <v>577932.12824460585</v>
      </c>
      <c r="E52" s="160">
        <f>IF(+I14&lt;F51,I14,D52)</f>
        <v>65589.023255813954</v>
      </c>
      <c r="F52" s="159">
        <f t="shared" si="13"/>
        <v>512343.10498879186</v>
      </c>
      <c r="G52" s="161">
        <f t="shared" si="11"/>
        <v>119860.56526082507</v>
      </c>
      <c r="H52" s="142">
        <f t="shared" si="12"/>
        <v>119860.56526082507</v>
      </c>
      <c r="I52" s="156">
        <f t="shared" si="14"/>
        <v>0</v>
      </c>
      <c r="J52" s="156"/>
      <c r="K52" s="334"/>
      <c r="L52" s="158">
        <f t="shared" si="15"/>
        <v>0</v>
      </c>
      <c r="M52" s="334"/>
      <c r="N52" s="158">
        <f t="shared" si="16"/>
        <v>0</v>
      </c>
      <c r="O52" s="158">
        <f t="shared" si="17"/>
        <v>0</v>
      </c>
      <c r="P52" s="4"/>
    </row>
    <row r="53" spans="2:17">
      <c r="B53" s="9" t="str">
        <f t="shared" si="6"/>
        <v/>
      </c>
      <c r="C53" s="153">
        <f>IF(D11="","-",+C52+1)</f>
        <v>2044</v>
      </c>
      <c r="D53" s="159">
        <f>IF(F52+SUM(E$17:E52)=D$10,F52,D$10-SUM(E$17:E52))</f>
        <v>512343.10498879186</v>
      </c>
      <c r="E53" s="160">
        <f>IF(+I14&lt;F52,I14,D53)</f>
        <v>65589.023255813954</v>
      </c>
      <c r="F53" s="159">
        <f t="shared" si="13"/>
        <v>446754.08173297788</v>
      </c>
      <c r="G53" s="161">
        <f t="shared" si="11"/>
        <v>113330.80594465882</v>
      </c>
      <c r="H53" s="142">
        <f t="shared" si="12"/>
        <v>113330.80594465882</v>
      </c>
      <c r="I53" s="156">
        <f t="shared" si="14"/>
        <v>0</v>
      </c>
      <c r="J53" s="156"/>
      <c r="K53" s="334"/>
      <c r="L53" s="158">
        <f t="shared" si="15"/>
        <v>0</v>
      </c>
      <c r="M53" s="334"/>
      <c r="N53" s="158">
        <f t="shared" si="16"/>
        <v>0</v>
      </c>
      <c r="O53" s="158">
        <f t="shared" si="17"/>
        <v>0</v>
      </c>
      <c r="P53" s="4"/>
    </row>
    <row r="54" spans="2:17">
      <c r="B54" s="9" t="str">
        <f t="shared" si="6"/>
        <v/>
      </c>
      <c r="C54" s="153">
        <f>IF(D11="","-",+C53+1)</f>
        <v>2045</v>
      </c>
      <c r="D54" s="159">
        <f>IF(F53+SUM(E$17:E53)=D$10,F53,D$10-SUM(E$17:E53))</f>
        <v>446754.08173297788</v>
      </c>
      <c r="E54" s="160">
        <f>IF(+I14&lt;F53,I14,D54)</f>
        <v>65589.023255813954</v>
      </c>
      <c r="F54" s="159">
        <f t="shared" si="13"/>
        <v>381165.0584771639</v>
      </c>
      <c r="G54" s="161">
        <f t="shared" si="11"/>
        <v>106801.04662849255</v>
      </c>
      <c r="H54" s="142">
        <f t="shared" si="12"/>
        <v>106801.04662849255</v>
      </c>
      <c r="I54" s="156">
        <f t="shared" si="14"/>
        <v>0</v>
      </c>
      <c r="J54" s="156"/>
      <c r="K54" s="334"/>
      <c r="L54" s="158">
        <f t="shared" si="15"/>
        <v>0</v>
      </c>
      <c r="M54" s="334"/>
      <c r="N54" s="158">
        <f t="shared" si="16"/>
        <v>0</v>
      </c>
      <c r="O54" s="158">
        <f t="shared" si="17"/>
        <v>0</v>
      </c>
      <c r="P54" s="4"/>
    </row>
    <row r="55" spans="2:17">
      <c r="B55" s="9" t="str">
        <f t="shared" si="6"/>
        <v/>
      </c>
      <c r="C55" s="153">
        <f>IF(D11="","-",+C54+1)</f>
        <v>2046</v>
      </c>
      <c r="D55" s="159">
        <f>IF(F54+SUM(E$17:E54)=D$10,F54,D$10-SUM(E$17:E54))</f>
        <v>381165.0584771639</v>
      </c>
      <c r="E55" s="160">
        <f>IF(+I14&lt;F54,I14,D55)</f>
        <v>65589.023255813954</v>
      </c>
      <c r="F55" s="159">
        <f t="shared" si="13"/>
        <v>315576.03522134991</v>
      </c>
      <c r="G55" s="161">
        <f t="shared" si="11"/>
        <v>100271.2873123263</v>
      </c>
      <c r="H55" s="142">
        <f t="shared" si="12"/>
        <v>100271.2873123263</v>
      </c>
      <c r="I55" s="156">
        <f t="shared" si="14"/>
        <v>0</v>
      </c>
      <c r="J55" s="156"/>
      <c r="K55" s="334"/>
      <c r="L55" s="158">
        <f t="shared" si="15"/>
        <v>0</v>
      </c>
      <c r="M55" s="334"/>
      <c r="N55" s="158">
        <f t="shared" si="16"/>
        <v>0</v>
      </c>
      <c r="O55" s="158">
        <f t="shared" si="17"/>
        <v>0</v>
      </c>
      <c r="P55" s="4"/>
    </row>
    <row r="56" spans="2:17">
      <c r="B56" s="9" t="str">
        <f t="shared" si="6"/>
        <v/>
      </c>
      <c r="C56" s="153">
        <f>IF(D11="","-",+C55+1)</f>
        <v>2047</v>
      </c>
      <c r="D56" s="159">
        <f>IF(F55+SUM(E$17:E55)=D$10,F55,D$10-SUM(E$17:E55))</f>
        <v>315576.03522134991</v>
      </c>
      <c r="E56" s="160">
        <f>IF(+I14&lt;F55,I14,D56)</f>
        <v>65589.023255813954</v>
      </c>
      <c r="F56" s="159">
        <f t="shared" si="13"/>
        <v>249987.01196553596</v>
      </c>
      <c r="G56" s="161">
        <f t="shared" si="11"/>
        <v>93741.527996160032</v>
      </c>
      <c r="H56" s="142">
        <f t="shared" si="12"/>
        <v>93741.527996160032</v>
      </c>
      <c r="I56" s="156">
        <f t="shared" si="14"/>
        <v>0</v>
      </c>
      <c r="J56" s="156"/>
      <c r="K56" s="334"/>
      <c r="L56" s="158">
        <f t="shared" si="15"/>
        <v>0</v>
      </c>
      <c r="M56" s="334"/>
      <c r="N56" s="158">
        <f t="shared" si="16"/>
        <v>0</v>
      </c>
      <c r="O56" s="158">
        <f t="shared" si="17"/>
        <v>0</v>
      </c>
      <c r="P56" s="4"/>
    </row>
    <row r="57" spans="2:17">
      <c r="B57" s="9" t="str">
        <f t="shared" si="6"/>
        <v/>
      </c>
      <c r="C57" s="153">
        <f>IF(D11="","-",+C56+1)</f>
        <v>2048</v>
      </c>
      <c r="D57" s="159">
        <f>IF(F56+SUM(E$17:E56)=D$10,F56,D$10-SUM(E$17:E56))</f>
        <v>249987.01196553596</v>
      </c>
      <c r="E57" s="160">
        <f>IF(+I14&lt;F56,I14,D57)</f>
        <v>65589.023255813954</v>
      </c>
      <c r="F57" s="159">
        <f t="shared" si="13"/>
        <v>184397.98870972201</v>
      </c>
      <c r="G57" s="161">
        <f t="shared" si="11"/>
        <v>87211.76867999378</v>
      </c>
      <c r="H57" s="142">
        <f t="shared" si="12"/>
        <v>87211.76867999378</v>
      </c>
      <c r="I57" s="156">
        <f t="shared" si="14"/>
        <v>0</v>
      </c>
      <c r="J57" s="156"/>
      <c r="K57" s="334"/>
      <c r="L57" s="158">
        <f t="shared" si="15"/>
        <v>0</v>
      </c>
      <c r="M57" s="334"/>
      <c r="N57" s="158">
        <f t="shared" si="16"/>
        <v>0</v>
      </c>
      <c r="O57" s="158">
        <f t="shared" si="17"/>
        <v>0</v>
      </c>
      <c r="P57" s="4"/>
    </row>
    <row r="58" spans="2:17">
      <c r="B58" s="9" t="str">
        <f t="shared" si="6"/>
        <v/>
      </c>
      <c r="C58" s="153">
        <f>IF(D11="","-",+C57+1)</f>
        <v>2049</v>
      </c>
      <c r="D58" s="159">
        <f>IF(F57+SUM(E$17:E57)=D$10,F57,D$10-SUM(E$17:E57))</f>
        <v>184397.98870972201</v>
      </c>
      <c r="E58" s="160">
        <f>IF(+I14&lt;F57,I14,D58)</f>
        <v>65589.023255813954</v>
      </c>
      <c r="F58" s="159">
        <f t="shared" si="13"/>
        <v>118808.96545390805</v>
      </c>
      <c r="G58" s="161">
        <f t="shared" si="11"/>
        <v>80682.009363827528</v>
      </c>
      <c r="H58" s="142">
        <f t="shared" si="12"/>
        <v>80682.009363827528</v>
      </c>
      <c r="I58" s="156">
        <f t="shared" si="14"/>
        <v>0</v>
      </c>
      <c r="J58" s="156"/>
      <c r="K58" s="334"/>
      <c r="L58" s="158">
        <f t="shared" si="15"/>
        <v>0</v>
      </c>
      <c r="M58" s="334"/>
      <c r="N58" s="158">
        <f t="shared" si="16"/>
        <v>0</v>
      </c>
      <c r="O58" s="158">
        <f t="shared" si="17"/>
        <v>0</v>
      </c>
      <c r="P58" s="4"/>
      <c r="Q58" t="str">
        <f>IF(ROUND(Q57,0)=ROUND(SUM(Q18:Q56),0),"","Error -- check allocations above).")</f>
        <v/>
      </c>
    </row>
    <row r="59" spans="2:17">
      <c r="B59" s="9" t="str">
        <f t="shared" si="6"/>
        <v/>
      </c>
      <c r="C59" s="153">
        <f>IF(D11="","-",+C58+1)</f>
        <v>2050</v>
      </c>
      <c r="D59" s="159">
        <f>IF(F58+SUM(E$17:E58)=D$10,F58,D$10-SUM(E$17:E58))</f>
        <v>118808.96545390805</v>
      </c>
      <c r="E59" s="160">
        <f>IF(+I14&lt;F58,I14,D59)</f>
        <v>65589.023255813954</v>
      </c>
      <c r="F59" s="159">
        <f t="shared" si="13"/>
        <v>53219.942198094097</v>
      </c>
      <c r="G59" s="161">
        <f t="shared" si="11"/>
        <v>74152.250047661277</v>
      </c>
      <c r="H59" s="142">
        <f t="shared" si="12"/>
        <v>74152.250047661277</v>
      </c>
      <c r="I59" s="156">
        <f t="shared" si="14"/>
        <v>0</v>
      </c>
      <c r="J59" s="156"/>
      <c r="K59" s="334"/>
      <c r="L59" s="158">
        <f t="shared" si="15"/>
        <v>0</v>
      </c>
      <c r="M59" s="334"/>
      <c r="N59" s="158">
        <f t="shared" si="16"/>
        <v>0</v>
      </c>
      <c r="O59" s="158">
        <f t="shared" si="17"/>
        <v>0</v>
      </c>
      <c r="P59" s="4"/>
    </row>
    <row r="60" spans="2:17">
      <c r="B60" s="9" t="str">
        <f t="shared" si="6"/>
        <v/>
      </c>
      <c r="C60" s="153">
        <f>IF(D11="","-",+C59+1)</f>
        <v>2051</v>
      </c>
      <c r="D60" s="159">
        <f>IF(F59+SUM(E$17:E59)=D$10,F59,D$10-SUM(E$17:E59))</f>
        <v>53219.942198094097</v>
      </c>
      <c r="E60" s="160">
        <f>IF(+I14&lt;F59,I14,D60)</f>
        <v>53219.942198094097</v>
      </c>
      <c r="F60" s="159">
        <f t="shared" si="13"/>
        <v>0</v>
      </c>
      <c r="G60" s="161">
        <f t="shared" si="11"/>
        <v>55869.115764976188</v>
      </c>
      <c r="H60" s="142">
        <f t="shared" si="12"/>
        <v>55869.115764976188</v>
      </c>
      <c r="I60" s="156">
        <f t="shared" si="14"/>
        <v>0</v>
      </c>
      <c r="J60" s="156"/>
      <c r="K60" s="334"/>
      <c r="L60" s="158">
        <f t="shared" si="15"/>
        <v>0</v>
      </c>
      <c r="M60" s="334"/>
      <c r="N60" s="158">
        <f t="shared" si="16"/>
        <v>0</v>
      </c>
      <c r="O60" s="158">
        <f t="shared" si="17"/>
        <v>0</v>
      </c>
      <c r="P60" s="4"/>
    </row>
    <row r="61" spans="2:17">
      <c r="B61" s="9" t="str">
        <f t="shared" si="6"/>
        <v/>
      </c>
      <c r="C61" s="153">
        <f>IF(D11="","-",+C60+1)</f>
        <v>2052</v>
      </c>
      <c r="D61" s="159">
        <f>IF(F60+SUM(E$17:E60)=D$10,F60,D$10-SUM(E$17:E60))</f>
        <v>0</v>
      </c>
      <c r="E61" s="160">
        <f>IF(+I14&lt;F60,I14,D61)</f>
        <v>0</v>
      </c>
      <c r="F61" s="159">
        <f t="shared" si="13"/>
        <v>0</v>
      </c>
      <c r="G61" s="163">
        <f t="shared" si="11"/>
        <v>0</v>
      </c>
      <c r="H61" s="142">
        <f t="shared" si="12"/>
        <v>0</v>
      </c>
      <c r="I61" s="156">
        <f t="shared" si="14"/>
        <v>0</v>
      </c>
      <c r="J61" s="156"/>
      <c r="K61" s="334"/>
      <c r="L61" s="158">
        <f t="shared" si="15"/>
        <v>0</v>
      </c>
      <c r="M61" s="334"/>
      <c r="N61" s="158">
        <f t="shared" si="16"/>
        <v>0</v>
      </c>
      <c r="O61" s="158">
        <f t="shared" si="17"/>
        <v>0</v>
      </c>
      <c r="P61" s="4"/>
    </row>
    <row r="62" spans="2:17">
      <c r="B62" s="9" t="str">
        <f t="shared" si="6"/>
        <v/>
      </c>
      <c r="C62" s="153">
        <f>IF(D11="","-",+C61+1)</f>
        <v>2053</v>
      </c>
      <c r="D62" s="159">
        <f>IF(F61+SUM(E$17:E61)=D$10,F61,D$10-SUM(E$17:E61))</f>
        <v>0</v>
      </c>
      <c r="E62" s="160">
        <f>IF(+I14&lt;F61,I14,D62)</f>
        <v>0</v>
      </c>
      <c r="F62" s="159">
        <f t="shared" si="13"/>
        <v>0</v>
      </c>
      <c r="G62" s="163">
        <f t="shared" si="11"/>
        <v>0</v>
      </c>
      <c r="H62" s="142">
        <f t="shared" si="12"/>
        <v>0</v>
      </c>
      <c r="I62" s="156">
        <f t="shared" si="14"/>
        <v>0</v>
      </c>
      <c r="J62" s="156"/>
      <c r="K62" s="334"/>
      <c r="L62" s="158">
        <f t="shared" si="15"/>
        <v>0</v>
      </c>
      <c r="M62" s="334"/>
      <c r="N62" s="158">
        <f t="shared" si="16"/>
        <v>0</v>
      </c>
      <c r="O62" s="158">
        <f t="shared" si="17"/>
        <v>0</v>
      </c>
      <c r="P62" s="4"/>
    </row>
    <row r="63" spans="2:17">
      <c r="B63" s="9" t="str">
        <f t="shared" si="6"/>
        <v/>
      </c>
      <c r="C63" s="153">
        <f>IF(D11="","-",+C62+1)</f>
        <v>2054</v>
      </c>
      <c r="D63" s="159">
        <f>IF(F62+SUM(E$17:E62)=D$10,F62,D$10-SUM(E$17:E62))</f>
        <v>0</v>
      </c>
      <c r="E63" s="160">
        <f>IF(+I14&lt;F62,I14,D63)</f>
        <v>0</v>
      </c>
      <c r="F63" s="159">
        <f t="shared" si="13"/>
        <v>0</v>
      </c>
      <c r="G63" s="163">
        <f t="shared" si="11"/>
        <v>0</v>
      </c>
      <c r="H63" s="142">
        <f t="shared" si="12"/>
        <v>0</v>
      </c>
      <c r="I63" s="156">
        <f t="shared" si="14"/>
        <v>0</v>
      </c>
      <c r="J63" s="156"/>
      <c r="K63" s="334"/>
      <c r="L63" s="158">
        <f t="shared" si="15"/>
        <v>0</v>
      </c>
      <c r="M63" s="334"/>
      <c r="N63" s="158">
        <f t="shared" si="16"/>
        <v>0</v>
      </c>
      <c r="O63" s="158">
        <f t="shared" si="17"/>
        <v>0</v>
      </c>
      <c r="P63" s="4"/>
    </row>
    <row r="64" spans="2:17">
      <c r="B64" s="9" t="str">
        <f t="shared" si="6"/>
        <v/>
      </c>
      <c r="C64" s="153">
        <f>IF(D11="","-",+C63+1)</f>
        <v>2055</v>
      </c>
      <c r="D64" s="159">
        <f>IF(F63+SUM(E$17:E63)=D$10,F63,D$10-SUM(E$17:E63))</f>
        <v>0</v>
      </c>
      <c r="E64" s="160">
        <f>IF(+I14&lt;F63,I14,D64)</f>
        <v>0</v>
      </c>
      <c r="F64" s="159">
        <f t="shared" si="13"/>
        <v>0</v>
      </c>
      <c r="G64" s="163">
        <f t="shared" si="11"/>
        <v>0</v>
      </c>
      <c r="H64" s="142">
        <f t="shared" si="12"/>
        <v>0</v>
      </c>
      <c r="I64" s="156">
        <f t="shared" si="14"/>
        <v>0</v>
      </c>
      <c r="J64" s="156"/>
      <c r="K64" s="334"/>
      <c r="L64" s="158">
        <f t="shared" si="15"/>
        <v>0</v>
      </c>
      <c r="M64" s="334"/>
      <c r="N64" s="158">
        <f t="shared" si="16"/>
        <v>0</v>
      </c>
      <c r="O64" s="158">
        <f t="shared" si="17"/>
        <v>0</v>
      </c>
      <c r="P64" s="4"/>
    </row>
    <row r="65" spans="1:16">
      <c r="B65" s="9" t="str">
        <f t="shared" si="6"/>
        <v/>
      </c>
      <c r="C65" s="153">
        <f>IF(D11="","-",+C64+1)</f>
        <v>2056</v>
      </c>
      <c r="D65" s="159">
        <f>IF(F64+SUM(E$17:E64)=D$10,F64,D$10-SUM(E$17:E64))</f>
        <v>0</v>
      </c>
      <c r="E65" s="160">
        <f>IF(+I14&lt;F64,I14,D65)</f>
        <v>0</v>
      </c>
      <c r="F65" s="159">
        <f t="shared" si="13"/>
        <v>0</v>
      </c>
      <c r="G65" s="163">
        <f t="shared" si="11"/>
        <v>0</v>
      </c>
      <c r="H65" s="142">
        <f t="shared" si="12"/>
        <v>0</v>
      </c>
      <c r="I65" s="156">
        <f t="shared" si="14"/>
        <v>0</v>
      </c>
      <c r="J65" s="156"/>
      <c r="K65" s="334"/>
      <c r="L65" s="158">
        <f t="shared" si="15"/>
        <v>0</v>
      </c>
      <c r="M65" s="334"/>
      <c r="N65" s="158">
        <f t="shared" si="16"/>
        <v>0</v>
      </c>
      <c r="O65" s="158">
        <f t="shared" si="17"/>
        <v>0</v>
      </c>
      <c r="P65" s="4"/>
    </row>
    <row r="66" spans="1:16">
      <c r="B66" s="9" t="str">
        <f t="shared" si="6"/>
        <v/>
      </c>
      <c r="C66" s="153">
        <f>IF(D11="","-",+C65+1)</f>
        <v>2057</v>
      </c>
      <c r="D66" s="159">
        <f>IF(F65+SUM(E$17:E65)=D$10,F65,D$10-SUM(E$17:E65))</f>
        <v>0</v>
      </c>
      <c r="E66" s="160">
        <f>IF(+I14&lt;F65,I14,D66)</f>
        <v>0</v>
      </c>
      <c r="F66" s="159">
        <f t="shared" si="13"/>
        <v>0</v>
      </c>
      <c r="G66" s="163">
        <f t="shared" si="11"/>
        <v>0</v>
      </c>
      <c r="H66" s="142">
        <f t="shared" si="12"/>
        <v>0</v>
      </c>
      <c r="I66" s="156">
        <f t="shared" si="14"/>
        <v>0</v>
      </c>
      <c r="J66" s="156"/>
      <c r="K66" s="334"/>
      <c r="L66" s="158">
        <f t="shared" si="15"/>
        <v>0</v>
      </c>
      <c r="M66" s="334"/>
      <c r="N66" s="158">
        <f t="shared" si="16"/>
        <v>0</v>
      </c>
      <c r="O66" s="158">
        <f t="shared" si="17"/>
        <v>0</v>
      </c>
      <c r="P66" s="4"/>
    </row>
    <row r="67" spans="1:16">
      <c r="B67" s="9" t="str">
        <f t="shared" si="6"/>
        <v/>
      </c>
      <c r="C67" s="153">
        <f>IF(D11="","-",+C66+1)</f>
        <v>2058</v>
      </c>
      <c r="D67" s="159">
        <f>IF(F66+SUM(E$17:E66)=D$10,F66,D$10-SUM(E$17:E66))</f>
        <v>0</v>
      </c>
      <c r="E67" s="160">
        <f>IF(+I14&lt;F66,I14,D67)</f>
        <v>0</v>
      </c>
      <c r="F67" s="159">
        <f t="shared" si="13"/>
        <v>0</v>
      </c>
      <c r="G67" s="163">
        <f t="shared" si="11"/>
        <v>0</v>
      </c>
      <c r="H67" s="142">
        <f t="shared" si="12"/>
        <v>0</v>
      </c>
      <c r="I67" s="156">
        <f t="shared" si="14"/>
        <v>0</v>
      </c>
      <c r="J67" s="156"/>
      <c r="K67" s="334"/>
      <c r="L67" s="158">
        <f t="shared" si="15"/>
        <v>0</v>
      </c>
      <c r="M67" s="334"/>
      <c r="N67" s="158">
        <f t="shared" si="16"/>
        <v>0</v>
      </c>
      <c r="O67" s="158">
        <f t="shared" si="17"/>
        <v>0</v>
      </c>
      <c r="P67" s="4"/>
    </row>
    <row r="68" spans="1:16">
      <c r="B68" s="9" t="str">
        <f t="shared" si="6"/>
        <v/>
      </c>
      <c r="C68" s="153">
        <f>IF(D11="","-",+C67+1)</f>
        <v>2059</v>
      </c>
      <c r="D68" s="159">
        <f>IF(F67+SUM(E$17:E67)=D$10,F67,D$10-SUM(E$17:E67))</f>
        <v>0</v>
      </c>
      <c r="E68" s="160">
        <f>IF(+I14&lt;F67,I14,D68)</f>
        <v>0</v>
      </c>
      <c r="F68" s="159">
        <f t="shared" si="13"/>
        <v>0</v>
      </c>
      <c r="G68" s="163">
        <f t="shared" si="11"/>
        <v>0</v>
      </c>
      <c r="H68" s="142">
        <f t="shared" si="12"/>
        <v>0</v>
      </c>
      <c r="I68" s="156">
        <f t="shared" si="14"/>
        <v>0</v>
      </c>
      <c r="J68" s="156"/>
      <c r="K68" s="334"/>
      <c r="L68" s="158">
        <f t="shared" si="15"/>
        <v>0</v>
      </c>
      <c r="M68" s="334"/>
      <c r="N68" s="158">
        <f t="shared" si="16"/>
        <v>0</v>
      </c>
      <c r="O68" s="158">
        <f t="shared" si="17"/>
        <v>0</v>
      </c>
      <c r="P68" s="4"/>
    </row>
    <row r="69" spans="1:16">
      <c r="B69" s="9" t="str">
        <f t="shared" si="6"/>
        <v/>
      </c>
      <c r="C69" s="153">
        <f>IF(D11="","-",+C68+1)</f>
        <v>2060</v>
      </c>
      <c r="D69" s="159">
        <f>IF(F68+SUM(E$17:E68)=D$10,F68,D$10-SUM(E$17:E68))</f>
        <v>0</v>
      </c>
      <c r="E69" s="160">
        <f>IF(+I14&lt;F68,I14,D69)</f>
        <v>0</v>
      </c>
      <c r="F69" s="159">
        <f t="shared" si="13"/>
        <v>0</v>
      </c>
      <c r="G69" s="163">
        <f t="shared" si="11"/>
        <v>0</v>
      </c>
      <c r="H69" s="142">
        <f t="shared" si="12"/>
        <v>0</v>
      </c>
      <c r="I69" s="156">
        <f t="shared" si="14"/>
        <v>0</v>
      </c>
      <c r="J69" s="156"/>
      <c r="K69" s="334"/>
      <c r="L69" s="158">
        <f t="shared" si="15"/>
        <v>0</v>
      </c>
      <c r="M69" s="334"/>
      <c r="N69" s="158">
        <f t="shared" si="16"/>
        <v>0</v>
      </c>
      <c r="O69" s="158">
        <f t="shared" si="17"/>
        <v>0</v>
      </c>
      <c r="P69" s="4"/>
    </row>
    <row r="70" spans="1:16">
      <c r="B70" s="9" t="str">
        <f t="shared" si="6"/>
        <v/>
      </c>
      <c r="C70" s="153">
        <f>IF(D11="","-",+C69+1)</f>
        <v>2061</v>
      </c>
      <c r="D70" s="159">
        <f>IF(F69+SUM(E$17:E69)=D$10,F69,D$10-SUM(E$17:E69))</f>
        <v>0</v>
      </c>
      <c r="E70" s="160">
        <f>IF(+I14&lt;F69,I14,D70)</f>
        <v>0</v>
      </c>
      <c r="F70" s="159">
        <f t="shared" si="13"/>
        <v>0</v>
      </c>
      <c r="G70" s="163">
        <f t="shared" si="11"/>
        <v>0</v>
      </c>
      <c r="H70" s="142">
        <f t="shared" si="12"/>
        <v>0</v>
      </c>
      <c r="I70" s="156">
        <f t="shared" si="14"/>
        <v>0</v>
      </c>
      <c r="J70" s="156"/>
      <c r="K70" s="334"/>
      <c r="L70" s="158">
        <f t="shared" si="15"/>
        <v>0</v>
      </c>
      <c r="M70" s="334"/>
      <c r="N70" s="158">
        <f t="shared" si="16"/>
        <v>0</v>
      </c>
      <c r="O70" s="158">
        <f t="shared" si="17"/>
        <v>0</v>
      </c>
      <c r="P70" s="4"/>
    </row>
    <row r="71" spans="1:16">
      <c r="B71" s="9" t="str">
        <f t="shared" si="6"/>
        <v/>
      </c>
      <c r="C71" s="153">
        <f>IF(D11="","-",+C70+1)</f>
        <v>2062</v>
      </c>
      <c r="D71" s="159">
        <f>IF(F70+SUM(E$17:E70)=D$10,F70,D$10-SUM(E$17:E70))</f>
        <v>0</v>
      </c>
      <c r="E71" s="160">
        <f>IF(+I14&lt;F70,I14,D71)</f>
        <v>0</v>
      </c>
      <c r="F71" s="159">
        <f t="shared" si="13"/>
        <v>0</v>
      </c>
      <c r="G71" s="163">
        <f t="shared" si="11"/>
        <v>0</v>
      </c>
      <c r="H71" s="142">
        <f t="shared" si="12"/>
        <v>0</v>
      </c>
      <c r="I71" s="156">
        <f t="shared" si="14"/>
        <v>0</v>
      </c>
      <c r="J71" s="156"/>
      <c r="K71" s="334"/>
      <c r="L71" s="158">
        <f t="shared" si="15"/>
        <v>0</v>
      </c>
      <c r="M71" s="334"/>
      <c r="N71" s="158">
        <f t="shared" si="16"/>
        <v>0</v>
      </c>
      <c r="O71" s="158">
        <f t="shared" si="17"/>
        <v>0</v>
      </c>
      <c r="P71" s="4"/>
    </row>
    <row r="72" spans="1:16" ht="13.5" thickBot="1">
      <c r="B72" s="9" t="str">
        <f t="shared" si="6"/>
        <v/>
      </c>
      <c r="C72" s="164">
        <f>IF(D11="","-",+C71+1)</f>
        <v>2063</v>
      </c>
      <c r="D72" s="165">
        <f>IF(F71+SUM(E$17:E71)=D$10,F71,D$10-SUM(E$17:E71))</f>
        <v>0</v>
      </c>
      <c r="E72" s="166">
        <f>IF(+I14&lt;F71,I14,D72)</f>
        <v>0</v>
      </c>
      <c r="F72" s="165">
        <f t="shared" si="13"/>
        <v>0</v>
      </c>
      <c r="G72" s="167">
        <f t="shared" si="11"/>
        <v>0</v>
      </c>
      <c r="H72" s="124">
        <f t="shared" si="12"/>
        <v>0</v>
      </c>
      <c r="I72" s="168">
        <f t="shared" si="14"/>
        <v>0</v>
      </c>
      <c r="J72" s="156"/>
      <c r="K72" s="335"/>
      <c r="L72" s="169">
        <f t="shared" si="15"/>
        <v>0</v>
      </c>
      <c r="M72" s="335"/>
      <c r="N72" s="169">
        <f t="shared" si="16"/>
        <v>0</v>
      </c>
      <c r="O72" s="169">
        <f t="shared" si="17"/>
        <v>0</v>
      </c>
      <c r="P72" s="4"/>
    </row>
    <row r="73" spans="1:16">
      <c r="C73" s="154" t="s">
        <v>73</v>
      </c>
      <c r="D73" s="111"/>
      <c r="E73" s="111">
        <f>SUM(E17:E72)</f>
        <v>2820327.9999999991</v>
      </c>
      <c r="F73" s="111"/>
      <c r="G73" s="111">
        <f>SUM(G17:G72)</f>
        <v>9638657.7485340256</v>
      </c>
      <c r="H73" s="111">
        <f>SUM(H17:H72)</f>
        <v>9638658.7485340256</v>
      </c>
      <c r="I73" s="111">
        <f>SUM(I17:I72)</f>
        <v>0</v>
      </c>
      <c r="J73" s="111"/>
      <c r="K73" s="111"/>
      <c r="L73" s="111"/>
      <c r="M73" s="111"/>
      <c r="N73" s="111"/>
      <c r="O73" s="4"/>
      <c r="P73" s="4"/>
    </row>
    <row r="74" spans="1:16">
      <c r="D74" s="2"/>
      <c r="E74" s="1"/>
      <c r="F74" s="1"/>
      <c r="G74" s="1"/>
      <c r="H74" s="3"/>
      <c r="I74" s="3"/>
      <c r="J74" s="111"/>
      <c r="K74" s="3"/>
      <c r="L74" s="3"/>
      <c r="M74" s="3"/>
      <c r="N74" s="3"/>
      <c r="O74" s="1"/>
      <c r="P74" s="1"/>
    </row>
    <row r="75" spans="1:16">
      <c r="C75" s="170" t="s">
        <v>91</v>
      </c>
      <c r="D75" s="2"/>
      <c r="E75" s="1"/>
      <c r="F75" s="1"/>
      <c r="G75" s="1"/>
      <c r="H75" s="3"/>
      <c r="I75" s="3"/>
      <c r="J75" s="111"/>
      <c r="K75" s="3"/>
      <c r="L75" s="3"/>
      <c r="M75" s="3"/>
      <c r="N75" s="3"/>
      <c r="O75" s="1"/>
      <c r="P75" s="1"/>
    </row>
    <row r="76" spans="1:16">
      <c r="C76" s="121" t="s">
        <v>74</v>
      </c>
      <c r="D76" s="2"/>
      <c r="E76" s="1"/>
      <c r="F76" s="1"/>
      <c r="G76" s="1"/>
      <c r="H76" s="3"/>
      <c r="I76" s="3"/>
      <c r="J76" s="111"/>
      <c r="K76" s="3"/>
      <c r="L76" s="3"/>
      <c r="M76" s="3"/>
      <c r="N76" s="3"/>
      <c r="O76" s="4"/>
      <c r="P76" s="4"/>
    </row>
    <row r="77" spans="1:16" ht="18">
      <c r="C77" s="121" t="s">
        <v>75</v>
      </c>
      <c r="D77" s="154"/>
      <c r="E77" s="154"/>
      <c r="F77" s="154"/>
      <c r="G77" s="111"/>
      <c r="H77" s="111"/>
      <c r="I77" s="171"/>
      <c r="J77" s="171"/>
      <c r="K77" s="171"/>
      <c r="L77" s="171"/>
      <c r="M77" s="171"/>
      <c r="N77" s="171"/>
      <c r="O77" s="110"/>
      <c r="P77" s="4"/>
    </row>
    <row r="78" spans="1:16">
      <c r="C78" s="121"/>
      <c r="D78" s="154"/>
      <c r="E78" s="154"/>
      <c r="F78" s="154"/>
      <c r="G78" s="111"/>
      <c r="H78" s="111"/>
      <c r="I78" s="171"/>
      <c r="J78" s="171"/>
      <c r="K78" s="171"/>
      <c r="L78" s="171"/>
      <c r="M78" s="171"/>
      <c r="N78" s="171"/>
      <c r="O78" s="4"/>
      <c r="P78" s="1"/>
    </row>
    <row r="79" spans="1:16" ht="15">
      <c r="A79" s="241"/>
      <c r="B79" s="1"/>
      <c r="C79" s="21"/>
      <c r="D79" s="2"/>
      <c r="E79" s="1"/>
      <c r="F79" s="107"/>
      <c r="G79" s="1"/>
      <c r="H79" s="3"/>
      <c r="I79" s="1"/>
      <c r="J79" s="4"/>
      <c r="K79" s="1"/>
      <c r="L79" s="1"/>
      <c r="M79" s="1"/>
      <c r="N79" s="1"/>
    </row>
    <row r="80" spans="1:16" ht="18">
      <c r="B80" s="1"/>
      <c r="C80" s="242"/>
      <c r="D80" s="2"/>
      <c r="E80" s="1"/>
      <c r="F80" s="107"/>
      <c r="G80" s="1"/>
      <c r="H80" s="3"/>
      <c r="I80" s="1"/>
      <c r="J80" s="4"/>
      <c r="K80" s="1"/>
      <c r="L80" s="1"/>
      <c r="M80" s="1"/>
      <c r="N80" s="1"/>
      <c r="P80" s="244" t="s">
        <v>125</v>
      </c>
    </row>
    <row r="81" spans="1:17">
      <c r="B81" s="1"/>
      <c r="C81" s="242"/>
      <c r="D81" s="2"/>
      <c r="E81" s="1"/>
      <c r="F81" s="107"/>
      <c r="G81" s="1"/>
      <c r="H81" s="3"/>
      <c r="I81" s="1"/>
      <c r="J81" s="4"/>
      <c r="K81" s="1"/>
      <c r="L81" s="1"/>
      <c r="M81" s="1"/>
      <c r="N81" s="1"/>
      <c r="O81" s="1"/>
      <c r="P81" s="1"/>
    </row>
    <row r="82" spans="1:17">
      <c r="B82" s="1"/>
      <c r="C82" s="21"/>
      <c r="D82" s="2"/>
      <c r="E82" s="1"/>
      <c r="F82" s="107"/>
      <c r="G82" s="1"/>
      <c r="H82" s="3"/>
      <c r="I82" s="1"/>
      <c r="J82" s="4"/>
      <c r="K82" s="1"/>
      <c r="L82" s="1"/>
      <c r="M82" s="1"/>
      <c r="N82" s="1"/>
      <c r="O82" s="1"/>
      <c r="P82" s="1"/>
      <c r="Q82" s="1"/>
    </row>
    <row r="83" spans="1:17" ht="20.25">
      <c r="A83" s="243" t="s">
        <v>129</v>
      </c>
      <c r="B83" s="1"/>
      <c r="C83" s="21"/>
      <c r="D83" s="2"/>
      <c r="E83" s="1"/>
      <c r="F83" s="99"/>
      <c r="G83" s="99"/>
      <c r="H83" s="1"/>
      <c r="I83" s="3"/>
      <c r="K83" s="7"/>
      <c r="L83" s="109"/>
      <c r="M83" s="109"/>
      <c r="P83" s="110" t="str">
        <f ca="1">P1</f>
        <v>SWEPCO Project 9 of 73</v>
      </c>
      <c r="Q83" s="1"/>
    </row>
    <row r="84" spans="1:17" ht="18">
      <c r="B84" s="1"/>
      <c r="C84" s="1"/>
      <c r="D84" s="2"/>
      <c r="E84" s="1"/>
      <c r="F84" s="1"/>
      <c r="G84" s="1"/>
      <c r="H84" s="1"/>
      <c r="I84" s="3"/>
      <c r="J84" s="1"/>
      <c r="K84" s="4"/>
      <c r="L84" s="1"/>
      <c r="M84" s="1"/>
      <c r="P84" s="237" t="s">
        <v>123</v>
      </c>
      <c r="Q84" s="1"/>
    </row>
    <row r="85" spans="1:17" ht="18.75" thickBot="1">
      <c r="B85" s="5" t="s">
        <v>40</v>
      </c>
      <c r="C85" s="197" t="s">
        <v>78</v>
      </c>
      <c r="D85" s="2"/>
      <c r="E85" s="1"/>
      <c r="F85" s="1"/>
      <c r="G85" s="1"/>
      <c r="H85" s="1"/>
      <c r="I85" s="3"/>
      <c r="J85" s="3"/>
      <c r="K85" s="111"/>
      <c r="L85" s="3"/>
      <c r="M85" s="3"/>
      <c r="N85" s="3"/>
      <c r="O85" s="111"/>
      <c r="P85" s="1"/>
      <c r="Q85" s="1"/>
    </row>
    <row r="86" spans="1:17" ht="15.75" thickBot="1">
      <c r="C86" s="67"/>
      <c r="D86" s="2"/>
      <c r="E86" s="1"/>
      <c r="F86" s="1"/>
      <c r="G86" s="1"/>
      <c r="H86" s="1"/>
      <c r="I86" s="3"/>
      <c r="J86" s="3"/>
      <c r="K86" s="111"/>
      <c r="L86" s="265">
        <f>+J92</f>
        <v>2017</v>
      </c>
      <c r="M86" s="266" t="s">
        <v>7</v>
      </c>
      <c r="N86" s="270" t="s">
        <v>154</v>
      </c>
      <c r="O86" s="267" t="s">
        <v>9</v>
      </c>
      <c r="P86" s="1"/>
      <c r="Q86" s="1"/>
    </row>
    <row r="87" spans="1:17" ht="15">
      <c r="C87" s="235" t="s">
        <v>42</v>
      </c>
      <c r="D87" s="2"/>
      <c r="E87" s="1"/>
      <c r="F87" s="1"/>
      <c r="G87" s="1"/>
      <c r="H87" s="113"/>
      <c r="I87" s="1" t="s">
        <v>43</v>
      </c>
      <c r="J87" s="1"/>
      <c r="K87" s="261"/>
      <c r="L87" s="259" t="s">
        <v>381</v>
      </c>
      <c r="M87" s="198">
        <f>IF(J92&lt;D11,0,VLOOKUP(J92,C17:O72,9))</f>
        <v>344799.6405005774</v>
      </c>
      <c r="N87" s="198">
        <f>IF(J92&lt;D11,0,VLOOKUP(J92,C17:O72,11))</f>
        <v>344799.6405005774</v>
      </c>
      <c r="O87" s="199">
        <f>+N87-M87</f>
        <v>0</v>
      </c>
      <c r="P87" s="1"/>
      <c r="Q87" s="1"/>
    </row>
    <row r="88" spans="1:17" ht="15.75">
      <c r="C88" s="8"/>
      <c r="D88" s="2"/>
      <c r="E88" s="1"/>
      <c r="F88" s="1"/>
      <c r="G88" s="1"/>
      <c r="H88" s="1"/>
      <c r="I88" s="117"/>
      <c r="J88" s="117"/>
      <c r="K88" s="263"/>
      <c r="L88" s="264" t="s">
        <v>382</v>
      </c>
      <c r="M88" s="200">
        <f>IF(J92&lt;D11,0,VLOOKUP(J92,C99:P154,6))</f>
        <v>338516.06172932533</v>
      </c>
      <c r="N88" s="200">
        <f>IF(J92&lt;D11,0,VLOOKUP(J92,C99:P154,7))</f>
        <v>338516.06172932533</v>
      </c>
      <c r="O88" s="201">
        <f>+N88-M88</f>
        <v>0</v>
      </c>
      <c r="P88" s="1"/>
      <c r="Q88" s="1"/>
    </row>
    <row r="89" spans="1:17" ht="13.5" thickBot="1">
      <c r="C89" s="121" t="s">
        <v>79</v>
      </c>
      <c r="D89" s="246" t="str">
        <f>+D7</f>
        <v>Northwest Texarkana-Bann-Alumax Tap 138kV -- reconductor</v>
      </c>
      <c r="E89" s="1"/>
      <c r="F89" s="1"/>
      <c r="G89" s="1"/>
      <c r="H89" s="1"/>
      <c r="I89" s="3"/>
      <c r="J89" s="3"/>
      <c r="K89" s="262"/>
      <c r="L89" s="260" t="s">
        <v>151</v>
      </c>
      <c r="M89" s="203">
        <f>+M88-M87</f>
        <v>-6283.5787712520687</v>
      </c>
      <c r="N89" s="203">
        <f>+N88-N87</f>
        <v>-6283.5787712520687</v>
      </c>
      <c r="O89" s="204">
        <f>+O88-O87</f>
        <v>0</v>
      </c>
      <c r="P89" s="1"/>
      <c r="Q89" s="1"/>
    </row>
    <row r="90" spans="1:17" ht="13.5" thickBot="1">
      <c r="C90" s="170"/>
      <c r="D90" s="173" t="str">
        <f>D8</f>
        <v/>
      </c>
      <c r="E90" s="107"/>
      <c r="F90" s="107"/>
      <c r="G90" s="107"/>
      <c r="H90" s="126"/>
      <c r="I90" s="3"/>
      <c r="J90" s="3"/>
      <c r="K90" s="111"/>
      <c r="L90" s="3"/>
      <c r="M90" s="3"/>
      <c r="N90" s="3"/>
      <c r="O90" s="111"/>
      <c r="P90" s="1"/>
      <c r="Q90" s="1"/>
    </row>
    <row r="91" spans="1:17" ht="13.5" thickBot="1">
      <c r="A91" s="103"/>
      <c r="C91" s="205" t="s">
        <v>80</v>
      </c>
      <c r="D91" s="224" t="str">
        <f>+D9</f>
        <v>TP2006130</v>
      </c>
      <c r="E91" s="206"/>
      <c r="F91" s="206"/>
      <c r="G91" s="206"/>
      <c r="H91" s="206"/>
      <c r="I91" s="206"/>
      <c r="J91" s="238"/>
      <c r="K91" s="207"/>
      <c r="P91" s="131"/>
      <c r="Q91" s="1"/>
    </row>
    <row r="92" spans="1:17">
      <c r="C92" s="136" t="s">
        <v>47</v>
      </c>
      <c r="D92" s="133">
        <v>2820328</v>
      </c>
      <c r="E92" s="21" t="s">
        <v>81</v>
      </c>
      <c r="H92" s="134"/>
      <c r="I92" s="134"/>
      <c r="J92" s="135">
        <f>+'SWE.WS.G.BPU.ATRR.True-up'!M15</f>
        <v>2017</v>
      </c>
      <c r="K92" s="130"/>
      <c r="L92" s="111" t="s">
        <v>82</v>
      </c>
      <c r="P92" s="4"/>
      <c r="Q92" s="1"/>
    </row>
    <row r="93" spans="1:17">
      <c r="C93" s="136" t="s">
        <v>49</v>
      </c>
      <c r="D93" s="219">
        <f>IF(D11=I10,"",D11)</f>
        <v>2008</v>
      </c>
      <c r="E93" s="136" t="s">
        <v>50</v>
      </c>
      <c r="F93" s="134"/>
      <c r="G93" s="134"/>
      <c r="J93" s="138">
        <f>IF(H87="",0,'SWE.WS.G.BPU.ATRR.True-up'!$F$12)</f>
        <v>0</v>
      </c>
      <c r="K93" s="139"/>
      <c r="L93" t="str">
        <f>"          INPUT TRUE-UP ARR (WITH &amp; WITHOUT INCENTIVES) FROM EACH PRIOR YEAR"</f>
        <v xml:space="preserve">          INPUT TRUE-UP ARR (WITH &amp; WITHOUT INCENTIVES) FROM EACH PRIOR YEAR</v>
      </c>
      <c r="P93" s="4"/>
      <c r="Q93" s="1"/>
    </row>
    <row r="94" spans="1:17">
      <c r="C94" s="136" t="s">
        <v>51</v>
      </c>
      <c r="D94" s="218">
        <f>IF(D11=I10,"",D12)</f>
        <v>4</v>
      </c>
      <c r="E94" s="136" t="s">
        <v>52</v>
      </c>
      <c r="F94" s="134"/>
      <c r="G94" s="134"/>
      <c r="J94" s="140">
        <f>'SWE.WS.G.BPU.ATRR.True-up'!$F$80</f>
        <v>0.12147145768398206</v>
      </c>
      <c r="K94" s="141"/>
      <c r="L94" t="s">
        <v>83</v>
      </c>
      <c r="P94" s="4"/>
      <c r="Q94" s="1"/>
    </row>
    <row r="95" spans="1:17">
      <c r="C95" s="136" t="s">
        <v>54</v>
      </c>
      <c r="D95" s="138">
        <f>'SWE.WS.G.BPU.ATRR.True-up'!F$92</f>
        <v>42</v>
      </c>
      <c r="E95" s="136" t="s">
        <v>55</v>
      </c>
      <c r="F95" s="134"/>
      <c r="G95" s="134"/>
      <c r="J95" s="140">
        <f>IF(H87="",J94,'SWE.WS.G.BPU.ATRR.True-up'!$F$79)</f>
        <v>0.12147145768398206</v>
      </c>
      <c r="K95" s="58"/>
      <c r="L95" s="111" t="s">
        <v>56</v>
      </c>
      <c r="M95" s="58"/>
      <c r="N95" s="58"/>
      <c r="O95" s="58"/>
      <c r="P95" s="4"/>
      <c r="Q95" s="1"/>
    </row>
    <row r="96" spans="1:17" ht="13.5" thickBot="1">
      <c r="C96" s="136" t="s">
        <v>57</v>
      </c>
      <c r="D96" s="220" t="str">
        <f>+D14</f>
        <v>No</v>
      </c>
      <c r="E96" s="202" t="s">
        <v>59</v>
      </c>
      <c r="F96" s="208"/>
      <c r="G96" s="208"/>
      <c r="H96" s="209"/>
      <c r="I96" s="209"/>
      <c r="J96" s="124">
        <f>IF(D92=0,0,D92/D95)</f>
        <v>67150.666666666672</v>
      </c>
      <c r="K96" s="111"/>
      <c r="L96" s="111"/>
      <c r="M96" s="111"/>
      <c r="N96" s="111"/>
      <c r="O96" s="111"/>
      <c r="P96" s="4"/>
      <c r="Q96" s="1"/>
    </row>
    <row r="97" spans="1:17" ht="38.25">
      <c r="A97" s="6"/>
      <c r="B97" s="6"/>
      <c r="C97" s="210" t="s">
        <v>47</v>
      </c>
      <c r="D97" s="211" t="s">
        <v>60</v>
      </c>
      <c r="E97" s="146" t="s">
        <v>61</v>
      </c>
      <c r="F97" s="146" t="s">
        <v>62</v>
      </c>
      <c r="G97" s="144" t="s">
        <v>84</v>
      </c>
      <c r="H97" s="434" t="s">
        <v>378</v>
      </c>
      <c r="I97" s="435" t="s">
        <v>379</v>
      </c>
      <c r="J97" s="210" t="s">
        <v>85</v>
      </c>
      <c r="K97" s="212"/>
      <c r="L97" s="271" t="s">
        <v>220</v>
      </c>
      <c r="M97" s="146" t="s">
        <v>86</v>
      </c>
      <c r="N97" s="271" t="s">
        <v>220</v>
      </c>
      <c r="O97" s="146" t="s">
        <v>86</v>
      </c>
      <c r="P97" s="146" t="s">
        <v>65</v>
      </c>
      <c r="Q97" s="1"/>
    </row>
    <row r="98" spans="1:17" ht="13.5" thickBot="1">
      <c r="C98" s="147" t="s">
        <v>66</v>
      </c>
      <c r="D98" s="213" t="s">
        <v>67</v>
      </c>
      <c r="E98" s="147" t="s">
        <v>68</v>
      </c>
      <c r="F98" s="147" t="s">
        <v>67</v>
      </c>
      <c r="G98" s="147" t="s">
        <v>67</v>
      </c>
      <c r="H98" s="407" t="s">
        <v>69</v>
      </c>
      <c r="I98" s="148" t="s">
        <v>70</v>
      </c>
      <c r="J98" s="149" t="s">
        <v>89</v>
      </c>
      <c r="K98" s="150"/>
      <c r="L98" s="151" t="s">
        <v>72</v>
      </c>
      <c r="M98" s="151" t="s">
        <v>72</v>
      </c>
      <c r="N98" s="151" t="s">
        <v>90</v>
      </c>
      <c r="O98" s="151" t="s">
        <v>90</v>
      </c>
      <c r="P98" s="151" t="s">
        <v>90</v>
      </c>
      <c r="Q98" s="1"/>
    </row>
    <row r="99" spans="1:17">
      <c r="C99" s="153">
        <f>IF(D93= "","-",D93)</f>
        <v>2008</v>
      </c>
      <c r="D99" s="357">
        <v>0</v>
      </c>
      <c r="E99" s="360">
        <v>33602</v>
      </c>
      <c r="F99" s="361">
        <v>1831326</v>
      </c>
      <c r="G99" s="365">
        <v>915663</v>
      </c>
      <c r="H99" s="362">
        <v>179560</v>
      </c>
      <c r="I99" s="363">
        <v>179560</v>
      </c>
      <c r="J99" s="158">
        <f t="shared" ref="J99:J130" si="18">+I99-H99</f>
        <v>0</v>
      </c>
      <c r="K99" s="158"/>
      <c r="L99" s="256">
        <v>179560</v>
      </c>
      <c r="M99" s="157">
        <f t="shared" ref="M99:M130" si="19">IF(L99&lt;&gt;0,+H99-L99,0)</f>
        <v>0</v>
      </c>
      <c r="N99" s="256">
        <v>179560</v>
      </c>
      <c r="O99" s="157">
        <f t="shared" ref="O99:O130" si="20">IF(N99&lt;&gt;0,+I99-N99,0)</f>
        <v>0</v>
      </c>
      <c r="P99" s="157">
        <f t="shared" ref="P99:P130" si="21">+O99-M99</f>
        <v>0</v>
      </c>
      <c r="Q99" s="1"/>
    </row>
    <row r="100" spans="1:17">
      <c r="B100" s="9" t="str">
        <f>IF(D100=F99,"","IU")</f>
        <v>IU</v>
      </c>
      <c r="C100" s="153">
        <f>IF(D93="","-",+C99+1)</f>
        <v>2009</v>
      </c>
      <c r="D100" s="357">
        <v>1829504</v>
      </c>
      <c r="E100" s="360">
        <v>49029</v>
      </c>
      <c r="F100" s="361">
        <v>1780474</v>
      </c>
      <c r="G100" s="361">
        <v>1804989</v>
      </c>
      <c r="H100" s="360">
        <v>310279</v>
      </c>
      <c r="I100" s="359">
        <v>310279</v>
      </c>
      <c r="J100" s="158">
        <f t="shared" si="18"/>
        <v>0</v>
      </c>
      <c r="K100" s="158"/>
      <c r="L100" s="258">
        <f t="shared" ref="L100:L105" si="22">H100</f>
        <v>310279</v>
      </c>
      <c r="M100" s="257">
        <f t="shared" si="19"/>
        <v>0</v>
      </c>
      <c r="N100" s="258">
        <f t="shared" ref="N100:N105" si="23">I100</f>
        <v>310279</v>
      </c>
      <c r="O100" s="158">
        <f t="shared" si="20"/>
        <v>0</v>
      </c>
      <c r="P100" s="158">
        <f t="shared" si="21"/>
        <v>0</v>
      </c>
      <c r="Q100" s="1"/>
    </row>
    <row r="101" spans="1:17">
      <c r="B101" s="9" t="str">
        <f t="shared" ref="B101:B154" si="24">IF(D101=F100,"","IU")</f>
        <v>IU</v>
      </c>
      <c r="C101" s="153">
        <f>IF(D93="","-",+C100+1)</f>
        <v>2010</v>
      </c>
      <c r="D101" s="357">
        <v>2737747</v>
      </c>
      <c r="E101" s="360">
        <v>68789.707317073175</v>
      </c>
      <c r="F101" s="361">
        <v>2668957.2926829266</v>
      </c>
      <c r="G101" s="361">
        <v>2703352.1463414636</v>
      </c>
      <c r="H101" s="360">
        <v>515075.52172744781</v>
      </c>
      <c r="I101" s="359">
        <v>515075.52172744781</v>
      </c>
      <c r="J101" s="158">
        <f t="shared" si="18"/>
        <v>0</v>
      </c>
      <c r="K101" s="158"/>
      <c r="L101" s="258">
        <f t="shared" si="22"/>
        <v>515075.52172744781</v>
      </c>
      <c r="M101" s="257">
        <f t="shared" si="19"/>
        <v>0</v>
      </c>
      <c r="N101" s="258">
        <f t="shared" si="23"/>
        <v>515075.52172744781</v>
      </c>
      <c r="O101" s="158">
        <f t="shared" si="20"/>
        <v>0</v>
      </c>
      <c r="P101" s="158">
        <f t="shared" si="21"/>
        <v>0</v>
      </c>
      <c r="Q101" s="1"/>
    </row>
    <row r="102" spans="1:17">
      <c r="B102" s="9" t="str">
        <f t="shared" si="24"/>
        <v/>
      </c>
      <c r="C102" s="153">
        <f>IF(D93="","-",+C101+1)</f>
        <v>2011</v>
      </c>
      <c r="D102" s="357">
        <v>2668957.2926829266</v>
      </c>
      <c r="E102" s="377">
        <v>67151.857142857145</v>
      </c>
      <c r="F102" s="361">
        <v>2601805.4355400694</v>
      </c>
      <c r="G102" s="361">
        <v>2635381.364111498</v>
      </c>
      <c r="H102" s="360">
        <v>463460.24648079689</v>
      </c>
      <c r="I102" s="359">
        <v>463460.24648079689</v>
      </c>
      <c r="J102" s="158">
        <f t="shared" si="18"/>
        <v>0</v>
      </c>
      <c r="K102" s="158"/>
      <c r="L102" s="258">
        <f t="shared" si="22"/>
        <v>463460.24648079689</v>
      </c>
      <c r="M102" s="257">
        <f t="shared" si="19"/>
        <v>0</v>
      </c>
      <c r="N102" s="258">
        <f t="shared" si="23"/>
        <v>463460.24648079689</v>
      </c>
      <c r="O102" s="158">
        <f t="shared" si="20"/>
        <v>0</v>
      </c>
      <c r="P102" s="158">
        <f t="shared" si="21"/>
        <v>0</v>
      </c>
      <c r="Q102" s="1"/>
    </row>
    <row r="103" spans="1:17">
      <c r="B103" s="9" t="str">
        <f t="shared" si="24"/>
        <v/>
      </c>
      <c r="C103" s="153">
        <f>IF(D93="","-",+C102+1)</f>
        <v>2012</v>
      </c>
      <c r="D103" s="357">
        <v>2601805.4355400694</v>
      </c>
      <c r="E103" s="360">
        <v>67151.857142857145</v>
      </c>
      <c r="F103" s="361">
        <v>2534653.5783972121</v>
      </c>
      <c r="G103" s="361">
        <v>2568229.5069686407</v>
      </c>
      <c r="H103" s="360">
        <v>445076.92684818432</v>
      </c>
      <c r="I103" s="359">
        <v>445076.92684818432</v>
      </c>
      <c r="J103" s="158">
        <f t="shared" si="18"/>
        <v>0</v>
      </c>
      <c r="K103" s="158"/>
      <c r="L103" s="258">
        <f t="shared" si="22"/>
        <v>445076.92684818432</v>
      </c>
      <c r="M103" s="257">
        <f t="shared" si="19"/>
        <v>0</v>
      </c>
      <c r="N103" s="258">
        <f t="shared" si="23"/>
        <v>445076.92684818432</v>
      </c>
      <c r="O103" s="158">
        <f t="shared" si="20"/>
        <v>0</v>
      </c>
      <c r="P103" s="158">
        <f t="shared" si="21"/>
        <v>0</v>
      </c>
      <c r="Q103" s="1"/>
    </row>
    <row r="104" spans="1:17">
      <c r="B104" s="9" t="str">
        <f t="shared" si="24"/>
        <v/>
      </c>
      <c r="C104" s="153">
        <f>IF(D93="","-",+C103+1)</f>
        <v>2013</v>
      </c>
      <c r="D104" s="357">
        <v>2534653.5783972121</v>
      </c>
      <c r="E104" s="360">
        <v>67151.857142857145</v>
      </c>
      <c r="F104" s="361">
        <v>2467501.7212543548</v>
      </c>
      <c r="G104" s="361">
        <v>2501077.6498257834</v>
      </c>
      <c r="H104" s="360">
        <v>405526.90999589988</v>
      </c>
      <c r="I104" s="359">
        <v>405526.90999589988</v>
      </c>
      <c r="J104" s="158">
        <v>0</v>
      </c>
      <c r="K104" s="158"/>
      <c r="L104" s="258">
        <f t="shared" si="22"/>
        <v>405526.90999589988</v>
      </c>
      <c r="M104" s="257">
        <f>IF(L104&lt;&gt;0,+H104-L104,0)</f>
        <v>0</v>
      </c>
      <c r="N104" s="258">
        <f t="shared" si="23"/>
        <v>405526.90999589988</v>
      </c>
      <c r="O104" s="158">
        <f>IF(N104&lt;&gt;0,+I104-N104,0)</f>
        <v>0</v>
      </c>
      <c r="P104" s="158">
        <f>+O104-M104</f>
        <v>0</v>
      </c>
      <c r="Q104" s="1"/>
    </row>
    <row r="105" spans="1:17">
      <c r="B105" s="9" t="str">
        <f t="shared" si="24"/>
        <v/>
      </c>
      <c r="C105" s="153">
        <f>IF(D93="","-",+C104+1)</f>
        <v>2014</v>
      </c>
      <c r="D105" s="357">
        <v>2467501.7212543548</v>
      </c>
      <c r="E105" s="360">
        <v>67151.857142857145</v>
      </c>
      <c r="F105" s="361">
        <v>2400349.8641114975</v>
      </c>
      <c r="G105" s="361">
        <v>2433925.7926829262</v>
      </c>
      <c r="H105" s="360">
        <v>397979.47169431718</v>
      </c>
      <c r="I105" s="359">
        <v>397979.47169431718</v>
      </c>
      <c r="J105" s="158">
        <v>0</v>
      </c>
      <c r="K105" s="158"/>
      <c r="L105" s="258">
        <f t="shared" si="22"/>
        <v>397979.47169431718</v>
      </c>
      <c r="M105" s="257">
        <f>IF(L105&lt;&gt;0,+H105-L105,0)</f>
        <v>0</v>
      </c>
      <c r="N105" s="258">
        <f t="shared" si="23"/>
        <v>397979.47169431718</v>
      </c>
      <c r="O105" s="158">
        <f>IF(N105&lt;&gt;0,+I105-N105,0)</f>
        <v>0</v>
      </c>
      <c r="P105" s="158">
        <f>+O105-M105</f>
        <v>0</v>
      </c>
      <c r="Q105" s="1"/>
    </row>
    <row r="106" spans="1:17">
      <c r="B106" s="9" t="str">
        <f t="shared" si="24"/>
        <v>IU</v>
      </c>
      <c r="C106" s="153">
        <f>IF(D93="","-",+C105+1)</f>
        <v>2015</v>
      </c>
      <c r="D106" s="357">
        <v>2400299.864111498</v>
      </c>
      <c r="E106" s="360">
        <v>67150.666666666672</v>
      </c>
      <c r="F106" s="361">
        <v>2333149.1974448315</v>
      </c>
      <c r="G106" s="361">
        <v>2366724.530778165</v>
      </c>
      <c r="H106" s="360">
        <v>379011.3023265209</v>
      </c>
      <c r="I106" s="359">
        <v>379011.3023265209</v>
      </c>
      <c r="J106" s="158">
        <f t="shared" si="18"/>
        <v>0</v>
      </c>
      <c r="K106" s="158"/>
      <c r="L106" s="258">
        <f>H106</f>
        <v>379011.3023265209</v>
      </c>
      <c r="M106" s="257">
        <f>IF(L106&lt;&gt;0,+H106-L106,0)</f>
        <v>0</v>
      </c>
      <c r="N106" s="258">
        <f>I106</f>
        <v>379011.3023265209</v>
      </c>
      <c r="O106" s="158">
        <f>IF(N106&lt;&gt;0,+I106-N106,0)</f>
        <v>0</v>
      </c>
      <c r="P106" s="158">
        <f>+O106-M106</f>
        <v>0</v>
      </c>
      <c r="Q106" s="1"/>
    </row>
    <row r="107" spans="1:17">
      <c r="B107" s="9" t="str">
        <f t="shared" si="24"/>
        <v/>
      </c>
      <c r="C107" s="153">
        <f>IF(D93="","-",+C106+1)</f>
        <v>2016</v>
      </c>
      <c r="D107" s="357">
        <v>2333149.1974448315</v>
      </c>
      <c r="E107" s="360">
        <v>65589.023255813954</v>
      </c>
      <c r="F107" s="361">
        <v>2267560.1741890176</v>
      </c>
      <c r="G107" s="361">
        <v>2300354.6858169246</v>
      </c>
      <c r="H107" s="360">
        <v>357619.02367935097</v>
      </c>
      <c r="I107" s="359">
        <v>357619.02367935097</v>
      </c>
      <c r="J107" s="158">
        <v>0</v>
      </c>
      <c r="K107" s="158"/>
      <c r="L107" s="258">
        <f>H107</f>
        <v>357619.02367935097</v>
      </c>
      <c r="M107" s="257">
        <f>IF(L107&lt;&gt;0,+H107-L107,0)</f>
        <v>0</v>
      </c>
      <c r="N107" s="258">
        <f>I107</f>
        <v>357619.02367935097</v>
      </c>
      <c r="O107" s="158">
        <f>IF(N107&lt;&gt;0,+I107-N107,0)</f>
        <v>0</v>
      </c>
      <c r="P107" s="158">
        <f>+O107-M107</f>
        <v>0</v>
      </c>
      <c r="Q107" s="1"/>
    </row>
    <row r="108" spans="1:17">
      <c r="B108" s="9" t="str">
        <f t="shared" si="24"/>
        <v/>
      </c>
      <c r="C108" s="153">
        <f>IF(D93="","-",+C107+1)</f>
        <v>2017</v>
      </c>
      <c r="D108" s="154">
        <f>IF(F107+SUM(E$99:E107)=D$92,F107,D$92-SUM(E$99:E107))</f>
        <v>2267560.1741890176</v>
      </c>
      <c r="E108" s="160">
        <f>IF(+J96&lt;F107,J96,D108)</f>
        <v>67150.666666666672</v>
      </c>
      <c r="F108" s="159">
        <f t="shared" ref="F108:F130" si="25">+D108-E108</f>
        <v>2200409.5075223511</v>
      </c>
      <c r="G108" s="159">
        <f t="shared" ref="G108:G130" si="26">+(F108+D108)/2</f>
        <v>2233984.8408556841</v>
      </c>
      <c r="H108" s="163">
        <f>+J$94*G108+E108</f>
        <v>338516.06172932533</v>
      </c>
      <c r="I108" s="253">
        <f>+J$95*G108+E108</f>
        <v>338516.06172932533</v>
      </c>
      <c r="J108" s="158">
        <f t="shared" si="18"/>
        <v>0</v>
      </c>
      <c r="K108" s="158"/>
      <c r="L108" s="334"/>
      <c r="M108" s="158">
        <f t="shared" si="19"/>
        <v>0</v>
      </c>
      <c r="N108" s="334"/>
      <c r="O108" s="158">
        <f t="shared" si="20"/>
        <v>0</v>
      </c>
      <c r="P108" s="158">
        <f t="shared" si="21"/>
        <v>0</v>
      </c>
      <c r="Q108" s="1"/>
    </row>
    <row r="109" spans="1:17">
      <c r="B109" s="9" t="str">
        <f t="shared" si="24"/>
        <v/>
      </c>
      <c r="C109" s="153">
        <f>IF(D93="","-",+C108+1)</f>
        <v>2018</v>
      </c>
      <c r="D109" s="154">
        <f>IF(F108+SUM(E$99:E108)=D$92,F108,D$92-SUM(E$99:E108))</f>
        <v>2200409.5075223511</v>
      </c>
      <c r="E109" s="160">
        <f>IF(+J96&lt;F108,J96,D109)</f>
        <v>67150.666666666672</v>
      </c>
      <c r="F109" s="159">
        <f t="shared" si="25"/>
        <v>2133258.8408556846</v>
      </c>
      <c r="G109" s="159">
        <f t="shared" si="26"/>
        <v>2166834.1741890181</v>
      </c>
      <c r="H109" s="163">
        <f>+J$94*G109+E109</f>
        <v>330359.17236487422</v>
      </c>
      <c r="I109" s="253">
        <f>+J$95*G109+E109</f>
        <v>330359.17236487422</v>
      </c>
      <c r="J109" s="158">
        <f t="shared" si="18"/>
        <v>0</v>
      </c>
      <c r="K109" s="158"/>
      <c r="L109" s="334"/>
      <c r="M109" s="158">
        <f t="shared" si="19"/>
        <v>0</v>
      </c>
      <c r="N109" s="334"/>
      <c r="O109" s="158">
        <f t="shared" si="20"/>
        <v>0</v>
      </c>
      <c r="P109" s="158">
        <f t="shared" si="21"/>
        <v>0</v>
      </c>
      <c r="Q109" s="1"/>
    </row>
    <row r="110" spans="1:17">
      <c r="B110" s="9" t="str">
        <f t="shared" si="24"/>
        <v/>
      </c>
      <c r="C110" s="153">
        <f>IF(D93="","-",+C109+1)</f>
        <v>2019</v>
      </c>
      <c r="D110" s="154">
        <f>IF(F109+SUM(E$99:E109)=D$92,F109,D$92-SUM(E$99:E109))</f>
        <v>2133258.8408556846</v>
      </c>
      <c r="E110" s="160">
        <f>IF(+J96&lt;F109,J96,D110)</f>
        <v>67150.666666666672</v>
      </c>
      <c r="F110" s="159">
        <f t="shared" si="25"/>
        <v>2066108.1741890179</v>
      </c>
      <c r="G110" s="159">
        <f t="shared" si="26"/>
        <v>2099683.5075223511</v>
      </c>
      <c r="H110" s="163">
        <f>+J$94*G110+E110</f>
        <v>322202.28300042299</v>
      </c>
      <c r="I110" s="253">
        <f>+J$95*G110+E110</f>
        <v>322202.28300042299</v>
      </c>
      <c r="J110" s="158">
        <f t="shared" si="18"/>
        <v>0</v>
      </c>
      <c r="K110" s="158"/>
      <c r="L110" s="334"/>
      <c r="M110" s="158">
        <f t="shared" si="19"/>
        <v>0</v>
      </c>
      <c r="N110" s="334"/>
      <c r="O110" s="158">
        <f t="shared" si="20"/>
        <v>0</v>
      </c>
      <c r="P110" s="158">
        <f t="shared" si="21"/>
        <v>0</v>
      </c>
      <c r="Q110" s="1"/>
    </row>
    <row r="111" spans="1:17">
      <c r="B111" s="9" t="str">
        <f t="shared" si="24"/>
        <v/>
      </c>
      <c r="C111" s="153">
        <f>IF(D93="","-",+C110+1)</f>
        <v>2020</v>
      </c>
      <c r="D111" s="154">
        <f>IF(F110+SUM(E$99:E110)=D$92,F110,D$92-SUM(E$99:E110))</f>
        <v>2066108.1741890179</v>
      </c>
      <c r="E111" s="160">
        <f>IF(+J96&lt;F110,J96,D111)</f>
        <v>67150.666666666672</v>
      </c>
      <c r="F111" s="159">
        <f t="shared" si="25"/>
        <v>1998957.5075223511</v>
      </c>
      <c r="G111" s="159">
        <f t="shared" si="26"/>
        <v>2032532.8408556846</v>
      </c>
      <c r="H111" s="163">
        <f>+J$94*G111+E111</f>
        <v>314045.39363597182</v>
      </c>
      <c r="I111" s="253">
        <f>+J$95*G111+E111</f>
        <v>314045.39363597182</v>
      </c>
      <c r="J111" s="158">
        <f t="shared" si="18"/>
        <v>0</v>
      </c>
      <c r="K111" s="158"/>
      <c r="L111" s="334"/>
      <c r="M111" s="158">
        <f t="shared" si="19"/>
        <v>0</v>
      </c>
      <c r="N111" s="334"/>
      <c r="O111" s="158">
        <f t="shared" si="20"/>
        <v>0</v>
      </c>
      <c r="P111" s="158">
        <f t="shared" si="21"/>
        <v>0</v>
      </c>
      <c r="Q111" s="1"/>
    </row>
    <row r="112" spans="1:17">
      <c r="B112" s="9" t="str">
        <f t="shared" si="24"/>
        <v/>
      </c>
      <c r="C112" s="153">
        <f>IF(D93="","-",+C111+1)</f>
        <v>2021</v>
      </c>
      <c r="D112" s="154">
        <f>IF(F111+SUM(E$99:E111)=D$92,F111,D$92-SUM(E$99:E111))</f>
        <v>1998957.5075223511</v>
      </c>
      <c r="E112" s="160">
        <f>IF(+J96&lt;F111,J96,D112)</f>
        <v>67150.666666666672</v>
      </c>
      <c r="F112" s="159">
        <f t="shared" si="25"/>
        <v>1931806.8408556844</v>
      </c>
      <c r="G112" s="159">
        <f t="shared" si="26"/>
        <v>1965382.1741890176</v>
      </c>
      <c r="H112" s="163">
        <f>+J$94*G112+E112</f>
        <v>305888.50427152059</v>
      </c>
      <c r="I112" s="253">
        <f>+J$95*G112+E112</f>
        <v>305888.50427152059</v>
      </c>
      <c r="J112" s="158">
        <f t="shared" si="18"/>
        <v>0</v>
      </c>
      <c r="K112" s="158"/>
      <c r="L112" s="334"/>
      <c r="M112" s="158">
        <f t="shared" si="19"/>
        <v>0</v>
      </c>
      <c r="N112" s="334"/>
      <c r="O112" s="158">
        <f t="shared" si="20"/>
        <v>0</v>
      </c>
      <c r="P112" s="158">
        <f t="shared" si="21"/>
        <v>0</v>
      </c>
      <c r="Q112" s="1"/>
    </row>
    <row r="113" spans="2:17">
      <c r="B113" s="9" t="str">
        <f t="shared" si="24"/>
        <v/>
      </c>
      <c r="C113" s="153">
        <f>IF(D93="","-",+C112+1)</f>
        <v>2022</v>
      </c>
      <c r="D113" s="154">
        <f>IF(F112+SUM(E$99:E112)=D$92,F112,D$92-SUM(E$99:E112))</f>
        <v>1931806.8408556844</v>
      </c>
      <c r="E113" s="160">
        <f>IF(+J96&lt;F112,J96,D113)</f>
        <v>67150.666666666672</v>
      </c>
      <c r="F113" s="159">
        <f t="shared" si="25"/>
        <v>1864656.1741890176</v>
      </c>
      <c r="G113" s="159">
        <f t="shared" si="26"/>
        <v>1898231.5075223511</v>
      </c>
      <c r="H113" s="163">
        <f t="shared" ref="H113:H154" si="27">+J$94*G113+E113</f>
        <v>297731.61490706942</v>
      </c>
      <c r="I113" s="253">
        <f t="shared" ref="I113:I154" si="28">+J$95*G113+E113</f>
        <v>297731.61490706942</v>
      </c>
      <c r="J113" s="158">
        <f t="shared" si="18"/>
        <v>0</v>
      </c>
      <c r="K113" s="158"/>
      <c r="L113" s="334"/>
      <c r="M113" s="158">
        <f t="shared" si="19"/>
        <v>0</v>
      </c>
      <c r="N113" s="334"/>
      <c r="O113" s="158">
        <f t="shared" si="20"/>
        <v>0</v>
      </c>
      <c r="P113" s="158">
        <f t="shared" si="21"/>
        <v>0</v>
      </c>
      <c r="Q113" s="1"/>
    </row>
    <row r="114" spans="2:17">
      <c r="B114" s="9" t="str">
        <f t="shared" si="24"/>
        <v/>
      </c>
      <c r="C114" s="153">
        <f>IF(D93="","-",+C113+1)</f>
        <v>2023</v>
      </c>
      <c r="D114" s="154">
        <f>IF(F113+SUM(E$99:E113)=D$92,F113,D$92-SUM(E$99:E113))</f>
        <v>1864656.1741890176</v>
      </c>
      <c r="E114" s="160">
        <f>IF(+J96&lt;F113,J96,D114)</f>
        <v>67150.666666666672</v>
      </c>
      <c r="F114" s="159">
        <f t="shared" si="25"/>
        <v>1797505.5075223509</v>
      </c>
      <c r="G114" s="159">
        <f t="shared" si="26"/>
        <v>1831080.8408556841</v>
      </c>
      <c r="H114" s="163">
        <f t="shared" si="27"/>
        <v>289574.72554261819</v>
      </c>
      <c r="I114" s="253">
        <f t="shared" si="28"/>
        <v>289574.72554261819</v>
      </c>
      <c r="J114" s="158">
        <f t="shared" si="18"/>
        <v>0</v>
      </c>
      <c r="K114" s="158"/>
      <c r="L114" s="334"/>
      <c r="M114" s="158">
        <f t="shared" si="19"/>
        <v>0</v>
      </c>
      <c r="N114" s="334"/>
      <c r="O114" s="158">
        <f t="shared" si="20"/>
        <v>0</v>
      </c>
      <c r="P114" s="158">
        <f t="shared" si="21"/>
        <v>0</v>
      </c>
      <c r="Q114" s="1"/>
    </row>
    <row r="115" spans="2:17">
      <c r="B115" s="9" t="str">
        <f t="shared" si="24"/>
        <v/>
      </c>
      <c r="C115" s="153">
        <f>IF(D93="","-",+C114+1)</f>
        <v>2024</v>
      </c>
      <c r="D115" s="154">
        <f>IF(F114+SUM(E$99:E114)=D$92,F114,D$92-SUM(E$99:E114))</f>
        <v>1797505.5075223509</v>
      </c>
      <c r="E115" s="160">
        <f>IF(+J96&lt;F114,J96,D115)</f>
        <v>67150.666666666672</v>
      </c>
      <c r="F115" s="159">
        <f t="shared" si="25"/>
        <v>1730354.8408556841</v>
      </c>
      <c r="G115" s="159">
        <f t="shared" si="26"/>
        <v>1763930.1741890176</v>
      </c>
      <c r="H115" s="163">
        <f t="shared" si="27"/>
        <v>281417.83617816702</v>
      </c>
      <c r="I115" s="253">
        <f t="shared" si="28"/>
        <v>281417.83617816702</v>
      </c>
      <c r="J115" s="158">
        <f t="shared" si="18"/>
        <v>0</v>
      </c>
      <c r="K115" s="158"/>
      <c r="L115" s="334"/>
      <c r="M115" s="158">
        <f t="shared" si="19"/>
        <v>0</v>
      </c>
      <c r="N115" s="334"/>
      <c r="O115" s="158">
        <f t="shared" si="20"/>
        <v>0</v>
      </c>
      <c r="P115" s="158">
        <f t="shared" si="21"/>
        <v>0</v>
      </c>
      <c r="Q115" s="1"/>
    </row>
    <row r="116" spans="2:17">
      <c r="B116" s="9" t="str">
        <f t="shared" si="24"/>
        <v/>
      </c>
      <c r="C116" s="153">
        <f>IF(D93="","-",+C115+1)</f>
        <v>2025</v>
      </c>
      <c r="D116" s="154">
        <f>IF(F115+SUM(E$99:E115)=D$92,F115,D$92-SUM(E$99:E115))</f>
        <v>1730354.8408556841</v>
      </c>
      <c r="E116" s="160">
        <f>IF(+J96&lt;F115,J96,D116)</f>
        <v>67150.666666666672</v>
      </c>
      <c r="F116" s="159">
        <f t="shared" si="25"/>
        <v>1663204.1741890174</v>
      </c>
      <c r="G116" s="159">
        <f t="shared" si="26"/>
        <v>1696779.5075223506</v>
      </c>
      <c r="H116" s="163">
        <f t="shared" si="27"/>
        <v>273260.9468137158</v>
      </c>
      <c r="I116" s="253">
        <f t="shared" si="28"/>
        <v>273260.9468137158</v>
      </c>
      <c r="J116" s="158">
        <f t="shared" si="18"/>
        <v>0</v>
      </c>
      <c r="K116" s="158"/>
      <c r="L116" s="334"/>
      <c r="M116" s="158">
        <f t="shared" si="19"/>
        <v>0</v>
      </c>
      <c r="N116" s="334"/>
      <c r="O116" s="158">
        <f t="shared" si="20"/>
        <v>0</v>
      </c>
      <c r="P116" s="158">
        <f t="shared" si="21"/>
        <v>0</v>
      </c>
      <c r="Q116" s="1"/>
    </row>
    <row r="117" spans="2:17">
      <c r="B117" s="9" t="str">
        <f t="shared" si="24"/>
        <v/>
      </c>
      <c r="C117" s="153">
        <f>IF(D93="","-",+C116+1)</f>
        <v>2026</v>
      </c>
      <c r="D117" s="154">
        <f>IF(F116+SUM(E$99:E116)=D$92,F116,D$92-SUM(E$99:E116))</f>
        <v>1663204.1741890174</v>
      </c>
      <c r="E117" s="160">
        <f>IF(+J96&lt;F116,J96,D117)</f>
        <v>67150.666666666672</v>
      </c>
      <c r="F117" s="159">
        <f t="shared" si="25"/>
        <v>1596053.5075223506</v>
      </c>
      <c r="G117" s="159">
        <f t="shared" si="26"/>
        <v>1629628.8408556841</v>
      </c>
      <c r="H117" s="163">
        <f t="shared" si="27"/>
        <v>265104.05744926463</v>
      </c>
      <c r="I117" s="253">
        <f t="shared" si="28"/>
        <v>265104.05744926463</v>
      </c>
      <c r="J117" s="158">
        <f t="shared" si="18"/>
        <v>0</v>
      </c>
      <c r="K117" s="158"/>
      <c r="L117" s="334"/>
      <c r="M117" s="158">
        <f t="shared" si="19"/>
        <v>0</v>
      </c>
      <c r="N117" s="334"/>
      <c r="O117" s="158">
        <f t="shared" si="20"/>
        <v>0</v>
      </c>
      <c r="P117" s="158">
        <f t="shared" si="21"/>
        <v>0</v>
      </c>
      <c r="Q117" s="1"/>
    </row>
    <row r="118" spans="2:17">
      <c r="B118" s="9" t="str">
        <f t="shared" si="24"/>
        <v/>
      </c>
      <c r="C118" s="153">
        <f>IF(D93="","-",+C117+1)</f>
        <v>2027</v>
      </c>
      <c r="D118" s="154">
        <f>IF(F117+SUM(E$99:E117)=D$92,F117,D$92-SUM(E$99:E117))</f>
        <v>1596053.5075223506</v>
      </c>
      <c r="E118" s="160">
        <f>IF(+J96&lt;F117,J96,D118)</f>
        <v>67150.666666666672</v>
      </c>
      <c r="F118" s="159">
        <f t="shared" si="25"/>
        <v>1528902.8408556839</v>
      </c>
      <c r="G118" s="159">
        <f t="shared" si="26"/>
        <v>1562478.1741890172</v>
      </c>
      <c r="H118" s="163">
        <f t="shared" si="27"/>
        <v>256947.1680848134</v>
      </c>
      <c r="I118" s="253">
        <f t="shared" si="28"/>
        <v>256947.1680848134</v>
      </c>
      <c r="J118" s="158">
        <f t="shared" si="18"/>
        <v>0</v>
      </c>
      <c r="K118" s="158"/>
      <c r="L118" s="334"/>
      <c r="M118" s="158">
        <f t="shared" si="19"/>
        <v>0</v>
      </c>
      <c r="N118" s="334"/>
      <c r="O118" s="158">
        <f t="shared" si="20"/>
        <v>0</v>
      </c>
      <c r="P118" s="158">
        <f t="shared" si="21"/>
        <v>0</v>
      </c>
      <c r="Q118" s="1"/>
    </row>
    <row r="119" spans="2:17">
      <c r="B119" s="9" t="str">
        <f t="shared" si="24"/>
        <v/>
      </c>
      <c r="C119" s="153">
        <f>IF(D93="","-",+C118+1)</f>
        <v>2028</v>
      </c>
      <c r="D119" s="154">
        <f>IF(F118+SUM(E$99:E118)=D$92,F118,D$92-SUM(E$99:E118))</f>
        <v>1528902.8408556839</v>
      </c>
      <c r="E119" s="160">
        <f>IF(+J96&lt;F118,J96,D119)</f>
        <v>67150.666666666672</v>
      </c>
      <c r="F119" s="159">
        <f t="shared" si="25"/>
        <v>1461752.1741890172</v>
      </c>
      <c r="G119" s="159">
        <f t="shared" si="26"/>
        <v>1495327.5075223506</v>
      </c>
      <c r="H119" s="163">
        <f t="shared" si="27"/>
        <v>248790.27872036223</v>
      </c>
      <c r="I119" s="253">
        <f t="shared" si="28"/>
        <v>248790.27872036223</v>
      </c>
      <c r="J119" s="158">
        <f t="shared" si="18"/>
        <v>0</v>
      </c>
      <c r="K119" s="158"/>
      <c r="L119" s="334"/>
      <c r="M119" s="158">
        <f t="shared" si="19"/>
        <v>0</v>
      </c>
      <c r="N119" s="334"/>
      <c r="O119" s="158">
        <f t="shared" si="20"/>
        <v>0</v>
      </c>
      <c r="P119" s="158">
        <f t="shared" si="21"/>
        <v>0</v>
      </c>
      <c r="Q119" s="1"/>
    </row>
    <row r="120" spans="2:17">
      <c r="B120" s="9" t="str">
        <f t="shared" si="24"/>
        <v/>
      </c>
      <c r="C120" s="153">
        <f>IF(D93="","-",+C119+1)</f>
        <v>2029</v>
      </c>
      <c r="D120" s="154">
        <f>IF(F119+SUM(E$99:E119)=D$92,F119,D$92-SUM(E$99:E119))</f>
        <v>1461752.1741890172</v>
      </c>
      <c r="E120" s="160">
        <f>IF(+J96&lt;F119,J96,D120)</f>
        <v>67150.666666666672</v>
      </c>
      <c r="F120" s="159">
        <f t="shared" si="25"/>
        <v>1394601.5075223504</v>
      </c>
      <c r="G120" s="159">
        <f t="shared" si="26"/>
        <v>1428176.8408556837</v>
      </c>
      <c r="H120" s="163">
        <f t="shared" si="27"/>
        <v>240633.389355911</v>
      </c>
      <c r="I120" s="253">
        <f t="shared" si="28"/>
        <v>240633.389355911</v>
      </c>
      <c r="J120" s="158">
        <f t="shared" si="18"/>
        <v>0</v>
      </c>
      <c r="K120" s="158"/>
      <c r="L120" s="334"/>
      <c r="M120" s="158">
        <f t="shared" si="19"/>
        <v>0</v>
      </c>
      <c r="N120" s="334"/>
      <c r="O120" s="158">
        <f t="shared" si="20"/>
        <v>0</v>
      </c>
      <c r="P120" s="158">
        <f t="shared" si="21"/>
        <v>0</v>
      </c>
      <c r="Q120" s="1"/>
    </row>
    <row r="121" spans="2:17">
      <c r="B121" s="9" t="str">
        <f t="shared" si="24"/>
        <v/>
      </c>
      <c r="C121" s="153">
        <f>IF(D93="","-",+C120+1)</f>
        <v>2030</v>
      </c>
      <c r="D121" s="154">
        <f>IF(F120+SUM(E$99:E120)=D$92,F120,D$92-SUM(E$99:E120))</f>
        <v>1394601.5075223504</v>
      </c>
      <c r="E121" s="160">
        <f>IF(+J96&lt;F120,J96,D121)</f>
        <v>67150.666666666672</v>
      </c>
      <c r="F121" s="159">
        <f t="shared" si="25"/>
        <v>1327450.8408556837</v>
      </c>
      <c r="G121" s="159">
        <f t="shared" si="26"/>
        <v>1361026.1741890172</v>
      </c>
      <c r="H121" s="163">
        <f t="shared" si="27"/>
        <v>232476.49999145989</v>
      </c>
      <c r="I121" s="253">
        <f t="shared" si="28"/>
        <v>232476.49999145989</v>
      </c>
      <c r="J121" s="158">
        <f t="shared" si="18"/>
        <v>0</v>
      </c>
      <c r="K121" s="158"/>
      <c r="L121" s="334"/>
      <c r="M121" s="158">
        <f t="shared" si="19"/>
        <v>0</v>
      </c>
      <c r="N121" s="334"/>
      <c r="O121" s="158">
        <f t="shared" si="20"/>
        <v>0</v>
      </c>
      <c r="P121" s="158">
        <f t="shared" si="21"/>
        <v>0</v>
      </c>
      <c r="Q121" s="1"/>
    </row>
    <row r="122" spans="2:17">
      <c r="B122" s="9" t="str">
        <f t="shared" si="24"/>
        <v/>
      </c>
      <c r="C122" s="153">
        <f>IF(D93="","-",+C121+1)</f>
        <v>2031</v>
      </c>
      <c r="D122" s="154">
        <f>IF(F121+SUM(E$99:E121)=D$92,F121,D$92-SUM(E$99:E121))</f>
        <v>1327450.8408556837</v>
      </c>
      <c r="E122" s="160">
        <f>IF(+J96&lt;F121,J96,D122)</f>
        <v>67150.666666666672</v>
      </c>
      <c r="F122" s="159">
        <f t="shared" si="25"/>
        <v>1260300.1741890169</v>
      </c>
      <c r="G122" s="159">
        <f t="shared" si="26"/>
        <v>1293875.5075223502</v>
      </c>
      <c r="H122" s="163">
        <f t="shared" si="27"/>
        <v>224319.61062700866</v>
      </c>
      <c r="I122" s="253">
        <f t="shared" si="28"/>
        <v>224319.61062700866</v>
      </c>
      <c r="J122" s="158">
        <f t="shared" si="18"/>
        <v>0</v>
      </c>
      <c r="K122" s="158"/>
      <c r="L122" s="334"/>
      <c r="M122" s="158">
        <f t="shared" si="19"/>
        <v>0</v>
      </c>
      <c r="N122" s="334"/>
      <c r="O122" s="158">
        <f t="shared" si="20"/>
        <v>0</v>
      </c>
      <c r="P122" s="158">
        <f t="shared" si="21"/>
        <v>0</v>
      </c>
      <c r="Q122" s="1"/>
    </row>
    <row r="123" spans="2:17">
      <c r="B123" s="9" t="str">
        <f t="shared" si="24"/>
        <v/>
      </c>
      <c r="C123" s="153">
        <f>IF(D93="","-",+C122+1)</f>
        <v>2032</v>
      </c>
      <c r="D123" s="154">
        <f>IF(F122+SUM(E$99:E122)=D$92,F122,D$92-SUM(E$99:E122))</f>
        <v>1260300.1741890169</v>
      </c>
      <c r="E123" s="160">
        <f>IF(+J96&lt;F122,J96,D123)</f>
        <v>67150.666666666672</v>
      </c>
      <c r="F123" s="159">
        <f t="shared" si="25"/>
        <v>1193149.5075223502</v>
      </c>
      <c r="G123" s="159">
        <f t="shared" si="26"/>
        <v>1226724.8408556837</v>
      </c>
      <c r="H123" s="163">
        <f t="shared" si="27"/>
        <v>216162.72126255749</v>
      </c>
      <c r="I123" s="253">
        <f t="shared" si="28"/>
        <v>216162.72126255749</v>
      </c>
      <c r="J123" s="158">
        <f t="shared" si="18"/>
        <v>0</v>
      </c>
      <c r="K123" s="158"/>
      <c r="L123" s="334"/>
      <c r="M123" s="158">
        <f t="shared" si="19"/>
        <v>0</v>
      </c>
      <c r="N123" s="334"/>
      <c r="O123" s="158">
        <f t="shared" si="20"/>
        <v>0</v>
      </c>
      <c r="P123" s="158">
        <f t="shared" si="21"/>
        <v>0</v>
      </c>
      <c r="Q123" s="1"/>
    </row>
    <row r="124" spans="2:17">
      <c r="B124" s="9" t="str">
        <f t="shared" si="24"/>
        <v/>
      </c>
      <c r="C124" s="153">
        <f>IF(D93="","-",+C123+1)</f>
        <v>2033</v>
      </c>
      <c r="D124" s="154">
        <f>IF(F123+SUM(E$99:E123)=D$92,F123,D$92-SUM(E$99:E123))</f>
        <v>1193149.5075223502</v>
      </c>
      <c r="E124" s="160">
        <f>IF(+J96&lt;F123,J96,D124)</f>
        <v>67150.666666666672</v>
      </c>
      <c r="F124" s="159">
        <f t="shared" si="25"/>
        <v>1125998.8408556834</v>
      </c>
      <c r="G124" s="159">
        <f t="shared" si="26"/>
        <v>1159574.1741890167</v>
      </c>
      <c r="H124" s="163">
        <f t="shared" si="27"/>
        <v>208005.83189810626</v>
      </c>
      <c r="I124" s="253">
        <f t="shared" si="28"/>
        <v>208005.83189810626</v>
      </c>
      <c r="J124" s="158">
        <f t="shared" si="18"/>
        <v>0</v>
      </c>
      <c r="K124" s="158"/>
      <c r="L124" s="334"/>
      <c r="M124" s="158">
        <f t="shared" si="19"/>
        <v>0</v>
      </c>
      <c r="N124" s="334"/>
      <c r="O124" s="158">
        <f t="shared" si="20"/>
        <v>0</v>
      </c>
      <c r="P124" s="158">
        <f t="shared" si="21"/>
        <v>0</v>
      </c>
      <c r="Q124" s="1"/>
    </row>
    <row r="125" spans="2:17">
      <c r="B125" s="9" t="str">
        <f t="shared" si="24"/>
        <v/>
      </c>
      <c r="C125" s="153">
        <f>IF(D93="","-",+C124+1)</f>
        <v>2034</v>
      </c>
      <c r="D125" s="154">
        <f>IF(F124+SUM(E$99:E124)=D$92,F124,D$92-SUM(E$99:E124))</f>
        <v>1125998.8408556834</v>
      </c>
      <c r="E125" s="160">
        <f>IF(+J96&lt;F124,J96,D125)</f>
        <v>67150.666666666672</v>
      </c>
      <c r="F125" s="159">
        <f t="shared" si="25"/>
        <v>1058848.1741890167</v>
      </c>
      <c r="G125" s="159">
        <f t="shared" si="26"/>
        <v>1092423.5075223502</v>
      </c>
      <c r="H125" s="163">
        <f t="shared" si="27"/>
        <v>199848.94253365509</v>
      </c>
      <c r="I125" s="253">
        <f t="shared" si="28"/>
        <v>199848.94253365509</v>
      </c>
      <c r="J125" s="158">
        <f t="shared" si="18"/>
        <v>0</v>
      </c>
      <c r="K125" s="158"/>
      <c r="L125" s="334"/>
      <c r="M125" s="158">
        <f t="shared" si="19"/>
        <v>0</v>
      </c>
      <c r="N125" s="334"/>
      <c r="O125" s="158">
        <f t="shared" si="20"/>
        <v>0</v>
      </c>
      <c r="P125" s="158">
        <f t="shared" si="21"/>
        <v>0</v>
      </c>
      <c r="Q125" s="1"/>
    </row>
    <row r="126" spans="2:17">
      <c r="B126" s="9" t="str">
        <f t="shared" si="24"/>
        <v/>
      </c>
      <c r="C126" s="153">
        <f>IF(D93="","-",+C125+1)</f>
        <v>2035</v>
      </c>
      <c r="D126" s="154">
        <f>IF(F125+SUM(E$99:E125)=D$92,F125,D$92-SUM(E$99:E125))</f>
        <v>1058848.1741890167</v>
      </c>
      <c r="E126" s="160">
        <f>IF(+J96&lt;F125,J96,D126)</f>
        <v>67150.666666666672</v>
      </c>
      <c r="F126" s="159">
        <f t="shared" si="25"/>
        <v>991697.50752235006</v>
      </c>
      <c r="G126" s="159">
        <f t="shared" si="26"/>
        <v>1025272.8408556834</v>
      </c>
      <c r="H126" s="163">
        <f t="shared" si="27"/>
        <v>191692.05316920389</v>
      </c>
      <c r="I126" s="253">
        <f t="shared" si="28"/>
        <v>191692.05316920389</v>
      </c>
      <c r="J126" s="158">
        <f t="shared" si="18"/>
        <v>0</v>
      </c>
      <c r="K126" s="158"/>
      <c r="L126" s="334"/>
      <c r="M126" s="158">
        <f t="shared" si="19"/>
        <v>0</v>
      </c>
      <c r="N126" s="334"/>
      <c r="O126" s="158">
        <f t="shared" si="20"/>
        <v>0</v>
      </c>
      <c r="P126" s="158">
        <f t="shared" si="21"/>
        <v>0</v>
      </c>
      <c r="Q126" s="1"/>
    </row>
    <row r="127" spans="2:17">
      <c r="B127" s="9" t="str">
        <f t="shared" si="24"/>
        <v/>
      </c>
      <c r="C127" s="153">
        <f>IF(D93="","-",+C126+1)</f>
        <v>2036</v>
      </c>
      <c r="D127" s="154">
        <f>IF(F126+SUM(E$99:E126)=D$92,F126,D$92-SUM(E$99:E126))</f>
        <v>991697.50752235006</v>
      </c>
      <c r="E127" s="160">
        <f>IF(+J96&lt;F126,J96,D127)</f>
        <v>67150.666666666672</v>
      </c>
      <c r="F127" s="159">
        <f t="shared" si="25"/>
        <v>924546.84085568343</v>
      </c>
      <c r="G127" s="159">
        <f t="shared" si="26"/>
        <v>958122.17418901669</v>
      </c>
      <c r="H127" s="163">
        <f t="shared" si="27"/>
        <v>183535.16380475269</v>
      </c>
      <c r="I127" s="253">
        <f t="shared" si="28"/>
        <v>183535.16380475269</v>
      </c>
      <c r="J127" s="158">
        <f t="shared" si="18"/>
        <v>0</v>
      </c>
      <c r="K127" s="158"/>
      <c r="L127" s="334"/>
      <c r="M127" s="158">
        <f t="shared" si="19"/>
        <v>0</v>
      </c>
      <c r="N127" s="334"/>
      <c r="O127" s="158">
        <f t="shared" si="20"/>
        <v>0</v>
      </c>
      <c r="P127" s="158">
        <f t="shared" si="21"/>
        <v>0</v>
      </c>
      <c r="Q127" s="1"/>
    </row>
    <row r="128" spans="2:17">
      <c r="B128" s="9" t="str">
        <f t="shared" si="24"/>
        <v/>
      </c>
      <c r="C128" s="153">
        <f>IF(D93="","-",+C127+1)</f>
        <v>2037</v>
      </c>
      <c r="D128" s="154">
        <f>IF(F127+SUM(E$99:E127)=D$92,F127,D$92-SUM(E$99:E127))</f>
        <v>924546.84085568343</v>
      </c>
      <c r="E128" s="160">
        <f>IF(+J96&lt;F127,J96,D128)</f>
        <v>67150.666666666672</v>
      </c>
      <c r="F128" s="159">
        <f t="shared" si="25"/>
        <v>857396.17418901681</v>
      </c>
      <c r="G128" s="159">
        <f t="shared" si="26"/>
        <v>890971.50752235018</v>
      </c>
      <c r="H128" s="163">
        <f t="shared" si="27"/>
        <v>175378.27444030152</v>
      </c>
      <c r="I128" s="253">
        <f t="shared" si="28"/>
        <v>175378.27444030152</v>
      </c>
      <c r="J128" s="158">
        <f t="shared" si="18"/>
        <v>0</v>
      </c>
      <c r="K128" s="158"/>
      <c r="L128" s="334"/>
      <c r="M128" s="158">
        <f t="shared" si="19"/>
        <v>0</v>
      </c>
      <c r="N128" s="334"/>
      <c r="O128" s="158">
        <f t="shared" si="20"/>
        <v>0</v>
      </c>
      <c r="P128" s="158">
        <f t="shared" si="21"/>
        <v>0</v>
      </c>
      <c r="Q128" s="1"/>
    </row>
    <row r="129" spans="2:17">
      <c r="B129" s="9" t="str">
        <f t="shared" si="24"/>
        <v/>
      </c>
      <c r="C129" s="153">
        <f>IF(D93="","-",+C128+1)</f>
        <v>2038</v>
      </c>
      <c r="D129" s="154">
        <f>IF(F128+SUM(E$99:E128)=D$92,F128,D$92-SUM(E$99:E128))</f>
        <v>857396.17418901681</v>
      </c>
      <c r="E129" s="160">
        <f>IF(+J96&lt;F128,J96,D129)</f>
        <v>67150.666666666672</v>
      </c>
      <c r="F129" s="159">
        <f t="shared" si="25"/>
        <v>790245.50752235018</v>
      </c>
      <c r="G129" s="159">
        <f t="shared" si="26"/>
        <v>823820.84085568343</v>
      </c>
      <c r="H129" s="163">
        <f t="shared" si="27"/>
        <v>167221.38507585035</v>
      </c>
      <c r="I129" s="253">
        <f t="shared" si="28"/>
        <v>167221.38507585035</v>
      </c>
      <c r="J129" s="158">
        <f t="shared" si="18"/>
        <v>0</v>
      </c>
      <c r="K129" s="158"/>
      <c r="L129" s="334"/>
      <c r="M129" s="158">
        <f t="shared" si="19"/>
        <v>0</v>
      </c>
      <c r="N129" s="334"/>
      <c r="O129" s="158">
        <f t="shared" si="20"/>
        <v>0</v>
      </c>
      <c r="P129" s="158">
        <f t="shared" si="21"/>
        <v>0</v>
      </c>
      <c r="Q129" s="1"/>
    </row>
    <row r="130" spans="2:17">
      <c r="B130" s="9" t="str">
        <f t="shared" si="24"/>
        <v/>
      </c>
      <c r="C130" s="153">
        <f>IF(D93="","-",+C129+1)</f>
        <v>2039</v>
      </c>
      <c r="D130" s="154">
        <f>IF(F129+SUM(E$99:E129)=D$92,F129,D$92-SUM(E$99:E129))</f>
        <v>790245.50752235018</v>
      </c>
      <c r="E130" s="160">
        <f>IF(+J96&lt;F129,J96,D130)</f>
        <v>67150.666666666672</v>
      </c>
      <c r="F130" s="159">
        <f t="shared" si="25"/>
        <v>723094.84085568355</v>
      </c>
      <c r="G130" s="159">
        <f t="shared" si="26"/>
        <v>756670.17418901692</v>
      </c>
      <c r="H130" s="163">
        <f t="shared" si="27"/>
        <v>159064.49571139918</v>
      </c>
      <c r="I130" s="253">
        <f t="shared" si="28"/>
        <v>159064.49571139918</v>
      </c>
      <c r="J130" s="158">
        <f t="shared" si="18"/>
        <v>0</v>
      </c>
      <c r="K130" s="158"/>
      <c r="L130" s="334"/>
      <c r="M130" s="158">
        <f t="shared" si="19"/>
        <v>0</v>
      </c>
      <c r="N130" s="334"/>
      <c r="O130" s="158">
        <f t="shared" si="20"/>
        <v>0</v>
      </c>
      <c r="P130" s="158">
        <f t="shared" si="21"/>
        <v>0</v>
      </c>
      <c r="Q130" s="1"/>
    </row>
    <row r="131" spans="2:17">
      <c r="B131" s="9" t="str">
        <f t="shared" si="24"/>
        <v/>
      </c>
      <c r="C131" s="153">
        <f>IF(D93="","-",+C130+1)</f>
        <v>2040</v>
      </c>
      <c r="D131" s="154">
        <f>IF(F130+SUM(E$99:E130)=D$92,F130,D$92-SUM(E$99:E130))</f>
        <v>723094.84085568355</v>
      </c>
      <c r="E131" s="160">
        <f>IF(+J96&lt;F130,J96,D131)</f>
        <v>67150.666666666672</v>
      </c>
      <c r="F131" s="159">
        <f t="shared" ref="F131:F154" si="29">+D131-E131</f>
        <v>655944.17418901692</v>
      </c>
      <c r="G131" s="159">
        <f t="shared" ref="G131:G154" si="30">+(F131+D131)/2</f>
        <v>689519.50752235018</v>
      </c>
      <c r="H131" s="163">
        <f t="shared" si="27"/>
        <v>150907.60634694799</v>
      </c>
      <c r="I131" s="253">
        <f t="shared" si="28"/>
        <v>150907.60634694799</v>
      </c>
      <c r="J131" s="158">
        <f t="shared" ref="J131:J154" si="31">+I131-H131</f>
        <v>0</v>
      </c>
      <c r="K131" s="158"/>
      <c r="L131" s="334"/>
      <c r="M131" s="158">
        <f t="shared" ref="M131:M154" si="32">IF(L131&lt;&gt;0,+H131-L131,0)</f>
        <v>0</v>
      </c>
      <c r="N131" s="334"/>
      <c r="O131" s="158">
        <f t="shared" ref="O131:O154" si="33">IF(N131&lt;&gt;0,+I131-N131,0)</f>
        <v>0</v>
      </c>
      <c r="P131" s="158">
        <f t="shared" ref="P131:P154" si="34">+O131-M131</f>
        <v>0</v>
      </c>
      <c r="Q131" s="1"/>
    </row>
    <row r="132" spans="2:17">
      <c r="B132" s="9" t="str">
        <f t="shared" si="24"/>
        <v/>
      </c>
      <c r="C132" s="153">
        <f>IF(D93="","-",+C131+1)</f>
        <v>2041</v>
      </c>
      <c r="D132" s="154">
        <f>IF(F131+SUM(E$99:E131)=D$92,F131,D$92-SUM(E$99:E131))</f>
        <v>655944.17418901692</v>
      </c>
      <c r="E132" s="160">
        <f>IF(+J96&lt;F131,J96,D132)</f>
        <v>67150.666666666672</v>
      </c>
      <c r="F132" s="159">
        <f t="shared" si="29"/>
        <v>588793.50752235029</v>
      </c>
      <c r="G132" s="159">
        <f t="shared" si="30"/>
        <v>622368.84085568367</v>
      </c>
      <c r="H132" s="163">
        <f t="shared" si="27"/>
        <v>142750.71698249682</v>
      </c>
      <c r="I132" s="253">
        <f t="shared" si="28"/>
        <v>142750.71698249682</v>
      </c>
      <c r="J132" s="158">
        <f t="shared" si="31"/>
        <v>0</v>
      </c>
      <c r="K132" s="158"/>
      <c r="L132" s="334"/>
      <c r="M132" s="158">
        <f t="shared" si="32"/>
        <v>0</v>
      </c>
      <c r="N132" s="334"/>
      <c r="O132" s="158">
        <f t="shared" si="33"/>
        <v>0</v>
      </c>
      <c r="P132" s="158">
        <f t="shared" si="34"/>
        <v>0</v>
      </c>
      <c r="Q132" s="1"/>
    </row>
    <row r="133" spans="2:17">
      <c r="B133" s="9" t="str">
        <f t="shared" si="24"/>
        <v/>
      </c>
      <c r="C133" s="153">
        <f>IF(D93="","-",+C132+1)</f>
        <v>2042</v>
      </c>
      <c r="D133" s="154">
        <f>IF(F132+SUM(E$99:E132)=D$92,F132,D$92-SUM(E$99:E132))</f>
        <v>588793.50752235029</v>
      </c>
      <c r="E133" s="160">
        <f>IF(+J96&lt;F132,J96,D133)</f>
        <v>67150.666666666672</v>
      </c>
      <c r="F133" s="159">
        <f t="shared" si="29"/>
        <v>521642.84085568361</v>
      </c>
      <c r="G133" s="159">
        <f t="shared" si="30"/>
        <v>555218.17418901692</v>
      </c>
      <c r="H133" s="163">
        <f t="shared" si="27"/>
        <v>134593.82761804562</v>
      </c>
      <c r="I133" s="253">
        <f t="shared" si="28"/>
        <v>134593.82761804562</v>
      </c>
      <c r="J133" s="158">
        <f t="shared" si="31"/>
        <v>0</v>
      </c>
      <c r="K133" s="158"/>
      <c r="L133" s="334"/>
      <c r="M133" s="158">
        <f t="shared" si="32"/>
        <v>0</v>
      </c>
      <c r="N133" s="334"/>
      <c r="O133" s="158">
        <f t="shared" si="33"/>
        <v>0</v>
      </c>
      <c r="P133" s="158">
        <f t="shared" si="34"/>
        <v>0</v>
      </c>
      <c r="Q133" s="1"/>
    </row>
    <row r="134" spans="2:17">
      <c r="B134" s="9" t="str">
        <f t="shared" si="24"/>
        <v/>
      </c>
      <c r="C134" s="153">
        <f>IF(D93="","-",+C133+1)</f>
        <v>2043</v>
      </c>
      <c r="D134" s="154">
        <f>IF(F133+SUM(E$99:E133)=D$92,F133,D$92-SUM(E$99:E133))</f>
        <v>521642.84085568361</v>
      </c>
      <c r="E134" s="160">
        <f>IF(+J96&lt;F133,J96,D134)</f>
        <v>67150.666666666672</v>
      </c>
      <c r="F134" s="159">
        <f t="shared" si="29"/>
        <v>454492.17418901692</v>
      </c>
      <c r="G134" s="159">
        <f t="shared" si="30"/>
        <v>488067.50752235029</v>
      </c>
      <c r="H134" s="163">
        <f t="shared" si="27"/>
        <v>126436.93825359445</v>
      </c>
      <c r="I134" s="253">
        <f t="shared" si="28"/>
        <v>126436.93825359445</v>
      </c>
      <c r="J134" s="158">
        <f t="shared" si="31"/>
        <v>0</v>
      </c>
      <c r="K134" s="158"/>
      <c r="L134" s="334"/>
      <c r="M134" s="158">
        <f t="shared" si="32"/>
        <v>0</v>
      </c>
      <c r="N134" s="334"/>
      <c r="O134" s="158">
        <f t="shared" si="33"/>
        <v>0</v>
      </c>
      <c r="P134" s="158">
        <f t="shared" si="34"/>
        <v>0</v>
      </c>
      <c r="Q134" s="1"/>
    </row>
    <row r="135" spans="2:17">
      <c r="B135" s="9" t="str">
        <f t="shared" si="24"/>
        <v/>
      </c>
      <c r="C135" s="153">
        <f>IF(D93="","-",+C134+1)</f>
        <v>2044</v>
      </c>
      <c r="D135" s="154">
        <f>IF(F134+SUM(E$99:E134)=D$92,F134,D$92-SUM(E$99:E134))</f>
        <v>454492.17418901692</v>
      </c>
      <c r="E135" s="160">
        <f>IF(+J96&lt;F134,J96,D135)</f>
        <v>67150.666666666672</v>
      </c>
      <c r="F135" s="159">
        <f t="shared" si="29"/>
        <v>387341.50752235024</v>
      </c>
      <c r="G135" s="159">
        <f t="shared" si="30"/>
        <v>420916.84085568355</v>
      </c>
      <c r="H135" s="163">
        <f t="shared" si="27"/>
        <v>118280.04888914325</v>
      </c>
      <c r="I135" s="253">
        <f t="shared" si="28"/>
        <v>118280.04888914325</v>
      </c>
      <c r="J135" s="158">
        <f t="shared" si="31"/>
        <v>0</v>
      </c>
      <c r="K135" s="158"/>
      <c r="L135" s="334"/>
      <c r="M135" s="158">
        <f t="shared" si="32"/>
        <v>0</v>
      </c>
      <c r="N135" s="334"/>
      <c r="O135" s="158">
        <f t="shared" si="33"/>
        <v>0</v>
      </c>
      <c r="P135" s="158">
        <f t="shared" si="34"/>
        <v>0</v>
      </c>
      <c r="Q135" s="1"/>
    </row>
    <row r="136" spans="2:17">
      <c r="B136" s="9" t="str">
        <f t="shared" si="24"/>
        <v/>
      </c>
      <c r="C136" s="153">
        <f>IF(D93="","-",+C135+1)</f>
        <v>2045</v>
      </c>
      <c r="D136" s="154">
        <f>IF(F135+SUM(E$99:E135)=D$92,F135,D$92-SUM(E$99:E135))</f>
        <v>387341.50752235024</v>
      </c>
      <c r="E136" s="160">
        <f>IF(+J96&lt;F135,J96,D136)</f>
        <v>67150.666666666672</v>
      </c>
      <c r="F136" s="159">
        <f t="shared" si="29"/>
        <v>320190.84085568355</v>
      </c>
      <c r="G136" s="159">
        <f t="shared" si="30"/>
        <v>353766.17418901692</v>
      </c>
      <c r="H136" s="163">
        <f t="shared" si="27"/>
        <v>110123.15952469206</v>
      </c>
      <c r="I136" s="253">
        <f t="shared" si="28"/>
        <v>110123.15952469206</v>
      </c>
      <c r="J136" s="158">
        <f t="shared" si="31"/>
        <v>0</v>
      </c>
      <c r="K136" s="158"/>
      <c r="L136" s="334"/>
      <c r="M136" s="158">
        <f t="shared" si="32"/>
        <v>0</v>
      </c>
      <c r="N136" s="334"/>
      <c r="O136" s="158">
        <f t="shared" si="33"/>
        <v>0</v>
      </c>
      <c r="P136" s="158">
        <f t="shared" si="34"/>
        <v>0</v>
      </c>
      <c r="Q136" s="1"/>
    </row>
    <row r="137" spans="2:17">
      <c r="B137" s="9" t="str">
        <f t="shared" si="24"/>
        <v/>
      </c>
      <c r="C137" s="153">
        <f>IF(D93="","-",+C136+1)</f>
        <v>2046</v>
      </c>
      <c r="D137" s="154">
        <f>IF(F136+SUM(E$99:E136)=D$92,F136,D$92-SUM(E$99:E136))</f>
        <v>320190.84085568355</v>
      </c>
      <c r="E137" s="160">
        <f>IF(+J96&lt;F136,J96,D137)</f>
        <v>67150.666666666672</v>
      </c>
      <c r="F137" s="159">
        <f t="shared" si="29"/>
        <v>253040.17418901686</v>
      </c>
      <c r="G137" s="159">
        <f t="shared" si="30"/>
        <v>286615.50752235018</v>
      </c>
      <c r="H137" s="163">
        <f t="shared" si="27"/>
        <v>101966.27016024088</v>
      </c>
      <c r="I137" s="253">
        <f t="shared" si="28"/>
        <v>101966.27016024088</v>
      </c>
      <c r="J137" s="158">
        <f t="shared" si="31"/>
        <v>0</v>
      </c>
      <c r="K137" s="158"/>
      <c r="L137" s="334"/>
      <c r="M137" s="158">
        <f t="shared" si="32"/>
        <v>0</v>
      </c>
      <c r="N137" s="334"/>
      <c r="O137" s="158">
        <f t="shared" si="33"/>
        <v>0</v>
      </c>
      <c r="P137" s="158">
        <f t="shared" si="34"/>
        <v>0</v>
      </c>
      <c r="Q137" s="1"/>
    </row>
    <row r="138" spans="2:17">
      <c r="B138" s="9" t="str">
        <f t="shared" si="24"/>
        <v/>
      </c>
      <c r="C138" s="153">
        <f>IF(D93="","-",+C137+1)</f>
        <v>2047</v>
      </c>
      <c r="D138" s="154">
        <f>IF(F137+SUM(E$99:E137)=D$92,F137,D$92-SUM(E$99:E137))</f>
        <v>253040.17418901686</v>
      </c>
      <c r="E138" s="160">
        <f>IF(+J96&lt;F137,J96,D138)</f>
        <v>67150.666666666672</v>
      </c>
      <c r="F138" s="159">
        <f t="shared" si="29"/>
        <v>185889.50752235018</v>
      </c>
      <c r="G138" s="159">
        <f t="shared" si="30"/>
        <v>219464.84085568352</v>
      </c>
      <c r="H138" s="163">
        <f t="shared" si="27"/>
        <v>93809.380795789693</v>
      </c>
      <c r="I138" s="253">
        <f t="shared" si="28"/>
        <v>93809.380795789693</v>
      </c>
      <c r="J138" s="158">
        <f t="shared" si="31"/>
        <v>0</v>
      </c>
      <c r="K138" s="158"/>
      <c r="L138" s="334"/>
      <c r="M138" s="158">
        <f t="shared" si="32"/>
        <v>0</v>
      </c>
      <c r="N138" s="334"/>
      <c r="O138" s="158">
        <f t="shared" si="33"/>
        <v>0</v>
      </c>
      <c r="P138" s="158">
        <f t="shared" si="34"/>
        <v>0</v>
      </c>
      <c r="Q138" s="1"/>
    </row>
    <row r="139" spans="2:17">
      <c r="B139" s="9" t="str">
        <f t="shared" si="24"/>
        <v/>
      </c>
      <c r="C139" s="153">
        <f>IF(D93="","-",+C138+1)</f>
        <v>2048</v>
      </c>
      <c r="D139" s="154">
        <f>IF(F138+SUM(E$99:E138)=D$92,F138,D$92-SUM(E$99:E138))</f>
        <v>185889.50752235018</v>
      </c>
      <c r="E139" s="160">
        <f>IF(+J96&lt;F138,J96,D139)</f>
        <v>67150.666666666672</v>
      </c>
      <c r="F139" s="159">
        <f t="shared" si="29"/>
        <v>118738.84085568351</v>
      </c>
      <c r="G139" s="159">
        <f t="shared" si="30"/>
        <v>152314.17418901683</v>
      </c>
      <c r="H139" s="163">
        <f t="shared" si="27"/>
        <v>85652.491431338509</v>
      </c>
      <c r="I139" s="253">
        <f t="shared" si="28"/>
        <v>85652.491431338509</v>
      </c>
      <c r="J139" s="158">
        <f t="shared" si="31"/>
        <v>0</v>
      </c>
      <c r="K139" s="158"/>
      <c r="L139" s="334"/>
      <c r="M139" s="158">
        <f t="shared" si="32"/>
        <v>0</v>
      </c>
      <c r="N139" s="334"/>
      <c r="O139" s="158">
        <f t="shared" si="33"/>
        <v>0</v>
      </c>
      <c r="P139" s="158">
        <f t="shared" si="34"/>
        <v>0</v>
      </c>
      <c r="Q139" s="1"/>
    </row>
    <row r="140" spans="2:17">
      <c r="B140" s="9" t="str">
        <f t="shared" si="24"/>
        <v/>
      </c>
      <c r="C140" s="153">
        <f>IF(D93="","-",+C139+1)</f>
        <v>2049</v>
      </c>
      <c r="D140" s="154">
        <f>IF(F139+SUM(E$99:E139)=D$92,F139,D$92-SUM(E$99:E139))</f>
        <v>118738.84085568351</v>
      </c>
      <c r="E140" s="160">
        <f>IF(+J96&lt;F139,J96,D140)</f>
        <v>67150.666666666672</v>
      </c>
      <c r="F140" s="159">
        <f t="shared" si="29"/>
        <v>51588.174189016834</v>
      </c>
      <c r="G140" s="159">
        <f t="shared" si="30"/>
        <v>85163.507522350177</v>
      </c>
      <c r="H140" s="163">
        <f t="shared" si="27"/>
        <v>77495.602066887324</v>
      </c>
      <c r="I140" s="253">
        <f t="shared" si="28"/>
        <v>77495.602066887324</v>
      </c>
      <c r="J140" s="158">
        <f t="shared" si="31"/>
        <v>0</v>
      </c>
      <c r="K140" s="158"/>
      <c r="L140" s="334"/>
      <c r="M140" s="158">
        <f t="shared" si="32"/>
        <v>0</v>
      </c>
      <c r="N140" s="334"/>
      <c r="O140" s="158">
        <f t="shared" si="33"/>
        <v>0</v>
      </c>
      <c r="P140" s="158">
        <f t="shared" si="34"/>
        <v>0</v>
      </c>
      <c r="Q140" s="1"/>
    </row>
    <row r="141" spans="2:17">
      <c r="B141" s="9" t="str">
        <f t="shared" si="24"/>
        <v/>
      </c>
      <c r="C141" s="153">
        <f>IF(D93="","-",+C140+1)</f>
        <v>2050</v>
      </c>
      <c r="D141" s="154">
        <f>IF(F140+SUM(E$99:E140)=D$92,F140,D$92-SUM(E$99:E140))</f>
        <v>51588.174189016834</v>
      </c>
      <c r="E141" s="160">
        <f>IF(+J96&lt;F140,J96,D141)</f>
        <v>51588.174189016834</v>
      </c>
      <c r="F141" s="159">
        <f t="shared" si="29"/>
        <v>0</v>
      </c>
      <c r="G141" s="159">
        <f t="shared" si="30"/>
        <v>25794.087094508417</v>
      </c>
      <c r="H141" s="163">
        <f t="shared" si="27"/>
        <v>54721.419548014361</v>
      </c>
      <c r="I141" s="253">
        <f t="shared" si="28"/>
        <v>54721.419548014361</v>
      </c>
      <c r="J141" s="158">
        <f t="shared" si="31"/>
        <v>0</v>
      </c>
      <c r="K141" s="158"/>
      <c r="L141" s="334"/>
      <c r="M141" s="158">
        <f t="shared" si="32"/>
        <v>0</v>
      </c>
      <c r="N141" s="334"/>
      <c r="O141" s="158">
        <f t="shared" si="33"/>
        <v>0</v>
      </c>
      <c r="P141" s="158">
        <f t="shared" si="34"/>
        <v>0</v>
      </c>
      <c r="Q141" s="1"/>
    </row>
    <row r="142" spans="2:17">
      <c r="B142" s="9" t="str">
        <f t="shared" si="24"/>
        <v/>
      </c>
      <c r="C142" s="153">
        <f>IF(D93="","-",+C141+1)</f>
        <v>2051</v>
      </c>
      <c r="D142" s="154">
        <f>IF(F141+SUM(E$99:E141)=D$92,F141,D$92-SUM(E$99:E141))</f>
        <v>0</v>
      </c>
      <c r="E142" s="160">
        <f>IF(+J96&lt;F141,J96,D142)</f>
        <v>0</v>
      </c>
      <c r="F142" s="159">
        <f t="shared" si="29"/>
        <v>0</v>
      </c>
      <c r="G142" s="159">
        <f t="shared" si="30"/>
        <v>0</v>
      </c>
      <c r="H142" s="163">
        <f t="shared" si="27"/>
        <v>0</v>
      </c>
      <c r="I142" s="253">
        <f t="shared" si="28"/>
        <v>0</v>
      </c>
      <c r="J142" s="158">
        <f t="shared" si="31"/>
        <v>0</v>
      </c>
      <c r="K142" s="158"/>
      <c r="L142" s="334"/>
      <c r="M142" s="158">
        <f t="shared" si="32"/>
        <v>0</v>
      </c>
      <c r="N142" s="334"/>
      <c r="O142" s="158">
        <f t="shared" si="33"/>
        <v>0</v>
      </c>
      <c r="P142" s="158">
        <f t="shared" si="34"/>
        <v>0</v>
      </c>
      <c r="Q142" s="1"/>
    </row>
    <row r="143" spans="2:17">
      <c r="B143" s="9" t="str">
        <f t="shared" si="24"/>
        <v/>
      </c>
      <c r="C143" s="153">
        <f>IF(D93="","-",+C142+1)</f>
        <v>2052</v>
      </c>
      <c r="D143" s="154">
        <f>IF(F142+SUM(E$99:E142)=D$92,F142,D$92-SUM(E$99:E142))</f>
        <v>0</v>
      </c>
      <c r="E143" s="160">
        <f>IF(+J96&lt;F142,J96,D143)</f>
        <v>0</v>
      </c>
      <c r="F143" s="159">
        <f t="shared" si="29"/>
        <v>0</v>
      </c>
      <c r="G143" s="159">
        <f t="shared" si="30"/>
        <v>0</v>
      </c>
      <c r="H143" s="163">
        <f t="shared" si="27"/>
        <v>0</v>
      </c>
      <c r="I143" s="253">
        <f t="shared" si="28"/>
        <v>0</v>
      </c>
      <c r="J143" s="158">
        <f t="shared" si="31"/>
        <v>0</v>
      </c>
      <c r="K143" s="158"/>
      <c r="L143" s="334"/>
      <c r="M143" s="158">
        <f t="shared" si="32"/>
        <v>0</v>
      </c>
      <c r="N143" s="334"/>
      <c r="O143" s="158">
        <f t="shared" si="33"/>
        <v>0</v>
      </c>
      <c r="P143" s="158">
        <f t="shared" si="34"/>
        <v>0</v>
      </c>
      <c r="Q143" s="1"/>
    </row>
    <row r="144" spans="2:17">
      <c r="B144" s="9" t="str">
        <f t="shared" si="24"/>
        <v/>
      </c>
      <c r="C144" s="153">
        <f>IF(D93="","-",+C143+1)</f>
        <v>2053</v>
      </c>
      <c r="D144" s="154">
        <f>IF(F143+SUM(E$99:E143)=D$92,F143,D$92-SUM(E$99:E143))</f>
        <v>0</v>
      </c>
      <c r="E144" s="160">
        <f>IF(+J96&lt;F143,J96,D144)</f>
        <v>0</v>
      </c>
      <c r="F144" s="159">
        <f t="shared" si="29"/>
        <v>0</v>
      </c>
      <c r="G144" s="159">
        <f t="shared" si="30"/>
        <v>0</v>
      </c>
      <c r="H144" s="163">
        <f t="shared" si="27"/>
        <v>0</v>
      </c>
      <c r="I144" s="253">
        <f t="shared" si="28"/>
        <v>0</v>
      </c>
      <c r="J144" s="158">
        <f t="shared" si="31"/>
        <v>0</v>
      </c>
      <c r="K144" s="158"/>
      <c r="L144" s="334"/>
      <c r="M144" s="158">
        <f t="shared" si="32"/>
        <v>0</v>
      </c>
      <c r="N144" s="334"/>
      <c r="O144" s="158">
        <f t="shared" si="33"/>
        <v>0</v>
      </c>
      <c r="P144" s="158">
        <f t="shared" si="34"/>
        <v>0</v>
      </c>
      <c r="Q144" s="1"/>
    </row>
    <row r="145" spans="2:17">
      <c r="B145" s="9" t="str">
        <f t="shared" si="24"/>
        <v/>
      </c>
      <c r="C145" s="153">
        <f>IF(D93="","-",+C144+1)</f>
        <v>2054</v>
      </c>
      <c r="D145" s="154">
        <f>IF(F144+SUM(E$99:E144)=D$92,F144,D$92-SUM(E$99:E144))</f>
        <v>0</v>
      </c>
      <c r="E145" s="160">
        <f>IF(+J96&lt;F144,J96,D145)</f>
        <v>0</v>
      </c>
      <c r="F145" s="159">
        <f t="shared" si="29"/>
        <v>0</v>
      </c>
      <c r="G145" s="159">
        <f t="shared" si="30"/>
        <v>0</v>
      </c>
      <c r="H145" s="163">
        <f t="shared" si="27"/>
        <v>0</v>
      </c>
      <c r="I145" s="253">
        <f t="shared" si="28"/>
        <v>0</v>
      </c>
      <c r="J145" s="158">
        <f t="shared" si="31"/>
        <v>0</v>
      </c>
      <c r="K145" s="158"/>
      <c r="L145" s="334"/>
      <c r="M145" s="158">
        <f t="shared" si="32"/>
        <v>0</v>
      </c>
      <c r="N145" s="334"/>
      <c r="O145" s="158">
        <f t="shared" si="33"/>
        <v>0</v>
      </c>
      <c r="P145" s="158">
        <f t="shared" si="34"/>
        <v>0</v>
      </c>
      <c r="Q145" s="1"/>
    </row>
    <row r="146" spans="2:17">
      <c r="B146" s="9" t="str">
        <f t="shared" si="24"/>
        <v/>
      </c>
      <c r="C146" s="153">
        <f>IF(D93="","-",+C145+1)</f>
        <v>2055</v>
      </c>
      <c r="D146" s="154">
        <f>IF(F145+SUM(E$99:E145)=D$92,F145,D$92-SUM(E$99:E145))</f>
        <v>0</v>
      </c>
      <c r="E146" s="160">
        <f>IF(+J96&lt;F145,J96,D146)</f>
        <v>0</v>
      </c>
      <c r="F146" s="159">
        <f t="shared" si="29"/>
        <v>0</v>
      </c>
      <c r="G146" s="159">
        <f t="shared" si="30"/>
        <v>0</v>
      </c>
      <c r="H146" s="163">
        <f t="shared" si="27"/>
        <v>0</v>
      </c>
      <c r="I146" s="253">
        <f t="shared" si="28"/>
        <v>0</v>
      </c>
      <c r="J146" s="158">
        <f t="shared" si="31"/>
        <v>0</v>
      </c>
      <c r="K146" s="158"/>
      <c r="L146" s="334"/>
      <c r="M146" s="158">
        <f t="shared" si="32"/>
        <v>0</v>
      </c>
      <c r="N146" s="334"/>
      <c r="O146" s="158">
        <f t="shared" si="33"/>
        <v>0</v>
      </c>
      <c r="P146" s="158">
        <f t="shared" si="34"/>
        <v>0</v>
      </c>
      <c r="Q146" s="1"/>
    </row>
    <row r="147" spans="2:17">
      <c r="B147" s="9" t="str">
        <f t="shared" si="24"/>
        <v/>
      </c>
      <c r="C147" s="153">
        <f>IF(D93="","-",+C146+1)</f>
        <v>2056</v>
      </c>
      <c r="D147" s="154">
        <f>IF(F146+SUM(E$99:E146)=D$92,F146,D$92-SUM(E$99:E146))</f>
        <v>0</v>
      </c>
      <c r="E147" s="160">
        <f>IF(+J96&lt;F146,J96,D147)</f>
        <v>0</v>
      </c>
      <c r="F147" s="159">
        <f t="shared" si="29"/>
        <v>0</v>
      </c>
      <c r="G147" s="159">
        <f t="shared" si="30"/>
        <v>0</v>
      </c>
      <c r="H147" s="163">
        <f t="shared" si="27"/>
        <v>0</v>
      </c>
      <c r="I147" s="253">
        <f t="shared" si="28"/>
        <v>0</v>
      </c>
      <c r="J147" s="158">
        <f t="shared" si="31"/>
        <v>0</v>
      </c>
      <c r="K147" s="158"/>
      <c r="L147" s="334"/>
      <c r="M147" s="158">
        <f t="shared" si="32"/>
        <v>0</v>
      </c>
      <c r="N147" s="334"/>
      <c r="O147" s="158">
        <f t="shared" si="33"/>
        <v>0</v>
      </c>
      <c r="P147" s="158">
        <f t="shared" si="34"/>
        <v>0</v>
      </c>
      <c r="Q147" s="1"/>
    </row>
    <row r="148" spans="2:17">
      <c r="B148" s="9" t="str">
        <f t="shared" si="24"/>
        <v/>
      </c>
      <c r="C148" s="153">
        <f>IF(D93="","-",+C147+1)</f>
        <v>2057</v>
      </c>
      <c r="D148" s="154">
        <f>IF(F147+SUM(E$99:E147)=D$92,F147,D$92-SUM(E$99:E147))</f>
        <v>0</v>
      </c>
      <c r="E148" s="160">
        <f>IF(+J96&lt;F147,J96,D148)</f>
        <v>0</v>
      </c>
      <c r="F148" s="159">
        <f t="shared" si="29"/>
        <v>0</v>
      </c>
      <c r="G148" s="159">
        <f t="shared" si="30"/>
        <v>0</v>
      </c>
      <c r="H148" s="163">
        <f t="shared" si="27"/>
        <v>0</v>
      </c>
      <c r="I148" s="253">
        <f t="shared" si="28"/>
        <v>0</v>
      </c>
      <c r="J148" s="158">
        <f t="shared" si="31"/>
        <v>0</v>
      </c>
      <c r="K148" s="158"/>
      <c r="L148" s="334"/>
      <c r="M148" s="158">
        <f t="shared" si="32"/>
        <v>0</v>
      </c>
      <c r="N148" s="334"/>
      <c r="O148" s="158">
        <f t="shared" si="33"/>
        <v>0</v>
      </c>
      <c r="P148" s="158">
        <f t="shared" si="34"/>
        <v>0</v>
      </c>
      <c r="Q148" s="1"/>
    </row>
    <row r="149" spans="2:17">
      <c r="B149" s="9" t="str">
        <f t="shared" si="24"/>
        <v/>
      </c>
      <c r="C149" s="153">
        <f>IF(D93="","-",+C148+1)</f>
        <v>2058</v>
      </c>
      <c r="D149" s="154">
        <f>IF(F148+SUM(E$99:E148)=D$92,F148,D$92-SUM(E$99:E148))</f>
        <v>0</v>
      </c>
      <c r="E149" s="160">
        <f>IF(+J96&lt;F148,J96,D149)</f>
        <v>0</v>
      </c>
      <c r="F149" s="159">
        <f t="shared" si="29"/>
        <v>0</v>
      </c>
      <c r="G149" s="159">
        <f t="shared" si="30"/>
        <v>0</v>
      </c>
      <c r="H149" s="163">
        <f t="shared" si="27"/>
        <v>0</v>
      </c>
      <c r="I149" s="253">
        <f t="shared" si="28"/>
        <v>0</v>
      </c>
      <c r="J149" s="158">
        <f t="shared" si="31"/>
        <v>0</v>
      </c>
      <c r="K149" s="158"/>
      <c r="L149" s="334"/>
      <c r="M149" s="158">
        <f t="shared" si="32"/>
        <v>0</v>
      </c>
      <c r="N149" s="334"/>
      <c r="O149" s="158">
        <f t="shared" si="33"/>
        <v>0</v>
      </c>
      <c r="P149" s="158">
        <f t="shared" si="34"/>
        <v>0</v>
      </c>
      <c r="Q149" s="1"/>
    </row>
    <row r="150" spans="2:17">
      <c r="B150" s="9" t="str">
        <f t="shared" si="24"/>
        <v/>
      </c>
      <c r="C150" s="153">
        <f>IF(D93="","-",+C149+1)</f>
        <v>2059</v>
      </c>
      <c r="D150" s="154">
        <f>IF(F149+SUM(E$99:E149)=D$92,F149,D$92-SUM(E$99:E149))</f>
        <v>0</v>
      </c>
      <c r="E150" s="160">
        <f>IF(+J96&lt;F149,J96,D150)</f>
        <v>0</v>
      </c>
      <c r="F150" s="159">
        <f t="shared" si="29"/>
        <v>0</v>
      </c>
      <c r="G150" s="159">
        <f t="shared" si="30"/>
        <v>0</v>
      </c>
      <c r="H150" s="163">
        <f t="shared" si="27"/>
        <v>0</v>
      </c>
      <c r="I150" s="253">
        <f t="shared" si="28"/>
        <v>0</v>
      </c>
      <c r="J150" s="158">
        <f t="shared" si="31"/>
        <v>0</v>
      </c>
      <c r="K150" s="158"/>
      <c r="L150" s="334"/>
      <c r="M150" s="158">
        <f t="shared" si="32"/>
        <v>0</v>
      </c>
      <c r="N150" s="334"/>
      <c r="O150" s="158">
        <f t="shared" si="33"/>
        <v>0</v>
      </c>
      <c r="P150" s="158">
        <f t="shared" si="34"/>
        <v>0</v>
      </c>
      <c r="Q150" s="1"/>
    </row>
    <row r="151" spans="2:17">
      <c r="B151" s="9" t="str">
        <f t="shared" si="24"/>
        <v/>
      </c>
      <c r="C151" s="153">
        <f>IF(D93="","-",+C150+1)</f>
        <v>2060</v>
      </c>
      <c r="D151" s="154">
        <f>IF(F150+SUM(E$99:E150)=D$92,F150,D$92-SUM(E$99:E150))</f>
        <v>0</v>
      </c>
      <c r="E151" s="160">
        <f>IF(+J96&lt;F150,J96,D151)</f>
        <v>0</v>
      </c>
      <c r="F151" s="159">
        <f t="shared" si="29"/>
        <v>0</v>
      </c>
      <c r="G151" s="159">
        <f t="shared" si="30"/>
        <v>0</v>
      </c>
      <c r="H151" s="163">
        <f t="shared" si="27"/>
        <v>0</v>
      </c>
      <c r="I151" s="253">
        <f t="shared" si="28"/>
        <v>0</v>
      </c>
      <c r="J151" s="158">
        <f t="shared" si="31"/>
        <v>0</v>
      </c>
      <c r="K151" s="158"/>
      <c r="L151" s="334"/>
      <c r="M151" s="158">
        <f t="shared" si="32"/>
        <v>0</v>
      </c>
      <c r="N151" s="334"/>
      <c r="O151" s="158">
        <f t="shared" si="33"/>
        <v>0</v>
      </c>
      <c r="P151" s="158">
        <f t="shared" si="34"/>
        <v>0</v>
      </c>
      <c r="Q151" s="1"/>
    </row>
    <row r="152" spans="2:17">
      <c r="B152" s="9" t="str">
        <f t="shared" si="24"/>
        <v/>
      </c>
      <c r="C152" s="153">
        <f>IF(D93="","-",+C151+1)</f>
        <v>2061</v>
      </c>
      <c r="D152" s="154">
        <f>IF(F151+SUM(E$99:E151)=D$92,F151,D$92-SUM(E$99:E151))</f>
        <v>0</v>
      </c>
      <c r="E152" s="160">
        <f>IF(+J96&lt;F151,J96,D152)</f>
        <v>0</v>
      </c>
      <c r="F152" s="159">
        <f t="shared" si="29"/>
        <v>0</v>
      </c>
      <c r="G152" s="159">
        <f t="shared" si="30"/>
        <v>0</v>
      </c>
      <c r="H152" s="163">
        <f t="shared" si="27"/>
        <v>0</v>
      </c>
      <c r="I152" s="253">
        <f t="shared" si="28"/>
        <v>0</v>
      </c>
      <c r="J152" s="158">
        <f t="shared" si="31"/>
        <v>0</v>
      </c>
      <c r="K152" s="158"/>
      <c r="L152" s="334"/>
      <c r="M152" s="158">
        <f t="shared" si="32"/>
        <v>0</v>
      </c>
      <c r="N152" s="334"/>
      <c r="O152" s="158">
        <f t="shared" si="33"/>
        <v>0</v>
      </c>
      <c r="P152" s="158">
        <f t="shared" si="34"/>
        <v>0</v>
      </c>
      <c r="Q152" s="1"/>
    </row>
    <row r="153" spans="2:17">
      <c r="B153" s="9" t="str">
        <f t="shared" si="24"/>
        <v/>
      </c>
      <c r="C153" s="153">
        <f>IF(D93="","-",+C152+1)</f>
        <v>2062</v>
      </c>
      <c r="D153" s="154">
        <f>IF(F152+SUM(E$99:E152)=D$92,F152,D$92-SUM(E$99:E152))</f>
        <v>0</v>
      </c>
      <c r="E153" s="160">
        <f>IF(+J96&lt;F152,J96,D153)</f>
        <v>0</v>
      </c>
      <c r="F153" s="159">
        <f t="shared" si="29"/>
        <v>0</v>
      </c>
      <c r="G153" s="159">
        <f t="shared" si="30"/>
        <v>0</v>
      </c>
      <c r="H153" s="163">
        <f t="shared" si="27"/>
        <v>0</v>
      </c>
      <c r="I153" s="253">
        <f t="shared" si="28"/>
        <v>0</v>
      </c>
      <c r="J153" s="158">
        <f t="shared" si="31"/>
        <v>0</v>
      </c>
      <c r="K153" s="158"/>
      <c r="L153" s="334"/>
      <c r="M153" s="158">
        <f t="shared" si="32"/>
        <v>0</v>
      </c>
      <c r="N153" s="334"/>
      <c r="O153" s="158">
        <f t="shared" si="33"/>
        <v>0</v>
      </c>
      <c r="P153" s="158">
        <f t="shared" si="34"/>
        <v>0</v>
      </c>
      <c r="Q153" s="1"/>
    </row>
    <row r="154" spans="2:17" ht="13.5" thickBot="1">
      <c r="B154" s="9" t="str">
        <f t="shared" si="24"/>
        <v/>
      </c>
      <c r="C154" s="164">
        <f>IF(D93="","-",+C153+1)</f>
        <v>2063</v>
      </c>
      <c r="D154" s="215">
        <f>IF(F153+SUM(E$99:E153)=D$92,F153,D$92-SUM(E$99:E153))</f>
        <v>0</v>
      </c>
      <c r="E154" s="166">
        <f>IF(+J96&lt;F153,J96,D154)</f>
        <v>0</v>
      </c>
      <c r="F154" s="165">
        <f t="shared" si="29"/>
        <v>0</v>
      </c>
      <c r="G154" s="165">
        <f t="shared" si="30"/>
        <v>0</v>
      </c>
      <c r="H154" s="167">
        <f t="shared" si="27"/>
        <v>0</v>
      </c>
      <c r="I154" s="254">
        <f t="shared" si="28"/>
        <v>0</v>
      </c>
      <c r="J154" s="169">
        <f t="shared" si="31"/>
        <v>0</v>
      </c>
      <c r="K154" s="158"/>
      <c r="L154" s="335"/>
      <c r="M154" s="169">
        <f t="shared" si="32"/>
        <v>0</v>
      </c>
      <c r="N154" s="335"/>
      <c r="O154" s="169">
        <f t="shared" si="33"/>
        <v>0</v>
      </c>
      <c r="P154" s="169">
        <f t="shared" si="34"/>
        <v>0</v>
      </c>
      <c r="Q154" s="1"/>
    </row>
    <row r="155" spans="2:17">
      <c r="C155" s="154" t="s">
        <v>73</v>
      </c>
      <c r="D155" s="111"/>
      <c r="E155" s="111">
        <f>SUM(E99:E154)</f>
        <v>2820327.9999999986</v>
      </c>
      <c r="F155" s="111"/>
      <c r="G155" s="111"/>
      <c r="H155" s="111">
        <f>SUM(H99:H154)</f>
        <v>10372502.274938039</v>
      </c>
      <c r="I155" s="111">
        <f>SUM(I99:I154)</f>
        <v>10372502.274938039</v>
      </c>
      <c r="J155" s="111">
        <f>SUM(J99:J154)</f>
        <v>0</v>
      </c>
      <c r="K155" s="111"/>
      <c r="L155" s="111"/>
      <c r="M155" s="111"/>
      <c r="N155" s="111"/>
      <c r="O155" s="111"/>
      <c r="P155" s="1"/>
      <c r="Q155" s="1"/>
    </row>
    <row r="156" spans="2:17">
      <c r="D156" s="2"/>
      <c r="E156" s="1"/>
      <c r="F156" s="1"/>
      <c r="G156" s="1"/>
      <c r="H156" s="1"/>
      <c r="I156" s="3"/>
      <c r="J156" s="3"/>
      <c r="K156" s="111"/>
      <c r="L156" s="3"/>
      <c r="M156" s="3"/>
      <c r="N156" s="3"/>
      <c r="O156" s="3"/>
      <c r="P156" s="1"/>
      <c r="Q156" s="1"/>
    </row>
    <row r="157" spans="2:17">
      <c r="C157" s="216" t="s">
        <v>87</v>
      </c>
      <c r="D157" s="2"/>
      <c r="E157" s="1"/>
      <c r="F157" s="1"/>
      <c r="G157" s="1"/>
      <c r="H157" s="1"/>
      <c r="I157" s="3"/>
      <c r="J157" s="3"/>
      <c r="K157" s="111"/>
      <c r="L157" s="3"/>
      <c r="M157" s="3"/>
      <c r="N157" s="3"/>
      <c r="O157" s="3"/>
      <c r="P157" s="1"/>
      <c r="Q157" s="1"/>
    </row>
    <row r="158" spans="2:17">
      <c r="D158" s="2"/>
      <c r="E158" s="1"/>
      <c r="F158" s="1"/>
      <c r="G158" s="1"/>
      <c r="H158" s="1"/>
      <c r="I158" s="3"/>
      <c r="J158" s="3"/>
      <c r="K158" s="111"/>
      <c r="L158" s="3"/>
      <c r="M158" s="3"/>
      <c r="N158" s="3"/>
      <c r="O158" s="3"/>
      <c r="P158" s="1"/>
      <c r="Q158" s="1"/>
    </row>
    <row r="159" spans="2:17">
      <c r="C159" s="170" t="s">
        <v>92</v>
      </c>
      <c r="D159" s="154"/>
      <c r="E159" s="154"/>
      <c r="F159" s="154"/>
      <c r="G159" s="154"/>
      <c r="H159" s="111"/>
      <c r="I159" s="111"/>
      <c r="J159" s="171"/>
      <c r="K159" s="171"/>
      <c r="L159" s="171"/>
      <c r="M159" s="171"/>
      <c r="N159" s="171"/>
      <c r="O159" s="171"/>
      <c r="P159" s="1"/>
      <c r="Q159" s="1"/>
    </row>
    <row r="160" spans="2:17">
      <c r="C160" s="217" t="s">
        <v>74</v>
      </c>
      <c r="D160" s="154"/>
      <c r="E160" s="154"/>
      <c r="F160" s="154"/>
      <c r="G160" s="154"/>
      <c r="H160" s="111"/>
      <c r="I160" s="111"/>
      <c r="J160" s="171"/>
      <c r="K160" s="171"/>
      <c r="L160" s="171"/>
      <c r="M160" s="171"/>
      <c r="N160" s="171"/>
      <c r="O160" s="171"/>
      <c r="P160" s="1"/>
      <c r="Q160" s="1"/>
    </row>
    <row r="161" spans="3:17">
      <c r="C161" s="217" t="s">
        <v>75</v>
      </c>
      <c r="D161" s="154"/>
      <c r="E161" s="154"/>
      <c r="F161" s="154"/>
      <c r="G161" s="154"/>
      <c r="H161" s="111"/>
      <c r="I161" s="111"/>
      <c r="J161" s="171"/>
      <c r="K161" s="171"/>
      <c r="L161" s="171"/>
      <c r="M161" s="171"/>
      <c r="N161" s="171"/>
      <c r="O161" s="171"/>
      <c r="P161" s="1"/>
      <c r="Q161" s="1"/>
    </row>
    <row r="162" spans="3:17" ht="18">
      <c r="C162" s="217"/>
      <c r="D162" s="154"/>
      <c r="E162" s="154"/>
      <c r="F162" s="154"/>
      <c r="G162" s="154"/>
      <c r="H162" s="111"/>
      <c r="I162" s="111"/>
      <c r="J162" s="171"/>
      <c r="K162" s="171"/>
      <c r="L162" s="171"/>
      <c r="M162" s="171"/>
      <c r="N162" s="171"/>
      <c r="P162" s="237" t="s">
        <v>126</v>
      </c>
      <c r="Q162" s="1"/>
    </row>
  </sheetData>
  <phoneticPr fontId="0" type="noConversion"/>
  <conditionalFormatting sqref="C17:C72">
    <cfRule type="cellIs" dxfId="147" priority="1" stopIfTrue="1" operator="equal">
      <formula>$I$10</formula>
    </cfRule>
  </conditionalFormatting>
  <conditionalFormatting sqref="C99:C154">
    <cfRule type="cellIs" dxfId="146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>
    <tabColor indexed="8"/>
  </sheetPr>
  <dimension ref="A1:Q162"/>
  <sheetViews>
    <sheetView view="pageBreakPreview" zoomScale="86" zoomScaleNormal="100" zoomScaleSheetLayoutView="86" workbookViewId="0">
      <selection activeCell="C19" sqref="C19"/>
    </sheetView>
  </sheetViews>
  <sheetFormatPr defaultRowHeight="12.75" customHeight="1"/>
  <cols>
    <col min="1" max="1" width="4.7109375" customWidth="1"/>
    <col min="2" max="2" width="6.7109375" customWidth="1"/>
    <col min="3" max="3" width="23.28515625" customWidth="1"/>
    <col min="4" max="8" width="17.7109375" customWidth="1"/>
    <col min="9" max="9" width="20.42578125" customWidth="1"/>
    <col min="10" max="10" width="16.42578125" customWidth="1"/>
    <col min="11" max="11" width="17.7109375" customWidth="1"/>
    <col min="12" max="12" width="16.140625" customWidth="1"/>
    <col min="13" max="13" width="17.7109375" customWidth="1"/>
    <col min="14" max="14" width="16.140625" customWidth="1"/>
    <col min="15" max="15" width="16.85546875" customWidth="1"/>
    <col min="16" max="16" width="24.42578125" customWidth="1"/>
    <col min="17" max="17" width="4.7109375" customWidth="1"/>
    <col min="23" max="23" width="9.140625" customWidth="1"/>
  </cols>
  <sheetData>
    <row r="1" spans="1:17" ht="20.25">
      <c r="A1" s="243" t="s">
        <v>128</v>
      </c>
      <c r="B1" s="1"/>
      <c r="C1" s="21"/>
      <c r="D1" s="2"/>
      <c r="E1" s="1"/>
      <c r="F1" s="99"/>
      <c r="G1" s="1"/>
      <c r="H1" s="3"/>
      <c r="J1" s="7"/>
      <c r="K1" s="109"/>
      <c r="L1" s="109"/>
      <c r="M1" s="109"/>
      <c r="P1" s="249" t="str">
        <f ca="1">"SWEPCO Project "&amp;RIGHT(MID(CELL("filename",$A$1),FIND("]",CELL("filename",$A$1))+1,256),2)&amp;" of "&amp;COUNT('S.001:S.xyz - blank'!$P$3)-1</f>
        <v>SWEPCO Project 10 of 73</v>
      </c>
      <c r="Q1" s="108" t="s">
        <v>160</v>
      </c>
    </row>
    <row r="2" spans="1:17" ht="18">
      <c r="B2" s="1"/>
      <c r="C2" s="1"/>
      <c r="D2" s="2"/>
      <c r="E2" s="1"/>
      <c r="F2" s="1"/>
      <c r="G2" s="1"/>
      <c r="H2" s="3"/>
      <c r="I2" s="1"/>
      <c r="J2" s="4"/>
      <c r="K2" s="1"/>
      <c r="L2" s="1"/>
      <c r="M2" s="1"/>
      <c r="N2" s="1"/>
      <c r="P2" s="237" t="s">
        <v>124</v>
      </c>
    </row>
    <row r="3" spans="1:17" ht="18.75">
      <c r="B3" s="5" t="s">
        <v>40</v>
      </c>
      <c r="C3" s="68" t="s">
        <v>41</v>
      </c>
      <c r="D3" s="2"/>
      <c r="E3" s="1"/>
      <c r="F3" s="1"/>
      <c r="G3" s="1"/>
      <c r="H3" s="3"/>
      <c r="I3" s="3"/>
      <c r="J3" s="111"/>
      <c r="K3" s="3"/>
      <c r="L3" s="3"/>
      <c r="M3" s="3"/>
      <c r="N3" s="3"/>
      <c r="O3" s="1" t="str">
        <f>RIGHT(N3,3)</f>
        <v/>
      </c>
      <c r="P3" s="239">
        <v>1</v>
      </c>
    </row>
    <row r="4" spans="1:17" ht="15.75" thickBot="1">
      <c r="C4" s="67"/>
      <c r="D4" s="2"/>
      <c r="E4" s="1"/>
      <c r="F4" s="1"/>
      <c r="G4" s="1"/>
      <c r="H4" s="3"/>
      <c r="I4" s="3"/>
      <c r="J4" s="111"/>
      <c r="K4" s="3"/>
      <c r="L4" s="3"/>
      <c r="M4" s="3"/>
      <c r="N4" s="3"/>
      <c r="O4" s="1"/>
      <c r="P4" s="1"/>
    </row>
    <row r="5" spans="1:17" ht="15">
      <c r="C5" s="112" t="s">
        <v>42</v>
      </c>
      <c r="D5" s="2"/>
      <c r="E5" s="1"/>
      <c r="F5" s="1"/>
      <c r="G5" s="113"/>
      <c r="H5" s="1" t="s">
        <v>43</v>
      </c>
      <c r="I5" s="1"/>
      <c r="J5" s="4"/>
      <c r="K5" s="268" t="s">
        <v>152</v>
      </c>
      <c r="L5" s="114"/>
      <c r="M5" s="115"/>
      <c r="N5" s="116">
        <f>VLOOKUP(I10,C17:I72,5)</f>
        <v>0</v>
      </c>
      <c r="P5" s="1"/>
    </row>
    <row r="6" spans="1:17" ht="15.75">
      <c r="C6" s="8"/>
      <c r="D6" s="2"/>
      <c r="E6" s="1"/>
      <c r="F6" s="1"/>
      <c r="G6" s="1"/>
      <c r="H6" s="117"/>
      <c r="I6" s="117"/>
      <c r="J6" s="118"/>
      <c r="K6" s="269" t="s">
        <v>153</v>
      </c>
      <c r="L6" s="119"/>
      <c r="M6" s="4"/>
      <c r="N6" s="120">
        <f>VLOOKUP(I10,C17:I72,6)</f>
        <v>0</v>
      </c>
      <c r="O6" s="1"/>
      <c r="P6" s="1"/>
    </row>
    <row r="7" spans="1:17" ht="13.5" thickBot="1">
      <c r="C7" s="121" t="s">
        <v>44</v>
      </c>
      <c r="D7" s="273" t="s">
        <v>226</v>
      </c>
      <c r="E7" s="1"/>
      <c r="F7" s="1"/>
      <c r="G7" s="170"/>
      <c r="H7" s="3"/>
      <c r="I7" s="3"/>
      <c r="J7" s="111"/>
      <c r="K7" s="122" t="s">
        <v>45</v>
      </c>
      <c r="L7" s="123"/>
      <c r="M7" s="123"/>
      <c r="N7" s="124">
        <f>+N6-N5</f>
        <v>0</v>
      </c>
      <c r="O7" s="1"/>
      <c r="P7" s="1"/>
    </row>
    <row r="8" spans="1:17" ht="13.5" thickBot="1">
      <c r="C8" s="125"/>
      <c r="D8" s="250" t="str">
        <f>IF(D10&lt;100000,"DOES NOT MEET SPP $100,000 MINIMUM INVESTMENT FOR REGIONAL BPU SHARING.","")</f>
        <v>DOES NOT MEET SPP $100,000 MINIMUM INVESTMENT FOR REGIONAL BPU SHARING.</v>
      </c>
      <c r="E8" s="126"/>
      <c r="F8" s="126"/>
      <c r="G8" s="126"/>
      <c r="H8" s="126"/>
      <c r="I8" s="126"/>
      <c r="J8" s="101"/>
      <c r="K8" s="126"/>
      <c r="L8" s="126"/>
      <c r="M8" s="126"/>
      <c r="N8" s="126"/>
      <c r="O8" s="101"/>
      <c r="P8" s="21"/>
    </row>
    <row r="9" spans="1:17" ht="13.5" thickBot="1">
      <c r="A9" s="103"/>
      <c r="C9" s="127" t="s">
        <v>46</v>
      </c>
      <c r="D9" s="225" t="s">
        <v>137</v>
      </c>
      <c r="E9" s="401" t="s">
        <v>405</v>
      </c>
      <c r="F9" s="128"/>
      <c r="G9" s="128"/>
      <c r="H9" s="128"/>
      <c r="I9" s="129"/>
      <c r="J9" s="130"/>
      <c r="O9" s="131"/>
      <c r="P9" s="4"/>
    </row>
    <row r="10" spans="1:17">
      <c r="C10" s="132" t="s">
        <v>47</v>
      </c>
      <c r="D10" s="133">
        <v>0</v>
      </c>
      <c r="E10" s="61" t="s">
        <v>459</v>
      </c>
      <c r="F10" s="131"/>
      <c r="G10" s="134"/>
      <c r="H10" s="134"/>
      <c r="I10" s="135">
        <f>+SWE.WS.F.BPU.ATRR.Projected!K17</f>
        <v>2019</v>
      </c>
      <c r="J10" s="130"/>
      <c r="K10" s="111" t="s">
        <v>48</v>
      </c>
      <c r="O10" s="4"/>
      <c r="P10" s="4"/>
    </row>
    <row r="11" spans="1:17">
      <c r="C11" s="136" t="s">
        <v>49</v>
      </c>
      <c r="D11" s="137">
        <v>2008</v>
      </c>
      <c r="E11" s="136" t="s">
        <v>50</v>
      </c>
      <c r="F11" s="134"/>
      <c r="G11" s="7"/>
      <c r="H11" s="7"/>
      <c r="I11" s="138">
        <v>0</v>
      </c>
      <c r="J11" s="139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4"/>
      <c r="P11" s="4"/>
    </row>
    <row r="12" spans="1:17">
      <c r="C12" s="136" t="s">
        <v>51</v>
      </c>
      <c r="D12" s="133">
        <v>11</v>
      </c>
      <c r="E12" s="136" t="s">
        <v>52</v>
      </c>
      <c r="F12" s="134"/>
      <c r="G12" s="7"/>
      <c r="H12" s="7"/>
      <c r="I12" s="140">
        <f>SWE.WS.F.BPU.ATRR.Projected!$F$76</f>
        <v>9.9555672459071778E-2</v>
      </c>
      <c r="J12" s="141"/>
      <c r="K12" t="s">
        <v>53</v>
      </c>
      <c r="O12" s="4"/>
      <c r="P12" s="4"/>
    </row>
    <row r="13" spans="1:17">
      <c r="C13" s="136" t="s">
        <v>54</v>
      </c>
      <c r="D13" s="138">
        <f>+SWE.WS.F.BPU.ATRR.Projected!F$87</f>
        <v>43</v>
      </c>
      <c r="E13" s="136" t="s">
        <v>55</v>
      </c>
      <c r="F13" s="134"/>
      <c r="G13" s="7"/>
      <c r="H13" s="7"/>
      <c r="I13" s="140">
        <f>IF(G5="",I12,SWE.WS.F.BPU.ATRR.Projected!$F$75)</f>
        <v>9.9555672459071778E-2</v>
      </c>
      <c r="J13" s="141"/>
      <c r="K13" s="111" t="s">
        <v>56</v>
      </c>
      <c r="L13" s="58"/>
      <c r="M13" s="58"/>
      <c r="N13" s="58"/>
      <c r="O13" s="4"/>
      <c r="P13" s="4"/>
    </row>
    <row r="14" spans="1:17" ht="13.5" thickBot="1">
      <c r="C14" s="136" t="s">
        <v>57</v>
      </c>
      <c r="D14" s="137" t="s">
        <v>58</v>
      </c>
      <c r="E14" s="4" t="s">
        <v>59</v>
      </c>
      <c r="F14" s="134"/>
      <c r="G14" s="7"/>
      <c r="H14" s="7"/>
      <c r="I14" s="142">
        <f>IF(D10=0,0,D10/D13)</f>
        <v>0</v>
      </c>
      <c r="J14" s="111"/>
      <c r="K14" s="111"/>
      <c r="L14" s="111"/>
      <c r="M14" s="111"/>
      <c r="N14" s="111"/>
      <c r="O14" s="4"/>
      <c r="P14" s="4"/>
    </row>
    <row r="15" spans="1:17" ht="38.25">
      <c r="C15" s="143" t="s">
        <v>47</v>
      </c>
      <c r="D15" s="144" t="s">
        <v>60</v>
      </c>
      <c r="E15" s="144" t="s">
        <v>61</v>
      </c>
      <c r="F15" s="144" t="s">
        <v>62</v>
      </c>
      <c r="G15" s="434" t="s">
        <v>378</v>
      </c>
      <c r="H15" s="435" t="s">
        <v>379</v>
      </c>
      <c r="I15" s="351" t="s">
        <v>249</v>
      </c>
      <c r="J15" s="145"/>
      <c r="K15" s="271" t="s">
        <v>219</v>
      </c>
      <c r="L15" s="146" t="s">
        <v>64</v>
      </c>
      <c r="M15" s="271" t="s">
        <v>219</v>
      </c>
      <c r="N15" s="146" t="s">
        <v>64</v>
      </c>
      <c r="O15" s="146" t="s">
        <v>65</v>
      </c>
      <c r="P15" s="4"/>
    </row>
    <row r="16" spans="1:17" ht="13.5" thickBot="1">
      <c r="C16" s="147" t="s">
        <v>66</v>
      </c>
      <c r="D16" s="147" t="s">
        <v>67</v>
      </c>
      <c r="E16" s="147" t="s">
        <v>68</v>
      </c>
      <c r="F16" s="147" t="s">
        <v>67</v>
      </c>
      <c r="G16" s="408" t="s">
        <v>69</v>
      </c>
      <c r="H16" s="148" t="s">
        <v>70</v>
      </c>
      <c r="I16" s="149" t="s">
        <v>89</v>
      </c>
      <c r="J16" s="150" t="s">
        <v>71</v>
      </c>
      <c r="K16" s="151" t="s">
        <v>72</v>
      </c>
      <c r="L16" s="151" t="s">
        <v>72</v>
      </c>
      <c r="M16" s="151" t="s">
        <v>90</v>
      </c>
      <c r="N16" s="152" t="s">
        <v>90</v>
      </c>
      <c r="O16" s="151" t="s">
        <v>90</v>
      </c>
      <c r="P16" s="4"/>
    </row>
    <row r="17" spans="2:16">
      <c r="C17" s="153">
        <f>IF(D11= "","-",D11)</f>
        <v>2008</v>
      </c>
      <c r="D17" s="154">
        <f>D10</f>
        <v>0</v>
      </c>
      <c r="E17" s="155">
        <f>I14/12*(12-D12)</f>
        <v>0</v>
      </c>
      <c r="F17" s="154">
        <f t="shared" ref="F17:F48" si="0">+D17-E17</f>
        <v>0</v>
      </c>
      <c r="G17" s="161">
        <f>+I$12*((D17+F17)/2)+E17</f>
        <v>0</v>
      </c>
      <c r="H17" s="142">
        <f>+I$13*((D17+F17)/2)+E17</f>
        <v>0</v>
      </c>
      <c r="I17" s="156">
        <f t="shared" ref="I17:I48" si="1">H17-G17</f>
        <v>0</v>
      </c>
      <c r="J17" s="156"/>
      <c r="K17" s="256">
        <v>0</v>
      </c>
      <c r="L17" s="157">
        <f t="shared" ref="L17:L48" si="2">IF(K17&lt;&gt;0,+G17-K17,0)</f>
        <v>0</v>
      </c>
      <c r="M17" s="256">
        <v>0</v>
      </c>
      <c r="N17" s="157">
        <f t="shared" ref="N17:N48" si="3">IF(M17&lt;&gt;0,+H17-M17,0)</f>
        <v>0</v>
      </c>
      <c r="O17" s="158">
        <f t="shared" ref="O17:O48" si="4">+N17-L17</f>
        <v>0</v>
      </c>
      <c r="P17" s="4"/>
    </row>
    <row r="18" spans="2:16">
      <c r="B18" s="9" t="str">
        <f>IF(D18=F17,"","IU")</f>
        <v/>
      </c>
      <c r="C18" s="153">
        <f>IF(D11="","-",+C17+1)</f>
        <v>2009</v>
      </c>
      <c r="D18" s="159">
        <f t="shared" ref="D18:D24" si="5">F17</f>
        <v>0</v>
      </c>
      <c r="E18" s="160">
        <f>IF(+I14&lt;F17,I14,D18)</f>
        <v>0</v>
      </c>
      <c r="F18" s="159">
        <f t="shared" si="0"/>
        <v>0</v>
      </c>
      <c r="G18" s="161">
        <f t="shared" ref="G18:G72" si="6">+I$12*((D18+F18)/2)+E18</f>
        <v>0</v>
      </c>
      <c r="H18" s="142">
        <f t="shared" ref="H18:H72" si="7">+I$13*((D18+F18)/2)+E18</f>
        <v>0</v>
      </c>
      <c r="I18" s="156">
        <f t="shared" si="1"/>
        <v>0</v>
      </c>
      <c r="J18" s="156"/>
      <c r="K18" s="258">
        <v>0</v>
      </c>
      <c r="L18" s="158">
        <f t="shared" si="2"/>
        <v>0</v>
      </c>
      <c r="M18" s="258">
        <v>0</v>
      </c>
      <c r="N18" s="158">
        <f t="shared" si="3"/>
        <v>0</v>
      </c>
      <c r="O18" s="158">
        <f t="shared" si="4"/>
        <v>0</v>
      </c>
      <c r="P18" s="4"/>
    </row>
    <row r="19" spans="2:16">
      <c r="B19" s="9" t="str">
        <f>IF(D19=F18,"","IU")</f>
        <v/>
      </c>
      <c r="C19" s="153">
        <f>IF(D11="","-",+C18+1)</f>
        <v>2010</v>
      </c>
      <c r="D19" s="159">
        <f t="shared" si="5"/>
        <v>0</v>
      </c>
      <c r="E19" s="160">
        <f>IF(+I14&lt;F18,I14,D19)</f>
        <v>0</v>
      </c>
      <c r="F19" s="159">
        <f t="shared" si="0"/>
        <v>0</v>
      </c>
      <c r="G19" s="161">
        <f t="shared" si="6"/>
        <v>0</v>
      </c>
      <c r="H19" s="142">
        <f t="shared" si="7"/>
        <v>0</v>
      </c>
      <c r="I19" s="156">
        <f t="shared" si="1"/>
        <v>0</v>
      </c>
      <c r="J19" s="156"/>
      <c r="K19" s="334"/>
      <c r="L19" s="158">
        <f t="shared" si="2"/>
        <v>0</v>
      </c>
      <c r="M19" s="334"/>
      <c r="N19" s="158">
        <f t="shared" si="3"/>
        <v>0</v>
      </c>
      <c r="O19" s="158">
        <f t="shared" si="4"/>
        <v>0</v>
      </c>
      <c r="P19" s="4"/>
    </row>
    <row r="20" spans="2:16">
      <c r="B20" s="9" t="str">
        <f t="shared" ref="B20:B72" si="8">IF(D20=F19,"","IU")</f>
        <v/>
      </c>
      <c r="C20" s="153">
        <f>IF(D11="","-",+C19+1)</f>
        <v>2011</v>
      </c>
      <c r="D20" s="159">
        <f t="shared" si="5"/>
        <v>0</v>
      </c>
      <c r="E20" s="160">
        <f>IF(+I14&lt;F19,I14,D20)</f>
        <v>0</v>
      </c>
      <c r="F20" s="159">
        <f t="shared" si="0"/>
        <v>0</v>
      </c>
      <c r="G20" s="161">
        <f t="shared" si="6"/>
        <v>0</v>
      </c>
      <c r="H20" s="142">
        <f t="shared" si="7"/>
        <v>0</v>
      </c>
      <c r="I20" s="156">
        <f t="shared" si="1"/>
        <v>0</v>
      </c>
      <c r="J20" s="156"/>
      <c r="K20" s="334"/>
      <c r="L20" s="158">
        <f t="shared" si="2"/>
        <v>0</v>
      </c>
      <c r="M20" s="334"/>
      <c r="N20" s="158">
        <f t="shared" si="3"/>
        <v>0</v>
      </c>
      <c r="O20" s="158">
        <f t="shared" si="4"/>
        <v>0</v>
      </c>
      <c r="P20" s="4"/>
    </row>
    <row r="21" spans="2:16">
      <c r="B21" s="9" t="str">
        <f t="shared" si="8"/>
        <v/>
      </c>
      <c r="C21" s="153">
        <f>IF(D12="","-",+C20+1)</f>
        <v>2012</v>
      </c>
      <c r="D21" s="159">
        <f t="shared" si="5"/>
        <v>0</v>
      </c>
      <c r="E21" s="160">
        <f>IF(+I14&lt;F20,I14,D21)</f>
        <v>0</v>
      </c>
      <c r="F21" s="159">
        <f t="shared" si="0"/>
        <v>0</v>
      </c>
      <c r="G21" s="161">
        <f t="shared" si="6"/>
        <v>0</v>
      </c>
      <c r="H21" s="142">
        <f t="shared" si="7"/>
        <v>0</v>
      </c>
      <c r="I21" s="156">
        <f t="shared" si="1"/>
        <v>0</v>
      </c>
      <c r="J21" s="156"/>
      <c r="K21" s="334"/>
      <c r="L21" s="158">
        <f t="shared" si="2"/>
        <v>0</v>
      </c>
      <c r="M21" s="334"/>
      <c r="N21" s="158">
        <f t="shared" si="3"/>
        <v>0</v>
      </c>
      <c r="O21" s="158">
        <f t="shared" si="4"/>
        <v>0</v>
      </c>
      <c r="P21" s="4"/>
    </row>
    <row r="22" spans="2:16">
      <c r="B22" s="9" t="str">
        <f t="shared" si="8"/>
        <v/>
      </c>
      <c r="C22" s="153">
        <f>IF(D11="","-",+C21+1)</f>
        <v>2013</v>
      </c>
      <c r="D22" s="159">
        <f t="shared" si="5"/>
        <v>0</v>
      </c>
      <c r="E22" s="160">
        <f>IF(+I14&lt;F21,I14,D22)</f>
        <v>0</v>
      </c>
      <c r="F22" s="159">
        <f t="shared" si="0"/>
        <v>0</v>
      </c>
      <c r="G22" s="161">
        <f t="shared" si="6"/>
        <v>0</v>
      </c>
      <c r="H22" s="142">
        <f t="shared" si="7"/>
        <v>0</v>
      </c>
      <c r="I22" s="156">
        <f t="shared" si="1"/>
        <v>0</v>
      </c>
      <c r="J22" s="156"/>
      <c r="K22" s="334"/>
      <c r="L22" s="158">
        <f t="shared" si="2"/>
        <v>0</v>
      </c>
      <c r="M22" s="334"/>
      <c r="N22" s="158">
        <f t="shared" si="3"/>
        <v>0</v>
      </c>
      <c r="O22" s="158">
        <f t="shared" si="4"/>
        <v>0</v>
      </c>
      <c r="P22" s="4"/>
    </row>
    <row r="23" spans="2:16">
      <c r="B23" s="9" t="str">
        <f t="shared" si="8"/>
        <v/>
      </c>
      <c r="C23" s="153">
        <f>IF(D11="","-",+C22+1)</f>
        <v>2014</v>
      </c>
      <c r="D23" s="159">
        <f t="shared" si="5"/>
        <v>0</v>
      </c>
      <c r="E23" s="160">
        <f>IF(+I14&lt;F22,I14,D23)</f>
        <v>0</v>
      </c>
      <c r="F23" s="159">
        <f t="shared" si="0"/>
        <v>0</v>
      </c>
      <c r="G23" s="161">
        <f t="shared" si="6"/>
        <v>0</v>
      </c>
      <c r="H23" s="142">
        <f t="shared" si="7"/>
        <v>0</v>
      </c>
      <c r="I23" s="156">
        <f t="shared" si="1"/>
        <v>0</v>
      </c>
      <c r="J23" s="156"/>
      <c r="K23" s="334"/>
      <c r="L23" s="158">
        <f t="shared" si="2"/>
        <v>0</v>
      </c>
      <c r="M23" s="334"/>
      <c r="N23" s="158">
        <f t="shared" si="3"/>
        <v>0</v>
      </c>
      <c r="O23" s="158">
        <f t="shared" si="4"/>
        <v>0</v>
      </c>
      <c r="P23" s="4"/>
    </row>
    <row r="24" spans="2:16">
      <c r="B24" s="9" t="str">
        <f t="shared" si="8"/>
        <v/>
      </c>
      <c r="C24" s="153">
        <f>IF(D11="","-",+C23+1)</f>
        <v>2015</v>
      </c>
      <c r="D24" s="159">
        <f t="shared" si="5"/>
        <v>0</v>
      </c>
      <c r="E24" s="160">
        <f>IF(+I14&lt;F23,I14,D24)</f>
        <v>0</v>
      </c>
      <c r="F24" s="159">
        <f t="shared" si="0"/>
        <v>0</v>
      </c>
      <c r="G24" s="161">
        <f t="shared" si="6"/>
        <v>0</v>
      </c>
      <c r="H24" s="142">
        <f t="shared" si="7"/>
        <v>0</v>
      </c>
      <c r="I24" s="156">
        <f t="shared" si="1"/>
        <v>0</v>
      </c>
      <c r="J24" s="156"/>
      <c r="K24" s="334"/>
      <c r="L24" s="158">
        <f t="shared" si="2"/>
        <v>0</v>
      </c>
      <c r="M24" s="334"/>
      <c r="N24" s="158">
        <f t="shared" si="3"/>
        <v>0</v>
      </c>
      <c r="O24" s="158">
        <f t="shared" si="4"/>
        <v>0</v>
      </c>
      <c r="P24" s="4"/>
    </row>
    <row r="25" spans="2:16">
      <c r="B25" s="9" t="str">
        <f t="shared" si="8"/>
        <v/>
      </c>
      <c r="C25" s="153">
        <f>IF(D11="","-",+C24+1)</f>
        <v>2016</v>
      </c>
      <c r="D25" s="159">
        <f>IF(F24+SUM(E$17:E24)=D$10,F24,D$10-SUM(E$17:E24))</f>
        <v>0</v>
      </c>
      <c r="E25" s="160">
        <f>IF(+I14&lt;F24,I14,D25)</f>
        <v>0</v>
      </c>
      <c r="F25" s="159">
        <f t="shared" si="0"/>
        <v>0</v>
      </c>
      <c r="G25" s="161">
        <f t="shared" si="6"/>
        <v>0</v>
      </c>
      <c r="H25" s="142">
        <f t="shared" si="7"/>
        <v>0</v>
      </c>
      <c r="I25" s="156">
        <f t="shared" si="1"/>
        <v>0</v>
      </c>
      <c r="J25" s="156"/>
      <c r="K25" s="334"/>
      <c r="L25" s="158">
        <f t="shared" si="2"/>
        <v>0</v>
      </c>
      <c r="M25" s="334"/>
      <c r="N25" s="158">
        <f t="shared" si="3"/>
        <v>0</v>
      </c>
      <c r="O25" s="158">
        <f t="shared" si="4"/>
        <v>0</v>
      </c>
      <c r="P25" s="4"/>
    </row>
    <row r="26" spans="2:16">
      <c r="B26" s="9" t="str">
        <f t="shared" si="8"/>
        <v/>
      </c>
      <c r="C26" s="153">
        <f>IF(D11="","-",+C25+1)</f>
        <v>2017</v>
      </c>
      <c r="D26" s="159">
        <f>IF(F25+SUM(E$17:E25)=D$10,F25,D$10-SUM(E$17:E25))</f>
        <v>0</v>
      </c>
      <c r="E26" s="160">
        <f>IF(+I14&lt;F25,I14,D26)</f>
        <v>0</v>
      </c>
      <c r="F26" s="159">
        <f t="shared" si="0"/>
        <v>0</v>
      </c>
      <c r="G26" s="161">
        <f t="shared" si="6"/>
        <v>0</v>
      </c>
      <c r="H26" s="142">
        <f t="shared" si="7"/>
        <v>0</v>
      </c>
      <c r="I26" s="156">
        <f t="shared" si="1"/>
        <v>0</v>
      </c>
      <c r="J26" s="156"/>
      <c r="K26" s="334"/>
      <c r="L26" s="158">
        <f t="shared" si="2"/>
        <v>0</v>
      </c>
      <c r="M26" s="334"/>
      <c r="N26" s="158">
        <f t="shared" si="3"/>
        <v>0</v>
      </c>
      <c r="O26" s="158">
        <f t="shared" si="4"/>
        <v>0</v>
      </c>
      <c r="P26" s="4"/>
    </row>
    <row r="27" spans="2:16">
      <c r="B27" s="9" t="str">
        <f t="shared" si="8"/>
        <v/>
      </c>
      <c r="C27" s="153">
        <f>IF(D11="","-",+C26+1)</f>
        <v>2018</v>
      </c>
      <c r="D27" s="162">
        <f>IF(F26+SUM(E$17:E26)=D$10,F26,D$10-SUM(E$17:E26))</f>
        <v>0</v>
      </c>
      <c r="E27" s="160">
        <f>IF(+I14&lt;F26,I14,D27)</f>
        <v>0</v>
      </c>
      <c r="F27" s="159">
        <f t="shared" si="0"/>
        <v>0</v>
      </c>
      <c r="G27" s="161">
        <f t="shared" si="6"/>
        <v>0</v>
      </c>
      <c r="H27" s="142">
        <f t="shared" si="7"/>
        <v>0</v>
      </c>
      <c r="I27" s="156">
        <f t="shared" si="1"/>
        <v>0</v>
      </c>
      <c r="J27" s="156"/>
      <c r="K27" s="334"/>
      <c r="L27" s="158">
        <f t="shared" si="2"/>
        <v>0</v>
      </c>
      <c r="M27" s="334"/>
      <c r="N27" s="158">
        <f t="shared" si="3"/>
        <v>0</v>
      </c>
      <c r="O27" s="158">
        <f t="shared" si="4"/>
        <v>0</v>
      </c>
      <c r="P27" s="4"/>
    </row>
    <row r="28" spans="2:16">
      <c r="B28" s="9" t="str">
        <f t="shared" si="8"/>
        <v/>
      </c>
      <c r="C28" s="153">
        <f>IF(D11="","-",+C27+1)</f>
        <v>2019</v>
      </c>
      <c r="D28" s="159">
        <f>IF(F27+SUM(E$17:E27)=D$10,F27,D$10-SUM(E$17:E27))</f>
        <v>0</v>
      </c>
      <c r="E28" s="160">
        <f>IF(+I14&lt;F27,I14,D28)</f>
        <v>0</v>
      </c>
      <c r="F28" s="159">
        <f t="shared" si="0"/>
        <v>0</v>
      </c>
      <c r="G28" s="161">
        <f t="shared" si="6"/>
        <v>0</v>
      </c>
      <c r="H28" s="142">
        <f t="shared" si="7"/>
        <v>0</v>
      </c>
      <c r="I28" s="156">
        <f t="shared" si="1"/>
        <v>0</v>
      </c>
      <c r="J28" s="156"/>
      <c r="K28" s="334"/>
      <c r="L28" s="158">
        <f t="shared" si="2"/>
        <v>0</v>
      </c>
      <c r="M28" s="334"/>
      <c r="N28" s="158">
        <f t="shared" si="3"/>
        <v>0</v>
      </c>
      <c r="O28" s="158">
        <f t="shared" si="4"/>
        <v>0</v>
      </c>
      <c r="P28" s="4"/>
    </row>
    <row r="29" spans="2:16">
      <c r="B29" s="9" t="str">
        <f t="shared" si="8"/>
        <v/>
      </c>
      <c r="C29" s="153">
        <f>IF(D11="","-",+C28+1)</f>
        <v>2020</v>
      </c>
      <c r="D29" s="159">
        <f>IF(F28+SUM(E$17:E28)=D$10,F28,D$10-SUM(E$17:E28))</f>
        <v>0</v>
      </c>
      <c r="E29" s="160">
        <f>IF(+I14&lt;F28,I14,D29)</f>
        <v>0</v>
      </c>
      <c r="F29" s="159">
        <f t="shared" si="0"/>
        <v>0</v>
      </c>
      <c r="G29" s="161">
        <f t="shared" si="6"/>
        <v>0</v>
      </c>
      <c r="H29" s="142">
        <f t="shared" si="7"/>
        <v>0</v>
      </c>
      <c r="I29" s="156">
        <f t="shared" si="1"/>
        <v>0</v>
      </c>
      <c r="J29" s="156"/>
      <c r="K29" s="334"/>
      <c r="L29" s="158">
        <f t="shared" si="2"/>
        <v>0</v>
      </c>
      <c r="M29" s="334"/>
      <c r="N29" s="158">
        <f t="shared" si="3"/>
        <v>0</v>
      </c>
      <c r="O29" s="158">
        <f t="shared" si="4"/>
        <v>0</v>
      </c>
      <c r="P29" s="4"/>
    </row>
    <row r="30" spans="2:16">
      <c r="B30" s="9" t="str">
        <f t="shared" si="8"/>
        <v/>
      </c>
      <c r="C30" s="153">
        <f>IF(D11="","-",+C29+1)</f>
        <v>2021</v>
      </c>
      <c r="D30" s="159">
        <f>IF(F29+SUM(E$17:E29)=D$10,F29,D$10-SUM(E$17:E29))</f>
        <v>0</v>
      </c>
      <c r="E30" s="160">
        <f>IF(+I14&lt;F29,I14,D30)</f>
        <v>0</v>
      </c>
      <c r="F30" s="159">
        <f t="shared" si="0"/>
        <v>0</v>
      </c>
      <c r="G30" s="161">
        <f t="shared" si="6"/>
        <v>0</v>
      </c>
      <c r="H30" s="142">
        <f t="shared" si="7"/>
        <v>0</v>
      </c>
      <c r="I30" s="156">
        <f t="shared" si="1"/>
        <v>0</v>
      </c>
      <c r="J30" s="156"/>
      <c r="K30" s="334"/>
      <c r="L30" s="158">
        <f t="shared" si="2"/>
        <v>0</v>
      </c>
      <c r="M30" s="334"/>
      <c r="N30" s="158">
        <f t="shared" si="3"/>
        <v>0</v>
      </c>
      <c r="O30" s="158">
        <f t="shared" si="4"/>
        <v>0</v>
      </c>
      <c r="P30" s="4"/>
    </row>
    <row r="31" spans="2:16">
      <c r="B31" s="9" t="str">
        <f t="shared" si="8"/>
        <v/>
      </c>
      <c r="C31" s="153">
        <f>IF(D11="","-",+C30+1)</f>
        <v>2022</v>
      </c>
      <c r="D31" s="159">
        <f>IF(F30+SUM(E$17:E30)=D$10,F30,D$10-SUM(E$17:E30))</f>
        <v>0</v>
      </c>
      <c r="E31" s="160">
        <f>IF(+I14&lt;F30,I14,D31)</f>
        <v>0</v>
      </c>
      <c r="F31" s="159">
        <f t="shared" si="0"/>
        <v>0</v>
      </c>
      <c r="G31" s="161">
        <f t="shared" si="6"/>
        <v>0</v>
      </c>
      <c r="H31" s="142">
        <f t="shared" si="7"/>
        <v>0</v>
      </c>
      <c r="I31" s="156">
        <f t="shared" si="1"/>
        <v>0</v>
      </c>
      <c r="J31" s="156"/>
      <c r="K31" s="334"/>
      <c r="L31" s="158">
        <f t="shared" si="2"/>
        <v>0</v>
      </c>
      <c r="M31" s="334"/>
      <c r="N31" s="158">
        <f t="shared" si="3"/>
        <v>0</v>
      </c>
      <c r="O31" s="158">
        <f t="shared" si="4"/>
        <v>0</v>
      </c>
      <c r="P31" s="4"/>
    </row>
    <row r="32" spans="2:16">
      <c r="B32" s="9" t="str">
        <f t="shared" si="8"/>
        <v/>
      </c>
      <c r="C32" s="153">
        <f>IF(D11="","-",+C31+1)</f>
        <v>2023</v>
      </c>
      <c r="D32" s="159">
        <f>IF(F31+SUM(E$17:E31)=D$10,F31,D$10-SUM(E$17:E31))</f>
        <v>0</v>
      </c>
      <c r="E32" s="160">
        <f>IF(+I14&lt;F31,I14,D32)</f>
        <v>0</v>
      </c>
      <c r="F32" s="159">
        <f t="shared" si="0"/>
        <v>0</v>
      </c>
      <c r="G32" s="161">
        <f t="shared" si="6"/>
        <v>0</v>
      </c>
      <c r="H32" s="142">
        <f t="shared" si="7"/>
        <v>0</v>
      </c>
      <c r="I32" s="156">
        <f t="shared" si="1"/>
        <v>0</v>
      </c>
      <c r="J32" s="156"/>
      <c r="K32" s="334"/>
      <c r="L32" s="158">
        <f t="shared" si="2"/>
        <v>0</v>
      </c>
      <c r="M32" s="334"/>
      <c r="N32" s="158">
        <f t="shared" si="3"/>
        <v>0</v>
      </c>
      <c r="O32" s="158">
        <f t="shared" si="4"/>
        <v>0</v>
      </c>
      <c r="P32" s="4"/>
    </row>
    <row r="33" spans="2:16">
      <c r="B33" s="9" t="str">
        <f t="shared" si="8"/>
        <v/>
      </c>
      <c r="C33" s="153">
        <f>IF(D11="","-",+C32+1)</f>
        <v>2024</v>
      </c>
      <c r="D33" s="159">
        <f>IF(F32+SUM(E$17:E32)=D$10,F32,D$10-SUM(E$17:E32))</f>
        <v>0</v>
      </c>
      <c r="E33" s="160">
        <f>IF(+I14&lt;F32,I14,D33)</f>
        <v>0</v>
      </c>
      <c r="F33" s="159">
        <f t="shared" si="0"/>
        <v>0</v>
      </c>
      <c r="G33" s="161">
        <f t="shared" si="6"/>
        <v>0</v>
      </c>
      <c r="H33" s="142">
        <f t="shared" si="7"/>
        <v>0</v>
      </c>
      <c r="I33" s="156">
        <f t="shared" si="1"/>
        <v>0</v>
      </c>
      <c r="J33" s="156"/>
      <c r="K33" s="334"/>
      <c r="L33" s="158">
        <f t="shared" si="2"/>
        <v>0</v>
      </c>
      <c r="M33" s="334"/>
      <c r="N33" s="158">
        <f t="shared" si="3"/>
        <v>0</v>
      </c>
      <c r="O33" s="158">
        <f t="shared" si="4"/>
        <v>0</v>
      </c>
      <c r="P33" s="4"/>
    </row>
    <row r="34" spans="2:16">
      <c r="B34" s="9" t="str">
        <f t="shared" si="8"/>
        <v/>
      </c>
      <c r="C34" s="153">
        <f>IF(D11="","-",+C33+1)</f>
        <v>2025</v>
      </c>
      <c r="D34" s="159">
        <f>IF(F33+SUM(E$17:E33)=D$10,F33,D$10-SUM(E$17:E33))</f>
        <v>0</v>
      </c>
      <c r="E34" s="160">
        <f>IF(+I14&lt;F33,I14,D34)</f>
        <v>0</v>
      </c>
      <c r="F34" s="159">
        <f t="shared" si="0"/>
        <v>0</v>
      </c>
      <c r="G34" s="161">
        <f t="shared" si="6"/>
        <v>0</v>
      </c>
      <c r="H34" s="142">
        <f t="shared" si="7"/>
        <v>0</v>
      </c>
      <c r="I34" s="156">
        <f t="shared" si="1"/>
        <v>0</v>
      </c>
      <c r="J34" s="156"/>
      <c r="K34" s="334"/>
      <c r="L34" s="158">
        <f t="shared" si="2"/>
        <v>0</v>
      </c>
      <c r="M34" s="334"/>
      <c r="N34" s="158">
        <f t="shared" si="3"/>
        <v>0</v>
      </c>
      <c r="O34" s="158">
        <f t="shared" si="4"/>
        <v>0</v>
      </c>
      <c r="P34" s="4"/>
    </row>
    <row r="35" spans="2:16">
      <c r="B35" s="9" t="str">
        <f t="shared" si="8"/>
        <v/>
      </c>
      <c r="C35" s="153">
        <f>IF(D11="","-",+C34+1)</f>
        <v>2026</v>
      </c>
      <c r="D35" s="159">
        <f>IF(F34+SUM(E$17:E34)=D$10,F34,D$10-SUM(E$17:E34))</f>
        <v>0</v>
      </c>
      <c r="E35" s="160">
        <f>IF(+I14&lt;F34,I14,D35)</f>
        <v>0</v>
      </c>
      <c r="F35" s="159">
        <f t="shared" si="0"/>
        <v>0</v>
      </c>
      <c r="G35" s="161">
        <f t="shared" si="6"/>
        <v>0</v>
      </c>
      <c r="H35" s="142">
        <f t="shared" si="7"/>
        <v>0</v>
      </c>
      <c r="I35" s="156">
        <f t="shared" si="1"/>
        <v>0</v>
      </c>
      <c r="J35" s="156"/>
      <c r="K35" s="334"/>
      <c r="L35" s="158">
        <f t="shared" si="2"/>
        <v>0</v>
      </c>
      <c r="M35" s="334"/>
      <c r="N35" s="158">
        <f t="shared" si="3"/>
        <v>0</v>
      </c>
      <c r="O35" s="158">
        <f t="shared" si="4"/>
        <v>0</v>
      </c>
      <c r="P35" s="4"/>
    </row>
    <row r="36" spans="2:16">
      <c r="B36" s="9" t="str">
        <f t="shared" si="8"/>
        <v/>
      </c>
      <c r="C36" s="153">
        <f>IF(D11="","-",+C35+1)</f>
        <v>2027</v>
      </c>
      <c r="D36" s="159">
        <f>IF(F35+SUM(E$17:E35)=D$10,F35,D$10-SUM(E$17:E35))</f>
        <v>0</v>
      </c>
      <c r="E36" s="160">
        <f>IF(+I14&lt;F35,I14,D36)</f>
        <v>0</v>
      </c>
      <c r="F36" s="159">
        <f t="shared" si="0"/>
        <v>0</v>
      </c>
      <c r="G36" s="161">
        <f t="shared" si="6"/>
        <v>0</v>
      </c>
      <c r="H36" s="142">
        <f t="shared" si="7"/>
        <v>0</v>
      </c>
      <c r="I36" s="156">
        <f t="shared" si="1"/>
        <v>0</v>
      </c>
      <c r="J36" s="156"/>
      <c r="K36" s="334"/>
      <c r="L36" s="158">
        <f t="shared" si="2"/>
        <v>0</v>
      </c>
      <c r="M36" s="334"/>
      <c r="N36" s="158">
        <f t="shared" si="3"/>
        <v>0</v>
      </c>
      <c r="O36" s="158">
        <f t="shared" si="4"/>
        <v>0</v>
      </c>
      <c r="P36" s="4"/>
    </row>
    <row r="37" spans="2:16">
      <c r="B37" s="9" t="str">
        <f t="shared" si="8"/>
        <v/>
      </c>
      <c r="C37" s="153">
        <f>IF(D11="","-",+C36+1)</f>
        <v>2028</v>
      </c>
      <c r="D37" s="159">
        <f>IF(F36+SUM(E$17:E36)=D$10,F36,D$10-SUM(E$17:E36))</f>
        <v>0</v>
      </c>
      <c r="E37" s="160">
        <f>IF(+I14&lt;F36,I14,D37)</f>
        <v>0</v>
      </c>
      <c r="F37" s="159">
        <f t="shared" si="0"/>
        <v>0</v>
      </c>
      <c r="G37" s="161">
        <f t="shared" si="6"/>
        <v>0</v>
      </c>
      <c r="H37" s="142">
        <f t="shared" si="7"/>
        <v>0</v>
      </c>
      <c r="I37" s="156">
        <f t="shared" si="1"/>
        <v>0</v>
      </c>
      <c r="J37" s="156"/>
      <c r="K37" s="334"/>
      <c r="L37" s="158">
        <f t="shared" si="2"/>
        <v>0</v>
      </c>
      <c r="M37" s="334"/>
      <c r="N37" s="158">
        <f t="shared" si="3"/>
        <v>0</v>
      </c>
      <c r="O37" s="158">
        <f t="shared" si="4"/>
        <v>0</v>
      </c>
      <c r="P37" s="4"/>
    </row>
    <row r="38" spans="2:16">
      <c r="B38" s="9" t="str">
        <f t="shared" si="8"/>
        <v/>
      </c>
      <c r="C38" s="153">
        <f>IF(D11="","-",+C37+1)</f>
        <v>2029</v>
      </c>
      <c r="D38" s="159">
        <f>IF(F37+SUM(E$17:E37)=D$10,F37,D$10-SUM(E$17:E37))</f>
        <v>0</v>
      </c>
      <c r="E38" s="160">
        <f>IF(+I14&lt;F37,I14,D38)</f>
        <v>0</v>
      </c>
      <c r="F38" s="159">
        <f t="shared" si="0"/>
        <v>0</v>
      </c>
      <c r="G38" s="161">
        <f t="shared" si="6"/>
        <v>0</v>
      </c>
      <c r="H38" s="142">
        <f t="shared" si="7"/>
        <v>0</v>
      </c>
      <c r="I38" s="156">
        <f t="shared" si="1"/>
        <v>0</v>
      </c>
      <c r="J38" s="156"/>
      <c r="K38" s="334"/>
      <c r="L38" s="158">
        <f t="shared" si="2"/>
        <v>0</v>
      </c>
      <c r="M38" s="334"/>
      <c r="N38" s="158">
        <f t="shared" si="3"/>
        <v>0</v>
      </c>
      <c r="O38" s="158">
        <f t="shared" si="4"/>
        <v>0</v>
      </c>
      <c r="P38" s="4"/>
    </row>
    <row r="39" spans="2:16">
      <c r="B39" s="9" t="str">
        <f t="shared" si="8"/>
        <v/>
      </c>
      <c r="C39" s="153">
        <f>IF(D11="","-",+C38+1)</f>
        <v>2030</v>
      </c>
      <c r="D39" s="159">
        <f>IF(F38+SUM(E$17:E38)=D$10,F38,D$10-SUM(E$17:E38))</f>
        <v>0</v>
      </c>
      <c r="E39" s="160">
        <f>IF(+I14&lt;F38,I14,D39)</f>
        <v>0</v>
      </c>
      <c r="F39" s="159">
        <f t="shared" si="0"/>
        <v>0</v>
      </c>
      <c r="G39" s="161">
        <f t="shared" si="6"/>
        <v>0</v>
      </c>
      <c r="H39" s="142">
        <f t="shared" si="7"/>
        <v>0</v>
      </c>
      <c r="I39" s="156">
        <f t="shared" si="1"/>
        <v>0</v>
      </c>
      <c r="J39" s="156"/>
      <c r="K39" s="334"/>
      <c r="L39" s="158">
        <f t="shared" si="2"/>
        <v>0</v>
      </c>
      <c r="M39" s="334"/>
      <c r="N39" s="158">
        <f t="shared" si="3"/>
        <v>0</v>
      </c>
      <c r="O39" s="158">
        <f t="shared" si="4"/>
        <v>0</v>
      </c>
      <c r="P39" s="4"/>
    </row>
    <row r="40" spans="2:16">
      <c r="B40" s="9" t="str">
        <f t="shared" si="8"/>
        <v/>
      </c>
      <c r="C40" s="153">
        <f>IF(D11="","-",+C39+1)</f>
        <v>2031</v>
      </c>
      <c r="D40" s="159">
        <f>IF(F39+SUM(E$17:E39)=D$10,F39,D$10-SUM(E$17:E39))</f>
        <v>0</v>
      </c>
      <c r="E40" s="160">
        <f>IF(+I14&lt;F39,I14,D40)</f>
        <v>0</v>
      </c>
      <c r="F40" s="159">
        <f t="shared" si="0"/>
        <v>0</v>
      </c>
      <c r="G40" s="161">
        <f t="shared" si="6"/>
        <v>0</v>
      </c>
      <c r="H40" s="142">
        <f t="shared" si="7"/>
        <v>0</v>
      </c>
      <c r="I40" s="156">
        <f t="shared" si="1"/>
        <v>0</v>
      </c>
      <c r="J40" s="156"/>
      <c r="K40" s="334"/>
      <c r="L40" s="158">
        <f t="shared" si="2"/>
        <v>0</v>
      </c>
      <c r="M40" s="334"/>
      <c r="N40" s="158">
        <f t="shared" si="3"/>
        <v>0</v>
      </c>
      <c r="O40" s="158">
        <f t="shared" si="4"/>
        <v>0</v>
      </c>
      <c r="P40" s="4"/>
    </row>
    <row r="41" spans="2:16">
      <c r="B41" s="9" t="str">
        <f t="shared" si="8"/>
        <v/>
      </c>
      <c r="C41" s="153">
        <f>IF(D11="","-",+C40+1)</f>
        <v>2032</v>
      </c>
      <c r="D41" s="159">
        <f>IF(F40+SUM(E$17:E40)=D$10,F40,D$10-SUM(E$17:E40))</f>
        <v>0</v>
      </c>
      <c r="E41" s="160">
        <f>IF(+I14&lt;F40,I14,D41)</f>
        <v>0</v>
      </c>
      <c r="F41" s="159">
        <f t="shared" si="0"/>
        <v>0</v>
      </c>
      <c r="G41" s="161">
        <f t="shared" si="6"/>
        <v>0</v>
      </c>
      <c r="H41" s="142">
        <f t="shared" si="7"/>
        <v>0</v>
      </c>
      <c r="I41" s="156">
        <f t="shared" si="1"/>
        <v>0</v>
      </c>
      <c r="J41" s="156"/>
      <c r="K41" s="334"/>
      <c r="L41" s="158">
        <f t="shared" si="2"/>
        <v>0</v>
      </c>
      <c r="M41" s="334"/>
      <c r="N41" s="158">
        <f t="shared" si="3"/>
        <v>0</v>
      </c>
      <c r="O41" s="158">
        <f t="shared" si="4"/>
        <v>0</v>
      </c>
      <c r="P41" s="4"/>
    </row>
    <row r="42" spans="2:16">
      <c r="B42" s="9" t="str">
        <f t="shared" si="8"/>
        <v/>
      </c>
      <c r="C42" s="153">
        <f>IF(D11="","-",+C41+1)</f>
        <v>2033</v>
      </c>
      <c r="D42" s="159">
        <f>IF(F41+SUM(E$17:E41)=D$10,F41,D$10-SUM(E$17:E41))</f>
        <v>0</v>
      </c>
      <c r="E42" s="160">
        <f>IF(+I14&lt;F41,I14,D42)</f>
        <v>0</v>
      </c>
      <c r="F42" s="159">
        <f t="shared" si="0"/>
        <v>0</v>
      </c>
      <c r="G42" s="161">
        <f t="shared" si="6"/>
        <v>0</v>
      </c>
      <c r="H42" s="142">
        <f t="shared" si="7"/>
        <v>0</v>
      </c>
      <c r="I42" s="156">
        <f t="shared" si="1"/>
        <v>0</v>
      </c>
      <c r="J42" s="156"/>
      <c r="K42" s="334"/>
      <c r="L42" s="158">
        <f t="shared" si="2"/>
        <v>0</v>
      </c>
      <c r="M42" s="334"/>
      <c r="N42" s="158">
        <f t="shared" si="3"/>
        <v>0</v>
      </c>
      <c r="O42" s="158">
        <f t="shared" si="4"/>
        <v>0</v>
      </c>
      <c r="P42" s="4"/>
    </row>
    <row r="43" spans="2:16">
      <c r="B43" s="9" t="str">
        <f t="shared" si="8"/>
        <v/>
      </c>
      <c r="C43" s="153">
        <f>IF(D11="","-",+C42+1)</f>
        <v>2034</v>
      </c>
      <c r="D43" s="159">
        <f>IF(F42+SUM(E$17:E42)=D$10,F42,D$10-SUM(E$17:E42))</f>
        <v>0</v>
      </c>
      <c r="E43" s="160">
        <f>IF(+I14&lt;F42,I14,D43)</f>
        <v>0</v>
      </c>
      <c r="F43" s="159">
        <f t="shared" si="0"/>
        <v>0</v>
      </c>
      <c r="G43" s="161">
        <f t="shared" si="6"/>
        <v>0</v>
      </c>
      <c r="H43" s="142">
        <f t="shared" si="7"/>
        <v>0</v>
      </c>
      <c r="I43" s="156">
        <f t="shared" si="1"/>
        <v>0</v>
      </c>
      <c r="J43" s="156"/>
      <c r="K43" s="334"/>
      <c r="L43" s="158">
        <f t="shared" si="2"/>
        <v>0</v>
      </c>
      <c r="M43" s="334"/>
      <c r="N43" s="158">
        <f t="shared" si="3"/>
        <v>0</v>
      </c>
      <c r="O43" s="158">
        <f t="shared" si="4"/>
        <v>0</v>
      </c>
      <c r="P43" s="4"/>
    </row>
    <row r="44" spans="2:16">
      <c r="B44" s="9" t="str">
        <f t="shared" si="8"/>
        <v/>
      </c>
      <c r="C44" s="153">
        <f>IF(D11="","-",+C43+1)</f>
        <v>2035</v>
      </c>
      <c r="D44" s="159">
        <f>IF(F43+SUM(E$17:E43)=D$10,F43,D$10-SUM(E$17:E43))</f>
        <v>0</v>
      </c>
      <c r="E44" s="160">
        <f>IF(+I14&lt;F43,I14,D44)</f>
        <v>0</v>
      </c>
      <c r="F44" s="159">
        <f t="shared" si="0"/>
        <v>0</v>
      </c>
      <c r="G44" s="161">
        <f t="shared" si="6"/>
        <v>0</v>
      </c>
      <c r="H44" s="142">
        <f t="shared" si="7"/>
        <v>0</v>
      </c>
      <c r="I44" s="156">
        <f t="shared" si="1"/>
        <v>0</v>
      </c>
      <c r="J44" s="156"/>
      <c r="K44" s="334"/>
      <c r="L44" s="158">
        <f t="shared" si="2"/>
        <v>0</v>
      </c>
      <c r="M44" s="334"/>
      <c r="N44" s="158">
        <f t="shared" si="3"/>
        <v>0</v>
      </c>
      <c r="O44" s="158">
        <f t="shared" si="4"/>
        <v>0</v>
      </c>
      <c r="P44" s="4"/>
    </row>
    <row r="45" spans="2:16">
      <c r="B45" s="9" t="str">
        <f t="shared" si="8"/>
        <v/>
      </c>
      <c r="C45" s="153">
        <f>IF(D11="","-",+C44+1)</f>
        <v>2036</v>
      </c>
      <c r="D45" s="159">
        <f>IF(F44+SUM(E$17:E44)=D$10,F44,D$10-SUM(E$17:E44))</f>
        <v>0</v>
      </c>
      <c r="E45" s="160">
        <f>IF(+I14&lt;F44,I14,D45)</f>
        <v>0</v>
      </c>
      <c r="F45" s="159">
        <f t="shared" si="0"/>
        <v>0</v>
      </c>
      <c r="G45" s="161">
        <f t="shared" si="6"/>
        <v>0</v>
      </c>
      <c r="H45" s="142">
        <f t="shared" si="7"/>
        <v>0</v>
      </c>
      <c r="I45" s="156">
        <f t="shared" si="1"/>
        <v>0</v>
      </c>
      <c r="J45" s="156"/>
      <c r="K45" s="334"/>
      <c r="L45" s="158">
        <f t="shared" si="2"/>
        <v>0</v>
      </c>
      <c r="M45" s="334"/>
      <c r="N45" s="158">
        <f t="shared" si="3"/>
        <v>0</v>
      </c>
      <c r="O45" s="158">
        <f t="shared" si="4"/>
        <v>0</v>
      </c>
      <c r="P45" s="4"/>
    </row>
    <row r="46" spans="2:16">
      <c r="B46" s="9" t="str">
        <f t="shared" si="8"/>
        <v/>
      </c>
      <c r="C46" s="153">
        <f>IF(D11="","-",+C45+1)</f>
        <v>2037</v>
      </c>
      <c r="D46" s="159">
        <f>IF(F45+SUM(E$17:E45)=D$10,F45,D$10-SUM(E$17:E45))</f>
        <v>0</v>
      </c>
      <c r="E46" s="160">
        <f>IF(+I14&lt;F45,I14,D46)</f>
        <v>0</v>
      </c>
      <c r="F46" s="159">
        <f t="shared" si="0"/>
        <v>0</v>
      </c>
      <c r="G46" s="161">
        <f t="shared" si="6"/>
        <v>0</v>
      </c>
      <c r="H46" s="142">
        <f t="shared" si="7"/>
        <v>0</v>
      </c>
      <c r="I46" s="156">
        <f t="shared" si="1"/>
        <v>0</v>
      </c>
      <c r="J46" s="156"/>
      <c r="K46" s="334"/>
      <c r="L46" s="158">
        <f t="shared" si="2"/>
        <v>0</v>
      </c>
      <c r="M46" s="334"/>
      <c r="N46" s="158">
        <f t="shared" si="3"/>
        <v>0</v>
      </c>
      <c r="O46" s="158">
        <f t="shared" si="4"/>
        <v>0</v>
      </c>
      <c r="P46" s="4"/>
    </row>
    <row r="47" spans="2:16">
      <c r="B47" s="9" t="str">
        <f t="shared" si="8"/>
        <v/>
      </c>
      <c r="C47" s="153">
        <f>IF(D11="","-",+C46+1)</f>
        <v>2038</v>
      </c>
      <c r="D47" s="159">
        <f>IF(F46+SUM(E$17:E46)=D$10,F46,D$10-SUM(E$17:E46))</f>
        <v>0</v>
      </c>
      <c r="E47" s="160">
        <f>IF(+I14&lt;F46,I14,D47)</f>
        <v>0</v>
      </c>
      <c r="F47" s="159">
        <f t="shared" si="0"/>
        <v>0</v>
      </c>
      <c r="G47" s="161">
        <f t="shared" si="6"/>
        <v>0</v>
      </c>
      <c r="H47" s="142">
        <f t="shared" si="7"/>
        <v>0</v>
      </c>
      <c r="I47" s="156">
        <f t="shared" si="1"/>
        <v>0</v>
      </c>
      <c r="J47" s="156"/>
      <c r="K47" s="334"/>
      <c r="L47" s="158">
        <f t="shared" si="2"/>
        <v>0</v>
      </c>
      <c r="M47" s="334"/>
      <c r="N47" s="158">
        <f t="shared" si="3"/>
        <v>0</v>
      </c>
      <c r="O47" s="158">
        <f t="shared" si="4"/>
        <v>0</v>
      </c>
      <c r="P47" s="4"/>
    </row>
    <row r="48" spans="2:16">
      <c r="B48" s="9" t="str">
        <f t="shared" si="8"/>
        <v/>
      </c>
      <c r="C48" s="153">
        <f>IF(D11="","-",+C47+1)</f>
        <v>2039</v>
      </c>
      <c r="D48" s="159">
        <f>IF(F47+SUM(E$17:E47)=D$10,F47,D$10-SUM(E$17:E47))</f>
        <v>0</v>
      </c>
      <c r="E48" s="160">
        <f>IF(+I14&lt;F47,I14,D48)</f>
        <v>0</v>
      </c>
      <c r="F48" s="159">
        <f t="shared" si="0"/>
        <v>0</v>
      </c>
      <c r="G48" s="161">
        <f t="shared" si="6"/>
        <v>0</v>
      </c>
      <c r="H48" s="142">
        <f t="shared" si="7"/>
        <v>0</v>
      </c>
      <c r="I48" s="156">
        <f t="shared" si="1"/>
        <v>0</v>
      </c>
      <c r="J48" s="156"/>
      <c r="K48" s="334"/>
      <c r="L48" s="158">
        <f t="shared" si="2"/>
        <v>0</v>
      </c>
      <c r="M48" s="334"/>
      <c r="N48" s="158">
        <f t="shared" si="3"/>
        <v>0</v>
      </c>
      <c r="O48" s="158">
        <f t="shared" si="4"/>
        <v>0</v>
      </c>
      <c r="P48" s="4"/>
    </row>
    <row r="49" spans="2:17">
      <c r="B49" s="9" t="str">
        <f t="shared" si="8"/>
        <v/>
      </c>
      <c r="C49" s="153">
        <f>IF(D11="","-",+C48+1)</f>
        <v>2040</v>
      </c>
      <c r="D49" s="159">
        <f>IF(F48+SUM(E$17:E48)=D$10,F48,D$10-SUM(E$17:E48))</f>
        <v>0</v>
      </c>
      <c r="E49" s="160">
        <f>IF(+I14&lt;F48,I14,D49)</f>
        <v>0</v>
      </c>
      <c r="F49" s="159">
        <f t="shared" ref="F49:F72" si="9">+D49-E49</f>
        <v>0</v>
      </c>
      <c r="G49" s="161">
        <f t="shared" si="6"/>
        <v>0</v>
      </c>
      <c r="H49" s="142">
        <f t="shared" si="7"/>
        <v>0</v>
      </c>
      <c r="I49" s="156">
        <f t="shared" ref="I49:I72" si="10">H49-G49</f>
        <v>0</v>
      </c>
      <c r="J49" s="156"/>
      <c r="K49" s="334"/>
      <c r="L49" s="158">
        <f t="shared" ref="L49:L72" si="11">IF(K49&lt;&gt;0,+G49-K49,0)</f>
        <v>0</v>
      </c>
      <c r="M49" s="334"/>
      <c r="N49" s="158">
        <f t="shared" ref="N49:N72" si="12">IF(M49&lt;&gt;0,+H49-M49,0)</f>
        <v>0</v>
      </c>
      <c r="O49" s="158">
        <f t="shared" ref="O49:O72" si="13">+N49-L49</f>
        <v>0</v>
      </c>
      <c r="P49" s="4"/>
    </row>
    <row r="50" spans="2:17">
      <c r="B50" s="9" t="str">
        <f t="shared" si="8"/>
        <v/>
      </c>
      <c r="C50" s="153">
        <f>IF(D11="","-",+C49+1)</f>
        <v>2041</v>
      </c>
      <c r="D50" s="159">
        <f>IF(F49+SUM(E$17:E49)=D$10,F49,D$10-SUM(E$17:E49))</f>
        <v>0</v>
      </c>
      <c r="E50" s="160">
        <f>IF(+I14&lt;F49,I14,D50)</f>
        <v>0</v>
      </c>
      <c r="F50" s="159">
        <f t="shared" si="9"/>
        <v>0</v>
      </c>
      <c r="G50" s="161">
        <f t="shared" si="6"/>
        <v>0</v>
      </c>
      <c r="H50" s="142">
        <f t="shared" si="7"/>
        <v>0</v>
      </c>
      <c r="I50" s="156">
        <f t="shared" si="10"/>
        <v>0</v>
      </c>
      <c r="J50" s="156"/>
      <c r="K50" s="334"/>
      <c r="L50" s="158">
        <f t="shared" si="11"/>
        <v>0</v>
      </c>
      <c r="M50" s="334"/>
      <c r="N50" s="158">
        <f t="shared" si="12"/>
        <v>0</v>
      </c>
      <c r="O50" s="158">
        <f t="shared" si="13"/>
        <v>0</v>
      </c>
      <c r="P50" s="4"/>
    </row>
    <row r="51" spans="2:17">
      <c r="B51" s="9" t="str">
        <f t="shared" si="8"/>
        <v/>
      </c>
      <c r="C51" s="153">
        <f>IF(D11="","-",+C50+1)</f>
        <v>2042</v>
      </c>
      <c r="D51" s="159">
        <f>IF(F50+SUM(E$17:E50)=D$10,F50,D$10-SUM(E$17:E50))</f>
        <v>0</v>
      </c>
      <c r="E51" s="160">
        <f>IF(+I14&lt;F50,I14,D51)</f>
        <v>0</v>
      </c>
      <c r="F51" s="159">
        <f t="shared" si="9"/>
        <v>0</v>
      </c>
      <c r="G51" s="161">
        <f t="shared" si="6"/>
        <v>0</v>
      </c>
      <c r="H51" s="142">
        <f t="shared" si="7"/>
        <v>0</v>
      </c>
      <c r="I51" s="156">
        <f t="shared" si="10"/>
        <v>0</v>
      </c>
      <c r="J51" s="156"/>
      <c r="K51" s="334"/>
      <c r="L51" s="158">
        <f t="shared" si="11"/>
        <v>0</v>
      </c>
      <c r="M51" s="334"/>
      <c r="N51" s="158">
        <f t="shared" si="12"/>
        <v>0</v>
      </c>
      <c r="O51" s="158">
        <f t="shared" si="13"/>
        <v>0</v>
      </c>
      <c r="P51" s="4"/>
    </row>
    <row r="52" spans="2:17">
      <c r="B52" s="9" t="str">
        <f t="shared" si="8"/>
        <v/>
      </c>
      <c r="C52" s="153">
        <f>IF(D11="","-",+C51+1)</f>
        <v>2043</v>
      </c>
      <c r="D52" s="159">
        <f>IF(F51+SUM(E$17:E51)=D$10,F51,D$10-SUM(E$17:E51))</f>
        <v>0</v>
      </c>
      <c r="E52" s="160">
        <f>IF(+I14&lt;F51,I14,D52)</f>
        <v>0</v>
      </c>
      <c r="F52" s="159">
        <f t="shared" si="9"/>
        <v>0</v>
      </c>
      <c r="G52" s="161">
        <f t="shared" si="6"/>
        <v>0</v>
      </c>
      <c r="H52" s="142">
        <f t="shared" si="7"/>
        <v>0</v>
      </c>
      <c r="I52" s="156">
        <f t="shared" si="10"/>
        <v>0</v>
      </c>
      <c r="J52" s="156"/>
      <c r="K52" s="334"/>
      <c r="L52" s="158">
        <f t="shared" si="11"/>
        <v>0</v>
      </c>
      <c r="M52" s="334"/>
      <c r="N52" s="158">
        <f t="shared" si="12"/>
        <v>0</v>
      </c>
      <c r="O52" s="158">
        <f t="shared" si="13"/>
        <v>0</v>
      </c>
      <c r="P52" s="4"/>
    </row>
    <row r="53" spans="2:17">
      <c r="B53" s="9" t="str">
        <f t="shared" si="8"/>
        <v/>
      </c>
      <c r="C53" s="153">
        <f>IF(D11="","-",+C52+1)</f>
        <v>2044</v>
      </c>
      <c r="D53" s="159">
        <f>IF(F52+SUM(E$17:E52)=D$10,F52,D$10-SUM(E$17:E52))</f>
        <v>0</v>
      </c>
      <c r="E53" s="160">
        <f>IF(+I14&lt;F52,I14,D53)</f>
        <v>0</v>
      </c>
      <c r="F53" s="159">
        <f t="shared" si="9"/>
        <v>0</v>
      </c>
      <c r="G53" s="161">
        <f t="shared" si="6"/>
        <v>0</v>
      </c>
      <c r="H53" s="142">
        <f t="shared" si="7"/>
        <v>0</v>
      </c>
      <c r="I53" s="156">
        <f t="shared" si="10"/>
        <v>0</v>
      </c>
      <c r="J53" s="156"/>
      <c r="K53" s="334"/>
      <c r="L53" s="158">
        <f t="shared" si="11"/>
        <v>0</v>
      </c>
      <c r="M53" s="334"/>
      <c r="N53" s="158">
        <f t="shared" si="12"/>
        <v>0</v>
      </c>
      <c r="O53" s="158">
        <f t="shared" si="13"/>
        <v>0</v>
      </c>
      <c r="P53" s="4"/>
    </row>
    <row r="54" spans="2:17">
      <c r="B54" s="9" t="str">
        <f t="shared" si="8"/>
        <v/>
      </c>
      <c r="C54" s="153">
        <f>IF(D11="","-",+C53+1)</f>
        <v>2045</v>
      </c>
      <c r="D54" s="159">
        <f>IF(F53+SUM(E$17:E53)=D$10,F53,D$10-SUM(E$17:E53))</f>
        <v>0</v>
      </c>
      <c r="E54" s="160">
        <f>IF(+I14&lt;F53,I14,D54)</f>
        <v>0</v>
      </c>
      <c r="F54" s="159">
        <f t="shared" si="9"/>
        <v>0</v>
      </c>
      <c r="G54" s="161">
        <f t="shared" si="6"/>
        <v>0</v>
      </c>
      <c r="H54" s="142">
        <f t="shared" si="7"/>
        <v>0</v>
      </c>
      <c r="I54" s="156">
        <f t="shared" si="10"/>
        <v>0</v>
      </c>
      <c r="J54" s="156"/>
      <c r="K54" s="334"/>
      <c r="L54" s="158">
        <f t="shared" si="11"/>
        <v>0</v>
      </c>
      <c r="M54" s="334"/>
      <c r="N54" s="158">
        <f t="shared" si="12"/>
        <v>0</v>
      </c>
      <c r="O54" s="158">
        <f t="shared" si="13"/>
        <v>0</v>
      </c>
      <c r="P54" s="4"/>
    </row>
    <row r="55" spans="2:17">
      <c r="B55" s="9" t="str">
        <f t="shared" si="8"/>
        <v/>
      </c>
      <c r="C55" s="153">
        <f>IF(D11="","-",+C54+1)</f>
        <v>2046</v>
      </c>
      <c r="D55" s="159">
        <f>IF(F54+SUM(E$17:E54)=D$10,F54,D$10-SUM(E$17:E54))</f>
        <v>0</v>
      </c>
      <c r="E55" s="160">
        <f>IF(+I14&lt;F54,I14,D55)</f>
        <v>0</v>
      </c>
      <c r="F55" s="159">
        <f t="shared" si="9"/>
        <v>0</v>
      </c>
      <c r="G55" s="161">
        <f t="shared" si="6"/>
        <v>0</v>
      </c>
      <c r="H55" s="142">
        <f t="shared" si="7"/>
        <v>0</v>
      </c>
      <c r="I55" s="156">
        <f t="shared" si="10"/>
        <v>0</v>
      </c>
      <c r="J55" s="156"/>
      <c r="K55" s="334"/>
      <c r="L55" s="158">
        <f t="shared" si="11"/>
        <v>0</v>
      </c>
      <c r="M55" s="334"/>
      <c r="N55" s="158">
        <f t="shared" si="12"/>
        <v>0</v>
      </c>
      <c r="O55" s="158">
        <f t="shared" si="13"/>
        <v>0</v>
      </c>
      <c r="P55" s="4"/>
    </row>
    <row r="56" spans="2:17">
      <c r="B56" s="9" t="str">
        <f t="shared" si="8"/>
        <v/>
      </c>
      <c r="C56" s="153">
        <f>IF(D11="","-",+C55+1)</f>
        <v>2047</v>
      </c>
      <c r="D56" s="159">
        <f>IF(F55+SUM(E$17:E55)=D$10,F55,D$10-SUM(E$17:E55))</f>
        <v>0</v>
      </c>
      <c r="E56" s="160">
        <f>IF(+I14&lt;F55,I14,D56)</f>
        <v>0</v>
      </c>
      <c r="F56" s="159">
        <f t="shared" si="9"/>
        <v>0</v>
      </c>
      <c r="G56" s="161">
        <f t="shared" si="6"/>
        <v>0</v>
      </c>
      <c r="H56" s="142">
        <f t="shared" si="7"/>
        <v>0</v>
      </c>
      <c r="I56" s="156">
        <f t="shared" si="10"/>
        <v>0</v>
      </c>
      <c r="J56" s="156"/>
      <c r="K56" s="334"/>
      <c r="L56" s="158">
        <f t="shared" si="11"/>
        <v>0</v>
      </c>
      <c r="M56" s="334"/>
      <c r="N56" s="158">
        <f t="shared" si="12"/>
        <v>0</v>
      </c>
      <c r="O56" s="158">
        <f t="shared" si="13"/>
        <v>0</v>
      </c>
      <c r="P56" s="4"/>
    </row>
    <row r="57" spans="2:17">
      <c r="B57" s="9" t="str">
        <f t="shared" si="8"/>
        <v/>
      </c>
      <c r="C57" s="153">
        <f>IF(D11="","-",+C56+1)</f>
        <v>2048</v>
      </c>
      <c r="D57" s="159">
        <f>IF(F56+SUM(E$17:E56)=D$10,F56,D$10-SUM(E$17:E56))</f>
        <v>0</v>
      </c>
      <c r="E57" s="160">
        <f>IF(+I14&lt;F56,I14,D57)</f>
        <v>0</v>
      </c>
      <c r="F57" s="159">
        <f t="shared" si="9"/>
        <v>0</v>
      </c>
      <c r="G57" s="161">
        <f t="shared" si="6"/>
        <v>0</v>
      </c>
      <c r="H57" s="142">
        <f t="shared" si="7"/>
        <v>0</v>
      </c>
      <c r="I57" s="156">
        <f t="shared" si="10"/>
        <v>0</v>
      </c>
      <c r="J57" s="156"/>
      <c r="K57" s="334"/>
      <c r="L57" s="158">
        <f t="shared" si="11"/>
        <v>0</v>
      </c>
      <c r="M57" s="334"/>
      <c r="N57" s="158">
        <f t="shared" si="12"/>
        <v>0</v>
      </c>
      <c r="O57" s="158">
        <f t="shared" si="13"/>
        <v>0</v>
      </c>
      <c r="P57" s="4"/>
    </row>
    <row r="58" spans="2:17">
      <c r="B58" s="9" t="str">
        <f t="shared" si="8"/>
        <v/>
      </c>
      <c r="C58" s="153">
        <f>IF(D11="","-",+C57+1)</f>
        <v>2049</v>
      </c>
      <c r="D58" s="159">
        <f>IF(F57+SUM(E$17:E57)=D$10,F57,D$10-SUM(E$17:E57))</f>
        <v>0</v>
      </c>
      <c r="E58" s="160">
        <f>IF(+I14&lt;F57,I14,D58)</f>
        <v>0</v>
      </c>
      <c r="F58" s="159">
        <f t="shared" si="9"/>
        <v>0</v>
      </c>
      <c r="G58" s="161">
        <f t="shared" si="6"/>
        <v>0</v>
      </c>
      <c r="H58" s="142">
        <f t="shared" si="7"/>
        <v>0</v>
      </c>
      <c r="I58" s="156">
        <f t="shared" si="10"/>
        <v>0</v>
      </c>
      <c r="J58" s="156"/>
      <c r="K58" s="334"/>
      <c r="L58" s="158">
        <f t="shared" si="11"/>
        <v>0</v>
      </c>
      <c r="M58" s="334"/>
      <c r="N58" s="158">
        <f t="shared" si="12"/>
        <v>0</v>
      </c>
      <c r="O58" s="158">
        <f t="shared" si="13"/>
        <v>0</v>
      </c>
      <c r="P58" s="4"/>
      <c r="Q58" t="str">
        <f>IF(ROUND(Q57,0)=ROUND(SUM(Q18:Q56),0),"","Error -- check allocations above).")</f>
        <v/>
      </c>
    </row>
    <row r="59" spans="2:17">
      <c r="B59" s="9" t="str">
        <f t="shared" si="8"/>
        <v/>
      </c>
      <c r="C59" s="153">
        <f>IF(D11="","-",+C58+1)</f>
        <v>2050</v>
      </c>
      <c r="D59" s="159">
        <f>IF(F58+SUM(E$17:E58)=D$10,F58,D$10-SUM(E$17:E58))</f>
        <v>0</v>
      </c>
      <c r="E59" s="160">
        <f>IF(+I14&lt;F58,I14,D59)</f>
        <v>0</v>
      </c>
      <c r="F59" s="159">
        <f t="shared" si="9"/>
        <v>0</v>
      </c>
      <c r="G59" s="161">
        <f t="shared" si="6"/>
        <v>0</v>
      </c>
      <c r="H59" s="142">
        <f t="shared" si="7"/>
        <v>0</v>
      </c>
      <c r="I59" s="156">
        <f t="shared" si="10"/>
        <v>0</v>
      </c>
      <c r="J59" s="156"/>
      <c r="K59" s="334"/>
      <c r="L59" s="158">
        <f t="shared" si="11"/>
        <v>0</v>
      </c>
      <c r="M59" s="334"/>
      <c r="N59" s="158">
        <f t="shared" si="12"/>
        <v>0</v>
      </c>
      <c r="O59" s="158">
        <f t="shared" si="13"/>
        <v>0</v>
      </c>
      <c r="P59" s="4"/>
    </row>
    <row r="60" spans="2:17">
      <c r="B60" s="9" t="str">
        <f t="shared" si="8"/>
        <v/>
      </c>
      <c r="C60" s="153">
        <f>IF(D11="","-",+C59+1)</f>
        <v>2051</v>
      </c>
      <c r="D60" s="159">
        <f>IF(F59+SUM(E$17:E59)=D$10,F59,D$10-SUM(E$17:E59))</f>
        <v>0</v>
      </c>
      <c r="E60" s="160">
        <f>IF(+I14&lt;F59,I14,D60)</f>
        <v>0</v>
      </c>
      <c r="F60" s="159">
        <f t="shared" si="9"/>
        <v>0</v>
      </c>
      <c r="G60" s="161">
        <f t="shared" si="6"/>
        <v>0</v>
      </c>
      <c r="H60" s="142">
        <f t="shared" si="7"/>
        <v>0</v>
      </c>
      <c r="I60" s="156">
        <f t="shared" si="10"/>
        <v>0</v>
      </c>
      <c r="J60" s="156"/>
      <c r="K60" s="334"/>
      <c r="L60" s="158">
        <f t="shared" si="11"/>
        <v>0</v>
      </c>
      <c r="M60" s="334"/>
      <c r="N60" s="158">
        <f t="shared" si="12"/>
        <v>0</v>
      </c>
      <c r="O60" s="158">
        <f t="shared" si="13"/>
        <v>0</v>
      </c>
      <c r="P60" s="4"/>
    </row>
    <row r="61" spans="2:17">
      <c r="B61" s="9" t="str">
        <f t="shared" si="8"/>
        <v/>
      </c>
      <c r="C61" s="153">
        <f>IF(D11="","-",+C60+1)</f>
        <v>2052</v>
      </c>
      <c r="D61" s="159">
        <f>IF(F60+SUM(E$17:E60)=D$10,F60,D$10-SUM(E$17:E60))</f>
        <v>0</v>
      </c>
      <c r="E61" s="160">
        <f>IF(+I14&lt;F60,I14,D61)</f>
        <v>0</v>
      </c>
      <c r="F61" s="159">
        <f t="shared" si="9"/>
        <v>0</v>
      </c>
      <c r="G61" s="163">
        <f t="shared" si="6"/>
        <v>0</v>
      </c>
      <c r="H61" s="142">
        <f t="shared" si="7"/>
        <v>0</v>
      </c>
      <c r="I61" s="156">
        <f t="shared" si="10"/>
        <v>0</v>
      </c>
      <c r="J61" s="156"/>
      <c r="K61" s="334"/>
      <c r="L61" s="158">
        <f t="shared" si="11"/>
        <v>0</v>
      </c>
      <c r="M61" s="334"/>
      <c r="N61" s="158">
        <f t="shared" si="12"/>
        <v>0</v>
      </c>
      <c r="O61" s="158">
        <f t="shared" si="13"/>
        <v>0</v>
      </c>
      <c r="P61" s="4"/>
    </row>
    <row r="62" spans="2:17">
      <c r="B62" s="9" t="str">
        <f t="shared" si="8"/>
        <v/>
      </c>
      <c r="C62" s="153">
        <f>IF(D11="","-",+C61+1)</f>
        <v>2053</v>
      </c>
      <c r="D62" s="159">
        <f>IF(F61+SUM(E$17:E61)=D$10,F61,D$10-SUM(E$17:E61))</f>
        <v>0</v>
      </c>
      <c r="E62" s="160">
        <f>IF(+I14&lt;F61,I14,D62)</f>
        <v>0</v>
      </c>
      <c r="F62" s="159">
        <f t="shared" si="9"/>
        <v>0</v>
      </c>
      <c r="G62" s="163">
        <f t="shared" si="6"/>
        <v>0</v>
      </c>
      <c r="H62" s="142">
        <f t="shared" si="7"/>
        <v>0</v>
      </c>
      <c r="I62" s="156">
        <f t="shared" si="10"/>
        <v>0</v>
      </c>
      <c r="J62" s="156"/>
      <c r="K62" s="334"/>
      <c r="L62" s="158">
        <f t="shared" si="11"/>
        <v>0</v>
      </c>
      <c r="M62" s="334"/>
      <c r="N62" s="158">
        <f t="shared" si="12"/>
        <v>0</v>
      </c>
      <c r="O62" s="158">
        <f t="shared" si="13"/>
        <v>0</v>
      </c>
      <c r="P62" s="4"/>
    </row>
    <row r="63" spans="2:17">
      <c r="B63" s="9" t="str">
        <f t="shared" si="8"/>
        <v/>
      </c>
      <c r="C63" s="153">
        <f>IF(D11="","-",+C62+1)</f>
        <v>2054</v>
      </c>
      <c r="D63" s="159">
        <f>IF(F62+SUM(E$17:E62)=D$10,F62,D$10-SUM(E$17:E62))</f>
        <v>0</v>
      </c>
      <c r="E63" s="160">
        <f>IF(+I14&lt;F62,I14,D63)</f>
        <v>0</v>
      </c>
      <c r="F63" s="159">
        <f t="shared" si="9"/>
        <v>0</v>
      </c>
      <c r="G63" s="163">
        <f t="shared" si="6"/>
        <v>0</v>
      </c>
      <c r="H63" s="142">
        <f t="shared" si="7"/>
        <v>0</v>
      </c>
      <c r="I63" s="156">
        <f t="shared" si="10"/>
        <v>0</v>
      </c>
      <c r="J63" s="156"/>
      <c r="K63" s="334"/>
      <c r="L63" s="158">
        <f t="shared" si="11"/>
        <v>0</v>
      </c>
      <c r="M63" s="334"/>
      <c r="N63" s="158">
        <f t="shared" si="12"/>
        <v>0</v>
      </c>
      <c r="O63" s="158">
        <f t="shared" si="13"/>
        <v>0</v>
      </c>
      <c r="P63" s="4"/>
    </row>
    <row r="64" spans="2:17">
      <c r="B64" s="9" t="str">
        <f t="shared" si="8"/>
        <v/>
      </c>
      <c r="C64" s="153">
        <f>IF(D11="","-",+C63+1)</f>
        <v>2055</v>
      </c>
      <c r="D64" s="159">
        <f>IF(F63+SUM(E$17:E63)=D$10,F63,D$10-SUM(E$17:E63))</f>
        <v>0</v>
      </c>
      <c r="E64" s="160">
        <f>IF(+I14&lt;F63,I14,D64)</f>
        <v>0</v>
      </c>
      <c r="F64" s="159">
        <f t="shared" si="9"/>
        <v>0</v>
      </c>
      <c r="G64" s="163">
        <f t="shared" si="6"/>
        <v>0</v>
      </c>
      <c r="H64" s="142">
        <f t="shared" si="7"/>
        <v>0</v>
      </c>
      <c r="I64" s="156">
        <f t="shared" si="10"/>
        <v>0</v>
      </c>
      <c r="J64" s="156"/>
      <c r="K64" s="334"/>
      <c r="L64" s="158">
        <f t="shared" si="11"/>
        <v>0</v>
      </c>
      <c r="M64" s="334"/>
      <c r="N64" s="158">
        <f t="shared" si="12"/>
        <v>0</v>
      </c>
      <c r="O64" s="158">
        <f t="shared" si="13"/>
        <v>0</v>
      </c>
      <c r="P64" s="4"/>
    </row>
    <row r="65" spans="1:16">
      <c r="B65" s="9" t="str">
        <f t="shared" si="8"/>
        <v/>
      </c>
      <c r="C65" s="153">
        <f>IF(D11="","-",+C64+1)</f>
        <v>2056</v>
      </c>
      <c r="D65" s="159">
        <f>IF(F64+SUM(E$17:E64)=D$10,F64,D$10-SUM(E$17:E64))</f>
        <v>0</v>
      </c>
      <c r="E65" s="160">
        <f>IF(+I14&lt;F64,I14,D65)</f>
        <v>0</v>
      </c>
      <c r="F65" s="159">
        <f t="shared" si="9"/>
        <v>0</v>
      </c>
      <c r="G65" s="163">
        <f t="shared" si="6"/>
        <v>0</v>
      </c>
      <c r="H65" s="142">
        <f t="shared" si="7"/>
        <v>0</v>
      </c>
      <c r="I65" s="156">
        <f t="shared" si="10"/>
        <v>0</v>
      </c>
      <c r="J65" s="156"/>
      <c r="K65" s="334"/>
      <c r="L65" s="158">
        <f t="shared" si="11"/>
        <v>0</v>
      </c>
      <c r="M65" s="334"/>
      <c r="N65" s="158">
        <f t="shared" si="12"/>
        <v>0</v>
      </c>
      <c r="O65" s="158">
        <f t="shared" si="13"/>
        <v>0</v>
      </c>
      <c r="P65" s="4"/>
    </row>
    <row r="66" spans="1:16">
      <c r="B66" s="9" t="str">
        <f t="shared" si="8"/>
        <v/>
      </c>
      <c r="C66" s="153">
        <f>IF(D11="","-",+C65+1)</f>
        <v>2057</v>
      </c>
      <c r="D66" s="159">
        <f>IF(F65+SUM(E$17:E65)=D$10,F65,D$10-SUM(E$17:E65))</f>
        <v>0</v>
      </c>
      <c r="E66" s="160">
        <f>IF(+I14&lt;F65,I14,D66)</f>
        <v>0</v>
      </c>
      <c r="F66" s="159">
        <f t="shared" si="9"/>
        <v>0</v>
      </c>
      <c r="G66" s="163">
        <f t="shared" si="6"/>
        <v>0</v>
      </c>
      <c r="H66" s="142">
        <f t="shared" si="7"/>
        <v>0</v>
      </c>
      <c r="I66" s="156">
        <f t="shared" si="10"/>
        <v>0</v>
      </c>
      <c r="J66" s="156"/>
      <c r="K66" s="334"/>
      <c r="L66" s="158">
        <f t="shared" si="11"/>
        <v>0</v>
      </c>
      <c r="M66" s="334"/>
      <c r="N66" s="158">
        <f t="shared" si="12"/>
        <v>0</v>
      </c>
      <c r="O66" s="158">
        <f t="shared" si="13"/>
        <v>0</v>
      </c>
      <c r="P66" s="4"/>
    </row>
    <row r="67" spans="1:16">
      <c r="B67" s="9" t="str">
        <f t="shared" si="8"/>
        <v/>
      </c>
      <c r="C67" s="153">
        <f>IF(D11="","-",+C66+1)</f>
        <v>2058</v>
      </c>
      <c r="D67" s="159">
        <f>IF(F66+SUM(E$17:E66)=D$10,F66,D$10-SUM(E$17:E66))</f>
        <v>0</v>
      </c>
      <c r="E67" s="160">
        <f>IF(+I14&lt;F66,I14,D67)</f>
        <v>0</v>
      </c>
      <c r="F67" s="159">
        <f t="shared" si="9"/>
        <v>0</v>
      </c>
      <c r="G67" s="163">
        <f t="shared" si="6"/>
        <v>0</v>
      </c>
      <c r="H67" s="142">
        <f t="shared" si="7"/>
        <v>0</v>
      </c>
      <c r="I67" s="156">
        <f t="shared" si="10"/>
        <v>0</v>
      </c>
      <c r="J67" s="156"/>
      <c r="K67" s="334"/>
      <c r="L67" s="158">
        <f t="shared" si="11"/>
        <v>0</v>
      </c>
      <c r="M67" s="334"/>
      <c r="N67" s="158">
        <f t="shared" si="12"/>
        <v>0</v>
      </c>
      <c r="O67" s="158">
        <f t="shared" si="13"/>
        <v>0</v>
      </c>
      <c r="P67" s="4"/>
    </row>
    <row r="68" spans="1:16">
      <c r="B68" s="9" t="str">
        <f t="shared" si="8"/>
        <v/>
      </c>
      <c r="C68" s="153">
        <f>IF(D11="","-",+C67+1)</f>
        <v>2059</v>
      </c>
      <c r="D68" s="159">
        <f>IF(F67+SUM(E$17:E67)=D$10,F67,D$10-SUM(E$17:E67))</f>
        <v>0</v>
      </c>
      <c r="E68" s="160">
        <f>IF(+I14&lt;F67,I14,D68)</f>
        <v>0</v>
      </c>
      <c r="F68" s="159">
        <f t="shared" si="9"/>
        <v>0</v>
      </c>
      <c r="G68" s="163">
        <f t="shared" si="6"/>
        <v>0</v>
      </c>
      <c r="H68" s="142">
        <f t="shared" si="7"/>
        <v>0</v>
      </c>
      <c r="I68" s="156">
        <f t="shared" si="10"/>
        <v>0</v>
      </c>
      <c r="J68" s="156"/>
      <c r="K68" s="334"/>
      <c r="L68" s="158">
        <f t="shared" si="11"/>
        <v>0</v>
      </c>
      <c r="M68" s="334"/>
      <c r="N68" s="158">
        <f t="shared" si="12"/>
        <v>0</v>
      </c>
      <c r="O68" s="158">
        <f t="shared" si="13"/>
        <v>0</v>
      </c>
      <c r="P68" s="4"/>
    </row>
    <row r="69" spans="1:16">
      <c r="B69" s="9" t="str">
        <f t="shared" si="8"/>
        <v/>
      </c>
      <c r="C69" s="153">
        <f>IF(D11="","-",+C68+1)</f>
        <v>2060</v>
      </c>
      <c r="D69" s="159">
        <f>IF(F68+SUM(E$17:E68)=D$10,F68,D$10-SUM(E$17:E68))</f>
        <v>0</v>
      </c>
      <c r="E69" s="160">
        <f>IF(+I14&lt;F68,I14,D69)</f>
        <v>0</v>
      </c>
      <c r="F69" s="159">
        <f t="shared" si="9"/>
        <v>0</v>
      </c>
      <c r="G69" s="163">
        <f t="shared" si="6"/>
        <v>0</v>
      </c>
      <c r="H69" s="142">
        <f t="shared" si="7"/>
        <v>0</v>
      </c>
      <c r="I69" s="156">
        <f t="shared" si="10"/>
        <v>0</v>
      </c>
      <c r="J69" s="156"/>
      <c r="K69" s="334"/>
      <c r="L69" s="158">
        <f t="shared" si="11"/>
        <v>0</v>
      </c>
      <c r="M69" s="334"/>
      <c r="N69" s="158">
        <f t="shared" si="12"/>
        <v>0</v>
      </c>
      <c r="O69" s="158">
        <f t="shared" si="13"/>
        <v>0</v>
      </c>
      <c r="P69" s="4"/>
    </row>
    <row r="70" spans="1:16">
      <c r="B70" s="9" t="str">
        <f t="shared" si="8"/>
        <v/>
      </c>
      <c r="C70" s="153">
        <f>IF(D11="","-",+C69+1)</f>
        <v>2061</v>
      </c>
      <c r="D70" s="159">
        <f>IF(F69+SUM(E$17:E69)=D$10,F69,D$10-SUM(E$17:E69))</f>
        <v>0</v>
      </c>
      <c r="E70" s="160">
        <f>IF(+I14&lt;F69,I14,D70)</f>
        <v>0</v>
      </c>
      <c r="F70" s="159">
        <f t="shared" si="9"/>
        <v>0</v>
      </c>
      <c r="G70" s="163">
        <f t="shared" si="6"/>
        <v>0</v>
      </c>
      <c r="H70" s="142">
        <f t="shared" si="7"/>
        <v>0</v>
      </c>
      <c r="I70" s="156">
        <f t="shared" si="10"/>
        <v>0</v>
      </c>
      <c r="J70" s="156"/>
      <c r="K70" s="334"/>
      <c r="L70" s="158">
        <f t="shared" si="11"/>
        <v>0</v>
      </c>
      <c r="M70" s="334"/>
      <c r="N70" s="158">
        <f t="shared" si="12"/>
        <v>0</v>
      </c>
      <c r="O70" s="158">
        <f t="shared" si="13"/>
        <v>0</v>
      </c>
      <c r="P70" s="4"/>
    </row>
    <row r="71" spans="1:16">
      <c r="B71" s="9" t="str">
        <f t="shared" si="8"/>
        <v/>
      </c>
      <c r="C71" s="153">
        <f>IF(D11="","-",+C70+1)</f>
        <v>2062</v>
      </c>
      <c r="D71" s="159">
        <f>IF(F70+SUM(E$17:E70)=D$10,F70,D$10-SUM(E$17:E70))</f>
        <v>0</v>
      </c>
      <c r="E71" s="160">
        <f>IF(+I14&lt;F70,I14,D71)</f>
        <v>0</v>
      </c>
      <c r="F71" s="159">
        <f t="shared" si="9"/>
        <v>0</v>
      </c>
      <c r="G71" s="163">
        <f t="shared" si="6"/>
        <v>0</v>
      </c>
      <c r="H71" s="142">
        <f t="shared" si="7"/>
        <v>0</v>
      </c>
      <c r="I71" s="156">
        <f t="shared" si="10"/>
        <v>0</v>
      </c>
      <c r="J71" s="156"/>
      <c r="K71" s="334"/>
      <c r="L71" s="158">
        <f t="shared" si="11"/>
        <v>0</v>
      </c>
      <c r="M71" s="334"/>
      <c r="N71" s="158">
        <f t="shared" si="12"/>
        <v>0</v>
      </c>
      <c r="O71" s="158">
        <f t="shared" si="13"/>
        <v>0</v>
      </c>
      <c r="P71" s="4"/>
    </row>
    <row r="72" spans="1:16" ht="13.5" thickBot="1">
      <c r="B72" s="9" t="str">
        <f t="shared" si="8"/>
        <v/>
      </c>
      <c r="C72" s="164">
        <f>IF(D11="","-",+C71+1)</f>
        <v>2063</v>
      </c>
      <c r="D72" s="165">
        <f>IF(F71+SUM(E$17:E71)=D$10,F71,D$10-SUM(E$17:E71))</f>
        <v>0</v>
      </c>
      <c r="E72" s="166">
        <f>IF(+I14&lt;F71,I14,D72)</f>
        <v>0</v>
      </c>
      <c r="F72" s="165">
        <f t="shared" si="9"/>
        <v>0</v>
      </c>
      <c r="G72" s="167">
        <f t="shared" si="6"/>
        <v>0</v>
      </c>
      <c r="H72" s="124">
        <f t="shared" si="7"/>
        <v>0</v>
      </c>
      <c r="I72" s="168">
        <f t="shared" si="10"/>
        <v>0</v>
      </c>
      <c r="J72" s="156"/>
      <c r="K72" s="335"/>
      <c r="L72" s="169">
        <f t="shared" si="11"/>
        <v>0</v>
      </c>
      <c r="M72" s="335"/>
      <c r="N72" s="169">
        <f t="shared" si="12"/>
        <v>0</v>
      </c>
      <c r="O72" s="169">
        <f t="shared" si="13"/>
        <v>0</v>
      </c>
      <c r="P72" s="4"/>
    </row>
    <row r="73" spans="1:16">
      <c r="C73" s="154" t="s">
        <v>73</v>
      </c>
      <c r="D73" s="111"/>
      <c r="E73" s="111">
        <f>SUM(E17:E72)</f>
        <v>0</v>
      </c>
      <c r="F73" s="111"/>
      <c r="G73" s="111">
        <f>SUM(G17:G72)</f>
        <v>0</v>
      </c>
      <c r="H73" s="111">
        <f>SUM(H17:H72)</f>
        <v>0</v>
      </c>
      <c r="I73" s="111">
        <f>SUM(I17:I72)</f>
        <v>0</v>
      </c>
      <c r="J73" s="111"/>
      <c r="K73" s="111"/>
      <c r="L73" s="111"/>
      <c r="M73" s="111"/>
      <c r="N73" s="111"/>
      <c r="O73" s="4"/>
      <c r="P73" s="4"/>
    </row>
    <row r="74" spans="1:16">
      <c r="D74" s="2"/>
      <c r="E74" s="1"/>
      <c r="F74" s="1"/>
      <c r="G74" s="1"/>
      <c r="H74" s="3"/>
      <c r="I74" s="3"/>
      <c r="J74" s="111"/>
      <c r="K74" s="3"/>
      <c r="L74" s="3"/>
      <c r="M74" s="3"/>
      <c r="N74" s="3"/>
      <c r="O74" s="1"/>
      <c r="P74" s="1"/>
    </row>
    <row r="75" spans="1:16">
      <c r="C75" s="170" t="s">
        <v>91</v>
      </c>
      <c r="D75" s="2"/>
      <c r="E75" s="1"/>
      <c r="F75" s="1"/>
      <c r="G75" s="1"/>
      <c r="H75" s="3"/>
      <c r="I75" s="3"/>
      <c r="J75" s="111"/>
      <c r="K75" s="3"/>
      <c r="L75" s="3"/>
      <c r="M75" s="3"/>
      <c r="N75" s="3"/>
      <c r="O75" s="1"/>
      <c r="P75" s="1"/>
    </row>
    <row r="76" spans="1:16">
      <c r="C76" s="121" t="s">
        <v>74</v>
      </c>
      <c r="D76" s="2"/>
      <c r="E76" s="1"/>
      <c r="F76" s="1"/>
      <c r="G76" s="1"/>
      <c r="H76" s="3"/>
      <c r="I76" s="3"/>
      <c r="J76" s="111"/>
      <c r="K76" s="3"/>
      <c r="L76" s="3"/>
      <c r="M76" s="3"/>
      <c r="N76" s="3"/>
      <c r="O76" s="4"/>
      <c r="P76" s="4"/>
    </row>
    <row r="77" spans="1:16" ht="18">
      <c r="C77" s="121" t="s">
        <v>75</v>
      </c>
      <c r="D77" s="154"/>
      <c r="E77" s="154"/>
      <c r="F77" s="154"/>
      <c r="G77" s="111"/>
      <c r="H77" s="111"/>
      <c r="I77" s="171"/>
      <c r="J77" s="171"/>
      <c r="K77" s="171"/>
      <c r="L77" s="171"/>
      <c r="M77" s="171"/>
      <c r="N77" s="171"/>
      <c r="O77" s="110"/>
      <c r="P77" s="4"/>
    </row>
    <row r="78" spans="1:16">
      <c r="C78" s="121"/>
      <c r="D78" s="154"/>
      <c r="E78" s="154"/>
      <c r="F78" s="154"/>
      <c r="G78" s="111"/>
      <c r="H78" s="111"/>
      <c r="I78" s="171"/>
      <c r="J78" s="171"/>
      <c r="K78" s="171"/>
      <c r="L78" s="171"/>
      <c r="M78" s="171"/>
      <c r="N78" s="171"/>
      <c r="O78" s="4"/>
      <c r="P78" s="1"/>
    </row>
    <row r="79" spans="1:16" ht="15">
      <c r="A79" s="241"/>
      <c r="B79" s="1"/>
      <c r="C79" s="21"/>
      <c r="D79" s="2"/>
      <c r="E79" s="1"/>
      <c r="F79" s="107"/>
      <c r="G79" s="1"/>
      <c r="H79" s="3"/>
      <c r="I79" s="1"/>
      <c r="J79" s="4"/>
      <c r="K79" s="1"/>
      <c r="L79" s="1"/>
      <c r="M79" s="1"/>
      <c r="N79" s="1"/>
    </row>
    <row r="80" spans="1:16" ht="18">
      <c r="B80" s="1"/>
      <c r="C80" s="242"/>
      <c r="D80" s="2"/>
      <c r="E80" s="1"/>
      <c r="F80" s="107"/>
      <c r="G80" s="1"/>
      <c r="H80" s="3"/>
      <c r="I80" s="1"/>
      <c r="J80" s="4"/>
      <c r="K80" s="1"/>
      <c r="L80" s="1"/>
      <c r="M80" s="1"/>
      <c r="N80" s="1"/>
      <c r="P80" s="244" t="s">
        <v>125</v>
      </c>
    </row>
    <row r="81" spans="1:17">
      <c r="B81" s="1"/>
      <c r="C81" s="242"/>
      <c r="D81" s="2"/>
      <c r="E81" s="1"/>
      <c r="F81" s="107"/>
      <c r="G81" s="1"/>
      <c r="H81" s="3"/>
      <c r="I81" s="1"/>
      <c r="J81" s="4"/>
      <c r="K81" s="1"/>
      <c r="L81" s="1"/>
      <c r="M81" s="1"/>
      <c r="N81" s="1"/>
      <c r="O81" s="1"/>
      <c r="P81" s="1"/>
    </row>
    <row r="82" spans="1:17">
      <c r="B82" s="1"/>
      <c r="C82" s="21"/>
      <c r="D82" s="2"/>
      <c r="E82" s="1"/>
      <c r="F82" s="107"/>
      <c r="G82" s="1"/>
      <c r="H82" s="3"/>
      <c r="I82" s="1"/>
      <c r="J82" s="4"/>
      <c r="K82" s="1"/>
      <c r="L82" s="1"/>
      <c r="M82" s="1"/>
      <c r="N82" s="1"/>
      <c r="O82" s="1"/>
      <c r="P82" s="1"/>
      <c r="Q82" s="1"/>
    </row>
    <row r="83" spans="1:17" ht="20.25">
      <c r="A83" s="243" t="s">
        <v>129</v>
      </c>
      <c r="B83" s="1"/>
      <c r="C83" s="21"/>
      <c r="D83" s="2"/>
      <c r="E83" s="1"/>
      <c r="F83" s="99"/>
      <c r="G83" s="99"/>
      <c r="H83" s="1"/>
      <c r="I83" s="3"/>
      <c r="K83" s="7"/>
      <c r="L83" s="109"/>
      <c r="M83" s="109"/>
      <c r="P83" s="110" t="str">
        <f ca="1">P1</f>
        <v>SWEPCO Project 10 of 73</v>
      </c>
      <c r="Q83" s="1"/>
    </row>
    <row r="84" spans="1:17" ht="18">
      <c r="B84" s="1"/>
      <c r="C84" s="1"/>
      <c r="D84" s="2"/>
      <c r="E84" s="1"/>
      <c r="F84" s="1"/>
      <c r="G84" s="1"/>
      <c r="H84" s="1"/>
      <c r="I84" s="3"/>
      <c r="J84" s="1"/>
      <c r="K84" s="4"/>
      <c r="L84" s="1"/>
      <c r="M84" s="1"/>
      <c r="P84" s="237" t="s">
        <v>123</v>
      </c>
      <c r="Q84" s="1"/>
    </row>
    <row r="85" spans="1:17" ht="18.75" thickBot="1">
      <c r="B85" s="5" t="s">
        <v>40</v>
      </c>
      <c r="C85" s="197" t="s">
        <v>78</v>
      </c>
      <c r="D85" s="2"/>
      <c r="E85" s="1"/>
      <c r="F85" s="1"/>
      <c r="G85" s="1"/>
      <c r="H85" s="1"/>
      <c r="I85" s="3"/>
      <c r="J85" s="3"/>
      <c r="K85" s="111"/>
      <c r="L85" s="3"/>
      <c r="M85" s="3"/>
      <c r="N85" s="3"/>
      <c r="O85" s="111"/>
      <c r="P85" s="1"/>
      <c r="Q85" s="1"/>
    </row>
    <row r="86" spans="1:17" ht="15.75" thickBot="1">
      <c r="C86" s="67"/>
      <c r="D86" s="2"/>
      <c r="E86" s="1"/>
      <c r="F86" s="1"/>
      <c r="G86" s="1"/>
      <c r="H86" s="1"/>
      <c r="I86" s="3"/>
      <c r="J86" s="3"/>
      <c r="K86" s="111"/>
      <c r="L86" s="265">
        <f>+J92</f>
        <v>2017</v>
      </c>
      <c r="M86" s="266" t="s">
        <v>7</v>
      </c>
      <c r="N86" s="270" t="s">
        <v>154</v>
      </c>
      <c r="O86" s="267" t="s">
        <v>9</v>
      </c>
      <c r="P86" s="1"/>
      <c r="Q86" s="1"/>
    </row>
    <row r="87" spans="1:17" ht="15">
      <c r="C87" s="235" t="s">
        <v>42</v>
      </c>
      <c r="D87" s="2"/>
      <c r="E87" s="1"/>
      <c r="F87" s="1"/>
      <c r="G87" s="1"/>
      <c r="H87" s="113"/>
      <c r="I87" s="1" t="s">
        <v>43</v>
      </c>
      <c r="J87" s="1"/>
      <c r="K87" s="261"/>
      <c r="L87" s="259" t="s">
        <v>381</v>
      </c>
      <c r="M87" s="198">
        <f>IF(J92&lt;D11,0,VLOOKUP(J92,C17:O72,9))</f>
        <v>0</v>
      </c>
      <c r="N87" s="198">
        <f>IF(J92&lt;D11,0,VLOOKUP(J92,C17:O72,11))</f>
        <v>0</v>
      </c>
      <c r="O87" s="199">
        <f>+N87-M87</f>
        <v>0</v>
      </c>
      <c r="P87" s="1"/>
      <c r="Q87" s="1"/>
    </row>
    <row r="88" spans="1:17" ht="15.75">
      <c r="C88" s="8"/>
      <c r="D88" s="2"/>
      <c r="E88" s="1"/>
      <c r="F88" s="1"/>
      <c r="G88" s="1"/>
      <c r="H88" s="1"/>
      <c r="I88" s="117"/>
      <c r="J88" s="117"/>
      <c r="K88" s="263"/>
      <c r="L88" s="264" t="s">
        <v>382</v>
      </c>
      <c r="M88" s="200">
        <f>IF(J92&lt;D11,0,VLOOKUP(J92,C99:P154,6))</f>
        <v>0</v>
      </c>
      <c r="N88" s="200">
        <f>IF(J92&lt;D11,0,VLOOKUP(J92,C99:P154,7))</f>
        <v>0</v>
      </c>
      <c r="O88" s="201">
        <f>+N88-M88</f>
        <v>0</v>
      </c>
      <c r="P88" s="1"/>
      <c r="Q88" s="1"/>
    </row>
    <row r="89" spans="1:17" ht="13.5" thickBot="1">
      <c r="C89" s="121" t="s">
        <v>79</v>
      </c>
      <c r="D89" s="246" t="str">
        <f>+D7</f>
        <v>Tontitown - Elm Springs REC 161 kV line***</v>
      </c>
      <c r="E89" s="1"/>
      <c r="F89" s="1"/>
      <c r="G89" s="1"/>
      <c r="H89" s="1"/>
      <c r="I89" s="3"/>
      <c r="J89" s="3"/>
      <c r="K89" s="262"/>
      <c r="L89" s="260" t="s">
        <v>151</v>
      </c>
      <c r="M89" s="203">
        <f>+M88-M87</f>
        <v>0</v>
      </c>
      <c r="N89" s="203">
        <f>+N88-N87</f>
        <v>0</v>
      </c>
      <c r="O89" s="204">
        <f>+O88-O87</f>
        <v>0</v>
      </c>
      <c r="P89" s="1"/>
      <c r="Q89" s="1"/>
    </row>
    <row r="90" spans="1:17" ht="13.5" thickBot="1">
      <c r="C90" s="170"/>
      <c r="D90" s="173" t="str">
        <f>D8</f>
        <v>DOES NOT MEET SPP $100,000 MINIMUM INVESTMENT FOR REGIONAL BPU SHARING.</v>
      </c>
      <c r="E90" s="107"/>
      <c r="F90" s="107"/>
      <c r="G90" s="107"/>
      <c r="H90" s="126"/>
      <c r="I90" s="3"/>
      <c r="J90" s="3"/>
      <c r="K90" s="111"/>
      <c r="L90" s="3"/>
      <c r="M90" s="3"/>
      <c r="N90" s="3"/>
      <c r="O90" s="111"/>
      <c r="P90" s="1"/>
      <c r="Q90" s="1"/>
    </row>
    <row r="91" spans="1:17" ht="13.5" thickBot="1">
      <c r="A91" s="103"/>
      <c r="C91" s="205" t="s">
        <v>80</v>
      </c>
      <c r="D91" s="224" t="str">
        <f>+D9</f>
        <v>TP2007103</v>
      </c>
      <c r="E91" s="206"/>
      <c r="F91" s="206"/>
      <c r="G91" s="206"/>
      <c r="H91" s="206"/>
      <c r="I91" s="206"/>
      <c r="J91" s="238"/>
      <c r="K91" s="207"/>
      <c r="P91" s="131"/>
      <c r="Q91" s="1"/>
    </row>
    <row r="92" spans="1:17">
      <c r="C92" s="136" t="s">
        <v>47</v>
      </c>
      <c r="D92" s="218">
        <f>IF(D11=I10,0,D10)</f>
        <v>0</v>
      </c>
      <c r="E92" s="21" t="s">
        <v>81</v>
      </c>
      <c r="H92" s="134"/>
      <c r="I92" s="134"/>
      <c r="J92" s="135">
        <f>+'SWE.WS.G.BPU.ATRR.True-up'!M15</f>
        <v>2017</v>
      </c>
      <c r="K92" s="130"/>
      <c r="L92" s="111" t="s">
        <v>82</v>
      </c>
      <c r="P92" s="4"/>
      <c r="Q92" s="1"/>
    </row>
    <row r="93" spans="1:17">
      <c r="C93" s="136" t="s">
        <v>49</v>
      </c>
      <c r="D93" s="219">
        <f>IF(D11=I10,"",D11)</f>
        <v>2008</v>
      </c>
      <c r="E93" s="136" t="s">
        <v>50</v>
      </c>
      <c r="F93" s="134"/>
      <c r="G93" s="134"/>
      <c r="J93" s="138">
        <f>IF(H87="",0,'SWE.WS.G.BPU.ATRR.True-up'!$F$12)</f>
        <v>0</v>
      </c>
      <c r="K93" s="139"/>
      <c r="L93" t="str">
        <f>"          INPUT TRUE-UP ARR (WITH &amp; WITHOUT INCENTIVES) FROM EACH PRIOR YEAR"</f>
        <v xml:space="preserve">          INPUT TRUE-UP ARR (WITH &amp; WITHOUT INCENTIVES) FROM EACH PRIOR YEAR</v>
      </c>
      <c r="P93" s="4"/>
      <c r="Q93" s="1"/>
    </row>
    <row r="94" spans="1:17">
      <c r="C94" s="136" t="s">
        <v>51</v>
      </c>
      <c r="D94" s="218">
        <f>IF(D11=I10,"",D12)</f>
        <v>11</v>
      </c>
      <c r="E94" s="136" t="s">
        <v>52</v>
      </c>
      <c r="F94" s="134"/>
      <c r="G94" s="134"/>
      <c r="J94" s="140">
        <f>'SWE.WS.G.BPU.ATRR.True-up'!$F$80</f>
        <v>0.12147145768398206</v>
      </c>
      <c r="K94" s="141"/>
      <c r="L94" t="s">
        <v>83</v>
      </c>
      <c r="P94" s="4"/>
      <c r="Q94" s="1"/>
    </row>
    <row r="95" spans="1:17">
      <c r="C95" s="136" t="s">
        <v>54</v>
      </c>
      <c r="D95" s="138">
        <f>'SWE.WS.G.BPU.ATRR.True-up'!F$92</f>
        <v>42</v>
      </c>
      <c r="E95" s="136" t="s">
        <v>55</v>
      </c>
      <c r="F95" s="134"/>
      <c r="G95" s="134"/>
      <c r="J95" s="140">
        <f>IF(H87="",J94,'SWE.WS.G.BPU.ATRR.True-up'!$F$79)</f>
        <v>0.12147145768398206</v>
      </c>
      <c r="K95" s="58"/>
      <c r="L95" s="111" t="s">
        <v>56</v>
      </c>
      <c r="M95" s="58"/>
      <c r="N95" s="58"/>
      <c r="O95" s="58"/>
      <c r="P95" s="4"/>
      <c r="Q95" s="1"/>
    </row>
    <row r="96" spans="1:17" ht="13.5" thickBot="1">
      <c r="C96" s="136" t="s">
        <v>57</v>
      </c>
      <c r="D96" s="220" t="str">
        <f>+D14</f>
        <v>No</v>
      </c>
      <c r="E96" s="202" t="s">
        <v>59</v>
      </c>
      <c r="F96" s="208"/>
      <c r="G96" s="208"/>
      <c r="H96" s="209"/>
      <c r="I96" s="209"/>
      <c r="J96" s="124">
        <f>IF(D92=0,0,D92/D95)</f>
        <v>0</v>
      </c>
      <c r="K96" s="111"/>
      <c r="L96" s="111"/>
      <c r="M96" s="111"/>
      <c r="N96" s="111"/>
      <c r="O96" s="111"/>
      <c r="P96" s="4"/>
      <c r="Q96" s="1"/>
    </row>
    <row r="97" spans="1:17" ht="38.25">
      <c r="A97" s="6"/>
      <c r="B97" s="6"/>
      <c r="C97" s="210" t="s">
        <v>47</v>
      </c>
      <c r="D97" s="211" t="s">
        <v>60</v>
      </c>
      <c r="E97" s="146" t="s">
        <v>61</v>
      </c>
      <c r="F97" s="146" t="s">
        <v>62</v>
      </c>
      <c r="G97" s="144" t="s">
        <v>84</v>
      </c>
      <c r="H97" s="434" t="s">
        <v>378</v>
      </c>
      <c r="I97" s="435" t="s">
        <v>379</v>
      </c>
      <c r="J97" s="210" t="s">
        <v>85</v>
      </c>
      <c r="K97" s="212"/>
      <c r="L97" s="271" t="s">
        <v>220</v>
      </c>
      <c r="M97" s="146" t="s">
        <v>86</v>
      </c>
      <c r="N97" s="271" t="s">
        <v>220</v>
      </c>
      <c r="O97" s="146" t="s">
        <v>86</v>
      </c>
      <c r="P97" s="146" t="s">
        <v>65</v>
      </c>
      <c r="Q97" s="1"/>
    </row>
    <row r="98" spans="1:17" ht="13.5" thickBot="1">
      <c r="C98" s="147" t="s">
        <v>66</v>
      </c>
      <c r="D98" s="213" t="s">
        <v>67</v>
      </c>
      <c r="E98" s="147" t="s">
        <v>68</v>
      </c>
      <c r="F98" s="147" t="s">
        <v>67</v>
      </c>
      <c r="G98" s="147" t="s">
        <v>67</v>
      </c>
      <c r="H98" s="255" t="s">
        <v>69</v>
      </c>
      <c r="I98" s="148" t="s">
        <v>70</v>
      </c>
      <c r="J98" s="149" t="s">
        <v>89</v>
      </c>
      <c r="K98" s="150"/>
      <c r="L98" s="151" t="s">
        <v>72</v>
      </c>
      <c r="M98" s="151" t="s">
        <v>72</v>
      </c>
      <c r="N98" s="151" t="s">
        <v>90</v>
      </c>
      <c r="O98" s="151" t="s">
        <v>90</v>
      </c>
      <c r="P98" s="151" t="s">
        <v>90</v>
      </c>
      <c r="Q98" s="1"/>
    </row>
    <row r="99" spans="1:17">
      <c r="C99" s="153">
        <f>IF(D93= "","-",D93)</f>
        <v>2008</v>
      </c>
      <c r="D99" s="154">
        <f>IF(D93=C99,0,D92)</f>
        <v>0</v>
      </c>
      <c r="E99" s="161">
        <f>IF(D11=I10,0,J96/12*(12-D94))</f>
        <v>0</v>
      </c>
      <c r="F99" s="159">
        <f>IF(D93=C99,+D92-E99,+D99-E99)</f>
        <v>0</v>
      </c>
      <c r="G99" s="214">
        <f t="shared" ref="G99:G130" si="14">+(F99+D99)/2</f>
        <v>0</v>
      </c>
      <c r="H99" s="251">
        <f t="shared" ref="H99:H112" si="15">+J$94*G99+E99</f>
        <v>0</v>
      </c>
      <c r="I99" s="252">
        <f t="shared" ref="I99:I112" si="16">+J$95*G99+E99</f>
        <v>0</v>
      </c>
      <c r="J99" s="158">
        <f t="shared" ref="J99:J130" si="17">+I99-H99</f>
        <v>0</v>
      </c>
      <c r="K99" s="158"/>
      <c r="L99" s="256">
        <v>0</v>
      </c>
      <c r="M99" s="157">
        <f t="shared" ref="M99:M130" si="18">IF(L99&lt;&gt;0,+H99-L99,0)</f>
        <v>0</v>
      </c>
      <c r="N99" s="256">
        <v>0</v>
      </c>
      <c r="O99" s="157">
        <f t="shared" ref="O99:O130" si="19">IF(N99&lt;&gt;0,+I99-N99,0)</f>
        <v>0</v>
      </c>
      <c r="P99" s="157">
        <f t="shared" ref="P99:P130" si="20">+O99-M99</f>
        <v>0</v>
      </c>
      <c r="Q99" s="1"/>
    </row>
    <row r="100" spans="1:17">
      <c r="B100" s="9" t="str">
        <f>IF(D100=F99,"","IU")</f>
        <v/>
      </c>
      <c r="C100" s="153">
        <f>IF(D93="","-",+C99+1)</f>
        <v>2009</v>
      </c>
      <c r="D100" s="154">
        <f t="shared" ref="D100:D109" si="21">F99</f>
        <v>0</v>
      </c>
      <c r="E100" s="160">
        <f>IF(+J96&lt;F99,J96,D100)</f>
        <v>0</v>
      </c>
      <c r="F100" s="159">
        <f t="shared" ref="F100:F130" si="22">+D100-E100</f>
        <v>0</v>
      </c>
      <c r="G100" s="159">
        <f t="shared" si="14"/>
        <v>0</v>
      </c>
      <c r="H100" s="163">
        <f t="shared" si="15"/>
        <v>0</v>
      </c>
      <c r="I100" s="253">
        <f t="shared" si="16"/>
        <v>0</v>
      </c>
      <c r="J100" s="158">
        <f t="shared" si="17"/>
        <v>0</v>
      </c>
      <c r="K100" s="158"/>
      <c r="L100" s="258">
        <v>0</v>
      </c>
      <c r="M100" s="158">
        <f t="shared" si="18"/>
        <v>0</v>
      </c>
      <c r="N100" s="258">
        <v>0</v>
      </c>
      <c r="O100" s="158">
        <f t="shared" si="19"/>
        <v>0</v>
      </c>
      <c r="P100" s="158">
        <f t="shared" si="20"/>
        <v>0</v>
      </c>
      <c r="Q100" s="1"/>
    </row>
    <row r="101" spans="1:17">
      <c r="B101" s="9" t="str">
        <f t="shared" ref="B101:B154" si="23">IF(D101=F100,"","IU")</f>
        <v/>
      </c>
      <c r="C101" s="153">
        <f>IF(D93="","-",+C100+1)</f>
        <v>2010</v>
      </c>
      <c r="D101" s="154">
        <f t="shared" si="21"/>
        <v>0</v>
      </c>
      <c r="E101" s="160">
        <f>IF(+J96&lt;F100,J96,D101)</f>
        <v>0</v>
      </c>
      <c r="F101" s="159">
        <f t="shared" si="22"/>
        <v>0</v>
      </c>
      <c r="G101" s="159">
        <f t="shared" si="14"/>
        <v>0</v>
      </c>
      <c r="H101" s="163">
        <f t="shared" si="15"/>
        <v>0</v>
      </c>
      <c r="I101" s="253">
        <f t="shared" si="16"/>
        <v>0</v>
      </c>
      <c r="J101" s="158">
        <f t="shared" si="17"/>
        <v>0</v>
      </c>
      <c r="K101" s="158"/>
      <c r="L101" s="334"/>
      <c r="M101" s="158">
        <f t="shared" si="18"/>
        <v>0</v>
      </c>
      <c r="N101" s="334"/>
      <c r="O101" s="158">
        <f t="shared" si="19"/>
        <v>0</v>
      </c>
      <c r="P101" s="158">
        <f t="shared" si="20"/>
        <v>0</v>
      </c>
      <c r="Q101" s="1"/>
    </row>
    <row r="102" spans="1:17">
      <c r="B102" s="9" t="str">
        <f t="shared" si="23"/>
        <v/>
      </c>
      <c r="C102" s="153">
        <f>IF(D93="","-",+C101+1)</f>
        <v>2011</v>
      </c>
      <c r="D102" s="154">
        <f t="shared" si="21"/>
        <v>0</v>
      </c>
      <c r="E102" s="160">
        <f>IF(+J96&lt;F101,J96,D102)</f>
        <v>0</v>
      </c>
      <c r="F102" s="159">
        <f t="shared" si="22"/>
        <v>0</v>
      </c>
      <c r="G102" s="159">
        <f t="shared" si="14"/>
        <v>0</v>
      </c>
      <c r="H102" s="163">
        <f t="shared" si="15"/>
        <v>0</v>
      </c>
      <c r="I102" s="253">
        <f t="shared" si="16"/>
        <v>0</v>
      </c>
      <c r="J102" s="158">
        <f t="shared" si="17"/>
        <v>0</v>
      </c>
      <c r="K102" s="158"/>
      <c r="L102" s="334"/>
      <c r="M102" s="158">
        <f t="shared" si="18"/>
        <v>0</v>
      </c>
      <c r="N102" s="334"/>
      <c r="O102" s="158">
        <f t="shared" si="19"/>
        <v>0</v>
      </c>
      <c r="P102" s="158">
        <f t="shared" si="20"/>
        <v>0</v>
      </c>
      <c r="Q102" s="1"/>
    </row>
    <row r="103" spans="1:17">
      <c r="B103" s="9" t="str">
        <f t="shared" si="23"/>
        <v/>
      </c>
      <c r="C103" s="153">
        <f>IF(D93="","-",+C102+1)</f>
        <v>2012</v>
      </c>
      <c r="D103" s="154">
        <f t="shared" si="21"/>
        <v>0</v>
      </c>
      <c r="E103" s="160">
        <f>IF(+J96&lt;F102,J96,D103)</f>
        <v>0</v>
      </c>
      <c r="F103" s="159">
        <f t="shared" si="22"/>
        <v>0</v>
      </c>
      <c r="G103" s="159">
        <f t="shared" si="14"/>
        <v>0</v>
      </c>
      <c r="H103" s="163">
        <f t="shared" si="15"/>
        <v>0</v>
      </c>
      <c r="I103" s="253">
        <f t="shared" si="16"/>
        <v>0</v>
      </c>
      <c r="J103" s="158">
        <f t="shared" si="17"/>
        <v>0</v>
      </c>
      <c r="K103" s="158"/>
      <c r="L103" s="334"/>
      <c r="M103" s="158">
        <f t="shared" si="18"/>
        <v>0</v>
      </c>
      <c r="N103" s="334"/>
      <c r="O103" s="158">
        <f t="shared" si="19"/>
        <v>0</v>
      </c>
      <c r="P103" s="158">
        <f t="shared" si="20"/>
        <v>0</v>
      </c>
      <c r="Q103" s="1"/>
    </row>
    <row r="104" spans="1:17">
      <c r="B104" s="9" t="str">
        <f t="shared" si="23"/>
        <v/>
      </c>
      <c r="C104" s="153">
        <f>IF(D93="","-",+C103+1)</f>
        <v>2013</v>
      </c>
      <c r="D104" s="154">
        <f t="shared" si="21"/>
        <v>0</v>
      </c>
      <c r="E104" s="160">
        <f>IF(+J96&lt;F103,J96,D104)</f>
        <v>0</v>
      </c>
      <c r="F104" s="159">
        <f t="shared" si="22"/>
        <v>0</v>
      </c>
      <c r="G104" s="159">
        <f t="shared" si="14"/>
        <v>0</v>
      </c>
      <c r="H104" s="163">
        <f t="shared" si="15"/>
        <v>0</v>
      </c>
      <c r="I104" s="253">
        <f t="shared" si="16"/>
        <v>0</v>
      </c>
      <c r="J104" s="158">
        <f t="shared" si="17"/>
        <v>0</v>
      </c>
      <c r="K104" s="158"/>
      <c r="L104" s="334"/>
      <c r="M104" s="158">
        <f t="shared" si="18"/>
        <v>0</v>
      </c>
      <c r="N104" s="334"/>
      <c r="O104" s="158">
        <f t="shared" si="19"/>
        <v>0</v>
      </c>
      <c r="P104" s="158">
        <f t="shared" si="20"/>
        <v>0</v>
      </c>
      <c r="Q104" s="1"/>
    </row>
    <row r="105" spans="1:17">
      <c r="B105" s="9" t="str">
        <f t="shared" si="23"/>
        <v/>
      </c>
      <c r="C105" s="153">
        <f>IF(D93="","-",+C104+1)</f>
        <v>2014</v>
      </c>
      <c r="D105" s="154">
        <f t="shared" si="21"/>
        <v>0</v>
      </c>
      <c r="E105" s="160">
        <f>IF(+J96&lt;F104,J96,D105)</f>
        <v>0</v>
      </c>
      <c r="F105" s="159">
        <f t="shared" si="22"/>
        <v>0</v>
      </c>
      <c r="G105" s="159">
        <f t="shared" si="14"/>
        <v>0</v>
      </c>
      <c r="H105" s="163">
        <f t="shared" si="15"/>
        <v>0</v>
      </c>
      <c r="I105" s="253">
        <f t="shared" si="16"/>
        <v>0</v>
      </c>
      <c r="J105" s="158">
        <f t="shared" si="17"/>
        <v>0</v>
      </c>
      <c r="K105" s="158"/>
      <c r="L105" s="334"/>
      <c r="M105" s="158">
        <f t="shared" si="18"/>
        <v>0</v>
      </c>
      <c r="N105" s="334"/>
      <c r="O105" s="158">
        <f t="shared" si="19"/>
        <v>0</v>
      </c>
      <c r="P105" s="158">
        <f t="shared" si="20"/>
        <v>0</v>
      </c>
      <c r="Q105" s="1"/>
    </row>
    <row r="106" spans="1:17">
      <c r="B106" s="9" t="str">
        <f t="shared" si="23"/>
        <v/>
      </c>
      <c r="C106" s="153">
        <f>IF(D93="","-",+C105+1)</f>
        <v>2015</v>
      </c>
      <c r="D106" s="154">
        <f t="shared" si="21"/>
        <v>0</v>
      </c>
      <c r="E106" s="160">
        <f>IF(+J96&lt;F105,J96,D106)</f>
        <v>0</v>
      </c>
      <c r="F106" s="159">
        <f t="shared" si="22"/>
        <v>0</v>
      </c>
      <c r="G106" s="159">
        <f t="shared" si="14"/>
        <v>0</v>
      </c>
      <c r="H106" s="163">
        <f t="shared" si="15"/>
        <v>0</v>
      </c>
      <c r="I106" s="253">
        <f t="shared" si="16"/>
        <v>0</v>
      </c>
      <c r="J106" s="158">
        <f t="shared" si="17"/>
        <v>0</v>
      </c>
      <c r="K106" s="158"/>
      <c r="L106" s="334"/>
      <c r="M106" s="158">
        <f t="shared" si="18"/>
        <v>0</v>
      </c>
      <c r="N106" s="334"/>
      <c r="O106" s="158">
        <f t="shared" si="19"/>
        <v>0</v>
      </c>
      <c r="P106" s="158">
        <f t="shared" si="20"/>
        <v>0</v>
      </c>
      <c r="Q106" s="1"/>
    </row>
    <row r="107" spans="1:17">
      <c r="B107" s="9" t="str">
        <f t="shared" si="23"/>
        <v/>
      </c>
      <c r="C107" s="153">
        <f>IF(D93="","-",+C106+1)</f>
        <v>2016</v>
      </c>
      <c r="D107" s="154">
        <f t="shared" si="21"/>
        <v>0</v>
      </c>
      <c r="E107" s="160">
        <f>IF(+J96&lt;F106,J96,D107)</f>
        <v>0</v>
      </c>
      <c r="F107" s="159">
        <f t="shared" si="22"/>
        <v>0</v>
      </c>
      <c r="G107" s="159">
        <f t="shared" si="14"/>
        <v>0</v>
      </c>
      <c r="H107" s="163">
        <f t="shared" si="15"/>
        <v>0</v>
      </c>
      <c r="I107" s="253">
        <f t="shared" si="16"/>
        <v>0</v>
      </c>
      <c r="J107" s="158">
        <f t="shared" si="17"/>
        <v>0</v>
      </c>
      <c r="K107" s="158"/>
      <c r="L107" s="334"/>
      <c r="M107" s="158">
        <f t="shared" si="18"/>
        <v>0</v>
      </c>
      <c r="N107" s="334"/>
      <c r="O107" s="158">
        <f t="shared" si="19"/>
        <v>0</v>
      </c>
      <c r="P107" s="158">
        <f t="shared" si="20"/>
        <v>0</v>
      </c>
      <c r="Q107" s="1"/>
    </row>
    <row r="108" spans="1:17">
      <c r="B108" s="9" t="str">
        <f t="shared" si="23"/>
        <v/>
      </c>
      <c r="C108" s="153">
        <f>IF(D93="","-",+C107+1)</f>
        <v>2017</v>
      </c>
      <c r="D108" s="154">
        <f t="shared" si="21"/>
        <v>0</v>
      </c>
      <c r="E108" s="160">
        <f>IF(+J96&lt;F107,J96,D108)</f>
        <v>0</v>
      </c>
      <c r="F108" s="159">
        <f t="shared" si="22"/>
        <v>0</v>
      </c>
      <c r="G108" s="159">
        <f t="shared" si="14"/>
        <v>0</v>
      </c>
      <c r="H108" s="163">
        <f t="shared" si="15"/>
        <v>0</v>
      </c>
      <c r="I108" s="253">
        <f t="shared" si="16"/>
        <v>0</v>
      </c>
      <c r="J108" s="158">
        <f t="shared" si="17"/>
        <v>0</v>
      </c>
      <c r="K108" s="158"/>
      <c r="L108" s="334"/>
      <c r="M108" s="158">
        <f t="shared" si="18"/>
        <v>0</v>
      </c>
      <c r="N108" s="334"/>
      <c r="O108" s="158">
        <f t="shared" si="19"/>
        <v>0</v>
      </c>
      <c r="P108" s="158">
        <f t="shared" si="20"/>
        <v>0</v>
      </c>
      <c r="Q108" s="1"/>
    </row>
    <row r="109" spans="1:17">
      <c r="B109" s="9" t="str">
        <f t="shared" si="23"/>
        <v/>
      </c>
      <c r="C109" s="153">
        <f>IF(D93="","-",+C108+1)</f>
        <v>2018</v>
      </c>
      <c r="D109" s="154">
        <f t="shared" si="21"/>
        <v>0</v>
      </c>
      <c r="E109" s="160">
        <f>IF(+J96&lt;F108,J96,D109)</f>
        <v>0</v>
      </c>
      <c r="F109" s="159">
        <f t="shared" si="22"/>
        <v>0</v>
      </c>
      <c r="G109" s="159">
        <f t="shared" si="14"/>
        <v>0</v>
      </c>
      <c r="H109" s="163">
        <f t="shared" si="15"/>
        <v>0</v>
      </c>
      <c r="I109" s="253">
        <f t="shared" si="16"/>
        <v>0</v>
      </c>
      <c r="J109" s="158">
        <f t="shared" si="17"/>
        <v>0</v>
      </c>
      <c r="K109" s="158"/>
      <c r="L109" s="334"/>
      <c r="M109" s="158">
        <f t="shared" si="18"/>
        <v>0</v>
      </c>
      <c r="N109" s="334"/>
      <c r="O109" s="158">
        <f t="shared" si="19"/>
        <v>0</v>
      </c>
      <c r="P109" s="158">
        <f t="shared" si="20"/>
        <v>0</v>
      </c>
      <c r="Q109" s="1"/>
    </row>
    <row r="110" spans="1:17">
      <c r="B110" s="9" t="str">
        <f t="shared" si="23"/>
        <v/>
      </c>
      <c r="C110" s="153">
        <f>IF(D93="","-",+C109+1)</f>
        <v>2019</v>
      </c>
      <c r="D110" s="154">
        <f>IF(F109+SUM(E$99:E109)=D$92,F109,D$92-SUM(E$99:E109))</f>
        <v>0</v>
      </c>
      <c r="E110" s="160">
        <f>IF(+J96&lt;F109,J96,D110)</f>
        <v>0</v>
      </c>
      <c r="F110" s="159">
        <f t="shared" si="22"/>
        <v>0</v>
      </c>
      <c r="G110" s="159">
        <f t="shared" si="14"/>
        <v>0</v>
      </c>
      <c r="H110" s="163">
        <f t="shared" si="15"/>
        <v>0</v>
      </c>
      <c r="I110" s="253">
        <f t="shared" si="16"/>
        <v>0</v>
      </c>
      <c r="J110" s="158">
        <f t="shared" si="17"/>
        <v>0</v>
      </c>
      <c r="K110" s="158"/>
      <c r="L110" s="334"/>
      <c r="M110" s="158">
        <f t="shared" si="18"/>
        <v>0</v>
      </c>
      <c r="N110" s="334"/>
      <c r="O110" s="158">
        <f t="shared" si="19"/>
        <v>0</v>
      </c>
      <c r="P110" s="158">
        <f t="shared" si="20"/>
        <v>0</v>
      </c>
      <c r="Q110" s="1"/>
    </row>
    <row r="111" spans="1:17">
      <c r="B111" s="9" t="str">
        <f t="shared" si="23"/>
        <v/>
      </c>
      <c r="C111" s="153">
        <f>IF(D93="","-",+C110+1)</f>
        <v>2020</v>
      </c>
      <c r="D111" s="154">
        <f>IF(F110+SUM(E$99:E110)=D$92,F110,D$92-SUM(E$99:E110))</f>
        <v>0</v>
      </c>
      <c r="E111" s="160">
        <f>IF(+J96&lt;F110,J96,D111)</f>
        <v>0</v>
      </c>
      <c r="F111" s="159">
        <f t="shared" si="22"/>
        <v>0</v>
      </c>
      <c r="G111" s="159">
        <f t="shared" si="14"/>
        <v>0</v>
      </c>
      <c r="H111" s="163">
        <f t="shared" si="15"/>
        <v>0</v>
      </c>
      <c r="I111" s="253">
        <f t="shared" si="16"/>
        <v>0</v>
      </c>
      <c r="J111" s="158">
        <f t="shared" si="17"/>
        <v>0</v>
      </c>
      <c r="K111" s="158"/>
      <c r="L111" s="334"/>
      <c r="M111" s="158">
        <f t="shared" si="18"/>
        <v>0</v>
      </c>
      <c r="N111" s="334"/>
      <c r="O111" s="158">
        <f t="shared" si="19"/>
        <v>0</v>
      </c>
      <c r="P111" s="158">
        <f t="shared" si="20"/>
        <v>0</v>
      </c>
      <c r="Q111" s="1"/>
    </row>
    <row r="112" spans="1:17">
      <c r="B112" s="9" t="str">
        <f t="shared" si="23"/>
        <v/>
      </c>
      <c r="C112" s="153">
        <f>IF(D93="","-",+C111+1)</f>
        <v>2021</v>
      </c>
      <c r="D112" s="154">
        <f>IF(F111+SUM(E$99:E111)=D$92,F111,D$92-SUM(E$99:E111))</f>
        <v>0</v>
      </c>
      <c r="E112" s="160">
        <f>IF(+J96&lt;F111,J96,D112)</f>
        <v>0</v>
      </c>
      <c r="F112" s="159">
        <f t="shared" si="22"/>
        <v>0</v>
      </c>
      <c r="G112" s="159">
        <f t="shared" si="14"/>
        <v>0</v>
      </c>
      <c r="H112" s="163">
        <f t="shared" si="15"/>
        <v>0</v>
      </c>
      <c r="I112" s="253">
        <f t="shared" si="16"/>
        <v>0</v>
      </c>
      <c r="J112" s="158">
        <f t="shared" si="17"/>
        <v>0</v>
      </c>
      <c r="K112" s="158"/>
      <c r="L112" s="334"/>
      <c r="M112" s="158">
        <f t="shared" si="18"/>
        <v>0</v>
      </c>
      <c r="N112" s="334"/>
      <c r="O112" s="158">
        <f t="shared" si="19"/>
        <v>0</v>
      </c>
      <c r="P112" s="158">
        <f t="shared" si="20"/>
        <v>0</v>
      </c>
      <c r="Q112" s="1"/>
    </row>
    <row r="113" spans="2:17">
      <c r="B113" s="9" t="str">
        <f t="shared" si="23"/>
        <v/>
      </c>
      <c r="C113" s="153">
        <f>IF(D93="","-",+C112+1)</f>
        <v>2022</v>
      </c>
      <c r="D113" s="154">
        <f>IF(F112+SUM(E$99:E112)=D$92,F112,D$92-SUM(E$99:E112))</f>
        <v>0</v>
      </c>
      <c r="E113" s="160">
        <f>IF(+J96&lt;F112,J96,D113)</f>
        <v>0</v>
      </c>
      <c r="F113" s="159">
        <f t="shared" si="22"/>
        <v>0</v>
      </c>
      <c r="G113" s="159">
        <f t="shared" si="14"/>
        <v>0</v>
      </c>
      <c r="H113" s="163">
        <f t="shared" ref="H113:H154" si="24">+J$94*G113+E113</f>
        <v>0</v>
      </c>
      <c r="I113" s="253">
        <f t="shared" ref="I113:I154" si="25">+J$95*G113+E113</f>
        <v>0</v>
      </c>
      <c r="J113" s="158">
        <f t="shared" si="17"/>
        <v>0</v>
      </c>
      <c r="K113" s="158"/>
      <c r="L113" s="334"/>
      <c r="M113" s="158">
        <f t="shared" si="18"/>
        <v>0</v>
      </c>
      <c r="N113" s="334"/>
      <c r="O113" s="158">
        <f t="shared" si="19"/>
        <v>0</v>
      </c>
      <c r="P113" s="158">
        <f t="shared" si="20"/>
        <v>0</v>
      </c>
      <c r="Q113" s="1"/>
    </row>
    <row r="114" spans="2:17">
      <c r="B114" s="9" t="str">
        <f t="shared" si="23"/>
        <v/>
      </c>
      <c r="C114" s="153">
        <f>IF(D93="","-",+C113+1)</f>
        <v>2023</v>
      </c>
      <c r="D114" s="154">
        <f>IF(F113+SUM(E$99:E113)=D$92,F113,D$92-SUM(E$99:E113))</f>
        <v>0</v>
      </c>
      <c r="E114" s="160">
        <f>IF(+J96&lt;F113,J96,D114)</f>
        <v>0</v>
      </c>
      <c r="F114" s="159">
        <f t="shared" si="22"/>
        <v>0</v>
      </c>
      <c r="G114" s="159">
        <f t="shared" si="14"/>
        <v>0</v>
      </c>
      <c r="H114" s="163">
        <f t="shared" si="24"/>
        <v>0</v>
      </c>
      <c r="I114" s="253">
        <f t="shared" si="25"/>
        <v>0</v>
      </c>
      <c r="J114" s="158">
        <f t="shared" si="17"/>
        <v>0</v>
      </c>
      <c r="K114" s="158"/>
      <c r="L114" s="334"/>
      <c r="M114" s="158">
        <f t="shared" si="18"/>
        <v>0</v>
      </c>
      <c r="N114" s="334"/>
      <c r="O114" s="158">
        <f t="shared" si="19"/>
        <v>0</v>
      </c>
      <c r="P114" s="158">
        <f t="shared" si="20"/>
        <v>0</v>
      </c>
      <c r="Q114" s="1"/>
    </row>
    <row r="115" spans="2:17">
      <c r="B115" s="9" t="str">
        <f t="shared" si="23"/>
        <v/>
      </c>
      <c r="C115" s="153">
        <f>IF(D93="","-",+C114+1)</f>
        <v>2024</v>
      </c>
      <c r="D115" s="154">
        <f>IF(F114+SUM(E$99:E114)=D$92,F114,D$92-SUM(E$99:E114))</f>
        <v>0</v>
      </c>
      <c r="E115" s="160">
        <f>IF(+J96&lt;F114,J96,D115)</f>
        <v>0</v>
      </c>
      <c r="F115" s="159">
        <f t="shared" si="22"/>
        <v>0</v>
      </c>
      <c r="G115" s="159">
        <f t="shared" si="14"/>
        <v>0</v>
      </c>
      <c r="H115" s="163">
        <f t="shared" si="24"/>
        <v>0</v>
      </c>
      <c r="I115" s="253">
        <f t="shared" si="25"/>
        <v>0</v>
      </c>
      <c r="J115" s="158">
        <f t="shared" si="17"/>
        <v>0</v>
      </c>
      <c r="K115" s="158"/>
      <c r="L115" s="334"/>
      <c r="M115" s="158">
        <f t="shared" si="18"/>
        <v>0</v>
      </c>
      <c r="N115" s="334"/>
      <c r="O115" s="158">
        <f t="shared" si="19"/>
        <v>0</v>
      </c>
      <c r="P115" s="158">
        <f t="shared" si="20"/>
        <v>0</v>
      </c>
      <c r="Q115" s="1"/>
    </row>
    <row r="116" spans="2:17">
      <c r="B116" s="9" t="str">
        <f t="shared" si="23"/>
        <v/>
      </c>
      <c r="C116" s="153">
        <f>IF(D93="","-",+C115+1)</f>
        <v>2025</v>
      </c>
      <c r="D116" s="154">
        <f>IF(F115+SUM(E$99:E115)=D$92,F115,D$92-SUM(E$99:E115))</f>
        <v>0</v>
      </c>
      <c r="E116" s="160">
        <f>IF(+J96&lt;F115,J96,D116)</f>
        <v>0</v>
      </c>
      <c r="F116" s="159">
        <f t="shared" si="22"/>
        <v>0</v>
      </c>
      <c r="G116" s="159">
        <f t="shared" si="14"/>
        <v>0</v>
      </c>
      <c r="H116" s="163">
        <f t="shared" si="24"/>
        <v>0</v>
      </c>
      <c r="I116" s="253">
        <f t="shared" si="25"/>
        <v>0</v>
      </c>
      <c r="J116" s="158">
        <f t="shared" si="17"/>
        <v>0</v>
      </c>
      <c r="K116" s="158"/>
      <c r="L116" s="334"/>
      <c r="M116" s="158">
        <f t="shared" si="18"/>
        <v>0</v>
      </c>
      <c r="N116" s="334"/>
      <c r="O116" s="158">
        <f t="shared" si="19"/>
        <v>0</v>
      </c>
      <c r="P116" s="158">
        <f t="shared" si="20"/>
        <v>0</v>
      </c>
      <c r="Q116" s="1"/>
    </row>
    <row r="117" spans="2:17">
      <c r="B117" s="9" t="str">
        <f t="shared" si="23"/>
        <v/>
      </c>
      <c r="C117" s="153">
        <f>IF(D93="","-",+C116+1)</f>
        <v>2026</v>
      </c>
      <c r="D117" s="154">
        <f>IF(F116+SUM(E$99:E116)=D$92,F116,D$92-SUM(E$99:E116))</f>
        <v>0</v>
      </c>
      <c r="E117" s="160">
        <f>IF(+J96&lt;F116,J96,D117)</f>
        <v>0</v>
      </c>
      <c r="F117" s="159">
        <f t="shared" si="22"/>
        <v>0</v>
      </c>
      <c r="G117" s="159">
        <f t="shared" si="14"/>
        <v>0</v>
      </c>
      <c r="H117" s="163">
        <f t="shared" si="24"/>
        <v>0</v>
      </c>
      <c r="I117" s="253">
        <f t="shared" si="25"/>
        <v>0</v>
      </c>
      <c r="J117" s="158">
        <f t="shared" si="17"/>
        <v>0</v>
      </c>
      <c r="K117" s="158"/>
      <c r="L117" s="334"/>
      <c r="M117" s="158">
        <f t="shared" si="18"/>
        <v>0</v>
      </c>
      <c r="N117" s="334"/>
      <c r="O117" s="158">
        <f t="shared" si="19"/>
        <v>0</v>
      </c>
      <c r="P117" s="158">
        <f t="shared" si="20"/>
        <v>0</v>
      </c>
      <c r="Q117" s="1"/>
    </row>
    <row r="118" spans="2:17">
      <c r="B118" s="9" t="str">
        <f t="shared" si="23"/>
        <v/>
      </c>
      <c r="C118" s="153">
        <f>IF(D93="","-",+C117+1)</f>
        <v>2027</v>
      </c>
      <c r="D118" s="154">
        <f>IF(F117+SUM(E$99:E117)=D$92,F117,D$92-SUM(E$99:E117))</f>
        <v>0</v>
      </c>
      <c r="E118" s="160">
        <f>IF(+J96&lt;F117,J96,D118)</f>
        <v>0</v>
      </c>
      <c r="F118" s="159">
        <f t="shared" si="22"/>
        <v>0</v>
      </c>
      <c r="G118" s="159">
        <f t="shared" si="14"/>
        <v>0</v>
      </c>
      <c r="H118" s="163">
        <f t="shared" si="24"/>
        <v>0</v>
      </c>
      <c r="I118" s="253">
        <f t="shared" si="25"/>
        <v>0</v>
      </c>
      <c r="J118" s="158">
        <f t="shared" si="17"/>
        <v>0</v>
      </c>
      <c r="K118" s="158"/>
      <c r="L118" s="334"/>
      <c r="M118" s="158">
        <f t="shared" si="18"/>
        <v>0</v>
      </c>
      <c r="N118" s="334"/>
      <c r="O118" s="158">
        <f t="shared" si="19"/>
        <v>0</v>
      </c>
      <c r="P118" s="158">
        <f t="shared" si="20"/>
        <v>0</v>
      </c>
      <c r="Q118" s="1"/>
    </row>
    <row r="119" spans="2:17">
      <c r="B119" s="9" t="str">
        <f t="shared" si="23"/>
        <v/>
      </c>
      <c r="C119" s="153">
        <f>IF(D93="","-",+C118+1)</f>
        <v>2028</v>
      </c>
      <c r="D119" s="154">
        <f>IF(F118+SUM(E$99:E118)=D$92,F118,D$92-SUM(E$99:E118))</f>
        <v>0</v>
      </c>
      <c r="E119" s="160">
        <f>IF(+J96&lt;F118,J96,D119)</f>
        <v>0</v>
      </c>
      <c r="F119" s="159">
        <f t="shared" si="22"/>
        <v>0</v>
      </c>
      <c r="G119" s="159">
        <f t="shared" si="14"/>
        <v>0</v>
      </c>
      <c r="H119" s="163">
        <f t="shared" si="24"/>
        <v>0</v>
      </c>
      <c r="I119" s="253">
        <f t="shared" si="25"/>
        <v>0</v>
      </c>
      <c r="J119" s="158">
        <f t="shared" si="17"/>
        <v>0</v>
      </c>
      <c r="K119" s="158"/>
      <c r="L119" s="334"/>
      <c r="M119" s="158">
        <f t="shared" si="18"/>
        <v>0</v>
      </c>
      <c r="N119" s="334"/>
      <c r="O119" s="158">
        <f t="shared" si="19"/>
        <v>0</v>
      </c>
      <c r="P119" s="158">
        <f t="shared" si="20"/>
        <v>0</v>
      </c>
      <c r="Q119" s="1"/>
    </row>
    <row r="120" spans="2:17">
      <c r="B120" s="9" t="str">
        <f t="shared" si="23"/>
        <v/>
      </c>
      <c r="C120" s="153">
        <f>IF(D93="","-",+C119+1)</f>
        <v>2029</v>
      </c>
      <c r="D120" s="154">
        <f>IF(F119+SUM(E$99:E119)=D$92,F119,D$92-SUM(E$99:E119))</f>
        <v>0</v>
      </c>
      <c r="E120" s="160">
        <f>IF(+J96&lt;F119,J96,D120)</f>
        <v>0</v>
      </c>
      <c r="F120" s="159">
        <f t="shared" si="22"/>
        <v>0</v>
      </c>
      <c r="G120" s="159">
        <f t="shared" si="14"/>
        <v>0</v>
      </c>
      <c r="H120" s="163">
        <f t="shared" si="24"/>
        <v>0</v>
      </c>
      <c r="I120" s="253">
        <f t="shared" si="25"/>
        <v>0</v>
      </c>
      <c r="J120" s="158">
        <f t="shared" si="17"/>
        <v>0</v>
      </c>
      <c r="K120" s="158"/>
      <c r="L120" s="334"/>
      <c r="M120" s="158">
        <f t="shared" si="18"/>
        <v>0</v>
      </c>
      <c r="N120" s="334"/>
      <c r="O120" s="158">
        <f t="shared" si="19"/>
        <v>0</v>
      </c>
      <c r="P120" s="158">
        <f t="shared" si="20"/>
        <v>0</v>
      </c>
      <c r="Q120" s="1"/>
    </row>
    <row r="121" spans="2:17">
      <c r="B121" s="9" t="str">
        <f t="shared" si="23"/>
        <v/>
      </c>
      <c r="C121" s="153">
        <f>IF(D93="","-",+C120+1)</f>
        <v>2030</v>
      </c>
      <c r="D121" s="154">
        <f>IF(F120+SUM(E$99:E120)=D$92,F120,D$92-SUM(E$99:E120))</f>
        <v>0</v>
      </c>
      <c r="E121" s="160">
        <f>IF(+J96&lt;F120,J96,D121)</f>
        <v>0</v>
      </c>
      <c r="F121" s="159">
        <f t="shared" si="22"/>
        <v>0</v>
      </c>
      <c r="G121" s="159">
        <f t="shared" si="14"/>
        <v>0</v>
      </c>
      <c r="H121" s="163">
        <f t="shared" si="24"/>
        <v>0</v>
      </c>
      <c r="I121" s="253">
        <f t="shared" si="25"/>
        <v>0</v>
      </c>
      <c r="J121" s="158">
        <f t="shared" si="17"/>
        <v>0</v>
      </c>
      <c r="K121" s="158"/>
      <c r="L121" s="334"/>
      <c r="M121" s="158">
        <f t="shared" si="18"/>
        <v>0</v>
      </c>
      <c r="N121" s="334"/>
      <c r="O121" s="158">
        <f t="shared" si="19"/>
        <v>0</v>
      </c>
      <c r="P121" s="158">
        <f t="shared" si="20"/>
        <v>0</v>
      </c>
      <c r="Q121" s="1"/>
    </row>
    <row r="122" spans="2:17">
      <c r="B122" s="9" t="str">
        <f t="shared" si="23"/>
        <v/>
      </c>
      <c r="C122" s="153">
        <f>IF(D93="","-",+C121+1)</f>
        <v>2031</v>
      </c>
      <c r="D122" s="154">
        <f>IF(F121+SUM(E$99:E121)=D$92,F121,D$92-SUM(E$99:E121))</f>
        <v>0</v>
      </c>
      <c r="E122" s="160">
        <f>IF(+J96&lt;F121,J96,D122)</f>
        <v>0</v>
      </c>
      <c r="F122" s="159">
        <f t="shared" si="22"/>
        <v>0</v>
      </c>
      <c r="G122" s="159">
        <f t="shared" si="14"/>
        <v>0</v>
      </c>
      <c r="H122" s="163">
        <f t="shared" si="24"/>
        <v>0</v>
      </c>
      <c r="I122" s="253">
        <f t="shared" si="25"/>
        <v>0</v>
      </c>
      <c r="J122" s="158">
        <f t="shared" si="17"/>
        <v>0</v>
      </c>
      <c r="K122" s="158"/>
      <c r="L122" s="334"/>
      <c r="M122" s="158">
        <f t="shared" si="18"/>
        <v>0</v>
      </c>
      <c r="N122" s="334"/>
      <c r="O122" s="158">
        <f t="shared" si="19"/>
        <v>0</v>
      </c>
      <c r="P122" s="158">
        <f t="shared" si="20"/>
        <v>0</v>
      </c>
      <c r="Q122" s="1"/>
    </row>
    <row r="123" spans="2:17">
      <c r="B123" s="9" t="str">
        <f t="shared" si="23"/>
        <v/>
      </c>
      <c r="C123" s="153">
        <f>IF(D93="","-",+C122+1)</f>
        <v>2032</v>
      </c>
      <c r="D123" s="154">
        <f>IF(F122+SUM(E$99:E122)=D$92,F122,D$92-SUM(E$99:E122))</f>
        <v>0</v>
      </c>
      <c r="E123" s="160">
        <f>IF(+J96&lt;F122,J96,D123)</f>
        <v>0</v>
      </c>
      <c r="F123" s="159">
        <f t="shared" si="22"/>
        <v>0</v>
      </c>
      <c r="G123" s="159">
        <f t="shared" si="14"/>
        <v>0</v>
      </c>
      <c r="H123" s="163">
        <f t="shared" si="24"/>
        <v>0</v>
      </c>
      <c r="I123" s="253">
        <f t="shared" si="25"/>
        <v>0</v>
      </c>
      <c r="J123" s="158">
        <f t="shared" si="17"/>
        <v>0</v>
      </c>
      <c r="K123" s="158"/>
      <c r="L123" s="334"/>
      <c r="M123" s="158">
        <f t="shared" si="18"/>
        <v>0</v>
      </c>
      <c r="N123" s="334"/>
      <c r="O123" s="158">
        <f t="shared" si="19"/>
        <v>0</v>
      </c>
      <c r="P123" s="158">
        <f t="shared" si="20"/>
        <v>0</v>
      </c>
      <c r="Q123" s="1"/>
    </row>
    <row r="124" spans="2:17">
      <c r="B124" s="9" t="str">
        <f t="shared" si="23"/>
        <v/>
      </c>
      <c r="C124" s="153">
        <f>IF(D93="","-",+C123+1)</f>
        <v>2033</v>
      </c>
      <c r="D124" s="154">
        <f>IF(F123+SUM(E$99:E123)=D$92,F123,D$92-SUM(E$99:E123))</f>
        <v>0</v>
      </c>
      <c r="E124" s="160">
        <f>IF(+J96&lt;F123,J96,D124)</f>
        <v>0</v>
      </c>
      <c r="F124" s="159">
        <f t="shared" si="22"/>
        <v>0</v>
      </c>
      <c r="G124" s="159">
        <f t="shared" si="14"/>
        <v>0</v>
      </c>
      <c r="H124" s="163">
        <f t="shared" si="24"/>
        <v>0</v>
      </c>
      <c r="I124" s="253">
        <f t="shared" si="25"/>
        <v>0</v>
      </c>
      <c r="J124" s="158">
        <f t="shared" si="17"/>
        <v>0</v>
      </c>
      <c r="K124" s="158"/>
      <c r="L124" s="334"/>
      <c r="M124" s="158">
        <f t="shared" si="18"/>
        <v>0</v>
      </c>
      <c r="N124" s="334"/>
      <c r="O124" s="158">
        <f t="shared" si="19"/>
        <v>0</v>
      </c>
      <c r="P124" s="158">
        <f t="shared" si="20"/>
        <v>0</v>
      </c>
      <c r="Q124" s="1"/>
    </row>
    <row r="125" spans="2:17">
      <c r="B125" s="9" t="str">
        <f t="shared" si="23"/>
        <v/>
      </c>
      <c r="C125" s="153">
        <f>IF(D93="","-",+C124+1)</f>
        <v>2034</v>
      </c>
      <c r="D125" s="154">
        <f>IF(F124+SUM(E$99:E124)=D$92,F124,D$92-SUM(E$99:E124))</f>
        <v>0</v>
      </c>
      <c r="E125" s="160">
        <f>IF(+J96&lt;F124,J96,D125)</f>
        <v>0</v>
      </c>
      <c r="F125" s="159">
        <f t="shared" si="22"/>
        <v>0</v>
      </c>
      <c r="G125" s="159">
        <f t="shared" si="14"/>
        <v>0</v>
      </c>
      <c r="H125" s="163">
        <f t="shared" si="24"/>
        <v>0</v>
      </c>
      <c r="I125" s="253">
        <f t="shared" si="25"/>
        <v>0</v>
      </c>
      <c r="J125" s="158">
        <f t="shared" si="17"/>
        <v>0</v>
      </c>
      <c r="K125" s="158"/>
      <c r="L125" s="334"/>
      <c r="M125" s="158">
        <f t="shared" si="18"/>
        <v>0</v>
      </c>
      <c r="N125" s="334"/>
      <c r="O125" s="158">
        <f t="shared" si="19"/>
        <v>0</v>
      </c>
      <c r="P125" s="158">
        <f t="shared" si="20"/>
        <v>0</v>
      </c>
      <c r="Q125" s="1"/>
    </row>
    <row r="126" spans="2:17">
      <c r="B126" s="9" t="str">
        <f t="shared" si="23"/>
        <v/>
      </c>
      <c r="C126" s="153">
        <f>IF(D93="","-",+C125+1)</f>
        <v>2035</v>
      </c>
      <c r="D126" s="154">
        <f>IF(F125+SUM(E$99:E125)=D$92,F125,D$92-SUM(E$99:E125))</f>
        <v>0</v>
      </c>
      <c r="E126" s="160">
        <f>IF(+J96&lt;F125,J96,D126)</f>
        <v>0</v>
      </c>
      <c r="F126" s="159">
        <f t="shared" si="22"/>
        <v>0</v>
      </c>
      <c r="G126" s="159">
        <f t="shared" si="14"/>
        <v>0</v>
      </c>
      <c r="H126" s="163">
        <f t="shared" si="24"/>
        <v>0</v>
      </c>
      <c r="I126" s="253">
        <f t="shared" si="25"/>
        <v>0</v>
      </c>
      <c r="J126" s="158">
        <f t="shared" si="17"/>
        <v>0</v>
      </c>
      <c r="K126" s="158"/>
      <c r="L126" s="334"/>
      <c r="M126" s="158">
        <f t="shared" si="18"/>
        <v>0</v>
      </c>
      <c r="N126" s="334"/>
      <c r="O126" s="158">
        <f t="shared" si="19"/>
        <v>0</v>
      </c>
      <c r="P126" s="158">
        <f t="shared" si="20"/>
        <v>0</v>
      </c>
      <c r="Q126" s="1"/>
    </row>
    <row r="127" spans="2:17">
      <c r="B127" s="9" t="str">
        <f t="shared" si="23"/>
        <v/>
      </c>
      <c r="C127" s="153">
        <f>IF(D93="","-",+C126+1)</f>
        <v>2036</v>
      </c>
      <c r="D127" s="154">
        <f>IF(F126+SUM(E$99:E126)=D$92,F126,D$92-SUM(E$99:E126))</f>
        <v>0</v>
      </c>
      <c r="E127" s="160">
        <f>IF(+J96&lt;F126,J96,D127)</f>
        <v>0</v>
      </c>
      <c r="F127" s="159">
        <f t="shared" si="22"/>
        <v>0</v>
      </c>
      <c r="G127" s="159">
        <f t="shared" si="14"/>
        <v>0</v>
      </c>
      <c r="H127" s="163">
        <f t="shared" si="24"/>
        <v>0</v>
      </c>
      <c r="I127" s="253">
        <f t="shared" si="25"/>
        <v>0</v>
      </c>
      <c r="J127" s="158">
        <f t="shared" si="17"/>
        <v>0</v>
      </c>
      <c r="K127" s="158"/>
      <c r="L127" s="334"/>
      <c r="M127" s="158">
        <f t="shared" si="18"/>
        <v>0</v>
      </c>
      <c r="N127" s="334"/>
      <c r="O127" s="158">
        <f t="shared" si="19"/>
        <v>0</v>
      </c>
      <c r="P127" s="158">
        <f t="shared" si="20"/>
        <v>0</v>
      </c>
      <c r="Q127" s="1"/>
    </row>
    <row r="128" spans="2:17">
      <c r="B128" s="9" t="str">
        <f t="shared" si="23"/>
        <v/>
      </c>
      <c r="C128" s="153">
        <f>IF(D93="","-",+C127+1)</f>
        <v>2037</v>
      </c>
      <c r="D128" s="154">
        <f>IF(F127+SUM(E$99:E127)=D$92,F127,D$92-SUM(E$99:E127))</f>
        <v>0</v>
      </c>
      <c r="E128" s="160">
        <f>IF(+J96&lt;F127,J96,D128)</f>
        <v>0</v>
      </c>
      <c r="F128" s="159">
        <f t="shared" si="22"/>
        <v>0</v>
      </c>
      <c r="G128" s="159">
        <f t="shared" si="14"/>
        <v>0</v>
      </c>
      <c r="H128" s="163">
        <f t="shared" si="24"/>
        <v>0</v>
      </c>
      <c r="I128" s="253">
        <f t="shared" si="25"/>
        <v>0</v>
      </c>
      <c r="J128" s="158">
        <f t="shared" si="17"/>
        <v>0</v>
      </c>
      <c r="K128" s="158"/>
      <c r="L128" s="334"/>
      <c r="M128" s="158">
        <f t="shared" si="18"/>
        <v>0</v>
      </c>
      <c r="N128" s="334"/>
      <c r="O128" s="158">
        <f t="shared" si="19"/>
        <v>0</v>
      </c>
      <c r="P128" s="158">
        <f t="shared" si="20"/>
        <v>0</v>
      </c>
      <c r="Q128" s="1"/>
    </row>
    <row r="129" spans="2:17">
      <c r="B129" s="9" t="str">
        <f t="shared" si="23"/>
        <v/>
      </c>
      <c r="C129" s="153">
        <f>IF(D93="","-",+C128+1)</f>
        <v>2038</v>
      </c>
      <c r="D129" s="154">
        <f>IF(F128+SUM(E$99:E128)=D$92,F128,D$92-SUM(E$99:E128))</f>
        <v>0</v>
      </c>
      <c r="E129" s="160">
        <f>IF(+J96&lt;F128,J96,D129)</f>
        <v>0</v>
      </c>
      <c r="F129" s="159">
        <f t="shared" si="22"/>
        <v>0</v>
      </c>
      <c r="G129" s="159">
        <f t="shared" si="14"/>
        <v>0</v>
      </c>
      <c r="H129" s="163">
        <f t="shared" si="24"/>
        <v>0</v>
      </c>
      <c r="I129" s="253">
        <f t="shared" si="25"/>
        <v>0</v>
      </c>
      <c r="J129" s="158">
        <f t="shared" si="17"/>
        <v>0</v>
      </c>
      <c r="K129" s="158"/>
      <c r="L129" s="334"/>
      <c r="M129" s="158">
        <f t="shared" si="18"/>
        <v>0</v>
      </c>
      <c r="N129" s="334"/>
      <c r="O129" s="158">
        <f t="shared" si="19"/>
        <v>0</v>
      </c>
      <c r="P129" s="158">
        <f t="shared" si="20"/>
        <v>0</v>
      </c>
      <c r="Q129" s="1"/>
    </row>
    <row r="130" spans="2:17">
      <c r="B130" s="9" t="str">
        <f t="shared" si="23"/>
        <v/>
      </c>
      <c r="C130" s="153">
        <f>IF(D93="","-",+C129+1)</f>
        <v>2039</v>
      </c>
      <c r="D130" s="154">
        <f>IF(F129+SUM(E$99:E129)=D$92,F129,D$92-SUM(E$99:E129))</f>
        <v>0</v>
      </c>
      <c r="E130" s="160">
        <f>IF(+J96&lt;F129,J96,D130)</f>
        <v>0</v>
      </c>
      <c r="F130" s="159">
        <f t="shared" si="22"/>
        <v>0</v>
      </c>
      <c r="G130" s="159">
        <f t="shared" si="14"/>
        <v>0</v>
      </c>
      <c r="H130" s="163">
        <f t="shared" si="24"/>
        <v>0</v>
      </c>
      <c r="I130" s="253">
        <f t="shared" si="25"/>
        <v>0</v>
      </c>
      <c r="J130" s="158">
        <f t="shared" si="17"/>
        <v>0</v>
      </c>
      <c r="K130" s="158"/>
      <c r="L130" s="334"/>
      <c r="M130" s="158">
        <f t="shared" si="18"/>
        <v>0</v>
      </c>
      <c r="N130" s="334"/>
      <c r="O130" s="158">
        <f t="shared" si="19"/>
        <v>0</v>
      </c>
      <c r="P130" s="158">
        <f t="shared" si="20"/>
        <v>0</v>
      </c>
      <c r="Q130" s="1"/>
    </row>
    <row r="131" spans="2:17">
      <c r="B131" s="9" t="str">
        <f t="shared" si="23"/>
        <v/>
      </c>
      <c r="C131" s="153">
        <f>IF(D93="","-",+C130+1)</f>
        <v>2040</v>
      </c>
      <c r="D131" s="154">
        <f>IF(F130+SUM(E$99:E130)=D$92,F130,D$92-SUM(E$99:E130))</f>
        <v>0</v>
      </c>
      <c r="E131" s="160">
        <f>IF(+J96&lt;F130,J96,D131)</f>
        <v>0</v>
      </c>
      <c r="F131" s="159">
        <f t="shared" ref="F131:F154" si="26">+D131-E131</f>
        <v>0</v>
      </c>
      <c r="G131" s="159">
        <f t="shared" ref="G131:G154" si="27">+(F131+D131)/2</f>
        <v>0</v>
      </c>
      <c r="H131" s="163">
        <f t="shared" si="24"/>
        <v>0</v>
      </c>
      <c r="I131" s="253">
        <f t="shared" si="25"/>
        <v>0</v>
      </c>
      <c r="J131" s="158">
        <f t="shared" ref="J131:J154" si="28">+I131-H131</f>
        <v>0</v>
      </c>
      <c r="K131" s="158"/>
      <c r="L131" s="334"/>
      <c r="M131" s="158">
        <f t="shared" ref="M131:M154" si="29">IF(L131&lt;&gt;0,+H131-L131,0)</f>
        <v>0</v>
      </c>
      <c r="N131" s="334"/>
      <c r="O131" s="158">
        <f t="shared" ref="O131:O154" si="30">IF(N131&lt;&gt;0,+I131-N131,0)</f>
        <v>0</v>
      </c>
      <c r="P131" s="158">
        <f t="shared" ref="P131:P154" si="31">+O131-M131</f>
        <v>0</v>
      </c>
      <c r="Q131" s="1"/>
    </row>
    <row r="132" spans="2:17">
      <c r="B132" s="9" t="str">
        <f t="shared" si="23"/>
        <v/>
      </c>
      <c r="C132" s="153">
        <f>IF(D93="","-",+C131+1)</f>
        <v>2041</v>
      </c>
      <c r="D132" s="154">
        <f>IF(F131+SUM(E$99:E131)=D$92,F131,D$92-SUM(E$99:E131))</f>
        <v>0</v>
      </c>
      <c r="E132" s="160">
        <f>IF(+J96&lt;F131,J96,D132)</f>
        <v>0</v>
      </c>
      <c r="F132" s="159">
        <f t="shared" si="26"/>
        <v>0</v>
      </c>
      <c r="G132" s="159">
        <f t="shared" si="27"/>
        <v>0</v>
      </c>
      <c r="H132" s="163">
        <f t="shared" si="24"/>
        <v>0</v>
      </c>
      <c r="I132" s="253">
        <f t="shared" si="25"/>
        <v>0</v>
      </c>
      <c r="J132" s="158">
        <f t="shared" si="28"/>
        <v>0</v>
      </c>
      <c r="K132" s="158"/>
      <c r="L132" s="334"/>
      <c r="M132" s="158">
        <f t="shared" si="29"/>
        <v>0</v>
      </c>
      <c r="N132" s="334"/>
      <c r="O132" s="158">
        <f t="shared" si="30"/>
        <v>0</v>
      </c>
      <c r="P132" s="158">
        <f t="shared" si="31"/>
        <v>0</v>
      </c>
      <c r="Q132" s="1"/>
    </row>
    <row r="133" spans="2:17">
      <c r="B133" s="9" t="str">
        <f t="shared" si="23"/>
        <v/>
      </c>
      <c r="C133" s="153">
        <f>IF(D93="","-",+C132+1)</f>
        <v>2042</v>
      </c>
      <c r="D133" s="154">
        <f>IF(F132+SUM(E$99:E132)=D$92,F132,D$92-SUM(E$99:E132))</f>
        <v>0</v>
      </c>
      <c r="E133" s="160">
        <f>IF(+J96&lt;F132,J96,D133)</f>
        <v>0</v>
      </c>
      <c r="F133" s="159">
        <f t="shared" si="26"/>
        <v>0</v>
      </c>
      <c r="G133" s="159">
        <f t="shared" si="27"/>
        <v>0</v>
      </c>
      <c r="H133" s="163">
        <f t="shared" si="24"/>
        <v>0</v>
      </c>
      <c r="I133" s="253">
        <f t="shared" si="25"/>
        <v>0</v>
      </c>
      <c r="J133" s="158">
        <f t="shared" si="28"/>
        <v>0</v>
      </c>
      <c r="K133" s="158"/>
      <c r="L133" s="334"/>
      <c r="M133" s="158">
        <f t="shared" si="29"/>
        <v>0</v>
      </c>
      <c r="N133" s="334"/>
      <c r="O133" s="158">
        <f t="shared" si="30"/>
        <v>0</v>
      </c>
      <c r="P133" s="158">
        <f t="shared" si="31"/>
        <v>0</v>
      </c>
      <c r="Q133" s="1"/>
    </row>
    <row r="134" spans="2:17">
      <c r="B134" s="9" t="str">
        <f t="shared" si="23"/>
        <v/>
      </c>
      <c r="C134" s="153">
        <f>IF(D93="","-",+C133+1)</f>
        <v>2043</v>
      </c>
      <c r="D134" s="154">
        <f>IF(F133+SUM(E$99:E133)=D$92,F133,D$92-SUM(E$99:E133))</f>
        <v>0</v>
      </c>
      <c r="E134" s="160">
        <f>IF(+J96&lt;F133,J96,D134)</f>
        <v>0</v>
      </c>
      <c r="F134" s="159">
        <f t="shared" si="26"/>
        <v>0</v>
      </c>
      <c r="G134" s="159">
        <f t="shared" si="27"/>
        <v>0</v>
      </c>
      <c r="H134" s="163">
        <f t="shared" si="24"/>
        <v>0</v>
      </c>
      <c r="I134" s="253">
        <f t="shared" si="25"/>
        <v>0</v>
      </c>
      <c r="J134" s="158">
        <f t="shared" si="28"/>
        <v>0</v>
      </c>
      <c r="K134" s="158"/>
      <c r="L134" s="334"/>
      <c r="M134" s="158">
        <f t="shared" si="29"/>
        <v>0</v>
      </c>
      <c r="N134" s="334"/>
      <c r="O134" s="158">
        <f t="shared" si="30"/>
        <v>0</v>
      </c>
      <c r="P134" s="158">
        <f t="shared" si="31"/>
        <v>0</v>
      </c>
      <c r="Q134" s="1"/>
    </row>
    <row r="135" spans="2:17">
      <c r="B135" s="9" t="str">
        <f t="shared" si="23"/>
        <v/>
      </c>
      <c r="C135" s="153">
        <f>IF(D93="","-",+C134+1)</f>
        <v>2044</v>
      </c>
      <c r="D135" s="154">
        <f>IF(F134+SUM(E$99:E134)=D$92,F134,D$92-SUM(E$99:E134))</f>
        <v>0</v>
      </c>
      <c r="E135" s="160">
        <f>IF(+J96&lt;F134,J96,D135)</f>
        <v>0</v>
      </c>
      <c r="F135" s="159">
        <f t="shared" si="26"/>
        <v>0</v>
      </c>
      <c r="G135" s="159">
        <f t="shared" si="27"/>
        <v>0</v>
      </c>
      <c r="H135" s="163">
        <f t="shared" si="24"/>
        <v>0</v>
      </c>
      <c r="I135" s="253">
        <f t="shared" si="25"/>
        <v>0</v>
      </c>
      <c r="J135" s="158">
        <f t="shared" si="28"/>
        <v>0</v>
      </c>
      <c r="K135" s="158"/>
      <c r="L135" s="334"/>
      <c r="M135" s="158">
        <f t="shared" si="29"/>
        <v>0</v>
      </c>
      <c r="N135" s="334"/>
      <c r="O135" s="158">
        <f t="shared" si="30"/>
        <v>0</v>
      </c>
      <c r="P135" s="158">
        <f t="shared" si="31"/>
        <v>0</v>
      </c>
      <c r="Q135" s="1"/>
    </row>
    <row r="136" spans="2:17">
      <c r="B136" s="9" t="str">
        <f t="shared" si="23"/>
        <v/>
      </c>
      <c r="C136" s="153">
        <f>IF(D93="","-",+C135+1)</f>
        <v>2045</v>
      </c>
      <c r="D136" s="154">
        <f>IF(F135+SUM(E$99:E135)=D$92,F135,D$92-SUM(E$99:E135))</f>
        <v>0</v>
      </c>
      <c r="E136" s="160">
        <f>IF(+J96&lt;F135,J96,D136)</f>
        <v>0</v>
      </c>
      <c r="F136" s="159">
        <f t="shared" si="26"/>
        <v>0</v>
      </c>
      <c r="G136" s="159">
        <f t="shared" si="27"/>
        <v>0</v>
      </c>
      <c r="H136" s="163">
        <f t="shared" si="24"/>
        <v>0</v>
      </c>
      <c r="I136" s="253">
        <f t="shared" si="25"/>
        <v>0</v>
      </c>
      <c r="J136" s="158">
        <f t="shared" si="28"/>
        <v>0</v>
      </c>
      <c r="K136" s="158"/>
      <c r="L136" s="334"/>
      <c r="M136" s="158">
        <f t="shared" si="29"/>
        <v>0</v>
      </c>
      <c r="N136" s="334"/>
      <c r="O136" s="158">
        <f t="shared" si="30"/>
        <v>0</v>
      </c>
      <c r="P136" s="158">
        <f t="shared" si="31"/>
        <v>0</v>
      </c>
      <c r="Q136" s="1"/>
    </row>
    <row r="137" spans="2:17">
      <c r="B137" s="9" t="str">
        <f t="shared" si="23"/>
        <v/>
      </c>
      <c r="C137" s="153">
        <f>IF(D93="","-",+C136+1)</f>
        <v>2046</v>
      </c>
      <c r="D137" s="154">
        <f>IF(F136+SUM(E$99:E136)=D$92,F136,D$92-SUM(E$99:E136))</f>
        <v>0</v>
      </c>
      <c r="E137" s="160">
        <f>IF(+J96&lt;F136,J96,D137)</f>
        <v>0</v>
      </c>
      <c r="F137" s="159">
        <f t="shared" si="26"/>
        <v>0</v>
      </c>
      <c r="G137" s="159">
        <f t="shared" si="27"/>
        <v>0</v>
      </c>
      <c r="H137" s="163">
        <f t="shared" si="24"/>
        <v>0</v>
      </c>
      <c r="I137" s="253">
        <f t="shared" si="25"/>
        <v>0</v>
      </c>
      <c r="J137" s="158">
        <f t="shared" si="28"/>
        <v>0</v>
      </c>
      <c r="K137" s="158"/>
      <c r="L137" s="334"/>
      <c r="M137" s="158">
        <f t="shared" si="29"/>
        <v>0</v>
      </c>
      <c r="N137" s="334"/>
      <c r="O137" s="158">
        <f t="shared" si="30"/>
        <v>0</v>
      </c>
      <c r="P137" s="158">
        <f t="shared" si="31"/>
        <v>0</v>
      </c>
      <c r="Q137" s="1"/>
    </row>
    <row r="138" spans="2:17">
      <c r="B138" s="9" t="str">
        <f t="shared" si="23"/>
        <v/>
      </c>
      <c r="C138" s="153">
        <f>IF(D93="","-",+C137+1)</f>
        <v>2047</v>
      </c>
      <c r="D138" s="154">
        <f>IF(F137+SUM(E$99:E137)=D$92,F137,D$92-SUM(E$99:E137))</f>
        <v>0</v>
      </c>
      <c r="E138" s="160">
        <f>IF(+J96&lt;F137,J96,D138)</f>
        <v>0</v>
      </c>
      <c r="F138" s="159">
        <f t="shared" si="26"/>
        <v>0</v>
      </c>
      <c r="G138" s="159">
        <f t="shared" si="27"/>
        <v>0</v>
      </c>
      <c r="H138" s="163">
        <f t="shared" si="24"/>
        <v>0</v>
      </c>
      <c r="I138" s="253">
        <f t="shared" si="25"/>
        <v>0</v>
      </c>
      <c r="J138" s="158">
        <f t="shared" si="28"/>
        <v>0</v>
      </c>
      <c r="K138" s="158"/>
      <c r="L138" s="334"/>
      <c r="M138" s="158">
        <f t="shared" si="29"/>
        <v>0</v>
      </c>
      <c r="N138" s="334"/>
      <c r="O138" s="158">
        <f t="shared" si="30"/>
        <v>0</v>
      </c>
      <c r="P138" s="158">
        <f t="shared" si="31"/>
        <v>0</v>
      </c>
      <c r="Q138" s="1"/>
    </row>
    <row r="139" spans="2:17">
      <c r="B139" s="9" t="str">
        <f t="shared" si="23"/>
        <v/>
      </c>
      <c r="C139" s="153">
        <f>IF(D93="","-",+C138+1)</f>
        <v>2048</v>
      </c>
      <c r="D139" s="154">
        <f>IF(F138+SUM(E$99:E138)=D$92,F138,D$92-SUM(E$99:E138))</f>
        <v>0</v>
      </c>
      <c r="E139" s="160">
        <f>IF(+J96&lt;F138,J96,D139)</f>
        <v>0</v>
      </c>
      <c r="F139" s="159">
        <f t="shared" si="26"/>
        <v>0</v>
      </c>
      <c r="G139" s="159">
        <f t="shared" si="27"/>
        <v>0</v>
      </c>
      <c r="H139" s="163">
        <f t="shared" si="24"/>
        <v>0</v>
      </c>
      <c r="I139" s="253">
        <f t="shared" si="25"/>
        <v>0</v>
      </c>
      <c r="J139" s="158">
        <f t="shared" si="28"/>
        <v>0</v>
      </c>
      <c r="K139" s="158"/>
      <c r="L139" s="334"/>
      <c r="M139" s="158">
        <f t="shared" si="29"/>
        <v>0</v>
      </c>
      <c r="N139" s="334"/>
      <c r="O139" s="158">
        <f t="shared" si="30"/>
        <v>0</v>
      </c>
      <c r="P139" s="158">
        <f t="shared" si="31"/>
        <v>0</v>
      </c>
      <c r="Q139" s="1"/>
    </row>
    <row r="140" spans="2:17">
      <c r="B140" s="9" t="str">
        <f t="shared" si="23"/>
        <v/>
      </c>
      <c r="C140" s="153">
        <f>IF(D93="","-",+C139+1)</f>
        <v>2049</v>
      </c>
      <c r="D140" s="154">
        <f>IF(F139+SUM(E$99:E139)=D$92,F139,D$92-SUM(E$99:E139))</f>
        <v>0</v>
      </c>
      <c r="E140" s="160">
        <f>IF(+J96&lt;F139,J96,D140)</f>
        <v>0</v>
      </c>
      <c r="F140" s="159">
        <f t="shared" si="26"/>
        <v>0</v>
      </c>
      <c r="G140" s="159">
        <f t="shared" si="27"/>
        <v>0</v>
      </c>
      <c r="H140" s="163">
        <f t="shared" si="24"/>
        <v>0</v>
      </c>
      <c r="I140" s="253">
        <f t="shared" si="25"/>
        <v>0</v>
      </c>
      <c r="J140" s="158">
        <f t="shared" si="28"/>
        <v>0</v>
      </c>
      <c r="K140" s="158"/>
      <c r="L140" s="334"/>
      <c r="M140" s="158">
        <f t="shared" si="29"/>
        <v>0</v>
      </c>
      <c r="N140" s="334"/>
      <c r="O140" s="158">
        <f t="shared" si="30"/>
        <v>0</v>
      </c>
      <c r="P140" s="158">
        <f t="shared" si="31"/>
        <v>0</v>
      </c>
      <c r="Q140" s="1"/>
    </row>
    <row r="141" spans="2:17">
      <c r="B141" s="9" t="str">
        <f t="shared" si="23"/>
        <v/>
      </c>
      <c r="C141" s="153">
        <f>IF(D93="","-",+C140+1)</f>
        <v>2050</v>
      </c>
      <c r="D141" s="154">
        <f>IF(F140+SUM(E$99:E140)=D$92,F140,D$92-SUM(E$99:E140))</f>
        <v>0</v>
      </c>
      <c r="E141" s="160">
        <f>IF(+J96&lt;F140,J96,D141)</f>
        <v>0</v>
      </c>
      <c r="F141" s="159">
        <f t="shared" si="26"/>
        <v>0</v>
      </c>
      <c r="G141" s="159">
        <f t="shared" si="27"/>
        <v>0</v>
      </c>
      <c r="H141" s="163">
        <f t="shared" si="24"/>
        <v>0</v>
      </c>
      <c r="I141" s="253">
        <f t="shared" si="25"/>
        <v>0</v>
      </c>
      <c r="J141" s="158">
        <f t="shared" si="28"/>
        <v>0</v>
      </c>
      <c r="K141" s="158"/>
      <c r="L141" s="334"/>
      <c r="M141" s="158">
        <f t="shared" si="29"/>
        <v>0</v>
      </c>
      <c r="N141" s="334"/>
      <c r="O141" s="158">
        <f t="shared" si="30"/>
        <v>0</v>
      </c>
      <c r="P141" s="158">
        <f t="shared" si="31"/>
        <v>0</v>
      </c>
      <c r="Q141" s="1"/>
    </row>
    <row r="142" spans="2:17">
      <c r="B142" s="9" t="str">
        <f t="shared" si="23"/>
        <v/>
      </c>
      <c r="C142" s="153">
        <f>IF(D93="","-",+C141+1)</f>
        <v>2051</v>
      </c>
      <c r="D142" s="154">
        <f>IF(F141+SUM(E$99:E141)=D$92,F141,D$92-SUM(E$99:E141))</f>
        <v>0</v>
      </c>
      <c r="E142" s="160">
        <f>IF(+J96&lt;F141,J96,D142)</f>
        <v>0</v>
      </c>
      <c r="F142" s="159">
        <f t="shared" si="26"/>
        <v>0</v>
      </c>
      <c r="G142" s="159">
        <f t="shared" si="27"/>
        <v>0</v>
      </c>
      <c r="H142" s="163">
        <f t="shared" si="24"/>
        <v>0</v>
      </c>
      <c r="I142" s="253">
        <f t="shared" si="25"/>
        <v>0</v>
      </c>
      <c r="J142" s="158">
        <f t="shared" si="28"/>
        <v>0</v>
      </c>
      <c r="K142" s="158"/>
      <c r="L142" s="334"/>
      <c r="M142" s="158">
        <f t="shared" si="29"/>
        <v>0</v>
      </c>
      <c r="N142" s="334"/>
      <c r="O142" s="158">
        <f t="shared" si="30"/>
        <v>0</v>
      </c>
      <c r="P142" s="158">
        <f t="shared" si="31"/>
        <v>0</v>
      </c>
      <c r="Q142" s="1"/>
    </row>
    <row r="143" spans="2:17">
      <c r="B143" s="9" t="str">
        <f t="shared" si="23"/>
        <v/>
      </c>
      <c r="C143" s="153">
        <f>IF(D93="","-",+C142+1)</f>
        <v>2052</v>
      </c>
      <c r="D143" s="154">
        <f>IF(F142+SUM(E$99:E142)=D$92,F142,D$92-SUM(E$99:E142))</f>
        <v>0</v>
      </c>
      <c r="E143" s="160">
        <f>IF(+J96&lt;F142,J96,D143)</f>
        <v>0</v>
      </c>
      <c r="F143" s="159">
        <f t="shared" si="26"/>
        <v>0</v>
      </c>
      <c r="G143" s="159">
        <f t="shared" si="27"/>
        <v>0</v>
      </c>
      <c r="H143" s="163">
        <f t="shared" si="24"/>
        <v>0</v>
      </c>
      <c r="I143" s="253">
        <f t="shared" si="25"/>
        <v>0</v>
      </c>
      <c r="J143" s="158">
        <f t="shared" si="28"/>
        <v>0</v>
      </c>
      <c r="K143" s="158"/>
      <c r="L143" s="334"/>
      <c r="M143" s="158">
        <f t="shared" si="29"/>
        <v>0</v>
      </c>
      <c r="N143" s="334"/>
      <c r="O143" s="158">
        <f t="shared" si="30"/>
        <v>0</v>
      </c>
      <c r="P143" s="158">
        <f t="shared" si="31"/>
        <v>0</v>
      </c>
      <c r="Q143" s="1"/>
    </row>
    <row r="144" spans="2:17">
      <c r="B144" s="9" t="str">
        <f t="shared" si="23"/>
        <v/>
      </c>
      <c r="C144" s="153">
        <f>IF(D93="","-",+C143+1)</f>
        <v>2053</v>
      </c>
      <c r="D144" s="154">
        <f>IF(F143+SUM(E$99:E143)=D$92,F143,D$92-SUM(E$99:E143))</f>
        <v>0</v>
      </c>
      <c r="E144" s="160">
        <f>IF(+J96&lt;F143,J96,D144)</f>
        <v>0</v>
      </c>
      <c r="F144" s="159">
        <f t="shared" si="26"/>
        <v>0</v>
      </c>
      <c r="G144" s="159">
        <f t="shared" si="27"/>
        <v>0</v>
      </c>
      <c r="H144" s="163">
        <f t="shared" si="24"/>
        <v>0</v>
      </c>
      <c r="I144" s="253">
        <f t="shared" si="25"/>
        <v>0</v>
      </c>
      <c r="J144" s="158">
        <f t="shared" si="28"/>
        <v>0</v>
      </c>
      <c r="K144" s="158"/>
      <c r="L144" s="334"/>
      <c r="M144" s="158">
        <f t="shared" si="29"/>
        <v>0</v>
      </c>
      <c r="N144" s="334"/>
      <c r="O144" s="158">
        <f t="shared" si="30"/>
        <v>0</v>
      </c>
      <c r="P144" s="158">
        <f t="shared" si="31"/>
        <v>0</v>
      </c>
      <c r="Q144" s="1"/>
    </row>
    <row r="145" spans="2:17">
      <c r="B145" s="9" t="str">
        <f t="shared" si="23"/>
        <v/>
      </c>
      <c r="C145" s="153">
        <f>IF(D93="","-",+C144+1)</f>
        <v>2054</v>
      </c>
      <c r="D145" s="154">
        <f>IF(F144+SUM(E$99:E144)=D$92,F144,D$92-SUM(E$99:E144))</f>
        <v>0</v>
      </c>
      <c r="E145" s="160">
        <f>IF(+J96&lt;F144,J96,D145)</f>
        <v>0</v>
      </c>
      <c r="F145" s="159">
        <f t="shared" si="26"/>
        <v>0</v>
      </c>
      <c r="G145" s="159">
        <f t="shared" si="27"/>
        <v>0</v>
      </c>
      <c r="H145" s="163">
        <f t="shared" si="24"/>
        <v>0</v>
      </c>
      <c r="I145" s="253">
        <f t="shared" si="25"/>
        <v>0</v>
      </c>
      <c r="J145" s="158">
        <f t="shared" si="28"/>
        <v>0</v>
      </c>
      <c r="K145" s="158"/>
      <c r="L145" s="334"/>
      <c r="M145" s="158">
        <f t="shared" si="29"/>
        <v>0</v>
      </c>
      <c r="N145" s="334"/>
      <c r="O145" s="158">
        <f t="shared" si="30"/>
        <v>0</v>
      </c>
      <c r="P145" s="158">
        <f t="shared" si="31"/>
        <v>0</v>
      </c>
      <c r="Q145" s="1"/>
    </row>
    <row r="146" spans="2:17">
      <c r="B146" s="9" t="str">
        <f t="shared" si="23"/>
        <v/>
      </c>
      <c r="C146" s="153">
        <f>IF(D93="","-",+C145+1)</f>
        <v>2055</v>
      </c>
      <c r="D146" s="154">
        <f>IF(F145+SUM(E$99:E145)=D$92,F145,D$92-SUM(E$99:E145))</f>
        <v>0</v>
      </c>
      <c r="E146" s="160">
        <f>IF(+J96&lt;F145,J96,D146)</f>
        <v>0</v>
      </c>
      <c r="F146" s="159">
        <f t="shared" si="26"/>
        <v>0</v>
      </c>
      <c r="G146" s="159">
        <f t="shared" si="27"/>
        <v>0</v>
      </c>
      <c r="H146" s="163">
        <f t="shared" si="24"/>
        <v>0</v>
      </c>
      <c r="I146" s="253">
        <f t="shared" si="25"/>
        <v>0</v>
      </c>
      <c r="J146" s="158">
        <f t="shared" si="28"/>
        <v>0</v>
      </c>
      <c r="K146" s="158"/>
      <c r="L146" s="334"/>
      <c r="M146" s="158">
        <f t="shared" si="29"/>
        <v>0</v>
      </c>
      <c r="N146" s="334"/>
      <c r="O146" s="158">
        <f t="shared" si="30"/>
        <v>0</v>
      </c>
      <c r="P146" s="158">
        <f t="shared" si="31"/>
        <v>0</v>
      </c>
      <c r="Q146" s="1"/>
    </row>
    <row r="147" spans="2:17">
      <c r="B147" s="9" t="str">
        <f t="shared" si="23"/>
        <v/>
      </c>
      <c r="C147" s="153">
        <f>IF(D93="","-",+C146+1)</f>
        <v>2056</v>
      </c>
      <c r="D147" s="154">
        <f>IF(F146+SUM(E$99:E146)=D$92,F146,D$92-SUM(E$99:E146))</f>
        <v>0</v>
      </c>
      <c r="E147" s="160">
        <f>IF(+J96&lt;F146,J96,D147)</f>
        <v>0</v>
      </c>
      <c r="F147" s="159">
        <f t="shared" si="26"/>
        <v>0</v>
      </c>
      <c r="G147" s="159">
        <f t="shared" si="27"/>
        <v>0</v>
      </c>
      <c r="H147" s="163">
        <f t="shared" si="24"/>
        <v>0</v>
      </c>
      <c r="I147" s="253">
        <f t="shared" si="25"/>
        <v>0</v>
      </c>
      <c r="J147" s="158">
        <f t="shared" si="28"/>
        <v>0</v>
      </c>
      <c r="K147" s="158"/>
      <c r="L147" s="334"/>
      <c r="M147" s="158">
        <f t="shared" si="29"/>
        <v>0</v>
      </c>
      <c r="N147" s="334"/>
      <c r="O147" s="158">
        <f t="shared" si="30"/>
        <v>0</v>
      </c>
      <c r="P147" s="158">
        <f t="shared" si="31"/>
        <v>0</v>
      </c>
      <c r="Q147" s="1"/>
    </row>
    <row r="148" spans="2:17">
      <c r="B148" s="9" t="str">
        <f t="shared" si="23"/>
        <v/>
      </c>
      <c r="C148" s="153">
        <f>IF(D93="","-",+C147+1)</f>
        <v>2057</v>
      </c>
      <c r="D148" s="154">
        <f>IF(F147+SUM(E$99:E147)=D$92,F147,D$92-SUM(E$99:E147))</f>
        <v>0</v>
      </c>
      <c r="E148" s="160">
        <f>IF(+J96&lt;F147,J96,D148)</f>
        <v>0</v>
      </c>
      <c r="F148" s="159">
        <f t="shared" si="26"/>
        <v>0</v>
      </c>
      <c r="G148" s="159">
        <f t="shared" si="27"/>
        <v>0</v>
      </c>
      <c r="H148" s="163">
        <f t="shared" si="24"/>
        <v>0</v>
      </c>
      <c r="I148" s="253">
        <f t="shared" si="25"/>
        <v>0</v>
      </c>
      <c r="J148" s="158">
        <f t="shared" si="28"/>
        <v>0</v>
      </c>
      <c r="K148" s="158"/>
      <c r="L148" s="334"/>
      <c r="M148" s="158">
        <f t="shared" si="29"/>
        <v>0</v>
      </c>
      <c r="N148" s="334"/>
      <c r="O148" s="158">
        <f t="shared" si="30"/>
        <v>0</v>
      </c>
      <c r="P148" s="158">
        <f t="shared" si="31"/>
        <v>0</v>
      </c>
      <c r="Q148" s="1"/>
    </row>
    <row r="149" spans="2:17">
      <c r="B149" s="9" t="str">
        <f t="shared" si="23"/>
        <v/>
      </c>
      <c r="C149" s="153">
        <f>IF(D93="","-",+C148+1)</f>
        <v>2058</v>
      </c>
      <c r="D149" s="154">
        <f>IF(F148+SUM(E$99:E148)=D$92,F148,D$92-SUM(E$99:E148))</f>
        <v>0</v>
      </c>
      <c r="E149" s="160">
        <f>IF(+J96&lt;F148,J96,D149)</f>
        <v>0</v>
      </c>
      <c r="F149" s="159">
        <f t="shared" si="26"/>
        <v>0</v>
      </c>
      <c r="G149" s="159">
        <f t="shared" si="27"/>
        <v>0</v>
      </c>
      <c r="H149" s="163">
        <f t="shared" si="24"/>
        <v>0</v>
      </c>
      <c r="I149" s="253">
        <f t="shared" si="25"/>
        <v>0</v>
      </c>
      <c r="J149" s="158">
        <f t="shared" si="28"/>
        <v>0</v>
      </c>
      <c r="K149" s="158"/>
      <c r="L149" s="334"/>
      <c r="M149" s="158">
        <f t="shared" si="29"/>
        <v>0</v>
      </c>
      <c r="N149" s="334"/>
      <c r="O149" s="158">
        <f t="shared" si="30"/>
        <v>0</v>
      </c>
      <c r="P149" s="158">
        <f t="shared" si="31"/>
        <v>0</v>
      </c>
      <c r="Q149" s="1"/>
    </row>
    <row r="150" spans="2:17">
      <c r="B150" s="9" t="str">
        <f t="shared" si="23"/>
        <v/>
      </c>
      <c r="C150" s="153">
        <f>IF(D93="","-",+C149+1)</f>
        <v>2059</v>
      </c>
      <c r="D150" s="154">
        <f>IF(F149+SUM(E$99:E149)=D$92,F149,D$92-SUM(E$99:E149))</f>
        <v>0</v>
      </c>
      <c r="E150" s="160">
        <f>IF(+J96&lt;F149,J96,D150)</f>
        <v>0</v>
      </c>
      <c r="F150" s="159">
        <f t="shared" si="26"/>
        <v>0</v>
      </c>
      <c r="G150" s="159">
        <f t="shared" si="27"/>
        <v>0</v>
      </c>
      <c r="H150" s="163">
        <f t="shared" si="24"/>
        <v>0</v>
      </c>
      <c r="I150" s="253">
        <f t="shared" si="25"/>
        <v>0</v>
      </c>
      <c r="J150" s="158">
        <f t="shared" si="28"/>
        <v>0</v>
      </c>
      <c r="K150" s="158"/>
      <c r="L150" s="334"/>
      <c r="M150" s="158">
        <f t="shared" si="29"/>
        <v>0</v>
      </c>
      <c r="N150" s="334"/>
      <c r="O150" s="158">
        <f t="shared" si="30"/>
        <v>0</v>
      </c>
      <c r="P150" s="158">
        <f t="shared" si="31"/>
        <v>0</v>
      </c>
      <c r="Q150" s="1"/>
    </row>
    <row r="151" spans="2:17">
      <c r="B151" s="9" t="str">
        <f t="shared" si="23"/>
        <v/>
      </c>
      <c r="C151" s="153">
        <f>IF(D93="","-",+C150+1)</f>
        <v>2060</v>
      </c>
      <c r="D151" s="154">
        <f>IF(F150+SUM(E$99:E150)=D$92,F150,D$92-SUM(E$99:E150))</f>
        <v>0</v>
      </c>
      <c r="E151" s="160">
        <f>IF(+J96&lt;F150,J96,D151)</f>
        <v>0</v>
      </c>
      <c r="F151" s="159">
        <f t="shared" si="26"/>
        <v>0</v>
      </c>
      <c r="G151" s="159">
        <f t="shared" si="27"/>
        <v>0</v>
      </c>
      <c r="H151" s="163">
        <f t="shared" si="24"/>
        <v>0</v>
      </c>
      <c r="I151" s="253">
        <f t="shared" si="25"/>
        <v>0</v>
      </c>
      <c r="J151" s="158">
        <f t="shared" si="28"/>
        <v>0</v>
      </c>
      <c r="K151" s="158"/>
      <c r="L151" s="334"/>
      <c r="M151" s="158">
        <f t="shared" si="29"/>
        <v>0</v>
      </c>
      <c r="N151" s="334"/>
      <c r="O151" s="158">
        <f t="shared" si="30"/>
        <v>0</v>
      </c>
      <c r="P151" s="158">
        <f t="shared" si="31"/>
        <v>0</v>
      </c>
      <c r="Q151" s="1"/>
    </row>
    <row r="152" spans="2:17">
      <c r="B152" s="9" t="str">
        <f t="shared" si="23"/>
        <v/>
      </c>
      <c r="C152" s="153">
        <f>IF(D93="","-",+C151+1)</f>
        <v>2061</v>
      </c>
      <c r="D152" s="154">
        <f>IF(F151+SUM(E$99:E151)=D$92,F151,D$92-SUM(E$99:E151))</f>
        <v>0</v>
      </c>
      <c r="E152" s="160">
        <f>IF(+J96&lt;F151,J96,D152)</f>
        <v>0</v>
      </c>
      <c r="F152" s="159">
        <f t="shared" si="26"/>
        <v>0</v>
      </c>
      <c r="G152" s="159">
        <f t="shared" si="27"/>
        <v>0</v>
      </c>
      <c r="H152" s="163">
        <f t="shared" si="24"/>
        <v>0</v>
      </c>
      <c r="I152" s="253">
        <f t="shared" si="25"/>
        <v>0</v>
      </c>
      <c r="J152" s="158">
        <f t="shared" si="28"/>
        <v>0</v>
      </c>
      <c r="K152" s="158"/>
      <c r="L152" s="334"/>
      <c r="M152" s="158">
        <f t="shared" si="29"/>
        <v>0</v>
      </c>
      <c r="N152" s="334"/>
      <c r="O152" s="158">
        <f t="shared" si="30"/>
        <v>0</v>
      </c>
      <c r="P152" s="158">
        <f t="shared" si="31"/>
        <v>0</v>
      </c>
      <c r="Q152" s="1"/>
    </row>
    <row r="153" spans="2:17">
      <c r="B153" s="9" t="str">
        <f t="shared" si="23"/>
        <v/>
      </c>
      <c r="C153" s="153">
        <f>IF(D93="","-",+C152+1)</f>
        <v>2062</v>
      </c>
      <c r="D153" s="154">
        <f>IF(F152+SUM(E$99:E152)=D$92,F152,D$92-SUM(E$99:E152))</f>
        <v>0</v>
      </c>
      <c r="E153" s="160">
        <f>IF(+J96&lt;F152,J96,D153)</f>
        <v>0</v>
      </c>
      <c r="F153" s="159">
        <f t="shared" si="26"/>
        <v>0</v>
      </c>
      <c r="G153" s="159">
        <f t="shared" si="27"/>
        <v>0</v>
      </c>
      <c r="H153" s="163">
        <f t="shared" si="24"/>
        <v>0</v>
      </c>
      <c r="I153" s="253">
        <f t="shared" si="25"/>
        <v>0</v>
      </c>
      <c r="J153" s="158">
        <f t="shared" si="28"/>
        <v>0</v>
      </c>
      <c r="K153" s="158"/>
      <c r="L153" s="334"/>
      <c r="M153" s="158">
        <f t="shared" si="29"/>
        <v>0</v>
      </c>
      <c r="N153" s="334"/>
      <c r="O153" s="158">
        <f t="shared" si="30"/>
        <v>0</v>
      </c>
      <c r="P153" s="158">
        <f t="shared" si="31"/>
        <v>0</v>
      </c>
      <c r="Q153" s="1"/>
    </row>
    <row r="154" spans="2:17" ht="13.5" thickBot="1">
      <c r="B154" s="9" t="str">
        <f t="shared" si="23"/>
        <v/>
      </c>
      <c r="C154" s="164">
        <f>IF(D93="","-",+C153+1)</f>
        <v>2063</v>
      </c>
      <c r="D154" s="215">
        <f>IF(F153+SUM(E$99:E153)=D$92,F153,D$92-SUM(E$99:E153))</f>
        <v>0</v>
      </c>
      <c r="E154" s="166">
        <f>IF(+J96&lt;F153,J96,D154)</f>
        <v>0</v>
      </c>
      <c r="F154" s="165">
        <f t="shared" si="26"/>
        <v>0</v>
      </c>
      <c r="G154" s="165">
        <f t="shared" si="27"/>
        <v>0</v>
      </c>
      <c r="H154" s="167">
        <f t="shared" si="24"/>
        <v>0</v>
      </c>
      <c r="I154" s="254">
        <f t="shared" si="25"/>
        <v>0</v>
      </c>
      <c r="J154" s="169">
        <f t="shared" si="28"/>
        <v>0</v>
      </c>
      <c r="K154" s="158"/>
      <c r="L154" s="335"/>
      <c r="M154" s="169">
        <f t="shared" si="29"/>
        <v>0</v>
      </c>
      <c r="N154" s="335"/>
      <c r="O154" s="169">
        <f t="shared" si="30"/>
        <v>0</v>
      </c>
      <c r="P154" s="169">
        <f t="shared" si="31"/>
        <v>0</v>
      </c>
      <c r="Q154" s="1"/>
    </row>
    <row r="155" spans="2:17">
      <c r="C155" s="154" t="s">
        <v>73</v>
      </c>
      <c r="D155" s="111"/>
      <c r="E155" s="111">
        <f>SUM(E99:E154)</f>
        <v>0</v>
      </c>
      <c r="F155" s="111"/>
      <c r="G155" s="111"/>
      <c r="H155" s="111">
        <f>SUM(H99:H154)</f>
        <v>0</v>
      </c>
      <c r="I155" s="111">
        <f>SUM(I99:I154)</f>
        <v>0</v>
      </c>
      <c r="J155" s="111">
        <f>SUM(J99:J154)</f>
        <v>0</v>
      </c>
      <c r="K155" s="111"/>
      <c r="L155" s="111"/>
      <c r="M155" s="111"/>
      <c r="N155" s="111"/>
      <c r="O155" s="111"/>
      <c r="P155" s="1"/>
      <c r="Q155" s="1"/>
    </row>
    <row r="156" spans="2:17">
      <c r="D156" s="2"/>
      <c r="E156" s="1"/>
      <c r="F156" s="1"/>
      <c r="G156" s="1"/>
      <c r="H156" s="1"/>
      <c r="I156" s="3"/>
      <c r="J156" s="3"/>
      <c r="K156" s="111"/>
      <c r="L156" s="3"/>
      <c r="M156" s="3"/>
      <c r="N156" s="3"/>
      <c r="O156" s="3"/>
      <c r="P156" s="1"/>
      <c r="Q156" s="1"/>
    </row>
    <row r="157" spans="2:17">
      <c r="C157" s="216" t="s">
        <v>87</v>
      </c>
      <c r="D157" s="2"/>
      <c r="E157" s="1"/>
      <c r="F157" s="1"/>
      <c r="G157" s="1"/>
      <c r="H157" s="1"/>
      <c r="I157" s="3"/>
      <c r="J157" s="3"/>
      <c r="K157" s="111"/>
      <c r="L157" s="3"/>
      <c r="M157" s="3"/>
      <c r="N157" s="3"/>
      <c r="O157" s="3"/>
      <c r="P157" s="1"/>
      <c r="Q157" s="1"/>
    </row>
    <row r="158" spans="2:17">
      <c r="D158" s="2"/>
      <c r="E158" s="1"/>
      <c r="F158" s="1"/>
      <c r="G158" s="1"/>
      <c r="H158" s="1"/>
      <c r="I158" s="3"/>
      <c r="J158" s="3"/>
      <c r="K158" s="111"/>
      <c r="L158" s="3"/>
      <c r="M158" s="3"/>
      <c r="N158" s="3"/>
      <c r="O158" s="3"/>
      <c r="P158" s="1"/>
      <c r="Q158" s="1"/>
    </row>
    <row r="159" spans="2:17">
      <c r="C159" s="170" t="s">
        <v>92</v>
      </c>
      <c r="D159" s="154"/>
      <c r="E159" s="154"/>
      <c r="F159" s="154"/>
      <c r="G159" s="154"/>
      <c r="H159" s="111"/>
      <c r="I159" s="111"/>
      <c r="J159" s="171"/>
      <c r="K159" s="171"/>
      <c r="L159" s="171"/>
      <c r="M159" s="171"/>
      <c r="N159" s="171"/>
      <c r="O159" s="171"/>
      <c r="P159" s="1"/>
      <c r="Q159" s="1"/>
    </row>
    <row r="160" spans="2:17">
      <c r="C160" s="217" t="s">
        <v>74</v>
      </c>
      <c r="D160" s="154"/>
      <c r="E160" s="154"/>
      <c r="F160" s="154"/>
      <c r="G160" s="154"/>
      <c r="H160" s="111"/>
      <c r="I160" s="111"/>
      <c r="J160" s="171"/>
      <c r="K160" s="171"/>
      <c r="L160" s="171"/>
      <c r="M160" s="171"/>
      <c r="N160" s="171"/>
      <c r="O160" s="171"/>
      <c r="P160" s="1"/>
      <c r="Q160" s="1"/>
    </row>
    <row r="161" spans="3:17">
      <c r="C161" s="217" t="s">
        <v>75</v>
      </c>
      <c r="D161" s="154"/>
      <c r="E161" s="154"/>
      <c r="F161" s="154"/>
      <c r="G161" s="154"/>
      <c r="H161" s="111"/>
      <c r="I161" s="111"/>
      <c r="J161" s="171"/>
      <c r="K161" s="171"/>
      <c r="L161" s="171"/>
      <c r="M161" s="171"/>
      <c r="N161" s="171"/>
      <c r="O161" s="171"/>
      <c r="P161" s="1"/>
      <c r="Q161" s="1"/>
    </row>
    <row r="162" spans="3:17" ht="18">
      <c r="C162" s="217"/>
      <c r="D162" s="154"/>
      <c r="E162" s="154"/>
      <c r="F162" s="154"/>
      <c r="G162" s="154"/>
      <c r="H162" s="111"/>
      <c r="I162" s="111"/>
      <c r="J162" s="171"/>
      <c r="K162" s="171"/>
      <c r="L162" s="171"/>
      <c r="M162" s="171"/>
      <c r="N162" s="171"/>
      <c r="P162" s="237" t="s">
        <v>126</v>
      </c>
      <c r="Q162" s="1"/>
    </row>
  </sheetData>
  <phoneticPr fontId="0" type="noConversion"/>
  <conditionalFormatting sqref="C17:C72">
    <cfRule type="cellIs" dxfId="145" priority="1" stopIfTrue="1" operator="equal">
      <formula>$I$10</formula>
    </cfRule>
  </conditionalFormatting>
  <conditionalFormatting sqref="C99:C154">
    <cfRule type="cellIs" dxfId="144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60">
    <tabColor indexed="8"/>
  </sheetPr>
  <dimension ref="A1:Q162"/>
  <sheetViews>
    <sheetView view="pageBreakPreview" zoomScale="84" zoomScaleNormal="100" zoomScaleSheetLayoutView="84" workbookViewId="0">
      <selection activeCell="C19" sqref="C19"/>
    </sheetView>
  </sheetViews>
  <sheetFormatPr defaultRowHeight="12.75" customHeight="1"/>
  <cols>
    <col min="1" max="1" width="4.7109375" customWidth="1"/>
    <col min="2" max="2" width="6.7109375" customWidth="1"/>
    <col min="3" max="3" width="23.28515625" customWidth="1"/>
    <col min="4" max="8" width="17.7109375" customWidth="1"/>
    <col min="9" max="9" width="20.42578125" customWidth="1"/>
    <col min="10" max="10" width="16.42578125" customWidth="1"/>
    <col min="11" max="11" width="17.7109375" customWidth="1"/>
    <col min="12" max="12" width="16.140625" customWidth="1"/>
    <col min="13" max="13" width="17.7109375" customWidth="1"/>
    <col min="14" max="14" width="16.140625" customWidth="1"/>
    <col min="15" max="15" width="16.85546875" customWidth="1"/>
    <col min="16" max="16" width="24.42578125" customWidth="1"/>
    <col min="17" max="17" width="4.7109375" customWidth="1"/>
    <col min="23" max="23" width="9.140625" customWidth="1"/>
  </cols>
  <sheetData>
    <row r="1" spans="1:17" ht="20.25">
      <c r="A1" s="243" t="s">
        <v>128</v>
      </c>
      <c r="B1" s="1"/>
      <c r="C1" s="21"/>
      <c r="D1" s="2"/>
      <c r="E1" s="1"/>
      <c r="F1" s="99"/>
      <c r="G1" s="1"/>
      <c r="H1" s="3"/>
      <c r="J1" s="7"/>
      <c r="K1" s="109"/>
      <c r="L1" s="109"/>
      <c r="M1" s="109"/>
      <c r="P1" s="249" t="str">
        <f ca="1">"SWEPCO Project "&amp;RIGHT(MID(CELL("filename",$A$1),FIND("]",CELL("filename",$A$1))+1,256),2)&amp;" of "&amp;COUNT('S.001:S.xyz - blank'!$P$3)-1</f>
        <v>SWEPCO Project 11 of 73</v>
      </c>
      <c r="Q1" s="108" t="s">
        <v>160</v>
      </c>
    </row>
    <row r="2" spans="1:17" ht="18">
      <c r="B2" s="1"/>
      <c r="C2" s="1"/>
      <c r="D2" s="2"/>
      <c r="E2" s="1"/>
      <c r="F2" s="1"/>
      <c r="G2" s="1"/>
      <c r="H2" s="3"/>
      <c r="I2" s="1"/>
      <c r="J2" s="4"/>
      <c r="K2" s="1"/>
      <c r="L2" s="1"/>
      <c r="M2" s="1"/>
      <c r="N2" s="1"/>
      <c r="P2" s="237" t="s">
        <v>124</v>
      </c>
    </row>
    <row r="3" spans="1:17" ht="18.75">
      <c r="B3" s="5" t="s">
        <v>40</v>
      </c>
      <c r="C3" s="68" t="s">
        <v>41</v>
      </c>
      <c r="D3" s="2"/>
      <c r="E3" s="1"/>
      <c r="F3" s="1"/>
      <c r="G3" s="1"/>
      <c r="H3" s="3"/>
      <c r="I3" s="3"/>
      <c r="J3" s="111"/>
      <c r="K3" s="3"/>
      <c r="L3" s="3"/>
      <c r="M3" s="3"/>
      <c r="N3" s="3"/>
      <c r="O3" s="1" t="str">
        <f>RIGHT(N3,3)</f>
        <v/>
      </c>
      <c r="P3" s="239">
        <v>1</v>
      </c>
    </row>
    <row r="4" spans="1:17" ht="15.75" thickBot="1">
      <c r="C4" s="67"/>
      <c r="D4" s="2"/>
      <c r="E4" s="1"/>
      <c r="F4" s="1"/>
      <c r="G4" s="1"/>
      <c r="H4" s="3"/>
      <c r="I4" s="3"/>
      <c r="J4" s="111"/>
      <c r="K4" s="3"/>
      <c r="L4" s="3"/>
      <c r="M4" s="3"/>
      <c r="N4" s="3"/>
      <c r="O4" s="1"/>
      <c r="P4" s="1"/>
    </row>
    <row r="5" spans="1:17" ht="15">
      <c r="C5" s="112" t="s">
        <v>42</v>
      </c>
      <c r="D5" s="2"/>
      <c r="E5" s="1"/>
      <c r="F5" s="1"/>
      <c r="G5" s="113"/>
      <c r="H5" s="1" t="s">
        <v>43</v>
      </c>
      <c r="I5" s="1"/>
      <c r="J5" s="4"/>
      <c r="K5" s="268" t="s">
        <v>152</v>
      </c>
      <c r="L5" s="114"/>
      <c r="M5" s="115"/>
      <c r="N5" s="116">
        <f>VLOOKUP(I10,C17:I72,5)</f>
        <v>0</v>
      </c>
      <c r="P5" s="1"/>
    </row>
    <row r="6" spans="1:17" ht="15.75">
      <c r="C6" s="8"/>
      <c r="D6" s="2"/>
      <c r="E6" s="1"/>
      <c r="F6" s="1"/>
      <c r="G6" s="1"/>
      <c r="H6" s="117"/>
      <c r="I6" s="117"/>
      <c r="J6" s="118"/>
      <c r="K6" s="269" t="s">
        <v>153</v>
      </c>
      <c r="L6" s="119"/>
      <c r="M6" s="4"/>
      <c r="N6" s="120">
        <f>VLOOKUP(I10,C17:I72,6)</f>
        <v>0</v>
      </c>
      <c r="O6" s="1"/>
      <c r="P6" s="1"/>
    </row>
    <row r="7" spans="1:17" ht="13.5" thickBot="1">
      <c r="C7" s="121" t="s">
        <v>44</v>
      </c>
      <c r="D7" s="273" t="s">
        <v>227</v>
      </c>
      <c r="E7" s="1"/>
      <c r="F7" s="1"/>
      <c r="G7" s="1"/>
      <c r="H7" s="3"/>
      <c r="I7" s="3"/>
      <c r="J7" s="111"/>
      <c r="K7" s="122" t="s">
        <v>45</v>
      </c>
      <c r="L7" s="123"/>
      <c r="M7" s="123"/>
      <c r="N7" s="124">
        <f>+N6-N5</f>
        <v>0</v>
      </c>
      <c r="O7" s="1"/>
      <c r="P7" s="1"/>
    </row>
    <row r="8" spans="1:17" ht="13.5" thickBot="1">
      <c r="C8" s="125"/>
      <c r="D8" s="250" t="str">
        <f>IF(D10&lt;100000,"DOES NOT MEET SPP $100,000 MINIMUM INVESTMENT FOR REGIONAL BPU SHARING.","")</f>
        <v>DOES NOT MEET SPP $100,000 MINIMUM INVESTMENT FOR REGIONAL BPU SHARING.</v>
      </c>
      <c r="E8" s="126"/>
      <c r="F8" s="126"/>
      <c r="G8" s="126"/>
      <c r="H8" s="126"/>
      <c r="I8" s="126"/>
      <c r="J8" s="101"/>
      <c r="K8" s="126"/>
      <c r="L8" s="126"/>
      <c r="M8" s="126"/>
      <c r="N8" s="126"/>
      <c r="O8" s="101"/>
      <c r="P8" s="21"/>
    </row>
    <row r="9" spans="1:17" ht="13.5" thickBot="1">
      <c r="A9" s="103"/>
      <c r="C9" s="127" t="s">
        <v>46</v>
      </c>
      <c r="D9" s="225"/>
      <c r="E9" s="401" t="s">
        <v>404</v>
      </c>
      <c r="F9" s="128"/>
      <c r="G9" s="128"/>
      <c r="H9" s="128"/>
      <c r="I9" s="129"/>
      <c r="J9" s="130"/>
      <c r="O9" s="131"/>
      <c r="P9" s="4"/>
    </row>
    <row r="10" spans="1:17">
      <c r="C10" s="132" t="s">
        <v>47</v>
      </c>
      <c r="D10" s="133">
        <v>0</v>
      </c>
      <c r="E10" s="61" t="s">
        <v>459</v>
      </c>
      <c r="F10" s="131"/>
      <c r="G10" s="134"/>
      <c r="H10" s="134"/>
      <c r="I10" s="135">
        <f>+SWE.WS.F.BPU.ATRR.Projected!K17</f>
        <v>2019</v>
      </c>
      <c r="J10" s="130"/>
      <c r="K10" s="111" t="s">
        <v>48</v>
      </c>
      <c r="O10" s="4"/>
      <c r="P10" s="4"/>
    </row>
    <row r="11" spans="1:17">
      <c r="C11" s="136" t="s">
        <v>49</v>
      </c>
      <c r="D11" s="137">
        <v>2007</v>
      </c>
      <c r="E11" s="136" t="s">
        <v>50</v>
      </c>
      <c r="F11" s="134"/>
      <c r="G11" s="7"/>
      <c r="H11" s="7"/>
      <c r="I11" s="138">
        <v>0</v>
      </c>
      <c r="J11" s="139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4"/>
      <c r="P11" s="4"/>
    </row>
    <row r="12" spans="1:17">
      <c r="C12" s="136" t="s">
        <v>51</v>
      </c>
      <c r="D12" s="133">
        <v>5</v>
      </c>
      <c r="E12" s="136" t="s">
        <v>52</v>
      </c>
      <c r="F12" s="134"/>
      <c r="G12" s="7"/>
      <c r="H12" s="7"/>
      <c r="I12" s="140">
        <f>SWE.WS.F.BPU.ATRR.Projected!$F$76</f>
        <v>9.9555672459071778E-2</v>
      </c>
      <c r="J12" s="141"/>
      <c r="K12" t="s">
        <v>53</v>
      </c>
      <c r="O12" s="4"/>
      <c r="P12" s="4"/>
    </row>
    <row r="13" spans="1:17">
      <c r="C13" s="136" t="s">
        <v>54</v>
      </c>
      <c r="D13" s="138">
        <f>+SWE.WS.F.BPU.ATRR.Projected!F$87</f>
        <v>43</v>
      </c>
      <c r="E13" s="136" t="s">
        <v>55</v>
      </c>
      <c r="F13" s="134"/>
      <c r="G13" s="7"/>
      <c r="H13" s="7"/>
      <c r="I13" s="140">
        <f>IF(G5="",I12,SWE.WS.F.BPU.ATRR.Projected!$F$75)</f>
        <v>9.9555672459071778E-2</v>
      </c>
      <c r="J13" s="141"/>
      <c r="K13" s="111" t="s">
        <v>56</v>
      </c>
      <c r="L13" s="58"/>
      <c r="M13" s="58"/>
      <c r="N13" s="58"/>
      <c r="O13" s="4"/>
      <c r="P13" s="4"/>
    </row>
    <row r="14" spans="1:17" ht="13.5" thickBot="1">
      <c r="C14" s="136" t="s">
        <v>57</v>
      </c>
      <c r="D14" s="137" t="s">
        <v>58</v>
      </c>
      <c r="E14" s="4" t="s">
        <v>59</v>
      </c>
      <c r="F14" s="134"/>
      <c r="G14" s="7"/>
      <c r="H14" s="7"/>
      <c r="I14" s="142">
        <f>IF(D10=0,0,D10/D13)</f>
        <v>0</v>
      </c>
      <c r="J14" s="111"/>
      <c r="K14" s="111"/>
      <c r="L14" s="111"/>
      <c r="M14" s="111"/>
      <c r="N14" s="111"/>
      <c r="O14" s="4"/>
      <c r="P14" s="4"/>
    </row>
    <row r="15" spans="1:17" ht="38.25">
      <c r="C15" s="143" t="s">
        <v>47</v>
      </c>
      <c r="D15" s="144" t="s">
        <v>60</v>
      </c>
      <c r="E15" s="144" t="s">
        <v>61</v>
      </c>
      <c r="F15" s="144" t="s">
        <v>62</v>
      </c>
      <c r="G15" s="434" t="s">
        <v>378</v>
      </c>
      <c r="H15" s="435" t="s">
        <v>379</v>
      </c>
      <c r="I15" s="351" t="s">
        <v>249</v>
      </c>
      <c r="J15" s="145"/>
      <c r="K15" s="271" t="s">
        <v>219</v>
      </c>
      <c r="L15" s="146" t="s">
        <v>64</v>
      </c>
      <c r="M15" s="271" t="s">
        <v>219</v>
      </c>
      <c r="N15" s="146" t="s">
        <v>64</v>
      </c>
      <c r="O15" s="146" t="s">
        <v>65</v>
      </c>
      <c r="P15" s="4"/>
    </row>
    <row r="16" spans="1:17" ht="13.5" thickBot="1">
      <c r="C16" s="147" t="s">
        <v>66</v>
      </c>
      <c r="D16" s="147" t="s">
        <v>67</v>
      </c>
      <c r="E16" s="147" t="s">
        <v>68</v>
      </c>
      <c r="F16" s="147" t="s">
        <v>67</v>
      </c>
      <c r="G16" s="408" t="s">
        <v>69</v>
      </c>
      <c r="H16" s="148" t="s">
        <v>70</v>
      </c>
      <c r="I16" s="149" t="s">
        <v>89</v>
      </c>
      <c r="J16" s="150" t="s">
        <v>71</v>
      </c>
      <c r="K16" s="151" t="s">
        <v>72</v>
      </c>
      <c r="L16" s="151" t="s">
        <v>72</v>
      </c>
      <c r="M16" s="151" t="s">
        <v>90</v>
      </c>
      <c r="N16" s="152" t="s">
        <v>90</v>
      </c>
      <c r="O16" s="151" t="s">
        <v>90</v>
      </c>
      <c r="P16" s="4"/>
    </row>
    <row r="17" spans="2:16">
      <c r="C17" s="153">
        <f>IF(D11= "","-",D11)</f>
        <v>2007</v>
      </c>
      <c r="D17" s="154">
        <f>D10</f>
        <v>0</v>
      </c>
      <c r="E17" s="155">
        <f>I14/12*(12-D12)</f>
        <v>0</v>
      </c>
      <c r="F17" s="154">
        <f t="shared" ref="F17:F48" si="0">+D17-E17</f>
        <v>0</v>
      </c>
      <c r="G17" s="155">
        <f t="shared" ref="G17:G48" si="1">+I$12*((D17+F17)/2)+E17</f>
        <v>0</v>
      </c>
      <c r="H17" s="142">
        <f t="shared" ref="H17:H48" si="2">+I$13*((D17+F17)/2)+E17</f>
        <v>0</v>
      </c>
      <c r="I17" s="156">
        <f t="shared" ref="I17:I48" si="3">H17-G17</f>
        <v>0</v>
      </c>
      <c r="J17" s="156"/>
      <c r="K17" s="256">
        <v>741629</v>
      </c>
      <c r="L17" s="157">
        <f t="shared" ref="L17:L48" si="4">IF(K17&lt;&gt;0,+G17-K17,0)</f>
        <v>-741629</v>
      </c>
      <c r="M17" s="256">
        <f>K17</f>
        <v>741629</v>
      </c>
      <c r="N17" s="157">
        <f t="shared" ref="N17:N48" si="5">IF(M17&lt;&gt;0,+H17-M17,0)</f>
        <v>-741629</v>
      </c>
      <c r="O17" s="158">
        <f t="shared" ref="O17:O48" si="6">+N17-L17</f>
        <v>0</v>
      </c>
      <c r="P17" s="4"/>
    </row>
    <row r="18" spans="2:16">
      <c r="B18" s="9" t="str">
        <f>IF(D18=F17,"","IU")</f>
        <v/>
      </c>
      <c r="C18" s="153">
        <f>IF(D11="","-",+C17+1)</f>
        <v>2008</v>
      </c>
      <c r="D18" s="159">
        <f t="shared" ref="D18:D24" si="7">F17</f>
        <v>0</v>
      </c>
      <c r="E18" s="160">
        <f>IF(+I14&lt;F17,I14,D18)</f>
        <v>0</v>
      </c>
      <c r="F18" s="159">
        <f t="shared" si="0"/>
        <v>0</v>
      </c>
      <c r="G18" s="161">
        <f t="shared" si="1"/>
        <v>0</v>
      </c>
      <c r="H18" s="142">
        <f t="shared" si="2"/>
        <v>0</v>
      </c>
      <c r="I18" s="156">
        <f t="shared" si="3"/>
        <v>0</v>
      </c>
      <c r="J18" s="156"/>
      <c r="K18" s="258">
        <v>0</v>
      </c>
      <c r="L18" s="158">
        <f t="shared" si="4"/>
        <v>0</v>
      </c>
      <c r="M18" s="258">
        <v>0</v>
      </c>
      <c r="N18" s="158">
        <f t="shared" si="5"/>
        <v>0</v>
      </c>
      <c r="O18" s="158">
        <f t="shared" si="6"/>
        <v>0</v>
      </c>
      <c r="P18" s="4"/>
    </row>
    <row r="19" spans="2:16">
      <c r="B19" s="9" t="str">
        <f>IF(D19=F18,"","IU")</f>
        <v/>
      </c>
      <c r="C19" s="153">
        <f>IF(D11="","-",+C18+1)</f>
        <v>2009</v>
      </c>
      <c r="D19" s="159">
        <f t="shared" si="7"/>
        <v>0</v>
      </c>
      <c r="E19" s="160">
        <f>IF(+I14&lt;F18,I14,D19)</f>
        <v>0</v>
      </c>
      <c r="F19" s="159">
        <f t="shared" si="0"/>
        <v>0</v>
      </c>
      <c r="G19" s="161">
        <f t="shared" si="1"/>
        <v>0</v>
      </c>
      <c r="H19" s="142">
        <f t="shared" si="2"/>
        <v>0</v>
      </c>
      <c r="I19" s="156">
        <f t="shared" si="3"/>
        <v>0</v>
      </c>
      <c r="J19" s="156"/>
      <c r="K19" s="258">
        <v>0</v>
      </c>
      <c r="L19" s="158">
        <f t="shared" si="4"/>
        <v>0</v>
      </c>
      <c r="M19" s="258">
        <v>0</v>
      </c>
      <c r="N19" s="158">
        <f t="shared" si="5"/>
        <v>0</v>
      </c>
      <c r="O19" s="158">
        <f t="shared" si="6"/>
        <v>0</v>
      </c>
      <c r="P19" s="4"/>
    </row>
    <row r="20" spans="2:16">
      <c r="B20" s="9" t="str">
        <f t="shared" ref="B20:B72" si="8">IF(D20=F19,"","IU")</f>
        <v/>
      </c>
      <c r="C20" s="153">
        <f>IF(D11="","-",+C19+1)</f>
        <v>2010</v>
      </c>
      <c r="D20" s="159">
        <f t="shared" si="7"/>
        <v>0</v>
      </c>
      <c r="E20" s="160">
        <f>IF(+I14&lt;F19,I14,D20)</f>
        <v>0</v>
      </c>
      <c r="F20" s="159">
        <f t="shared" si="0"/>
        <v>0</v>
      </c>
      <c r="G20" s="161">
        <f t="shared" si="1"/>
        <v>0</v>
      </c>
      <c r="H20" s="142">
        <f t="shared" si="2"/>
        <v>0</v>
      </c>
      <c r="I20" s="156">
        <f t="shared" si="3"/>
        <v>0</v>
      </c>
      <c r="J20" s="156"/>
      <c r="K20" s="334"/>
      <c r="L20" s="158">
        <f t="shared" si="4"/>
        <v>0</v>
      </c>
      <c r="M20" s="334"/>
      <c r="N20" s="158">
        <f t="shared" si="5"/>
        <v>0</v>
      </c>
      <c r="O20" s="158">
        <f t="shared" si="6"/>
        <v>0</v>
      </c>
      <c r="P20" s="4"/>
    </row>
    <row r="21" spans="2:16">
      <c r="B21" s="9" t="str">
        <f t="shared" si="8"/>
        <v/>
      </c>
      <c r="C21" s="153">
        <f>IF(D12="","-",+C20+1)</f>
        <v>2011</v>
      </c>
      <c r="D21" s="159">
        <f t="shared" si="7"/>
        <v>0</v>
      </c>
      <c r="E21" s="160">
        <f>IF(+I14&lt;F20,I14,D21)</f>
        <v>0</v>
      </c>
      <c r="F21" s="159">
        <f t="shared" si="0"/>
        <v>0</v>
      </c>
      <c r="G21" s="161">
        <f t="shared" si="1"/>
        <v>0</v>
      </c>
      <c r="H21" s="142">
        <f t="shared" si="2"/>
        <v>0</v>
      </c>
      <c r="I21" s="156">
        <f t="shared" si="3"/>
        <v>0</v>
      </c>
      <c r="J21" s="156"/>
      <c r="K21" s="334"/>
      <c r="L21" s="158">
        <f t="shared" si="4"/>
        <v>0</v>
      </c>
      <c r="M21" s="334"/>
      <c r="N21" s="158">
        <f t="shared" si="5"/>
        <v>0</v>
      </c>
      <c r="O21" s="158">
        <f t="shared" si="6"/>
        <v>0</v>
      </c>
      <c r="P21" s="4"/>
    </row>
    <row r="22" spans="2:16">
      <c r="B22" s="9" t="str">
        <f t="shared" si="8"/>
        <v/>
      </c>
      <c r="C22" s="153">
        <f>IF(D11="","-",+C21+1)</f>
        <v>2012</v>
      </c>
      <c r="D22" s="159">
        <f t="shared" si="7"/>
        <v>0</v>
      </c>
      <c r="E22" s="160">
        <f>IF(+I14&lt;F21,I14,D22)</f>
        <v>0</v>
      </c>
      <c r="F22" s="159">
        <f t="shared" si="0"/>
        <v>0</v>
      </c>
      <c r="G22" s="161">
        <f t="shared" si="1"/>
        <v>0</v>
      </c>
      <c r="H22" s="142">
        <f t="shared" si="2"/>
        <v>0</v>
      </c>
      <c r="I22" s="156">
        <f t="shared" si="3"/>
        <v>0</v>
      </c>
      <c r="J22" s="156"/>
      <c r="K22" s="334"/>
      <c r="L22" s="158">
        <f t="shared" si="4"/>
        <v>0</v>
      </c>
      <c r="M22" s="334"/>
      <c r="N22" s="158">
        <f t="shared" si="5"/>
        <v>0</v>
      </c>
      <c r="O22" s="158">
        <f t="shared" si="6"/>
        <v>0</v>
      </c>
      <c r="P22" s="4"/>
    </row>
    <row r="23" spans="2:16">
      <c r="B23" s="9" t="str">
        <f t="shared" si="8"/>
        <v/>
      </c>
      <c r="C23" s="153">
        <f>IF(D11="","-",+C22+1)</f>
        <v>2013</v>
      </c>
      <c r="D23" s="159">
        <f t="shared" si="7"/>
        <v>0</v>
      </c>
      <c r="E23" s="160">
        <f>IF(+I14&lt;F22,I14,D23)</f>
        <v>0</v>
      </c>
      <c r="F23" s="159">
        <f t="shared" si="0"/>
        <v>0</v>
      </c>
      <c r="G23" s="161">
        <f t="shared" si="1"/>
        <v>0</v>
      </c>
      <c r="H23" s="142">
        <f t="shared" si="2"/>
        <v>0</v>
      </c>
      <c r="I23" s="156">
        <f t="shared" si="3"/>
        <v>0</v>
      </c>
      <c r="J23" s="156"/>
      <c r="K23" s="334"/>
      <c r="L23" s="158">
        <f t="shared" si="4"/>
        <v>0</v>
      </c>
      <c r="M23" s="334"/>
      <c r="N23" s="158">
        <f t="shared" si="5"/>
        <v>0</v>
      </c>
      <c r="O23" s="158">
        <f t="shared" si="6"/>
        <v>0</v>
      </c>
      <c r="P23" s="4"/>
    </row>
    <row r="24" spans="2:16">
      <c r="B24" s="9" t="str">
        <f t="shared" si="8"/>
        <v/>
      </c>
      <c r="C24" s="153">
        <f>IF(D11="","-",+C23+1)</f>
        <v>2014</v>
      </c>
      <c r="D24" s="159">
        <f t="shared" si="7"/>
        <v>0</v>
      </c>
      <c r="E24" s="160">
        <f>IF(+I14&lt;F23,I14,D24)</f>
        <v>0</v>
      </c>
      <c r="F24" s="159">
        <f t="shared" si="0"/>
        <v>0</v>
      </c>
      <c r="G24" s="161">
        <f t="shared" si="1"/>
        <v>0</v>
      </c>
      <c r="H24" s="142">
        <f t="shared" si="2"/>
        <v>0</v>
      </c>
      <c r="I24" s="156">
        <f t="shared" si="3"/>
        <v>0</v>
      </c>
      <c r="J24" s="156"/>
      <c r="K24" s="334"/>
      <c r="L24" s="158">
        <f t="shared" si="4"/>
        <v>0</v>
      </c>
      <c r="M24" s="334"/>
      <c r="N24" s="158">
        <f t="shared" si="5"/>
        <v>0</v>
      </c>
      <c r="O24" s="158">
        <f t="shared" si="6"/>
        <v>0</v>
      </c>
      <c r="P24" s="4"/>
    </row>
    <row r="25" spans="2:16">
      <c r="B25" s="9" t="str">
        <f t="shared" si="8"/>
        <v/>
      </c>
      <c r="C25" s="153">
        <f>IF(D11="","-",+C24+1)</f>
        <v>2015</v>
      </c>
      <c r="D25" s="159">
        <f>IF(F24+SUM(E$17:E24)=D$10,F24,D$10-SUM(E$17:E24))</f>
        <v>0</v>
      </c>
      <c r="E25" s="160">
        <f>IF(+I14&lt;F24,I14,D25)</f>
        <v>0</v>
      </c>
      <c r="F25" s="159">
        <f t="shared" si="0"/>
        <v>0</v>
      </c>
      <c r="G25" s="161">
        <f t="shared" si="1"/>
        <v>0</v>
      </c>
      <c r="H25" s="142">
        <f t="shared" si="2"/>
        <v>0</v>
      </c>
      <c r="I25" s="156">
        <f t="shared" si="3"/>
        <v>0</v>
      </c>
      <c r="J25" s="156"/>
      <c r="K25" s="334"/>
      <c r="L25" s="158">
        <f t="shared" si="4"/>
        <v>0</v>
      </c>
      <c r="M25" s="334"/>
      <c r="N25" s="158">
        <f t="shared" si="5"/>
        <v>0</v>
      </c>
      <c r="O25" s="158">
        <f t="shared" si="6"/>
        <v>0</v>
      </c>
      <c r="P25" s="4"/>
    </row>
    <row r="26" spans="2:16">
      <c r="B26" s="9" t="str">
        <f t="shared" si="8"/>
        <v/>
      </c>
      <c r="C26" s="153">
        <f>IF(D11="","-",+C25+1)</f>
        <v>2016</v>
      </c>
      <c r="D26" s="159">
        <f>IF(F25+SUM(E$17:E25)=D$10,F25,D$10-SUM(E$17:E25))</f>
        <v>0</v>
      </c>
      <c r="E26" s="160">
        <f>IF(+I14&lt;F25,I14,D26)</f>
        <v>0</v>
      </c>
      <c r="F26" s="159">
        <f t="shared" si="0"/>
        <v>0</v>
      </c>
      <c r="G26" s="161">
        <f t="shared" si="1"/>
        <v>0</v>
      </c>
      <c r="H26" s="142">
        <f t="shared" si="2"/>
        <v>0</v>
      </c>
      <c r="I26" s="156">
        <f t="shared" si="3"/>
        <v>0</v>
      </c>
      <c r="J26" s="156"/>
      <c r="K26" s="334"/>
      <c r="L26" s="158">
        <f t="shared" si="4"/>
        <v>0</v>
      </c>
      <c r="M26" s="334"/>
      <c r="N26" s="158">
        <f t="shared" si="5"/>
        <v>0</v>
      </c>
      <c r="O26" s="158">
        <f t="shared" si="6"/>
        <v>0</v>
      </c>
      <c r="P26" s="4"/>
    </row>
    <row r="27" spans="2:16">
      <c r="B27" s="9" t="str">
        <f t="shared" si="8"/>
        <v/>
      </c>
      <c r="C27" s="153">
        <f>IF(D11="","-",+C26+1)</f>
        <v>2017</v>
      </c>
      <c r="D27" s="162">
        <f>IF(F26+SUM(E$17:E26)=D$10,F26,D$10-SUM(E$17:E26))</f>
        <v>0</v>
      </c>
      <c r="E27" s="160">
        <f>IF(+I14&lt;F26,I14,D27)</f>
        <v>0</v>
      </c>
      <c r="F27" s="159">
        <f t="shared" si="0"/>
        <v>0</v>
      </c>
      <c r="G27" s="161">
        <f t="shared" si="1"/>
        <v>0</v>
      </c>
      <c r="H27" s="142">
        <f t="shared" si="2"/>
        <v>0</v>
      </c>
      <c r="I27" s="156">
        <f t="shared" si="3"/>
        <v>0</v>
      </c>
      <c r="J27" s="156"/>
      <c r="K27" s="334"/>
      <c r="L27" s="158">
        <f t="shared" si="4"/>
        <v>0</v>
      </c>
      <c r="M27" s="334"/>
      <c r="N27" s="158">
        <f t="shared" si="5"/>
        <v>0</v>
      </c>
      <c r="O27" s="158">
        <f t="shared" si="6"/>
        <v>0</v>
      </c>
      <c r="P27" s="4"/>
    </row>
    <row r="28" spans="2:16">
      <c r="B28" s="9" t="str">
        <f t="shared" si="8"/>
        <v/>
      </c>
      <c r="C28" s="153">
        <f>IF(D11="","-",+C27+1)</f>
        <v>2018</v>
      </c>
      <c r="D28" s="159">
        <f>IF(F27+SUM(E$17:E27)=D$10,F27,D$10-SUM(E$17:E27))</f>
        <v>0</v>
      </c>
      <c r="E28" s="160">
        <f>IF(+I14&lt;F27,I14,D28)</f>
        <v>0</v>
      </c>
      <c r="F28" s="159">
        <f t="shared" si="0"/>
        <v>0</v>
      </c>
      <c r="G28" s="161">
        <f t="shared" si="1"/>
        <v>0</v>
      </c>
      <c r="H28" s="142">
        <f t="shared" si="2"/>
        <v>0</v>
      </c>
      <c r="I28" s="156">
        <f t="shared" si="3"/>
        <v>0</v>
      </c>
      <c r="J28" s="156"/>
      <c r="K28" s="334"/>
      <c r="L28" s="158">
        <f t="shared" si="4"/>
        <v>0</v>
      </c>
      <c r="M28" s="334"/>
      <c r="N28" s="158">
        <f t="shared" si="5"/>
        <v>0</v>
      </c>
      <c r="O28" s="158">
        <f t="shared" si="6"/>
        <v>0</v>
      </c>
      <c r="P28" s="4"/>
    </row>
    <row r="29" spans="2:16">
      <c r="B29" s="9" t="str">
        <f t="shared" si="8"/>
        <v/>
      </c>
      <c r="C29" s="153">
        <f>IF(D11="","-",+C28+1)</f>
        <v>2019</v>
      </c>
      <c r="D29" s="159">
        <f>IF(F28+SUM(E$17:E28)=D$10,F28,D$10-SUM(E$17:E28))</f>
        <v>0</v>
      </c>
      <c r="E29" s="160">
        <f>IF(+I14&lt;F28,I14,D29)</f>
        <v>0</v>
      </c>
      <c r="F29" s="159">
        <f t="shared" si="0"/>
        <v>0</v>
      </c>
      <c r="G29" s="161">
        <f t="shared" si="1"/>
        <v>0</v>
      </c>
      <c r="H29" s="142">
        <f t="shared" si="2"/>
        <v>0</v>
      </c>
      <c r="I29" s="156">
        <f t="shared" si="3"/>
        <v>0</v>
      </c>
      <c r="J29" s="156"/>
      <c r="K29" s="334"/>
      <c r="L29" s="158">
        <f t="shared" si="4"/>
        <v>0</v>
      </c>
      <c r="M29" s="334"/>
      <c r="N29" s="158">
        <f t="shared" si="5"/>
        <v>0</v>
      </c>
      <c r="O29" s="158">
        <f t="shared" si="6"/>
        <v>0</v>
      </c>
      <c r="P29" s="4"/>
    </row>
    <row r="30" spans="2:16">
      <c r="B30" s="9" t="str">
        <f t="shared" si="8"/>
        <v/>
      </c>
      <c r="C30" s="153">
        <f>IF(D11="","-",+C29+1)</f>
        <v>2020</v>
      </c>
      <c r="D30" s="159">
        <f>IF(F29+SUM(E$17:E29)=D$10,F29,D$10-SUM(E$17:E29))</f>
        <v>0</v>
      </c>
      <c r="E30" s="160">
        <f>IF(+I14&lt;F29,I14,D30)</f>
        <v>0</v>
      </c>
      <c r="F30" s="159">
        <f t="shared" si="0"/>
        <v>0</v>
      </c>
      <c r="G30" s="161">
        <f t="shared" si="1"/>
        <v>0</v>
      </c>
      <c r="H30" s="142">
        <f t="shared" si="2"/>
        <v>0</v>
      </c>
      <c r="I30" s="156">
        <f t="shared" si="3"/>
        <v>0</v>
      </c>
      <c r="J30" s="156"/>
      <c r="K30" s="334"/>
      <c r="L30" s="158">
        <f t="shared" si="4"/>
        <v>0</v>
      </c>
      <c r="M30" s="334"/>
      <c r="N30" s="158">
        <f t="shared" si="5"/>
        <v>0</v>
      </c>
      <c r="O30" s="158">
        <f t="shared" si="6"/>
        <v>0</v>
      </c>
      <c r="P30" s="4"/>
    </row>
    <row r="31" spans="2:16">
      <c r="B31" s="9" t="str">
        <f t="shared" si="8"/>
        <v/>
      </c>
      <c r="C31" s="153">
        <f>IF(D11="","-",+C30+1)</f>
        <v>2021</v>
      </c>
      <c r="D31" s="159">
        <f>IF(F30+SUM(E$17:E30)=D$10,F30,D$10-SUM(E$17:E30))</f>
        <v>0</v>
      </c>
      <c r="E31" s="160">
        <f>IF(+I14&lt;F30,I14,D31)</f>
        <v>0</v>
      </c>
      <c r="F31" s="159">
        <f t="shared" si="0"/>
        <v>0</v>
      </c>
      <c r="G31" s="161">
        <f t="shared" si="1"/>
        <v>0</v>
      </c>
      <c r="H31" s="142">
        <f t="shared" si="2"/>
        <v>0</v>
      </c>
      <c r="I31" s="156">
        <f t="shared" si="3"/>
        <v>0</v>
      </c>
      <c r="J31" s="156"/>
      <c r="K31" s="334"/>
      <c r="L31" s="158">
        <f t="shared" si="4"/>
        <v>0</v>
      </c>
      <c r="M31" s="334"/>
      <c r="N31" s="158">
        <f t="shared" si="5"/>
        <v>0</v>
      </c>
      <c r="O31" s="158">
        <f t="shared" si="6"/>
        <v>0</v>
      </c>
      <c r="P31" s="4"/>
    </row>
    <row r="32" spans="2:16">
      <c r="B32" s="9" t="str">
        <f t="shared" si="8"/>
        <v/>
      </c>
      <c r="C32" s="153">
        <f>IF(D11="","-",+C31+1)</f>
        <v>2022</v>
      </c>
      <c r="D32" s="159">
        <f>IF(F31+SUM(E$17:E31)=D$10,F31,D$10-SUM(E$17:E31))</f>
        <v>0</v>
      </c>
      <c r="E32" s="160">
        <f>IF(+I14&lt;F31,I14,D32)</f>
        <v>0</v>
      </c>
      <c r="F32" s="159">
        <f t="shared" si="0"/>
        <v>0</v>
      </c>
      <c r="G32" s="161">
        <f t="shared" si="1"/>
        <v>0</v>
      </c>
      <c r="H32" s="142">
        <f t="shared" si="2"/>
        <v>0</v>
      </c>
      <c r="I32" s="156">
        <f t="shared" si="3"/>
        <v>0</v>
      </c>
      <c r="J32" s="156"/>
      <c r="K32" s="334"/>
      <c r="L32" s="158">
        <f t="shared" si="4"/>
        <v>0</v>
      </c>
      <c r="M32" s="334"/>
      <c r="N32" s="158">
        <f t="shared" si="5"/>
        <v>0</v>
      </c>
      <c r="O32" s="158">
        <f t="shared" si="6"/>
        <v>0</v>
      </c>
      <c r="P32" s="4"/>
    </row>
    <row r="33" spans="2:16">
      <c r="B33" s="9" t="str">
        <f t="shared" si="8"/>
        <v/>
      </c>
      <c r="C33" s="153">
        <f>IF(D11="","-",+C32+1)</f>
        <v>2023</v>
      </c>
      <c r="D33" s="159">
        <f>IF(F32+SUM(E$17:E32)=D$10,F32,D$10-SUM(E$17:E32))</f>
        <v>0</v>
      </c>
      <c r="E33" s="160">
        <f>IF(+I14&lt;F32,I14,D33)</f>
        <v>0</v>
      </c>
      <c r="F33" s="159">
        <f t="shared" si="0"/>
        <v>0</v>
      </c>
      <c r="G33" s="161">
        <f t="shared" si="1"/>
        <v>0</v>
      </c>
      <c r="H33" s="142">
        <f t="shared" si="2"/>
        <v>0</v>
      </c>
      <c r="I33" s="156">
        <f t="shared" si="3"/>
        <v>0</v>
      </c>
      <c r="J33" s="156"/>
      <c r="K33" s="334"/>
      <c r="L33" s="158">
        <f t="shared" si="4"/>
        <v>0</v>
      </c>
      <c r="M33" s="334"/>
      <c r="N33" s="158">
        <f t="shared" si="5"/>
        <v>0</v>
      </c>
      <c r="O33" s="158">
        <f t="shared" si="6"/>
        <v>0</v>
      </c>
      <c r="P33" s="4"/>
    </row>
    <row r="34" spans="2:16">
      <c r="B34" s="9" t="str">
        <f t="shared" si="8"/>
        <v/>
      </c>
      <c r="C34" s="153">
        <f>IF(D11="","-",+C33+1)</f>
        <v>2024</v>
      </c>
      <c r="D34" s="159">
        <f>IF(F33+SUM(E$17:E33)=D$10,F33,D$10-SUM(E$17:E33))</f>
        <v>0</v>
      </c>
      <c r="E34" s="160">
        <f>IF(+I14&lt;F33,I14,D34)</f>
        <v>0</v>
      </c>
      <c r="F34" s="159">
        <f t="shared" si="0"/>
        <v>0</v>
      </c>
      <c r="G34" s="161">
        <f t="shared" si="1"/>
        <v>0</v>
      </c>
      <c r="H34" s="142">
        <f t="shared" si="2"/>
        <v>0</v>
      </c>
      <c r="I34" s="156">
        <f t="shared" si="3"/>
        <v>0</v>
      </c>
      <c r="J34" s="156"/>
      <c r="K34" s="334"/>
      <c r="L34" s="158">
        <f t="shared" si="4"/>
        <v>0</v>
      </c>
      <c r="M34" s="334"/>
      <c r="N34" s="158">
        <f t="shared" si="5"/>
        <v>0</v>
      </c>
      <c r="O34" s="158">
        <f t="shared" si="6"/>
        <v>0</v>
      </c>
      <c r="P34" s="4"/>
    </row>
    <row r="35" spans="2:16">
      <c r="B35" s="9" t="str">
        <f t="shared" si="8"/>
        <v/>
      </c>
      <c r="C35" s="153">
        <f>IF(D11="","-",+C34+1)</f>
        <v>2025</v>
      </c>
      <c r="D35" s="159">
        <f>IF(F34+SUM(E$17:E34)=D$10,F34,D$10-SUM(E$17:E34))</f>
        <v>0</v>
      </c>
      <c r="E35" s="160">
        <f>IF(+I14&lt;F34,I14,D35)</f>
        <v>0</v>
      </c>
      <c r="F35" s="159">
        <f t="shared" si="0"/>
        <v>0</v>
      </c>
      <c r="G35" s="161">
        <f t="shared" si="1"/>
        <v>0</v>
      </c>
      <c r="H35" s="142">
        <f t="shared" si="2"/>
        <v>0</v>
      </c>
      <c r="I35" s="156">
        <f t="shared" si="3"/>
        <v>0</v>
      </c>
      <c r="J35" s="156"/>
      <c r="K35" s="334"/>
      <c r="L35" s="158">
        <f t="shared" si="4"/>
        <v>0</v>
      </c>
      <c r="M35" s="334"/>
      <c r="N35" s="158">
        <f t="shared" si="5"/>
        <v>0</v>
      </c>
      <c r="O35" s="158">
        <f t="shared" si="6"/>
        <v>0</v>
      </c>
      <c r="P35" s="4"/>
    </row>
    <row r="36" spans="2:16">
      <c r="B36" s="9" t="str">
        <f t="shared" si="8"/>
        <v/>
      </c>
      <c r="C36" s="153">
        <f>IF(D11="","-",+C35+1)</f>
        <v>2026</v>
      </c>
      <c r="D36" s="159">
        <f>IF(F35+SUM(E$17:E35)=D$10,F35,D$10-SUM(E$17:E35))</f>
        <v>0</v>
      </c>
      <c r="E36" s="160">
        <f>IF(+I14&lt;F35,I14,D36)</f>
        <v>0</v>
      </c>
      <c r="F36" s="159">
        <f t="shared" si="0"/>
        <v>0</v>
      </c>
      <c r="G36" s="161">
        <f t="shared" si="1"/>
        <v>0</v>
      </c>
      <c r="H36" s="142">
        <f t="shared" si="2"/>
        <v>0</v>
      </c>
      <c r="I36" s="156">
        <f t="shared" si="3"/>
        <v>0</v>
      </c>
      <c r="J36" s="156"/>
      <c r="K36" s="334"/>
      <c r="L36" s="158">
        <f t="shared" si="4"/>
        <v>0</v>
      </c>
      <c r="M36" s="334"/>
      <c r="N36" s="158">
        <f t="shared" si="5"/>
        <v>0</v>
      </c>
      <c r="O36" s="158">
        <f t="shared" si="6"/>
        <v>0</v>
      </c>
      <c r="P36" s="4"/>
    </row>
    <row r="37" spans="2:16">
      <c r="B37" s="9" t="str">
        <f t="shared" si="8"/>
        <v/>
      </c>
      <c r="C37" s="153">
        <f>IF(D11="","-",+C36+1)</f>
        <v>2027</v>
      </c>
      <c r="D37" s="159">
        <f>IF(F36+SUM(E$17:E36)=D$10,F36,D$10-SUM(E$17:E36))</f>
        <v>0</v>
      </c>
      <c r="E37" s="160">
        <f>IF(+I14&lt;F36,I14,D37)</f>
        <v>0</v>
      </c>
      <c r="F37" s="159">
        <f t="shared" si="0"/>
        <v>0</v>
      </c>
      <c r="G37" s="161">
        <f t="shared" si="1"/>
        <v>0</v>
      </c>
      <c r="H37" s="142">
        <f t="shared" si="2"/>
        <v>0</v>
      </c>
      <c r="I37" s="156">
        <f t="shared" si="3"/>
        <v>0</v>
      </c>
      <c r="J37" s="156"/>
      <c r="K37" s="334"/>
      <c r="L37" s="158">
        <f t="shared" si="4"/>
        <v>0</v>
      </c>
      <c r="M37" s="334"/>
      <c r="N37" s="158">
        <f t="shared" si="5"/>
        <v>0</v>
      </c>
      <c r="O37" s="158">
        <f t="shared" si="6"/>
        <v>0</v>
      </c>
      <c r="P37" s="4"/>
    </row>
    <row r="38" spans="2:16">
      <c r="B38" s="9" t="str">
        <f t="shared" si="8"/>
        <v/>
      </c>
      <c r="C38" s="153">
        <f>IF(D11="","-",+C37+1)</f>
        <v>2028</v>
      </c>
      <c r="D38" s="159">
        <f>IF(F37+SUM(E$17:E37)=D$10,F37,D$10-SUM(E$17:E37))</f>
        <v>0</v>
      </c>
      <c r="E38" s="160">
        <f>IF(+I14&lt;F37,I14,D38)</f>
        <v>0</v>
      </c>
      <c r="F38" s="159">
        <f t="shared" si="0"/>
        <v>0</v>
      </c>
      <c r="G38" s="161">
        <f t="shared" si="1"/>
        <v>0</v>
      </c>
      <c r="H38" s="142">
        <f t="shared" si="2"/>
        <v>0</v>
      </c>
      <c r="I38" s="156">
        <f t="shared" si="3"/>
        <v>0</v>
      </c>
      <c r="J38" s="156"/>
      <c r="K38" s="334"/>
      <c r="L38" s="158">
        <f t="shared" si="4"/>
        <v>0</v>
      </c>
      <c r="M38" s="334"/>
      <c r="N38" s="158">
        <f t="shared" si="5"/>
        <v>0</v>
      </c>
      <c r="O38" s="158">
        <f t="shared" si="6"/>
        <v>0</v>
      </c>
      <c r="P38" s="4"/>
    </row>
    <row r="39" spans="2:16">
      <c r="B39" s="9" t="str">
        <f t="shared" si="8"/>
        <v/>
      </c>
      <c r="C39" s="153">
        <f>IF(D11="","-",+C38+1)</f>
        <v>2029</v>
      </c>
      <c r="D39" s="159">
        <f>IF(F38+SUM(E$17:E38)=D$10,F38,D$10-SUM(E$17:E38))</f>
        <v>0</v>
      </c>
      <c r="E39" s="160">
        <f>IF(+I14&lt;F38,I14,D39)</f>
        <v>0</v>
      </c>
      <c r="F39" s="159">
        <f t="shared" si="0"/>
        <v>0</v>
      </c>
      <c r="G39" s="161">
        <f t="shared" si="1"/>
        <v>0</v>
      </c>
      <c r="H39" s="142">
        <f t="shared" si="2"/>
        <v>0</v>
      </c>
      <c r="I39" s="156">
        <f t="shared" si="3"/>
        <v>0</v>
      </c>
      <c r="J39" s="156"/>
      <c r="K39" s="334"/>
      <c r="L39" s="158">
        <f t="shared" si="4"/>
        <v>0</v>
      </c>
      <c r="M39" s="334"/>
      <c r="N39" s="158">
        <f t="shared" si="5"/>
        <v>0</v>
      </c>
      <c r="O39" s="158">
        <f t="shared" si="6"/>
        <v>0</v>
      </c>
      <c r="P39" s="4"/>
    </row>
    <row r="40" spans="2:16">
      <c r="B40" s="9" t="str">
        <f t="shared" si="8"/>
        <v/>
      </c>
      <c r="C40" s="153">
        <f>IF(D11="","-",+C39+1)</f>
        <v>2030</v>
      </c>
      <c r="D40" s="159">
        <f>IF(F39+SUM(E$17:E39)=D$10,F39,D$10-SUM(E$17:E39))</f>
        <v>0</v>
      </c>
      <c r="E40" s="160">
        <f>IF(+I14&lt;F39,I14,D40)</f>
        <v>0</v>
      </c>
      <c r="F40" s="159">
        <f t="shared" si="0"/>
        <v>0</v>
      </c>
      <c r="G40" s="161">
        <f t="shared" si="1"/>
        <v>0</v>
      </c>
      <c r="H40" s="142">
        <f t="shared" si="2"/>
        <v>0</v>
      </c>
      <c r="I40" s="156">
        <f t="shared" si="3"/>
        <v>0</v>
      </c>
      <c r="J40" s="156"/>
      <c r="K40" s="334"/>
      <c r="L40" s="158">
        <f t="shared" si="4"/>
        <v>0</v>
      </c>
      <c r="M40" s="334"/>
      <c r="N40" s="158">
        <f t="shared" si="5"/>
        <v>0</v>
      </c>
      <c r="O40" s="158">
        <f t="shared" si="6"/>
        <v>0</v>
      </c>
      <c r="P40" s="4"/>
    </row>
    <row r="41" spans="2:16">
      <c r="B41" s="9" t="str">
        <f t="shared" si="8"/>
        <v/>
      </c>
      <c r="C41" s="153">
        <f>IF(D11="","-",+C40+1)</f>
        <v>2031</v>
      </c>
      <c r="D41" s="159">
        <f>IF(F40+SUM(E$17:E40)=D$10,F40,D$10-SUM(E$17:E40))</f>
        <v>0</v>
      </c>
      <c r="E41" s="160">
        <f>IF(+I14&lt;F40,I14,D41)</f>
        <v>0</v>
      </c>
      <c r="F41" s="159">
        <f t="shared" si="0"/>
        <v>0</v>
      </c>
      <c r="G41" s="161">
        <f t="shared" si="1"/>
        <v>0</v>
      </c>
      <c r="H41" s="142">
        <f t="shared" si="2"/>
        <v>0</v>
      </c>
      <c r="I41" s="156">
        <f t="shared" si="3"/>
        <v>0</v>
      </c>
      <c r="J41" s="156"/>
      <c r="K41" s="334"/>
      <c r="L41" s="158">
        <f t="shared" si="4"/>
        <v>0</v>
      </c>
      <c r="M41" s="334"/>
      <c r="N41" s="158">
        <f t="shared" si="5"/>
        <v>0</v>
      </c>
      <c r="O41" s="158">
        <f t="shared" si="6"/>
        <v>0</v>
      </c>
      <c r="P41" s="4"/>
    </row>
    <row r="42" spans="2:16">
      <c r="B42" s="9" t="str">
        <f t="shared" si="8"/>
        <v/>
      </c>
      <c r="C42" s="153">
        <f>IF(D11="","-",+C41+1)</f>
        <v>2032</v>
      </c>
      <c r="D42" s="159">
        <f>IF(F41+SUM(E$17:E41)=D$10,F41,D$10-SUM(E$17:E41))</f>
        <v>0</v>
      </c>
      <c r="E42" s="160">
        <f>IF(+I14&lt;F41,I14,D42)</f>
        <v>0</v>
      </c>
      <c r="F42" s="159">
        <f t="shared" si="0"/>
        <v>0</v>
      </c>
      <c r="G42" s="161">
        <f t="shared" si="1"/>
        <v>0</v>
      </c>
      <c r="H42" s="142">
        <f t="shared" si="2"/>
        <v>0</v>
      </c>
      <c r="I42" s="156">
        <f t="shared" si="3"/>
        <v>0</v>
      </c>
      <c r="J42" s="156"/>
      <c r="K42" s="334"/>
      <c r="L42" s="158">
        <f t="shared" si="4"/>
        <v>0</v>
      </c>
      <c r="M42" s="334"/>
      <c r="N42" s="158">
        <f t="shared" si="5"/>
        <v>0</v>
      </c>
      <c r="O42" s="158">
        <f t="shared" si="6"/>
        <v>0</v>
      </c>
      <c r="P42" s="4"/>
    </row>
    <row r="43" spans="2:16">
      <c r="B43" s="9" t="str">
        <f t="shared" si="8"/>
        <v/>
      </c>
      <c r="C43" s="153">
        <f>IF(D11="","-",+C42+1)</f>
        <v>2033</v>
      </c>
      <c r="D43" s="159">
        <f>IF(F42+SUM(E$17:E42)=D$10,F42,D$10-SUM(E$17:E42))</f>
        <v>0</v>
      </c>
      <c r="E43" s="160">
        <f>IF(+I14&lt;F42,I14,D43)</f>
        <v>0</v>
      </c>
      <c r="F43" s="159">
        <f t="shared" si="0"/>
        <v>0</v>
      </c>
      <c r="G43" s="161">
        <f t="shared" si="1"/>
        <v>0</v>
      </c>
      <c r="H43" s="142">
        <f t="shared" si="2"/>
        <v>0</v>
      </c>
      <c r="I43" s="156">
        <f t="shared" si="3"/>
        <v>0</v>
      </c>
      <c r="J43" s="156"/>
      <c r="K43" s="334"/>
      <c r="L43" s="158">
        <f t="shared" si="4"/>
        <v>0</v>
      </c>
      <c r="M43" s="334"/>
      <c r="N43" s="158">
        <f t="shared" si="5"/>
        <v>0</v>
      </c>
      <c r="O43" s="158">
        <f t="shared" si="6"/>
        <v>0</v>
      </c>
      <c r="P43" s="4"/>
    </row>
    <row r="44" spans="2:16">
      <c r="B44" s="9" t="str">
        <f t="shared" si="8"/>
        <v/>
      </c>
      <c r="C44" s="153">
        <f>IF(D11="","-",+C43+1)</f>
        <v>2034</v>
      </c>
      <c r="D44" s="159">
        <f>IF(F43+SUM(E$17:E43)=D$10,F43,D$10-SUM(E$17:E43))</f>
        <v>0</v>
      </c>
      <c r="E44" s="160">
        <f>IF(+I14&lt;F43,I14,D44)</f>
        <v>0</v>
      </c>
      <c r="F44" s="159">
        <f t="shared" si="0"/>
        <v>0</v>
      </c>
      <c r="G44" s="161">
        <f t="shared" si="1"/>
        <v>0</v>
      </c>
      <c r="H44" s="142">
        <f t="shared" si="2"/>
        <v>0</v>
      </c>
      <c r="I44" s="156">
        <f t="shared" si="3"/>
        <v>0</v>
      </c>
      <c r="J44" s="156"/>
      <c r="K44" s="334"/>
      <c r="L44" s="158">
        <f t="shared" si="4"/>
        <v>0</v>
      </c>
      <c r="M44" s="334"/>
      <c r="N44" s="158">
        <f t="shared" si="5"/>
        <v>0</v>
      </c>
      <c r="O44" s="158">
        <f t="shared" si="6"/>
        <v>0</v>
      </c>
      <c r="P44" s="4"/>
    </row>
    <row r="45" spans="2:16">
      <c r="B45" s="9" t="str">
        <f t="shared" si="8"/>
        <v/>
      </c>
      <c r="C45" s="153">
        <f>IF(D11="","-",+C44+1)</f>
        <v>2035</v>
      </c>
      <c r="D45" s="159">
        <f>IF(F44+SUM(E$17:E44)=D$10,F44,D$10-SUM(E$17:E44))</f>
        <v>0</v>
      </c>
      <c r="E45" s="160">
        <f>IF(+I14&lt;F44,I14,D45)</f>
        <v>0</v>
      </c>
      <c r="F45" s="159">
        <f t="shared" si="0"/>
        <v>0</v>
      </c>
      <c r="G45" s="161">
        <f t="shared" si="1"/>
        <v>0</v>
      </c>
      <c r="H45" s="142">
        <f t="shared" si="2"/>
        <v>0</v>
      </c>
      <c r="I45" s="156">
        <f t="shared" si="3"/>
        <v>0</v>
      </c>
      <c r="J45" s="156"/>
      <c r="K45" s="334"/>
      <c r="L45" s="158">
        <f t="shared" si="4"/>
        <v>0</v>
      </c>
      <c r="M45" s="334"/>
      <c r="N45" s="158">
        <f t="shared" si="5"/>
        <v>0</v>
      </c>
      <c r="O45" s="158">
        <f t="shared" si="6"/>
        <v>0</v>
      </c>
      <c r="P45" s="4"/>
    </row>
    <row r="46" spans="2:16">
      <c r="B46" s="9" t="str">
        <f t="shared" si="8"/>
        <v/>
      </c>
      <c r="C46" s="153">
        <f>IF(D11="","-",+C45+1)</f>
        <v>2036</v>
      </c>
      <c r="D46" s="159">
        <f>IF(F45+SUM(E$17:E45)=D$10,F45,D$10-SUM(E$17:E45))</f>
        <v>0</v>
      </c>
      <c r="E46" s="160">
        <f>IF(+I14&lt;F45,I14,D46)</f>
        <v>0</v>
      </c>
      <c r="F46" s="159">
        <f t="shared" si="0"/>
        <v>0</v>
      </c>
      <c r="G46" s="161">
        <f t="shared" si="1"/>
        <v>0</v>
      </c>
      <c r="H46" s="142">
        <f t="shared" si="2"/>
        <v>0</v>
      </c>
      <c r="I46" s="156">
        <f t="shared" si="3"/>
        <v>0</v>
      </c>
      <c r="J46" s="156"/>
      <c r="K46" s="334"/>
      <c r="L46" s="158">
        <f t="shared" si="4"/>
        <v>0</v>
      </c>
      <c r="M46" s="334"/>
      <c r="N46" s="158">
        <f t="shared" si="5"/>
        <v>0</v>
      </c>
      <c r="O46" s="158">
        <f t="shared" si="6"/>
        <v>0</v>
      </c>
      <c r="P46" s="4"/>
    </row>
    <row r="47" spans="2:16">
      <c r="B47" s="9" t="str">
        <f t="shared" si="8"/>
        <v/>
      </c>
      <c r="C47" s="153">
        <f>IF(D11="","-",+C46+1)</f>
        <v>2037</v>
      </c>
      <c r="D47" s="159">
        <f>IF(F46+SUM(E$17:E46)=D$10,F46,D$10-SUM(E$17:E46))</f>
        <v>0</v>
      </c>
      <c r="E47" s="160">
        <f>IF(+I14&lt;F46,I14,D47)</f>
        <v>0</v>
      </c>
      <c r="F47" s="159">
        <f t="shared" si="0"/>
        <v>0</v>
      </c>
      <c r="G47" s="161">
        <f t="shared" si="1"/>
        <v>0</v>
      </c>
      <c r="H47" s="142">
        <f t="shared" si="2"/>
        <v>0</v>
      </c>
      <c r="I47" s="156">
        <f t="shared" si="3"/>
        <v>0</v>
      </c>
      <c r="J47" s="156"/>
      <c r="K47" s="334"/>
      <c r="L47" s="158">
        <f t="shared" si="4"/>
        <v>0</v>
      </c>
      <c r="M47" s="334"/>
      <c r="N47" s="158">
        <f t="shared" si="5"/>
        <v>0</v>
      </c>
      <c r="O47" s="158">
        <f t="shared" si="6"/>
        <v>0</v>
      </c>
      <c r="P47" s="4"/>
    </row>
    <row r="48" spans="2:16">
      <c r="B48" s="9" t="str">
        <f t="shared" si="8"/>
        <v/>
      </c>
      <c r="C48" s="153">
        <f>IF(D11="","-",+C47+1)</f>
        <v>2038</v>
      </c>
      <c r="D48" s="159">
        <f>IF(F47+SUM(E$17:E47)=D$10,F47,D$10-SUM(E$17:E47))</f>
        <v>0</v>
      </c>
      <c r="E48" s="160">
        <f>IF(+I14&lt;F47,I14,D48)</f>
        <v>0</v>
      </c>
      <c r="F48" s="159">
        <f t="shared" si="0"/>
        <v>0</v>
      </c>
      <c r="G48" s="161">
        <f t="shared" si="1"/>
        <v>0</v>
      </c>
      <c r="H48" s="142">
        <f t="shared" si="2"/>
        <v>0</v>
      </c>
      <c r="I48" s="156">
        <f t="shared" si="3"/>
        <v>0</v>
      </c>
      <c r="J48" s="156"/>
      <c r="K48" s="334"/>
      <c r="L48" s="158">
        <f t="shared" si="4"/>
        <v>0</v>
      </c>
      <c r="M48" s="334"/>
      <c r="N48" s="158">
        <f t="shared" si="5"/>
        <v>0</v>
      </c>
      <c r="O48" s="158">
        <f t="shared" si="6"/>
        <v>0</v>
      </c>
      <c r="P48" s="4"/>
    </row>
    <row r="49" spans="2:17">
      <c r="B49" s="9" t="str">
        <f t="shared" si="8"/>
        <v/>
      </c>
      <c r="C49" s="153">
        <f>IF(D11="","-",+C48+1)</f>
        <v>2039</v>
      </c>
      <c r="D49" s="159">
        <f>IF(F48+SUM(E$17:E48)=D$10,F48,D$10-SUM(E$17:E48))</f>
        <v>0</v>
      </c>
      <c r="E49" s="160">
        <f>IF(+I14&lt;F48,I14,D49)</f>
        <v>0</v>
      </c>
      <c r="F49" s="159">
        <f t="shared" ref="F49:F72" si="9">+D49-E49</f>
        <v>0</v>
      </c>
      <c r="G49" s="161">
        <f t="shared" ref="G49:G72" si="10">+I$12*((D49+F49)/2)+E49</f>
        <v>0</v>
      </c>
      <c r="H49" s="142">
        <f t="shared" ref="H49:H72" si="11">+I$13*((D49+F49)/2)+E49</f>
        <v>0</v>
      </c>
      <c r="I49" s="156">
        <f t="shared" ref="I49:I72" si="12">H49-G49</f>
        <v>0</v>
      </c>
      <c r="J49" s="156"/>
      <c r="K49" s="334"/>
      <c r="L49" s="158">
        <f t="shared" ref="L49:L72" si="13">IF(K49&lt;&gt;0,+G49-K49,0)</f>
        <v>0</v>
      </c>
      <c r="M49" s="334"/>
      <c r="N49" s="158">
        <f t="shared" ref="N49:N72" si="14">IF(M49&lt;&gt;0,+H49-M49,0)</f>
        <v>0</v>
      </c>
      <c r="O49" s="158">
        <f t="shared" ref="O49:O72" si="15">+N49-L49</f>
        <v>0</v>
      </c>
      <c r="P49" s="4"/>
    </row>
    <row r="50" spans="2:17">
      <c r="B50" s="9" t="str">
        <f t="shared" si="8"/>
        <v/>
      </c>
      <c r="C50" s="153">
        <f>IF(D11="","-",+C49+1)</f>
        <v>2040</v>
      </c>
      <c r="D50" s="159">
        <f>IF(F49+SUM(E$17:E49)=D$10,F49,D$10-SUM(E$17:E49))</f>
        <v>0</v>
      </c>
      <c r="E50" s="160">
        <f>IF(+I14&lt;F49,I14,D50)</f>
        <v>0</v>
      </c>
      <c r="F50" s="159">
        <f t="shared" si="9"/>
        <v>0</v>
      </c>
      <c r="G50" s="161">
        <f t="shared" si="10"/>
        <v>0</v>
      </c>
      <c r="H50" s="142">
        <f t="shared" si="11"/>
        <v>0</v>
      </c>
      <c r="I50" s="156">
        <f t="shared" si="12"/>
        <v>0</v>
      </c>
      <c r="J50" s="156"/>
      <c r="K50" s="334"/>
      <c r="L50" s="158">
        <f t="shared" si="13"/>
        <v>0</v>
      </c>
      <c r="M50" s="334"/>
      <c r="N50" s="158">
        <f t="shared" si="14"/>
        <v>0</v>
      </c>
      <c r="O50" s="158">
        <f t="shared" si="15"/>
        <v>0</v>
      </c>
      <c r="P50" s="4"/>
    </row>
    <row r="51" spans="2:17">
      <c r="B51" s="9" t="str">
        <f t="shared" si="8"/>
        <v/>
      </c>
      <c r="C51" s="153">
        <f>IF(D11="","-",+C50+1)</f>
        <v>2041</v>
      </c>
      <c r="D51" s="159">
        <f>IF(F50+SUM(E$17:E50)=D$10,F50,D$10-SUM(E$17:E50))</f>
        <v>0</v>
      </c>
      <c r="E51" s="160">
        <f>IF(+I14&lt;F50,I14,D51)</f>
        <v>0</v>
      </c>
      <c r="F51" s="159">
        <f t="shared" si="9"/>
        <v>0</v>
      </c>
      <c r="G51" s="161">
        <f t="shared" si="10"/>
        <v>0</v>
      </c>
      <c r="H51" s="142">
        <f t="shared" si="11"/>
        <v>0</v>
      </c>
      <c r="I51" s="156">
        <f t="shared" si="12"/>
        <v>0</v>
      </c>
      <c r="J51" s="156"/>
      <c r="K51" s="334"/>
      <c r="L51" s="158">
        <f t="shared" si="13"/>
        <v>0</v>
      </c>
      <c r="M51" s="334"/>
      <c r="N51" s="158">
        <f t="shared" si="14"/>
        <v>0</v>
      </c>
      <c r="O51" s="158">
        <f t="shared" si="15"/>
        <v>0</v>
      </c>
      <c r="P51" s="4"/>
    </row>
    <row r="52" spans="2:17">
      <c r="B52" s="9" t="str">
        <f t="shared" si="8"/>
        <v/>
      </c>
      <c r="C52" s="153">
        <f>IF(D11="","-",+C51+1)</f>
        <v>2042</v>
      </c>
      <c r="D52" s="159">
        <f>IF(F51+SUM(E$17:E51)=D$10,F51,D$10-SUM(E$17:E51))</f>
        <v>0</v>
      </c>
      <c r="E52" s="160">
        <f>IF(+I14&lt;F51,I14,D52)</f>
        <v>0</v>
      </c>
      <c r="F52" s="159">
        <f t="shared" si="9"/>
        <v>0</v>
      </c>
      <c r="G52" s="161">
        <f t="shared" si="10"/>
        <v>0</v>
      </c>
      <c r="H52" s="142">
        <f t="shared" si="11"/>
        <v>0</v>
      </c>
      <c r="I52" s="156">
        <f t="shared" si="12"/>
        <v>0</v>
      </c>
      <c r="J52" s="156"/>
      <c r="K52" s="334"/>
      <c r="L52" s="158">
        <f t="shared" si="13"/>
        <v>0</v>
      </c>
      <c r="M52" s="334"/>
      <c r="N52" s="158">
        <f t="shared" si="14"/>
        <v>0</v>
      </c>
      <c r="O52" s="158">
        <f t="shared" si="15"/>
        <v>0</v>
      </c>
      <c r="P52" s="4"/>
    </row>
    <row r="53" spans="2:17">
      <c r="B53" s="9" t="str">
        <f t="shared" si="8"/>
        <v/>
      </c>
      <c r="C53" s="153">
        <f>IF(D11="","-",+C52+1)</f>
        <v>2043</v>
      </c>
      <c r="D53" s="159">
        <f>IF(F52+SUM(E$17:E52)=D$10,F52,D$10-SUM(E$17:E52))</f>
        <v>0</v>
      </c>
      <c r="E53" s="160">
        <f>IF(+I14&lt;F52,I14,D53)</f>
        <v>0</v>
      </c>
      <c r="F53" s="159">
        <f t="shared" si="9"/>
        <v>0</v>
      </c>
      <c r="G53" s="161">
        <f t="shared" si="10"/>
        <v>0</v>
      </c>
      <c r="H53" s="142">
        <f t="shared" si="11"/>
        <v>0</v>
      </c>
      <c r="I53" s="156">
        <f t="shared" si="12"/>
        <v>0</v>
      </c>
      <c r="J53" s="156"/>
      <c r="K53" s="334"/>
      <c r="L53" s="158">
        <f t="shared" si="13"/>
        <v>0</v>
      </c>
      <c r="M53" s="334"/>
      <c r="N53" s="158">
        <f t="shared" si="14"/>
        <v>0</v>
      </c>
      <c r="O53" s="158">
        <f t="shared" si="15"/>
        <v>0</v>
      </c>
      <c r="P53" s="4"/>
    </row>
    <row r="54" spans="2:17">
      <c r="B54" s="9" t="str">
        <f t="shared" si="8"/>
        <v/>
      </c>
      <c r="C54" s="153">
        <f>IF(D11="","-",+C53+1)</f>
        <v>2044</v>
      </c>
      <c r="D54" s="159">
        <f>IF(F53+SUM(E$17:E53)=D$10,F53,D$10-SUM(E$17:E53))</f>
        <v>0</v>
      </c>
      <c r="E54" s="160">
        <f>IF(+I14&lt;F53,I14,D54)</f>
        <v>0</v>
      </c>
      <c r="F54" s="159">
        <f t="shared" si="9"/>
        <v>0</v>
      </c>
      <c r="G54" s="161">
        <f t="shared" si="10"/>
        <v>0</v>
      </c>
      <c r="H54" s="142">
        <f t="shared" si="11"/>
        <v>0</v>
      </c>
      <c r="I54" s="156">
        <f t="shared" si="12"/>
        <v>0</v>
      </c>
      <c r="J54" s="156"/>
      <c r="K54" s="334"/>
      <c r="L54" s="158">
        <f t="shared" si="13"/>
        <v>0</v>
      </c>
      <c r="M54" s="334"/>
      <c r="N54" s="158">
        <f t="shared" si="14"/>
        <v>0</v>
      </c>
      <c r="O54" s="158">
        <f t="shared" si="15"/>
        <v>0</v>
      </c>
      <c r="P54" s="4"/>
    </row>
    <row r="55" spans="2:17">
      <c r="B55" s="9" t="str">
        <f t="shared" si="8"/>
        <v/>
      </c>
      <c r="C55" s="153">
        <f>IF(D11="","-",+C54+1)</f>
        <v>2045</v>
      </c>
      <c r="D55" s="159">
        <f>IF(F54+SUM(E$17:E54)=D$10,F54,D$10-SUM(E$17:E54))</f>
        <v>0</v>
      </c>
      <c r="E55" s="160">
        <f>IF(+I14&lt;F54,I14,D55)</f>
        <v>0</v>
      </c>
      <c r="F55" s="159">
        <f t="shared" si="9"/>
        <v>0</v>
      </c>
      <c r="G55" s="161">
        <f t="shared" si="10"/>
        <v>0</v>
      </c>
      <c r="H55" s="142">
        <f t="shared" si="11"/>
        <v>0</v>
      </c>
      <c r="I55" s="156">
        <f t="shared" si="12"/>
        <v>0</v>
      </c>
      <c r="J55" s="156"/>
      <c r="K55" s="334"/>
      <c r="L55" s="158">
        <f t="shared" si="13"/>
        <v>0</v>
      </c>
      <c r="M55" s="334"/>
      <c r="N55" s="158">
        <f t="shared" si="14"/>
        <v>0</v>
      </c>
      <c r="O55" s="158">
        <f t="shared" si="15"/>
        <v>0</v>
      </c>
      <c r="P55" s="4"/>
    </row>
    <row r="56" spans="2:17">
      <c r="B56" s="9" t="str">
        <f t="shared" si="8"/>
        <v/>
      </c>
      <c r="C56" s="153">
        <f>IF(D11="","-",+C55+1)</f>
        <v>2046</v>
      </c>
      <c r="D56" s="159">
        <f>IF(F55+SUM(E$17:E55)=D$10,F55,D$10-SUM(E$17:E55))</f>
        <v>0</v>
      </c>
      <c r="E56" s="160">
        <f>IF(+I14&lt;F55,I14,D56)</f>
        <v>0</v>
      </c>
      <c r="F56" s="159">
        <f t="shared" si="9"/>
        <v>0</v>
      </c>
      <c r="G56" s="161">
        <f t="shared" si="10"/>
        <v>0</v>
      </c>
      <c r="H56" s="142">
        <f t="shared" si="11"/>
        <v>0</v>
      </c>
      <c r="I56" s="156">
        <f t="shared" si="12"/>
        <v>0</v>
      </c>
      <c r="J56" s="156"/>
      <c r="K56" s="334"/>
      <c r="L56" s="158">
        <f t="shared" si="13"/>
        <v>0</v>
      </c>
      <c r="M56" s="334"/>
      <c r="N56" s="158">
        <f t="shared" si="14"/>
        <v>0</v>
      </c>
      <c r="O56" s="158">
        <f t="shared" si="15"/>
        <v>0</v>
      </c>
      <c r="P56" s="4"/>
    </row>
    <row r="57" spans="2:17">
      <c r="B57" s="9" t="str">
        <f t="shared" si="8"/>
        <v/>
      </c>
      <c r="C57" s="153">
        <f>IF(D11="","-",+C56+1)</f>
        <v>2047</v>
      </c>
      <c r="D57" s="159">
        <f>IF(F56+SUM(E$17:E56)=D$10,F56,D$10-SUM(E$17:E56))</f>
        <v>0</v>
      </c>
      <c r="E57" s="160">
        <f>IF(+I14&lt;F56,I14,D57)</f>
        <v>0</v>
      </c>
      <c r="F57" s="159">
        <f t="shared" si="9"/>
        <v>0</v>
      </c>
      <c r="G57" s="161">
        <f t="shared" si="10"/>
        <v>0</v>
      </c>
      <c r="H57" s="142">
        <f t="shared" si="11"/>
        <v>0</v>
      </c>
      <c r="I57" s="156">
        <f t="shared" si="12"/>
        <v>0</v>
      </c>
      <c r="J57" s="156"/>
      <c r="K57" s="334"/>
      <c r="L57" s="158">
        <f t="shared" si="13"/>
        <v>0</v>
      </c>
      <c r="M57" s="334"/>
      <c r="N57" s="158">
        <f t="shared" si="14"/>
        <v>0</v>
      </c>
      <c r="O57" s="158">
        <f t="shared" si="15"/>
        <v>0</v>
      </c>
      <c r="P57" s="4"/>
    </row>
    <row r="58" spans="2:17">
      <c r="B58" s="9" t="str">
        <f t="shared" si="8"/>
        <v/>
      </c>
      <c r="C58" s="153">
        <f>IF(D11="","-",+C57+1)</f>
        <v>2048</v>
      </c>
      <c r="D58" s="159">
        <f>IF(F57+SUM(E$17:E57)=D$10,F57,D$10-SUM(E$17:E57))</f>
        <v>0</v>
      </c>
      <c r="E58" s="160">
        <f>IF(+I14&lt;F57,I14,D58)</f>
        <v>0</v>
      </c>
      <c r="F58" s="159">
        <f t="shared" si="9"/>
        <v>0</v>
      </c>
      <c r="G58" s="161">
        <f t="shared" si="10"/>
        <v>0</v>
      </c>
      <c r="H58" s="142">
        <f t="shared" si="11"/>
        <v>0</v>
      </c>
      <c r="I58" s="156">
        <f t="shared" si="12"/>
        <v>0</v>
      </c>
      <c r="J58" s="156"/>
      <c r="K58" s="334"/>
      <c r="L58" s="158">
        <f t="shared" si="13"/>
        <v>0</v>
      </c>
      <c r="M58" s="334"/>
      <c r="N58" s="158">
        <f t="shared" si="14"/>
        <v>0</v>
      </c>
      <c r="O58" s="158">
        <f t="shared" si="15"/>
        <v>0</v>
      </c>
      <c r="P58" s="4"/>
      <c r="Q58" t="str">
        <f>IF(ROUND(Q57,0)=ROUND(SUM(Q18:Q56),0),"","Error -- check allocations above).")</f>
        <v/>
      </c>
    </row>
    <row r="59" spans="2:17">
      <c r="B59" s="9" t="str">
        <f t="shared" si="8"/>
        <v/>
      </c>
      <c r="C59" s="153">
        <f>IF(D11="","-",+C58+1)</f>
        <v>2049</v>
      </c>
      <c r="D59" s="159">
        <f>IF(F58+SUM(E$17:E58)=D$10,F58,D$10-SUM(E$17:E58))</f>
        <v>0</v>
      </c>
      <c r="E59" s="160">
        <f>IF(+I14&lt;F58,I14,D59)</f>
        <v>0</v>
      </c>
      <c r="F59" s="159">
        <f t="shared" si="9"/>
        <v>0</v>
      </c>
      <c r="G59" s="161">
        <f t="shared" si="10"/>
        <v>0</v>
      </c>
      <c r="H59" s="142">
        <f t="shared" si="11"/>
        <v>0</v>
      </c>
      <c r="I59" s="156">
        <f t="shared" si="12"/>
        <v>0</v>
      </c>
      <c r="J59" s="156"/>
      <c r="K59" s="334"/>
      <c r="L59" s="158">
        <f t="shared" si="13"/>
        <v>0</v>
      </c>
      <c r="M59" s="334"/>
      <c r="N59" s="158">
        <f t="shared" si="14"/>
        <v>0</v>
      </c>
      <c r="O59" s="158">
        <f t="shared" si="15"/>
        <v>0</v>
      </c>
      <c r="P59" s="4"/>
    </row>
    <row r="60" spans="2:17">
      <c r="B60" s="9" t="str">
        <f t="shared" si="8"/>
        <v/>
      </c>
      <c r="C60" s="153">
        <f>IF(D11="","-",+C59+1)</f>
        <v>2050</v>
      </c>
      <c r="D60" s="159">
        <f>IF(F59+SUM(E$17:E59)=D$10,F59,D$10-SUM(E$17:E59))</f>
        <v>0</v>
      </c>
      <c r="E60" s="160">
        <f>IF(+I14&lt;F59,I14,D60)</f>
        <v>0</v>
      </c>
      <c r="F60" s="159">
        <f t="shared" si="9"/>
        <v>0</v>
      </c>
      <c r="G60" s="161">
        <f t="shared" si="10"/>
        <v>0</v>
      </c>
      <c r="H60" s="142">
        <f t="shared" si="11"/>
        <v>0</v>
      </c>
      <c r="I60" s="156">
        <f t="shared" si="12"/>
        <v>0</v>
      </c>
      <c r="J60" s="156"/>
      <c r="K60" s="334"/>
      <c r="L60" s="158">
        <f t="shared" si="13"/>
        <v>0</v>
      </c>
      <c r="M60" s="334"/>
      <c r="N60" s="158">
        <f t="shared" si="14"/>
        <v>0</v>
      </c>
      <c r="O60" s="158">
        <f t="shared" si="15"/>
        <v>0</v>
      </c>
      <c r="P60" s="4"/>
    </row>
    <row r="61" spans="2:17">
      <c r="B61" s="9" t="str">
        <f t="shared" si="8"/>
        <v/>
      </c>
      <c r="C61" s="153">
        <f>IF(D11="","-",+C60+1)</f>
        <v>2051</v>
      </c>
      <c r="D61" s="159">
        <f>IF(F60+SUM(E$17:E60)=D$10,F60,D$10-SUM(E$17:E60))</f>
        <v>0</v>
      </c>
      <c r="E61" s="160">
        <f>IF(+I14&lt;F60,I14,D61)</f>
        <v>0</v>
      </c>
      <c r="F61" s="159">
        <f t="shared" si="9"/>
        <v>0</v>
      </c>
      <c r="G61" s="163">
        <f t="shared" si="10"/>
        <v>0</v>
      </c>
      <c r="H61" s="142">
        <f t="shared" si="11"/>
        <v>0</v>
      </c>
      <c r="I61" s="156">
        <f t="shared" si="12"/>
        <v>0</v>
      </c>
      <c r="J61" s="156"/>
      <c r="K61" s="334"/>
      <c r="L61" s="158">
        <f t="shared" si="13"/>
        <v>0</v>
      </c>
      <c r="M61" s="334"/>
      <c r="N61" s="158">
        <f t="shared" si="14"/>
        <v>0</v>
      </c>
      <c r="O61" s="158">
        <f t="shared" si="15"/>
        <v>0</v>
      </c>
      <c r="P61" s="4"/>
    </row>
    <row r="62" spans="2:17">
      <c r="B62" s="9" t="str">
        <f t="shared" si="8"/>
        <v/>
      </c>
      <c r="C62" s="153">
        <f>IF(D11="","-",+C61+1)</f>
        <v>2052</v>
      </c>
      <c r="D62" s="159">
        <f>IF(F61+SUM(E$17:E61)=D$10,F61,D$10-SUM(E$17:E61))</f>
        <v>0</v>
      </c>
      <c r="E62" s="160">
        <f>IF(+I14&lt;F61,I14,D62)</f>
        <v>0</v>
      </c>
      <c r="F62" s="159">
        <f t="shared" si="9"/>
        <v>0</v>
      </c>
      <c r="G62" s="163">
        <f t="shared" si="10"/>
        <v>0</v>
      </c>
      <c r="H62" s="142">
        <f t="shared" si="11"/>
        <v>0</v>
      </c>
      <c r="I62" s="156">
        <f t="shared" si="12"/>
        <v>0</v>
      </c>
      <c r="J62" s="156"/>
      <c r="K62" s="334"/>
      <c r="L62" s="158">
        <f t="shared" si="13"/>
        <v>0</v>
      </c>
      <c r="M62" s="334"/>
      <c r="N62" s="158">
        <f t="shared" si="14"/>
        <v>0</v>
      </c>
      <c r="O62" s="158">
        <f t="shared" si="15"/>
        <v>0</v>
      </c>
      <c r="P62" s="4"/>
    </row>
    <row r="63" spans="2:17">
      <c r="B63" s="9" t="str">
        <f t="shared" si="8"/>
        <v/>
      </c>
      <c r="C63" s="153">
        <f>IF(D11="","-",+C62+1)</f>
        <v>2053</v>
      </c>
      <c r="D63" s="159">
        <f>IF(F62+SUM(E$17:E62)=D$10,F62,D$10-SUM(E$17:E62))</f>
        <v>0</v>
      </c>
      <c r="E63" s="160">
        <f>IF(+I14&lt;F62,I14,D63)</f>
        <v>0</v>
      </c>
      <c r="F63" s="159">
        <f t="shared" si="9"/>
        <v>0</v>
      </c>
      <c r="G63" s="163">
        <f t="shared" si="10"/>
        <v>0</v>
      </c>
      <c r="H63" s="142">
        <f t="shared" si="11"/>
        <v>0</v>
      </c>
      <c r="I63" s="156">
        <f t="shared" si="12"/>
        <v>0</v>
      </c>
      <c r="J63" s="156"/>
      <c r="K63" s="334"/>
      <c r="L63" s="158">
        <f t="shared" si="13"/>
        <v>0</v>
      </c>
      <c r="M63" s="334"/>
      <c r="N63" s="158">
        <f t="shared" si="14"/>
        <v>0</v>
      </c>
      <c r="O63" s="158">
        <f t="shared" si="15"/>
        <v>0</v>
      </c>
      <c r="P63" s="4"/>
    </row>
    <row r="64" spans="2:17">
      <c r="B64" s="9" t="str">
        <f t="shared" si="8"/>
        <v/>
      </c>
      <c r="C64" s="153">
        <f>IF(D11="","-",+C63+1)</f>
        <v>2054</v>
      </c>
      <c r="D64" s="159">
        <f>IF(F63+SUM(E$17:E63)=D$10,F63,D$10-SUM(E$17:E63))</f>
        <v>0</v>
      </c>
      <c r="E64" s="160">
        <f>IF(+I14&lt;F63,I14,D64)</f>
        <v>0</v>
      </c>
      <c r="F64" s="159">
        <f t="shared" si="9"/>
        <v>0</v>
      </c>
      <c r="G64" s="163">
        <f t="shared" si="10"/>
        <v>0</v>
      </c>
      <c r="H64" s="142">
        <f t="shared" si="11"/>
        <v>0</v>
      </c>
      <c r="I64" s="156">
        <f t="shared" si="12"/>
        <v>0</v>
      </c>
      <c r="J64" s="156"/>
      <c r="K64" s="334"/>
      <c r="L64" s="158">
        <f t="shared" si="13"/>
        <v>0</v>
      </c>
      <c r="M64" s="334"/>
      <c r="N64" s="158">
        <f t="shared" si="14"/>
        <v>0</v>
      </c>
      <c r="O64" s="158">
        <f t="shared" si="15"/>
        <v>0</v>
      </c>
      <c r="P64" s="4"/>
    </row>
    <row r="65" spans="1:16">
      <c r="B65" s="9" t="str">
        <f t="shared" si="8"/>
        <v/>
      </c>
      <c r="C65" s="153">
        <f>IF(D11="","-",+C64+1)</f>
        <v>2055</v>
      </c>
      <c r="D65" s="159">
        <f>IF(F64+SUM(E$17:E64)=D$10,F64,D$10-SUM(E$17:E64))</f>
        <v>0</v>
      </c>
      <c r="E65" s="160">
        <f>IF(+I14&lt;F64,I14,D65)</f>
        <v>0</v>
      </c>
      <c r="F65" s="159">
        <f t="shared" si="9"/>
        <v>0</v>
      </c>
      <c r="G65" s="163">
        <f t="shared" si="10"/>
        <v>0</v>
      </c>
      <c r="H65" s="142">
        <f t="shared" si="11"/>
        <v>0</v>
      </c>
      <c r="I65" s="156">
        <f t="shared" si="12"/>
        <v>0</v>
      </c>
      <c r="J65" s="156"/>
      <c r="K65" s="334"/>
      <c r="L65" s="158">
        <f t="shared" si="13"/>
        <v>0</v>
      </c>
      <c r="M65" s="334"/>
      <c r="N65" s="158">
        <f t="shared" si="14"/>
        <v>0</v>
      </c>
      <c r="O65" s="158">
        <f t="shared" si="15"/>
        <v>0</v>
      </c>
      <c r="P65" s="4"/>
    </row>
    <row r="66" spans="1:16">
      <c r="B66" s="9" t="str">
        <f t="shared" si="8"/>
        <v/>
      </c>
      <c r="C66" s="153">
        <f>IF(D11="","-",+C65+1)</f>
        <v>2056</v>
      </c>
      <c r="D66" s="159">
        <f>IF(F65+SUM(E$17:E65)=D$10,F65,D$10-SUM(E$17:E65))</f>
        <v>0</v>
      </c>
      <c r="E66" s="160">
        <f>IF(+I14&lt;F65,I14,D66)</f>
        <v>0</v>
      </c>
      <c r="F66" s="159">
        <f t="shared" si="9"/>
        <v>0</v>
      </c>
      <c r="G66" s="163">
        <f t="shared" si="10"/>
        <v>0</v>
      </c>
      <c r="H66" s="142">
        <f t="shared" si="11"/>
        <v>0</v>
      </c>
      <c r="I66" s="156">
        <f t="shared" si="12"/>
        <v>0</v>
      </c>
      <c r="J66" s="156"/>
      <c r="K66" s="334"/>
      <c r="L66" s="158">
        <f t="shared" si="13"/>
        <v>0</v>
      </c>
      <c r="M66" s="334"/>
      <c r="N66" s="158">
        <f t="shared" si="14"/>
        <v>0</v>
      </c>
      <c r="O66" s="158">
        <f t="shared" si="15"/>
        <v>0</v>
      </c>
      <c r="P66" s="4"/>
    </row>
    <row r="67" spans="1:16">
      <c r="B67" s="9" t="str">
        <f t="shared" si="8"/>
        <v/>
      </c>
      <c r="C67" s="153">
        <f>IF(D11="","-",+C66+1)</f>
        <v>2057</v>
      </c>
      <c r="D67" s="159">
        <f>IF(F66+SUM(E$17:E66)=D$10,F66,D$10-SUM(E$17:E66))</f>
        <v>0</v>
      </c>
      <c r="E67" s="160">
        <f>IF(+I14&lt;F66,I14,D67)</f>
        <v>0</v>
      </c>
      <c r="F67" s="159">
        <f t="shared" si="9"/>
        <v>0</v>
      </c>
      <c r="G67" s="163">
        <f t="shared" si="10"/>
        <v>0</v>
      </c>
      <c r="H67" s="142">
        <f t="shared" si="11"/>
        <v>0</v>
      </c>
      <c r="I67" s="156">
        <f t="shared" si="12"/>
        <v>0</v>
      </c>
      <c r="J67" s="156"/>
      <c r="K67" s="334"/>
      <c r="L67" s="158">
        <f t="shared" si="13"/>
        <v>0</v>
      </c>
      <c r="M67" s="334"/>
      <c r="N67" s="158">
        <f t="shared" si="14"/>
        <v>0</v>
      </c>
      <c r="O67" s="158">
        <f t="shared" si="15"/>
        <v>0</v>
      </c>
      <c r="P67" s="4"/>
    </row>
    <row r="68" spans="1:16">
      <c r="B68" s="9" t="str">
        <f t="shared" si="8"/>
        <v/>
      </c>
      <c r="C68" s="153">
        <f>IF(D11="","-",+C67+1)</f>
        <v>2058</v>
      </c>
      <c r="D68" s="159">
        <f>IF(F67+SUM(E$17:E67)=D$10,F67,D$10-SUM(E$17:E67))</f>
        <v>0</v>
      </c>
      <c r="E68" s="160">
        <f>IF(+I14&lt;F67,I14,D68)</f>
        <v>0</v>
      </c>
      <c r="F68" s="159">
        <f t="shared" si="9"/>
        <v>0</v>
      </c>
      <c r="G68" s="163">
        <f t="shared" si="10"/>
        <v>0</v>
      </c>
      <c r="H68" s="142">
        <f t="shared" si="11"/>
        <v>0</v>
      </c>
      <c r="I68" s="156">
        <f t="shared" si="12"/>
        <v>0</v>
      </c>
      <c r="J68" s="156"/>
      <c r="K68" s="334"/>
      <c r="L68" s="158">
        <f t="shared" si="13"/>
        <v>0</v>
      </c>
      <c r="M68" s="334"/>
      <c r="N68" s="158">
        <f t="shared" si="14"/>
        <v>0</v>
      </c>
      <c r="O68" s="158">
        <f t="shared" si="15"/>
        <v>0</v>
      </c>
      <c r="P68" s="4"/>
    </row>
    <row r="69" spans="1:16">
      <c r="B69" s="9" t="str">
        <f t="shared" si="8"/>
        <v/>
      </c>
      <c r="C69" s="153">
        <f>IF(D11="","-",+C68+1)</f>
        <v>2059</v>
      </c>
      <c r="D69" s="159">
        <f>IF(F68+SUM(E$17:E68)=D$10,F68,D$10-SUM(E$17:E68))</f>
        <v>0</v>
      </c>
      <c r="E69" s="160">
        <f>IF(+I14&lt;F68,I14,D69)</f>
        <v>0</v>
      </c>
      <c r="F69" s="159">
        <f t="shared" si="9"/>
        <v>0</v>
      </c>
      <c r="G69" s="163">
        <f t="shared" si="10"/>
        <v>0</v>
      </c>
      <c r="H69" s="142">
        <f t="shared" si="11"/>
        <v>0</v>
      </c>
      <c r="I69" s="156">
        <f t="shared" si="12"/>
        <v>0</v>
      </c>
      <c r="J69" s="156"/>
      <c r="K69" s="334"/>
      <c r="L69" s="158">
        <f t="shared" si="13"/>
        <v>0</v>
      </c>
      <c r="M69" s="334"/>
      <c r="N69" s="158">
        <f t="shared" si="14"/>
        <v>0</v>
      </c>
      <c r="O69" s="158">
        <f t="shared" si="15"/>
        <v>0</v>
      </c>
      <c r="P69" s="4"/>
    </row>
    <row r="70" spans="1:16">
      <c r="B70" s="9" t="str">
        <f t="shared" si="8"/>
        <v/>
      </c>
      <c r="C70" s="153">
        <f>IF(D11="","-",+C69+1)</f>
        <v>2060</v>
      </c>
      <c r="D70" s="159">
        <f>IF(F69+SUM(E$17:E69)=D$10,F69,D$10-SUM(E$17:E69))</f>
        <v>0</v>
      </c>
      <c r="E70" s="160">
        <f>IF(+I14&lt;F69,I14,D70)</f>
        <v>0</v>
      </c>
      <c r="F70" s="159">
        <f t="shared" si="9"/>
        <v>0</v>
      </c>
      <c r="G70" s="163">
        <f t="shared" si="10"/>
        <v>0</v>
      </c>
      <c r="H70" s="142">
        <f t="shared" si="11"/>
        <v>0</v>
      </c>
      <c r="I70" s="156">
        <f t="shared" si="12"/>
        <v>0</v>
      </c>
      <c r="J70" s="156"/>
      <c r="K70" s="334"/>
      <c r="L70" s="158">
        <f t="shared" si="13"/>
        <v>0</v>
      </c>
      <c r="M70" s="334"/>
      <c r="N70" s="158">
        <f t="shared" si="14"/>
        <v>0</v>
      </c>
      <c r="O70" s="158">
        <f t="shared" si="15"/>
        <v>0</v>
      </c>
      <c r="P70" s="4"/>
    </row>
    <row r="71" spans="1:16">
      <c r="B71" s="9" t="str">
        <f t="shared" si="8"/>
        <v/>
      </c>
      <c r="C71" s="153">
        <f>IF(D11="","-",+C70+1)</f>
        <v>2061</v>
      </c>
      <c r="D71" s="159">
        <f>IF(F70+SUM(E$17:E70)=D$10,F70,D$10-SUM(E$17:E70))</f>
        <v>0</v>
      </c>
      <c r="E71" s="160">
        <f>IF(+I14&lt;F70,I14,D71)</f>
        <v>0</v>
      </c>
      <c r="F71" s="159">
        <f t="shared" si="9"/>
        <v>0</v>
      </c>
      <c r="G71" s="163">
        <f t="shared" si="10"/>
        <v>0</v>
      </c>
      <c r="H71" s="142">
        <f t="shared" si="11"/>
        <v>0</v>
      </c>
      <c r="I71" s="156">
        <f t="shared" si="12"/>
        <v>0</v>
      </c>
      <c r="J71" s="156"/>
      <c r="K71" s="334"/>
      <c r="L71" s="158">
        <f t="shared" si="13"/>
        <v>0</v>
      </c>
      <c r="M71" s="334"/>
      <c r="N71" s="158">
        <f t="shared" si="14"/>
        <v>0</v>
      </c>
      <c r="O71" s="158">
        <f t="shared" si="15"/>
        <v>0</v>
      </c>
      <c r="P71" s="4"/>
    </row>
    <row r="72" spans="1:16" ht="13.5" thickBot="1">
      <c r="B72" s="9" t="str">
        <f t="shared" si="8"/>
        <v/>
      </c>
      <c r="C72" s="164">
        <f>IF(D11="","-",+C71+1)</f>
        <v>2062</v>
      </c>
      <c r="D72" s="165">
        <f>IF(F71+SUM(E$17:E71)=D$10,F71,D$10-SUM(E$17:E71))</f>
        <v>0</v>
      </c>
      <c r="E72" s="166">
        <f>IF(+I14&lt;F71,I14,D72)</f>
        <v>0</v>
      </c>
      <c r="F72" s="165">
        <f t="shared" si="9"/>
        <v>0</v>
      </c>
      <c r="G72" s="167">
        <f t="shared" si="10"/>
        <v>0</v>
      </c>
      <c r="H72" s="124">
        <f t="shared" si="11"/>
        <v>0</v>
      </c>
      <c r="I72" s="168">
        <f t="shared" si="12"/>
        <v>0</v>
      </c>
      <c r="J72" s="156"/>
      <c r="K72" s="335"/>
      <c r="L72" s="169">
        <f t="shared" si="13"/>
        <v>0</v>
      </c>
      <c r="M72" s="335"/>
      <c r="N72" s="169">
        <f t="shared" si="14"/>
        <v>0</v>
      </c>
      <c r="O72" s="169">
        <f t="shared" si="15"/>
        <v>0</v>
      </c>
      <c r="P72" s="4"/>
    </row>
    <row r="73" spans="1:16">
      <c r="C73" s="154" t="s">
        <v>73</v>
      </c>
      <c r="D73" s="111"/>
      <c r="E73" s="111">
        <f>SUM(E17:E72)</f>
        <v>0</v>
      </c>
      <c r="F73" s="111"/>
      <c r="G73" s="111">
        <f>SUM(G17:G72)</f>
        <v>0</v>
      </c>
      <c r="H73" s="111">
        <f>SUM(H17:H72)</f>
        <v>0</v>
      </c>
      <c r="I73" s="111">
        <f>SUM(I17:I72)</f>
        <v>0</v>
      </c>
      <c r="J73" s="111"/>
      <c r="K73" s="111"/>
      <c r="L73" s="111"/>
      <c r="M73" s="111"/>
      <c r="N73" s="111"/>
      <c r="O73" s="4"/>
      <c r="P73" s="4"/>
    </row>
    <row r="74" spans="1:16">
      <c r="D74" s="2"/>
      <c r="E74" s="1"/>
      <c r="F74" s="1"/>
      <c r="G74" s="1"/>
      <c r="H74" s="3"/>
      <c r="I74" s="3"/>
      <c r="J74" s="111"/>
      <c r="K74" s="3"/>
      <c r="L74" s="3"/>
      <c r="M74" s="3"/>
      <c r="N74" s="3"/>
      <c r="O74" s="1"/>
      <c r="P74" s="1"/>
    </row>
    <row r="75" spans="1:16">
      <c r="C75" s="170" t="s">
        <v>91</v>
      </c>
      <c r="D75" s="2"/>
      <c r="E75" s="1"/>
      <c r="F75" s="1"/>
      <c r="G75" s="1"/>
      <c r="H75" s="3"/>
      <c r="I75" s="3"/>
      <c r="J75" s="111"/>
      <c r="K75" s="3"/>
      <c r="L75" s="3"/>
      <c r="M75" s="3"/>
      <c r="N75" s="3"/>
      <c r="O75" s="1"/>
      <c r="P75" s="1"/>
    </row>
    <row r="76" spans="1:16">
      <c r="C76" s="121" t="s">
        <v>74</v>
      </c>
      <c r="D76" s="2"/>
      <c r="E76" s="1"/>
      <c r="F76" s="1"/>
      <c r="G76" s="1"/>
      <c r="H76" s="3"/>
      <c r="I76" s="3"/>
      <c r="J76" s="111"/>
      <c r="K76" s="3"/>
      <c r="L76" s="3"/>
      <c r="M76" s="3"/>
      <c r="N76" s="3"/>
      <c r="O76" s="4"/>
      <c r="P76" s="4"/>
    </row>
    <row r="77" spans="1:16" ht="18">
      <c r="C77" s="121" t="s">
        <v>75</v>
      </c>
      <c r="D77" s="154"/>
      <c r="E77" s="154"/>
      <c r="F77" s="154"/>
      <c r="G77" s="111"/>
      <c r="H77" s="111"/>
      <c r="I77" s="171"/>
      <c r="J77" s="171"/>
      <c r="K77" s="171"/>
      <c r="L77" s="171"/>
      <c r="M77" s="171"/>
      <c r="N77" s="171"/>
      <c r="O77" s="110"/>
      <c r="P77" s="4"/>
    </row>
    <row r="78" spans="1:16">
      <c r="C78" s="121"/>
      <c r="D78" s="154"/>
      <c r="E78" s="154"/>
      <c r="F78" s="154"/>
      <c r="G78" s="111"/>
      <c r="H78" s="111"/>
      <c r="I78" s="171"/>
      <c r="J78" s="171"/>
      <c r="K78" s="171"/>
      <c r="L78" s="171"/>
      <c r="M78" s="171"/>
      <c r="N78" s="171"/>
      <c r="O78" s="4"/>
      <c r="P78" s="1"/>
    </row>
    <row r="79" spans="1:16" ht="15">
      <c r="A79" s="241"/>
      <c r="B79" s="1"/>
      <c r="C79" s="21"/>
      <c r="D79" s="2"/>
      <c r="E79" s="1"/>
      <c r="F79" s="107"/>
      <c r="G79" s="1"/>
      <c r="H79" s="3"/>
      <c r="I79" s="1"/>
      <c r="J79" s="4"/>
      <c r="K79" s="1"/>
      <c r="L79" s="1"/>
      <c r="M79" s="1"/>
      <c r="N79" s="1"/>
    </row>
    <row r="80" spans="1:16" ht="18">
      <c r="B80" s="1"/>
      <c r="C80" s="242"/>
      <c r="D80" s="2"/>
      <c r="E80" s="1"/>
      <c r="F80" s="107"/>
      <c r="G80" s="1"/>
      <c r="H80" s="3"/>
      <c r="I80" s="1"/>
      <c r="J80" s="4"/>
      <c r="K80" s="1"/>
      <c r="L80" s="1"/>
      <c r="M80" s="1"/>
      <c r="N80" s="1"/>
      <c r="P80" s="244" t="s">
        <v>125</v>
      </c>
    </row>
    <row r="81" spans="1:17">
      <c r="B81" s="1"/>
      <c r="C81" s="242"/>
      <c r="D81" s="2"/>
      <c r="E81" s="1"/>
      <c r="F81" s="107"/>
      <c r="G81" s="1"/>
      <c r="H81" s="3"/>
      <c r="I81" s="1"/>
      <c r="J81" s="4"/>
      <c r="K81" s="1"/>
      <c r="L81" s="1"/>
      <c r="M81" s="1"/>
      <c r="N81" s="1"/>
      <c r="O81" s="1"/>
      <c r="P81" s="1"/>
    </row>
    <row r="82" spans="1:17">
      <c r="B82" s="1"/>
      <c r="C82" s="21"/>
      <c r="D82" s="2"/>
      <c r="E82" s="1"/>
      <c r="F82" s="107"/>
      <c r="G82" s="1"/>
      <c r="H82" s="3"/>
      <c r="I82" s="1"/>
      <c r="J82" s="4"/>
      <c r="K82" s="1"/>
      <c r="L82" s="1"/>
      <c r="M82" s="1"/>
      <c r="N82" s="1"/>
      <c r="O82" s="1"/>
      <c r="P82" s="1"/>
      <c r="Q82" s="1"/>
    </row>
    <row r="83" spans="1:17" ht="20.25">
      <c r="A83" s="243" t="s">
        <v>129</v>
      </c>
      <c r="B83" s="1"/>
      <c r="C83" s="21"/>
      <c r="D83" s="2"/>
      <c r="E83" s="1"/>
      <c r="F83" s="99"/>
      <c r="G83" s="99"/>
      <c r="H83" s="1"/>
      <c r="I83" s="3"/>
      <c r="K83" s="7"/>
      <c r="L83" s="109"/>
      <c r="M83" s="109"/>
      <c r="P83" s="110" t="str">
        <f ca="1">P1</f>
        <v>SWEPCO Project 11 of 73</v>
      </c>
      <c r="Q83" s="1"/>
    </row>
    <row r="84" spans="1:17" ht="18">
      <c r="B84" s="1"/>
      <c r="C84" s="1"/>
      <c r="D84" s="2"/>
      <c r="E84" s="1"/>
      <c r="F84" s="1"/>
      <c r="G84" s="1"/>
      <c r="H84" s="1"/>
      <c r="I84" s="3"/>
      <c r="J84" s="1"/>
      <c r="K84" s="4"/>
      <c r="L84" s="1"/>
      <c r="M84" s="1"/>
      <c r="P84" s="237" t="s">
        <v>123</v>
      </c>
      <c r="Q84" s="1"/>
    </row>
    <row r="85" spans="1:17" ht="18.75" thickBot="1">
      <c r="B85" s="5" t="s">
        <v>40</v>
      </c>
      <c r="C85" s="197" t="s">
        <v>78</v>
      </c>
      <c r="D85" s="2"/>
      <c r="E85" s="1"/>
      <c r="F85" s="1"/>
      <c r="G85" s="1"/>
      <c r="H85" s="1"/>
      <c r="I85" s="3"/>
      <c r="J85" s="3"/>
      <c r="K85" s="111"/>
      <c r="L85" s="3"/>
      <c r="M85" s="3"/>
      <c r="N85" s="3"/>
      <c r="O85" s="111"/>
      <c r="P85" s="1"/>
      <c r="Q85" s="1"/>
    </row>
    <row r="86" spans="1:17" ht="15.75" thickBot="1">
      <c r="C86" s="67"/>
      <c r="D86" s="2"/>
      <c r="E86" s="1"/>
      <c r="F86" s="1"/>
      <c r="G86" s="1"/>
      <c r="H86" s="1"/>
      <c r="I86" s="3"/>
      <c r="J86" s="3"/>
      <c r="K86" s="111"/>
      <c r="L86" s="265">
        <f>+J92</f>
        <v>2017</v>
      </c>
      <c r="M86" s="266" t="s">
        <v>7</v>
      </c>
      <c r="N86" s="270" t="s">
        <v>154</v>
      </c>
      <c r="O86" s="267" t="s">
        <v>9</v>
      </c>
      <c r="P86" s="1"/>
      <c r="Q86" s="1"/>
    </row>
    <row r="87" spans="1:17" ht="15">
      <c r="C87" s="235" t="s">
        <v>42</v>
      </c>
      <c r="D87" s="2"/>
      <c r="E87" s="1"/>
      <c r="F87" s="1"/>
      <c r="G87" s="1"/>
      <c r="H87" s="113"/>
      <c r="I87" s="1" t="s">
        <v>43</v>
      </c>
      <c r="J87" s="1"/>
      <c r="K87" s="261"/>
      <c r="L87" s="259" t="s">
        <v>381</v>
      </c>
      <c r="M87" s="198">
        <f>IF(J92&lt;D11,0,VLOOKUP(J92,C17:O72,9))</f>
        <v>0</v>
      </c>
      <c r="N87" s="198">
        <f>IF(J92&lt;D11,0,VLOOKUP(J92,C17:O72,11))</f>
        <v>0</v>
      </c>
      <c r="O87" s="199">
        <f>+N87-M87</f>
        <v>0</v>
      </c>
      <c r="P87" s="1"/>
      <c r="Q87" s="1"/>
    </row>
    <row r="88" spans="1:17" ht="15.75">
      <c r="C88" s="8"/>
      <c r="D88" s="2"/>
      <c r="E88" s="1"/>
      <c r="F88" s="1"/>
      <c r="G88" s="1"/>
      <c r="H88" s="1"/>
      <c r="I88" s="117"/>
      <c r="J88" s="117"/>
      <c r="K88" s="263"/>
      <c r="L88" s="264" t="s">
        <v>382</v>
      </c>
      <c r="M88" s="200">
        <f>IF(J92&lt;D11,0,VLOOKUP(J92,C99:P154,6))</f>
        <v>0</v>
      </c>
      <c r="N88" s="200">
        <f>IF(J92&lt;D11,0,VLOOKUP(J92,C99:P154,7))</f>
        <v>0</v>
      </c>
      <c r="O88" s="201">
        <f>+N88-M88</f>
        <v>0</v>
      </c>
      <c r="P88" s="1"/>
      <c r="Q88" s="1"/>
    </row>
    <row r="89" spans="1:17" ht="13.5" thickBot="1">
      <c r="C89" s="121" t="s">
        <v>79</v>
      </c>
      <c r="D89" s="246" t="str">
        <f>+D7</f>
        <v>Siloam Springs - Chamber Springs 161 kV line***</v>
      </c>
      <c r="E89" s="1"/>
      <c r="F89" s="1"/>
      <c r="G89" s="1"/>
      <c r="H89" s="1"/>
      <c r="I89" s="3"/>
      <c r="J89" s="3"/>
      <c r="K89" s="262"/>
      <c r="L89" s="260" t="s">
        <v>151</v>
      </c>
      <c r="M89" s="203">
        <f>+M88-M87</f>
        <v>0</v>
      </c>
      <c r="N89" s="203">
        <f>+N88-N87</f>
        <v>0</v>
      </c>
      <c r="O89" s="204">
        <f>+O88-O87</f>
        <v>0</v>
      </c>
      <c r="P89" s="1"/>
      <c r="Q89" s="1"/>
    </row>
    <row r="90" spans="1:17" ht="13.5" thickBot="1">
      <c r="C90" s="170"/>
      <c r="D90" s="173" t="str">
        <f>D8</f>
        <v>DOES NOT MEET SPP $100,000 MINIMUM INVESTMENT FOR REGIONAL BPU SHARING.</v>
      </c>
      <c r="E90" s="107"/>
      <c r="F90" s="107"/>
      <c r="G90" s="107"/>
      <c r="H90" s="126"/>
      <c r="I90" s="3"/>
      <c r="J90" s="3"/>
      <c r="K90" s="111"/>
      <c r="L90" s="3"/>
      <c r="M90" s="3"/>
      <c r="N90" s="3"/>
      <c r="O90" s="111"/>
      <c r="P90" s="1"/>
      <c r="Q90" s="1"/>
    </row>
    <row r="91" spans="1:17" ht="13.5" thickBot="1">
      <c r="A91" s="103"/>
      <c r="C91" s="205" t="s">
        <v>80</v>
      </c>
      <c r="D91" s="224">
        <f>+D9</f>
        <v>0</v>
      </c>
      <c r="E91" s="206"/>
      <c r="F91" s="206"/>
      <c r="G91" s="206"/>
      <c r="H91" s="206"/>
      <c r="I91" s="206"/>
      <c r="J91" s="238"/>
      <c r="K91" s="207"/>
      <c r="P91" s="131"/>
      <c r="Q91" s="1"/>
    </row>
    <row r="92" spans="1:17">
      <c r="C92" s="136" t="s">
        <v>47</v>
      </c>
      <c r="D92" s="218">
        <f>IF(D11=I10,0,D10)</f>
        <v>0</v>
      </c>
      <c r="E92" s="21" t="s">
        <v>81</v>
      </c>
      <c r="H92" s="134"/>
      <c r="I92" s="134"/>
      <c r="J92" s="135">
        <f>+'SWE.WS.G.BPU.ATRR.True-up'!M15</f>
        <v>2017</v>
      </c>
      <c r="K92" s="130"/>
      <c r="L92" s="111" t="s">
        <v>82</v>
      </c>
      <c r="P92" s="4"/>
      <c r="Q92" s="1"/>
    </row>
    <row r="93" spans="1:17">
      <c r="C93" s="136" t="s">
        <v>49</v>
      </c>
      <c r="D93" s="219">
        <f>IF(D11=I10,"",D11)</f>
        <v>2007</v>
      </c>
      <c r="E93" s="136" t="s">
        <v>50</v>
      </c>
      <c r="F93" s="134"/>
      <c r="G93" s="134"/>
      <c r="J93" s="138">
        <f>IF(H87="",0,'SWE.WS.G.BPU.ATRR.True-up'!$F$12)</f>
        <v>0</v>
      </c>
      <c r="K93" s="139"/>
      <c r="L93" t="str">
        <f>"          INPUT TRUE-UP ARR (WITH &amp; WITHOUT INCENTIVES) FROM EACH PRIOR YEAR"</f>
        <v xml:space="preserve">          INPUT TRUE-UP ARR (WITH &amp; WITHOUT INCENTIVES) FROM EACH PRIOR YEAR</v>
      </c>
      <c r="P93" s="4"/>
      <c r="Q93" s="1"/>
    </row>
    <row r="94" spans="1:17">
      <c r="C94" s="136" t="s">
        <v>51</v>
      </c>
      <c r="D94" s="218">
        <f>IF(D11=I10,"",D12)</f>
        <v>5</v>
      </c>
      <c r="E94" s="136" t="s">
        <v>52</v>
      </c>
      <c r="F94" s="134"/>
      <c r="G94" s="134"/>
      <c r="J94" s="140">
        <f>'SWE.WS.G.BPU.ATRR.True-up'!$F$80</f>
        <v>0.12147145768398206</v>
      </c>
      <c r="K94" s="141"/>
      <c r="L94" t="s">
        <v>83</v>
      </c>
      <c r="P94" s="4"/>
      <c r="Q94" s="1"/>
    </row>
    <row r="95" spans="1:17">
      <c r="C95" s="136" t="s">
        <v>54</v>
      </c>
      <c r="D95" s="138">
        <f>'SWE.WS.G.BPU.ATRR.True-up'!F$92</f>
        <v>42</v>
      </c>
      <c r="E95" s="136" t="s">
        <v>55</v>
      </c>
      <c r="F95" s="134"/>
      <c r="G95" s="134"/>
      <c r="J95" s="140">
        <f>IF(H87="",J94,'SWE.WS.G.BPU.ATRR.True-up'!$F$79)</f>
        <v>0.12147145768398206</v>
      </c>
      <c r="K95" s="58"/>
      <c r="L95" s="111" t="s">
        <v>56</v>
      </c>
      <c r="M95" s="58"/>
      <c r="N95" s="58"/>
      <c r="O95" s="58"/>
      <c r="P95" s="4"/>
      <c r="Q95" s="1"/>
    </row>
    <row r="96" spans="1:17" ht="13.5" thickBot="1">
      <c r="C96" s="136" t="s">
        <v>57</v>
      </c>
      <c r="D96" s="220" t="str">
        <f>+D14</f>
        <v>No</v>
      </c>
      <c r="E96" s="202" t="s">
        <v>59</v>
      </c>
      <c r="F96" s="208"/>
      <c r="G96" s="208"/>
      <c r="H96" s="209"/>
      <c r="I96" s="209"/>
      <c r="J96" s="124">
        <f>IF(D92=0,0,D92/D95)</f>
        <v>0</v>
      </c>
      <c r="K96" s="111"/>
      <c r="L96" s="111"/>
      <c r="M96" s="111"/>
      <c r="N96" s="111"/>
      <c r="O96" s="111"/>
      <c r="P96" s="4"/>
      <c r="Q96" s="1"/>
    </row>
    <row r="97" spans="1:17" ht="38.25">
      <c r="A97" s="6"/>
      <c r="B97" s="6"/>
      <c r="C97" s="210" t="s">
        <v>47</v>
      </c>
      <c r="D97" s="211" t="s">
        <v>60</v>
      </c>
      <c r="E97" s="146" t="s">
        <v>61</v>
      </c>
      <c r="F97" s="146" t="s">
        <v>62</v>
      </c>
      <c r="G97" s="144" t="s">
        <v>84</v>
      </c>
      <c r="H97" s="434" t="s">
        <v>378</v>
      </c>
      <c r="I97" s="435" t="s">
        <v>379</v>
      </c>
      <c r="J97" s="210" t="s">
        <v>85</v>
      </c>
      <c r="K97" s="212"/>
      <c r="L97" s="271" t="s">
        <v>220</v>
      </c>
      <c r="M97" s="146" t="s">
        <v>86</v>
      </c>
      <c r="N97" s="271" t="s">
        <v>220</v>
      </c>
      <c r="O97" s="146" t="s">
        <v>86</v>
      </c>
      <c r="P97" s="146" t="s">
        <v>65</v>
      </c>
      <c r="Q97" s="1"/>
    </row>
    <row r="98" spans="1:17" ht="13.5" thickBot="1">
      <c r="C98" s="147" t="s">
        <v>66</v>
      </c>
      <c r="D98" s="213" t="s">
        <v>67</v>
      </c>
      <c r="E98" s="147" t="s">
        <v>68</v>
      </c>
      <c r="F98" s="147" t="s">
        <v>67</v>
      </c>
      <c r="G98" s="147" t="s">
        <v>67</v>
      </c>
      <c r="H98" s="255" t="s">
        <v>69</v>
      </c>
      <c r="I98" s="148" t="s">
        <v>70</v>
      </c>
      <c r="J98" s="149" t="s">
        <v>89</v>
      </c>
      <c r="K98" s="150"/>
      <c r="L98" s="151" t="s">
        <v>72</v>
      </c>
      <c r="M98" s="151" t="s">
        <v>72</v>
      </c>
      <c r="N98" s="151" t="s">
        <v>90</v>
      </c>
      <c r="O98" s="151" t="s">
        <v>90</v>
      </c>
      <c r="P98" s="151" t="s">
        <v>90</v>
      </c>
      <c r="Q98" s="1"/>
    </row>
    <row r="99" spans="1:17">
      <c r="C99" s="153">
        <f>IF(D93= "","-",D93)</f>
        <v>2007</v>
      </c>
      <c r="D99" s="154">
        <f>IF(D93=C99,0,D92)</f>
        <v>0</v>
      </c>
      <c r="E99" s="161">
        <f>IF(D11=I10,0,J96/12*(12-D94))</f>
        <v>0</v>
      </c>
      <c r="F99" s="159">
        <f>IF(D93=C99,+D92-E99,+D99-E99)</f>
        <v>0</v>
      </c>
      <c r="G99" s="214">
        <f t="shared" ref="G99:G130" si="16">+(F99+D99)/2</f>
        <v>0</v>
      </c>
      <c r="H99" s="251">
        <f t="shared" ref="H99:H112" si="17">+J$94*G99+E99</f>
        <v>0</v>
      </c>
      <c r="I99" s="252">
        <f t="shared" ref="I99:I112" si="18">+J$95*G99+E99</f>
        <v>0</v>
      </c>
      <c r="J99" s="158">
        <f t="shared" ref="J99:J130" si="19">+I99-H99</f>
        <v>0</v>
      </c>
      <c r="K99" s="158"/>
      <c r="L99" s="256">
        <f>K17</f>
        <v>741629</v>
      </c>
      <c r="M99" s="157">
        <f t="shared" ref="M99:M130" si="20">IF(L99&lt;&gt;0,+H99-L99,0)</f>
        <v>-741629</v>
      </c>
      <c r="N99" s="256">
        <f>M17</f>
        <v>741629</v>
      </c>
      <c r="O99" s="157">
        <f t="shared" ref="O99:O130" si="21">IF(N99&lt;&gt;0,+I99-N99,0)</f>
        <v>-741629</v>
      </c>
      <c r="P99" s="157">
        <f t="shared" ref="P99:P130" si="22">+O99-M99</f>
        <v>0</v>
      </c>
      <c r="Q99" s="1"/>
    </row>
    <row r="100" spans="1:17">
      <c r="B100" s="9" t="str">
        <f>IF(D100=F99,"","IU")</f>
        <v/>
      </c>
      <c r="C100" s="153">
        <f>IF(D93="","-",+C99+1)</f>
        <v>2008</v>
      </c>
      <c r="D100" s="154">
        <f t="shared" ref="D100:D109" si="23">F99</f>
        <v>0</v>
      </c>
      <c r="E100" s="160">
        <f>IF(+J96&lt;F99,J96,D100)</f>
        <v>0</v>
      </c>
      <c r="F100" s="159">
        <f t="shared" ref="F100:F130" si="24">+D100-E100</f>
        <v>0</v>
      </c>
      <c r="G100" s="159">
        <f t="shared" si="16"/>
        <v>0</v>
      </c>
      <c r="H100" s="163">
        <f t="shared" si="17"/>
        <v>0</v>
      </c>
      <c r="I100" s="253">
        <f t="shared" si="18"/>
        <v>0</v>
      </c>
      <c r="J100" s="158">
        <f t="shared" si="19"/>
        <v>0</v>
      </c>
      <c r="K100" s="158"/>
      <c r="L100" s="258">
        <v>0</v>
      </c>
      <c r="M100" s="158">
        <f t="shared" si="20"/>
        <v>0</v>
      </c>
      <c r="N100" s="258">
        <v>0</v>
      </c>
      <c r="O100" s="158">
        <f t="shared" si="21"/>
        <v>0</v>
      </c>
      <c r="P100" s="158">
        <f t="shared" si="22"/>
        <v>0</v>
      </c>
      <c r="Q100" s="1"/>
    </row>
    <row r="101" spans="1:17">
      <c r="B101" s="9" t="str">
        <f t="shared" ref="B101:B154" si="25">IF(D101=F100,"","IU")</f>
        <v/>
      </c>
      <c r="C101" s="153">
        <f>IF(D93="","-",+C100+1)</f>
        <v>2009</v>
      </c>
      <c r="D101" s="154">
        <f t="shared" si="23"/>
        <v>0</v>
      </c>
      <c r="E101" s="160">
        <f>IF(+J96&lt;F100,J96,D101)</f>
        <v>0</v>
      </c>
      <c r="F101" s="159">
        <f t="shared" si="24"/>
        <v>0</v>
      </c>
      <c r="G101" s="159">
        <f t="shared" si="16"/>
        <v>0</v>
      </c>
      <c r="H101" s="163">
        <f t="shared" si="17"/>
        <v>0</v>
      </c>
      <c r="I101" s="253">
        <f t="shared" si="18"/>
        <v>0</v>
      </c>
      <c r="J101" s="158">
        <f t="shared" si="19"/>
        <v>0</v>
      </c>
      <c r="K101" s="158"/>
      <c r="L101" s="258">
        <v>0</v>
      </c>
      <c r="M101" s="158">
        <f t="shared" si="20"/>
        <v>0</v>
      </c>
      <c r="N101" s="258">
        <v>0</v>
      </c>
      <c r="O101" s="158">
        <f t="shared" si="21"/>
        <v>0</v>
      </c>
      <c r="P101" s="158">
        <f t="shared" si="22"/>
        <v>0</v>
      </c>
      <c r="Q101" s="1"/>
    </row>
    <row r="102" spans="1:17">
      <c r="B102" s="9" t="str">
        <f t="shared" si="25"/>
        <v/>
      </c>
      <c r="C102" s="153">
        <f>IF(D93="","-",+C101+1)</f>
        <v>2010</v>
      </c>
      <c r="D102" s="154">
        <f t="shared" si="23"/>
        <v>0</v>
      </c>
      <c r="E102" s="160">
        <f>IF(+J96&lt;F101,J96,D102)</f>
        <v>0</v>
      </c>
      <c r="F102" s="159">
        <f t="shared" si="24"/>
        <v>0</v>
      </c>
      <c r="G102" s="159">
        <f t="shared" si="16"/>
        <v>0</v>
      </c>
      <c r="H102" s="163">
        <f t="shared" si="17"/>
        <v>0</v>
      </c>
      <c r="I102" s="253">
        <f t="shared" si="18"/>
        <v>0</v>
      </c>
      <c r="J102" s="158">
        <f t="shared" si="19"/>
        <v>0</v>
      </c>
      <c r="K102" s="158"/>
      <c r="L102" s="334"/>
      <c r="M102" s="158">
        <f t="shared" si="20"/>
        <v>0</v>
      </c>
      <c r="N102" s="334"/>
      <c r="O102" s="158">
        <f t="shared" si="21"/>
        <v>0</v>
      </c>
      <c r="P102" s="158">
        <f t="shared" si="22"/>
        <v>0</v>
      </c>
      <c r="Q102" s="1"/>
    </row>
    <row r="103" spans="1:17">
      <c r="B103" s="9" t="str">
        <f t="shared" si="25"/>
        <v/>
      </c>
      <c r="C103" s="153">
        <f>IF(D93="","-",+C102+1)</f>
        <v>2011</v>
      </c>
      <c r="D103" s="154">
        <f t="shared" si="23"/>
        <v>0</v>
      </c>
      <c r="E103" s="160">
        <f>IF(+J96&lt;F102,J96,D103)</f>
        <v>0</v>
      </c>
      <c r="F103" s="159">
        <f t="shared" si="24"/>
        <v>0</v>
      </c>
      <c r="G103" s="159">
        <f t="shared" si="16"/>
        <v>0</v>
      </c>
      <c r="H103" s="163">
        <f t="shared" si="17"/>
        <v>0</v>
      </c>
      <c r="I103" s="253">
        <f t="shared" si="18"/>
        <v>0</v>
      </c>
      <c r="J103" s="158">
        <f t="shared" si="19"/>
        <v>0</v>
      </c>
      <c r="K103" s="158"/>
      <c r="L103" s="334"/>
      <c r="M103" s="158">
        <f t="shared" si="20"/>
        <v>0</v>
      </c>
      <c r="N103" s="334"/>
      <c r="O103" s="158">
        <f t="shared" si="21"/>
        <v>0</v>
      </c>
      <c r="P103" s="158">
        <f t="shared" si="22"/>
        <v>0</v>
      </c>
      <c r="Q103" s="1"/>
    </row>
    <row r="104" spans="1:17">
      <c r="B104" s="9" t="str">
        <f t="shared" si="25"/>
        <v/>
      </c>
      <c r="C104" s="153">
        <f>IF(D93="","-",+C103+1)</f>
        <v>2012</v>
      </c>
      <c r="D104" s="154">
        <f t="shared" si="23"/>
        <v>0</v>
      </c>
      <c r="E104" s="160">
        <f>IF(+J96&lt;F103,J96,D104)</f>
        <v>0</v>
      </c>
      <c r="F104" s="159">
        <f t="shared" si="24"/>
        <v>0</v>
      </c>
      <c r="G104" s="159">
        <f t="shared" si="16"/>
        <v>0</v>
      </c>
      <c r="H104" s="163">
        <f t="shared" si="17"/>
        <v>0</v>
      </c>
      <c r="I104" s="253">
        <f t="shared" si="18"/>
        <v>0</v>
      </c>
      <c r="J104" s="158">
        <f t="shared" si="19"/>
        <v>0</v>
      </c>
      <c r="K104" s="158"/>
      <c r="L104" s="334"/>
      <c r="M104" s="158">
        <f t="shared" si="20"/>
        <v>0</v>
      </c>
      <c r="N104" s="334"/>
      <c r="O104" s="158">
        <f t="shared" si="21"/>
        <v>0</v>
      </c>
      <c r="P104" s="158">
        <f t="shared" si="22"/>
        <v>0</v>
      </c>
      <c r="Q104" s="1"/>
    </row>
    <row r="105" spans="1:17">
      <c r="B105" s="9" t="str">
        <f t="shared" si="25"/>
        <v/>
      </c>
      <c r="C105" s="153">
        <f>IF(D93="","-",+C104+1)</f>
        <v>2013</v>
      </c>
      <c r="D105" s="154">
        <f t="shared" si="23"/>
        <v>0</v>
      </c>
      <c r="E105" s="160">
        <f>IF(+J96&lt;F104,J96,D105)</f>
        <v>0</v>
      </c>
      <c r="F105" s="159">
        <f t="shared" si="24"/>
        <v>0</v>
      </c>
      <c r="G105" s="159">
        <f t="shared" si="16"/>
        <v>0</v>
      </c>
      <c r="H105" s="163">
        <f t="shared" si="17"/>
        <v>0</v>
      </c>
      <c r="I105" s="253">
        <f t="shared" si="18"/>
        <v>0</v>
      </c>
      <c r="J105" s="158">
        <f t="shared" si="19"/>
        <v>0</v>
      </c>
      <c r="K105" s="158"/>
      <c r="L105" s="334"/>
      <c r="M105" s="158">
        <f t="shared" si="20"/>
        <v>0</v>
      </c>
      <c r="N105" s="334"/>
      <c r="O105" s="158">
        <f t="shared" si="21"/>
        <v>0</v>
      </c>
      <c r="P105" s="158">
        <f t="shared" si="22"/>
        <v>0</v>
      </c>
      <c r="Q105" s="1"/>
    </row>
    <row r="106" spans="1:17">
      <c r="B106" s="9" t="str">
        <f t="shared" si="25"/>
        <v/>
      </c>
      <c r="C106" s="153">
        <f>IF(D93="","-",+C105+1)</f>
        <v>2014</v>
      </c>
      <c r="D106" s="154">
        <f t="shared" si="23"/>
        <v>0</v>
      </c>
      <c r="E106" s="160">
        <f>IF(+J96&lt;F105,J96,D106)</f>
        <v>0</v>
      </c>
      <c r="F106" s="159">
        <f t="shared" si="24"/>
        <v>0</v>
      </c>
      <c r="G106" s="159">
        <f t="shared" si="16"/>
        <v>0</v>
      </c>
      <c r="H106" s="163">
        <f t="shared" si="17"/>
        <v>0</v>
      </c>
      <c r="I106" s="253">
        <f t="shared" si="18"/>
        <v>0</v>
      </c>
      <c r="J106" s="158">
        <f t="shared" si="19"/>
        <v>0</v>
      </c>
      <c r="K106" s="158"/>
      <c r="L106" s="334"/>
      <c r="M106" s="158">
        <f t="shared" si="20"/>
        <v>0</v>
      </c>
      <c r="N106" s="334"/>
      <c r="O106" s="158">
        <f t="shared" si="21"/>
        <v>0</v>
      </c>
      <c r="P106" s="158">
        <f t="shared" si="22"/>
        <v>0</v>
      </c>
      <c r="Q106" s="1"/>
    </row>
    <row r="107" spans="1:17">
      <c r="B107" s="9" t="str">
        <f t="shared" si="25"/>
        <v/>
      </c>
      <c r="C107" s="153">
        <f>IF(D93="","-",+C106+1)</f>
        <v>2015</v>
      </c>
      <c r="D107" s="154">
        <f t="shared" si="23"/>
        <v>0</v>
      </c>
      <c r="E107" s="160">
        <f>IF(+J96&lt;F106,J96,D107)</f>
        <v>0</v>
      </c>
      <c r="F107" s="159">
        <f t="shared" si="24"/>
        <v>0</v>
      </c>
      <c r="G107" s="159">
        <f t="shared" si="16"/>
        <v>0</v>
      </c>
      <c r="H107" s="163">
        <f t="shared" si="17"/>
        <v>0</v>
      </c>
      <c r="I107" s="253">
        <f t="shared" si="18"/>
        <v>0</v>
      </c>
      <c r="J107" s="158">
        <f t="shared" si="19"/>
        <v>0</v>
      </c>
      <c r="K107" s="158"/>
      <c r="L107" s="334"/>
      <c r="M107" s="158">
        <f t="shared" si="20"/>
        <v>0</v>
      </c>
      <c r="N107" s="334"/>
      <c r="O107" s="158">
        <f t="shared" si="21"/>
        <v>0</v>
      </c>
      <c r="P107" s="158">
        <f t="shared" si="22"/>
        <v>0</v>
      </c>
      <c r="Q107" s="1"/>
    </row>
    <row r="108" spans="1:17">
      <c r="B108" s="9" t="str">
        <f t="shared" si="25"/>
        <v/>
      </c>
      <c r="C108" s="153">
        <f>IF(D93="","-",+C107+1)</f>
        <v>2016</v>
      </c>
      <c r="D108" s="154">
        <f t="shared" si="23"/>
        <v>0</v>
      </c>
      <c r="E108" s="160">
        <f>IF(+J96&lt;F107,J96,D108)</f>
        <v>0</v>
      </c>
      <c r="F108" s="159">
        <f t="shared" si="24"/>
        <v>0</v>
      </c>
      <c r="G108" s="159">
        <f t="shared" si="16"/>
        <v>0</v>
      </c>
      <c r="H108" s="163">
        <f t="shared" si="17"/>
        <v>0</v>
      </c>
      <c r="I108" s="253">
        <f t="shared" si="18"/>
        <v>0</v>
      </c>
      <c r="J108" s="158">
        <f t="shared" si="19"/>
        <v>0</v>
      </c>
      <c r="K108" s="158"/>
      <c r="L108" s="334"/>
      <c r="M108" s="158">
        <f t="shared" si="20"/>
        <v>0</v>
      </c>
      <c r="N108" s="334"/>
      <c r="O108" s="158">
        <f t="shared" si="21"/>
        <v>0</v>
      </c>
      <c r="P108" s="158">
        <f t="shared" si="22"/>
        <v>0</v>
      </c>
      <c r="Q108" s="1"/>
    </row>
    <row r="109" spans="1:17">
      <c r="B109" s="9" t="str">
        <f t="shared" si="25"/>
        <v/>
      </c>
      <c r="C109" s="153">
        <f>IF(D93="","-",+C108+1)</f>
        <v>2017</v>
      </c>
      <c r="D109" s="154">
        <f t="shared" si="23"/>
        <v>0</v>
      </c>
      <c r="E109" s="160">
        <f>IF(+J96&lt;F108,J96,D109)</f>
        <v>0</v>
      </c>
      <c r="F109" s="159">
        <f t="shared" si="24"/>
        <v>0</v>
      </c>
      <c r="G109" s="159">
        <f t="shared" si="16"/>
        <v>0</v>
      </c>
      <c r="H109" s="163">
        <f t="shared" si="17"/>
        <v>0</v>
      </c>
      <c r="I109" s="253">
        <f t="shared" si="18"/>
        <v>0</v>
      </c>
      <c r="J109" s="158">
        <f t="shared" si="19"/>
        <v>0</v>
      </c>
      <c r="K109" s="158"/>
      <c r="L109" s="334"/>
      <c r="M109" s="158">
        <f t="shared" si="20"/>
        <v>0</v>
      </c>
      <c r="N109" s="334"/>
      <c r="O109" s="158">
        <f t="shared" si="21"/>
        <v>0</v>
      </c>
      <c r="P109" s="158">
        <f t="shared" si="22"/>
        <v>0</v>
      </c>
      <c r="Q109" s="1"/>
    </row>
    <row r="110" spans="1:17">
      <c r="B110" s="9" t="str">
        <f t="shared" si="25"/>
        <v/>
      </c>
      <c r="C110" s="153">
        <f>IF(D93="","-",+C109+1)</f>
        <v>2018</v>
      </c>
      <c r="D110" s="154">
        <f>IF(F109+SUM(E$99:E109)=D$92,F109,D$92-SUM(E$99:E109))</f>
        <v>0</v>
      </c>
      <c r="E110" s="160">
        <f>IF(+J96&lt;F109,J96,D110)</f>
        <v>0</v>
      </c>
      <c r="F110" s="159">
        <f t="shared" si="24"/>
        <v>0</v>
      </c>
      <c r="G110" s="159">
        <f t="shared" si="16"/>
        <v>0</v>
      </c>
      <c r="H110" s="163">
        <f t="shared" si="17"/>
        <v>0</v>
      </c>
      <c r="I110" s="253">
        <f t="shared" si="18"/>
        <v>0</v>
      </c>
      <c r="J110" s="158">
        <f t="shared" si="19"/>
        <v>0</v>
      </c>
      <c r="K110" s="158"/>
      <c r="L110" s="334"/>
      <c r="M110" s="158">
        <f t="shared" si="20"/>
        <v>0</v>
      </c>
      <c r="N110" s="334"/>
      <c r="O110" s="158">
        <f t="shared" si="21"/>
        <v>0</v>
      </c>
      <c r="P110" s="158">
        <f t="shared" si="22"/>
        <v>0</v>
      </c>
      <c r="Q110" s="1"/>
    </row>
    <row r="111" spans="1:17">
      <c r="B111" s="9" t="str">
        <f t="shared" si="25"/>
        <v/>
      </c>
      <c r="C111" s="153">
        <f>IF(D93="","-",+C110+1)</f>
        <v>2019</v>
      </c>
      <c r="D111" s="154">
        <f>IF(F110+SUM(E$99:E110)=D$92,F110,D$92-SUM(E$99:E110))</f>
        <v>0</v>
      </c>
      <c r="E111" s="160">
        <f>IF(+J96&lt;F110,J96,D111)</f>
        <v>0</v>
      </c>
      <c r="F111" s="159">
        <f t="shared" si="24"/>
        <v>0</v>
      </c>
      <c r="G111" s="159">
        <f t="shared" si="16"/>
        <v>0</v>
      </c>
      <c r="H111" s="163">
        <f t="shared" si="17"/>
        <v>0</v>
      </c>
      <c r="I111" s="253">
        <f t="shared" si="18"/>
        <v>0</v>
      </c>
      <c r="J111" s="158">
        <f t="shared" si="19"/>
        <v>0</v>
      </c>
      <c r="K111" s="158"/>
      <c r="L111" s="334"/>
      <c r="M111" s="158">
        <f t="shared" si="20"/>
        <v>0</v>
      </c>
      <c r="N111" s="334"/>
      <c r="O111" s="158">
        <f t="shared" si="21"/>
        <v>0</v>
      </c>
      <c r="P111" s="158">
        <f t="shared" si="22"/>
        <v>0</v>
      </c>
      <c r="Q111" s="1"/>
    </row>
    <row r="112" spans="1:17">
      <c r="B112" s="9" t="str">
        <f t="shared" si="25"/>
        <v/>
      </c>
      <c r="C112" s="153">
        <f>IF(D93="","-",+C111+1)</f>
        <v>2020</v>
      </c>
      <c r="D112" s="154">
        <f>IF(F111+SUM(E$99:E111)=D$92,F111,D$92-SUM(E$99:E111))</f>
        <v>0</v>
      </c>
      <c r="E112" s="160">
        <f>IF(+J96&lt;F111,J96,D112)</f>
        <v>0</v>
      </c>
      <c r="F112" s="159">
        <f t="shared" si="24"/>
        <v>0</v>
      </c>
      <c r="G112" s="159">
        <f t="shared" si="16"/>
        <v>0</v>
      </c>
      <c r="H112" s="163">
        <f t="shared" si="17"/>
        <v>0</v>
      </c>
      <c r="I112" s="253">
        <f t="shared" si="18"/>
        <v>0</v>
      </c>
      <c r="J112" s="158">
        <f t="shared" si="19"/>
        <v>0</v>
      </c>
      <c r="K112" s="158"/>
      <c r="L112" s="334"/>
      <c r="M112" s="158">
        <f t="shared" si="20"/>
        <v>0</v>
      </c>
      <c r="N112" s="334"/>
      <c r="O112" s="158">
        <f t="shared" si="21"/>
        <v>0</v>
      </c>
      <c r="P112" s="158">
        <f t="shared" si="22"/>
        <v>0</v>
      </c>
      <c r="Q112" s="1"/>
    </row>
    <row r="113" spans="2:17">
      <c r="B113" s="9" t="str">
        <f t="shared" si="25"/>
        <v/>
      </c>
      <c r="C113" s="153">
        <f>IF(D93="","-",+C112+1)</f>
        <v>2021</v>
      </c>
      <c r="D113" s="154">
        <f>IF(F112+SUM(E$99:E112)=D$92,F112,D$92-SUM(E$99:E112))</f>
        <v>0</v>
      </c>
      <c r="E113" s="160">
        <f>IF(+J96&lt;F112,J96,D113)</f>
        <v>0</v>
      </c>
      <c r="F113" s="159">
        <f t="shared" si="24"/>
        <v>0</v>
      </c>
      <c r="G113" s="159">
        <f t="shared" si="16"/>
        <v>0</v>
      </c>
      <c r="H113" s="163">
        <f t="shared" ref="H113:H154" si="26">+J$94*G113+E113</f>
        <v>0</v>
      </c>
      <c r="I113" s="253">
        <f t="shared" ref="I113:I154" si="27">+J$95*G113+E113</f>
        <v>0</v>
      </c>
      <c r="J113" s="158">
        <f t="shared" si="19"/>
        <v>0</v>
      </c>
      <c r="K113" s="158"/>
      <c r="L113" s="334"/>
      <c r="M113" s="158">
        <f t="shared" si="20"/>
        <v>0</v>
      </c>
      <c r="N113" s="334"/>
      <c r="O113" s="158">
        <f t="shared" si="21"/>
        <v>0</v>
      </c>
      <c r="P113" s="158">
        <f t="shared" si="22"/>
        <v>0</v>
      </c>
      <c r="Q113" s="1"/>
    </row>
    <row r="114" spans="2:17">
      <c r="B114" s="9" t="str">
        <f t="shared" si="25"/>
        <v/>
      </c>
      <c r="C114" s="153">
        <f>IF(D93="","-",+C113+1)</f>
        <v>2022</v>
      </c>
      <c r="D114" s="154">
        <f>IF(F113+SUM(E$99:E113)=D$92,F113,D$92-SUM(E$99:E113))</f>
        <v>0</v>
      </c>
      <c r="E114" s="160">
        <f>IF(+J96&lt;F113,J96,D114)</f>
        <v>0</v>
      </c>
      <c r="F114" s="159">
        <f t="shared" si="24"/>
        <v>0</v>
      </c>
      <c r="G114" s="159">
        <f t="shared" si="16"/>
        <v>0</v>
      </c>
      <c r="H114" s="163">
        <f t="shared" si="26"/>
        <v>0</v>
      </c>
      <c r="I114" s="253">
        <f t="shared" si="27"/>
        <v>0</v>
      </c>
      <c r="J114" s="158">
        <f t="shared" si="19"/>
        <v>0</v>
      </c>
      <c r="K114" s="158"/>
      <c r="L114" s="334"/>
      <c r="M114" s="158">
        <f t="shared" si="20"/>
        <v>0</v>
      </c>
      <c r="N114" s="334"/>
      <c r="O114" s="158">
        <f t="shared" si="21"/>
        <v>0</v>
      </c>
      <c r="P114" s="158">
        <f t="shared" si="22"/>
        <v>0</v>
      </c>
      <c r="Q114" s="1"/>
    </row>
    <row r="115" spans="2:17">
      <c r="B115" s="9" t="str">
        <f t="shared" si="25"/>
        <v/>
      </c>
      <c r="C115" s="153">
        <f>IF(D93="","-",+C114+1)</f>
        <v>2023</v>
      </c>
      <c r="D115" s="154">
        <f>IF(F114+SUM(E$99:E114)=D$92,F114,D$92-SUM(E$99:E114))</f>
        <v>0</v>
      </c>
      <c r="E115" s="160">
        <f>IF(+J96&lt;F114,J96,D115)</f>
        <v>0</v>
      </c>
      <c r="F115" s="159">
        <f t="shared" si="24"/>
        <v>0</v>
      </c>
      <c r="G115" s="159">
        <f t="shared" si="16"/>
        <v>0</v>
      </c>
      <c r="H115" s="163">
        <f t="shared" si="26"/>
        <v>0</v>
      </c>
      <c r="I115" s="253">
        <f t="shared" si="27"/>
        <v>0</v>
      </c>
      <c r="J115" s="158">
        <f t="shared" si="19"/>
        <v>0</v>
      </c>
      <c r="K115" s="158"/>
      <c r="L115" s="334"/>
      <c r="M115" s="158">
        <f t="shared" si="20"/>
        <v>0</v>
      </c>
      <c r="N115" s="334"/>
      <c r="O115" s="158">
        <f t="shared" si="21"/>
        <v>0</v>
      </c>
      <c r="P115" s="158">
        <f t="shared" si="22"/>
        <v>0</v>
      </c>
      <c r="Q115" s="1"/>
    </row>
    <row r="116" spans="2:17">
      <c r="B116" s="9" t="str">
        <f t="shared" si="25"/>
        <v/>
      </c>
      <c r="C116" s="153">
        <f>IF(D93="","-",+C115+1)</f>
        <v>2024</v>
      </c>
      <c r="D116" s="154">
        <f>IF(F115+SUM(E$99:E115)=D$92,F115,D$92-SUM(E$99:E115))</f>
        <v>0</v>
      </c>
      <c r="E116" s="160">
        <f>IF(+J96&lt;F115,J96,D116)</f>
        <v>0</v>
      </c>
      <c r="F116" s="159">
        <f t="shared" si="24"/>
        <v>0</v>
      </c>
      <c r="G116" s="159">
        <f t="shared" si="16"/>
        <v>0</v>
      </c>
      <c r="H116" s="163">
        <f t="shared" si="26"/>
        <v>0</v>
      </c>
      <c r="I116" s="253">
        <f t="shared" si="27"/>
        <v>0</v>
      </c>
      <c r="J116" s="158">
        <f t="shared" si="19"/>
        <v>0</v>
      </c>
      <c r="K116" s="158"/>
      <c r="L116" s="334"/>
      <c r="M116" s="158">
        <f t="shared" si="20"/>
        <v>0</v>
      </c>
      <c r="N116" s="334"/>
      <c r="O116" s="158">
        <f t="shared" si="21"/>
        <v>0</v>
      </c>
      <c r="P116" s="158">
        <f t="shared" si="22"/>
        <v>0</v>
      </c>
      <c r="Q116" s="1"/>
    </row>
    <row r="117" spans="2:17">
      <c r="B117" s="9" t="str">
        <f t="shared" si="25"/>
        <v/>
      </c>
      <c r="C117" s="153">
        <f>IF(D93="","-",+C116+1)</f>
        <v>2025</v>
      </c>
      <c r="D117" s="154">
        <f>IF(F116+SUM(E$99:E116)=D$92,F116,D$92-SUM(E$99:E116))</f>
        <v>0</v>
      </c>
      <c r="E117" s="160">
        <f>IF(+J96&lt;F116,J96,D117)</f>
        <v>0</v>
      </c>
      <c r="F117" s="159">
        <f t="shared" si="24"/>
        <v>0</v>
      </c>
      <c r="G117" s="159">
        <f t="shared" si="16"/>
        <v>0</v>
      </c>
      <c r="H117" s="163">
        <f t="shared" si="26"/>
        <v>0</v>
      </c>
      <c r="I117" s="253">
        <f t="shared" si="27"/>
        <v>0</v>
      </c>
      <c r="J117" s="158">
        <f t="shared" si="19"/>
        <v>0</v>
      </c>
      <c r="K117" s="158"/>
      <c r="L117" s="334"/>
      <c r="M117" s="158">
        <f t="shared" si="20"/>
        <v>0</v>
      </c>
      <c r="N117" s="334"/>
      <c r="O117" s="158">
        <f t="shared" si="21"/>
        <v>0</v>
      </c>
      <c r="P117" s="158">
        <f t="shared" si="22"/>
        <v>0</v>
      </c>
      <c r="Q117" s="1"/>
    </row>
    <row r="118" spans="2:17">
      <c r="B118" s="9" t="str">
        <f t="shared" si="25"/>
        <v/>
      </c>
      <c r="C118" s="153">
        <f>IF(D93="","-",+C117+1)</f>
        <v>2026</v>
      </c>
      <c r="D118" s="154">
        <f>IF(F117+SUM(E$99:E117)=D$92,F117,D$92-SUM(E$99:E117))</f>
        <v>0</v>
      </c>
      <c r="E118" s="160">
        <f>IF(+J96&lt;F117,J96,D118)</f>
        <v>0</v>
      </c>
      <c r="F118" s="159">
        <f t="shared" si="24"/>
        <v>0</v>
      </c>
      <c r="G118" s="159">
        <f t="shared" si="16"/>
        <v>0</v>
      </c>
      <c r="H118" s="163">
        <f t="shared" si="26"/>
        <v>0</v>
      </c>
      <c r="I118" s="253">
        <f t="shared" si="27"/>
        <v>0</v>
      </c>
      <c r="J118" s="158">
        <f t="shared" si="19"/>
        <v>0</v>
      </c>
      <c r="K118" s="158"/>
      <c r="L118" s="334"/>
      <c r="M118" s="158">
        <f t="shared" si="20"/>
        <v>0</v>
      </c>
      <c r="N118" s="334"/>
      <c r="O118" s="158">
        <f t="shared" si="21"/>
        <v>0</v>
      </c>
      <c r="P118" s="158">
        <f t="shared" si="22"/>
        <v>0</v>
      </c>
      <c r="Q118" s="1"/>
    </row>
    <row r="119" spans="2:17">
      <c r="B119" s="9" t="str">
        <f t="shared" si="25"/>
        <v/>
      </c>
      <c r="C119" s="153">
        <f>IF(D93="","-",+C118+1)</f>
        <v>2027</v>
      </c>
      <c r="D119" s="154">
        <f>IF(F118+SUM(E$99:E118)=D$92,F118,D$92-SUM(E$99:E118))</f>
        <v>0</v>
      </c>
      <c r="E119" s="160">
        <f>IF(+J96&lt;F118,J96,D119)</f>
        <v>0</v>
      </c>
      <c r="F119" s="159">
        <f t="shared" si="24"/>
        <v>0</v>
      </c>
      <c r="G119" s="159">
        <f t="shared" si="16"/>
        <v>0</v>
      </c>
      <c r="H119" s="163">
        <f t="shared" si="26"/>
        <v>0</v>
      </c>
      <c r="I119" s="253">
        <f t="shared" si="27"/>
        <v>0</v>
      </c>
      <c r="J119" s="158">
        <f t="shared" si="19"/>
        <v>0</v>
      </c>
      <c r="K119" s="158"/>
      <c r="L119" s="334"/>
      <c r="M119" s="158">
        <f t="shared" si="20"/>
        <v>0</v>
      </c>
      <c r="N119" s="334"/>
      <c r="O119" s="158">
        <f t="shared" si="21"/>
        <v>0</v>
      </c>
      <c r="P119" s="158">
        <f t="shared" si="22"/>
        <v>0</v>
      </c>
      <c r="Q119" s="1"/>
    </row>
    <row r="120" spans="2:17">
      <c r="B120" s="9" t="str">
        <f t="shared" si="25"/>
        <v/>
      </c>
      <c r="C120" s="153">
        <f>IF(D93="","-",+C119+1)</f>
        <v>2028</v>
      </c>
      <c r="D120" s="154">
        <f>IF(F119+SUM(E$99:E119)=D$92,F119,D$92-SUM(E$99:E119))</f>
        <v>0</v>
      </c>
      <c r="E120" s="160">
        <f>IF(+J96&lt;F119,J96,D120)</f>
        <v>0</v>
      </c>
      <c r="F120" s="159">
        <f t="shared" si="24"/>
        <v>0</v>
      </c>
      <c r="G120" s="159">
        <f t="shared" si="16"/>
        <v>0</v>
      </c>
      <c r="H120" s="163">
        <f t="shared" si="26"/>
        <v>0</v>
      </c>
      <c r="I120" s="253">
        <f t="shared" si="27"/>
        <v>0</v>
      </c>
      <c r="J120" s="158">
        <f t="shared" si="19"/>
        <v>0</v>
      </c>
      <c r="K120" s="158"/>
      <c r="L120" s="334"/>
      <c r="M120" s="158">
        <f t="shared" si="20"/>
        <v>0</v>
      </c>
      <c r="N120" s="334"/>
      <c r="O120" s="158">
        <f t="shared" si="21"/>
        <v>0</v>
      </c>
      <c r="P120" s="158">
        <f t="shared" si="22"/>
        <v>0</v>
      </c>
      <c r="Q120" s="1"/>
    </row>
    <row r="121" spans="2:17">
      <c r="B121" s="9" t="str">
        <f t="shared" si="25"/>
        <v/>
      </c>
      <c r="C121" s="153">
        <f>IF(D93="","-",+C120+1)</f>
        <v>2029</v>
      </c>
      <c r="D121" s="154">
        <f>IF(F120+SUM(E$99:E120)=D$92,F120,D$92-SUM(E$99:E120))</f>
        <v>0</v>
      </c>
      <c r="E121" s="160">
        <f>IF(+J96&lt;F120,J96,D121)</f>
        <v>0</v>
      </c>
      <c r="F121" s="159">
        <f t="shared" si="24"/>
        <v>0</v>
      </c>
      <c r="G121" s="159">
        <f t="shared" si="16"/>
        <v>0</v>
      </c>
      <c r="H121" s="163">
        <f t="shared" si="26"/>
        <v>0</v>
      </c>
      <c r="I121" s="253">
        <f t="shared" si="27"/>
        <v>0</v>
      </c>
      <c r="J121" s="158">
        <f t="shared" si="19"/>
        <v>0</v>
      </c>
      <c r="K121" s="158"/>
      <c r="L121" s="334"/>
      <c r="M121" s="158">
        <f t="shared" si="20"/>
        <v>0</v>
      </c>
      <c r="N121" s="334"/>
      <c r="O121" s="158">
        <f t="shared" si="21"/>
        <v>0</v>
      </c>
      <c r="P121" s="158">
        <f t="shared" si="22"/>
        <v>0</v>
      </c>
      <c r="Q121" s="1"/>
    </row>
    <row r="122" spans="2:17">
      <c r="B122" s="9" t="str">
        <f t="shared" si="25"/>
        <v/>
      </c>
      <c r="C122" s="153">
        <f>IF(D93="","-",+C121+1)</f>
        <v>2030</v>
      </c>
      <c r="D122" s="154">
        <f>IF(F121+SUM(E$99:E121)=D$92,F121,D$92-SUM(E$99:E121))</f>
        <v>0</v>
      </c>
      <c r="E122" s="160">
        <f>IF(+J96&lt;F121,J96,D122)</f>
        <v>0</v>
      </c>
      <c r="F122" s="159">
        <f t="shared" si="24"/>
        <v>0</v>
      </c>
      <c r="G122" s="159">
        <f t="shared" si="16"/>
        <v>0</v>
      </c>
      <c r="H122" s="163">
        <f t="shared" si="26"/>
        <v>0</v>
      </c>
      <c r="I122" s="253">
        <f t="shared" si="27"/>
        <v>0</v>
      </c>
      <c r="J122" s="158">
        <f t="shared" si="19"/>
        <v>0</v>
      </c>
      <c r="K122" s="158"/>
      <c r="L122" s="334"/>
      <c r="M122" s="158">
        <f t="shared" si="20"/>
        <v>0</v>
      </c>
      <c r="N122" s="334"/>
      <c r="O122" s="158">
        <f t="shared" si="21"/>
        <v>0</v>
      </c>
      <c r="P122" s="158">
        <f t="shared" si="22"/>
        <v>0</v>
      </c>
      <c r="Q122" s="1"/>
    </row>
    <row r="123" spans="2:17">
      <c r="B123" s="9" t="str">
        <f t="shared" si="25"/>
        <v/>
      </c>
      <c r="C123" s="153">
        <f>IF(D93="","-",+C122+1)</f>
        <v>2031</v>
      </c>
      <c r="D123" s="154">
        <f>IF(F122+SUM(E$99:E122)=D$92,F122,D$92-SUM(E$99:E122))</f>
        <v>0</v>
      </c>
      <c r="E123" s="160">
        <f>IF(+J96&lt;F122,J96,D123)</f>
        <v>0</v>
      </c>
      <c r="F123" s="159">
        <f t="shared" si="24"/>
        <v>0</v>
      </c>
      <c r="G123" s="159">
        <f t="shared" si="16"/>
        <v>0</v>
      </c>
      <c r="H123" s="163">
        <f t="shared" si="26"/>
        <v>0</v>
      </c>
      <c r="I123" s="253">
        <f t="shared" si="27"/>
        <v>0</v>
      </c>
      <c r="J123" s="158">
        <f t="shared" si="19"/>
        <v>0</v>
      </c>
      <c r="K123" s="158"/>
      <c r="L123" s="334"/>
      <c r="M123" s="158">
        <f t="shared" si="20"/>
        <v>0</v>
      </c>
      <c r="N123" s="334"/>
      <c r="O123" s="158">
        <f t="shared" si="21"/>
        <v>0</v>
      </c>
      <c r="P123" s="158">
        <f t="shared" si="22"/>
        <v>0</v>
      </c>
      <c r="Q123" s="1"/>
    </row>
    <row r="124" spans="2:17">
      <c r="B124" s="9" t="str">
        <f t="shared" si="25"/>
        <v/>
      </c>
      <c r="C124" s="153">
        <f>IF(D93="","-",+C123+1)</f>
        <v>2032</v>
      </c>
      <c r="D124" s="154">
        <f>IF(F123+SUM(E$99:E123)=D$92,F123,D$92-SUM(E$99:E123))</f>
        <v>0</v>
      </c>
      <c r="E124" s="160">
        <f>IF(+J96&lt;F123,J96,D124)</f>
        <v>0</v>
      </c>
      <c r="F124" s="159">
        <f t="shared" si="24"/>
        <v>0</v>
      </c>
      <c r="G124" s="159">
        <f t="shared" si="16"/>
        <v>0</v>
      </c>
      <c r="H124" s="163">
        <f t="shared" si="26"/>
        <v>0</v>
      </c>
      <c r="I124" s="253">
        <f t="shared" si="27"/>
        <v>0</v>
      </c>
      <c r="J124" s="158">
        <f t="shared" si="19"/>
        <v>0</v>
      </c>
      <c r="K124" s="158"/>
      <c r="L124" s="334"/>
      <c r="M124" s="158">
        <f t="shared" si="20"/>
        <v>0</v>
      </c>
      <c r="N124" s="334"/>
      <c r="O124" s="158">
        <f t="shared" si="21"/>
        <v>0</v>
      </c>
      <c r="P124" s="158">
        <f t="shared" si="22"/>
        <v>0</v>
      </c>
      <c r="Q124" s="1"/>
    </row>
    <row r="125" spans="2:17">
      <c r="B125" s="9" t="str">
        <f t="shared" si="25"/>
        <v/>
      </c>
      <c r="C125" s="153">
        <f>IF(D93="","-",+C124+1)</f>
        <v>2033</v>
      </c>
      <c r="D125" s="154">
        <f>IF(F124+SUM(E$99:E124)=D$92,F124,D$92-SUM(E$99:E124))</f>
        <v>0</v>
      </c>
      <c r="E125" s="160">
        <f>IF(+J96&lt;F124,J96,D125)</f>
        <v>0</v>
      </c>
      <c r="F125" s="159">
        <f t="shared" si="24"/>
        <v>0</v>
      </c>
      <c r="G125" s="159">
        <f t="shared" si="16"/>
        <v>0</v>
      </c>
      <c r="H125" s="163">
        <f t="shared" si="26"/>
        <v>0</v>
      </c>
      <c r="I125" s="253">
        <f t="shared" si="27"/>
        <v>0</v>
      </c>
      <c r="J125" s="158">
        <f t="shared" si="19"/>
        <v>0</v>
      </c>
      <c r="K125" s="158"/>
      <c r="L125" s="334"/>
      <c r="M125" s="158">
        <f t="shared" si="20"/>
        <v>0</v>
      </c>
      <c r="N125" s="334"/>
      <c r="O125" s="158">
        <f t="shared" si="21"/>
        <v>0</v>
      </c>
      <c r="P125" s="158">
        <f t="shared" si="22"/>
        <v>0</v>
      </c>
      <c r="Q125" s="1"/>
    </row>
    <row r="126" spans="2:17">
      <c r="B126" s="9" t="str">
        <f t="shared" si="25"/>
        <v/>
      </c>
      <c r="C126" s="153">
        <f>IF(D93="","-",+C125+1)</f>
        <v>2034</v>
      </c>
      <c r="D126" s="154">
        <f>IF(F125+SUM(E$99:E125)=D$92,F125,D$92-SUM(E$99:E125))</f>
        <v>0</v>
      </c>
      <c r="E126" s="160">
        <f>IF(+J96&lt;F125,J96,D126)</f>
        <v>0</v>
      </c>
      <c r="F126" s="159">
        <f t="shared" si="24"/>
        <v>0</v>
      </c>
      <c r="G126" s="159">
        <f t="shared" si="16"/>
        <v>0</v>
      </c>
      <c r="H126" s="163">
        <f t="shared" si="26"/>
        <v>0</v>
      </c>
      <c r="I126" s="253">
        <f t="shared" si="27"/>
        <v>0</v>
      </c>
      <c r="J126" s="158">
        <f t="shared" si="19"/>
        <v>0</v>
      </c>
      <c r="K126" s="158"/>
      <c r="L126" s="334"/>
      <c r="M126" s="158">
        <f t="shared" si="20"/>
        <v>0</v>
      </c>
      <c r="N126" s="334"/>
      <c r="O126" s="158">
        <f t="shared" si="21"/>
        <v>0</v>
      </c>
      <c r="P126" s="158">
        <f t="shared" si="22"/>
        <v>0</v>
      </c>
      <c r="Q126" s="1"/>
    </row>
    <row r="127" spans="2:17">
      <c r="B127" s="9" t="str">
        <f t="shared" si="25"/>
        <v/>
      </c>
      <c r="C127" s="153">
        <f>IF(D93="","-",+C126+1)</f>
        <v>2035</v>
      </c>
      <c r="D127" s="154">
        <f>IF(F126+SUM(E$99:E126)=D$92,F126,D$92-SUM(E$99:E126))</f>
        <v>0</v>
      </c>
      <c r="E127" s="160">
        <f>IF(+J96&lt;F126,J96,D127)</f>
        <v>0</v>
      </c>
      <c r="F127" s="159">
        <f t="shared" si="24"/>
        <v>0</v>
      </c>
      <c r="G127" s="159">
        <f t="shared" si="16"/>
        <v>0</v>
      </c>
      <c r="H127" s="163">
        <f t="shared" si="26"/>
        <v>0</v>
      </c>
      <c r="I127" s="253">
        <f t="shared" si="27"/>
        <v>0</v>
      </c>
      <c r="J127" s="158">
        <f t="shared" si="19"/>
        <v>0</v>
      </c>
      <c r="K127" s="158"/>
      <c r="L127" s="334"/>
      <c r="M127" s="158">
        <f t="shared" si="20"/>
        <v>0</v>
      </c>
      <c r="N127" s="334"/>
      <c r="O127" s="158">
        <f t="shared" si="21"/>
        <v>0</v>
      </c>
      <c r="P127" s="158">
        <f t="shared" si="22"/>
        <v>0</v>
      </c>
      <c r="Q127" s="1"/>
    </row>
    <row r="128" spans="2:17">
      <c r="B128" s="9" t="str">
        <f t="shared" si="25"/>
        <v/>
      </c>
      <c r="C128" s="153">
        <f>IF(D93="","-",+C127+1)</f>
        <v>2036</v>
      </c>
      <c r="D128" s="154">
        <f>IF(F127+SUM(E$99:E127)=D$92,F127,D$92-SUM(E$99:E127))</f>
        <v>0</v>
      </c>
      <c r="E128" s="160">
        <f>IF(+J96&lt;F127,J96,D128)</f>
        <v>0</v>
      </c>
      <c r="F128" s="159">
        <f t="shared" si="24"/>
        <v>0</v>
      </c>
      <c r="G128" s="159">
        <f t="shared" si="16"/>
        <v>0</v>
      </c>
      <c r="H128" s="163">
        <f t="shared" si="26"/>
        <v>0</v>
      </c>
      <c r="I128" s="253">
        <f t="shared" si="27"/>
        <v>0</v>
      </c>
      <c r="J128" s="158">
        <f t="shared" si="19"/>
        <v>0</v>
      </c>
      <c r="K128" s="158"/>
      <c r="L128" s="334"/>
      <c r="M128" s="158">
        <f t="shared" si="20"/>
        <v>0</v>
      </c>
      <c r="N128" s="334"/>
      <c r="O128" s="158">
        <f t="shared" si="21"/>
        <v>0</v>
      </c>
      <c r="P128" s="158">
        <f t="shared" si="22"/>
        <v>0</v>
      </c>
      <c r="Q128" s="1"/>
    </row>
    <row r="129" spans="2:17">
      <c r="B129" s="9" t="str">
        <f t="shared" si="25"/>
        <v/>
      </c>
      <c r="C129" s="153">
        <f>IF(D93="","-",+C128+1)</f>
        <v>2037</v>
      </c>
      <c r="D129" s="154">
        <f>IF(F128+SUM(E$99:E128)=D$92,F128,D$92-SUM(E$99:E128))</f>
        <v>0</v>
      </c>
      <c r="E129" s="160">
        <f>IF(+J96&lt;F128,J96,D129)</f>
        <v>0</v>
      </c>
      <c r="F129" s="159">
        <f t="shared" si="24"/>
        <v>0</v>
      </c>
      <c r="G129" s="159">
        <f t="shared" si="16"/>
        <v>0</v>
      </c>
      <c r="H129" s="163">
        <f t="shared" si="26"/>
        <v>0</v>
      </c>
      <c r="I129" s="253">
        <f t="shared" si="27"/>
        <v>0</v>
      </c>
      <c r="J129" s="158">
        <f t="shared" si="19"/>
        <v>0</v>
      </c>
      <c r="K129" s="158"/>
      <c r="L129" s="334"/>
      <c r="M129" s="158">
        <f t="shared" si="20"/>
        <v>0</v>
      </c>
      <c r="N129" s="334"/>
      <c r="O129" s="158">
        <f t="shared" si="21"/>
        <v>0</v>
      </c>
      <c r="P129" s="158">
        <f t="shared" si="22"/>
        <v>0</v>
      </c>
      <c r="Q129" s="1"/>
    </row>
    <row r="130" spans="2:17">
      <c r="B130" s="9" t="str">
        <f t="shared" si="25"/>
        <v/>
      </c>
      <c r="C130" s="153">
        <f>IF(D93="","-",+C129+1)</f>
        <v>2038</v>
      </c>
      <c r="D130" s="154">
        <f>IF(F129+SUM(E$99:E129)=D$92,F129,D$92-SUM(E$99:E129))</f>
        <v>0</v>
      </c>
      <c r="E130" s="160">
        <f>IF(+J96&lt;F129,J96,D130)</f>
        <v>0</v>
      </c>
      <c r="F130" s="159">
        <f t="shared" si="24"/>
        <v>0</v>
      </c>
      <c r="G130" s="159">
        <f t="shared" si="16"/>
        <v>0</v>
      </c>
      <c r="H130" s="163">
        <f t="shared" si="26"/>
        <v>0</v>
      </c>
      <c r="I130" s="253">
        <f t="shared" si="27"/>
        <v>0</v>
      </c>
      <c r="J130" s="158">
        <f t="shared" si="19"/>
        <v>0</v>
      </c>
      <c r="K130" s="158"/>
      <c r="L130" s="334"/>
      <c r="M130" s="158">
        <f t="shared" si="20"/>
        <v>0</v>
      </c>
      <c r="N130" s="334"/>
      <c r="O130" s="158">
        <f t="shared" si="21"/>
        <v>0</v>
      </c>
      <c r="P130" s="158">
        <f t="shared" si="22"/>
        <v>0</v>
      </c>
      <c r="Q130" s="1"/>
    </row>
    <row r="131" spans="2:17">
      <c r="B131" s="9" t="str">
        <f t="shared" si="25"/>
        <v/>
      </c>
      <c r="C131" s="153">
        <f>IF(D93="","-",+C130+1)</f>
        <v>2039</v>
      </c>
      <c r="D131" s="154">
        <f>IF(F130+SUM(E$99:E130)=D$92,F130,D$92-SUM(E$99:E130))</f>
        <v>0</v>
      </c>
      <c r="E131" s="160">
        <f>IF(+J96&lt;F130,J96,D131)</f>
        <v>0</v>
      </c>
      <c r="F131" s="159">
        <f t="shared" ref="F131:F154" si="28">+D131-E131</f>
        <v>0</v>
      </c>
      <c r="G131" s="159">
        <f t="shared" ref="G131:G154" si="29">+(F131+D131)/2</f>
        <v>0</v>
      </c>
      <c r="H131" s="163">
        <f t="shared" si="26"/>
        <v>0</v>
      </c>
      <c r="I131" s="253">
        <f t="shared" si="27"/>
        <v>0</v>
      </c>
      <c r="J131" s="158">
        <f t="shared" ref="J131:J154" si="30">+I131-H131</f>
        <v>0</v>
      </c>
      <c r="K131" s="158"/>
      <c r="L131" s="334"/>
      <c r="M131" s="158">
        <f t="shared" ref="M131:M154" si="31">IF(L131&lt;&gt;0,+H131-L131,0)</f>
        <v>0</v>
      </c>
      <c r="N131" s="334"/>
      <c r="O131" s="158">
        <f t="shared" ref="O131:O154" si="32">IF(N131&lt;&gt;0,+I131-N131,0)</f>
        <v>0</v>
      </c>
      <c r="P131" s="158">
        <f t="shared" ref="P131:P154" si="33">+O131-M131</f>
        <v>0</v>
      </c>
      <c r="Q131" s="1"/>
    </row>
    <row r="132" spans="2:17">
      <c r="B132" s="9" t="str">
        <f t="shared" si="25"/>
        <v/>
      </c>
      <c r="C132" s="153">
        <f>IF(D93="","-",+C131+1)</f>
        <v>2040</v>
      </c>
      <c r="D132" s="154">
        <f>IF(F131+SUM(E$99:E131)=D$92,F131,D$92-SUM(E$99:E131))</f>
        <v>0</v>
      </c>
      <c r="E132" s="160">
        <f>IF(+J96&lt;F131,J96,D132)</f>
        <v>0</v>
      </c>
      <c r="F132" s="159">
        <f t="shared" si="28"/>
        <v>0</v>
      </c>
      <c r="G132" s="159">
        <f t="shared" si="29"/>
        <v>0</v>
      </c>
      <c r="H132" s="163">
        <f t="shared" si="26"/>
        <v>0</v>
      </c>
      <c r="I132" s="253">
        <f t="shared" si="27"/>
        <v>0</v>
      </c>
      <c r="J132" s="158">
        <f t="shared" si="30"/>
        <v>0</v>
      </c>
      <c r="K132" s="158"/>
      <c r="L132" s="334"/>
      <c r="M132" s="158">
        <f t="shared" si="31"/>
        <v>0</v>
      </c>
      <c r="N132" s="334"/>
      <c r="O132" s="158">
        <f t="shared" si="32"/>
        <v>0</v>
      </c>
      <c r="P132" s="158">
        <f t="shared" si="33"/>
        <v>0</v>
      </c>
      <c r="Q132" s="1"/>
    </row>
    <row r="133" spans="2:17">
      <c r="B133" s="9" t="str">
        <f t="shared" si="25"/>
        <v/>
      </c>
      <c r="C133" s="153">
        <f>IF(D93="","-",+C132+1)</f>
        <v>2041</v>
      </c>
      <c r="D133" s="154">
        <f>IF(F132+SUM(E$99:E132)=D$92,F132,D$92-SUM(E$99:E132))</f>
        <v>0</v>
      </c>
      <c r="E133" s="160">
        <f>IF(+J96&lt;F132,J96,D133)</f>
        <v>0</v>
      </c>
      <c r="F133" s="159">
        <f t="shared" si="28"/>
        <v>0</v>
      </c>
      <c r="G133" s="159">
        <f t="shared" si="29"/>
        <v>0</v>
      </c>
      <c r="H133" s="163">
        <f t="shared" si="26"/>
        <v>0</v>
      </c>
      <c r="I133" s="253">
        <f t="shared" si="27"/>
        <v>0</v>
      </c>
      <c r="J133" s="158">
        <f t="shared" si="30"/>
        <v>0</v>
      </c>
      <c r="K133" s="158"/>
      <c r="L133" s="334"/>
      <c r="M133" s="158">
        <f t="shared" si="31"/>
        <v>0</v>
      </c>
      <c r="N133" s="334"/>
      <c r="O133" s="158">
        <f t="shared" si="32"/>
        <v>0</v>
      </c>
      <c r="P133" s="158">
        <f t="shared" si="33"/>
        <v>0</v>
      </c>
      <c r="Q133" s="1"/>
    </row>
    <row r="134" spans="2:17">
      <c r="B134" s="9" t="str">
        <f t="shared" si="25"/>
        <v/>
      </c>
      <c r="C134" s="153">
        <f>IF(D93="","-",+C133+1)</f>
        <v>2042</v>
      </c>
      <c r="D134" s="154">
        <f>IF(F133+SUM(E$99:E133)=D$92,F133,D$92-SUM(E$99:E133))</f>
        <v>0</v>
      </c>
      <c r="E134" s="160">
        <f>IF(+J96&lt;F133,J96,D134)</f>
        <v>0</v>
      </c>
      <c r="F134" s="159">
        <f t="shared" si="28"/>
        <v>0</v>
      </c>
      <c r="G134" s="159">
        <f t="shared" si="29"/>
        <v>0</v>
      </c>
      <c r="H134" s="163">
        <f t="shared" si="26"/>
        <v>0</v>
      </c>
      <c r="I134" s="253">
        <f t="shared" si="27"/>
        <v>0</v>
      </c>
      <c r="J134" s="158">
        <f t="shared" si="30"/>
        <v>0</v>
      </c>
      <c r="K134" s="158"/>
      <c r="L134" s="334"/>
      <c r="M134" s="158">
        <f t="shared" si="31"/>
        <v>0</v>
      </c>
      <c r="N134" s="334"/>
      <c r="O134" s="158">
        <f t="shared" si="32"/>
        <v>0</v>
      </c>
      <c r="P134" s="158">
        <f t="shared" si="33"/>
        <v>0</v>
      </c>
      <c r="Q134" s="1"/>
    </row>
    <row r="135" spans="2:17">
      <c r="B135" s="9" t="str">
        <f t="shared" si="25"/>
        <v/>
      </c>
      <c r="C135" s="153">
        <f>IF(D93="","-",+C134+1)</f>
        <v>2043</v>
      </c>
      <c r="D135" s="154">
        <f>IF(F134+SUM(E$99:E134)=D$92,F134,D$92-SUM(E$99:E134))</f>
        <v>0</v>
      </c>
      <c r="E135" s="160">
        <f>IF(+J96&lt;F134,J96,D135)</f>
        <v>0</v>
      </c>
      <c r="F135" s="159">
        <f t="shared" si="28"/>
        <v>0</v>
      </c>
      <c r="G135" s="159">
        <f t="shared" si="29"/>
        <v>0</v>
      </c>
      <c r="H135" s="163">
        <f t="shared" si="26"/>
        <v>0</v>
      </c>
      <c r="I135" s="253">
        <f t="shared" si="27"/>
        <v>0</v>
      </c>
      <c r="J135" s="158">
        <f t="shared" si="30"/>
        <v>0</v>
      </c>
      <c r="K135" s="158"/>
      <c r="L135" s="334"/>
      <c r="M135" s="158">
        <f t="shared" si="31"/>
        <v>0</v>
      </c>
      <c r="N135" s="334"/>
      <c r="O135" s="158">
        <f t="shared" si="32"/>
        <v>0</v>
      </c>
      <c r="P135" s="158">
        <f t="shared" si="33"/>
        <v>0</v>
      </c>
      <c r="Q135" s="1"/>
    </row>
    <row r="136" spans="2:17">
      <c r="B136" s="9" t="str">
        <f t="shared" si="25"/>
        <v/>
      </c>
      <c r="C136" s="153">
        <f>IF(D93="","-",+C135+1)</f>
        <v>2044</v>
      </c>
      <c r="D136" s="154">
        <f>IF(F135+SUM(E$99:E135)=D$92,F135,D$92-SUM(E$99:E135))</f>
        <v>0</v>
      </c>
      <c r="E136" s="160">
        <f>IF(+J96&lt;F135,J96,D136)</f>
        <v>0</v>
      </c>
      <c r="F136" s="159">
        <f t="shared" si="28"/>
        <v>0</v>
      </c>
      <c r="G136" s="159">
        <f t="shared" si="29"/>
        <v>0</v>
      </c>
      <c r="H136" s="163">
        <f t="shared" si="26"/>
        <v>0</v>
      </c>
      <c r="I136" s="253">
        <f t="shared" si="27"/>
        <v>0</v>
      </c>
      <c r="J136" s="158">
        <f t="shared" si="30"/>
        <v>0</v>
      </c>
      <c r="K136" s="158"/>
      <c r="L136" s="334"/>
      <c r="M136" s="158">
        <f t="shared" si="31"/>
        <v>0</v>
      </c>
      <c r="N136" s="334"/>
      <c r="O136" s="158">
        <f t="shared" si="32"/>
        <v>0</v>
      </c>
      <c r="P136" s="158">
        <f t="shared" si="33"/>
        <v>0</v>
      </c>
      <c r="Q136" s="1"/>
    </row>
    <row r="137" spans="2:17">
      <c r="B137" s="9" t="str">
        <f t="shared" si="25"/>
        <v/>
      </c>
      <c r="C137" s="153">
        <f>IF(D93="","-",+C136+1)</f>
        <v>2045</v>
      </c>
      <c r="D137" s="154">
        <f>IF(F136+SUM(E$99:E136)=D$92,F136,D$92-SUM(E$99:E136))</f>
        <v>0</v>
      </c>
      <c r="E137" s="160">
        <f>IF(+J96&lt;F136,J96,D137)</f>
        <v>0</v>
      </c>
      <c r="F137" s="159">
        <f t="shared" si="28"/>
        <v>0</v>
      </c>
      <c r="G137" s="159">
        <f t="shared" si="29"/>
        <v>0</v>
      </c>
      <c r="H137" s="163">
        <f t="shared" si="26"/>
        <v>0</v>
      </c>
      <c r="I137" s="253">
        <f t="shared" si="27"/>
        <v>0</v>
      </c>
      <c r="J137" s="158">
        <f t="shared" si="30"/>
        <v>0</v>
      </c>
      <c r="K137" s="158"/>
      <c r="L137" s="334"/>
      <c r="M137" s="158">
        <f t="shared" si="31"/>
        <v>0</v>
      </c>
      <c r="N137" s="334"/>
      <c r="O137" s="158">
        <f t="shared" si="32"/>
        <v>0</v>
      </c>
      <c r="P137" s="158">
        <f t="shared" si="33"/>
        <v>0</v>
      </c>
      <c r="Q137" s="1"/>
    </row>
    <row r="138" spans="2:17">
      <c r="B138" s="9" t="str">
        <f t="shared" si="25"/>
        <v/>
      </c>
      <c r="C138" s="153">
        <f>IF(D93="","-",+C137+1)</f>
        <v>2046</v>
      </c>
      <c r="D138" s="154">
        <f>IF(F137+SUM(E$99:E137)=D$92,F137,D$92-SUM(E$99:E137))</f>
        <v>0</v>
      </c>
      <c r="E138" s="160">
        <f>IF(+J96&lt;F137,J96,D138)</f>
        <v>0</v>
      </c>
      <c r="F138" s="159">
        <f t="shared" si="28"/>
        <v>0</v>
      </c>
      <c r="G138" s="159">
        <f t="shared" si="29"/>
        <v>0</v>
      </c>
      <c r="H138" s="163">
        <f t="shared" si="26"/>
        <v>0</v>
      </c>
      <c r="I138" s="253">
        <f t="shared" si="27"/>
        <v>0</v>
      </c>
      <c r="J138" s="158">
        <f t="shared" si="30"/>
        <v>0</v>
      </c>
      <c r="K138" s="158"/>
      <c r="L138" s="334"/>
      <c r="M138" s="158">
        <f t="shared" si="31"/>
        <v>0</v>
      </c>
      <c r="N138" s="334"/>
      <c r="O138" s="158">
        <f t="shared" si="32"/>
        <v>0</v>
      </c>
      <c r="P138" s="158">
        <f t="shared" si="33"/>
        <v>0</v>
      </c>
      <c r="Q138" s="1"/>
    </row>
    <row r="139" spans="2:17">
      <c r="B139" s="9" t="str">
        <f t="shared" si="25"/>
        <v/>
      </c>
      <c r="C139" s="153">
        <f>IF(D93="","-",+C138+1)</f>
        <v>2047</v>
      </c>
      <c r="D139" s="154">
        <f>IF(F138+SUM(E$99:E138)=D$92,F138,D$92-SUM(E$99:E138))</f>
        <v>0</v>
      </c>
      <c r="E139" s="160">
        <f>IF(+J96&lt;F138,J96,D139)</f>
        <v>0</v>
      </c>
      <c r="F139" s="159">
        <f t="shared" si="28"/>
        <v>0</v>
      </c>
      <c r="G139" s="159">
        <f t="shared" si="29"/>
        <v>0</v>
      </c>
      <c r="H139" s="163">
        <f t="shared" si="26"/>
        <v>0</v>
      </c>
      <c r="I139" s="253">
        <f t="shared" si="27"/>
        <v>0</v>
      </c>
      <c r="J139" s="158">
        <f t="shared" si="30"/>
        <v>0</v>
      </c>
      <c r="K139" s="158"/>
      <c r="L139" s="334"/>
      <c r="M139" s="158">
        <f t="shared" si="31"/>
        <v>0</v>
      </c>
      <c r="N139" s="334"/>
      <c r="O139" s="158">
        <f t="shared" si="32"/>
        <v>0</v>
      </c>
      <c r="P139" s="158">
        <f t="shared" si="33"/>
        <v>0</v>
      </c>
      <c r="Q139" s="1"/>
    </row>
    <row r="140" spans="2:17">
      <c r="B140" s="9" t="str">
        <f t="shared" si="25"/>
        <v/>
      </c>
      <c r="C140" s="153">
        <f>IF(D93="","-",+C139+1)</f>
        <v>2048</v>
      </c>
      <c r="D140" s="154">
        <f>IF(F139+SUM(E$99:E139)=D$92,F139,D$92-SUM(E$99:E139))</f>
        <v>0</v>
      </c>
      <c r="E140" s="160">
        <f>IF(+J96&lt;F139,J96,D140)</f>
        <v>0</v>
      </c>
      <c r="F140" s="159">
        <f t="shared" si="28"/>
        <v>0</v>
      </c>
      <c r="G140" s="159">
        <f t="shared" si="29"/>
        <v>0</v>
      </c>
      <c r="H140" s="163">
        <f t="shared" si="26"/>
        <v>0</v>
      </c>
      <c r="I140" s="253">
        <f t="shared" si="27"/>
        <v>0</v>
      </c>
      <c r="J140" s="158">
        <f t="shared" si="30"/>
        <v>0</v>
      </c>
      <c r="K140" s="158"/>
      <c r="L140" s="334"/>
      <c r="M140" s="158">
        <f t="shared" si="31"/>
        <v>0</v>
      </c>
      <c r="N140" s="334"/>
      <c r="O140" s="158">
        <f t="shared" si="32"/>
        <v>0</v>
      </c>
      <c r="P140" s="158">
        <f t="shared" si="33"/>
        <v>0</v>
      </c>
      <c r="Q140" s="1"/>
    </row>
    <row r="141" spans="2:17">
      <c r="B141" s="9" t="str">
        <f t="shared" si="25"/>
        <v/>
      </c>
      <c r="C141" s="153">
        <f>IF(D93="","-",+C140+1)</f>
        <v>2049</v>
      </c>
      <c r="D141" s="154">
        <f>IF(F140+SUM(E$99:E140)=D$92,F140,D$92-SUM(E$99:E140))</f>
        <v>0</v>
      </c>
      <c r="E141" s="160">
        <f>IF(+J96&lt;F140,J96,D141)</f>
        <v>0</v>
      </c>
      <c r="F141" s="159">
        <f t="shared" si="28"/>
        <v>0</v>
      </c>
      <c r="G141" s="159">
        <f t="shared" si="29"/>
        <v>0</v>
      </c>
      <c r="H141" s="163">
        <f t="shared" si="26"/>
        <v>0</v>
      </c>
      <c r="I141" s="253">
        <f t="shared" si="27"/>
        <v>0</v>
      </c>
      <c r="J141" s="158">
        <f t="shared" si="30"/>
        <v>0</v>
      </c>
      <c r="K141" s="158"/>
      <c r="L141" s="334"/>
      <c r="M141" s="158">
        <f t="shared" si="31"/>
        <v>0</v>
      </c>
      <c r="N141" s="334"/>
      <c r="O141" s="158">
        <f t="shared" si="32"/>
        <v>0</v>
      </c>
      <c r="P141" s="158">
        <f t="shared" si="33"/>
        <v>0</v>
      </c>
      <c r="Q141" s="1"/>
    </row>
    <row r="142" spans="2:17">
      <c r="B142" s="9" t="str">
        <f t="shared" si="25"/>
        <v/>
      </c>
      <c r="C142" s="153">
        <f>IF(D93="","-",+C141+1)</f>
        <v>2050</v>
      </c>
      <c r="D142" s="154">
        <f>IF(F141+SUM(E$99:E141)=D$92,F141,D$92-SUM(E$99:E141))</f>
        <v>0</v>
      </c>
      <c r="E142" s="160">
        <f>IF(+J96&lt;F141,J96,D142)</f>
        <v>0</v>
      </c>
      <c r="F142" s="159">
        <f t="shared" si="28"/>
        <v>0</v>
      </c>
      <c r="G142" s="159">
        <f t="shared" si="29"/>
        <v>0</v>
      </c>
      <c r="H142" s="163">
        <f t="shared" si="26"/>
        <v>0</v>
      </c>
      <c r="I142" s="253">
        <f t="shared" si="27"/>
        <v>0</v>
      </c>
      <c r="J142" s="158">
        <f t="shared" si="30"/>
        <v>0</v>
      </c>
      <c r="K142" s="158"/>
      <c r="L142" s="334"/>
      <c r="M142" s="158">
        <f t="shared" si="31"/>
        <v>0</v>
      </c>
      <c r="N142" s="334"/>
      <c r="O142" s="158">
        <f t="shared" si="32"/>
        <v>0</v>
      </c>
      <c r="P142" s="158">
        <f t="shared" si="33"/>
        <v>0</v>
      </c>
      <c r="Q142" s="1"/>
    </row>
    <row r="143" spans="2:17">
      <c r="B143" s="9" t="str">
        <f t="shared" si="25"/>
        <v/>
      </c>
      <c r="C143" s="153">
        <f>IF(D93="","-",+C142+1)</f>
        <v>2051</v>
      </c>
      <c r="D143" s="154">
        <f>IF(F142+SUM(E$99:E142)=D$92,F142,D$92-SUM(E$99:E142))</f>
        <v>0</v>
      </c>
      <c r="E143" s="160">
        <f>IF(+J96&lt;F142,J96,D143)</f>
        <v>0</v>
      </c>
      <c r="F143" s="159">
        <f t="shared" si="28"/>
        <v>0</v>
      </c>
      <c r="G143" s="159">
        <f t="shared" si="29"/>
        <v>0</v>
      </c>
      <c r="H143" s="163">
        <f t="shared" si="26"/>
        <v>0</v>
      </c>
      <c r="I143" s="253">
        <f t="shared" si="27"/>
        <v>0</v>
      </c>
      <c r="J143" s="158">
        <f t="shared" si="30"/>
        <v>0</v>
      </c>
      <c r="K143" s="158"/>
      <c r="L143" s="334"/>
      <c r="M143" s="158">
        <f t="shared" si="31"/>
        <v>0</v>
      </c>
      <c r="N143" s="334"/>
      <c r="O143" s="158">
        <f t="shared" si="32"/>
        <v>0</v>
      </c>
      <c r="P143" s="158">
        <f t="shared" si="33"/>
        <v>0</v>
      </c>
      <c r="Q143" s="1"/>
    </row>
    <row r="144" spans="2:17">
      <c r="B144" s="9" t="str">
        <f t="shared" si="25"/>
        <v/>
      </c>
      <c r="C144" s="153">
        <f>IF(D93="","-",+C143+1)</f>
        <v>2052</v>
      </c>
      <c r="D144" s="154">
        <f>IF(F143+SUM(E$99:E143)=D$92,F143,D$92-SUM(E$99:E143))</f>
        <v>0</v>
      </c>
      <c r="E144" s="160">
        <f>IF(+J96&lt;F143,J96,D144)</f>
        <v>0</v>
      </c>
      <c r="F144" s="159">
        <f t="shared" si="28"/>
        <v>0</v>
      </c>
      <c r="G144" s="159">
        <f t="shared" si="29"/>
        <v>0</v>
      </c>
      <c r="H144" s="163">
        <f t="shared" si="26"/>
        <v>0</v>
      </c>
      <c r="I144" s="253">
        <f t="shared" si="27"/>
        <v>0</v>
      </c>
      <c r="J144" s="158">
        <f t="shared" si="30"/>
        <v>0</v>
      </c>
      <c r="K144" s="158"/>
      <c r="L144" s="334"/>
      <c r="M144" s="158">
        <f t="shared" si="31"/>
        <v>0</v>
      </c>
      <c r="N144" s="334"/>
      <c r="O144" s="158">
        <f t="shared" si="32"/>
        <v>0</v>
      </c>
      <c r="P144" s="158">
        <f t="shared" si="33"/>
        <v>0</v>
      </c>
      <c r="Q144" s="1"/>
    </row>
    <row r="145" spans="2:17">
      <c r="B145" s="9" t="str">
        <f t="shared" si="25"/>
        <v/>
      </c>
      <c r="C145" s="153">
        <f>IF(D93="","-",+C144+1)</f>
        <v>2053</v>
      </c>
      <c r="D145" s="154">
        <f>IF(F144+SUM(E$99:E144)=D$92,F144,D$92-SUM(E$99:E144))</f>
        <v>0</v>
      </c>
      <c r="E145" s="160">
        <f>IF(+J96&lt;F144,J96,D145)</f>
        <v>0</v>
      </c>
      <c r="F145" s="159">
        <f t="shared" si="28"/>
        <v>0</v>
      </c>
      <c r="G145" s="159">
        <f t="shared" si="29"/>
        <v>0</v>
      </c>
      <c r="H145" s="163">
        <f t="shared" si="26"/>
        <v>0</v>
      </c>
      <c r="I145" s="253">
        <f t="shared" si="27"/>
        <v>0</v>
      </c>
      <c r="J145" s="158">
        <f t="shared" si="30"/>
        <v>0</v>
      </c>
      <c r="K145" s="158"/>
      <c r="L145" s="334"/>
      <c r="M145" s="158">
        <f t="shared" si="31"/>
        <v>0</v>
      </c>
      <c r="N145" s="334"/>
      <c r="O145" s="158">
        <f t="shared" si="32"/>
        <v>0</v>
      </c>
      <c r="P145" s="158">
        <f t="shared" si="33"/>
        <v>0</v>
      </c>
      <c r="Q145" s="1"/>
    </row>
    <row r="146" spans="2:17">
      <c r="B146" s="9" t="str">
        <f t="shared" si="25"/>
        <v/>
      </c>
      <c r="C146" s="153">
        <f>IF(D93="","-",+C145+1)</f>
        <v>2054</v>
      </c>
      <c r="D146" s="154">
        <f>IF(F145+SUM(E$99:E145)=D$92,F145,D$92-SUM(E$99:E145))</f>
        <v>0</v>
      </c>
      <c r="E146" s="160">
        <f>IF(+J96&lt;F145,J96,D146)</f>
        <v>0</v>
      </c>
      <c r="F146" s="159">
        <f t="shared" si="28"/>
        <v>0</v>
      </c>
      <c r="G146" s="159">
        <f t="shared" si="29"/>
        <v>0</v>
      </c>
      <c r="H146" s="163">
        <f t="shared" si="26"/>
        <v>0</v>
      </c>
      <c r="I146" s="253">
        <f t="shared" si="27"/>
        <v>0</v>
      </c>
      <c r="J146" s="158">
        <f t="shared" si="30"/>
        <v>0</v>
      </c>
      <c r="K146" s="158"/>
      <c r="L146" s="334"/>
      <c r="M146" s="158">
        <f t="shared" si="31"/>
        <v>0</v>
      </c>
      <c r="N146" s="334"/>
      <c r="O146" s="158">
        <f t="shared" si="32"/>
        <v>0</v>
      </c>
      <c r="P146" s="158">
        <f t="shared" si="33"/>
        <v>0</v>
      </c>
      <c r="Q146" s="1"/>
    </row>
    <row r="147" spans="2:17">
      <c r="B147" s="9" t="str">
        <f t="shared" si="25"/>
        <v/>
      </c>
      <c r="C147" s="153">
        <f>IF(D93="","-",+C146+1)</f>
        <v>2055</v>
      </c>
      <c r="D147" s="154">
        <f>IF(F146+SUM(E$99:E146)=D$92,F146,D$92-SUM(E$99:E146))</f>
        <v>0</v>
      </c>
      <c r="E147" s="160">
        <f>IF(+J96&lt;F146,J96,D147)</f>
        <v>0</v>
      </c>
      <c r="F147" s="159">
        <f t="shared" si="28"/>
        <v>0</v>
      </c>
      <c r="G147" s="159">
        <f t="shared" si="29"/>
        <v>0</v>
      </c>
      <c r="H147" s="163">
        <f t="shared" si="26"/>
        <v>0</v>
      </c>
      <c r="I147" s="253">
        <f t="shared" si="27"/>
        <v>0</v>
      </c>
      <c r="J147" s="158">
        <f t="shared" si="30"/>
        <v>0</v>
      </c>
      <c r="K147" s="158"/>
      <c r="L147" s="334"/>
      <c r="M147" s="158">
        <f t="shared" si="31"/>
        <v>0</v>
      </c>
      <c r="N147" s="334"/>
      <c r="O147" s="158">
        <f t="shared" si="32"/>
        <v>0</v>
      </c>
      <c r="P147" s="158">
        <f t="shared" si="33"/>
        <v>0</v>
      </c>
      <c r="Q147" s="1"/>
    </row>
    <row r="148" spans="2:17">
      <c r="B148" s="9" t="str">
        <f t="shared" si="25"/>
        <v/>
      </c>
      <c r="C148" s="153">
        <f>IF(D93="","-",+C147+1)</f>
        <v>2056</v>
      </c>
      <c r="D148" s="154">
        <f>IF(F147+SUM(E$99:E147)=D$92,F147,D$92-SUM(E$99:E147))</f>
        <v>0</v>
      </c>
      <c r="E148" s="160">
        <f>IF(+J96&lt;F147,J96,D148)</f>
        <v>0</v>
      </c>
      <c r="F148" s="159">
        <f t="shared" si="28"/>
        <v>0</v>
      </c>
      <c r="G148" s="159">
        <f t="shared" si="29"/>
        <v>0</v>
      </c>
      <c r="H148" s="163">
        <f t="shared" si="26"/>
        <v>0</v>
      </c>
      <c r="I148" s="253">
        <f t="shared" si="27"/>
        <v>0</v>
      </c>
      <c r="J148" s="158">
        <f t="shared" si="30"/>
        <v>0</v>
      </c>
      <c r="K148" s="158"/>
      <c r="L148" s="334"/>
      <c r="M148" s="158">
        <f t="shared" si="31"/>
        <v>0</v>
      </c>
      <c r="N148" s="334"/>
      <c r="O148" s="158">
        <f t="shared" si="32"/>
        <v>0</v>
      </c>
      <c r="P148" s="158">
        <f t="shared" si="33"/>
        <v>0</v>
      </c>
      <c r="Q148" s="1"/>
    </row>
    <row r="149" spans="2:17">
      <c r="B149" s="9" t="str">
        <f t="shared" si="25"/>
        <v/>
      </c>
      <c r="C149" s="153">
        <f>IF(D93="","-",+C148+1)</f>
        <v>2057</v>
      </c>
      <c r="D149" s="154">
        <f>IF(F148+SUM(E$99:E148)=D$92,F148,D$92-SUM(E$99:E148))</f>
        <v>0</v>
      </c>
      <c r="E149" s="160">
        <f>IF(+J96&lt;F148,J96,D149)</f>
        <v>0</v>
      </c>
      <c r="F149" s="159">
        <f t="shared" si="28"/>
        <v>0</v>
      </c>
      <c r="G149" s="159">
        <f t="shared" si="29"/>
        <v>0</v>
      </c>
      <c r="H149" s="163">
        <f t="shared" si="26"/>
        <v>0</v>
      </c>
      <c r="I149" s="253">
        <f t="shared" si="27"/>
        <v>0</v>
      </c>
      <c r="J149" s="158">
        <f t="shared" si="30"/>
        <v>0</v>
      </c>
      <c r="K149" s="158"/>
      <c r="L149" s="334"/>
      <c r="M149" s="158">
        <f t="shared" si="31"/>
        <v>0</v>
      </c>
      <c r="N149" s="334"/>
      <c r="O149" s="158">
        <f t="shared" si="32"/>
        <v>0</v>
      </c>
      <c r="P149" s="158">
        <f t="shared" si="33"/>
        <v>0</v>
      </c>
      <c r="Q149" s="1"/>
    </row>
    <row r="150" spans="2:17">
      <c r="B150" s="9" t="str">
        <f t="shared" si="25"/>
        <v/>
      </c>
      <c r="C150" s="153">
        <f>IF(D93="","-",+C149+1)</f>
        <v>2058</v>
      </c>
      <c r="D150" s="154">
        <f>IF(F149+SUM(E$99:E149)=D$92,F149,D$92-SUM(E$99:E149))</f>
        <v>0</v>
      </c>
      <c r="E150" s="160">
        <f>IF(+J96&lt;F149,J96,D150)</f>
        <v>0</v>
      </c>
      <c r="F150" s="159">
        <f t="shared" si="28"/>
        <v>0</v>
      </c>
      <c r="G150" s="159">
        <f t="shared" si="29"/>
        <v>0</v>
      </c>
      <c r="H150" s="163">
        <f t="shared" si="26"/>
        <v>0</v>
      </c>
      <c r="I150" s="253">
        <f t="shared" si="27"/>
        <v>0</v>
      </c>
      <c r="J150" s="158">
        <f t="shared" si="30"/>
        <v>0</v>
      </c>
      <c r="K150" s="158"/>
      <c r="L150" s="334"/>
      <c r="M150" s="158">
        <f t="shared" si="31"/>
        <v>0</v>
      </c>
      <c r="N150" s="334"/>
      <c r="O150" s="158">
        <f t="shared" si="32"/>
        <v>0</v>
      </c>
      <c r="P150" s="158">
        <f t="shared" si="33"/>
        <v>0</v>
      </c>
      <c r="Q150" s="1"/>
    </row>
    <row r="151" spans="2:17">
      <c r="B151" s="9" t="str">
        <f t="shared" si="25"/>
        <v/>
      </c>
      <c r="C151" s="153">
        <f>IF(D93="","-",+C150+1)</f>
        <v>2059</v>
      </c>
      <c r="D151" s="154">
        <f>IF(F150+SUM(E$99:E150)=D$92,F150,D$92-SUM(E$99:E150))</f>
        <v>0</v>
      </c>
      <c r="E151" s="160">
        <f>IF(+J96&lt;F150,J96,D151)</f>
        <v>0</v>
      </c>
      <c r="F151" s="159">
        <f t="shared" si="28"/>
        <v>0</v>
      </c>
      <c r="G151" s="159">
        <f t="shared" si="29"/>
        <v>0</v>
      </c>
      <c r="H151" s="163">
        <f t="shared" si="26"/>
        <v>0</v>
      </c>
      <c r="I151" s="253">
        <f t="shared" si="27"/>
        <v>0</v>
      </c>
      <c r="J151" s="158">
        <f t="shared" si="30"/>
        <v>0</v>
      </c>
      <c r="K151" s="158"/>
      <c r="L151" s="334"/>
      <c r="M151" s="158">
        <f t="shared" si="31"/>
        <v>0</v>
      </c>
      <c r="N151" s="334"/>
      <c r="O151" s="158">
        <f t="shared" si="32"/>
        <v>0</v>
      </c>
      <c r="P151" s="158">
        <f t="shared" si="33"/>
        <v>0</v>
      </c>
      <c r="Q151" s="1"/>
    </row>
    <row r="152" spans="2:17">
      <c r="B152" s="9" t="str">
        <f t="shared" si="25"/>
        <v/>
      </c>
      <c r="C152" s="153">
        <f>IF(D93="","-",+C151+1)</f>
        <v>2060</v>
      </c>
      <c r="D152" s="154">
        <f>IF(F151+SUM(E$99:E151)=D$92,F151,D$92-SUM(E$99:E151))</f>
        <v>0</v>
      </c>
      <c r="E152" s="160">
        <f>IF(+J96&lt;F151,J96,D152)</f>
        <v>0</v>
      </c>
      <c r="F152" s="159">
        <f t="shared" si="28"/>
        <v>0</v>
      </c>
      <c r="G152" s="159">
        <f t="shared" si="29"/>
        <v>0</v>
      </c>
      <c r="H152" s="163">
        <f t="shared" si="26"/>
        <v>0</v>
      </c>
      <c r="I152" s="253">
        <f t="shared" si="27"/>
        <v>0</v>
      </c>
      <c r="J152" s="158">
        <f t="shared" si="30"/>
        <v>0</v>
      </c>
      <c r="K152" s="158"/>
      <c r="L152" s="334"/>
      <c r="M152" s="158">
        <f t="shared" si="31"/>
        <v>0</v>
      </c>
      <c r="N152" s="334"/>
      <c r="O152" s="158">
        <f t="shared" si="32"/>
        <v>0</v>
      </c>
      <c r="P152" s="158">
        <f t="shared" si="33"/>
        <v>0</v>
      </c>
      <c r="Q152" s="1"/>
    </row>
    <row r="153" spans="2:17">
      <c r="B153" s="9" t="str">
        <f t="shared" si="25"/>
        <v/>
      </c>
      <c r="C153" s="153">
        <f>IF(D93="","-",+C152+1)</f>
        <v>2061</v>
      </c>
      <c r="D153" s="154">
        <f>IF(F152+SUM(E$99:E152)=D$92,F152,D$92-SUM(E$99:E152))</f>
        <v>0</v>
      </c>
      <c r="E153" s="160">
        <f>IF(+J96&lt;F152,J96,D153)</f>
        <v>0</v>
      </c>
      <c r="F153" s="159">
        <f t="shared" si="28"/>
        <v>0</v>
      </c>
      <c r="G153" s="159">
        <f t="shared" si="29"/>
        <v>0</v>
      </c>
      <c r="H153" s="163">
        <f t="shared" si="26"/>
        <v>0</v>
      </c>
      <c r="I153" s="253">
        <f t="shared" si="27"/>
        <v>0</v>
      </c>
      <c r="J153" s="158">
        <f t="shared" si="30"/>
        <v>0</v>
      </c>
      <c r="K153" s="158"/>
      <c r="L153" s="334"/>
      <c r="M153" s="158">
        <f t="shared" si="31"/>
        <v>0</v>
      </c>
      <c r="N153" s="334"/>
      <c r="O153" s="158">
        <f t="shared" si="32"/>
        <v>0</v>
      </c>
      <c r="P153" s="158">
        <f t="shared" si="33"/>
        <v>0</v>
      </c>
      <c r="Q153" s="1"/>
    </row>
    <row r="154" spans="2:17" ht="13.5" thickBot="1">
      <c r="B154" s="9" t="str">
        <f t="shared" si="25"/>
        <v/>
      </c>
      <c r="C154" s="164">
        <f>IF(D93="","-",+C153+1)</f>
        <v>2062</v>
      </c>
      <c r="D154" s="215">
        <f>IF(F153+SUM(E$99:E153)=D$92,F153,D$92-SUM(E$99:E153))</f>
        <v>0</v>
      </c>
      <c r="E154" s="166">
        <f>IF(+J96&lt;F153,J96,D154)</f>
        <v>0</v>
      </c>
      <c r="F154" s="165">
        <f t="shared" si="28"/>
        <v>0</v>
      </c>
      <c r="G154" s="165">
        <f t="shared" si="29"/>
        <v>0</v>
      </c>
      <c r="H154" s="167">
        <f t="shared" si="26"/>
        <v>0</v>
      </c>
      <c r="I154" s="254">
        <f t="shared" si="27"/>
        <v>0</v>
      </c>
      <c r="J154" s="169">
        <f t="shared" si="30"/>
        <v>0</v>
      </c>
      <c r="K154" s="158"/>
      <c r="L154" s="335"/>
      <c r="M154" s="169">
        <f t="shared" si="31"/>
        <v>0</v>
      </c>
      <c r="N154" s="335"/>
      <c r="O154" s="169">
        <f t="shared" si="32"/>
        <v>0</v>
      </c>
      <c r="P154" s="169">
        <f t="shared" si="33"/>
        <v>0</v>
      </c>
      <c r="Q154" s="1"/>
    </row>
    <row r="155" spans="2:17">
      <c r="C155" s="154" t="s">
        <v>73</v>
      </c>
      <c r="D155" s="111"/>
      <c r="E155" s="111">
        <f>SUM(E99:E154)</f>
        <v>0</v>
      </c>
      <c r="F155" s="111"/>
      <c r="G155" s="111"/>
      <c r="H155" s="111">
        <f>SUM(H99:H154)</f>
        <v>0</v>
      </c>
      <c r="I155" s="111">
        <f>SUM(I99:I154)</f>
        <v>0</v>
      </c>
      <c r="J155" s="111">
        <f>SUM(J99:J154)</f>
        <v>0</v>
      </c>
      <c r="K155" s="111"/>
      <c r="L155" s="111"/>
      <c r="M155" s="111"/>
      <c r="N155" s="111"/>
      <c r="O155" s="111"/>
      <c r="P155" s="1"/>
      <c r="Q155" s="1"/>
    </row>
    <row r="156" spans="2:17">
      <c r="D156" s="2"/>
      <c r="E156" s="1"/>
      <c r="F156" s="1"/>
      <c r="G156" s="1"/>
      <c r="H156" s="1"/>
      <c r="I156" s="3"/>
      <c r="J156" s="3"/>
      <c r="K156" s="111"/>
      <c r="L156" s="3"/>
      <c r="M156" s="3"/>
      <c r="N156" s="3"/>
      <c r="O156" s="3"/>
      <c r="P156" s="1"/>
      <c r="Q156" s="1"/>
    </row>
    <row r="157" spans="2:17">
      <c r="C157" s="216" t="s">
        <v>87</v>
      </c>
      <c r="D157" s="2"/>
      <c r="E157" s="1"/>
      <c r="F157" s="1"/>
      <c r="G157" s="1"/>
      <c r="H157" s="1"/>
      <c r="I157" s="3"/>
      <c r="J157" s="3"/>
      <c r="K157" s="111"/>
      <c r="L157" s="3"/>
      <c r="M157" s="3"/>
      <c r="N157" s="3"/>
      <c r="O157" s="3"/>
      <c r="P157" s="1"/>
      <c r="Q157" s="1"/>
    </row>
    <row r="158" spans="2:17">
      <c r="D158" s="2"/>
      <c r="E158" s="1"/>
      <c r="F158" s="1"/>
      <c r="G158" s="1"/>
      <c r="H158" s="1"/>
      <c r="I158" s="3"/>
      <c r="J158" s="3"/>
      <c r="K158" s="111"/>
      <c r="L158" s="3"/>
      <c r="M158" s="3"/>
      <c r="N158" s="3"/>
      <c r="O158" s="3"/>
      <c r="P158" s="1"/>
      <c r="Q158" s="1"/>
    </row>
    <row r="159" spans="2:17">
      <c r="C159" s="170" t="s">
        <v>92</v>
      </c>
      <c r="D159" s="154"/>
      <c r="E159" s="154"/>
      <c r="F159" s="154"/>
      <c r="G159" s="154"/>
      <c r="H159" s="111"/>
      <c r="I159" s="111"/>
      <c r="J159" s="171"/>
      <c r="K159" s="171"/>
      <c r="L159" s="171"/>
      <c r="M159" s="171"/>
      <c r="N159" s="171"/>
      <c r="O159" s="171"/>
      <c r="P159" s="1"/>
      <c r="Q159" s="1"/>
    </row>
    <row r="160" spans="2:17">
      <c r="C160" s="217" t="s">
        <v>74</v>
      </c>
      <c r="D160" s="154"/>
      <c r="E160" s="154"/>
      <c r="F160" s="154"/>
      <c r="G160" s="154"/>
      <c r="H160" s="111"/>
      <c r="I160" s="111"/>
      <c r="J160" s="171"/>
      <c r="K160" s="171"/>
      <c r="L160" s="171"/>
      <c r="M160" s="171"/>
      <c r="N160" s="171"/>
      <c r="O160" s="171"/>
      <c r="P160" s="1"/>
      <c r="Q160" s="1"/>
    </row>
    <row r="161" spans="3:17">
      <c r="C161" s="217" t="s">
        <v>75</v>
      </c>
      <c r="D161" s="154"/>
      <c r="E161" s="154"/>
      <c r="F161" s="154"/>
      <c r="G161" s="154"/>
      <c r="H161" s="111"/>
      <c r="I161" s="111"/>
      <c r="J161" s="171"/>
      <c r="K161" s="171"/>
      <c r="L161" s="171"/>
      <c r="M161" s="171"/>
      <c r="N161" s="171"/>
      <c r="O161" s="171"/>
      <c r="P161" s="1"/>
      <c r="Q161" s="1"/>
    </row>
    <row r="162" spans="3:17" ht="18">
      <c r="C162" s="217"/>
      <c r="D162" s="154"/>
      <c r="E162" s="154"/>
      <c r="F162" s="154"/>
      <c r="G162" s="154"/>
      <c r="H162" s="111"/>
      <c r="I162" s="111"/>
      <c r="J162" s="171"/>
      <c r="K162" s="171"/>
      <c r="L162" s="171"/>
      <c r="M162" s="171"/>
      <c r="N162" s="171"/>
      <c r="P162" s="237" t="s">
        <v>126</v>
      </c>
      <c r="Q162" s="1"/>
    </row>
  </sheetData>
  <phoneticPr fontId="0" type="noConversion"/>
  <conditionalFormatting sqref="C17:C72">
    <cfRule type="cellIs" dxfId="143" priority="1" stopIfTrue="1" operator="equal">
      <formula>$I$10</formula>
    </cfRule>
  </conditionalFormatting>
  <conditionalFormatting sqref="C99:C154">
    <cfRule type="cellIs" dxfId="142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61"/>
  <dimension ref="A1:Q162"/>
  <sheetViews>
    <sheetView view="pageBreakPreview" zoomScale="75" zoomScaleNormal="100" zoomScaleSheetLayoutView="75" workbookViewId="0">
      <selection activeCell="C19" sqref="C19"/>
    </sheetView>
  </sheetViews>
  <sheetFormatPr defaultRowHeight="12.75" customHeight="1"/>
  <cols>
    <col min="1" max="1" width="4.7109375" customWidth="1"/>
    <col min="2" max="2" width="6.7109375" customWidth="1"/>
    <col min="3" max="3" width="23.28515625" customWidth="1"/>
    <col min="4" max="8" width="17.7109375" customWidth="1"/>
    <col min="9" max="9" width="20.42578125" customWidth="1"/>
    <col min="10" max="10" width="17.5703125" customWidth="1"/>
    <col min="11" max="11" width="17.7109375" customWidth="1"/>
    <col min="12" max="12" width="16.140625" customWidth="1"/>
    <col min="13" max="13" width="17.7109375" customWidth="1"/>
    <col min="14" max="14" width="16.140625" customWidth="1"/>
    <col min="15" max="15" width="16.85546875" customWidth="1"/>
    <col min="16" max="16" width="24.42578125" customWidth="1"/>
    <col min="17" max="17" width="4.7109375" customWidth="1"/>
    <col min="23" max="23" width="9.140625" customWidth="1"/>
  </cols>
  <sheetData>
    <row r="1" spans="1:17" ht="20.25">
      <c r="A1" s="243" t="s">
        <v>128</v>
      </c>
      <c r="B1" s="1"/>
      <c r="C1" s="21"/>
      <c r="D1" s="2"/>
      <c r="E1" s="1"/>
      <c r="F1" s="99"/>
      <c r="G1" s="1"/>
      <c r="H1" s="3"/>
      <c r="J1" s="7"/>
      <c r="K1" s="109"/>
      <c r="L1" s="109"/>
      <c r="M1" s="109"/>
      <c r="P1" s="249" t="str">
        <f ca="1">"SWEPCO Project "&amp;RIGHT(MID(CELL("filename",$A$1),FIND("]",CELL("filename",$A$1))+1,256),2)&amp;" of "&amp;COUNT('S.001:S.xyz - blank'!$P$3)-1</f>
        <v>SWEPCO Project 12 of 73</v>
      </c>
      <c r="Q1" s="108"/>
    </row>
    <row r="2" spans="1:17" ht="18">
      <c r="B2" s="1"/>
      <c r="C2" s="1"/>
      <c r="D2" s="2"/>
      <c r="E2" s="1"/>
      <c r="F2" s="1"/>
      <c r="G2" s="1"/>
      <c r="H2" s="3"/>
      <c r="I2" s="1"/>
      <c r="J2" s="4"/>
      <c r="K2" s="1"/>
      <c r="L2" s="1"/>
      <c r="M2" s="1"/>
      <c r="N2" s="1"/>
      <c r="P2" s="237" t="s">
        <v>124</v>
      </c>
    </row>
    <row r="3" spans="1:17" ht="18.75">
      <c r="B3" s="5" t="s">
        <v>40</v>
      </c>
      <c r="C3" s="68" t="s">
        <v>41</v>
      </c>
      <c r="D3" s="2"/>
      <c r="E3" s="1"/>
      <c r="F3" s="1"/>
      <c r="G3" s="1"/>
      <c r="H3" s="3"/>
      <c r="I3" s="3"/>
      <c r="J3" s="111"/>
      <c r="K3" s="3"/>
      <c r="L3" s="3"/>
      <c r="M3" s="3"/>
      <c r="N3" s="3"/>
      <c r="O3" s="1" t="str">
        <f>RIGHT(N3,3)</f>
        <v/>
      </c>
      <c r="P3" s="239">
        <v>1</v>
      </c>
    </row>
    <row r="4" spans="1:17" ht="15.75" thickBot="1">
      <c r="C4" s="67"/>
      <c r="D4" s="2"/>
      <c r="E4" s="1"/>
      <c r="F4" s="1"/>
      <c r="G4" s="1"/>
      <c r="H4" s="3"/>
      <c r="I4" s="3"/>
      <c r="J4" s="111"/>
      <c r="K4" s="3"/>
      <c r="L4" s="3"/>
      <c r="M4" s="3"/>
      <c r="N4" s="3"/>
      <c r="O4" s="1"/>
      <c r="P4" s="1"/>
    </row>
    <row r="5" spans="1:17" ht="15">
      <c r="C5" s="112" t="s">
        <v>42</v>
      </c>
      <c r="D5" s="2"/>
      <c r="E5" s="1"/>
      <c r="F5" s="1"/>
      <c r="G5" s="113"/>
      <c r="H5" s="1" t="s">
        <v>43</v>
      </c>
      <c r="I5" s="1"/>
      <c r="J5" s="4"/>
      <c r="K5" s="268" t="s">
        <v>152</v>
      </c>
      <c r="L5" s="114"/>
      <c r="M5" s="115"/>
      <c r="N5" s="116">
        <f>VLOOKUP(I10,C17:I72,5)</f>
        <v>18066.687797614366</v>
      </c>
      <c r="P5" s="1"/>
    </row>
    <row r="6" spans="1:17" ht="15.75">
      <c r="C6" s="8"/>
      <c r="D6" s="2"/>
      <c r="E6" s="1"/>
      <c r="F6" s="1"/>
      <c r="G6" s="1"/>
      <c r="H6" s="117"/>
      <c r="I6" s="117"/>
      <c r="J6" s="118"/>
      <c r="K6" s="269" t="s">
        <v>153</v>
      </c>
      <c r="L6" s="119"/>
      <c r="M6" s="4"/>
      <c r="N6" s="120">
        <f>VLOOKUP(I10,C17:I72,6)</f>
        <v>18066.687797614366</v>
      </c>
      <c r="O6" s="1"/>
      <c r="P6" s="1"/>
    </row>
    <row r="7" spans="1:17" ht="13.5" thickBot="1">
      <c r="C7" s="121" t="s">
        <v>44</v>
      </c>
      <c r="D7" s="273" t="s">
        <v>159</v>
      </c>
      <c r="E7" s="1"/>
      <c r="F7" s="1"/>
      <c r="G7" s="1"/>
      <c r="H7" s="3"/>
      <c r="I7" s="3"/>
      <c r="J7" s="111"/>
      <c r="K7" s="122" t="s">
        <v>45</v>
      </c>
      <c r="L7" s="123"/>
      <c r="M7" s="123"/>
      <c r="N7" s="124">
        <f>+N6-N5</f>
        <v>0</v>
      </c>
      <c r="O7" s="1"/>
      <c r="P7" s="1"/>
    </row>
    <row r="8" spans="1:17" ht="13.5" thickBot="1">
      <c r="C8" s="125"/>
      <c r="D8" s="250" t="str">
        <f>IF(D10&lt;100000,"DOES NOT MEET SPP $100,000 MINIMUM INVESTMENT FOR REGIONAL BPU SHARING.","")</f>
        <v/>
      </c>
      <c r="E8" s="126"/>
      <c r="F8" s="126"/>
      <c r="G8" s="126"/>
      <c r="H8" s="126"/>
      <c r="I8" s="126"/>
      <c r="J8" s="101"/>
      <c r="K8" s="126"/>
      <c r="L8" s="126"/>
      <c r="M8" s="126"/>
      <c r="N8" s="126"/>
      <c r="O8" s="101"/>
      <c r="P8" s="21"/>
    </row>
    <row r="9" spans="1:17" ht="13.5" thickBot="1">
      <c r="A9" s="103"/>
      <c r="C9" s="127" t="s">
        <v>46</v>
      </c>
      <c r="D9" s="225" t="s">
        <v>144</v>
      </c>
      <c r="E9" s="401" t="s">
        <v>406</v>
      </c>
      <c r="F9" s="128"/>
      <c r="G9" s="128"/>
      <c r="H9" s="128"/>
      <c r="I9" s="129"/>
      <c r="J9" s="130"/>
      <c r="O9" s="131"/>
      <c r="P9" s="4"/>
    </row>
    <row r="10" spans="1:17">
      <c r="C10" s="132" t="s">
        <v>47</v>
      </c>
      <c r="D10" s="133">
        <v>185247</v>
      </c>
      <c r="E10" s="61" t="s">
        <v>459</v>
      </c>
      <c r="F10" s="131"/>
      <c r="G10" s="134"/>
      <c r="H10" s="134"/>
      <c r="I10" s="135">
        <f>+SWE.WS.F.BPU.ATRR.Projected!K17</f>
        <v>2019</v>
      </c>
      <c r="J10" s="130"/>
      <c r="K10" s="111" t="s">
        <v>48</v>
      </c>
      <c r="O10" s="4"/>
      <c r="P10" s="4"/>
    </row>
    <row r="11" spans="1:17">
      <c r="C11" s="136" t="s">
        <v>49</v>
      </c>
      <c r="D11" s="137">
        <v>2007</v>
      </c>
      <c r="E11" s="136" t="s">
        <v>50</v>
      </c>
      <c r="F11" s="134"/>
      <c r="G11" s="7"/>
      <c r="H11" s="7"/>
      <c r="I11" s="138">
        <v>0</v>
      </c>
      <c r="J11" s="139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4"/>
      <c r="P11" s="4"/>
    </row>
    <row r="12" spans="1:17">
      <c r="C12" s="136" t="s">
        <v>51</v>
      </c>
      <c r="D12" s="133">
        <v>7</v>
      </c>
      <c r="E12" s="136" t="s">
        <v>52</v>
      </c>
      <c r="F12" s="134"/>
      <c r="G12" s="7"/>
      <c r="H12" s="7"/>
      <c r="I12" s="140">
        <f>SWE.WS.F.BPU.ATRR.Projected!$F$76</f>
        <v>9.9555672459071778E-2</v>
      </c>
      <c r="J12" s="141"/>
      <c r="K12" t="s">
        <v>53</v>
      </c>
      <c r="O12" s="4"/>
      <c r="P12" s="4"/>
    </row>
    <row r="13" spans="1:17">
      <c r="C13" s="136" t="s">
        <v>54</v>
      </c>
      <c r="D13" s="138">
        <f>+SWE.WS.F.BPU.ATRR.Projected!F$87</f>
        <v>43</v>
      </c>
      <c r="E13" s="136" t="s">
        <v>55</v>
      </c>
      <c r="F13" s="134"/>
      <c r="G13" s="7"/>
      <c r="H13" s="7"/>
      <c r="I13" s="140">
        <f>IF(G5="",I12,SWE.WS.F.BPU.ATRR.Projected!$F$75)</f>
        <v>9.9555672459071778E-2</v>
      </c>
      <c r="J13" s="141"/>
      <c r="K13" s="111" t="s">
        <v>56</v>
      </c>
      <c r="L13" s="58"/>
      <c r="M13" s="58"/>
      <c r="N13" s="58"/>
      <c r="O13" s="4"/>
      <c r="P13" s="4"/>
    </row>
    <row r="14" spans="1:17" ht="13.5" thickBot="1">
      <c r="C14" s="136" t="s">
        <v>57</v>
      </c>
      <c r="D14" s="137" t="s">
        <v>58</v>
      </c>
      <c r="E14" s="4" t="s">
        <v>59</v>
      </c>
      <c r="F14" s="134"/>
      <c r="G14" s="7"/>
      <c r="H14" s="7"/>
      <c r="I14" s="142">
        <f>IF(D10=0,0,D10/D13)</f>
        <v>4308.0697674418607</v>
      </c>
      <c r="J14" s="111"/>
      <c r="K14" s="111"/>
      <c r="L14" s="111"/>
      <c r="M14" s="111"/>
      <c r="N14" s="111"/>
      <c r="O14" s="4"/>
      <c r="P14" s="4"/>
    </row>
    <row r="15" spans="1:17" ht="38.25">
      <c r="C15" s="143" t="s">
        <v>47</v>
      </c>
      <c r="D15" s="144" t="s">
        <v>60</v>
      </c>
      <c r="E15" s="144" t="s">
        <v>61</v>
      </c>
      <c r="F15" s="144" t="s">
        <v>62</v>
      </c>
      <c r="G15" s="434" t="s">
        <v>378</v>
      </c>
      <c r="H15" s="435" t="s">
        <v>379</v>
      </c>
      <c r="I15" s="351" t="s">
        <v>249</v>
      </c>
      <c r="J15" s="145"/>
      <c r="K15" s="271" t="s">
        <v>219</v>
      </c>
      <c r="L15" s="146" t="s">
        <v>64</v>
      </c>
      <c r="M15" s="271" t="s">
        <v>219</v>
      </c>
      <c r="N15" s="146" t="s">
        <v>64</v>
      </c>
      <c r="O15" s="146" t="s">
        <v>65</v>
      </c>
      <c r="P15" s="4"/>
    </row>
    <row r="16" spans="1:17" ht="13.5" thickBot="1">
      <c r="C16" s="147" t="s">
        <v>66</v>
      </c>
      <c r="D16" s="147" t="s">
        <v>67</v>
      </c>
      <c r="E16" s="147" t="s">
        <v>68</v>
      </c>
      <c r="F16" s="147" t="s">
        <v>67</v>
      </c>
      <c r="G16" s="408" t="s">
        <v>69</v>
      </c>
      <c r="H16" s="148" t="s">
        <v>70</v>
      </c>
      <c r="I16" s="149" t="s">
        <v>89</v>
      </c>
      <c r="J16" s="150" t="s">
        <v>71</v>
      </c>
      <c r="K16" s="151" t="s">
        <v>72</v>
      </c>
      <c r="L16" s="151" t="s">
        <v>72</v>
      </c>
      <c r="M16" s="151" t="s">
        <v>90</v>
      </c>
      <c r="N16" s="152" t="s">
        <v>90</v>
      </c>
      <c r="O16" s="151" t="s">
        <v>90</v>
      </c>
      <c r="P16" s="4"/>
    </row>
    <row r="17" spans="2:16">
      <c r="C17" s="153">
        <f>IF(D11= "","-",D11)</f>
        <v>2007</v>
      </c>
      <c r="D17" s="357">
        <v>77090</v>
      </c>
      <c r="E17" s="358">
        <v>868</v>
      </c>
      <c r="F17" s="357">
        <v>75730</v>
      </c>
      <c r="G17" s="358">
        <v>0</v>
      </c>
      <c r="H17" s="359">
        <v>0</v>
      </c>
      <c r="I17" s="398">
        <f t="shared" ref="I17:I48" si="0">H17-G17</f>
        <v>0</v>
      </c>
      <c r="J17" s="156"/>
      <c r="K17" s="256">
        <v>0</v>
      </c>
      <c r="L17" s="172">
        <f t="shared" ref="L17:L48" si="1">IF(K17&lt;&gt;0,+G17-K17,0)</f>
        <v>0</v>
      </c>
      <c r="M17" s="256">
        <v>0</v>
      </c>
      <c r="N17" s="172">
        <f t="shared" ref="N17:N48" si="2">IF(M17&lt;&gt;0,+H17-M17,0)</f>
        <v>0</v>
      </c>
      <c r="O17" s="257">
        <f t="shared" ref="O17:O48" si="3">+N17-L17</f>
        <v>0</v>
      </c>
      <c r="P17" s="4"/>
    </row>
    <row r="18" spans="2:16">
      <c r="B18" s="9" t="str">
        <f>IF(D18=F17,"","IU")</f>
        <v/>
      </c>
      <c r="C18" s="153">
        <f>IF(D11="","-",+C17+1)</f>
        <v>2008</v>
      </c>
      <c r="D18" s="361">
        <v>75730</v>
      </c>
      <c r="E18" s="364">
        <v>2010</v>
      </c>
      <c r="F18" s="366">
        <v>73720</v>
      </c>
      <c r="G18" s="360">
        <v>0</v>
      </c>
      <c r="H18" s="359">
        <v>0</v>
      </c>
      <c r="I18" s="398">
        <f t="shared" si="0"/>
        <v>0</v>
      </c>
      <c r="J18" s="156"/>
      <c r="K18" s="258">
        <v>0</v>
      </c>
      <c r="L18" s="158">
        <f t="shared" si="1"/>
        <v>0</v>
      </c>
      <c r="M18" s="258">
        <v>0</v>
      </c>
      <c r="N18" s="158">
        <f t="shared" si="2"/>
        <v>0</v>
      </c>
      <c r="O18" s="158">
        <f t="shared" si="3"/>
        <v>0</v>
      </c>
      <c r="P18" s="4"/>
    </row>
    <row r="19" spans="2:16">
      <c r="B19" s="9" t="str">
        <f>IF(D19=F18,"","IU")</f>
        <v>IU</v>
      </c>
      <c r="C19" s="153">
        <f>IF(D11="","-",+C18+1)</f>
        <v>2009</v>
      </c>
      <c r="D19" s="361">
        <v>119297</v>
      </c>
      <c r="E19" s="360">
        <v>3353</v>
      </c>
      <c r="F19" s="361">
        <v>115944</v>
      </c>
      <c r="G19" s="360">
        <v>21123</v>
      </c>
      <c r="H19" s="359">
        <v>21123</v>
      </c>
      <c r="I19" s="398">
        <f t="shared" si="0"/>
        <v>0</v>
      </c>
      <c r="J19" s="156"/>
      <c r="K19" s="258">
        <v>21123</v>
      </c>
      <c r="L19" s="158">
        <f t="shared" si="1"/>
        <v>0</v>
      </c>
      <c r="M19" s="258">
        <v>21123</v>
      </c>
      <c r="N19" s="158">
        <f t="shared" si="2"/>
        <v>0</v>
      </c>
      <c r="O19" s="158">
        <f t="shared" si="3"/>
        <v>0</v>
      </c>
      <c r="P19" s="4"/>
    </row>
    <row r="20" spans="2:16">
      <c r="B20" s="9"/>
      <c r="C20" s="153">
        <f>IF(D11="","-",+C19+1)</f>
        <v>2010</v>
      </c>
      <c r="D20" s="361">
        <v>117816</v>
      </c>
      <c r="E20" s="360">
        <v>3264</v>
      </c>
      <c r="F20" s="361">
        <v>114552</v>
      </c>
      <c r="G20" s="360">
        <v>19733</v>
      </c>
      <c r="H20" s="359">
        <v>19733</v>
      </c>
      <c r="I20" s="368">
        <v>0</v>
      </c>
      <c r="J20" s="156"/>
      <c r="K20" s="258">
        <f t="shared" ref="K20:K25" si="4">G20</f>
        <v>19733</v>
      </c>
      <c r="L20" s="257">
        <f t="shared" si="1"/>
        <v>0</v>
      </c>
      <c r="M20" s="258">
        <f t="shared" ref="M20:M25" si="5">H20</f>
        <v>19733</v>
      </c>
      <c r="N20" s="158">
        <f t="shared" si="2"/>
        <v>0</v>
      </c>
      <c r="O20" s="158">
        <f t="shared" si="3"/>
        <v>0</v>
      </c>
      <c r="P20" s="4"/>
    </row>
    <row r="21" spans="2:16">
      <c r="B21" s="9" t="str">
        <f t="shared" ref="B21:B72" si="6">IF(D21=F20,"","IU")</f>
        <v>IU</v>
      </c>
      <c r="C21" s="153">
        <f>IF(D12="","-",+C20+1)</f>
        <v>2011</v>
      </c>
      <c r="D21" s="361">
        <v>175752</v>
      </c>
      <c r="E21" s="360">
        <v>4518.2195121951218</v>
      </c>
      <c r="F21" s="361">
        <v>171233.78048780488</v>
      </c>
      <c r="G21" s="360">
        <v>31263.597728424509</v>
      </c>
      <c r="H21" s="359">
        <v>31263.597728424509</v>
      </c>
      <c r="I21" s="368">
        <v>0</v>
      </c>
      <c r="J21" s="156"/>
      <c r="K21" s="258">
        <f t="shared" si="4"/>
        <v>31263.597728424509</v>
      </c>
      <c r="L21" s="257">
        <f t="shared" si="1"/>
        <v>0</v>
      </c>
      <c r="M21" s="258">
        <f t="shared" si="5"/>
        <v>31263.597728424509</v>
      </c>
      <c r="N21" s="158">
        <f t="shared" si="2"/>
        <v>0</v>
      </c>
      <c r="O21" s="158">
        <f t="shared" si="3"/>
        <v>0</v>
      </c>
      <c r="P21" s="4"/>
    </row>
    <row r="22" spans="2:16">
      <c r="B22" s="9" t="str">
        <f t="shared" si="6"/>
        <v/>
      </c>
      <c r="C22" s="153">
        <f>IF(D11="","-",+C21+1)</f>
        <v>2012</v>
      </c>
      <c r="D22" s="361">
        <v>171233.78048780488</v>
      </c>
      <c r="E22" s="377">
        <v>4410.6428571428569</v>
      </c>
      <c r="F22" s="361">
        <v>166823.13763066201</v>
      </c>
      <c r="G22" s="360">
        <v>29220.603252055036</v>
      </c>
      <c r="H22" s="359">
        <v>29220.603252055036</v>
      </c>
      <c r="I22" s="368">
        <v>0</v>
      </c>
      <c r="J22" s="156"/>
      <c r="K22" s="258">
        <f t="shared" si="4"/>
        <v>29220.603252055036</v>
      </c>
      <c r="L22" s="257">
        <f t="shared" si="1"/>
        <v>0</v>
      </c>
      <c r="M22" s="258">
        <f t="shared" si="5"/>
        <v>29220.603252055036</v>
      </c>
      <c r="N22" s="158">
        <f t="shared" si="2"/>
        <v>0</v>
      </c>
      <c r="O22" s="158">
        <f t="shared" si="3"/>
        <v>0</v>
      </c>
      <c r="P22" s="4"/>
    </row>
    <row r="23" spans="2:16">
      <c r="B23" s="9" t="str">
        <f t="shared" si="6"/>
        <v/>
      </c>
      <c r="C23" s="153">
        <f>IF(D11="","-",+C22+1)</f>
        <v>2013</v>
      </c>
      <c r="D23" s="396">
        <v>166823.13763066201</v>
      </c>
      <c r="E23" s="397">
        <v>4410.6428571428569</v>
      </c>
      <c r="F23" s="396">
        <v>162412.49477351914</v>
      </c>
      <c r="G23" s="397">
        <v>27146.294093139273</v>
      </c>
      <c r="H23" s="395">
        <v>27146.294093139273</v>
      </c>
      <c r="I23" s="398">
        <v>0</v>
      </c>
      <c r="J23" s="156"/>
      <c r="K23" s="258">
        <f t="shared" si="4"/>
        <v>27146.294093139273</v>
      </c>
      <c r="L23" s="257">
        <f t="shared" ref="L23:L28" si="7">IF(K23&lt;&gt;0,+G23-K23,0)</f>
        <v>0</v>
      </c>
      <c r="M23" s="258">
        <f t="shared" si="5"/>
        <v>27146.294093139273</v>
      </c>
      <c r="N23" s="158">
        <f t="shared" ref="N23:N28" si="8">IF(M23&lt;&gt;0,+H23-M23,0)</f>
        <v>0</v>
      </c>
      <c r="O23" s="158">
        <f t="shared" ref="O23:O28" si="9">+N23-L23</f>
        <v>0</v>
      </c>
      <c r="P23" s="4"/>
    </row>
    <row r="24" spans="2:16">
      <c r="B24" s="9" t="str">
        <f t="shared" si="6"/>
        <v/>
      </c>
      <c r="C24" s="153">
        <f>IF(D11="","-",+C23+1)</f>
        <v>2014</v>
      </c>
      <c r="D24" s="396">
        <v>162412.49477351914</v>
      </c>
      <c r="E24" s="397">
        <v>4410.6428571428569</v>
      </c>
      <c r="F24" s="396">
        <v>158001.85191637627</v>
      </c>
      <c r="G24" s="397">
        <v>25726.753003621568</v>
      </c>
      <c r="H24" s="395">
        <v>25726.753003621568</v>
      </c>
      <c r="I24" s="398">
        <v>0</v>
      </c>
      <c r="J24" s="156"/>
      <c r="K24" s="258">
        <f t="shared" si="4"/>
        <v>25726.753003621568</v>
      </c>
      <c r="L24" s="257">
        <f t="shared" si="7"/>
        <v>0</v>
      </c>
      <c r="M24" s="258">
        <f t="shared" si="5"/>
        <v>25726.753003621568</v>
      </c>
      <c r="N24" s="158">
        <f t="shared" si="8"/>
        <v>0</v>
      </c>
      <c r="O24" s="158">
        <f t="shared" si="9"/>
        <v>0</v>
      </c>
      <c r="P24" s="4"/>
    </row>
    <row r="25" spans="2:16">
      <c r="B25" s="9" t="str">
        <f t="shared" si="6"/>
        <v/>
      </c>
      <c r="C25" s="153">
        <f>IF(D11="","-",+C24+1)</f>
        <v>2015</v>
      </c>
      <c r="D25" s="396">
        <v>158001.85191637627</v>
      </c>
      <c r="E25" s="397">
        <v>4410.6428571428569</v>
      </c>
      <c r="F25" s="396">
        <v>153591.2090592334</v>
      </c>
      <c r="G25" s="397">
        <v>24639.342477815902</v>
      </c>
      <c r="H25" s="395">
        <v>24639.342477815902</v>
      </c>
      <c r="I25" s="156">
        <v>0</v>
      </c>
      <c r="J25" s="156"/>
      <c r="K25" s="258">
        <f t="shared" si="4"/>
        <v>24639.342477815902</v>
      </c>
      <c r="L25" s="257">
        <f t="shared" si="7"/>
        <v>0</v>
      </c>
      <c r="M25" s="258">
        <f t="shared" si="5"/>
        <v>24639.342477815902</v>
      </c>
      <c r="N25" s="158">
        <f t="shared" si="8"/>
        <v>0</v>
      </c>
      <c r="O25" s="158">
        <f t="shared" si="9"/>
        <v>0</v>
      </c>
      <c r="P25" s="4"/>
    </row>
    <row r="26" spans="2:16">
      <c r="B26" s="9" t="str">
        <f t="shared" si="6"/>
        <v/>
      </c>
      <c r="C26" s="153">
        <f>IF(D11="","-",+C25+1)</f>
        <v>2016</v>
      </c>
      <c r="D26" s="396">
        <v>153591.2090592334</v>
      </c>
      <c r="E26" s="397">
        <v>4410.6428571428569</v>
      </c>
      <c r="F26" s="396">
        <v>149180.56620209053</v>
      </c>
      <c r="G26" s="397">
        <v>23816.047182018898</v>
      </c>
      <c r="H26" s="395">
        <v>23816.047182018898</v>
      </c>
      <c r="I26" s="156">
        <f t="shared" si="0"/>
        <v>0</v>
      </c>
      <c r="J26" s="156"/>
      <c r="K26" s="258">
        <f>G26</f>
        <v>23816.047182018898</v>
      </c>
      <c r="L26" s="257">
        <f t="shared" si="7"/>
        <v>0</v>
      </c>
      <c r="M26" s="258">
        <f>H26</f>
        <v>23816.047182018898</v>
      </c>
      <c r="N26" s="158">
        <f t="shared" si="8"/>
        <v>0</v>
      </c>
      <c r="O26" s="158">
        <f t="shared" si="9"/>
        <v>0</v>
      </c>
      <c r="P26" s="4"/>
    </row>
    <row r="27" spans="2:16">
      <c r="B27" s="9" t="str">
        <f t="shared" si="6"/>
        <v/>
      </c>
      <c r="C27" s="153">
        <f>IF(D11="","-",+C26+1)</f>
        <v>2017</v>
      </c>
      <c r="D27" s="396">
        <v>149180.56620209053</v>
      </c>
      <c r="E27" s="397">
        <v>4308.0697674418607</v>
      </c>
      <c r="F27" s="396">
        <v>144872.49643464867</v>
      </c>
      <c r="G27" s="397">
        <v>22523.559241307841</v>
      </c>
      <c r="H27" s="395">
        <v>22523.559241307841</v>
      </c>
      <c r="I27" s="156">
        <v>0</v>
      </c>
      <c r="J27" s="156"/>
      <c r="K27" s="258">
        <f>G27</f>
        <v>22523.559241307841</v>
      </c>
      <c r="L27" s="257">
        <f t="shared" si="7"/>
        <v>0</v>
      </c>
      <c r="M27" s="258">
        <f>H27</f>
        <v>22523.559241307841</v>
      </c>
      <c r="N27" s="158">
        <f t="shared" si="8"/>
        <v>0</v>
      </c>
      <c r="O27" s="158">
        <f t="shared" si="9"/>
        <v>0</v>
      </c>
      <c r="P27" s="4"/>
    </row>
    <row r="28" spans="2:16">
      <c r="B28" s="9" t="str">
        <f t="shared" si="6"/>
        <v/>
      </c>
      <c r="C28" s="153">
        <f>IF(D11="","-",+C27+1)</f>
        <v>2018</v>
      </c>
      <c r="D28" s="396">
        <v>144872.49643464867</v>
      </c>
      <c r="E28" s="397">
        <v>4518.2195121951218</v>
      </c>
      <c r="F28" s="396">
        <v>140354.27692245354</v>
      </c>
      <c r="G28" s="397">
        <v>20474.40562166649</v>
      </c>
      <c r="H28" s="395">
        <v>20474.40562166649</v>
      </c>
      <c r="I28" s="156">
        <f t="shared" si="0"/>
        <v>0</v>
      </c>
      <c r="J28" s="156"/>
      <c r="K28" s="258">
        <f>G28</f>
        <v>20474.40562166649</v>
      </c>
      <c r="L28" s="257">
        <f t="shared" si="7"/>
        <v>0</v>
      </c>
      <c r="M28" s="258">
        <f>H28</f>
        <v>20474.40562166649</v>
      </c>
      <c r="N28" s="158">
        <f t="shared" si="8"/>
        <v>0</v>
      </c>
      <c r="O28" s="158">
        <f t="shared" si="9"/>
        <v>0</v>
      </c>
      <c r="P28" s="4"/>
    </row>
    <row r="29" spans="2:16">
      <c r="B29" s="9" t="str">
        <f t="shared" si="6"/>
        <v/>
      </c>
      <c r="C29" s="153">
        <f>IF(D11="","-",+C28+1)</f>
        <v>2019</v>
      </c>
      <c r="D29" s="159">
        <f>IF(F28+SUM(E$17:E28)=D$10,F28,D$10-SUM(E$17:E28))</f>
        <v>140354.27692245354</v>
      </c>
      <c r="E29" s="160">
        <f>IF(+I14&lt;F28,I14,D29)</f>
        <v>4308.0697674418607</v>
      </c>
      <c r="F29" s="159">
        <f t="shared" ref="F29:F48" si="10">+D29-E29</f>
        <v>136046.20715501168</v>
      </c>
      <c r="G29" s="161">
        <f t="shared" ref="G29:G72" si="11">+I$12*((D29+F29)/2)+E29</f>
        <v>18066.687797614366</v>
      </c>
      <c r="H29" s="142">
        <f t="shared" ref="H29:H72" si="12">+I$13*((D29+F29)/2)+E29</f>
        <v>18066.687797614366</v>
      </c>
      <c r="I29" s="156">
        <f t="shared" si="0"/>
        <v>0</v>
      </c>
      <c r="J29" s="156"/>
      <c r="K29" s="334"/>
      <c r="L29" s="158">
        <f t="shared" si="1"/>
        <v>0</v>
      </c>
      <c r="M29" s="334"/>
      <c r="N29" s="158">
        <f t="shared" si="2"/>
        <v>0</v>
      </c>
      <c r="O29" s="158">
        <f t="shared" si="3"/>
        <v>0</v>
      </c>
      <c r="P29" s="4"/>
    </row>
    <row r="30" spans="2:16">
      <c r="B30" s="9" t="str">
        <f t="shared" si="6"/>
        <v/>
      </c>
      <c r="C30" s="153">
        <f>IF(D11="","-",+C29+1)</f>
        <v>2020</v>
      </c>
      <c r="D30" s="159">
        <f>IF(F29+SUM(E$17:E29)=D$10,F29,D$10-SUM(E$17:E29))</f>
        <v>136046.20715501168</v>
      </c>
      <c r="E30" s="160">
        <f>IF(+I14&lt;F29,I14,D30)</f>
        <v>4308.0697674418607</v>
      </c>
      <c r="F30" s="159">
        <f t="shared" si="10"/>
        <v>131738.13738756982</v>
      </c>
      <c r="G30" s="161">
        <f t="shared" si="11"/>
        <v>17637.795014916093</v>
      </c>
      <c r="H30" s="142">
        <f t="shared" si="12"/>
        <v>17637.795014916093</v>
      </c>
      <c r="I30" s="156">
        <f t="shared" si="0"/>
        <v>0</v>
      </c>
      <c r="J30" s="156"/>
      <c r="K30" s="334"/>
      <c r="L30" s="158">
        <f t="shared" si="1"/>
        <v>0</v>
      </c>
      <c r="M30" s="334"/>
      <c r="N30" s="158">
        <f t="shared" si="2"/>
        <v>0</v>
      </c>
      <c r="O30" s="158">
        <f t="shared" si="3"/>
        <v>0</v>
      </c>
      <c r="P30" s="4"/>
    </row>
    <row r="31" spans="2:16">
      <c r="B31" s="9" t="str">
        <f t="shared" si="6"/>
        <v/>
      </c>
      <c r="C31" s="153">
        <f>IF(D11="","-",+C30+1)</f>
        <v>2021</v>
      </c>
      <c r="D31" s="159">
        <f>IF(F30+SUM(E$17:E30)=D$10,F30,D$10-SUM(E$17:E30))</f>
        <v>131738.13738756982</v>
      </c>
      <c r="E31" s="160">
        <f>IF(+I14&lt;F30,I14,D31)</f>
        <v>4308.0697674418607</v>
      </c>
      <c r="F31" s="159">
        <f t="shared" si="10"/>
        <v>127430.06762012796</v>
      </c>
      <c r="G31" s="161">
        <f t="shared" si="11"/>
        <v>17208.902232217824</v>
      </c>
      <c r="H31" s="142">
        <f t="shared" si="12"/>
        <v>17208.902232217824</v>
      </c>
      <c r="I31" s="156">
        <f t="shared" si="0"/>
        <v>0</v>
      </c>
      <c r="J31" s="156"/>
      <c r="K31" s="334"/>
      <c r="L31" s="158">
        <f t="shared" si="1"/>
        <v>0</v>
      </c>
      <c r="M31" s="334"/>
      <c r="N31" s="158">
        <f t="shared" si="2"/>
        <v>0</v>
      </c>
      <c r="O31" s="158">
        <f t="shared" si="3"/>
        <v>0</v>
      </c>
      <c r="P31" s="4"/>
    </row>
    <row r="32" spans="2:16">
      <c r="B32" s="9" t="str">
        <f t="shared" si="6"/>
        <v/>
      </c>
      <c r="C32" s="153">
        <f>IF(D11="","-",+C31+1)</f>
        <v>2022</v>
      </c>
      <c r="D32" s="159">
        <f>IF(F31+SUM(E$17:E31)=D$10,F31,D$10-SUM(E$17:E31))</f>
        <v>127430.06762012796</v>
      </c>
      <c r="E32" s="160">
        <f>IF(+I14&lt;F31,I14,D32)</f>
        <v>4308.0697674418607</v>
      </c>
      <c r="F32" s="159">
        <f t="shared" si="10"/>
        <v>123121.99785268609</v>
      </c>
      <c r="G32" s="161">
        <f t="shared" si="11"/>
        <v>16780.009449519552</v>
      </c>
      <c r="H32" s="142">
        <f t="shared" si="12"/>
        <v>16780.009449519552</v>
      </c>
      <c r="I32" s="156">
        <f t="shared" si="0"/>
        <v>0</v>
      </c>
      <c r="J32" s="156"/>
      <c r="K32" s="334"/>
      <c r="L32" s="158">
        <f t="shared" si="1"/>
        <v>0</v>
      </c>
      <c r="M32" s="334"/>
      <c r="N32" s="158">
        <f t="shared" si="2"/>
        <v>0</v>
      </c>
      <c r="O32" s="158">
        <f t="shared" si="3"/>
        <v>0</v>
      </c>
      <c r="P32" s="4"/>
    </row>
    <row r="33" spans="2:16">
      <c r="B33" s="9" t="str">
        <f t="shared" si="6"/>
        <v/>
      </c>
      <c r="C33" s="153">
        <f>IF(D11="","-",+C32+1)</f>
        <v>2023</v>
      </c>
      <c r="D33" s="159">
        <f>IF(F32+SUM(E$17:E32)=D$10,F32,D$10-SUM(E$17:E32))</f>
        <v>123121.99785268609</v>
      </c>
      <c r="E33" s="160">
        <f>IF(+I14&lt;F32,I14,D33)</f>
        <v>4308.0697674418607</v>
      </c>
      <c r="F33" s="159">
        <f t="shared" si="10"/>
        <v>118813.92808524423</v>
      </c>
      <c r="G33" s="161">
        <f t="shared" si="11"/>
        <v>16351.116666821281</v>
      </c>
      <c r="H33" s="142">
        <f t="shared" si="12"/>
        <v>16351.116666821281</v>
      </c>
      <c r="I33" s="156">
        <f t="shared" si="0"/>
        <v>0</v>
      </c>
      <c r="J33" s="156"/>
      <c r="K33" s="334"/>
      <c r="L33" s="158">
        <f t="shared" si="1"/>
        <v>0</v>
      </c>
      <c r="M33" s="334"/>
      <c r="N33" s="158">
        <f t="shared" si="2"/>
        <v>0</v>
      </c>
      <c r="O33" s="158">
        <f t="shared" si="3"/>
        <v>0</v>
      </c>
      <c r="P33" s="4"/>
    </row>
    <row r="34" spans="2:16">
      <c r="B34" s="9" t="str">
        <f t="shared" si="6"/>
        <v/>
      </c>
      <c r="C34" s="153">
        <f>IF(D11="","-",+C33+1)</f>
        <v>2024</v>
      </c>
      <c r="D34" s="159">
        <f>IF(F33+SUM(E$17:E33)=D$10,F33,D$10-SUM(E$17:E33))</f>
        <v>118813.92808524423</v>
      </c>
      <c r="E34" s="160">
        <f>IF(+I14&lt;F33,I14,D34)</f>
        <v>4308.0697674418607</v>
      </c>
      <c r="F34" s="159">
        <f t="shared" si="10"/>
        <v>114505.85831780237</v>
      </c>
      <c r="G34" s="161">
        <f t="shared" si="11"/>
        <v>15922.223884123008</v>
      </c>
      <c r="H34" s="142">
        <f t="shared" si="12"/>
        <v>15922.223884123008</v>
      </c>
      <c r="I34" s="156">
        <f t="shared" si="0"/>
        <v>0</v>
      </c>
      <c r="J34" s="156"/>
      <c r="K34" s="334"/>
      <c r="L34" s="158">
        <f t="shared" si="1"/>
        <v>0</v>
      </c>
      <c r="M34" s="334"/>
      <c r="N34" s="158">
        <f t="shared" si="2"/>
        <v>0</v>
      </c>
      <c r="O34" s="158">
        <f t="shared" si="3"/>
        <v>0</v>
      </c>
      <c r="P34" s="4"/>
    </row>
    <row r="35" spans="2:16">
      <c r="B35" s="9" t="str">
        <f t="shared" si="6"/>
        <v/>
      </c>
      <c r="C35" s="153">
        <f>IF(D11="","-",+C34+1)</f>
        <v>2025</v>
      </c>
      <c r="D35" s="159">
        <f>IF(F34+SUM(E$17:E34)=D$10,F34,D$10-SUM(E$17:E34))</f>
        <v>114505.85831780237</v>
      </c>
      <c r="E35" s="160">
        <f>IF(+I14&lt;F34,I14,D35)</f>
        <v>4308.0697674418607</v>
      </c>
      <c r="F35" s="159">
        <f t="shared" si="10"/>
        <v>110197.78855036051</v>
      </c>
      <c r="G35" s="161">
        <f t="shared" si="11"/>
        <v>15493.331101424737</v>
      </c>
      <c r="H35" s="142">
        <f t="shared" si="12"/>
        <v>15493.331101424737</v>
      </c>
      <c r="I35" s="156">
        <f t="shared" si="0"/>
        <v>0</v>
      </c>
      <c r="J35" s="156"/>
      <c r="K35" s="334"/>
      <c r="L35" s="158">
        <f t="shared" si="1"/>
        <v>0</v>
      </c>
      <c r="M35" s="334"/>
      <c r="N35" s="158">
        <f t="shared" si="2"/>
        <v>0</v>
      </c>
      <c r="O35" s="158">
        <f t="shared" si="3"/>
        <v>0</v>
      </c>
      <c r="P35" s="4"/>
    </row>
    <row r="36" spans="2:16">
      <c r="B36" s="9" t="str">
        <f t="shared" si="6"/>
        <v/>
      </c>
      <c r="C36" s="153">
        <f>IF(D11="","-",+C35+1)</f>
        <v>2026</v>
      </c>
      <c r="D36" s="159">
        <f>IF(F35+SUM(E$17:E35)=D$10,F35,D$10-SUM(E$17:E35))</f>
        <v>110197.78855036051</v>
      </c>
      <c r="E36" s="160">
        <f>IF(+I14&lt;F35,I14,D36)</f>
        <v>4308.0697674418607</v>
      </c>
      <c r="F36" s="159">
        <f t="shared" si="10"/>
        <v>105889.71878291864</v>
      </c>
      <c r="G36" s="161">
        <f t="shared" si="11"/>
        <v>15064.438318726467</v>
      </c>
      <c r="H36" s="142">
        <f t="shared" si="12"/>
        <v>15064.438318726467</v>
      </c>
      <c r="I36" s="156">
        <f t="shared" si="0"/>
        <v>0</v>
      </c>
      <c r="J36" s="156"/>
      <c r="K36" s="334"/>
      <c r="L36" s="158">
        <f t="shared" si="1"/>
        <v>0</v>
      </c>
      <c r="M36" s="334"/>
      <c r="N36" s="158">
        <f t="shared" si="2"/>
        <v>0</v>
      </c>
      <c r="O36" s="158">
        <f t="shared" si="3"/>
        <v>0</v>
      </c>
      <c r="P36" s="4"/>
    </row>
    <row r="37" spans="2:16">
      <c r="B37" s="9" t="str">
        <f t="shared" si="6"/>
        <v/>
      </c>
      <c r="C37" s="153">
        <f>IF(D11="","-",+C36+1)</f>
        <v>2027</v>
      </c>
      <c r="D37" s="159">
        <f>IF(F36+SUM(E$17:E36)=D$10,F36,D$10-SUM(E$17:E36))</f>
        <v>105889.71878291864</v>
      </c>
      <c r="E37" s="160">
        <f>IF(+I14&lt;F36,I14,D37)</f>
        <v>4308.0697674418607</v>
      </c>
      <c r="F37" s="159">
        <f t="shared" si="10"/>
        <v>101581.64901547678</v>
      </c>
      <c r="G37" s="161">
        <f t="shared" si="11"/>
        <v>14635.545536028194</v>
      </c>
      <c r="H37" s="142">
        <f t="shared" si="12"/>
        <v>14635.545536028194</v>
      </c>
      <c r="I37" s="156">
        <f t="shared" si="0"/>
        <v>0</v>
      </c>
      <c r="J37" s="156"/>
      <c r="K37" s="334"/>
      <c r="L37" s="158">
        <f t="shared" si="1"/>
        <v>0</v>
      </c>
      <c r="M37" s="334"/>
      <c r="N37" s="158">
        <f t="shared" si="2"/>
        <v>0</v>
      </c>
      <c r="O37" s="158">
        <f t="shared" si="3"/>
        <v>0</v>
      </c>
      <c r="P37" s="4"/>
    </row>
    <row r="38" spans="2:16">
      <c r="B38" s="9" t="str">
        <f t="shared" si="6"/>
        <v/>
      </c>
      <c r="C38" s="153">
        <f>IF(D11="","-",+C37+1)</f>
        <v>2028</v>
      </c>
      <c r="D38" s="159">
        <f>IF(F37+SUM(E$17:E37)=D$10,F37,D$10-SUM(E$17:E37))</f>
        <v>101581.64901547678</v>
      </c>
      <c r="E38" s="160">
        <f>IF(+I14&lt;F37,I14,D38)</f>
        <v>4308.0697674418607</v>
      </c>
      <c r="F38" s="159">
        <f t="shared" si="10"/>
        <v>97273.579248034919</v>
      </c>
      <c r="G38" s="161">
        <f t="shared" si="11"/>
        <v>14206.652753329923</v>
      </c>
      <c r="H38" s="142">
        <f t="shared" si="12"/>
        <v>14206.652753329923</v>
      </c>
      <c r="I38" s="156">
        <f t="shared" si="0"/>
        <v>0</v>
      </c>
      <c r="J38" s="156"/>
      <c r="K38" s="334"/>
      <c r="L38" s="158">
        <f t="shared" si="1"/>
        <v>0</v>
      </c>
      <c r="M38" s="334"/>
      <c r="N38" s="158">
        <f t="shared" si="2"/>
        <v>0</v>
      </c>
      <c r="O38" s="158">
        <f t="shared" si="3"/>
        <v>0</v>
      </c>
      <c r="P38" s="4"/>
    </row>
    <row r="39" spans="2:16">
      <c r="B39" s="9" t="str">
        <f t="shared" si="6"/>
        <v/>
      </c>
      <c r="C39" s="153">
        <f>IF(D11="","-",+C38+1)</f>
        <v>2029</v>
      </c>
      <c r="D39" s="159">
        <f>IF(F38+SUM(E$17:E38)=D$10,F38,D$10-SUM(E$17:E38))</f>
        <v>97273.579248034919</v>
      </c>
      <c r="E39" s="160">
        <f>IF(+I14&lt;F38,I14,D39)</f>
        <v>4308.0697674418607</v>
      </c>
      <c r="F39" s="159">
        <f t="shared" si="10"/>
        <v>92965.509480593057</v>
      </c>
      <c r="G39" s="161">
        <f t="shared" si="11"/>
        <v>13777.759970631651</v>
      </c>
      <c r="H39" s="142">
        <f t="shared" si="12"/>
        <v>13777.759970631651</v>
      </c>
      <c r="I39" s="156">
        <f t="shared" si="0"/>
        <v>0</v>
      </c>
      <c r="J39" s="156"/>
      <c r="K39" s="334"/>
      <c r="L39" s="158">
        <f t="shared" si="1"/>
        <v>0</v>
      </c>
      <c r="M39" s="334"/>
      <c r="N39" s="158">
        <f t="shared" si="2"/>
        <v>0</v>
      </c>
      <c r="O39" s="158">
        <f t="shared" si="3"/>
        <v>0</v>
      </c>
      <c r="P39" s="4"/>
    </row>
    <row r="40" spans="2:16">
      <c r="B40" s="9" t="str">
        <f t="shared" si="6"/>
        <v/>
      </c>
      <c r="C40" s="153">
        <f>IF(D11="","-",+C39+1)</f>
        <v>2030</v>
      </c>
      <c r="D40" s="159">
        <f>IF(F39+SUM(E$17:E39)=D$10,F39,D$10-SUM(E$17:E39))</f>
        <v>92965.509480593057</v>
      </c>
      <c r="E40" s="160">
        <f>IF(+I14&lt;F39,I14,D40)</f>
        <v>4308.0697674418607</v>
      </c>
      <c r="F40" s="159">
        <f t="shared" si="10"/>
        <v>88657.439713151194</v>
      </c>
      <c r="G40" s="161">
        <f t="shared" si="11"/>
        <v>13348.86718793338</v>
      </c>
      <c r="H40" s="142">
        <f t="shared" si="12"/>
        <v>13348.86718793338</v>
      </c>
      <c r="I40" s="156">
        <f t="shared" si="0"/>
        <v>0</v>
      </c>
      <c r="J40" s="156"/>
      <c r="K40" s="334"/>
      <c r="L40" s="158">
        <f t="shared" si="1"/>
        <v>0</v>
      </c>
      <c r="M40" s="334"/>
      <c r="N40" s="158">
        <f t="shared" si="2"/>
        <v>0</v>
      </c>
      <c r="O40" s="158">
        <f t="shared" si="3"/>
        <v>0</v>
      </c>
      <c r="P40" s="4"/>
    </row>
    <row r="41" spans="2:16">
      <c r="B41" s="9" t="str">
        <f t="shared" si="6"/>
        <v/>
      </c>
      <c r="C41" s="153">
        <f>IF(D11="","-",+C40+1)</f>
        <v>2031</v>
      </c>
      <c r="D41" s="159">
        <f>IF(F40+SUM(E$17:E40)=D$10,F40,D$10-SUM(E$17:E40))</f>
        <v>88657.439713151194</v>
      </c>
      <c r="E41" s="160">
        <f>IF(+I14&lt;F40,I14,D41)</f>
        <v>4308.0697674418607</v>
      </c>
      <c r="F41" s="159">
        <f t="shared" si="10"/>
        <v>84349.369945709332</v>
      </c>
      <c r="G41" s="161">
        <f t="shared" si="11"/>
        <v>12919.974405235107</v>
      </c>
      <c r="H41" s="142">
        <f t="shared" si="12"/>
        <v>12919.974405235107</v>
      </c>
      <c r="I41" s="156">
        <f t="shared" si="0"/>
        <v>0</v>
      </c>
      <c r="J41" s="156"/>
      <c r="K41" s="334"/>
      <c r="L41" s="158">
        <f t="shared" si="1"/>
        <v>0</v>
      </c>
      <c r="M41" s="334"/>
      <c r="N41" s="158">
        <f t="shared" si="2"/>
        <v>0</v>
      </c>
      <c r="O41" s="158">
        <f t="shared" si="3"/>
        <v>0</v>
      </c>
      <c r="P41" s="4"/>
    </row>
    <row r="42" spans="2:16">
      <c r="B42" s="9" t="str">
        <f t="shared" si="6"/>
        <v/>
      </c>
      <c r="C42" s="153">
        <f>IF(D11="","-",+C41+1)</f>
        <v>2032</v>
      </c>
      <c r="D42" s="159">
        <f>IF(F41+SUM(E$17:E41)=D$10,F41,D$10-SUM(E$17:E41))</f>
        <v>84349.369945709332</v>
      </c>
      <c r="E42" s="160">
        <f>IF(+I14&lt;F41,I14,D42)</f>
        <v>4308.0697674418607</v>
      </c>
      <c r="F42" s="159">
        <f t="shared" si="10"/>
        <v>80041.300178267469</v>
      </c>
      <c r="G42" s="161">
        <f t="shared" si="11"/>
        <v>12491.081622536836</v>
      </c>
      <c r="H42" s="142">
        <f t="shared" si="12"/>
        <v>12491.081622536836</v>
      </c>
      <c r="I42" s="156">
        <f t="shared" si="0"/>
        <v>0</v>
      </c>
      <c r="J42" s="156"/>
      <c r="K42" s="334"/>
      <c r="L42" s="158">
        <f t="shared" si="1"/>
        <v>0</v>
      </c>
      <c r="M42" s="334"/>
      <c r="N42" s="158">
        <f t="shared" si="2"/>
        <v>0</v>
      </c>
      <c r="O42" s="158">
        <f t="shared" si="3"/>
        <v>0</v>
      </c>
      <c r="P42" s="4"/>
    </row>
    <row r="43" spans="2:16">
      <c r="B43" s="9" t="str">
        <f t="shared" si="6"/>
        <v/>
      </c>
      <c r="C43" s="153">
        <f>IF(D11="","-",+C42+1)</f>
        <v>2033</v>
      </c>
      <c r="D43" s="159">
        <f>IF(F42+SUM(E$17:E42)=D$10,F42,D$10-SUM(E$17:E42))</f>
        <v>80041.300178267469</v>
      </c>
      <c r="E43" s="160">
        <f>IF(+I14&lt;F42,I14,D43)</f>
        <v>4308.0697674418607</v>
      </c>
      <c r="F43" s="159">
        <f t="shared" si="10"/>
        <v>75733.230410825607</v>
      </c>
      <c r="G43" s="161">
        <f t="shared" si="11"/>
        <v>12062.188839838564</v>
      </c>
      <c r="H43" s="142">
        <f t="shared" si="12"/>
        <v>12062.188839838564</v>
      </c>
      <c r="I43" s="156">
        <f t="shared" si="0"/>
        <v>0</v>
      </c>
      <c r="J43" s="156"/>
      <c r="K43" s="334"/>
      <c r="L43" s="158">
        <f t="shared" si="1"/>
        <v>0</v>
      </c>
      <c r="M43" s="334"/>
      <c r="N43" s="158">
        <f t="shared" si="2"/>
        <v>0</v>
      </c>
      <c r="O43" s="158">
        <f t="shared" si="3"/>
        <v>0</v>
      </c>
      <c r="P43" s="4"/>
    </row>
    <row r="44" spans="2:16">
      <c r="B44" s="9" t="str">
        <f t="shared" si="6"/>
        <v/>
      </c>
      <c r="C44" s="153">
        <f>IF(D11="","-",+C43+1)</f>
        <v>2034</v>
      </c>
      <c r="D44" s="159">
        <f>IF(F43+SUM(E$17:E43)=D$10,F43,D$10-SUM(E$17:E43))</f>
        <v>75733.230410825607</v>
      </c>
      <c r="E44" s="160">
        <f>IF(+I14&lt;F43,I14,D44)</f>
        <v>4308.0697674418607</v>
      </c>
      <c r="F44" s="159">
        <f t="shared" si="10"/>
        <v>71425.160643383744</v>
      </c>
      <c r="G44" s="161">
        <f t="shared" si="11"/>
        <v>11633.296057140293</v>
      </c>
      <c r="H44" s="142">
        <f t="shared" si="12"/>
        <v>11633.296057140293</v>
      </c>
      <c r="I44" s="156">
        <f t="shared" si="0"/>
        <v>0</v>
      </c>
      <c r="J44" s="156"/>
      <c r="K44" s="334"/>
      <c r="L44" s="158">
        <f t="shared" si="1"/>
        <v>0</v>
      </c>
      <c r="M44" s="334"/>
      <c r="N44" s="158">
        <f t="shared" si="2"/>
        <v>0</v>
      </c>
      <c r="O44" s="158">
        <f t="shared" si="3"/>
        <v>0</v>
      </c>
      <c r="P44" s="4"/>
    </row>
    <row r="45" spans="2:16">
      <c r="B45" s="9" t="str">
        <f t="shared" si="6"/>
        <v/>
      </c>
      <c r="C45" s="153">
        <f>IF(D11="","-",+C44+1)</f>
        <v>2035</v>
      </c>
      <c r="D45" s="159">
        <f>IF(F44+SUM(E$17:E44)=D$10,F44,D$10-SUM(E$17:E44))</f>
        <v>71425.160643383744</v>
      </c>
      <c r="E45" s="160">
        <f>IF(+I14&lt;F44,I14,D45)</f>
        <v>4308.0697674418607</v>
      </c>
      <c r="F45" s="159">
        <f t="shared" si="10"/>
        <v>67117.090875941882</v>
      </c>
      <c r="G45" s="161">
        <f t="shared" si="11"/>
        <v>11204.403274442022</v>
      </c>
      <c r="H45" s="142">
        <f t="shared" si="12"/>
        <v>11204.403274442022</v>
      </c>
      <c r="I45" s="156">
        <f t="shared" si="0"/>
        <v>0</v>
      </c>
      <c r="J45" s="156"/>
      <c r="K45" s="334"/>
      <c r="L45" s="158">
        <f t="shared" si="1"/>
        <v>0</v>
      </c>
      <c r="M45" s="334"/>
      <c r="N45" s="158">
        <f t="shared" si="2"/>
        <v>0</v>
      </c>
      <c r="O45" s="158">
        <f t="shared" si="3"/>
        <v>0</v>
      </c>
      <c r="P45" s="4"/>
    </row>
    <row r="46" spans="2:16">
      <c r="B46" s="9" t="str">
        <f t="shared" si="6"/>
        <v/>
      </c>
      <c r="C46" s="153">
        <f>IF(D11="","-",+C45+1)</f>
        <v>2036</v>
      </c>
      <c r="D46" s="159">
        <f>IF(F45+SUM(E$17:E45)=D$10,F45,D$10-SUM(E$17:E45))</f>
        <v>67117.090875941882</v>
      </c>
      <c r="E46" s="160">
        <f>IF(+I14&lt;F45,I14,D46)</f>
        <v>4308.0697674418607</v>
      </c>
      <c r="F46" s="159">
        <f t="shared" si="10"/>
        <v>62809.021108500019</v>
      </c>
      <c r="G46" s="161">
        <f t="shared" si="11"/>
        <v>10775.510491743749</v>
      </c>
      <c r="H46" s="142">
        <f t="shared" si="12"/>
        <v>10775.510491743749</v>
      </c>
      <c r="I46" s="156">
        <f t="shared" si="0"/>
        <v>0</v>
      </c>
      <c r="J46" s="156"/>
      <c r="K46" s="334"/>
      <c r="L46" s="158">
        <f t="shared" si="1"/>
        <v>0</v>
      </c>
      <c r="M46" s="334"/>
      <c r="N46" s="158">
        <f t="shared" si="2"/>
        <v>0</v>
      </c>
      <c r="O46" s="158">
        <f t="shared" si="3"/>
        <v>0</v>
      </c>
      <c r="P46" s="4"/>
    </row>
    <row r="47" spans="2:16">
      <c r="B47" s="9" t="str">
        <f t="shared" si="6"/>
        <v/>
      </c>
      <c r="C47" s="153">
        <f>IF(D11="","-",+C46+1)</f>
        <v>2037</v>
      </c>
      <c r="D47" s="159">
        <f>IF(F46+SUM(E$17:E46)=D$10,F46,D$10-SUM(E$17:E46))</f>
        <v>62809.021108500019</v>
      </c>
      <c r="E47" s="160">
        <f>IF(+I14&lt;F46,I14,D47)</f>
        <v>4308.0697674418607</v>
      </c>
      <c r="F47" s="159">
        <f t="shared" si="10"/>
        <v>58500.951341058157</v>
      </c>
      <c r="G47" s="161">
        <f t="shared" si="11"/>
        <v>10346.617709045478</v>
      </c>
      <c r="H47" s="142">
        <f t="shared" si="12"/>
        <v>10346.617709045478</v>
      </c>
      <c r="I47" s="156">
        <f t="shared" si="0"/>
        <v>0</v>
      </c>
      <c r="J47" s="156"/>
      <c r="K47" s="334"/>
      <c r="L47" s="158">
        <f t="shared" si="1"/>
        <v>0</v>
      </c>
      <c r="M47" s="334"/>
      <c r="N47" s="158">
        <f t="shared" si="2"/>
        <v>0</v>
      </c>
      <c r="O47" s="158">
        <f t="shared" si="3"/>
        <v>0</v>
      </c>
      <c r="P47" s="4"/>
    </row>
    <row r="48" spans="2:16">
      <c r="B48" s="9" t="str">
        <f t="shared" si="6"/>
        <v/>
      </c>
      <c r="C48" s="153">
        <f>IF(D11="","-",+C47+1)</f>
        <v>2038</v>
      </c>
      <c r="D48" s="159">
        <f>IF(F47+SUM(E$17:E47)=D$10,F47,D$10-SUM(E$17:E47))</f>
        <v>58500.951341058157</v>
      </c>
      <c r="E48" s="160">
        <f>IF(+I14&lt;F47,I14,D48)</f>
        <v>4308.0697674418607</v>
      </c>
      <c r="F48" s="159">
        <f t="shared" si="10"/>
        <v>54192.881573616294</v>
      </c>
      <c r="G48" s="161">
        <f t="shared" si="11"/>
        <v>9917.7249263472077</v>
      </c>
      <c r="H48" s="142">
        <f t="shared" si="12"/>
        <v>9917.7249263472077</v>
      </c>
      <c r="I48" s="156">
        <f t="shared" si="0"/>
        <v>0</v>
      </c>
      <c r="J48" s="156"/>
      <c r="K48" s="334"/>
      <c r="L48" s="158">
        <f t="shared" si="1"/>
        <v>0</v>
      </c>
      <c r="M48" s="334"/>
      <c r="N48" s="158">
        <f t="shared" si="2"/>
        <v>0</v>
      </c>
      <c r="O48" s="158">
        <f t="shared" si="3"/>
        <v>0</v>
      </c>
      <c r="P48" s="4"/>
    </row>
    <row r="49" spans="2:17">
      <c r="B49" s="9" t="str">
        <f t="shared" si="6"/>
        <v/>
      </c>
      <c r="C49" s="153">
        <f>IF(D11="","-",+C48+1)</f>
        <v>2039</v>
      </c>
      <c r="D49" s="159">
        <f>IF(F48+SUM(E$17:E48)=D$10,F48,D$10-SUM(E$17:E48))</f>
        <v>54192.881573616294</v>
      </c>
      <c r="E49" s="160">
        <f>IF(+I14&lt;F48,I14,D49)</f>
        <v>4308.0697674418607</v>
      </c>
      <c r="F49" s="159">
        <f t="shared" ref="F49:F72" si="13">+D49-E49</f>
        <v>49884.811806174432</v>
      </c>
      <c r="G49" s="161">
        <f t="shared" si="11"/>
        <v>9488.832143648935</v>
      </c>
      <c r="H49" s="142">
        <f t="shared" si="12"/>
        <v>9488.832143648935</v>
      </c>
      <c r="I49" s="156">
        <f t="shared" ref="I49:I72" si="14">H49-G49</f>
        <v>0</v>
      </c>
      <c r="J49" s="156"/>
      <c r="K49" s="334"/>
      <c r="L49" s="158">
        <f t="shared" ref="L49:L72" si="15">IF(K49&lt;&gt;0,+G49-K49,0)</f>
        <v>0</v>
      </c>
      <c r="M49" s="334"/>
      <c r="N49" s="158">
        <f t="shared" ref="N49:N72" si="16">IF(M49&lt;&gt;0,+H49-M49,0)</f>
        <v>0</v>
      </c>
      <c r="O49" s="158">
        <f t="shared" ref="O49:O72" si="17">+N49-L49</f>
        <v>0</v>
      </c>
      <c r="P49" s="4"/>
    </row>
    <row r="50" spans="2:17">
      <c r="B50" s="9" t="str">
        <f t="shared" si="6"/>
        <v/>
      </c>
      <c r="C50" s="153">
        <f>IF(D11="","-",+C49+1)</f>
        <v>2040</v>
      </c>
      <c r="D50" s="159">
        <f>IF(F49+SUM(E$17:E49)=D$10,F49,D$10-SUM(E$17:E49))</f>
        <v>49884.811806174432</v>
      </c>
      <c r="E50" s="160">
        <f>IF(+I14&lt;F49,I14,D50)</f>
        <v>4308.0697674418607</v>
      </c>
      <c r="F50" s="159">
        <f t="shared" si="13"/>
        <v>45576.742038732569</v>
      </c>
      <c r="G50" s="161">
        <f t="shared" si="11"/>
        <v>9059.9393609506624</v>
      </c>
      <c r="H50" s="142">
        <f t="shared" si="12"/>
        <v>9059.9393609506624</v>
      </c>
      <c r="I50" s="156">
        <f t="shared" si="14"/>
        <v>0</v>
      </c>
      <c r="J50" s="156"/>
      <c r="K50" s="334"/>
      <c r="L50" s="158">
        <f t="shared" si="15"/>
        <v>0</v>
      </c>
      <c r="M50" s="334"/>
      <c r="N50" s="158">
        <f t="shared" si="16"/>
        <v>0</v>
      </c>
      <c r="O50" s="158">
        <f t="shared" si="17"/>
        <v>0</v>
      </c>
      <c r="P50" s="4"/>
    </row>
    <row r="51" spans="2:17">
      <c r="B51" s="9" t="str">
        <f t="shared" si="6"/>
        <v/>
      </c>
      <c r="C51" s="153">
        <f>IF(D11="","-",+C50+1)</f>
        <v>2041</v>
      </c>
      <c r="D51" s="159">
        <f>IF(F50+SUM(E$17:E50)=D$10,F50,D$10-SUM(E$17:E50))</f>
        <v>45576.742038732569</v>
      </c>
      <c r="E51" s="160">
        <f>IF(+I14&lt;F50,I14,D51)</f>
        <v>4308.0697674418607</v>
      </c>
      <c r="F51" s="159">
        <f t="shared" si="13"/>
        <v>41268.672271290707</v>
      </c>
      <c r="G51" s="161">
        <f t="shared" si="11"/>
        <v>8631.0465782523916</v>
      </c>
      <c r="H51" s="142">
        <f t="shared" si="12"/>
        <v>8631.0465782523916</v>
      </c>
      <c r="I51" s="156">
        <f t="shared" si="14"/>
        <v>0</v>
      </c>
      <c r="J51" s="156"/>
      <c r="K51" s="334"/>
      <c r="L51" s="158">
        <f t="shared" si="15"/>
        <v>0</v>
      </c>
      <c r="M51" s="334"/>
      <c r="N51" s="158">
        <f t="shared" si="16"/>
        <v>0</v>
      </c>
      <c r="O51" s="158">
        <f t="shared" si="17"/>
        <v>0</v>
      </c>
      <c r="P51" s="4"/>
    </row>
    <row r="52" spans="2:17">
      <c r="B52" s="9" t="str">
        <f t="shared" si="6"/>
        <v/>
      </c>
      <c r="C52" s="153">
        <f>IF(D11="","-",+C51+1)</f>
        <v>2042</v>
      </c>
      <c r="D52" s="159">
        <f>IF(F51+SUM(E$17:E51)=D$10,F51,D$10-SUM(E$17:E51))</f>
        <v>41268.672271290707</v>
      </c>
      <c r="E52" s="160">
        <f>IF(+I14&lt;F51,I14,D52)</f>
        <v>4308.0697674418607</v>
      </c>
      <c r="F52" s="159">
        <f t="shared" si="13"/>
        <v>36960.602503848844</v>
      </c>
      <c r="G52" s="161">
        <f t="shared" si="11"/>
        <v>8202.1537955541207</v>
      </c>
      <c r="H52" s="142">
        <f t="shared" si="12"/>
        <v>8202.1537955541207</v>
      </c>
      <c r="I52" s="156">
        <f t="shared" si="14"/>
        <v>0</v>
      </c>
      <c r="J52" s="156"/>
      <c r="K52" s="334"/>
      <c r="L52" s="158">
        <f t="shared" si="15"/>
        <v>0</v>
      </c>
      <c r="M52" s="334"/>
      <c r="N52" s="158">
        <f t="shared" si="16"/>
        <v>0</v>
      </c>
      <c r="O52" s="158">
        <f t="shared" si="17"/>
        <v>0</v>
      </c>
      <c r="P52" s="4"/>
    </row>
    <row r="53" spans="2:17">
      <c r="B53" s="9" t="str">
        <f t="shared" si="6"/>
        <v/>
      </c>
      <c r="C53" s="153">
        <f>IF(D11="","-",+C52+1)</f>
        <v>2043</v>
      </c>
      <c r="D53" s="159">
        <f>IF(F52+SUM(E$17:E52)=D$10,F52,D$10-SUM(E$17:E52))</f>
        <v>36960.602503848844</v>
      </c>
      <c r="E53" s="160">
        <f>IF(+I14&lt;F52,I14,D53)</f>
        <v>4308.0697674418607</v>
      </c>
      <c r="F53" s="159">
        <f t="shared" si="13"/>
        <v>32652.532736406982</v>
      </c>
      <c r="G53" s="161">
        <f t="shared" si="11"/>
        <v>7773.2610128558481</v>
      </c>
      <c r="H53" s="142">
        <f t="shared" si="12"/>
        <v>7773.2610128558481</v>
      </c>
      <c r="I53" s="156">
        <f t="shared" si="14"/>
        <v>0</v>
      </c>
      <c r="J53" s="156"/>
      <c r="K53" s="334"/>
      <c r="L53" s="158">
        <f t="shared" si="15"/>
        <v>0</v>
      </c>
      <c r="M53" s="334"/>
      <c r="N53" s="158">
        <f t="shared" si="16"/>
        <v>0</v>
      </c>
      <c r="O53" s="158">
        <f t="shared" si="17"/>
        <v>0</v>
      </c>
      <c r="P53" s="4"/>
    </row>
    <row r="54" spans="2:17">
      <c r="B54" s="9" t="str">
        <f t="shared" si="6"/>
        <v/>
      </c>
      <c r="C54" s="153">
        <f>IF(D11="","-",+C53+1)</f>
        <v>2044</v>
      </c>
      <c r="D54" s="159">
        <f>IF(F53+SUM(E$17:E53)=D$10,F53,D$10-SUM(E$17:E53))</f>
        <v>32652.532736406982</v>
      </c>
      <c r="E54" s="160">
        <f>IF(+I14&lt;F53,I14,D54)</f>
        <v>4308.0697674418607</v>
      </c>
      <c r="F54" s="159">
        <f t="shared" si="13"/>
        <v>28344.462968965119</v>
      </c>
      <c r="G54" s="161">
        <f t="shared" si="11"/>
        <v>7344.3682301575773</v>
      </c>
      <c r="H54" s="142">
        <f t="shared" si="12"/>
        <v>7344.3682301575773</v>
      </c>
      <c r="I54" s="156">
        <f t="shared" si="14"/>
        <v>0</v>
      </c>
      <c r="J54" s="156"/>
      <c r="K54" s="334"/>
      <c r="L54" s="158">
        <f t="shared" si="15"/>
        <v>0</v>
      </c>
      <c r="M54" s="334"/>
      <c r="N54" s="158">
        <f t="shared" si="16"/>
        <v>0</v>
      </c>
      <c r="O54" s="158">
        <f t="shared" si="17"/>
        <v>0</v>
      </c>
      <c r="P54" s="4"/>
    </row>
    <row r="55" spans="2:17">
      <c r="B55" s="9" t="str">
        <f t="shared" si="6"/>
        <v/>
      </c>
      <c r="C55" s="153">
        <f>IF(D11="","-",+C54+1)</f>
        <v>2045</v>
      </c>
      <c r="D55" s="159">
        <f>IF(F54+SUM(E$17:E54)=D$10,F54,D$10-SUM(E$17:E54))</f>
        <v>28344.462968965119</v>
      </c>
      <c r="E55" s="160">
        <f>IF(+I14&lt;F54,I14,D55)</f>
        <v>4308.0697674418607</v>
      </c>
      <c r="F55" s="159">
        <f t="shared" si="13"/>
        <v>24036.393201523257</v>
      </c>
      <c r="G55" s="161">
        <f t="shared" si="11"/>
        <v>6915.4754474593055</v>
      </c>
      <c r="H55" s="142">
        <f t="shared" si="12"/>
        <v>6915.4754474593055</v>
      </c>
      <c r="I55" s="156">
        <f t="shared" si="14"/>
        <v>0</v>
      </c>
      <c r="J55" s="156"/>
      <c r="K55" s="334"/>
      <c r="L55" s="158">
        <f t="shared" si="15"/>
        <v>0</v>
      </c>
      <c r="M55" s="334"/>
      <c r="N55" s="158">
        <f t="shared" si="16"/>
        <v>0</v>
      </c>
      <c r="O55" s="158">
        <f t="shared" si="17"/>
        <v>0</v>
      </c>
      <c r="P55" s="4"/>
    </row>
    <row r="56" spans="2:17">
      <c r="B56" s="9" t="str">
        <f t="shared" si="6"/>
        <v/>
      </c>
      <c r="C56" s="153">
        <f>IF(D11="","-",+C55+1)</f>
        <v>2046</v>
      </c>
      <c r="D56" s="159">
        <f>IF(F55+SUM(E$17:E55)=D$10,F55,D$10-SUM(E$17:E55))</f>
        <v>24036.393201523257</v>
      </c>
      <c r="E56" s="160">
        <f>IF(+I14&lt;F55,I14,D56)</f>
        <v>4308.0697674418607</v>
      </c>
      <c r="F56" s="159">
        <f t="shared" si="13"/>
        <v>19728.323434081394</v>
      </c>
      <c r="G56" s="161">
        <f t="shared" si="11"/>
        <v>6486.5826647610338</v>
      </c>
      <c r="H56" s="142">
        <f t="shared" si="12"/>
        <v>6486.5826647610338</v>
      </c>
      <c r="I56" s="156">
        <f t="shared" si="14"/>
        <v>0</v>
      </c>
      <c r="J56" s="156"/>
      <c r="K56" s="334"/>
      <c r="L56" s="158">
        <f t="shared" si="15"/>
        <v>0</v>
      </c>
      <c r="M56" s="334"/>
      <c r="N56" s="158">
        <f t="shared" si="16"/>
        <v>0</v>
      </c>
      <c r="O56" s="158">
        <f t="shared" si="17"/>
        <v>0</v>
      </c>
      <c r="P56" s="4"/>
    </row>
    <row r="57" spans="2:17">
      <c r="B57" s="9" t="str">
        <f t="shared" si="6"/>
        <v/>
      </c>
      <c r="C57" s="153">
        <f>IF(D11="","-",+C56+1)</f>
        <v>2047</v>
      </c>
      <c r="D57" s="159">
        <f>IF(F56+SUM(E$17:E56)=D$10,F56,D$10-SUM(E$17:E56))</f>
        <v>19728.323434081394</v>
      </c>
      <c r="E57" s="160">
        <f>IF(+I14&lt;F56,I14,D57)</f>
        <v>4308.0697674418607</v>
      </c>
      <c r="F57" s="159">
        <f t="shared" si="13"/>
        <v>15420.253666639534</v>
      </c>
      <c r="G57" s="161">
        <f t="shared" si="11"/>
        <v>6057.6898820627621</v>
      </c>
      <c r="H57" s="142">
        <f t="shared" si="12"/>
        <v>6057.6898820627621</v>
      </c>
      <c r="I57" s="156">
        <f t="shared" si="14"/>
        <v>0</v>
      </c>
      <c r="J57" s="156"/>
      <c r="K57" s="334"/>
      <c r="L57" s="158">
        <f t="shared" si="15"/>
        <v>0</v>
      </c>
      <c r="M57" s="334"/>
      <c r="N57" s="158">
        <f t="shared" si="16"/>
        <v>0</v>
      </c>
      <c r="O57" s="158">
        <f t="shared" si="17"/>
        <v>0</v>
      </c>
      <c r="P57" s="4"/>
    </row>
    <row r="58" spans="2:17">
      <c r="B58" s="9" t="str">
        <f t="shared" si="6"/>
        <v/>
      </c>
      <c r="C58" s="153">
        <f>IF(D11="","-",+C57+1)</f>
        <v>2048</v>
      </c>
      <c r="D58" s="159">
        <f>IF(F57+SUM(E$17:E57)=D$10,F57,D$10-SUM(E$17:E57))</f>
        <v>15420.253666639534</v>
      </c>
      <c r="E58" s="160">
        <f>IF(+I14&lt;F57,I14,D58)</f>
        <v>4308.0697674418607</v>
      </c>
      <c r="F58" s="159">
        <f t="shared" si="13"/>
        <v>11112.183899197673</v>
      </c>
      <c r="G58" s="161">
        <f t="shared" si="11"/>
        <v>5628.7970993644913</v>
      </c>
      <c r="H58" s="142">
        <f t="shared" si="12"/>
        <v>5628.7970993644913</v>
      </c>
      <c r="I58" s="156">
        <f t="shared" si="14"/>
        <v>0</v>
      </c>
      <c r="J58" s="156"/>
      <c r="K58" s="334"/>
      <c r="L58" s="158">
        <f t="shared" si="15"/>
        <v>0</v>
      </c>
      <c r="M58" s="334"/>
      <c r="N58" s="158">
        <f t="shared" si="16"/>
        <v>0</v>
      </c>
      <c r="O58" s="158">
        <f t="shared" si="17"/>
        <v>0</v>
      </c>
      <c r="P58" s="4"/>
      <c r="Q58" t="str">
        <f>IF(ROUND(Q57,0)=ROUND(SUM(Q18:Q56),0),"","Error -- check allocations above).")</f>
        <v/>
      </c>
    </row>
    <row r="59" spans="2:17">
      <c r="B59" s="9" t="str">
        <f t="shared" si="6"/>
        <v/>
      </c>
      <c r="C59" s="153">
        <f>IF(D11="","-",+C58+1)</f>
        <v>2049</v>
      </c>
      <c r="D59" s="159">
        <f>IF(F58+SUM(E$17:E58)=D$10,F58,D$10-SUM(E$17:E58))</f>
        <v>11112.183899197673</v>
      </c>
      <c r="E59" s="160">
        <f>IF(+I14&lt;F58,I14,D59)</f>
        <v>4308.0697674418607</v>
      </c>
      <c r="F59" s="159">
        <f t="shared" si="13"/>
        <v>6804.1141317558122</v>
      </c>
      <c r="G59" s="161">
        <f t="shared" si="11"/>
        <v>5199.9043166662195</v>
      </c>
      <c r="H59" s="142">
        <f t="shared" si="12"/>
        <v>5199.9043166662195</v>
      </c>
      <c r="I59" s="156">
        <f t="shared" si="14"/>
        <v>0</v>
      </c>
      <c r="J59" s="156"/>
      <c r="K59" s="334"/>
      <c r="L59" s="158">
        <f t="shared" si="15"/>
        <v>0</v>
      </c>
      <c r="M59" s="334"/>
      <c r="N59" s="158">
        <f t="shared" si="16"/>
        <v>0</v>
      </c>
      <c r="O59" s="158">
        <f t="shared" si="17"/>
        <v>0</v>
      </c>
      <c r="P59" s="4"/>
    </row>
    <row r="60" spans="2:17">
      <c r="B60" s="9" t="str">
        <f t="shared" si="6"/>
        <v/>
      </c>
      <c r="C60" s="153">
        <f>IF(D11="","-",+C59+1)</f>
        <v>2050</v>
      </c>
      <c r="D60" s="159">
        <f>IF(F59+SUM(E$17:E59)=D$10,F59,D$10-SUM(E$17:E59))</f>
        <v>6804.1141317558122</v>
      </c>
      <c r="E60" s="160">
        <f>IF(+I14&lt;F59,I14,D60)</f>
        <v>4308.0697674418607</v>
      </c>
      <c r="F60" s="159">
        <f t="shared" si="13"/>
        <v>2496.0443643139515</v>
      </c>
      <c r="G60" s="161">
        <f t="shared" si="11"/>
        <v>4771.0115339679478</v>
      </c>
      <c r="H60" s="142">
        <f t="shared" si="12"/>
        <v>4771.0115339679478</v>
      </c>
      <c r="I60" s="156">
        <f t="shared" si="14"/>
        <v>0</v>
      </c>
      <c r="J60" s="156"/>
      <c r="K60" s="334"/>
      <c r="L60" s="158">
        <f t="shared" si="15"/>
        <v>0</v>
      </c>
      <c r="M60" s="334"/>
      <c r="N60" s="158">
        <f t="shared" si="16"/>
        <v>0</v>
      </c>
      <c r="O60" s="158">
        <f t="shared" si="17"/>
        <v>0</v>
      </c>
      <c r="P60" s="4"/>
    </row>
    <row r="61" spans="2:17">
      <c r="B61" s="9" t="str">
        <f t="shared" si="6"/>
        <v/>
      </c>
      <c r="C61" s="153">
        <f>IF(D11="","-",+C60+1)</f>
        <v>2051</v>
      </c>
      <c r="D61" s="159">
        <f>IF(F60+SUM(E$17:E60)=D$10,F60,D$10-SUM(E$17:E60))</f>
        <v>2496.0443643139515</v>
      </c>
      <c r="E61" s="160">
        <f>IF(+I14&lt;F60,I14,D61)</f>
        <v>2496.0443643139515</v>
      </c>
      <c r="F61" s="159">
        <f t="shared" si="13"/>
        <v>0</v>
      </c>
      <c r="G61" s="163">
        <f t="shared" si="11"/>
        <v>2620.2920519024274</v>
      </c>
      <c r="H61" s="142">
        <f t="shared" si="12"/>
        <v>2620.2920519024274</v>
      </c>
      <c r="I61" s="156">
        <f t="shared" si="14"/>
        <v>0</v>
      </c>
      <c r="J61" s="156"/>
      <c r="K61" s="334"/>
      <c r="L61" s="158">
        <f t="shared" si="15"/>
        <v>0</v>
      </c>
      <c r="M61" s="334"/>
      <c r="N61" s="158">
        <f t="shared" si="16"/>
        <v>0</v>
      </c>
      <c r="O61" s="158">
        <f t="shared" si="17"/>
        <v>0</v>
      </c>
      <c r="P61" s="4"/>
    </row>
    <row r="62" spans="2:17">
      <c r="B62" s="9" t="str">
        <f t="shared" si="6"/>
        <v/>
      </c>
      <c r="C62" s="153">
        <f>IF(D11="","-",+C61+1)</f>
        <v>2052</v>
      </c>
      <c r="D62" s="159">
        <f>IF(F61+SUM(E$17:E61)=D$10,F61,D$10-SUM(E$17:E61))</f>
        <v>0</v>
      </c>
      <c r="E62" s="160">
        <f>IF(+I14&lt;F61,I14,D62)</f>
        <v>0</v>
      </c>
      <c r="F62" s="159">
        <f t="shared" si="13"/>
        <v>0</v>
      </c>
      <c r="G62" s="163">
        <f t="shared" si="11"/>
        <v>0</v>
      </c>
      <c r="H62" s="142">
        <f t="shared" si="12"/>
        <v>0</v>
      </c>
      <c r="I62" s="156">
        <f t="shared" si="14"/>
        <v>0</v>
      </c>
      <c r="J62" s="156"/>
      <c r="K62" s="334"/>
      <c r="L62" s="158">
        <f t="shared" si="15"/>
        <v>0</v>
      </c>
      <c r="M62" s="334"/>
      <c r="N62" s="158">
        <f t="shared" si="16"/>
        <v>0</v>
      </c>
      <c r="O62" s="158">
        <f t="shared" si="17"/>
        <v>0</v>
      </c>
      <c r="P62" s="4"/>
    </row>
    <row r="63" spans="2:17">
      <c r="B63" s="9" t="str">
        <f t="shared" si="6"/>
        <v/>
      </c>
      <c r="C63" s="153">
        <f>IF(D11="","-",+C62+1)</f>
        <v>2053</v>
      </c>
      <c r="D63" s="159">
        <f>IF(F62+SUM(E$17:E62)=D$10,F62,D$10-SUM(E$17:E62))</f>
        <v>0</v>
      </c>
      <c r="E63" s="160">
        <f>IF(+I14&lt;F62,I14,D63)</f>
        <v>0</v>
      </c>
      <c r="F63" s="159">
        <f t="shared" si="13"/>
        <v>0</v>
      </c>
      <c r="G63" s="163">
        <f t="shared" si="11"/>
        <v>0</v>
      </c>
      <c r="H63" s="142">
        <f t="shared" si="12"/>
        <v>0</v>
      </c>
      <c r="I63" s="156">
        <f t="shared" si="14"/>
        <v>0</v>
      </c>
      <c r="J63" s="156"/>
      <c r="K63" s="334"/>
      <c r="L63" s="158">
        <f t="shared" si="15"/>
        <v>0</v>
      </c>
      <c r="M63" s="334"/>
      <c r="N63" s="158">
        <f t="shared" si="16"/>
        <v>0</v>
      </c>
      <c r="O63" s="158">
        <f t="shared" si="17"/>
        <v>0</v>
      </c>
      <c r="P63" s="4"/>
    </row>
    <row r="64" spans="2:17">
      <c r="B64" s="9" t="str">
        <f t="shared" si="6"/>
        <v/>
      </c>
      <c r="C64" s="153">
        <f>IF(D11="","-",+C63+1)</f>
        <v>2054</v>
      </c>
      <c r="D64" s="159">
        <f>IF(F63+SUM(E$17:E63)=D$10,F63,D$10-SUM(E$17:E63))</f>
        <v>0</v>
      </c>
      <c r="E64" s="160">
        <f>IF(+I14&lt;F63,I14,D64)</f>
        <v>0</v>
      </c>
      <c r="F64" s="159">
        <f t="shared" si="13"/>
        <v>0</v>
      </c>
      <c r="G64" s="163">
        <f t="shared" si="11"/>
        <v>0</v>
      </c>
      <c r="H64" s="142">
        <f t="shared" si="12"/>
        <v>0</v>
      </c>
      <c r="I64" s="156">
        <f t="shared" si="14"/>
        <v>0</v>
      </c>
      <c r="J64" s="156"/>
      <c r="K64" s="334"/>
      <c r="L64" s="158">
        <f t="shared" si="15"/>
        <v>0</v>
      </c>
      <c r="M64" s="334"/>
      <c r="N64" s="158">
        <f t="shared" si="16"/>
        <v>0</v>
      </c>
      <c r="O64" s="158">
        <f t="shared" si="17"/>
        <v>0</v>
      </c>
      <c r="P64" s="4"/>
    </row>
    <row r="65" spans="1:16">
      <c r="B65" s="9" t="str">
        <f t="shared" si="6"/>
        <v/>
      </c>
      <c r="C65" s="153">
        <f>IF(D11="","-",+C64+1)</f>
        <v>2055</v>
      </c>
      <c r="D65" s="159">
        <f>IF(F64+SUM(E$17:E64)=D$10,F64,D$10-SUM(E$17:E64))</f>
        <v>0</v>
      </c>
      <c r="E65" s="160">
        <f>IF(+I14&lt;F64,I14,D65)</f>
        <v>0</v>
      </c>
      <c r="F65" s="159">
        <f t="shared" si="13"/>
        <v>0</v>
      </c>
      <c r="G65" s="163">
        <f t="shared" si="11"/>
        <v>0</v>
      </c>
      <c r="H65" s="142">
        <f t="shared" si="12"/>
        <v>0</v>
      </c>
      <c r="I65" s="156">
        <f t="shared" si="14"/>
        <v>0</v>
      </c>
      <c r="J65" s="156"/>
      <c r="K65" s="334"/>
      <c r="L65" s="158">
        <f t="shared" si="15"/>
        <v>0</v>
      </c>
      <c r="M65" s="334"/>
      <c r="N65" s="158">
        <f t="shared" si="16"/>
        <v>0</v>
      </c>
      <c r="O65" s="158">
        <f t="shared" si="17"/>
        <v>0</v>
      </c>
      <c r="P65" s="4"/>
    </row>
    <row r="66" spans="1:16">
      <c r="B66" s="9" t="str">
        <f t="shared" si="6"/>
        <v/>
      </c>
      <c r="C66" s="153">
        <f>IF(D11="","-",+C65+1)</f>
        <v>2056</v>
      </c>
      <c r="D66" s="159">
        <f>IF(F65+SUM(E$17:E65)=D$10,F65,D$10-SUM(E$17:E65))</f>
        <v>0</v>
      </c>
      <c r="E66" s="160">
        <f>IF(+I14&lt;F65,I14,D66)</f>
        <v>0</v>
      </c>
      <c r="F66" s="159">
        <f t="shared" si="13"/>
        <v>0</v>
      </c>
      <c r="G66" s="163">
        <f t="shared" si="11"/>
        <v>0</v>
      </c>
      <c r="H66" s="142">
        <f t="shared" si="12"/>
        <v>0</v>
      </c>
      <c r="I66" s="156">
        <f t="shared" si="14"/>
        <v>0</v>
      </c>
      <c r="J66" s="156"/>
      <c r="K66" s="334"/>
      <c r="L66" s="158">
        <f t="shared" si="15"/>
        <v>0</v>
      </c>
      <c r="M66" s="334"/>
      <c r="N66" s="158">
        <f t="shared" si="16"/>
        <v>0</v>
      </c>
      <c r="O66" s="158">
        <f t="shared" si="17"/>
        <v>0</v>
      </c>
      <c r="P66" s="4"/>
    </row>
    <row r="67" spans="1:16">
      <c r="B67" s="9" t="str">
        <f t="shared" si="6"/>
        <v/>
      </c>
      <c r="C67" s="153">
        <f>IF(D11="","-",+C66+1)</f>
        <v>2057</v>
      </c>
      <c r="D67" s="159">
        <f>IF(F66+SUM(E$17:E66)=D$10,F66,D$10-SUM(E$17:E66))</f>
        <v>0</v>
      </c>
      <c r="E67" s="160">
        <f>IF(+I14&lt;F66,I14,D67)</f>
        <v>0</v>
      </c>
      <c r="F67" s="159">
        <f t="shared" si="13"/>
        <v>0</v>
      </c>
      <c r="G67" s="163">
        <f t="shared" si="11"/>
        <v>0</v>
      </c>
      <c r="H67" s="142">
        <f t="shared" si="12"/>
        <v>0</v>
      </c>
      <c r="I67" s="156">
        <f t="shared" si="14"/>
        <v>0</v>
      </c>
      <c r="J67" s="156"/>
      <c r="K67" s="334"/>
      <c r="L67" s="158">
        <f t="shared" si="15"/>
        <v>0</v>
      </c>
      <c r="M67" s="334"/>
      <c r="N67" s="158">
        <f t="shared" si="16"/>
        <v>0</v>
      </c>
      <c r="O67" s="158">
        <f t="shared" si="17"/>
        <v>0</v>
      </c>
      <c r="P67" s="4"/>
    </row>
    <row r="68" spans="1:16">
      <c r="B68" s="9" t="str">
        <f t="shared" si="6"/>
        <v/>
      </c>
      <c r="C68" s="153">
        <f>IF(D11="","-",+C67+1)</f>
        <v>2058</v>
      </c>
      <c r="D68" s="159">
        <f>IF(F67+SUM(E$17:E67)=D$10,F67,D$10-SUM(E$17:E67))</f>
        <v>0</v>
      </c>
      <c r="E68" s="160">
        <f>IF(+I14&lt;F67,I14,D68)</f>
        <v>0</v>
      </c>
      <c r="F68" s="159">
        <f t="shared" si="13"/>
        <v>0</v>
      </c>
      <c r="G68" s="163">
        <f t="shared" si="11"/>
        <v>0</v>
      </c>
      <c r="H68" s="142">
        <f t="shared" si="12"/>
        <v>0</v>
      </c>
      <c r="I68" s="156">
        <f t="shared" si="14"/>
        <v>0</v>
      </c>
      <c r="J68" s="156"/>
      <c r="K68" s="334"/>
      <c r="L68" s="158">
        <f t="shared" si="15"/>
        <v>0</v>
      </c>
      <c r="M68" s="334"/>
      <c r="N68" s="158">
        <f t="shared" si="16"/>
        <v>0</v>
      </c>
      <c r="O68" s="158">
        <f t="shared" si="17"/>
        <v>0</v>
      </c>
      <c r="P68" s="4"/>
    </row>
    <row r="69" spans="1:16">
      <c r="B69" s="9" t="str">
        <f t="shared" si="6"/>
        <v/>
      </c>
      <c r="C69" s="153">
        <f>IF(D11="","-",+C68+1)</f>
        <v>2059</v>
      </c>
      <c r="D69" s="159">
        <f>IF(F68+SUM(E$17:E68)=D$10,F68,D$10-SUM(E$17:E68))</f>
        <v>0</v>
      </c>
      <c r="E69" s="160">
        <f>IF(+I14&lt;F68,I14,D69)</f>
        <v>0</v>
      </c>
      <c r="F69" s="159">
        <f t="shared" si="13"/>
        <v>0</v>
      </c>
      <c r="G69" s="163">
        <f t="shared" si="11"/>
        <v>0</v>
      </c>
      <c r="H69" s="142">
        <f t="shared" si="12"/>
        <v>0</v>
      </c>
      <c r="I69" s="156">
        <f t="shared" si="14"/>
        <v>0</v>
      </c>
      <c r="J69" s="156"/>
      <c r="K69" s="334"/>
      <c r="L69" s="158">
        <f t="shared" si="15"/>
        <v>0</v>
      </c>
      <c r="M69" s="334"/>
      <c r="N69" s="158">
        <f t="shared" si="16"/>
        <v>0</v>
      </c>
      <c r="O69" s="158">
        <f t="shared" si="17"/>
        <v>0</v>
      </c>
      <c r="P69" s="4"/>
    </row>
    <row r="70" spans="1:16">
      <c r="B70" s="9" t="str">
        <f t="shared" si="6"/>
        <v/>
      </c>
      <c r="C70" s="153">
        <f>IF(D11="","-",+C69+1)</f>
        <v>2060</v>
      </c>
      <c r="D70" s="159">
        <f>IF(F69+SUM(E$17:E69)=D$10,F69,D$10-SUM(E$17:E69))</f>
        <v>0</v>
      </c>
      <c r="E70" s="160">
        <f>IF(+I14&lt;F69,I14,D70)</f>
        <v>0</v>
      </c>
      <c r="F70" s="159">
        <f t="shared" si="13"/>
        <v>0</v>
      </c>
      <c r="G70" s="163">
        <f t="shared" si="11"/>
        <v>0</v>
      </c>
      <c r="H70" s="142">
        <f t="shared" si="12"/>
        <v>0</v>
      </c>
      <c r="I70" s="156">
        <f t="shared" si="14"/>
        <v>0</v>
      </c>
      <c r="J70" s="156"/>
      <c r="K70" s="334"/>
      <c r="L70" s="158">
        <f t="shared" si="15"/>
        <v>0</v>
      </c>
      <c r="M70" s="334"/>
      <c r="N70" s="158">
        <f t="shared" si="16"/>
        <v>0</v>
      </c>
      <c r="O70" s="158">
        <f t="shared" si="17"/>
        <v>0</v>
      </c>
      <c r="P70" s="4"/>
    </row>
    <row r="71" spans="1:16">
      <c r="B71" s="9" t="str">
        <f t="shared" si="6"/>
        <v/>
      </c>
      <c r="C71" s="153">
        <f>IF(D11="","-",+C70+1)</f>
        <v>2061</v>
      </c>
      <c r="D71" s="159">
        <f>IF(F70+SUM(E$17:E70)=D$10,F70,D$10-SUM(E$17:E70))</f>
        <v>0</v>
      </c>
      <c r="E71" s="160">
        <f>IF(+I14&lt;F70,I14,D71)</f>
        <v>0</v>
      </c>
      <c r="F71" s="159">
        <f t="shared" si="13"/>
        <v>0</v>
      </c>
      <c r="G71" s="163">
        <f t="shared" si="11"/>
        <v>0</v>
      </c>
      <c r="H71" s="142">
        <f t="shared" si="12"/>
        <v>0</v>
      </c>
      <c r="I71" s="156">
        <f t="shared" si="14"/>
        <v>0</v>
      </c>
      <c r="J71" s="156"/>
      <c r="K71" s="334"/>
      <c r="L71" s="158">
        <f t="shared" si="15"/>
        <v>0</v>
      </c>
      <c r="M71" s="334"/>
      <c r="N71" s="158">
        <f t="shared" si="16"/>
        <v>0</v>
      </c>
      <c r="O71" s="158">
        <f t="shared" si="17"/>
        <v>0</v>
      </c>
      <c r="P71" s="4"/>
    </row>
    <row r="72" spans="1:16" ht="13.5" thickBot="1">
      <c r="B72" s="9" t="str">
        <f t="shared" si="6"/>
        <v/>
      </c>
      <c r="C72" s="164">
        <f>IF(D11="","-",+C71+1)</f>
        <v>2062</v>
      </c>
      <c r="D72" s="165">
        <f>IF(F71+SUM(E$17:E71)=D$10,F71,D$10-SUM(E$17:E71))</f>
        <v>0</v>
      </c>
      <c r="E72" s="166">
        <f>IF(+I14&lt;F71,I14,D72)</f>
        <v>0</v>
      </c>
      <c r="F72" s="165">
        <f t="shared" si="13"/>
        <v>0</v>
      </c>
      <c r="G72" s="167">
        <f t="shared" si="11"/>
        <v>0</v>
      </c>
      <c r="H72" s="124">
        <f t="shared" si="12"/>
        <v>0</v>
      </c>
      <c r="I72" s="168">
        <f t="shared" si="14"/>
        <v>0</v>
      </c>
      <c r="J72" s="156"/>
      <c r="K72" s="335"/>
      <c r="L72" s="169">
        <f t="shared" si="15"/>
        <v>0</v>
      </c>
      <c r="M72" s="335"/>
      <c r="N72" s="169">
        <f t="shared" si="16"/>
        <v>0</v>
      </c>
      <c r="O72" s="169">
        <f t="shared" si="17"/>
        <v>0</v>
      </c>
      <c r="P72" s="4"/>
    </row>
    <row r="73" spans="1:16">
      <c r="C73" s="154" t="s">
        <v>73</v>
      </c>
      <c r="D73" s="111"/>
      <c r="E73" s="111">
        <f>SUM(E17:E72)</f>
        <v>185246.99999999991</v>
      </c>
      <c r="F73" s="111"/>
      <c r="G73" s="111">
        <f>SUM(G17:G72)</f>
        <v>613690.08395726839</v>
      </c>
      <c r="H73" s="111">
        <f>SUM(H17:H72)</f>
        <v>613690.08395726839</v>
      </c>
      <c r="I73" s="111">
        <f>SUM(I17:I72)</f>
        <v>0</v>
      </c>
      <c r="J73" s="111"/>
      <c r="K73" s="111"/>
      <c r="L73" s="111"/>
      <c r="M73" s="111"/>
      <c r="N73" s="111"/>
      <c r="O73" s="4"/>
      <c r="P73" s="4"/>
    </row>
    <row r="74" spans="1:16">
      <c r="D74" s="2"/>
      <c r="E74" s="1"/>
      <c r="F74" s="1"/>
      <c r="G74" s="1"/>
      <c r="H74" s="3"/>
      <c r="I74" s="3"/>
      <c r="J74" s="111"/>
      <c r="K74" s="3"/>
      <c r="L74" s="3"/>
      <c r="M74" s="3"/>
      <c r="N74" s="3"/>
      <c r="O74" s="1"/>
      <c r="P74" s="1"/>
    </row>
    <row r="75" spans="1:16">
      <c r="C75" s="170" t="s">
        <v>91</v>
      </c>
      <c r="D75" s="2"/>
      <c r="E75" s="1"/>
      <c r="F75" s="1"/>
      <c r="G75" s="1"/>
      <c r="H75" s="3"/>
      <c r="I75" s="3"/>
      <c r="J75" s="111"/>
      <c r="K75" s="3"/>
      <c r="L75" s="3"/>
      <c r="M75" s="3"/>
      <c r="N75" s="3"/>
      <c r="O75" s="1"/>
      <c r="P75" s="1"/>
    </row>
    <row r="76" spans="1:16">
      <c r="C76" s="121" t="s">
        <v>74</v>
      </c>
      <c r="D76" s="2"/>
      <c r="E76" s="1"/>
      <c r="F76" s="1"/>
      <c r="G76" s="1"/>
      <c r="H76" s="3"/>
      <c r="I76" s="3"/>
      <c r="J76" s="111"/>
      <c r="K76" s="3"/>
      <c r="L76" s="3"/>
      <c r="M76" s="3"/>
      <c r="N76" s="3"/>
      <c r="O76" s="4"/>
      <c r="P76" s="4"/>
    </row>
    <row r="77" spans="1:16" ht="18">
      <c r="C77" s="121" t="s">
        <v>75</v>
      </c>
      <c r="D77" s="154"/>
      <c r="E77" s="154"/>
      <c r="F77" s="154"/>
      <c r="G77" s="111"/>
      <c r="H77" s="111"/>
      <c r="I77" s="171"/>
      <c r="J77" s="171"/>
      <c r="K77" s="171"/>
      <c r="L77" s="171"/>
      <c r="M77" s="171"/>
      <c r="N77" s="171"/>
      <c r="O77" s="110"/>
      <c r="P77" s="4"/>
    </row>
    <row r="78" spans="1:16">
      <c r="C78" s="121"/>
      <c r="D78" s="154"/>
      <c r="E78" s="154"/>
      <c r="F78" s="154"/>
      <c r="G78" s="111"/>
      <c r="H78" s="111"/>
      <c r="I78" s="171"/>
      <c r="J78" s="171"/>
      <c r="K78" s="171"/>
      <c r="L78" s="171"/>
      <c r="M78" s="171"/>
      <c r="N78" s="171"/>
      <c r="O78" s="4"/>
      <c r="P78" s="1"/>
    </row>
    <row r="79" spans="1:16" ht="15">
      <c r="A79" s="241"/>
      <c r="B79" s="1"/>
      <c r="C79" s="21"/>
      <c r="D79" s="2"/>
      <c r="E79" s="1"/>
      <c r="F79" s="107"/>
      <c r="G79" s="1"/>
      <c r="H79" s="3"/>
      <c r="I79" s="1"/>
      <c r="J79" s="4"/>
      <c r="K79" s="1"/>
      <c r="L79" s="1"/>
      <c r="M79" s="1"/>
      <c r="N79" s="1"/>
    </row>
    <row r="80" spans="1:16" ht="18">
      <c r="B80" s="1"/>
      <c r="C80" s="242"/>
      <c r="D80" s="2"/>
      <c r="E80" s="1"/>
      <c r="F80" s="107"/>
      <c r="G80" s="1"/>
      <c r="H80" s="3"/>
      <c r="I80" s="1"/>
      <c r="J80" s="4"/>
      <c r="K80" s="1"/>
      <c r="L80" s="1"/>
      <c r="M80" s="1"/>
      <c r="N80" s="1"/>
      <c r="P80" s="244" t="s">
        <v>125</v>
      </c>
    </row>
    <row r="81" spans="1:17">
      <c r="B81" s="1"/>
      <c r="C81" s="242"/>
      <c r="D81" s="2"/>
      <c r="E81" s="1"/>
      <c r="F81" s="107"/>
      <c r="G81" s="1"/>
      <c r="H81" s="3"/>
      <c r="I81" s="1"/>
      <c r="J81" s="4"/>
      <c r="K81" s="1"/>
      <c r="L81" s="1"/>
      <c r="M81" s="1"/>
      <c r="N81" s="1"/>
      <c r="O81" s="1"/>
      <c r="P81" s="1"/>
    </row>
    <row r="82" spans="1:17">
      <c r="B82" s="1"/>
      <c r="C82" s="21"/>
      <c r="D82" s="2"/>
      <c r="E82" s="1"/>
      <c r="F82" s="107"/>
      <c r="G82" s="1"/>
      <c r="H82" s="3"/>
      <c r="I82" s="1"/>
      <c r="J82" s="4"/>
      <c r="K82" s="1"/>
      <c r="L82" s="1"/>
      <c r="M82" s="1"/>
      <c r="N82" s="1"/>
      <c r="O82" s="1"/>
      <c r="P82" s="1"/>
      <c r="Q82" s="1"/>
    </row>
    <row r="83" spans="1:17" ht="20.25">
      <c r="A83" s="243" t="s">
        <v>129</v>
      </c>
      <c r="B83" s="1"/>
      <c r="C83" s="21"/>
      <c r="D83" s="2"/>
      <c r="E83" s="1"/>
      <c r="F83" s="99"/>
      <c r="G83" s="99"/>
      <c r="H83" s="1"/>
      <c r="I83" s="3"/>
      <c r="K83" s="7"/>
      <c r="L83" s="109"/>
      <c r="M83" s="109"/>
      <c r="P83" s="110" t="str">
        <f ca="1">P1</f>
        <v>SWEPCO Project 12 of 73</v>
      </c>
      <c r="Q83" s="1"/>
    </row>
    <row r="84" spans="1:17" ht="18">
      <c r="B84" s="1"/>
      <c r="C84" s="1"/>
      <c r="D84" s="2"/>
      <c r="E84" s="1"/>
      <c r="F84" s="1"/>
      <c r="G84" s="1"/>
      <c r="H84" s="1"/>
      <c r="I84" s="3"/>
      <c r="J84" s="1"/>
      <c r="K84" s="4"/>
      <c r="L84" s="1"/>
      <c r="M84" s="1"/>
      <c r="P84" s="237" t="s">
        <v>123</v>
      </c>
      <c r="Q84" s="1"/>
    </row>
    <row r="85" spans="1:17" ht="18.75" thickBot="1">
      <c r="B85" s="5" t="s">
        <v>40</v>
      </c>
      <c r="C85" s="197" t="s">
        <v>78</v>
      </c>
      <c r="D85" s="2"/>
      <c r="E85" s="1"/>
      <c r="F85" s="1"/>
      <c r="G85" s="1"/>
      <c r="H85" s="1"/>
      <c r="I85" s="3"/>
      <c r="J85" s="3"/>
      <c r="K85" s="111"/>
      <c r="L85" s="3"/>
      <c r="M85" s="3"/>
      <c r="N85" s="3"/>
      <c r="O85" s="111"/>
      <c r="P85" s="1"/>
      <c r="Q85" s="1"/>
    </row>
    <row r="86" spans="1:17" ht="15.75" thickBot="1">
      <c r="C86" s="67"/>
      <c r="D86" s="2"/>
      <c r="E86" s="1"/>
      <c r="F86" s="1"/>
      <c r="G86" s="1"/>
      <c r="H86" s="1"/>
      <c r="I86" s="3"/>
      <c r="J86" s="3"/>
      <c r="K86" s="111"/>
      <c r="L86" s="265">
        <f>+J92</f>
        <v>2017</v>
      </c>
      <c r="M86" s="266" t="s">
        <v>7</v>
      </c>
      <c r="N86" s="270" t="s">
        <v>154</v>
      </c>
      <c r="O86" s="267" t="s">
        <v>9</v>
      </c>
      <c r="P86" s="1"/>
      <c r="Q86" s="1"/>
    </row>
    <row r="87" spans="1:17" ht="15">
      <c r="C87" s="235" t="s">
        <v>42</v>
      </c>
      <c r="D87" s="2"/>
      <c r="E87" s="1"/>
      <c r="F87" s="1"/>
      <c r="G87" s="1"/>
      <c r="H87" s="113"/>
      <c r="I87" s="1" t="s">
        <v>43</v>
      </c>
      <c r="J87" s="1"/>
      <c r="K87" s="261"/>
      <c r="L87" s="259" t="s">
        <v>381</v>
      </c>
      <c r="M87" s="198">
        <f>IF(J92&lt;D11,0,VLOOKUP(J92,C17:O72,9))</f>
        <v>22523.559241307841</v>
      </c>
      <c r="N87" s="198">
        <f>IF(J92&lt;D11,0,VLOOKUP(J92,C17:O72,11))</f>
        <v>22523.559241307841</v>
      </c>
      <c r="O87" s="199">
        <f>+N87-M87</f>
        <v>0</v>
      </c>
      <c r="P87" s="1"/>
      <c r="Q87" s="1"/>
    </row>
    <row r="88" spans="1:17" ht="15.75">
      <c r="C88" s="8"/>
      <c r="D88" s="2"/>
      <c r="E88" s="1"/>
      <c r="F88" s="1"/>
      <c r="G88" s="1"/>
      <c r="H88" s="1"/>
      <c r="I88" s="117"/>
      <c r="J88" s="117"/>
      <c r="K88" s="263"/>
      <c r="L88" s="264" t="s">
        <v>382</v>
      </c>
      <c r="M88" s="200">
        <f>IF(J92&lt;D11,0,VLOOKUP(J92,C99:P154,6))</f>
        <v>21984.790198731629</v>
      </c>
      <c r="N88" s="200">
        <f>IF(J92&lt;D11,0,VLOOKUP(J92,C99:P154,7))</f>
        <v>21984.790198731629</v>
      </c>
      <c r="O88" s="201">
        <f>+N88-M88</f>
        <v>0</v>
      </c>
      <c r="P88" s="1"/>
      <c r="Q88" s="1"/>
    </row>
    <row r="89" spans="1:17" ht="13.5" thickBot="1">
      <c r="C89" s="121" t="s">
        <v>79</v>
      </c>
      <c r="D89" s="246" t="str">
        <f>+D7</f>
        <v>Knox Lee - Oak Hill #2 138 kV line, S. Shreveport  (SWE Minor Proj II)</v>
      </c>
      <c r="E89" s="1"/>
      <c r="F89" s="1"/>
      <c r="G89" s="1"/>
      <c r="H89" s="1"/>
      <c r="I89" s="3"/>
      <c r="J89" s="3"/>
      <c r="K89" s="262"/>
      <c r="L89" s="260" t="s">
        <v>151</v>
      </c>
      <c r="M89" s="203">
        <f>+M88-M87</f>
        <v>-538.76904257621209</v>
      </c>
      <c r="N89" s="203">
        <f>+N88-N87</f>
        <v>-538.76904257621209</v>
      </c>
      <c r="O89" s="204">
        <f>+O88-O87</f>
        <v>0</v>
      </c>
      <c r="P89" s="1"/>
      <c r="Q89" s="1"/>
    </row>
    <row r="90" spans="1:17" ht="13.5" thickBot="1">
      <c r="C90" s="170"/>
      <c r="D90" s="173" t="str">
        <f>D8</f>
        <v/>
      </c>
      <c r="E90" s="107"/>
      <c r="F90" s="107"/>
      <c r="G90" s="107"/>
      <c r="H90" s="126"/>
      <c r="I90" s="3"/>
      <c r="J90" s="3"/>
      <c r="K90" s="111"/>
      <c r="L90" s="3"/>
      <c r="M90" s="3"/>
      <c r="N90" s="3"/>
      <c r="O90" s="111"/>
      <c r="P90" s="1"/>
      <c r="Q90" s="1"/>
    </row>
    <row r="91" spans="1:17" ht="13.5" thickBot="1">
      <c r="A91" s="103"/>
      <c r="C91" s="205" t="s">
        <v>80</v>
      </c>
      <c r="D91" s="224" t="str">
        <f>+D9</f>
        <v>TP2004036</v>
      </c>
      <c r="E91" s="206"/>
      <c r="F91" s="206"/>
      <c r="G91" s="206"/>
      <c r="H91" s="206"/>
      <c r="I91" s="206"/>
      <c r="J91" s="238"/>
      <c r="K91" s="207"/>
      <c r="P91" s="131"/>
      <c r="Q91" s="1"/>
    </row>
    <row r="92" spans="1:17">
      <c r="C92" s="136" t="s">
        <v>47</v>
      </c>
      <c r="D92" s="133">
        <v>185247</v>
      </c>
      <c r="E92" s="21" t="s">
        <v>81</v>
      </c>
      <c r="H92" s="134"/>
      <c r="I92" s="134"/>
      <c r="J92" s="135">
        <f>+'SWE.WS.G.BPU.ATRR.True-up'!M15</f>
        <v>2017</v>
      </c>
      <c r="K92" s="130"/>
      <c r="L92" s="111" t="s">
        <v>82</v>
      </c>
      <c r="P92" s="4"/>
      <c r="Q92" s="1"/>
    </row>
    <row r="93" spans="1:17">
      <c r="C93" s="136" t="s">
        <v>49</v>
      </c>
      <c r="D93" s="219">
        <f>IF(D11=I10,"",D11)</f>
        <v>2007</v>
      </c>
      <c r="E93" s="136" t="s">
        <v>50</v>
      </c>
      <c r="F93" s="134"/>
      <c r="G93" s="134"/>
      <c r="J93" s="138">
        <f>IF(H87="",0,'SWE.WS.G.BPU.ATRR.True-up'!$F$12)</f>
        <v>0</v>
      </c>
      <c r="K93" s="139"/>
      <c r="L93" t="str">
        <f>"          INPUT TRUE-UP ARR (WITH &amp; WITHOUT INCENTIVES) FROM EACH PRIOR YEAR"</f>
        <v xml:space="preserve">          INPUT TRUE-UP ARR (WITH &amp; WITHOUT INCENTIVES) FROM EACH PRIOR YEAR</v>
      </c>
      <c r="P93" s="4"/>
      <c r="Q93" s="1"/>
    </row>
    <row r="94" spans="1:17">
      <c r="C94" s="136" t="s">
        <v>51</v>
      </c>
      <c r="D94" s="218">
        <f>IF(D11=I10,"",D12)</f>
        <v>7</v>
      </c>
      <c r="E94" s="136" t="s">
        <v>52</v>
      </c>
      <c r="F94" s="134"/>
      <c r="G94" s="134"/>
      <c r="J94" s="140">
        <f>'SWE.WS.G.BPU.ATRR.True-up'!$F$80</f>
        <v>0.12147145768398206</v>
      </c>
      <c r="K94" s="141"/>
      <c r="L94" t="s">
        <v>83</v>
      </c>
      <c r="P94" s="4"/>
      <c r="Q94" s="1"/>
    </row>
    <row r="95" spans="1:17">
      <c r="C95" s="136" t="s">
        <v>54</v>
      </c>
      <c r="D95" s="138">
        <f>'SWE.WS.G.BPU.ATRR.True-up'!F$92</f>
        <v>42</v>
      </c>
      <c r="E95" s="136" t="s">
        <v>55</v>
      </c>
      <c r="F95" s="134"/>
      <c r="G95" s="134"/>
      <c r="J95" s="140">
        <f>IF(H87="",J94,'SWE.WS.G.BPU.ATRR.True-up'!$F$79)</f>
        <v>0.12147145768398206</v>
      </c>
      <c r="K95" s="58"/>
      <c r="L95" s="111" t="s">
        <v>56</v>
      </c>
      <c r="M95" s="58"/>
      <c r="N95" s="58"/>
      <c r="O95" s="58"/>
      <c r="P95" s="4"/>
      <c r="Q95" s="1"/>
    </row>
    <row r="96" spans="1:17" ht="13.5" thickBot="1">
      <c r="C96" s="136" t="s">
        <v>57</v>
      </c>
      <c r="D96" s="220" t="str">
        <f>+D14</f>
        <v>No</v>
      </c>
      <c r="E96" s="202" t="s">
        <v>59</v>
      </c>
      <c r="F96" s="208"/>
      <c r="G96" s="208"/>
      <c r="H96" s="209"/>
      <c r="I96" s="209"/>
      <c r="J96" s="124">
        <f>IF(D92=0,0,D92/D95)</f>
        <v>4410.6428571428569</v>
      </c>
      <c r="K96" s="111"/>
      <c r="L96" s="111"/>
      <c r="M96" s="111"/>
      <c r="N96" s="111"/>
      <c r="O96" s="111"/>
      <c r="P96" s="4"/>
      <c r="Q96" s="1"/>
    </row>
    <row r="97" spans="1:17" ht="38.25">
      <c r="A97" s="6"/>
      <c r="B97" s="6"/>
      <c r="C97" s="210" t="s">
        <v>47</v>
      </c>
      <c r="D97" s="211" t="s">
        <v>60</v>
      </c>
      <c r="E97" s="146" t="s">
        <v>61</v>
      </c>
      <c r="F97" s="146" t="s">
        <v>62</v>
      </c>
      <c r="G97" s="144" t="s">
        <v>84</v>
      </c>
      <c r="H97" s="434" t="s">
        <v>378</v>
      </c>
      <c r="I97" s="435" t="s">
        <v>379</v>
      </c>
      <c r="J97" s="210" t="s">
        <v>85</v>
      </c>
      <c r="K97" s="212"/>
      <c r="L97" s="271" t="s">
        <v>220</v>
      </c>
      <c r="M97" s="146" t="s">
        <v>86</v>
      </c>
      <c r="N97" s="271" t="s">
        <v>220</v>
      </c>
      <c r="O97" s="146" t="s">
        <v>86</v>
      </c>
      <c r="P97" s="146" t="s">
        <v>65</v>
      </c>
      <c r="Q97" s="1"/>
    </row>
    <row r="98" spans="1:17" ht="13.5" thickBot="1">
      <c r="C98" s="147" t="s">
        <v>66</v>
      </c>
      <c r="D98" s="213" t="s">
        <v>67</v>
      </c>
      <c r="E98" s="147" t="s">
        <v>68</v>
      </c>
      <c r="F98" s="147" t="s">
        <v>67</v>
      </c>
      <c r="G98" s="147" t="s">
        <v>67</v>
      </c>
      <c r="H98" s="407" t="s">
        <v>69</v>
      </c>
      <c r="I98" s="148" t="s">
        <v>70</v>
      </c>
      <c r="J98" s="149" t="s">
        <v>89</v>
      </c>
      <c r="K98" s="150"/>
      <c r="L98" s="151" t="s">
        <v>72</v>
      </c>
      <c r="M98" s="151" t="s">
        <v>72</v>
      </c>
      <c r="N98" s="151" t="s">
        <v>90</v>
      </c>
      <c r="O98" s="151" t="s">
        <v>90</v>
      </c>
      <c r="P98" s="151" t="s">
        <v>90</v>
      </c>
      <c r="Q98" s="1"/>
    </row>
    <row r="99" spans="1:17">
      <c r="C99" s="153">
        <f>IF(D93= "","-",D93)</f>
        <v>2007</v>
      </c>
      <c r="D99" s="357">
        <f>IF(D93=C99,0,D92)</f>
        <v>0</v>
      </c>
      <c r="E99" s="360">
        <v>868</v>
      </c>
      <c r="F99" s="361">
        <f>77090-E99</f>
        <v>76222</v>
      </c>
      <c r="G99" s="365">
        <v>38111</v>
      </c>
      <c r="H99" s="362">
        <v>0</v>
      </c>
      <c r="I99" s="363">
        <v>0</v>
      </c>
      <c r="J99" s="158">
        <f t="shared" ref="J99:J130" si="18">+I99-H99</f>
        <v>0</v>
      </c>
      <c r="K99" s="158"/>
      <c r="L99" s="256">
        <v>0</v>
      </c>
      <c r="M99" s="172">
        <f t="shared" ref="M99:M130" si="19">IF(L99&lt;&gt;0,+H99-L99,0)</f>
        <v>0</v>
      </c>
      <c r="N99" s="256">
        <v>0</v>
      </c>
      <c r="O99" s="172">
        <f t="shared" ref="O99:O130" si="20">IF(N99&lt;&gt;0,+I99-N99,0)</f>
        <v>0</v>
      </c>
      <c r="P99" s="172">
        <f t="shared" ref="P99:P130" si="21">+O99-M99</f>
        <v>0</v>
      </c>
      <c r="Q99" s="1"/>
    </row>
    <row r="100" spans="1:17">
      <c r="B100" s="9" t="str">
        <f>IF(D100=F99,"","IU")</f>
        <v>IU</v>
      </c>
      <c r="C100" s="153">
        <f>IF(D93="","-",+C99+1)</f>
        <v>2008</v>
      </c>
      <c r="D100" s="357">
        <v>122650</v>
      </c>
      <c r="E100" s="360">
        <v>3353</v>
      </c>
      <c r="F100" s="361">
        <v>119297</v>
      </c>
      <c r="G100" s="361">
        <v>120973.5</v>
      </c>
      <c r="H100" s="360">
        <v>22636</v>
      </c>
      <c r="I100" s="359">
        <v>22636</v>
      </c>
      <c r="J100" s="158">
        <f t="shared" si="18"/>
        <v>0</v>
      </c>
      <c r="K100" s="158"/>
      <c r="L100" s="258">
        <v>22636</v>
      </c>
      <c r="M100" s="158">
        <f t="shared" si="19"/>
        <v>0</v>
      </c>
      <c r="N100" s="258">
        <v>22636</v>
      </c>
      <c r="O100" s="158">
        <f t="shared" si="20"/>
        <v>0</v>
      </c>
      <c r="P100" s="158">
        <f t="shared" si="21"/>
        <v>0</v>
      </c>
      <c r="Q100" s="1"/>
    </row>
    <row r="101" spans="1:17">
      <c r="B101" s="9"/>
      <c r="C101" s="153">
        <f>IF(D93="","-",+C100+1)</f>
        <v>2009</v>
      </c>
      <c r="D101" s="357">
        <v>119826</v>
      </c>
      <c r="E101" s="360">
        <v>3264</v>
      </c>
      <c r="F101" s="361">
        <v>116561</v>
      </c>
      <c r="G101" s="361">
        <v>118193</v>
      </c>
      <c r="H101" s="360">
        <v>20371</v>
      </c>
      <c r="I101" s="359">
        <v>20371</v>
      </c>
      <c r="J101" s="158">
        <f t="shared" si="18"/>
        <v>0</v>
      </c>
      <c r="K101" s="158"/>
      <c r="L101" s="258">
        <f t="shared" ref="L101:L106" si="22">H101</f>
        <v>20371</v>
      </c>
      <c r="M101" s="257">
        <f t="shared" si="19"/>
        <v>0</v>
      </c>
      <c r="N101" s="258">
        <f t="shared" ref="N101:N106" si="23">I101</f>
        <v>20371</v>
      </c>
      <c r="O101" s="158">
        <f t="shared" si="20"/>
        <v>0</v>
      </c>
      <c r="P101" s="158">
        <f t="shared" si="21"/>
        <v>0</v>
      </c>
      <c r="Q101" s="1"/>
    </row>
    <row r="102" spans="1:17">
      <c r="B102" s="9" t="str">
        <f t="shared" ref="B102:B154" si="24">IF(D102=F101,"","IU")</f>
        <v>IU</v>
      </c>
      <c r="C102" s="153">
        <f>IF(D93="","-",+C101+1)</f>
        <v>2010</v>
      </c>
      <c r="D102" s="357">
        <v>177762</v>
      </c>
      <c r="E102" s="360">
        <v>4518.2195121951218</v>
      </c>
      <c r="F102" s="361">
        <v>173243.78048780488</v>
      </c>
      <c r="G102" s="361">
        <v>175502.89024390245</v>
      </c>
      <c r="H102" s="360">
        <v>33491.304062009942</v>
      </c>
      <c r="I102" s="359">
        <v>33491.304062009942</v>
      </c>
      <c r="J102" s="158">
        <f t="shared" si="18"/>
        <v>0</v>
      </c>
      <c r="K102" s="158"/>
      <c r="L102" s="258">
        <f t="shared" si="22"/>
        <v>33491.304062009942</v>
      </c>
      <c r="M102" s="257">
        <f t="shared" si="19"/>
        <v>0</v>
      </c>
      <c r="N102" s="258">
        <f t="shared" si="23"/>
        <v>33491.304062009942</v>
      </c>
      <c r="O102" s="158">
        <f t="shared" si="20"/>
        <v>0</v>
      </c>
      <c r="P102" s="158">
        <f t="shared" si="21"/>
        <v>0</v>
      </c>
      <c r="Q102" s="1"/>
    </row>
    <row r="103" spans="1:17">
      <c r="B103" s="9" t="str">
        <f t="shared" si="24"/>
        <v/>
      </c>
      <c r="C103" s="153">
        <f>IF(D93="","-",+C102+1)</f>
        <v>2011</v>
      </c>
      <c r="D103" s="357">
        <v>173243.78048780488</v>
      </c>
      <c r="E103" s="377">
        <v>4410.6428571428569</v>
      </c>
      <c r="F103" s="361">
        <v>168833.13763066201</v>
      </c>
      <c r="G103" s="361">
        <v>171038.45905923343</v>
      </c>
      <c r="H103" s="360">
        <v>30131.389443457461</v>
      </c>
      <c r="I103" s="359">
        <v>30131.389443457461</v>
      </c>
      <c r="J103" s="158">
        <f t="shared" si="18"/>
        <v>0</v>
      </c>
      <c r="K103" s="158"/>
      <c r="L103" s="258">
        <f t="shared" si="22"/>
        <v>30131.389443457461</v>
      </c>
      <c r="M103" s="257">
        <f t="shared" si="19"/>
        <v>0</v>
      </c>
      <c r="N103" s="258">
        <f t="shared" si="23"/>
        <v>30131.389443457461</v>
      </c>
      <c r="O103" s="158">
        <f t="shared" si="20"/>
        <v>0</v>
      </c>
      <c r="P103" s="158">
        <f t="shared" si="21"/>
        <v>0</v>
      </c>
      <c r="Q103" s="1"/>
    </row>
    <row r="104" spans="1:17">
      <c r="B104" s="9" t="str">
        <f t="shared" si="24"/>
        <v/>
      </c>
      <c r="C104" s="153">
        <f>IF(D93="","-",+C103+1)</f>
        <v>2012</v>
      </c>
      <c r="D104" s="357">
        <v>168833.13763066201</v>
      </c>
      <c r="E104" s="360">
        <v>4410.6428571428569</v>
      </c>
      <c r="F104" s="361">
        <v>164422.49477351914</v>
      </c>
      <c r="G104" s="361">
        <v>166627.81620209059</v>
      </c>
      <c r="H104" s="360">
        <v>28930.581157886962</v>
      </c>
      <c r="I104" s="359">
        <v>28930.581157886962</v>
      </c>
      <c r="J104" s="158">
        <f t="shared" si="18"/>
        <v>0</v>
      </c>
      <c r="K104" s="158"/>
      <c r="L104" s="258">
        <f t="shared" si="22"/>
        <v>28930.581157886962</v>
      </c>
      <c r="M104" s="257">
        <f t="shared" si="19"/>
        <v>0</v>
      </c>
      <c r="N104" s="258">
        <f t="shared" si="23"/>
        <v>28930.581157886962</v>
      </c>
      <c r="O104" s="158">
        <f t="shared" si="20"/>
        <v>0</v>
      </c>
      <c r="P104" s="158">
        <f t="shared" si="21"/>
        <v>0</v>
      </c>
      <c r="Q104" s="1"/>
    </row>
    <row r="105" spans="1:17">
      <c r="B105" s="9" t="str">
        <f t="shared" si="24"/>
        <v/>
      </c>
      <c r="C105" s="153">
        <f>IF(D93="","-",+C104+1)</f>
        <v>2013</v>
      </c>
      <c r="D105" s="357">
        <v>164422.49477351914</v>
      </c>
      <c r="E105" s="360">
        <v>4410.6428571428569</v>
      </c>
      <c r="F105" s="361">
        <v>160011.85191637627</v>
      </c>
      <c r="G105" s="361">
        <v>162217.17334494769</v>
      </c>
      <c r="H105" s="360">
        <v>26357.280382807578</v>
      </c>
      <c r="I105" s="359">
        <v>26357.280382807578</v>
      </c>
      <c r="J105" s="158">
        <v>0</v>
      </c>
      <c r="K105" s="158"/>
      <c r="L105" s="258">
        <f t="shared" si="22"/>
        <v>26357.280382807578</v>
      </c>
      <c r="M105" s="257">
        <f>IF(L105&lt;&gt;0,+H105-L105,0)</f>
        <v>0</v>
      </c>
      <c r="N105" s="258">
        <f t="shared" si="23"/>
        <v>26357.280382807578</v>
      </c>
      <c r="O105" s="158">
        <f>IF(N105&lt;&gt;0,+I105-N105,0)</f>
        <v>0</v>
      </c>
      <c r="P105" s="158">
        <f>+O105-M105</f>
        <v>0</v>
      </c>
      <c r="Q105" s="1"/>
    </row>
    <row r="106" spans="1:17">
      <c r="B106" s="9" t="str">
        <f t="shared" si="24"/>
        <v/>
      </c>
      <c r="C106" s="153">
        <f>IF(D93="","-",+C105+1)</f>
        <v>2014</v>
      </c>
      <c r="D106" s="357">
        <v>160011.85191637627</v>
      </c>
      <c r="E106" s="360">
        <v>4410.6428571428569</v>
      </c>
      <c r="F106" s="361">
        <v>155601.2090592334</v>
      </c>
      <c r="G106" s="361">
        <v>157806.53048780485</v>
      </c>
      <c r="H106" s="360">
        <v>25860.252454473681</v>
      </c>
      <c r="I106" s="359">
        <v>25860.252454473681</v>
      </c>
      <c r="J106" s="158">
        <v>0</v>
      </c>
      <c r="K106" s="158"/>
      <c r="L106" s="258">
        <f t="shared" si="22"/>
        <v>25860.252454473681</v>
      </c>
      <c r="M106" s="257">
        <f>IF(L106&lt;&gt;0,+H106-L106,0)</f>
        <v>0</v>
      </c>
      <c r="N106" s="258">
        <f t="shared" si="23"/>
        <v>25860.252454473681</v>
      </c>
      <c r="O106" s="158">
        <f>IF(N106&lt;&gt;0,+I106-N106,0)</f>
        <v>0</v>
      </c>
      <c r="P106" s="158">
        <f>+O106-M106</f>
        <v>0</v>
      </c>
      <c r="Q106" s="1"/>
    </row>
    <row r="107" spans="1:17">
      <c r="B107" s="9" t="str">
        <f t="shared" si="24"/>
        <v/>
      </c>
      <c r="C107" s="153">
        <f>IF(D93="","-",+C106+1)</f>
        <v>2015</v>
      </c>
      <c r="D107" s="357">
        <v>155601.2090592334</v>
      </c>
      <c r="E107" s="360">
        <v>4410.6428571428569</v>
      </c>
      <c r="F107" s="361">
        <v>151190.56620209053</v>
      </c>
      <c r="G107" s="361">
        <v>153395.88763066195</v>
      </c>
      <c r="H107" s="360">
        <v>24623.446840873446</v>
      </c>
      <c r="I107" s="359">
        <v>24623.446840873446</v>
      </c>
      <c r="J107" s="158">
        <f t="shared" si="18"/>
        <v>0</v>
      </c>
      <c r="K107" s="158"/>
      <c r="L107" s="258">
        <f>H107</f>
        <v>24623.446840873446</v>
      </c>
      <c r="M107" s="257">
        <f>IF(L107&lt;&gt;0,+H107-L107,0)</f>
        <v>0</v>
      </c>
      <c r="N107" s="258">
        <f>I107</f>
        <v>24623.446840873446</v>
      </c>
      <c r="O107" s="158">
        <f>IF(N107&lt;&gt;0,+I107-N107,0)</f>
        <v>0</v>
      </c>
      <c r="P107" s="158">
        <f>+O107-M107</f>
        <v>0</v>
      </c>
      <c r="Q107" s="1"/>
    </row>
    <row r="108" spans="1:17">
      <c r="B108" s="9" t="str">
        <f t="shared" si="24"/>
        <v/>
      </c>
      <c r="C108" s="153">
        <f>IF(D93="","-",+C107+1)</f>
        <v>2016</v>
      </c>
      <c r="D108" s="357">
        <v>151190.56620209053</v>
      </c>
      <c r="E108" s="360">
        <v>4308.0697674418607</v>
      </c>
      <c r="F108" s="361">
        <v>146882.49643464867</v>
      </c>
      <c r="G108" s="361">
        <v>149036.53131836961</v>
      </c>
      <c r="H108" s="360">
        <v>23228.255672846972</v>
      </c>
      <c r="I108" s="359">
        <v>23228.255672846972</v>
      </c>
      <c r="J108" s="158">
        <v>0</v>
      </c>
      <c r="K108" s="158"/>
      <c r="L108" s="258">
        <f>H108</f>
        <v>23228.255672846972</v>
      </c>
      <c r="M108" s="257">
        <f>IF(L108&lt;&gt;0,+H108-L108,0)</f>
        <v>0</v>
      </c>
      <c r="N108" s="258">
        <f>I108</f>
        <v>23228.255672846972</v>
      </c>
      <c r="O108" s="158">
        <f>IF(N108&lt;&gt;0,+I108-N108,0)</f>
        <v>0</v>
      </c>
      <c r="P108" s="158">
        <f>+O108-M108</f>
        <v>0</v>
      </c>
      <c r="Q108" s="1"/>
    </row>
    <row r="109" spans="1:17">
      <c r="B109" s="9" t="str">
        <f t="shared" si="24"/>
        <v/>
      </c>
      <c r="C109" s="153">
        <f>IF(D93="","-",+C108+1)</f>
        <v>2017</v>
      </c>
      <c r="D109" s="154">
        <f>IF(F108+SUM(E$99:E108)=D$92,F108,D$92-SUM(E$99:E108))</f>
        <v>146882.49643464867</v>
      </c>
      <c r="E109" s="160">
        <f>IF(+J96&lt;F108,J96,D109)</f>
        <v>4410.6428571428569</v>
      </c>
      <c r="F109" s="159">
        <f t="shared" ref="F109:F130" si="25">+D109-E109</f>
        <v>142471.8535775058</v>
      </c>
      <c r="G109" s="159">
        <f t="shared" ref="G109:G130" si="26">+(F109+D109)/2</f>
        <v>144677.17500607722</v>
      </c>
      <c r="H109" s="163">
        <f>+J$94*G109+E109</f>
        <v>21984.790198731629</v>
      </c>
      <c r="I109" s="253">
        <f>+J$95*G109+E109</f>
        <v>21984.790198731629</v>
      </c>
      <c r="J109" s="158">
        <f t="shared" si="18"/>
        <v>0</v>
      </c>
      <c r="K109" s="158"/>
      <c r="L109" s="334"/>
      <c r="M109" s="158">
        <f t="shared" si="19"/>
        <v>0</v>
      </c>
      <c r="N109" s="334"/>
      <c r="O109" s="158">
        <f t="shared" si="20"/>
        <v>0</v>
      </c>
      <c r="P109" s="158">
        <f t="shared" si="21"/>
        <v>0</v>
      </c>
      <c r="Q109" s="1"/>
    </row>
    <row r="110" spans="1:17">
      <c r="B110" s="9" t="str">
        <f t="shared" si="24"/>
        <v/>
      </c>
      <c r="C110" s="153">
        <f>IF(D93="","-",+C109+1)</f>
        <v>2018</v>
      </c>
      <c r="D110" s="154">
        <f>IF(F109+SUM(E$99:E109)=D$92,F109,D$92-SUM(E$99:E109))</f>
        <v>142471.8535775058</v>
      </c>
      <c r="E110" s="160">
        <f>IF(+J96&lt;F109,J96,D110)</f>
        <v>4410.6428571428569</v>
      </c>
      <c r="F110" s="159">
        <f t="shared" si="25"/>
        <v>138061.21072036293</v>
      </c>
      <c r="G110" s="159">
        <f t="shared" si="26"/>
        <v>140266.53214893438</v>
      </c>
      <c r="H110" s="163">
        <f>+J$94*G110+E110</f>
        <v>21449.022981551047</v>
      </c>
      <c r="I110" s="253">
        <f>+J$95*G110+E110</f>
        <v>21449.022981551047</v>
      </c>
      <c r="J110" s="158">
        <f t="shared" si="18"/>
        <v>0</v>
      </c>
      <c r="K110" s="158"/>
      <c r="L110" s="334"/>
      <c r="M110" s="158">
        <f t="shared" si="19"/>
        <v>0</v>
      </c>
      <c r="N110" s="334"/>
      <c r="O110" s="158">
        <f t="shared" si="20"/>
        <v>0</v>
      </c>
      <c r="P110" s="158">
        <f t="shared" si="21"/>
        <v>0</v>
      </c>
      <c r="Q110" s="1"/>
    </row>
    <row r="111" spans="1:17">
      <c r="B111" s="9" t="str">
        <f t="shared" si="24"/>
        <v/>
      </c>
      <c r="C111" s="153">
        <f>IF(D93="","-",+C110+1)</f>
        <v>2019</v>
      </c>
      <c r="D111" s="154">
        <f>IF(F110+SUM(E$99:E110)=D$92,F110,D$92-SUM(E$99:E110))</f>
        <v>138061.21072036293</v>
      </c>
      <c r="E111" s="160">
        <f>IF(+J96&lt;F110,J96,D111)</f>
        <v>4410.6428571428569</v>
      </c>
      <c r="F111" s="159">
        <f t="shared" si="25"/>
        <v>133650.56786322006</v>
      </c>
      <c r="G111" s="159">
        <f t="shared" si="26"/>
        <v>135855.88929179148</v>
      </c>
      <c r="H111" s="163">
        <f>+J$94*G111+E111</f>
        <v>20913.255764370457</v>
      </c>
      <c r="I111" s="253">
        <f>+J$95*G111+E111</f>
        <v>20913.255764370457</v>
      </c>
      <c r="J111" s="158">
        <f t="shared" si="18"/>
        <v>0</v>
      </c>
      <c r="K111" s="158"/>
      <c r="L111" s="334"/>
      <c r="M111" s="158">
        <f t="shared" si="19"/>
        <v>0</v>
      </c>
      <c r="N111" s="334"/>
      <c r="O111" s="158">
        <f t="shared" si="20"/>
        <v>0</v>
      </c>
      <c r="P111" s="158">
        <f t="shared" si="21"/>
        <v>0</v>
      </c>
      <c r="Q111" s="1"/>
    </row>
    <row r="112" spans="1:17">
      <c r="B112" s="9" t="str">
        <f t="shared" si="24"/>
        <v/>
      </c>
      <c r="C112" s="153">
        <f>IF(D93="","-",+C111+1)</f>
        <v>2020</v>
      </c>
      <c r="D112" s="154">
        <f>IF(F111+SUM(E$99:E111)=D$92,F111,D$92-SUM(E$99:E111))</f>
        <v>133650.56786322006</v>
      </c>
      <c r="E112" s="160">
        <f>IF(+J96&lt;F111,J96,D112)</f>
        <v>4410.6428571428569</v>
      </c>
      <c r="F112" s="159">
        <f t="shared" si="25"/>
        <v>129239.9250060772</v>
      </c>
      <c r="G112" s="159">
        <f t="shared" si="26"/>
        <v>131445.24643464864</v>
      </c>
      <c r="H112" s="163">
        <f>+J$94*G112+E112</f>
        <v>20377.488547189874</v>
      </c>
      <c r="I112" s="253">
        <f>+J$95*G112+E112</f>
        <v>20377.488547189874</v>
      </c>
      <c r="J112" s="158">
        <f t="shared" si="18"/>
        <v>0</v>
      </c>
      <c r="K112" s="158"/>
      <c r="L112" s="334"/>
      <c r="M112" s="158">
        <f t="shared" si="19"/>
        <v>0</v>
      </c>
      <c r="N112" s="334"/>
      <c r="O112" s="158">
        <f t="shared" si="20"/>
        <v>0</v>
      </c>
      <c r="P112" s="158">
        <f t="shared" si="21"/>
        <v>0</v>
      </c>
      <c r="Q112" s="1"/>
    </row>
    <row r="113" spans="2:17">
      <c r="B113" s="9" t="str">
        <f t="shared" si="24"/>
        <v/>
      </c>
      <c r="C113" s="153">
        <f>IF(D93="","-",+C112+1)</f>
        <v>2021</v>
      </c>
      <c r="D113" s="154">
        <f>IF(F112+SUM(E$99:E112)=D$92,F112,D$92-SUM(E$99:E112))</f>
        <v>129239.9250060772</v>
      </c>
      <c r="E113" s="160">
        <f>IF(+J96&lt;F112,J96,D113)</f>
        <v>4410.6428571428569</v>
      </c>
      <c r="F113" s="159">
        <f t="shared" si="25"/>
        <v>124829.28214893435</v>
      </c>
      <c r="G113" s="159">
        <f t="shared" si="26"/>
        <v>127034.60357750577</v>
      </c>
      <c r="H113" s="163">
        <f t="shared" ref="H113:H154" si="27">+J$94*G113+E113</f>
        <v>19841.721330009284</v>
      </c>
      <c r="I113" s="253">
        <f t="shared" ref="I113:I154" si="28">+J$95*G113+E113</f>
        <v>19841.721330009284</v>
      </c>
      <c r="J113" s="158">
        <f t="shared" si="18"/>
        <v>0</v>
      </c>
      <c r="K113" s="158"/>
      <c r="L113" s="334"/>
      <c r="M113" s="158">
        <f t="shared" si="19"/>
        <v>0</v>
      </c>
      <c r="N113" s="334"/>
      <c r="O113" s="158">
        <f t="shared" si="20"/>
        <v>0</v>
      </c>
      <c r="P113" s="158">
        <f t="shared" si="21"/>
        <v>0</v>
      </c>
      <c r="Q113" s="1"/>
    </row>
    <row r="114" spans="2:17">
      <c r="B114" s="9" t="str">
        <f t="shared" si="24"/>
        <v/>
      </c>
      <c r="C114" s="153">
        <f>IF(D93="","-",+C113+1)</f>
        <v>2022</v>
      </c>
      <c r="D114" s="154">
        <f>IF(F113+SUM(E$99:E113)=D$92,F113,D$92-SUM(E$99:E113))</f>
        <v>124829.28214893435</v>
      </c>
      <c r="E114" s="160">
        <f>IF(+J96&lt;F113,J96,D114)</f>
        <v>4410.6428571428569</v>
      </c>
      <c r="F114" s="159">
        <f t="shared" si="25"/>
        <v>120418.63929179149</v>
      </c>
      <c r="G114" s="159">
        <f t="shared" si="26"/>
        <v>122623.96072036293</v>
      </c>
      <c r="H114" s="163">
        <f t="shared" si="27"/>
        <v>19305.954112828702</v>
      </c>
      <c r="I114" s="253">
        <f t="shared" si="28"/>
        <v>19305.954112828702</v>
      </c>
      <c r="J114" s="158">
        <f t="shared" si="18"/>
        <v>0</v>
      </c>
      <c r="K114" s="158"/>
      <c r="L114" s="334"/>
      <c r="M114" s="158">
        <f t="shared" si="19"/>
        <v>0</v>
      </c>
      <c r="N114" s="334"/>
      <c r="O114" s="158">
        <f t="shared" si="20"/>
        <v>0</v>
      </c>
      <c r="P114" s="158">
        <f t="shared" si="21"/>
        <v>0</v>
      </c>
      <c r="Q114" s="1"/>
    </row>
    <row r="115" spans="2:17">
      <c r="B115" s="9" t="str">
        <f t="shared" si="24"/>
        <v/>
      </c>
      <c r="C115" s="153">
        <f>IF(D93="","-",+C114+1)</f>
        <v>2023</v>
      </c>
      <c r="D115" s="154">
        <f>IF(F114+SUM(E$99:E114)=D$92,F114,D$92-SUM(E$99:E114))</f>
        <v>120418.63929179149</v>
      </c>
      <c r="E115" s="160">
        <f>IF(+J96&lt;F114,J96,D115)</f>
        <v>4410.6428571428569</v>
      </c>
      <c r="F115" s="159">
        <f t="shared" si="25"/>
        <v>116007.99643464864</v>
      </c>
      <c r="G115" s="159">
        <f t="shared" si="26"/>
        <v>118213.31786322006</v>
      </c>
      <c r="H115" s="163">
        <f t="shared" si="27"/>
        <v>18770.186895648112</v>
      </c>
      <c r="I115" s="253">
        <f t="shared" si="28"/>
        <v>18770.186895648112</v>
      </c>
      <c r="J115" s="158">
        <f t="shared" si="18"/>
        <v>0</v>
      </c>
      <c r="K115" s="158"/>
      <c r="L115" s="334"/>
      <c r="M115" s="158">
        <f t="shared" si="19"/>
        <v>0</v>
      </c>
      <c r="N115" s="334"/>
      <c r="O115" s="158">
        <f t="shared" si="20"/>
        <v>0</v>
      </c>
      <c r="P115" s="158">
        <f t="shared" si="21"/>
        <v>0</v>
      </c>
      <c r="Q115" s="1"/>
    </row>
    <row r="116" spans="2:17">
      <c r="B116" s="9" t="str">
        <f t="shared" si="24"/>
        <v/>
      </c>
      <c r="C116" s="153">
        <f>IF(D93="","-",+C115+1)</f>
        <v>2024</v>
      </c>
      <c r="D116" s="154">
        <f>IF(F115+SUM(E$99:E115)=D$92,F115,D$92-SUM(E$99:E115))</f>
        <v>116007.99643464864</v>
      </c>
      <c r="E116" s="160">
        <f>IF(+J96&lt;F115,J96,D116)</f>
        <v>4410.6428571428569</v>
      </c>
      <c r="F116" s="159">
        <f t="shared" si="25"/>
        <v>111597.35357750578</v>
      </c>
      <c r="G116" s="159">
        <f t="shared" si="26"/>
        <v>113802.67500607722</v>
      </c>
      <c r="H116" s="163">
        <f t="shared" si="27"/>
        <v>18234.41967846753</v>
      </c>
      <c r="I116" s="253">
        <f t="shared" si="28"/>
        <v>18234.41967846753</v>
      </c>
      <c r="J116" s="158">
        <f t="shared" si="18"/>
        <v>0</v>
      </c>
      <c r="K116" s="158"/>
      <c r="L116" s="334"/>
      <c r="M116" s="158">
        <f t="shared" si="19"/>
        <v>0</v>
      </c>
      <c r="N116" s="334"/>
      <c r="O116" s="158">
        <f t="shared" si="20"/>
        <v>0</v>
      </c>
      <c r="P116" s="158">
        <f t="shared" si="21"/>
        <v>0</v>
      </c>
      <c r="Q116" s="1"/>
    </row>
    <row r="117" spans="2:17">
      <c r="B117" s="9" t="str">
        <f t="shared" si="24"/>
        <v/>
      </c>
      <c r="C117" s="153">
        <f>IF(D93="","-",+C116+1)</f>
        <v>2025</v>
      </c>
      <c r="D117" s="154">
        <f>IF(F116+SUM(E$99:E116)=D$92,F116,D$92-SUM(E$99:E116))</f>
        <v>111597.35357750578</v>
      </c>
      <c r="E117" s="160">
        <f>IF(+J96&lt;F116,J96,D117)</f>
        <v>4410.6428571428569</v>
      </c>
      <c r="F117" s="159">
        <f t="shared" si="25"/>
        <v>107186.71072036293</v>
      </c>
      <c r="G117" s="159">
        <f t="shared" si="26"/>
        <v>109392.03214893435</v>
      </c>
      <c r="H117" s="163">
        <f t="shared" si="27"/>
        <v>17698.65246128694</v>
      </c>
      <c r="I117" s="253">
        <f t="shared" si="28"/>
        <v>17698.65246128694</v>
      </c>
      <c r="J117" s="158">
        <f t="shared" si="18"/>
        <v>0</v>
      </c>
      <c r="K117" s="158"/>
      <c r="L117" s="334"/>
      <c r="M117" s="158">
        <f t="shared" si="19"/>
        <v>0</v>
      </c>
      <c r="N117" s="334"/>
      <c r="O117" s="158">
        <f t="shared" si="20"/>
        <v>0</v>
      </c>
      <c r="P117" s="158">
        <f t="shared" si="21"/>
        <v>0</v>
      </c>
      <c r="Q117" s="1"/>
    </row>
    <row r="118" spans="2:17">
      <c r="B118" s="9" t="str">
        <f t="shared" si="24"/>
        <v/>
      </c>
      <c r="C118" s="153">
        <f>IF(D93="","-",+C117+1)</f>
        <v>2026</v>
      </c>
      <c r="D118" s="154">
        <f>IF(F117+SUM(E$99:E117)=D$92,F117,D$92-SUM(E$99:E117))</f>
        <v>107186.71072036293</v>
      </c>
      <c r="E118" s="160">
        <f>IF(+J96&lt;F117,J96,D118)</f>
        <v>4410.6428571428569</v>
      </c>
      <c r="F118" s="159">
        <f t="shared" si="25"/>
        <v>102776.06786322007</v>
      </c>
      <c r="G118" s="159">
        <f t="shared" si="26"/>
        <v>104981.38929179151</v>
      </c>
      <c r="H118" s="163">
        <f t="shared" si="27"/>
        <v>17162.885244106357</v>
      </c>
      <c r="I118" s="253">
        <f t="shared" si="28"/>
        <v>17162.885244106357</v>
      </c>
      <c r="J118" s="158">
        <f t="shared" si="18"/>
        <v>0</v>
      </c>
      <c r="K118" s="158"/>
      <c r="L118" s="334"/>
      <c r="M118" s="158">
        <f t="shared" si="19"/>
        <v>0</v>
      </c>
      <c r="N118" s="334"/>
      <c r="O118" s="158">
        <f t="shared" si="20"/>
        <v>0</v>
      </c>
      <c r="P118" s="158">
        <f t="shared" si="21"/>
        <v>0</v>
      </c>
      <c r="Q118" s="1"/>
    </row>
    <row r="119" spans="2:17">
      <c r="B119" s="9" t="str">
        <f t="shared" si="24"/>
        <v/>
      </c>
      <c r="C119" s="153">
        <f>IF(D93="","-",+C118+1)</f>
        <v>2027</v>
      </c>
      <c r="D119" s="154">
        <f>IF(F118+SUM(E$99:E118)=D$92,F118,D$92-SUM(E$99:E118))</f>
        <v>102776.06786322007</v>
      </c>
      <c r="E119" s="160">
        <f>IF(+J96&lt;F118,J96,D119)</f>
        <v>4410.6428571428569</v>
      </c>
      <c r="F119" s="159">
        <f t="shared" si="25"/>
        <v>98365.425006077217</v>
      </c>
      <c r="G119" s="159">
        <f t="shared" si="26"/>
        <v>100570.74643464864</v>
      </c>
      <c r="H119" s="163">
        <f t="shared" si="27"/>
        <v>16627.118026925767</v>
      </c>
      <c r="I119" s="253">
        <f t="shared" si="28"/>
        <v>16627.118026925767</v>
      </c>
      <c r="J119" s="158">
        <f t="shared" si="18"/>
        <v>0</v>
      </c>
      <c r="K119" s="158"/>
      <c r="L119" s="334"/>
      <c r="M119" s="158">
        <f t="shared" si="19"/>
        <v>0</v>
      </c>
      <c r="N119" s="334"/>
      <c r="O119" s="158">
        <f t="shared" si="20"/>
        <v>0</v>
      </c>
      <c r="P119" s="158">
        <f t="shared" si="21"/>
        <v>0</v>
      </c>
      <c r="Q119" s="1"/>
    </row>
    <row r="120" spans="2:17">
      <c r="B120" s="9" t="str">
        <f t="shared" si="24"/>
        <v/>
      </c>
      <c r="C120" s="153">
        <f>IF(D93="","-",+C119+1)</f>
        <v>2028</v>
      </c>
      <c r="D120" s="154">
        <f>IF(F119+SUM(E$99:E119)=D$92,F119,D$92-SUM(E$99:E119))</f>
        <v>98365.425006077217</v>
      </c>
      <c r="E120" s="160">
        <f>IF(+J96&lt;F119,J96,D120)</f>
        <v>4410.6428571428569</v>
      </c>
      <c r="F120" s="159">
        <f t="shared" si="25"/>
        <v>93954.782148934362</v>
      </c>
      <c r="G120" s="159">
        <f t="shared" si="26"/>
        <v>96160.103577505797</v>
      </c>
      <c r="H120" s="163">
        <f t="shared" si="27"/>
        <v>16091.350809745183</v>
      </c>
      <c r="I120" s="253">
        <f t="shared" si="28"/>
        <v>16091.350809745183</v>
      </c>
      <c r="J120" s="158">
        <f t="shared" si="18"/>
        <v>0</v>
      </c>
      <c r="K120" s="158"/>
      <c r="L120" s="334"/>
      <c r="M120" s="158">
        <f t="shared" si="19"/>
        <v>0</v>
      </c>
      <c r="N120" s="334"/>
      <c r="O120" s="158">
        <f t="shared" si="20"/>
        <v>0</v>
      </c>
      <c r="P120" s="158">
        <f t="shared" si="21"/>
        <v>0</v>
      </c>
      <c r="Q120" s="1"/>
    </row>
    <row r="121" spans="2:17">
      <c r="B121" s="9" t="str">
        <f t="shared" si="24"/>
        <v/>
      </c>
      <c r="C121" s="153">
        <f>IF(D93="","-",+C120+1)</f>
        <v>2029</v>
      </c>
      <c r="D121" s="154">
        <f>IF(F120+SUM(E$99:E120)=D$92,F120,D$92-SUM(E$99:E120))</f>
        <v>93954.782148934362</v>
      </c>
      <c r="E121" s="160">
        <f>IF(+J96&lt;F120,J96,D121)</f>
        <v>4410.6428571428569</v>
      </c>
      <c r="F121" s="159">
        <f t="shared" si="25"/>
        <v>89544.139291791507</v>
      </c>
      <c r="G121" s="159">
        <f t="shared" si="26"/>
        <v>91749.460720362928</v>
      </c>
      <c r="H121" s="163">
        <f t="shared" si="27"/>
        <v>15555.583592564597</v>
      </c>
      <c r="I121" s="253">
        <f t="shared" si="28"/>
        <v>15555.583592564597</v>
      </c>
      <c r="J121" s="158">
        <f t="shared" si="18"/>
        <v>0</v>
      </c>
      <c r="K121" s="158"/>
      <c r="L121" s="334"/>
      <c r="M121" s="158">
        <f t="shared" si="19"/>
        <v>0</v>
      </c>
      <c r="N121" s="334"/>
      <c r="O121" s="158">
        <f t="shared" si="20"/>
        <v>0</v>
      </c>
      <c r="P121" s="158">
        <f t="shared" si="21"/>
        <v>0</v>
      </c>
      <c r="Q121" s="1"/>
    </row>
    <row r="122" spans="2:17">
      <c r="B122" s="9" t="str">
        <f t="shared" si="24"/>
        <v/>
      </c>
      <c r="C122" s="153">
        <f>IF(D93="","-",+C121+1)</f>
        <v>2030</v>
      </c>
      <c r="D122" s="154">
        <f>IF(F121+SUM(E$99:E121)=D$92,F121,D$92-SUM(E$99:E121))</f>
        <v>89544.139291791507</v>
      </c>
      <c r="E122" s="160">
        <f>IF(+J96&lt;F121,J96,D122)</f>
        <v>4410.6428571428569</v>
      </c>
      <c r="F122" s="159">
        <f t="shared" si="25"/>
        <v>85133.496434648652</v>
      </c>
      <c r="G122" s="159">
        <f t="shared" si="26"/>
        <v>87338.817863220087</v>
      </c>
      <c r="H122" s="163">
        <f t="shared" si="27"/>
        <v>15019.816375384013</v>
      </c>
      <c r="I122" s="253">
        <f t="shared" si="28"/>
        <v>15019.816375384013</v>
      </c>
      <c r="J122" s="158">
        <f t="shared" si="18"/>
        <v>0</v>
      </c>
      <c r="K122" s="158"/>
      <c r="L122" s="334"/>
      <c r="M122" s="158">
        <f t="shared" si="19"/>
        <v>0</v>
      </c>
      <c r="N122" s="334"/>
      <c r="O122" s="158">
        <f t="shared" si="20"/>
        <v>0</v>
      </c>
      <c r="P122" s="158">
        <f t="shared" si="21"/>
        <v>0</v>
      </c>
      <c r="Q122" s="1"/>
    </row>
    <row r="123" spans="2:17">
      <c r="B123" s="9" t="str">
        <f t="shared" si="24"/>
        <v/>
      </c>
      <c r="C123" s="153">
        <f>IF(D93="","-",+C122+1)</f>
        <v>2031</v>
      </c>
      <c r="D123" s="154">
        <f>IF(F122+SUM(E$99:E122)=D$92,F122,D$92-SUM(E$99:E122))</f>
        <v>85133.496434648652</v>
      </c>
      <c r="E123" s="160">
        <f>IF(+J96&lt;F122,J96,D123)</f>
        <v>4410.6428571428569</v>
      </c>
      <c r="F123" s="159">
        <f t="shared" si="25"/>
        <v>80722.853577505797</v>
      </c>
      <c r="G123" s="159">
        <f t="shared" si="26"/>
        <v>82928.175006077217</v>
      </c>
      <c r="H123" s="163">
        <f t="shared" si="27"/>
        <v>14484.049158203425</v>
      </c>
      <c r="I123" s="253">
        <f t="shared" si="28"/>
        <v>14484.049158203425</v>
      </c>
      <c r="J123" s="158">
        <f t="shared" si="18"/>
        <v>0</v>
      </c>
      <c r="K123" s="158"/>
      <c r="L123" s="334"/>
      <c r="M123" s="158">
        <f t="shared" si="19"/>
        <v>0</v>
      </c>
      <c r="N123" s="334"/>
      <c r="O123" s="158">
        <f t="shared" si="20"/>
        <v>0</v>
      </c>
      <c r="P123" s="158">
        <f t="shared" si="21"/>
        <v>0</v>
      </c>
      <c r="Q123" s="1"/>
    </row>
    <row r="124" spans="2:17">
      <c r="B124" s="9" t="str">
        <f t="shared" si="24"/>
        <v/>
      </c>
      <c r="C124" s="153">
        <f>IF(D93="","-",+C123+1)</f>
        <v>2032</v>
      </c>
      <c r="D124" s="154">
        <f>IF(F123+SUM(E$99:E123)=D$92,F123,D$92-SUM(E$99:E123))</f>
        <v>80722.853577505797</v>
      </c>
      <c r="E124" s="160">
        <f>IF(+J96&lt;F123,J96,D124)</f>
        <v>4410.6428571428569</v>
      </c>
      <c r="F124" s="159">
        <f t="shared" si="25"/>
        <v>76312.210720362942</v>
      </c>
      <c r="G124" s="159">
        <f t="shared" si="26"/>
        <v>78517.532148934377</v>
      </c>
      <c r="H124" s="163">
        <f t="shared" si="27"/>
        <v>13948.28194102284</v>
      </c>
      <c r="I124" s="253">
        <f t="shared" si="28"/>
        <v>13948.28194102284</v>
      </c>
      <c r="J124" s="158">
        <f t="shared" si="18"/>
        <v>0</v>
      </c>
      <c r="K124" s="158"/>
      <c r="L124" s="334"/>
      <c r="M124" s="158">
        <f t="shared" si="19"/>
        <v>0</v>
      </c>
      <c r="N124" s="334"/>
      <c r="O124" s="158">
        <f t="shared" si="20"/>
        <v>0</v>
      </c>
      <c r="P124" s="158">
        <f t="shared" si="21"/>
        <v>0</v>
      </c>
      <c r="Q124" s="1"/>
    </row>
    <row r="125" spans="2:17">
      <c r="B125" s="9" t="str">
        <f t="shared" si="24"/>
        <v/>
      </c>
      <c r="C125" s="153">
        <f>IF(D93="","-",+C124+1)</f>
        <v>2033</v>
      </c>
      <c r="D125" s="154">
        <f>IF(F124+SUM(E$99:E124)=D$92,F124,D$92-SUM(E$99:E124))</f>
        <v>76312.210720362942</v>
      </c>
      <c r="E125" s="160">
        <f>IF(+J96&lt;F124,J96,D125)</f>
        <v>4410.6428571428569</v>
      </c>
      <c r="F125" s="159">
        <f t="shared" si="25"/>
        <v>71901.567863220087</v>
      </c>
      <c r="G125" s="159">
        <f t="shared" si="26"/>
        <v>74106.889291791507</v>
      </c>
      <c r="H125" s="163">
        <f t="shared" si="27"/>
        <v>13412.514723842252</v>
      </c>
      <c r="I125" s="253">
        <f t="shared" si="28"/>
        <v>13412.514723842252</v>
      </c>
      <c r="J125" s="158">
        <f t="shared" si="18"/>
        <v>0</v>
      </c>
      <c r="K125" s="158"/>
      <c r="L125" s="334"/>
      <c r="M125" s="158">
        <f t="shared" si="19"/>
        <v>0</v>
      </c>
      <c r="N125" s="334"/>
      <c r="O125" s="158">
        <f t="shared" si="20"/>
        <v>0</v>
      </c>
      <c r="P125" s="158">
        <f t="shared" si="21"/>
        <v>0</v>
      </c>
      <c r="Q125" s="1"/>
    </row>
    <row r="126" spans="2:17">
      <c r="B126" s="9" t="str">
        <f t="shared" si="24"/>
        <v/>
      </c>
      <c r="C126" s="153">
        <f>IF(D93="","-",+C125+1)</f>
        <v>2034</v>
      </c>
      <c r="D126" s="154">
        <f>IF(F125+SUM(E$99:E125)=D$92,F125,D$92-SUM(E$99:E125))</f>
        <v>71901.567863220087</v>
      </c>
      <c r="E126" s="160">
        <f>IF(+J96&lt;F125,J96,D126)</f>
        <v>4410.6428571428569</v>
      </c>
      <c r="F126" s="159">
        <f t="shared" si="25"/>
        <v>67490.925006077232</v>
      </c>
      <c r="G126" s="159">
        <f t="shared" si="26"/>
        <v>69696.246434648667</v>
      </c>
      <c r="H126" s="163">
        <f t="shared" si="27"/>
        <v>12876.747506661668</v>
      </c>
      <c r="I126" s="253">
        <f t="shared" si="28"/>
        <v>12876.747506661668</v>
      </c>
      <c r="J126" s="158">
        <f t="shared" si="18"/>
        <v>0</v>
      </c>
      <c r="K126" s="158"/>
      <c r="L126" s="334"/>
      <c r="M126" s="158">
        <f t="shared" si="19"/>
        <v>0</v>
      </c>
      <c r="N126" s="334"/>
      <c r="O126" s="158">
        <f t="shared" si="20"/>
        <v>0</v>
      </c>
      <c r="P126" s="158">
        <f t="shared" si="21"/>
        <v>0</v>
      </c>
      <c r="Q126" s="1"/>
    </row>
    <row r="127" spans="2:17">
      <c r="B127" s="9" t="str">
        <f t="shared" si="24"/>
        <v/>
      </c>
      <c r="C127" s="153">
        <f>IF(D93="","-",+C126+1)</f>
        <v>2035</v>
      </c>
      <c r="D127" s="154">
        <f>IF(F126+SUM(E$99:E126)=D$92,F126,D$92-SUM(E$99:E126))</f>
        <v>67490.925006077232</v>
      </c>
      <c r="E127" s="160">
        <f>IF(+J96&lt;F126,J96,D127)</f>
        <v>4410.6428571428569</v>
      </c>
      <c r="F127" s="159">
        <f t="shared" si="25"/>
        <v>63080.282148934377</v>
      </c>
      <c r="G127" s="159">
        <f t="shared" si="26"/>
        <v>65285.603577505804</v>
      </c>
      <c r="H127" s="163">
        <f t="shared" si="27"/>
        <v>12340.980289481082</v>
      </c>
      <c r="I127" s="253">
        <f t="shared" si="28"/>
        <v>12340.980289481082</v>
      </c>
      <c r="J127" s="158">
        <f t="shared" si="18"/>
        <v>0</v>
      </c>
      <c r="K127" s="158"/>
      <c r="L127" s="334"/>
      <c r="M127" s="158">
        <f t="shared" si="19"/>
        <v>0</v>
      </c>
      <c r="N127" s="334"/>
      <c r="O127" s="158">
        <f t="shared" si="20"/>
        <v>0</v>
      </c>
      <c r="P127" s="158">
        <f t="shared" si="21"/>
        <v>0</v>
      </c>
      <c r="Q127" s="1"/>
    </row>
    <row r="128" spans="2:17">
      <c r="B128" s="9" t="str">
        <f t="shared" si="24"/>
        <v/>
      </c>
      <c r="C128" s="153">
        <f>IF(D93="","-",+C127+1)</f>
        <v>2036</v>
      </c>
      <c r="D128" s="154">
        <f>IF(F127+SUM(E$99:E127)=D$92,F127,D$92-SUM(E$99:E127))</f>
        <v>63080.282148934377</v>
      </c>
      <c r="E128" s="160">
        <f>IF(+J96&lt;F127,J96,D128)</f>
        <v>4410.6428571428569</v>
      </c>
      <c r="F128" s="159">
        <f t="shared" si="25"/>
        <v>58669.639291791522</v>
      </c>
      <c r="G128" s="159">
        <f t="shared" si="26"/>
        <v>60874.960720362949</v>
      </c>
      <c r="H128" s="163">
        <f t="shared" si="27"/>
        <v>11805.213072300496</v>
      </c>
      <c r="I128" s="253">
        <f t="shared" si="28"/>
        <v>11805.213072300496</v>
      </c>
      <c r="J128" s="158">
        <f t="shared" si="18"/>
        <v>0</v>
      </c>
      <c r="K128" s="158"/>
      <c r="L128" s="334"/>
      <c r="M128" s="158">
        <f t="shared" si="19"/>
        <v>0</v>
      </c>
      <c r="N128" s="334"/>
      <c r="O128" s="158">
        <f t="shared" si="20"/>
        <v>0</v>
      </c>
      <c r="P128" s="158">
        <f t="shared" si="21"/>
        <v>0</v>
      </c>
      <c r="Q128" s="1"/>
    </row>
    <row r="129" spans="2:17">
      <c r="B129" s="9" t="str">
        <f t="shared" si="24"/>
        <v/>
      </c>
      <c r="C129" s="153">
        <f>IF(D93="","-",+C128+1)</f>
        <v>2037</v>
      </c>
      <c r="D129" s="154">
        <f>IF(F128+SUM(E$99:E128)=D$92,F128,D$92-SUM(E$99:E128))</f>
        <v>58669.639291791522</v>
      </c>
      <c r="E129" s="160">
        <f>IF(+J96&lt;F128,J96,D129)</f>
        <v>4410.6428571428569</v>
      </c>
      <c r="F129" s="159">
        <f t="shared" si="25"/>
        <v>54258.996434648667</v>
      </c>
      <c r="G129" s="159">
        <f t="shared" si="26"/>
        <v>56464.317863220094</v>
      </c>
      <c r="H129" s="163">
        <f t="shared" si="27"/>
        <v>11269.44585511991</v>
      </c>
      <c r="I129" s="253">
        <f t="shared" si="28"/>
        <v>11269.44585511991</v>
      </c>
      <c r="J129" s="158">
        <f t="shared" si="18"/>
        <v>0</v>
      </c>
      <c r="K129" s="158"/>
      <c r="L129" s="334"/>
      <c r="M129" s="158">
        <f t="shared" si="19"/>
        <v>0</v>
      </c>
      <c r="N129" s="334"/>
      <c r="O129" s="158">
        <f t="shared" si="20"/>
        <v>0</v>
      </c>
      <c r="P129" s="158">
        <f t="shared" si="21"/>
        <v>0</v>
      </c>
      <c r="Q129" s="1"/>
    </row>
    <row r="130" spans="2:17">
      <c r="B130" s="9" t="str">
        <f t="shared" si="24"/>
        <v/>
      </c>
      <c r="C130" s="153">
        <f>IF(D93="","-",+C129+1)</f>
        <v>2038</v>
      </c>
      <c r="D130" s="154">
        <f>IF(F129+SUM(E$99:E129)=D$92,F129,D$92-SUM(E$99:E129))</f>
        <v>54258.996434648667</v>
      </c>
      <c r="E130" s="160">
        <f>IF(+J96&lt;F129,J96,D130)</f>
        <v>4410.6428571428569</v>
      </c>
      <c r="F130" s="159">
        <f t="shared" si="25"/>
        <v>49848.353577505812</v>
      </c>
      <c r="G130" s="159">
        <f t="shared" si="26"/>
        <v>52053.675006077239</v>
      </c>
      <c r="H130" s="163">
        <f t="shared" si="27"/>
        <v>10733.678637939323</v>
      </c>
      <c r="I130" s="253">
        <f t="shared" si="28"/>
        <v>10733.678637939323</v>
      </c>
      <c r="J130" s="158">
        <f t="shared" si="18"/>
        <v>0</v>
      </c>
      <c r="K130" s="158"/>
      <c r="L130" s="334"/>
      <c r="M130" s="158">
        <f t="shared" si="19"/>
        <v>0</v>
      </c>
      <c r="N130" s="334"/>
      <c r="O130" s="158">
        <f t="shared" si="20"/>
        <v>0</v>
      </c>
      <c r="P130" s="158">
        <f t="shared" si="21"/>
        <v>0</v>
      </c>
      <c r="Q130" s="1"/>
    </row>
    <row r="131" spans="2:17">
      <c r="B131" s="9" t="str">
        <f t="shared" si="24"/>
        <v/>
      </c>
      <c r="C131" s="153">
        <f>IF(D93="","-",+C130+1)</f>
        <v>2039</v>
      </c>
      <c r="D131" s="154">
        <f>IF(F130+SUM(E$99:E130)=D$92,F130,D$92-SUM(E$99:E130))</f>
        <v>49848.353577505812</v>
      </c>
      <c r="E131" s="160">
        <f>IF(+J96&lt;F130,J96,D131)</f>
        <v>4410.6428571428569</v>
      </c>
      <c r="F131" s="159">
        <f t="shared" ref="F131:F154" si="29">+D131-E131</f>
        <v>45437.710720362957</v>
      </c>
      <c r="G131" s="159">
        <f t="shared" ref="G131:G154" si="30">+(F131+D131)/2</f>
        <v>47643.032148934384</v>
      </c>
      <c r="H131" s="163">
        <f t="shared" si="27"/>
        <v>10197.911420758737</v>
      </c>
      <c r="I131" s="253">
        <f t="shared" si="28"/>
        <v>10197.911420758737</v>
      </c>
      <c r="J131" s="158">
        <f t="shared" ref="J131:J154" si="31">+I131-H131</f>
        <v>0</v>
      </c>
      <c r="K131" s="158"/>
      <c r="L131" s="334"/>
      <c r="M131" s="158">
        <f t="shared" ref="M131:M154" si="32">IF(L131&lt;&gt;0,+H131-L131,0)</f>
        <v>0</v>
      </c>
      <c r="N131" s="334"/>
      <c r="O131" s="158">
        <f t="shared" ref="O131:O154" si="33">IF(N131&lt;&gt;0,+I131-N131,0)</f>
        <v>0</v>
      </c>
      <c r="P131" s="158">
        <f t="shared" ref="P131:P154" si="34">+O131-M131</f>
        <v>0</v>
      </c>
      <c r="Q131" s="1"/>
    </row>
    <row r="132" spans="2:17">
      <c r="B132" s="9" t="str">
        <f t="shared" si="24"/>
        <v/>
      </c>
      <c r="C132" s="153">
        <f>IF(D93="","-",+C131+1)</f>
        <v>2040</v>
      </c>
      <c r="D132" s="154">
        <f>IF(F131+SUM(E$99:E131)=D$92,F131,D$92-SUM(E$99:E131))</f>
        <v>45437.710720362957</v>
      </c>
      <c r="E132" s="160">
        <f>IF(+J96&lt;F131,J96,D132)</f>
        <v>4410.6428571428569</v>
      </c>
      <c r="F132" s="159">
        <f t="shared" si="29"/>
        <v>41027.067863220102</v>
      </c>
      <c r="G132" s="159">
        <f t="shared" si="30"/>
        <v>43232.389291791529</v>
      </c>
      <c r="H132" s="163">
        <f t="shared" si="27"/>
        <v>9662.1442035781511</v>
      </c>
      <c r="I132" s="253">
        <f t="shared" si="28"/>
        <v>9662.1442035781511</v>
      </c>
      <c r="J132" s="158">
        <f t="shared" si="31"/>
        <v>0</v>
      </c>
      <c r="K132" s="158"/>
      <c r="L132" s="334"/>
      <c r="M132" s="158">
        <f t="shared" si="32"/>
        <v>0</v>
      </c>
      <c r="N132" s="334"/>
      <c r="O132" s="158">
        <f t="shared" si="33"/>
        <v>0</v>
      </c>
      <c r="P132" s="158">
        <f t="shared" si="34"/>
        <v>0</v>
      </c>
      <c r="Q132" s="1"/>
    </row>
    <row r="133" spans="2:17">
      <c r="B133" s="9" t="str">
        <f t="shared" si="24"/>
        <v/>
      </c>
      <c r="C133" s="153">
        <f>IF(D93="","-",+C132+1)</f>
        <v>2041</v>
      </c>
      <c r="D133" s="154">
        <f>IF(F132+SUM(E$99:E132)=D$92,F132,D$92-SUM(E$99:E132))</f>
        <v>41027.067863220102</v>
      </c>
      <c r="E133" s="160">
        <f>IF(+J96&lt;F132,J96,D133)</f>
        <v>4410.6428571428569</v>
      </c>
      <c r="F133" s="159">
        <f t="shared" si="29"/>
        <v>36616.425006077247</v>
      </c>
      <c r="G133" s="159">
        <f t="shared" si="30"/>
        <v>38821.746434648674</v>
      </c>
      <c r="H133" s="163">
        <f t="shared" si="27"/>
        <v>9126.3769863975649</v>
      </c>
      <c r="I133" s="253">
        <f t="shared" si="28"/>
        <v>9126.3769863975649</v>
      </c>
      <c r="J133" s="158">
        <f t="shared" si="31"/>
        <v>0</v>
      </c>
      <c r="K133" s="158"/>
      <c r="L133" s="334"/>
      <c r="M133" s="158">
        <f t="shared" si="32"/>
        <v>0</v>
      </c>
      <c r="N133" s="334"/>
      <c r="O133" s="158">
        <f t="shared" si="33"/>
        <v>0</v>
      </c>
      <c r="P133" s="158">
        <f t="shared" si="34"/>
        <v>0</v>
      </c>
      <c r="Q133" s="1"/>
    </row>
    <row r="134" spans="2:17">
      <c r="B134" s="9" t="str">
        <f t="shared" si="24"/>
        <v/>
      </c>
      <c r="C134" s="153">
        <f>IF(D93="","-",+C133+1)</f>
        <v>2042</v>
      </c>
      <c r="D134" s="154">
        <f>IF(F133+SUM(E$99:E133)=D$92,F133,D$92-SUM(E$99:E133))</f>
        <v>36616.425006077247</v>
      </c>
      <c r="E134" s="160">
        <f>IF(+J96&lt;F133,J96,D134)</f>
        <v>4410.6428571428569</v>
      </c>
      <c r="F134" s="159">
        <f t="shared" si="29"/>
        <v>32205.782148934391</v>
      </c>
      <c r="G134" s="159">
        <f t="shared" si="30"/>
        <v>34411.103577505819</v>
      </c>
      <c r="H134" s="163">
        <f t="shared" si="27"/>
        <v>8590.6097692169787</v>
      </c>
      <c r="I134" s="253">
        <f t="shared" si="28"/>
        <v>8590.6097692169787</v>
      </c>
      <c r="J134" s="158">
        <f t="shared" si="31"/>
        <v>0</v>
      </c>
      <c r="K134" s="158"/>
      <c r="L134" s="334"/>
      <c r="M134" s="158">
        <f t="shared" si="32"/>
        <v>0</v>
      </c>
      <c r="N134" s="334"/>
      <c r="O134" s="158">
        <f t="shared" si="33"/>
        <v>0</v>
      </c>
      <c r="P134" s="158">
        <f t="shared" si="34"/>
        <v>0</v>
      </c>
      <c r="Q134" s="1"/>
    </row>
    <row r="135" spans="2:17">
      <c r="B135" s="9" t="str">
        <f t="shared" si="24"/>
        <v/>
      </c>
      <c r="C135" s="153">
        <f>IF(D93="","-",+C134+1)</f>
        <v>2043</v>
      </c>
      <c r="D135" s="154">
        <f>IF(F134+SUM(E$99:E134)=D$92,F134,D$92-SUM(E$99:E134))</f>
        <v>32205.782148934391</v>
      </c>
      <c r="E135" s="160">
        <f>IF(+J96&lt;F134,J96,D135)</f>
        <v>4410.6428571428569</v>
      </c>
      <c r="F135" s="159">
        <f t="shared" si="29"/>
        <v>27795.139291791536</v>
      </c>
      <c r="G135" s="159">
        <f t="shared" si="30"/>
        <v>30000.460720362964</v>
      </c>
      <c r="H135" s="163">
        <f t="shared" si="27"/>
        <v>8054.8425520363926</v>
      </c>
      <c r="I135" s="253">
        <f t="shared" si="28"/>
        <v>8054.8425520363926</v>
      </c>
      <c r="J135" s="158">
        <f t="shared" si="31"/>
        <v>0</v>
      </c>
      <c r="K135" s="158"/>
      <c r="L135" s="334"/>
      <c r="M135" s="158">
        <f t="shared" si="32"/>
        <v>0</v>
      </c>
      <c r="N135" s="334"/>
      <c r="O135" s="158">
        <f t="shared" si="33"/>
        <v>0</v>
      </c>
      <c r="P135" s="158">
        <f t="shared" si="34"/>
        <v>0</v>
      </c>
      <c r="Q135" s="1"/>
    </row>
    <row r="136" spans="2:17">
      <c r="B136" s="9" t="str">
        <f t="shared" si="24"/>
        <v/>
      </c>
      <c r="C136" s="153">
        <f>IF(D93="","-",+C135+1)</f>
        <v>2044</v>
      </c>
      <c r="D136" s="154">
        <f>IF(F135+SUM(E$99:E135)=D$92,F135,D$92-SUM(E$99:E135))</f>
        <v>27795.139291791536</v>
      </c>
      <c r="E136" s="160">
        <f>IF(+J96&lt;F135,J96,D136)</f>
        <v>4410.6428571428569</v>
      </c>
      <c r="F136" s="159">
        <f t="shared" si="29"/>
        <v>23384.496434648681</v>
      </c>
      <c r="G136" s="159">
        <f t="shared" si="30"/>
        <v>25589.817863220109</v>
      </c>
      <c r="H136" s="163">
        <f t="shared" si="27"/>
        <v>7519.0753348558064</v>
      </c>
      <c r="I136" s="253">
        <f t="shared" si="28"/>
        <v>7519.0753348558064</v>
      </c>
      <c r="J136" s="158">
        <f t="shared" si="31"/>
        <v>0</v>
      </c>
      <c r="K136" s="158"/>
      <c r="L136" s="334"/>
      <c r="M136" s="158">
        <f t="shared" si="32"/>
        <v>0</v>
      </c>
      <c r="N136" s="334"/>
      <c r="O136" s="158">
        <f t="shared" si="33"/>
        <v>0</v>
      </c>
      <c r="P136" s="158">
        <f t="shared" si="34"/>
        <v>0</v>
      </c>
      <c r="Q136" s="1"/>
    </row>
    <row r="137" spans="2:17">
      <c r="B137" s="9" t="str">
        <f t="shared" si="24"/>
        <v/>
      </c>
      <c r="C137" s="153">
        <f>IF(D93="","-",+C136+1)</f>
        <v>2045</v>
      </c>
      <c r="D137" s="154">
        <f>IF(F136+SUM(E$99:E136)=D$92,F136,D$92-SUM(E$99:E136))</f>
        <v>23384.496434648681</v>
      </c>
      <c r="E137" s="160">
        <f>IF(+J96&lt;F136,J96,D137)</f>
        <v>4410.6428571428569</v>
      </c>
      <c r="F137" s="159">
        <f t="shared" si="29"/>
        <v>18973.853577505826</v>
      </c>
      <c r="G137" s="159">
        <f t="shared" si="30"/>
        <v>21179.175006077254</v>
      </c>
      <c r="H137" s="163">
        <f t="shared" si="27"/>
        <v>6983.3081176752203</v>
      </c>
      <c r="I137" s="253">
        <f t="shared" si="28"/>
        <v>6983.3081176752203</v>
      </c>
      <c r="J137" s="158">
        <f t="shared" si="31"/>
        <v>0</v>
      </c>
      <c r="K137" s="158"/>
      <c r="L137" s="334"/>
      <c r="M137" s="158">
        <f t="shared" si="32"/>
        <v>0</v>
      </c>
      <c r="N137" s="334"/>
      <c r="O137" s="158">
        <f t="shared" si="33"/>
        <v>0</v>
      </c>
      <c r="P137" s="158">
        <f t="shared" si="34"/>
        <v>0</v>
      </c>
      <c r="Q137" s="1"/>
    </row>
    <row r="138" spans="2:17">
      <c r="B138" s="9" t="str">
        <f t="shared" si="24"/>
        <v/>
      </c>
      <c r="C138" s="153">
        <f>IF(D93="","-",+C137+1)</f>
        <v>2046</v>
      </c>
      <c r="D138" s="154">
        <f>IF(F137+SUM(E$99:E137)=D$92,F137,D$92-SUM(E$99:E137))</f>
        <v>18973.853577505826</v>
      </c>
      <c r="E138" s="160">
        <f>IF(+J96&lt;F137,J96,D138)</f>
        <v>4410.6428571428569</v>
      </c>
      <c r="F138" s="159">
        <f t="shared" si="29"/>
        <v>14563.210720362969</v>
      </c>
      <c r="G138" s="159">
        <f t="shared" si="30"/>
        <v>16768.532148934399</v>
      </c>
      <c r="H138" s="163">
        <f t="shared" si="27"/>
        <v>6447.5409004946341</v>
      </c>
      <c r="I138" s="253">
        <f t="shared" si="28"/>
        <v>6447.5409004946341</v>
      </c>
      <c r="J138" s="158">
        <f t="shared" si="31"/>
        <v>0</v>
      </c>
      <c r="K138" s="158"/>
      <c r="L138" s="334"/>
      <c r="M138" s="158">
        <f t="shared" si="32"/>
        <v>0</v>
      </c>
      <c r="N138" s="334"/>
      <c r="O138" s="158">
        <f t="shared" si="33"/>
        <v>0</v>
      </c>
      <c r="P138" s="158">
        <f t="shared" si="34"/>
        <v>0</v>
      </c>
      <c r="Q138" s="1"/>
    </row>
    <row r="139" spans="2:17">
      <c r="B139" s="9" t="str">
        <f t="shared" si="24"/>
        <v/>
      </c>
      <c r="C139" s="153">
        <f>IF(D93="","-",+C138+1)</f>
        <v>2047</v>
      </c>
      <c r="D139" s="154">
        <f>IF(F138+SUM(E$99:E138)=D$92,F138,D$92-SUM(E$99:E138))</f>
        <v>14563.210720362969</v>
      </c>
      <c r="E139" s="160">
        <f>IF(+J96&lt;F138,J96,D139)</f>
        <v>4410.6428571428569</v>
      </c>
      <c r="F139" s="159">
        <f t="shared" si="29"/>
        <v>10152.567863220112</v>
      </c>
      <c r="G139" s="159">
        <f t="shared" si="30"/>
        <v>12357.88929179154</v>
      </c>
      <c r="H139" s="163">
        <f t="shared" si="27"/>
        <v>5911.773683314048</v>
      </c>
      <c r="I139" s="253">
        <f t="shared" si="28"/>
        <v>5911.773683314048</v>
      </c>
      <c r="J139" s="158">
        <f t="shared" si="31"/>
        <v>0</v>
      </c>
      <c r="K139" s="158"/>
      <c r="L139" s="334"/>
      <c r="M139" s="158">
        <f t="shared" si="32"/>
        <v>0</v>
      </c>
      <c r="N139" s="334"/>
      <c r="O139" s="158">
        <f t="shared" si="33"/>
        <v>0</v>
      </c>
      <c r="P139" s="158">
        <f t="shared" si="34"/>
        <v>0</v>
      </c>
      <c r="Q139" s="1"/>
    </row>
    <row r="140" spans="2:17">
      <c r="B140" s="9" t="str">
        <f t="shared" si="24"/>
        <v/>
      </c>
      <c r="C140" s="153">
        <f>IF(D93="","-",+C139+1)</f>
        <v>2048</v>
      </c>
      <c r="D140" s="154">
        <f>IF(F139+SUM(E$99:E139)=D$92,F139,D$92-SUM(E$99:E139))</f>
        <v>10152.567863220112</v>
      </c>
      <c r="E140" s="160">
        <f>IF(+J96&lt;F139,J96,D140)</f>
        <v>4410.6428571428569</v>
      </c>
      <c r="F140" s="159">
        <f t="shared" si="29"/>
        <v>5741.9250060772556</v>
      </c>
      <c r="G140" s="159">
        <f t="shared" si="30"/>
        <v>7947.246434648684</v>
      </c>
      <c r="H140" s="163">
        <f t="shared" si="27"/>
        <v>5376.0064661334618</v>
      </c>
      <c r="I140" s="253">
        <f t="shared" si="28"/>
        <v>5376.0064661334618</v>
      </c>
      <c r="J140" s="158">
        <f t="shared" si="31"/>
        <v>0</v>
      </c>
      <c r="K140" s="158"/>
      <c r="L140" s="334"/>
      <c r="M140" s="158">
        <f t="shared" si="32"/>
        <v>0</v>
      </c>
      <c r="N140" s="334"/>
      <c r="O140" s="158">
        <f t="shared" si="33"/>
        <v>0</v>
      </c>
      <c r="P140" s="158">
        <f t="shared" si="34"/>
        <v>0</v>
      </c>
      <c r="Q140" s="1"/>
    </row>
    <row r="141" spans="2:17">
      <c r="B141" s="9" t="str">
        <f t="shared" si="24"/>
        <v/>
      </c>
      <c r="C141" s="153">
        <f>IF(D93="","-",+C140+1)</f>
        <v>2049</v>
      </c>
      <c r="D141" s="154">
        <f>IF(F140+SUM(E$99:E140)=D$92,F140,D$92-SUM(E$99:E140))</f>
        <v>5741.9250060772556</v>
      </c>
      <c r="E141" s="160">
        <f>IF(+J96&lt;F140,J96,D141)</f>
        <v>4410.6428571428569</v>
      </c>
      <c r="F141" s="159">
        <f t="shared" si="29"/>
        <v>1331.2821489343987</v>
      </c>
      <c r="G141" s="159">
        <f t="shared" si="30"/>
        <v>3536.6035775058272</v>
      </c>
      <c r="H141" s="163">
        <f t="shared" si="27"/>
        <v>4840.2392489528756</v>
      </c>
      <c r="I141" s="253">
        <f t="shared" si="28"/>
        <v>4840.2392489528756</v>
      </c>
      <c r="J141" s="158">
        <f t="shared" si="31"/>
        <v>0</v>
      </c>
      <c r="K141" s="158"/>
      <c r="L141" s="334"/>
      <c r="M141" s="158">
        <f t="shared" si="32"/>
        <v>0</v>
      </c>
      <c r="N141" s="334"/>
      <c r="O141" s="158">
        <f t="shared" si="33"/>
        <v>0</v>
      </c>
      <c r="P141" s="158">
        <f t="shared" si="34"/>
        <v>0</v>
      </c>
      <c r="Q141" s="1"/>
    </row>
    <row r="142" spans="2:17">
      <c r="B142" s="9" t="str">
        <f t="shared" si="24"/>
        <v/>
      </c>
      <c r="C142" s="153">
        <f>IF(D93="","-",+C141+1)</f>
        <v>2050</v>
      </c>
      <c r="D142" s="154">
        <f>IF(F141+SUM(E$99:E141)=D$92,F141,D$92-SUM(E$99:E141))</f>
        <v>1331.2821489343987</v>
      </c>
      <c r="E142" s="160">
        <f>IF(+J96&lt;F141,J96,D142)</f>
        <v>1331.2821489343987</v>
      </c>
      <c r="F142" s="159">
        <f t="shared" si="29"/>
        <v>0</v>
      </c>
      <c r="G142" s="159">
        <f t="shared" si="30"/>
        <v>665.64107446719936</v>
      </c>
      <c r="H142" s="163">
        <f t="shared" si="27"/>
        <v>1412.1385405442616</v>
      </c>
      <c r="I142" s="253">
        <f t="shared" si="28"/>
        <v>1412.1385405442616</v>
      </c>
      <c r="J142" s="158">
        <f t="shared" si="31"/>
        <v>0</v>
      </c>
      <c r="K142" s="158"/>
      <c r="L142" s="334"/>
      <c r="M142" s="158">
        <f t="shared" si="32"/>
        <v>0</v>
      </c>
      <c r="N142" s="334"/>
      <c r="O142" s="158">
        <f t="shared" si="33"/>
        <v>0</v>
      </c>
      <c r="P142" s="158">
        <f t="shared" si="34"/>
        <v>0</v>
      </c>
      <c r="Q142" s="1"/>
    </row>
    <row r="143" spans="2:17">
      <c r="B143" s="9" t="str">
        <f t="shared" si="24"/>
        <v/>
      </c>
      <c r="C143" s="153">
        <f>IF(D93="","-",+C142+1)</f>
        <v>2051</v>
      </c>
      <c r="D143" s="154">
        <f>IF(F142+SUM(E$99:E142)=D$92,F142,D$92-SUM(E$99:E142))</f>
        <v>0</v>
      </c>
      <c r="E143" s="160">
        <f>IF(+J96&lt;F142,J96,D143)</f>
        <v>0</v>
      </c>
      <c r="F143" s="159">
        <f t="shared" si="29"/>
        <v>0</v>
      </c>
      <c r="G143" s="159">
        <f t="shared" si="30"/>
        <v>0</v>
      </c>
      <c r="H143" s="163">
        <f t="shared" si="27"/>
        <v>0</v>
      </c>
      <c r="I143" s="253">
        <f t="shared" si="28"/>
        <v>0</v>
      </c>
      <c r="J143" s="158">
        <f t="shared" si="31"/>
        <v>0</v>
      </c>
      <c r="K143" s="158"/>
      <c r="L143" s="334"/>
      <c r="M143" s="158">
        <f t="shared" si="32"/>
        <v>0</v>
      </c>
      <c r="N143" s="334"/>
      <c r="O143" s="158">
        <f t="shared" si="33"/>
        <v>0</v>
      </c>
      <c r="P143" s="158">
        <f t="shared" si="34"/>
        <v>0</v>
      </c>
      <c r="Q143" s="1"/>
    </row>
    <row r="144" spans="2:17">
      <c r="B144" s="9" t="str">
        <f t="shared" si="24"/>
        <v/>
      </c>
      <c r="C144" s="153">
        <f>IF(D93="","-",+C143+1)</f>
        <v>2052</v>
      </c>
      <c r="D144" s="154">
        <f>IF(F143+SUM(E$99:E143)=D$92,F143,D$92-SUM(E$99:E143))</f>
        <v>0</v>
      </c>
      <c r="E144" s="160">
        <f>IF(+J96&lt;F143,J96,D144)</f>
        <v>0</v>
      </c>
      <c r="F144" s="159">
        <f t="shared" si="29"/>
        <v>0</v>
      </c>
      <c r="G144" s="159">
        <f t="shared" si="30"/>
        <v>0</v>
      </c>
      <c r="H144" s="163">
        <f t="shared" si="27"/>
        <v>0</v>
      </c>
      <c r="I144" s="253">
        <f t="shared" si="28"/>
        <v>0</v>
      </c>
      <c r="J144" s="158">
        <f t="shared" si="31"/>
        <v>0</v>
      </c>
      <c r="K144" s="158"/>
      <c r="L144" s="334"/>
      <c r="M144" s="158">
        <f t="shared" si="32"/>
        <v>0</v>
      </c>
      <c r="N144" s="334"/>
      <c r="O144" s="158">
        <f t="shared" si="33"/>
        <v>0</v>
      </c>
      <c r="P144" s="158">
        <f t="shared" si="34"/>
        <v>0</v>
      </c>
      <c r="Q144" s="1"/>
    </row>
    <row r="145" spans="2:17">
      <c r="B145" s="9" t="str">
        <f t="shared" si="24"/>
        <v/>
      </c>
      <c r="C145" s="153">
        <f>IF(D93="","-",+C144+1)</f>
        <v>2053</v>
      </c>
      <c r="D145" s="154">
        <f>IF(F144+SUM(E$99:E144)=D$92,F144,D$92-SUM(E$99:E144))</f>
        <v>0</v>
      </c>
      <c r="E145" s="160">
        <f>IF(+J96&lt;F144,J96,D145)</f>
        <v>0</v>
      </c>
      <c r="F145" s="159">
        <f t="shared" si="29"/>
        <v>0</v>
      </c>
      <c r="G145" s="159">
        <f t="shared" si="30"/>
        <v>0</v>
      </c>
      <c r="H145" s="163">
        <f t="shared" si="27"/>
        <v>0</v>
      </c>
      <c r="I145" s="253">
        <f t="shared" si="28"/>
        <v>0</v>
      </c>
      <c r="J145" s="158">
        <f t="shared" si="31"/>
        <v>0</v>
      </c>
      <c r="K145" s="158"/>
      <c r="L145" s="334"/>
      <c r="M145" s="158">
        <f t="shared" si="32"/>
        <v>0</v>
      </c>
      <c r="N145" s="334"/>
      <c r="O145" s="158">
        <f t="shared" si="33"/>
        <v>0</v>
      </c>
      <c r="P145" s="158">
        <f t="shared" si="34"/>
        <v>0</v>
      </c>
      <c r="Q145" s="1"/>
    </row>
    <row r="146" spans="2:17">
      <c r="B146" s="9" t="str">
        <f t="shared" si="24"/>
        <v/>
      </c>
      <c r="C146" s="153">
        <f>IF(D93="","-",+C145+1)</f>
        <v>2054</v>
      </c>
      <c r="D146" s="154">
        <f>IF(F145+SUM(E$99:E145)=D$92,F145,D$92-SUM(E$99:E145))</f>
        <v>0</v>
      </c>
      <c r="E146" s="160">
        <f>IF(+J96&lt;F145,J96,D146)</f>
        <v>0</v>
      </c>
      <c r="F146" s="159">
        <f t="shared" si="29"/>
        <v>0</v>
      </c>
      <c r="G146" s="159">
        <f t="shared" si="30"/>
        <v>0</v>
      </c>
      <c r="H146" s="163">
        <f t="shared" si="27"/>
        <v>0</v>
      </c>
      <c r="I146" s="253">
        <f t="shared" si="28"/>
        <v>0</v>
      </c>
      <c r="J146" s="158">
        <f t="shared" si="31"/>
        <v>0</v>
      </c>
      <c r="K146" s="158"/>
      <c r="L146" s="334"/>
      <c r="M146" s="158">
        <f t="shared" si="32"/>
        <v>0</v>
      </c>
      <c r="N146" s="334"/>
      <c r="O146" s="158">
        <f t="shared" si="33"/>
        <v>0</v>
      </c>
      <c r="P146" s="158">
        <f t="shared" si="34"/>
        <v>0</v>
      </c>
      <c r="Q146" s="1"/>
    </row>
    <row r="147" spans="2:17">
      <c r="B147" s="9" t="str">
        <f t="shared" si="24"/>
        <v/>
      </c>
      <c r="C147" s="153">
        <f>IF(D93="","-",+C146+1)</f>
        <v>2055</v>
      </c>
      <c r="D147" s="154">
        <f>IF(F146+SUM(E$99:E146)=D$92,F146,D$92-SUM(E$99:E146))</f>
        <v>0</v>
      </c>
      <c r="E147" s="160">
        <f>IF(+J96&lt;F146,J96,D147)</f>
        <v>0</v>
      </c>
      <c r="F147" s="159">
        <f t="shared" si="29"/>
        <v>0</v>
      </c>
      <c r="G147" s="159">
        <f t="shared" si="30"/>
        <v>0</v>
      </c>
      <c r="H147" s="163">
        <f t="shared" si="27"/>
        <v>0</v>
      </c>
      <c r="I147" s="253">
        <f t="shared" si="28"/>
        <v>0</v>
      </c>
      <c r="J147" s="158">
        <f t="shared" si="31"/>
        <v>0</v>
      </c>
      <c r="K147" s="158"/>
      <c r="L147" s="334"/>
      <c r="M147" s="158">
        <f t="shared" si="32"/>
        <v>0</v>
      </c>
      <c r="N147" s="334"/>
      <c r="O147" s="158">
        <f t="shared" si="33"/>
        <v>0</v>
      </c>
      <c r="P147" s="158">
        <f t="shared" si="34"/>
        <v>0</v>
      </c>
      <c r="Q147" s="1"/>
    </row>
    <row r="148" spans="2:17">
      <c r="B148" s="9" t="str">
        <f t="shared" si="24"/>
        <v/>
      </c>
      <c r="C148" s="153">
        <f>IF(D93="","-",+C147+1)</f>
        <v>2056</v>
      </c>
      <c r="D148" s="154">
        <f>IF(F147+SUM(E$99:E147)=D$92,F147,D$92-SUM(E$99:E147))</f>
        <v>0</v>
      </c>
      <c r="E148" s="160">
        <f>IF(+J96&lt;F147,J96,D148)</f>
        <v>0</v>
      </c>
      <c r="F148" s="159">
        <f t="shared" si="29"/>
        <v>0</v>
      </c>
      <c r="G148" s="159">
        <f t="shared" si="30"/>
        <v>0</v>
      </c>
      <c r="H148" s="163">
        <f t="shared" si="27"/>
        <v>0</v>
      </c>
      <c r="I148" s="253">
        <f t="shared" si="28"/>
        <v>0</v>
      </c>
      <c r="J148" s="158">
        <f t="shared" si="31"/>
        <v>0</v>
      </c>
      <c r="K148" s="158"/>
      <c r="L148" s="334"/>
      <c r="M148" s="158">
        <f t="shared" si="32"/>
        <v>0</v>
      </c>
      <c r="N148" s="334"/>
      <c r="O148" s="158">
        <f t="shared" si="33"/>
        <v>0</v>
      </c>
      <c r="P148" s="158">
        <f t="shared" si="34"/>
        <v>0</v>
      </c>
      <c r="Q148" s="1"/>
    </row>
    <row r="149" spans="2:17">
      <c r="B149" s="9" t="str">
        <f t="shared" si="24"/>
        <v/>
      </c>
      <c r="C149" s="153">
        <f>IF(D93="","-",+C148+1)</f>
        <v>2057</v>
      </c>
      <c r="D149" s="154">
        <f>IF(F148+SUM(E$99:E148)=D$92,F148,D$92-SUM(E$99:E148))</f>
        <v>0</v>
      </c>
      <c r="E149" s="160">
        <f>IF(+J96&lt;F148,J96,D149)</f>
        <v>0</v>
      </c>
      <c r="F149" s="159">
        <f t="shared" si="29"/>
        <v>0</v>
      </c>
      <c r="G149" s="159">
        <f t="shared" si="30"/>
        <v>0</v>
      </c>
      <c r="H149" s="163">
        <f t="shared" si="27"/>
        <v>0</v>
      </c>
      <c r="I149" s="253">
        <f t="shared" si="28"/>
        <v>0</v>
      </c>
      <c r="J149" s="158">
        <f t="shared" si="31"/>
        <v>0</v>
      </c>
      <c r="K149" s="158"/>
      <c r="L149" s="334"/>
      <c r="M149" s="158">
        <f t="shared" si="32"/>
        <v>0</v>
      </c>
      <c r="N149" s="334"/>
      <c r="O149" s="158">
        <f t="shared" si="33"/>
        <v>0</v>
      </c>
      <c r="P149" s="158">
        <f t="shared" si="34"/>
        <v>0</v>
      </c>
      <c r="Q149" s="1"/>
    </row>
    <row r="150" spans="2:17">
      <c r="B150" s="9" t="str">
        <f t="shared" si="24"/>
        <v/>
      </c>
      <c r="C150" s="153">
        <f>IF(D93="","-",+C149+1)</f>
        <v>2058</v>
      </c>
      <c r="D150" s="154">
        <f>IF(F149+SUM(E$99:E149)=D$92,F149,D$92-SUM(E$99:E149))</f>
        <v>0</v>
      </c>
      <c r="E150" s="160">
        <f>IF(+J96&lt;F149,J96,D150)</f>
        <v>0</v>
      </c>
      <c r="F150" s="159">
        <f t="shared" si="29"/>
        <v>0</v>
      </c>
      <c r="G150" s="159">
        <f t="shared" si="30"/>
        <v>0</v>
      </c>
      <c r="H150" s="163">
        <f t="shared" si="27"/>
        <v>0</v>
      </c>
      <c r="I150" s="253">
        <f t="shared" si="28"/>
        <v>0</v>
      </c>
      <c r="J150" s="158">
        <f t="shared" si="31"/>
        <v>0</v>
      </c>
      <c r="K150" s="158"/>
      <c r="L150" s="334"/>
      <c r="M150" s="158">
        <f t="shared" si="32"/>
        <v>0</v>
      </c>
      <c r="N150" s="334"/>
      <c r="O150" s="158">
        <f t="shared" si="33"/>
        <v>0</v>
      </c>
      <c r="P150" s="158">
        <f t="shared" si="34"/>
        <v>0</v>
      </c>
      <c r="Q150" s="1"/>
    </row>
    <row r="151" spans="2:17">
      <c r="B151" s="9" t="str">
        <f t="shared" si="24"/>
        <v/>
      </c>
      <c r="C151" s="153">
        <f>IF(D93="","-",+C150+1)</f>
        <v>2059</v>
      </c>
      <c r="D151" s="154">
        <f>IF(F150+SUM(E$99:E150)=D$92,F150,D$92-SUM(E$99:E150))</f>
        <v>0</v>
      </c>
      <c r="E151" s="160">
        <f>IF(+J96&lt;F150,J96,D151)</f>
        <v>0</v>
      </c>
      <c r="F151" s="159">
        <f t="shared" si="29"/>
        <v>0</v>
      </c>
      <c r="G151" s="159">
        <f t="shared" si="30"/>
        <v>0</v>
      </c>
      <c r="H151" s="163">
        <f t="shared" si="27"/>
        <v>0</v>
      </c>
      <c r="I151" s="253">
        <f t="shared" si="28"/>
        <v>0</v>
      </c>
      <c r="J151" s="158">
        <f t="shared" si="31"/>
        <v>0</v>
      </c>
      <c r="K151" s="158"/>
      <c r="L151" s="334"/>
      <c r="M151" s="158">
        <f t="shared" si="32"/>
        <v>0</v>
      </c>
      <c r="N151" s="334"/>
      <c r="O151" s="158">
        <f t="shared" si="33"/>
        <v>0</v>
      </c>
      <c r="P151" s="158">
        <f t="shared" si="34"/>
        <v>0</v>
      </c>
      <c r="Q151" s="1"/>
    </row>
    <row r="152" spans="2:17">
      <c r="B152" s="9" t="str">
        <f t="shared" si="24"/>
        <v/>
      </c>
      <c r="C152" s="153">
        <f>IF(D93="","-",+C151+1)</f>
        <v>2060</v>
      </c>
      <c r="D152" s="154">
        <f>IF(F151+SUM(E$99:E151)=D$92,F151,D$92-SUM(E$99:E151))</f>
        <v>0</v>
      </c>
      <c r="E152" s="160">
        <f>IF(+J96&lt;F151,J96,D152)</f>
        <v>0</v>
      </c>
      <c r="F152" s="159">
        <f t="shared" si="29"/>
        <v>0</v>
      </c>
      <c r="G152" s="159">
        <f t="shared" si="30"/>
        <v>0</v>
      </c>
      <c r="H152" s="163">
        <f t="shared" si="27"/>
        <v>0</v>
      </c>
      <c r="I152" s="253">
        <f t="shared" si="28"/>
        <v>0</v>
      </c>
      <c r="J152" s="158">
        <f t="shared" si="31"/>
        <v>0</v>
      </c>
      <c r="K152" s="158"/>
      <c r="L152" s="334"/>
      <c r="M152" s="158">
        <f t="shared" si="32"/>
        <v>0</v>
      </c>
      <c r="N152" s="334"/>
      <c r="O152" s="158">
        <f t="shared" si="33"/>
        <v>0</v>
      </c>
      <c r="P152" s="158">
        <f t="shared" si="34"/>
        <v>0</v>
      </c>
      <c r="Q152" s="1"/>
    </row>
    <row r="153" spans="2:17">
      <c r="B153" s="9" t="str">
        <f t="shared" si="24"/>
        <v/>
      </c>
      <c r="C153" s="153">
        <f>IF(D93="","-",+C152+1)</f>
        <v>2061</v>
      </c>
      <c r="D153" s="154">
        <f>IF(F152+SUM(E$99:E152)=D$92,F152,D$92-SUM(E$99:E152))</f>
        <v>0</v>
      </c>
      <c r="E153" s="160">
        <f>IF(+J96&lt;F152,J96,D153)</f>
        <v>0</v>
      </c>
      <c r="F153" s="159">
        <f t="shared" si="29"/>
        <v>0</v>
      </c>
      <c r="G153" s="159">
        <f t="shared" si="30"/>
        <v>0</v>
      </c>
      <c r="H153" s="163">
        <f t="shared" si="27"/>
        <v>0</v>
      </c>
      <c r="I153" s="253">
        <f t="shared" si="28"/>
        <v>0</v>
      </c>
      <c r="J153" s="158">
        <f t="shared" si="31"/>
        <v>0</v>
      </c>
      <c r="K153" s="158"/>
      <c r="L153" s="334"/>
      <c r="M153" s="158">
        <f t="shared" si="32"/>
        <v>0</v>
      </c>
      <c r="N153" s="334"/>
      <c r="O153" s="158">
        <f t="shared" si="33"/>
        <v>0</v>
      </c>
      <c r="P153" s="158">
        <f t="shared" si="34"/>
        <v>0</v>
      </c>
      <c r="Q153" s="1"/>
    </row>
    <row r="154" spans="2:17" ht="13.5" thickBot="1">
      <c r="B154" s="9" t="str">
        <f t="shared" si="24"/>
        <v/>
      </c>
      <c r="C154" s="164">
        <f>IF(D93="","-",+C153+1)</f>
        <v>2062</v>
      </c>
      <c r="D154" s="215">
        <f>IF(F153+SUM(E$99:E153)=D$92,F153,D$92-SUM(E$99:E153))</f>
        <v>0</v>
      </c>
      <c r="E154" s="166">
        <f>IF(+J96&lt;F153,J96,D154)</f>
        <v>0</v>
      </c>
      <c r="F154" s="165">
        <f t="shared" si="29"/>
        <v>0</v>
      </c>
      <c r="G154" s="165">
        <f t="shared" si="30"/>
        <v>0</v>
      </c>
      <c r="H154" s="167">
        <f t="shared" si="27"/>
        <v>0</v>
      </c>
      <c r="I154" s="254">
        <f t="shared" si="28"/>
        <v>0</v>
      </c>
      <c r="J154" s="169">
        <f t="shared" si="31"/>
        <v>0</v>
      </c>
      <c r="K154" s="158"/>
      <c r="L154" s="335"/>
      <c r="M154" s="169">
        <f t="shared" si="32"/>
        <v>0</v>
      </c>
      <c r="N154" s="335"/>
      <c r="O154" s="169">
        <f t="shared" si="33"/>
        <v>0</v>
      </c>
      <c r="P154" s="169">
        <f t="shared" si="34"/>
        <v>0</v>
      </c>
      <c r="Q154" s="1"/>
    </row>
    <row r="155" spans="2:17">
      <c r="C155" s="154" t="s">
        <v>73</v>
      </c>
      <c r="D155" s="111"/>
      <c r="E155" s="111">
        <f>SUM(E99:E154)</f>
        <v>185247.00000000006</v>
      </c>
      <c r="F155" s="111"/>
      <c r="G155" s="111"/>
      <c r="H155" s="111">
        <f>SUM(H99:H154)</f>
        <v>679654.63444169471</v>
      </c>
      <c r="I155" s="111">
        <f>SUM(I99:I154)</f>
        <v>679654.63444169471</v>
      </c>
      <c r="J155" s="111">
        <f>SUM(J99:J154)</f>
        <v>0</v>
      </c>
      <c r="K155" s="111"/>
      <c r="L155" s="111"/>
      <c r="M155" s="111"/>
      <c r="N155" s="111"/>
      <c r="O155" s="111"/>
      <c r="P155" s="1"/>
      <c r="Q155" s="1"/>
    </row>
    <row r="156" spans="2:17">
      <c r="D156" s="2"/>
      <c r="E156" s="1"/>
      <c r="F156" s="1"/>
      <c r="G156" s="1"/>
      <c r="H156" s="1"/>
      <c r="I156" s="3"/>
      <c r="J156" s="3"/>
      <c r="K156" s="111"/>
      <c r="L156" s="3"/>
      <c r="M156" s="3"/>
      <c r="N156" s="3"/>
      <c r="O156" s="3"/>
      <c r="P156" s="1"/>
      <c r="Q156" s="1"/>
    </row>
    <row r="157" spans="2:17">
      <c r="C157" s="216" t="s">
        <v>87</v>
      </c>
      <c r="D157" s="2"/>
      <c r="E157" s="1"/>
      <c r="F157" s="1"/>
      <c r="G157" s="1"/>
      <c r="H157" s="1"/>
      <c r="I157" s="3"/>
      <c r="J157" s="3"/>
      <c r="K157" s="111"/>
      <c r="L157" s="3"/>
      <c r="M157" s="3"/>
      <c r="N157" s="3"/>
      <c r="O157" s="3"/>
      <c r="P157" s="1"/>
      <c r="Q157" s="1"/>
    </row>
    <row r="158" spans="2:17">
      <c r="D158" s="2"/>
      <c r="E158" s="1"/>
      <c r="F158" s="1"/>
      <c r="G158" s="1"/>
      <c r="H158" s="1"/>
      <c r="I158" s="3"/>
      <c r="J158" s="3"/>
      <c r="K158" s="111"/>
      <c r="L158" s="3"/>
      <c r="M158" s="3"/>
      <c r="N158" s="3"/>
      <c r="O158" s="3"/>
      <c r="P158" s="1"/>
      <c r="Q158" s="1"/>
    </row>
    <row r="159" spans="2:17">
      <c r="C159" s="170" t="s">
        <v>92</v>
      </c>
      <c r="D159" s="154"/>
      <c r="E159" s="154"/>
      <c r="F159" s="154"/>
      <c r="G159" s="154"/>
      <c r="H159" s="111"/>
      <c r="I159" s="111"/>
      <c r="J159" s="171"/>
      <c r="K159" s="171"/>
      <c r="L159" s="171"/>
      <c r="M159" s="171"/>
      <c r="N159" s="171"/>
      <c r="O159" s="171"/>
      <c r="P159" s="1"/>
      <c r="Q159" s="1"/>
    </row>
    <row r="160" spans="2:17">
      <c r="C160" s="217" t="s">
        <v>74</v>
      </c>
      <c r="D160" s="154"/>
      <c r="E160" s="154"/>
      <c r="F160" s="154"/>
      <c r="G160" s="154"/>
      <c r="H160" s="111"/>
      <c r="I160" s="111"/>
      <c r="J160" s="171"/>
      <c r="K160" s="171"/>
      <c r="L160" s="171"/>
      <c r="M160" s="171"/>
      <c r="N160" s="171"/>
      <c r="O160" s="171"/>
      <c r="P160" s="1"/>
      <c r="Q160" s="1"/>
    </row>
    <row r="161" spans="3:17">
      <c r="C161" s="217" t="s">
        <v>75</v>
      </c>
      <c r="D161" s="154"/>
      <c r="E161" s="154"/>
      <c r="F161" s="154"/>
      <c r="G161" s="154"/>
      <c r="H161" s="111"/>
      <c r="I161" s="111"/>
      <c r="J161" s="171"/>
      <c r="K161" s="171"/>
      <c r="L161" s="171"/>
      <c r="M161" s="171"/>
      <c r="N161" s="171"/>
      <c r="O161" s="171"/>
      <c r="P161" s="1"/>
      <c r="Q161" s="1"/>
    </row>
    <row r="162" spans="3:17" ht="18">
      <c r="C162" s="217"/>
      <c r="D162" s="154"/>
      <c r="E162" s="154"/>
      <c r="F162" s="154"/>
      <c r="G162" s="154"/>
      <c r="H162" s="111"/>
      <c r="I162" s="111"/>
      <c r="J162" s="171"/>
      <c r="K162" s="171"/>
      <c r="L162" s="171"/>
      <c r="M162" s="171"/>
      <c r="N162" s="171"/>
      <c r="P162" s="237" t="s">
        <v>126</v>
      </c>
      <c r="Q162" s="1"/>
    </row>
  </sheetData>
  <phoneticPr fontId="0" type="noConversion"/>
  <conditionalFormatting sqref="C17:C72">
    <cfRule type="cellIs" dxfId="141" priority="1" stopIfTrue="1" operator="equal">
      <formula>$I$10</formula>
    </cfRule>
  </conditionalFormatting>
  <conditionalFormatting sqref="C99:C154">
    <cfRule type="cellIs" dxfId="140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  <legacy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62"/>
  <dimension ref="A1:Q162"/>
  <sheetViews>
    <sheetView view="pageBreakPreview" zoomScale="75" zoomScaleNormal="100" zoomScaleSheetLayoutView="75" workbookViewId="0">
      <selection activeCell="C19" sqref="C19"/>
    </sheetView>
  </sheetViews>
  <sheetFormatPr defaultRowHeight="12.75" customHeight="1"/>
  <cols>
    <col min="1" max="1" width="4.7109375" customWidth="1"/>
    <col min="2" max="2" width="6.7109375" customWidth="1"/>
    <col min="3" max="3" width="23.28515625" customWidth="1"/>
    <col min="4" max="8" width="17.7109375" customWidth="1"/>
    <col min="9" max="9" width="20.42578125" customWidth="1"/>
    <col min="10" max="10" width="16.42578125" customWidth="1"/>
    <col min="11" max="11" width="17.7109375" customWidth="1"/>
    <col min="12" max="12" width="16.140625" customWidth="1"/>
    <col min="13" max="13" width="17.7109375" customWidth="1"/>
    <col min="14" max="14" width="16.140625" customWidth="1"/>
    <col min="15" max="15" width="16.85546875" customWidth="1"/>
    <col min="16" max="16" width="24.42578125" customWidth="1"/>
    <col min="17" max="17" width="4.7109375" customWidth="1"/>
    <col min="23" max="23" width="9.140625" customWidth="1"/>
  </cols>
  <sheetData>
    <row r="1" spans="1:17" ht="20.25">
      <c r="A1" s="243" t="s">
        <v>128</v>
      </c>
      <c r="B1" s="1"/>
      <c r="C1" s="21"/>
      <c r="D1" s="2"/>
      <c r="E1" s="1"/>
      <c r="F1" s="99"/>
      <c r="G1" s="1"/>
      <c r="H1" s="3"/>
      <c r="J1" s="7"/>
      <c r="K1" s="109"/>
      <c r="L1" s="109"/>
      <c r="M1" s="109"/>
      <c r="P1" s="249" t="str">
        <f ca="1">"SWEPCO Project "&amp;RIGHT(MID(CELL("filename",$A$1),FIND("]",CELL("filename",$A$1))+1,256),2)&amp;" of "&amp;COUNT('S.001:S.xyz - blank'!$P$3)-1</f>
        <v>SWEPCO Project 13 of 73</v>
      </c>
      <c r="Q1" s="108"/>
    </row>
    <row r="2" spans="1:17" ht="18">
      <c r="B2" s="1"/>
      <c r="C2" s="1"/>
      <c r="D2" s="2"/>
      <c r="E2" s="1"/>
      <c r="F2" s="1"/>
      <c r="G2" s="1"/>
      <c r="H2" s="3"/>
      <c r="I2" s="1"/>
      <c r="J2" s="4"/>
      <c r="K2" s="1"/>
      <c r="L2" s="1"/>
      <c r="M2" s="1"/>
      <c r="N2" s="1"/>
      <c r="P2" s="237" t="s">
        <v>124</v>
      </c>
    </row>
    <row r="3" spans="1:17" ht="18.75">
      <c r="B3" s="5" t="s">
        <v>40</v>
      </c>
      <c r="C3" s="68" t="s">
        <v>41</v>
      </c>
      <c r="D3" s="2"/>
      <c r="E3" s="1"/>
      <c r="F3" s="1"/>
      <c r="G3" s="1"/>
      <c r="H3" s="3"/>
      <c r="I3" s="3"/>
      <c r="J3" s="111"/>
      <c r="K3" s="3"/>
      <c r="L3" s="3"/>
      <c r="M3" s="3"/>
      <c r="N3" s="3"/>
      <c r="O3" s="1" t="str">
        <f>RIGHT(N3,3)</f>
        <v/>
      </c>
      <c r="P3" s="239">
        <v>1</v>
      </c>
    </row>
    <row r="4" spans="1:17" ht="15.75" thickBot="1">
      <c r="C4" s="67"/>
      <c r="D4" s="2"/>
      <c r="E4" s="1"/>
      <c r="F4" s="1"/>
      <c r="G4" s="1"/>
      <c r="H4" s="3"/>
      <c r="I4" s="3"/>
      <c r="J4" s="111"/>
      <c r="K4" s="3"/>
      <c r="L4" s="3"/>
      <c r="M4" s="3"/>
      <c r="N4" s="3"/>
      <c r="O4" s="1"/>
      <c r="P4" s="1"/>
    </row>
    <row r="5" spans="1:17" ht="15">
      <c r="C5" s="112" t="s">
        <v>42</v>
      </c>
      <c r="D5" s="2"/>
      <c r="E5" s="1"/>
      <c r="F5" s="1"/>
      <c r="G5" s="113"/>
      <c r="H5" s="1" t="s">
        <v>43</v>
      </c>
      <c r="I5" s="1"/>
      <c r="J5" s="4"/>
      <c r="K5" s="268" t="s">
        <v>152</v>
      </c>
      <c r="L5" s="114"/>
      <c r="M5" s="115"/>
      <c r="N5" s="116">
        <f>VLOOKUP(I10,C17:I72,5)</f>
        <v>552385.25956304069</v>
      </c>
      <c r="P5" s="1"/>
    </row>
    <row r="6" spans="1:17" ht="15.75">
      <c r="C6" s="8"/>
      <c r="D6" s="2"/>
      <c r="E6" s="1"/>
      <c r="F6" s="1"/>
      <c r="G6" s="1"/>
      <c r="H6" s="117"/>
      <c r="I6" s="117"/>
      <c r="J6" s="118"/>
      <c r="K6" s="269" t="s">
        <v>153</v>
      </c>
      <c r="L6" s="119"/>
      <c r="M6" s="4"/>
      <c r="N6" s="120">
        <f>VLOOKUP(I10,C17:I72,6)</f>
        <v>552385.25956304069</v>
      </c>
      <c r="O6" s="1"/>
      <c r="P6" s="1"/>
    </row>
    <row r="7" spans="1:17" ht="13.5" thickBot="1">
      <c r="C7" s="121" t="s">
        <v>44</v>
      </c>
      <c r="D7" s="272" t="s">
        <v>145</v>
      </c>
      <c r="E7" s="1"/>
      <c r="F7" s="1"/>
      <c r="G7" s="1"/>
      <c r="H7" s="3"/>
      <c r="I7" s="3"/>
      <c r="J7" s="111"/>
      <c r="K7" s="122" t="s">
        <v>45</v>
      </c>
      <c r="L7" s="123"/>
      <c r="M7" s="123"/>
      <c r="N7" s="124">
        <f>+N6-N5</f>
        <v>0</v>
      </c>
      <c r="O7" s="1"/>
      <c r="P7" s="1"/>
    </row>
    <row r="8" spans="1:17" ht="13.5" thickBot="1">
      <c r="C8" s="125"/>
      <c r="D8" s="247" t="str">
        <f>IF(D10&lt;100000,"DOES NOT MEET SPP $100,000 MINIMUM INVESTMENT FOR REGIONAL BPU SHARING.","")</f>
        <v/>
      </c>
      <c r="E8" s="126"/>
      <c r="F8" s="126"/>
      <c r="G8" s="126"/>
      <c r="H8" s="126"/>
      <c r="I8" s="126"/>
      <c r="J8" s="101"/>
      <c r="K8" s="126"/>
      <c r="L8" s="126"/>
      <c r="M8" s="126"/>
      <c r="N8" s="126"/>
      <c r="O8" s="101"/>
      <c r="P8" s="21"/>
    </row>
    <row r="9" spans="1:17" ht="13.5" thickBot="1">
      <c r="A9" s="103"/>
      <c r="C9" s="127" t="s">
        <v>46</v>
      </c>
      <c r="D9" s="225" t="s">
        <v>146</v>
      </c>
      <c r="E9" s="401" t="s">
        <v>407</v>
      </c>
      <c r="F9" s="128"/>
      <c r="G9" s="128"/>
      <c r="H9" s="128"/>
      <c r="I9" s="129"/>
      <c r="J9" s="130"/>
      <c r="O9" s="131"/>
      <c r="P9" s="4"/>
    </row>
    <row r="10" spans="1:17">
      <c r="C10" s="132" t="s">
        <v>47</v>
      </c>
      <c r="D10" s="133">
        <v>5731607</v>
      </c>
      <c r="E10" s="61" t="s">
        <v>459</v>
      </c>
      <c r="F10" s="131"/>
      <c r="G10" s="134"/>
      <c r="H10" s="134"/>
      <c r="I10" s="135">
        <f>+SWE.WS.F.BPU.ATRR.Projected!K17</f>
        <v>2019</v>
      </c>
      <c r="J10" s="130"/>
      <c r="K10" s="111" t="s">
        <v>48</v>
      </c>
      <c r="O10" s="4"/>
      <c r="P10" s="4"/>
    </row>
    <row r="11" spans="1:17">
      <c r="C11" s="136" t="s">
        <v>49</v>
      </c>
      <c r="D11" s="137">
        <v>2006</v>
      </c>
      <c r="E11" s="136" t="s">
        <v>50</v>
      </c>
      <c r="F11" s="134"/>
      <c r="G11" s="7"/>
      <c r="H11" s="7"/>
      <c r="I11" s="138">
        <v>0</v>
      </c>
      <c r="J11" s="139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4"/>
      <c r="P11" s="4"/>
    </row>
    <row r="12" spans="1:17">
      <c r="C12" s="136" t="s">
        <v>51</v>
      </c>
      <c r="D12" s="133">
        <v>4</v>
      </c>
      <c r="E12" s="136" t="s">
        <v>52</v>
      </c>
      <c r="F12" s="134"/>
      <c r="G12" s="7"/>
      <c r="H12" s="7"/>
      <c r="I12" s="140">
        <f>SWE.WS.F.BPU.ATRR.Projected!$F$76</f>
        <v>9.9555672459071778E-2</v>
      </c>
      <c r="J12" s="141"/>
      <c r="K12" t="s">
        <v>53</v>
      </c>
      <c r="O12" s="4"/>
      <c r="P12" s="4"/>
    </row>
    <row r="13" spans="1:17">
      <c r="C13" s="136" t="s">
        <v>54</v>
      </c>
      <c r="D13" s="138">
        <f>+SWE.WS.F.BPU.ATRR.Projected!F$87</f>
        <v>43</v>
      </c>
      <c r="E13" s="136" t="s">
        <v>55</v>
      </c>
      <c r="F13" s="134"/>
      <c r="G13" s="7"/>
      <c r="H13" s="7"/>
      <c r="I13" s="140">
        <f>IF(G5="",I12,SWE.WS.F.BPU.ATRR.Projected!$F$75)</f>
        <v>9.9555672459071778E-2</v>
      </c>
      <c r="J13" s="141"/>
      <c r="K13" s="111" t="s">
        <v>56</v>
      </c>
      <c r="L13" s="58"/>
      <c r="M13" s="58"/>
      <c r="N13" s="58"/>
      <c r="O13" s="4"/>
      <c r="P13" s="4"/>
    </row>
    <row r="14" spans="1:17" ht="13.5" thickBot="1">
      <c r="C14" s="136" t="s">
        <v>57</v>
      </c>
      <c r="D14" s="137" t="s">
        <v>58</v>
      </c>
      <c r="E14" s="4" t="s">
        <v>59</v>
      </c>
      <c r="F14" s="134"/>
      <c r="G14" s="7"/>
      <c r="H14" s="7"/>
      <c r="I14" s="142">
        <f>IF(D10=0,0,D10/D13)</f>
        <v>133293.18604651163</v>
      </c>
      <c r="J14" s="111"/>
      <c r="K14" s="111"/>
      <c r="L14" s="111"/>
      <c r="M14" s="111"/>
      <c r="N14" s="111"/>
      <c r="O14" s="4"/>
      <c r="P14" s="4"/>
    </row>
    <row r="15" spans="1:17" ht="38.25">
      <c r="C15" s="143" t="s">
        <v>47</v>
      </c>
      <c r="D15" s="144" t="s">
        <v>60</v>
      </c>
      <c r="E15" s="144" t="s">
        <v>61</v>
      </c>
      <c r="F15" s="144" t="s">
        <v>62</v>
      </c>
      <c r="G15" s="434" t="s">
        <v>378</v>
      </c>
      <c r="H15" s="435" t="s">
        <v>379</v>
      </c>
      <c r="I15" s="351" t="s">
        <v>249</v>
      </c>
      <c r="J15" s="145"/>
      <c r="K15" s="271" t="s">
        <v>219</v>
      </c>
      <c r="L15" s="146" t="s">
        <v>64</v>
      </c>
      <c r="M15" s="271" t="s">
        <v>219</v>
      </c>
      <c r="N15" s="146" t="s">
        <v>64</v>
      </c>
      <c r="O15" s="146" t="s">
        <v>65</v>
      </c>
      <c r="P15" s="4"/>
    </row>
    <row r="16" spans="1:17" ht="13.5" thickBot="1">
      <c r="C16" s="147" t="s">
        <v>66</v>
      </c>
      <c r="D16" s="147" t="s">
        <v>67</v>
      </c>
      <c r="E16" s="147" t="s">
        <v>68</v>
      </c>
      <c r="F16" s="147" t="s">
        <v>67</v>
      </c>
      <c r="G16" s="408" t="s">
        <v>69</v>
      </c>
      <c r="H16" s="148" t="s">
        <v>70</v>
      </c>
      <c r="I16" s="149" t="s">
        <v>89</v>
      </c>
      <c r="J16" s="150" t="s">
        <v>71</v>
      </c>
      <c r="K16" s="151" t="s">
        <v>72</v>
      </c>
      <c r="L16" s="151" t="s">
        <v>72</v>
      </c>
      <c r="M16" s="151" t="s">
        <v>90</v>
      </c>
      <c r="N16" s="152" t="s">
        <v>90</v>
      </c>
      <c r="O16" s="151" t="s">
        <v>90</v>
      </c>
      <c r="P16" s="4"/>
    </row>
    <row r="17" spans="2:16">
      <c r="C17" s="153">
        <f>IF(D11= "","-",D11)</f>
        <v>2006</v>
      </c>
      <c r="D17" s="357">
        <v>3884542</v>
      </c>
      <c r="E17" s="358">
        <v>69992</v>
      </c>
      <c r="F17" s="357">
        <v>3814550</v>
      </c>
      <c r="G17" s="358">
        <v>508462</v>
      </c>
      <c r="H17" s="359">
        <v>508462</v>
      </c>
      <c r="I17" s="398">
        <f t="shared" ref="I17:I48" si="0">H17-G17</f>
        <v>0</v>
      </c>
      <c r="J17" s="156"/>
      <c r="K17" s="256">
        <v>0</v>
      </c>
      <c r="L17" s="157">
        <f t="shared" ref="L17:L48" si="1">IF(K17&lt;&gt;0,+G17-K17,0)</f>
        <v>0</v>
      </c>
      <c r="M17" s="256">
        <v>0</v>
      </c>
      <c r="N17" s="157">
        <f t="shared" ref="N17:N48" si="2">IF(M17&lt;&gt;0,+H17-M17,0)</f>
        <v>0</v>
      </c>
      <c r="O17" s="158">
        <f t="shared" ref="O17:O48" si="3">+N17-L17</f>
        <v>0</v>
      </c>
      <c r="P17" s="4"/>
    </row>
    <row r="18" spans="2:16">
      <c r="B18" s="9" t="str">
        <f>IF(D18=F17,"","IU")</f>
        <v/>
      </c>
      <c r="C18" s="153">
        <f>IF(D11="","-",+C17+1)</f>
        <v>2007</v>
      </c>
      <c r="D18" s="361">
        <f>F17</f>
        <v>3814550</v>
      </c>
      <c r="E18" s="360">
        <v>104988</v>
      </c>
      <c r="F18" s="361">
        <v>3709563</v>
      </c>
      <c r="G18" s="360">
        <v>673524</v>
      </c>
      <c r="H18" s="359">
        <v>673524</v>
      </c>
      <c r="I18" s="398">
        <f t="shared" si="0"/>
        <v>0</v>
      </c>
      <c r="J18" s="156"/>
      <c r="K18" s="258">
        <v>0</v>
      </c>
      <c r="L18" s="158">
        <f t="shared" si="1"/>
        <v>0</v>
      </c>
      <c r="M18" s="258">
        <v>0</v>
      </c>
      <c r="N18" s="158">
        <f t="shared" si="2"/>
        <v>0</v>
      </c>
      <c r="O18" s="158">
        <f t="shared" si="3"/>
        <v>0</v>
      </c>
      <c r="P18" s="4"/>
    </row>
    <row r="19" spans="2:16">
      <c r="B19" s="9" t="str">
        <f>IF(D19=F18,"","IU")</f>
        <v>IU</v>
      </c>
      <c r="C19" s="367">
        <f>IF(D11="","-",+C18+1)</f>
        <v>2008</v>
      </c>
      <c r="D19" s="361">
        <v>5654153</v>
      </c>
      <c r="E19" s="360">
        <v>154908</v>
      </c>
      <c r="F19" s="361">
        <v>5499245</v>
      </c>
      <c r="G19" s="360">
        <v>999621</v>
      </c>
      <c r="H19" s="359">
        <v>999621</v>
      </c>
      <c r="I19" s="398">
        <f t="shared" si="0"/>
        <v>0</v>
      </c>
      <c r="J19" s="156"/>
      <c r="K19" s="258">
        <v>999621</v>
      </c>
      <c r="L19" s="158">
        <f t="shared" si="1"/>
        <v>0</v>
      </c>
      <c r="M19" s="258">
        <f>K19</f>
        <v>999621</v>
      </c>
      <c r="N19" s="158">
        <f t="shared" si="2"/>
        <v>0</v>
      </c>
      <c r="O19" s="158">
        <f t="shared" si="3"/>
        <v>0</v>
      </c>
      <c r="P19" s="4"/>
    </row>
    <row r="20" spans="2:16">
      <c r="B20" s="9" t="str">
        <f t="shared" ref="B20:B72" si="4">IF(D20=F19,"","IU")</f>
        <v>IU</v>
      </c>
      <c r="C20" s="153">
        <f>IF(D11="","-",+C19+1)</f>
        <v>2009</v>
      </c>
      <c r="D20" s="361">
        <v>3604575</v>
      </c>
      <c r="E20" s="360">
        <v>104988</v>
      </c>
      <c r="F20" s="361">
        <v>3499587</v>
      </c>
      <c r="G20" s="360">
        <v>641343</v>
      </c>
      <c r="H20" s="359">
        <v>641343</v>
      </c>
      <c r="I20" s="398">
        <f t="shared" si="0"/>
        <v>0</v>
      </c>
      <c r="J20" s="156"/>
      <c r="K20" s="258">
        <v>641343</v>
      </c>
      <c r="L20" s="158">
        <f t="shared" si="1"/>
        <v>0</v>
      </c>
      <c r="M20" s="258">
        <v>641343</v>
      </c>
      <c r="N20" s="158">
        <f t="shared" si="2"/>
        <v>0</v>
      </c>
      <c r="O20" s="158">
        <f t="shared" si="3"/>
        <v>0</v>
      </c>
      <c r="P20" s="4"/>
    </row>
    <row r="21" spans="2:16">
      <c r="B21" s="9" t="str">
        <f t="shared" si="4"/>
        <v>IU</v>
      </c>
      <c r="C21" s="153">
        <f>IF(D12="","-",+C20+1)</f>
        <v>2010</v>
      </c>
      <c r="D21" s="361">
        <v>3449666</v>
      </c>
      <c r="E21" s="360">
        <v>102224.78947368421</v>
      </c>
      <c r="F21" s="361">
        <v>3347441.210526316</v>
      </c>
      <c r="G21" s="360">
        <v>583469.67252567795</v>
      </c>
      <c r="H21" s="359">
        <v>583469.67252567795</v>
      </c>
      <c r="I21" s="399">
        <v>0</v>
      </c>
      <c r="J21" s="156"/>
      <c r="K21" s="258">
        <f t="shared" ref="K21:K26" si="5">G21</f>
        <v>583469.67252567795</v>
      </c>
      <c r="L21" s="257">
        <f t="shared" si="1"/>
        <v>0</v>
      </c>
      <c r="M21" s="258">
        <f t="shared" ref="M21:M26" si="6">H21</f>
        <v>583469.67252567795</v>
      </c>
      <c r="N21" s="158">
        <f t="shared" si="2"/>
        <v>0</v>
      </c>
      <c r="O21" s="158">
        <f t="shared" si="3"/>
        <v>0</v>
      </c>
      <c r="P21" s="4"/>
    </row>
    <row r="22" spans="2:16">
      <c r="B22" s="9" t="str">
        <f t="shared" si="4"/>
        <v/>
      </c>
      <c r="C22" s="153">
        <f>IF(D11="","-",+C21+1)</f>
        <v>2011</v>
      </c>
      <c r="D22" s="361">
        <v>3347441.210526316</v>
      </c>
      <c r="E22" s="360">
        <v>94744.926829268297</v>
      </c>
      <c r="F22" s="361">
        <v>3252696.2836970477</v>
      </c>
      <c r="G22" s="360">
        <v>602790.6645462896</v>
      </c>
      <c r="H22" s="359">
        <v>602790.6645462896</v>
      </c>
      <c r="I22" s="368">
        <v>0</v>
      </c>
      <c r="J22" s="156"/>
      <c r="K22" s="258">
        <f t="shared" si="5"/>
        <v>602790.6645462896</v>
      </c>
      <c r="L22" s="257">
        <f t="shared" si="1"/>
        <v>0</v>
      </c>
      <c r="M22" s="258">
        <f t="shared" si="6"/>
        <v>602790.6645462896</v>
      </c>
      <c r="N22" s="158">
        <f t="shared" si="2"/>
        <v>0</v>
      </c>
      <c r="O22" s="158">
        <f t="shared" si="3"/>
        <v>0</v>
      </c>
      <c r="P22" s="4"/>
    </row>
    <row r="23" spans="2:16">
      <c r="B23" s="9" t="str">
        <f t="shared" si="4"/>
        <v/>
      </c>
      <c r="C23" s="153">
        <f>IF(D11="","-",+C22+1)</f>
        <v>2012</v>
      </c>
      <c r="D23" s="361">
        <v>3252696.2836970477</v>
      </c>
      <c r="E23" s="377">
        <v>92489.095238095237</v>
      </c>
      <c r="F23" s="361">
        <v>3160207.1884589526</v>
      </c>
      <c r="G23" s="360">
        <v>562475.55094765779</v>
      </c>
      <c r="H23" s="359">
        <v>562475.55094765779</v>
      </c>
      <c r="I23" s="368">
        <v>0</v>
      </c>
      <c r="J23" s="156"/>
      <c r="K23" s="258">
        <f t="shared" si="5"/>
        <v>562475.55094765779</v>
      </c>
      <c r="L23" s="257">
        <f t="shared" si="1"/>
        <v>0</v>
      </c>
      <c r="M23" s="258">
        <f t="shared" si="6"/>
        <v>562475.55094765779</v>
      </c>
      <c r="N23" s="158">
        <f t="shared" si="2"/>
        <v>0</v>
      </c>
      <c r="O23" s="158">
        <f t="shared" si="3"/>
        <v>0</v>
      </c>
      <c r="P23" s="4"/>
    </row>
    <row r="24" spans="2:16">
      <c r="B24" s="9" t="str">
        <f t="shared" si="4"/>
        <v/>
      </c>
      <c r="C24" s="153">
        <f>IF(D11="","-",+C23+1)</f>
        <v>2013</v>
      </c>
      <c r="D24" s="396">
        <v>3160207.1884589526</v>
      </c>
      <c r="E24" s="397">
        <v>92489.095238095237</v>
      </c>
      <c r="F24" s="396">
        <v>3067718.0932208574</v>
      </c>
      <c r="G24" s="397">
        <v>521929.99973922677</v>
      </c>
      <c r="H24" s="395">
        <v>521929.99973922677</v>
      </c>
      <c r="I24" s="398">
        <v>0</v>
      </c>
      <c r="J24" s="156"/>
      <c r="K24" s="258">
        <f t="shared" si="5"/>
        <v>521929.99973922677</v>
      </c>
      <c r="L24" s="257">
        <f t="shared" ref="L24:L29" si="7">IF(K24&lt;&gt;0,+G24-K24,0)</f>
        <v>0</v>
      </c>
      <c r="M24" s="258">
        <f t="shared" si="6"/>
        <v>521929.99973922677</v>
      </c>
      <c r="N24" s="158">
        <f t="shared" ref="N24:N29" si="8">IF(M24&lt;&gt;0,+H24-M24,0)</f>
        <v>0</v>
      </c>
      <c r="O24" s="158">
        <f t="shared" ref="O24:O29" si="9">+N24-L24</f>
        <v>0</v>
      </c>
      <c r="P24" s="4"/>
    </row>
    <row r="25" spans="2:16">
      <c r="B25" s="9" t="str">
        <f t="shared" si="4"/>
        <v/>
      </c>
      <c r="C25" s="153">
        <f>IF(D11="","-",+C24+1)</f>
        <v>2014</v>
      </c>
      <c r="D25" s="396">
        <v>3067718.0932208574</v>
      </c>
      <c r="E25" s="397">
        <v>92489.095238095237</v>
      </c>
      <c r="F25" s="396">
        <v>2975228.9979827623</v>
      </c>
      <c r="G25" s="397">
        <v>493878.75151607196</v>
      </c>
      <c r="H25" s="395">
        <v>493878.75151607196</v>
      </c>
      <c r="I25" s="398">
        <v>0</v>
      </c>
      <c r="J25" s="156"/>
      <c r="K25" s="258">
        <f t="shared" si="5"/>
        <v>493878.75151607196</v>
      </c>
      <c r="L25" s="257">
        <f t="shared" si="7"/>
        <v>0</v>
      </c>
      <c r="M25" s="258">
        <f t="shared" si="6"/>
        <v>493878.75151607196</v>
      </c>
      <c r="N25" s="158">
        <f t="shared" si="8"/>
        <v>0</v>
      </c>
      <c r="O25" s="158">
        <f t="shared" si="9"/>
        <v>0</v>
      </c>
      <c r="P25" s="4"/>
    </row>
    <row r="26" spans="2:16">
      <c r="B26" s="9" t="str">
        <f t="shared" si="4"/>
        <v>IU</v>
      </c>
      <c r="C26" s="153">
        <f>IF(D11="","-",+C25+1)</f>
        <v>2015</v>
      </c>
      <c r="D26" s="396">
        <v>4822293.9979827618</v>
      </c>
      <c r="E26" s="397">
        <v>136466.83333333334</v>
      </c>
      <c r="F26" s="396">
        <v>4685827.1646494288</v>
      </c>
      <c r="G26" s="397">
        <v>753612.76745725656</v>
      </c>
      <c r="H26" s="395">
        <v>753612.76745725656</v>
      </c>
      <c r="I26" s="156">
        <v>0</v>
      </c>
      <c r="J26" s="156"/>
      <c r="K26" s="258">
        <f t="shared" si="5"/>
        <v>753612.76745725656</v>
      </c>
      <c r="L26" s="257">
        <f t="shared" si="7"/>
        <v>0</v>
      </c>
      <c r="M26" s="258">
        <f t="shared" si="6"/>
        <v>753612.76745725656</v>
      </c>
      <c r="N26" s="158">
        <f t="shared" si="8"/>
        <v>0</v>
      </c>
      <c r="O26" s="158">
        <f t="shared" si="9"/>
        <v>0</v>
      </c>
      <c r="P26" s="4"/>
    </row>
    <row r="27" spans="2:16">
      <c r="B27" s="9" t="str">
        <f t="shared" si="4"/>
        <v/>
      </c>
      <c r="C27" s="153">
        <f>IF(D11="","-",+C26+1)</f>
        <v>2016</v>
      </c>
      <c r="D27" s="396">
        <v>4685827.1646494288</v>
      </c>
      <c r="E27" s="397">
        <v>136466.83333333334</v>
      </c>
      <c r="F27" s="396">
        <v>4549360.3313160958</v>
      </c>
      <c r="G27" s="397">
        <v>728247.51158298948</v>
      </c>
      <c r="H27" s="395">
        <v>728247.51158298948</v>
      </c>
      <c r="I27" s="156">
        <f t="shared" si="0"/>
        <v>0</v>
      </c>
      <c r="J27" s="156"/>
      <c r="K27" s="258">
        <f>G27</f>
        <v>728247.51158298948</v>
      </c>
      <c r="L27" s="257">
        <f t="shared" si="7"/>
        <v>0</v>
      </c>
      <c r="M27" s="258">
        <f>H27</f>
        <v>728247.51158298948</v>
      </c>
      <c r="N27" s="158">
        <f t="shared" si="8"/>
        <v>0</v>
      </c>
      <c r="O27" s="158">
        <f t="shared" si="9"/>
        <v>0</v>
      </c>
      <c r="P27" s="4"/>
    </row>
    <row r="28" spans="2:16">
      <c r="B28" s="9" t="str">
        <f t="shared" si="4"/>
        <v/>
      </c>
      <c r="C28" s="153">
        <f>IF(D11="","-",+C27+1)</f>
        <v>2017</v>
      </c>
      <c r="D28" s="396">
        <v>4549360.3313160958</v>
      </c>
      <c r="E28" s="397">
        <v>133293.18604651163</v>
      </c>
      <c r="F28" s="396">
        <v>4416067.1452695839</v>
      </c>
      <c r="G28" s="397">
        <v>688667.94856072206</v>
      </c>
      <c r="H28" s="395">
        <v>688667.94856072206</v>
      </c>
      <c r="I28" s="156">
        <v>0</v>
      </c>
      <c r="J28" s="156"/>
      <c r="K28" s="258">
        <f>G28</f>
        <v>688667.94856072206</v>
      </c>
      <c r="L28" s="257">
        <f t="shared" si="7"/>
        <v>0</v>
      </c>
      <c r="M28" s="258">
        <f>H28</f>
        <v>688667.94856072206</v>
      </c>
      <c r="N28" s="158">
        <f t="shared" si="8"/>
        <v>0</v>
      </c>
      <c r="O28" s="158">
        <f t="shared" si="9"/>
        <v>0</v>
      </c>
      <c r="P28" s="4"/>
    </row>
    <row r="29" spans="2:16">
      <c r="B29" s="9" t="str">
        <f t="shared" si="4"/>
        <v/>
      </c>
      <c r="C29" s="153">
        <f>IF(D11="","-",+C28+1)</f>
        <v>2018</v>
      </c>
      <c r="D29" s="396">
        <v>4416067.1452695839</v>
      </c>
      <c r="E29" s="397">
        <v>139795.29268292684</v>
      </c>
      <c r="F29" s="396">
        <v>4276271.8525866568</v>
      </c>
      <c r="G29" s="397">
        <v>626063.03376473172</v>
      </c>
      <c r="H29" s="395">
        <v>626063.03376473172</v>
      </c>
      <c r="I29" s="156">
        <f t="shared" si="0"/>
        <v>0</v>
      </c>
      <c r="J29" s="156"/>
      <c r="K29" s="258">
        <f>G29</f>
        <v>626063.03376473172</v>
      </c>
      <c r="L29" s="257">
        <f t="shared" si="7"/>
        <v>0</v>
      </c>
      <c r="M29" s="258">
        <f>H29</f>
        <v>626063.03376473172</v>
      </c>
      <c r="N29" s="158">
        <f t="shared" si="8"/>
        <v>0</v>
      </c>
      <c r="O29" s="158">
        <f t="shared" si="9"/>
        <v>0</v>
      </c>
      <c r="P29" s="4"/>
    </row>
    <row r="30" spans="2:16">
      <c r="B30" s="9" t="str">
        <f t="shared" si="4"/>
        <v/>
      </c>
      <c r="C30" s="153">
        <f>IF(D11="","-",+C29+1)</f>
        <v>2019</v>
      </c>
      <c r="D30" s="159">
        <f>IF(F29+SUM(E$17:E29)=D$10,F29,D$10-SUM(E$17:E29))</f>
        <v>4276271.8525866568</v>
      </c>
      <c r="E30" s="160">
        <f>IF(+I14&lt;F29,I14,D30)</f>
        <v>133293.18604651163</v>
      </c>
      <c r="F30" s="159">
        <f t="shared" ref="F30:F48" si="10">+D30-E30</f>
        <v>4142978.6665401449</v>
      </c>
      <c r="G30" s="161">
        <f t="shared" ref="G30:G72" si="11">+I$12*((D30+F30)/2)+E30</f>
        <v>552385.25956304069</v>
      </c>
      <c r="H30" s="142">
        <f t="shared" ref="H30:H72" si="12">+I$13*((D30+F30)/2)+E30</f>
        <v>552385.25956304069</v>
      </c>
      <c r="I30" s="156">
        <f t="shared" si="0"/>
        <v>0</v>
      </c>
      <c r="J30" s="156"/>
      <c r="K30" s="334"/>
      <c r="L30" s="158">
        <f t="shared" si="1"/>
        <v>0</v>
      </c>
      <c r="M30" s="334"/>
      <c r="N30" s="158">
        <f t="shared" si="2"/>
        <v>0</v>
      </c>
      <c r="O30" s="158">
        <f t="shared" si="3"/>
        <v>0</v>
      </c>
      <c r="P30" s="4"/>
    </row>
    <row r="31" spans="2:16">
      <c r="B31" s="9" t="str">
        <f t="shared" si="4"/>
        <v/>
      </c>
      <c r="C31" s="153">
        <f>IF(D11="","-",+C30+1)</f>
        <v>2020</v>
      </c>
      <c r="D31" s="159">
        <f>IF(F30+SUM(E$17:E30)=D$10,F30,D$10-SUM(E$17:E30))</f>
        <v>4142978.6665401449</v>
      </c>
      <c r="E31" s="160">
        <f>IF(+I14&lt;F30,I14,D31)</f>
        <v>133293.18604651163</v>
      </c>
      <c r="F31" s="159">
        <f t="shared" si="10"/>
        <v>4009685.4804936331</v>
      </c>
      <c r="G31" s="161">
        <f t="shared" si="11"/>
        <v>539115.16679196793</v>
      </c>
      <c r="H31" s="142">
        <f t="shared" si="12"/>
        <v>539115.16679196793</v>
      </c>
      <c r="I31" s="156">
        <f t="shared" si="0"/>
        <v>0</v>
      </c>
      <c r="J31" s="156"/>
      <c r="K31" s="334"/>
      <c r="L31" s="158">
        <f t="shared" si="1"/>
        <v>0</v>
      </c>
      <c r="M31" s="334"/>
      <c r="N31" s="158">
        <f t="shared" si="2"/>
        <v>0</v>
      </c>
      <c r="O31" s="158">
        <f t="shared" si="3"/>
        <v>0</v>
      </c>
      <c r="P31" s="4"/>
    </row>
    <row r="32" spans="2:16">
      <c r="B32" s="9" t="str">
        <f t="shared" si="4"/>
        <v/>
      </c>
      <c r="C32" s="153">
        <f>IF(D11="","-",+C31+1)</f>
        <v>2021</v>
      </c>
      <c r="D32" s="159">
        <f>IF(F31+SUM(E$17:E31)=D$10,F31,D$10-SUM(E$17:E31))</f>
        <v>4009685.4804936331</v>
      </c>
      <c r="E32" s="160">
        <f>IF(+I14&lt;F31,I14,D32)</f>
        <v>133293.18604651163</v>
      </c>
      <c r="F32" s="159">
        <f t="shared" si="10"/>
        <v>3876392.2944471212</v>
      </c>
      <c r="G32" s="161">
        <f t="shared" si="11"/>
        <v>525845.07402089529</v>
      </c>
      <c r="H32" s="142">
        <f t="shared" si="12"/>
        <v>525845.07402089529</v>
      </c>
      <c r="I32" s="156">
        <f t="shared" si="0"/>
        <v>0</v>
      </c>
      <c r="J32" s="156"/>
      <c r="K32" s="334"/>
      <c r="L32" s="158">
        <f t="shared" si="1"/>
        <v>0</v>
      </c>
      <c r="M32" s="334"/>
      <c r="N32" s="158">
        <f t="shared" si="2"/>
        <v>0</v>
      </c>
      <c r="O32" s="158">
        <f t="shared" si="3"/>
        <v>0</v>
      </c>
      <c r="P32" s="4"/>
    </row>
    <row r="33" spans="2:16">
      <c r="B33" s="9" t="str">
        <f t="shared" si="4"/>
        <v/>
      </c>
      <c r="C33" s="153">
        <f>IF(D11="","-",+C32+1)</f>
        <v>2022</v>
      </c>
      <c r="D33" s="159">
        <f>IF(F32+SUM(E$17:E32)=D$10,F32,D$10-SUM(E$17:E32))</f>
        <v>3876392.2944471212</v>
      </c>
      <c r="E33" s="160">
        <f>IF(+I14&lt;F32,I14,D33)</f>
        <v>133293.18604651163</v>
      </c>
      <c r="F33" s="159">
        <f t="shared" si="10"/>
        <v>3743099.1084006093</v>
      </c>
      <c r="G33" s="161">
        <f t="shared" si="11"/>
        <v>512574.98124982265</v>
      </c>
      <c r="H33" s="142">
        <f t="shared" si="12"/>
        <v>512574.98124982265</v>
      </c>
      <c r="I33" s="156">
        <f t="shared" si="0"/>
        <v>0</v>
      </c>
      <c r="J33" s="156"/>
      <c r="K33" s="334"/>
      <c r="L33" s="158">
        <f t="shared" si="1"/>
        <v>0</v>
      </c>
      <c r="M33" s="334"/>
      <c r="N33" s="158">
        <f t="shared" si="2"/>
        <v>0</v>
      </c>
      <c r="O33" s="158">
        <f t="shared" si="3"/>
        <v>0</v>
      </c>
      <c r="P33" s="4"/>
    </row>
    <row r="34" spans="2:16">
      <c r="B34" s="9" t="str">
        <f t="shared" si="4"/>
        <v/>
      </c>
      <c r="C34" s="153">
        <f>IF(D11="","-",+C33+1)</f>
        <v>2023</v>
      </c>
      <c r="D34" s="159">
        <f>IF(F33+SUM(E$17:E33)=D$10,F33,D$10-SUM(E$17:E33))</f>
        <v>3743099.1084006093</v>
      </c>
      <c r="E34" s="160">
        <f>IF(+I14&lt;F33,I14,D34)</f>
        <v>133293.18604651163</v>
      </c>
      <c r="F34" s="159">
        <f t="shared" si="10"/>
        <v>3609805.9223540975</v>
      </c>
      <c r="G34" s="161">
        <f t="shared" si="11"/>
        <v>499304.88847874996</v>
      </c>
      <c r="H34" s="142">
        <f t="shared" si="12"/>
        <v>499304.88847874996</v>
      </c>
      <c r="I34" s="156">
        <f t="shared" si="0"/>
        <v>0</v>
      </c>
      <c r="J34" s="156"/>
      <c r="K34" s="334"/>
      <c r="L34" s="158">
        <f t="shared" si="1"/>
        <v>0</v>
      </c>
      <c r="M34" s="334"/>
      <c r="N34" s="158">
        <f t="shared" si="2"/>
        <v>0</v>
      </c>
      <c r="O34" s="158">
        <f t="shared" si="3"/>
        <v>0</v>
      </c>
      <c r="P34" s="4"/>
    </row>
    <row r="35" spans="2:16">
      <c r="B35" s="9" t="str">
        <f t="shared" si="4"/>
        <v/>
      </c>
      <c r="C35" s="153">
        <f>IF(D11="","-",+C34+1)</f>
        <v>2024</v>
      </c>
      <c r="D35" s="159">
        <f>IF(F34+SUM(E$17:E34)=D$10,F34,D$10-SUM(E$17:E34))</f>
        <v>3609805.9223540975</v>
      </c>
      <c r="E35" s="160">
        <f>IF(+I14&lt;F34,I14,D35)</f>
        <v>133293.18604651163</v>
      </c>
      <c r="F35" s="159">
        <f t="shared" si="10"/>
        <v>3476512.7363075856</v>
      </c>
      <c r="G35" s="161">
        <f t="shared" si="11"/>
        <v>486034.79570767732</v>
      </c>
      <c r="H35" s="142">
        <f t="shared" si="12"/>
        <v>486034.79570767732</v>
      </c>
      <c r="I35" s="156">
        <f t="shared" si="0"/>
        <v>0</v>
      </c>
      <c r="J35" s="156"/>
      <c r="K35" s="334"/>
      <c r="L35" s="158">
        <f t="shared" si="1"/>
        <v>0</v>
      </c>
      <c r="M35" s="334"/>
      <c r="N35" s="158">
        <f t="shared" si="2"/>
        <v>0</v>
      </c>
      <c r="O35" s="158">
        <f t="shared" si="3"/>
        <v>0</v>
      </c>
      <c r="P35" s="4"/>
    </row>
    <row r="36" spans="2:16">
      <c r="B36" s="9" t="str">
        <f t="shared" si="4"/>
        <v/>
      </c>
      <c r="C36" s="153">
        <f>IF(D11="","-",+C35+1)</f>
        <v>2025</v>
      </c>
      <c r="D36" s="159">
        <f>IF(F35+SUM(E$17:E35)=D$10,F35,D$10-SUM(E$17:E35))</f>
        <v>3476512.7363075856</v>
      </c>
      <c r="E36" s="160">
        <f>IF(+I14&lt;F35,I14,D36)</f>
        <v>133293.18604651163</v>
      </c>
      <c r="F36" s="159">
        <f t="shared" si="10"/>
        <v>3343219.5502610737</v>
      </c>
      <c r="G36" s="161">
        <f t="shared" si="11"/>
        <v>472764.70293660468</v>
      </c>
      <c r="H36" s="142">
        <f t="shared" si="12"/>
        <v>472764.70293660468</v>
      </c>
      <c r="I36" s="156">
        <f t="shared" si="0"/>
        <v>0</v>
      </c>
      <c r="J36" s="156"/>
      <c r="K36" s="334"/>
      <c r="L36" s="158">
        <f t="shared" si="1"/>
        <v>0</v>
      </c>
      <c r="M36" s="334"/>
      <c r="N36" s="158">
        <f t="shared" si="2"/>
        <v>0</v>
      </c>
      <c r="O36" s="158">
        <f t="shared" si="3"/>
        <v>0</v>
      </c>
      <c r="P36" s="4"/>
    </row>
    <row r="37" spans="2:16">
      <c r="B37" s="9" t="str">
        <f t="shared" si="4"/>
        <v/>
      </c>
      <c r="C37" s="153">
        <f>IF(D11="","-",+C36+1)</f>
        <v>2026</v>
      </c>
      <c r="D37" s="159">
        <f>IF(F36+SUM(E$17:E36)=D$10,F36,D$10-SUM(E$17:E36))</f>
        <v>3343219.5502610737</v>
      </c>
      <c r="E37" s="160">
        <f>IF(+I14&lt;F36,I14,D37)</f>
        <v>133293.18604651163</v>
      </c>
      <c r="F37" s="159">
        <f t="shared" si="10"/>
        <v>3209926.3642145619</v>
      </c>
      <c r="G37" s="161">
        <f t="shared" si="11"/>
        <v>459494.61016553204</v>
      </c>
      <c r="H37" s="142">
        <f t="shared" si="12"/>
        <v>459494.61016553204</v>
      </c>
      <c r="I37" s="156">
        <f t="shared" si="0"/>
        <v>0</v>
      </c>
      <c r="J37" s="156"/>
      <c r="K37" s="334"/>
      <c r="L37" s="158">
        <f t="shared" si="1"/>
        <v>0</v>
      </c>
      <c r="M37" s="334"/>
      <c r="N37" s="158">
        <f t="shared" si="2"/>
        <v>0</v>
      </c>
      <c r="O37" s="158">
        <f t="shared" si="3"/>
        <v>0</v>
      </c>
      <c r="P37" s="4"/>
    </row>
    <row r="38" spans="2:16">
      <c r="B38" s="9" t="str">
        <f t="shared" si="4"/>
        <v/>
      </c>
      <c r="C38" s="153">
        <f>IF(D11="","-",+C37+1)</f>
        <v>2027</v>
      </c>
      <c r="D38" s="159">
        <f>IF(F37+SUM(E$17:E37)=D$10,F37,D$10-SUM(E$17:E37))</f>
        <v>3209926.3642145619</v>
      </c>
      <c r="E38" s="160">
        <f>IF(+I14&lt;F37,I14,D38)</f>
        <v>133293.18604651163</v>
      </c>
      <c r="F38" s="159">
        <f t="shared" si="10"/>
        <v>3076633.17816805</v>
      </c>
      <c r="G38" s="161">
        <f t="shared" si="11"/>
        <v>446224.5173944594</v>
      </c>
      <c r="H38" s="142">
        <f t="shared" si="12"/>
        <v>446224.5173944594</v>
      </c>
      <c r="I38" s="156">
        <f t="shared" si="0"/>
        <v>0</v>
      </c>
      <c r="J38" s="156"/>
      <c r="K38" s="334"/>
      <c r="L38" s="158">
        <f t="shared" si="1"/>
        <v>0</v>
      </c>
      <c r="M38" s="334"/>
      <c r="N38" s="158">
        <f t="shared" si="2"/>
        <v>0</v>
      </c>
      <c r="O38" s="158">
        <f t="shared" si="3"/>
        <v>0</v>
      </c>
      <c r="P38" s="4"/>
    </row>
    <row r="39" spans="2:16">
      <c r="B39" s="9" t="str">
        <f t="shared" si="4"/>
        <v/>
      </c>
      <c r="C39" s="153">
        <f>IF(D11="","-",+C38+1)</f>
        <v>2028</v>
      </c>
      <c r="D39" s="159">
        <f>IF(F38+SUM(E$17:E38)=D$10,F38,D$10-SUM(E$17:E38))</f>
        <v>3076633.17816805</v>
      </c>
      <c r="E39" s="160">
        <f>IF(+I14&lt;F38,I14,D39)</f>
        <v>133293.18604651163</v>
      </c>
      <c r="F39" s="159">
        <f t="shared" si="10"/>
        <v>2943339.9921215381</v>
      </c>
      <c r="G39" s="161">
        <f t="shared" si="11"/>
        <v>432954.4246233867</v>
      </c>
      <c r="H39" s="142">
        <f t="shared" si="12"/>
        <v>432954.4246233867</v>
      </c>
      <c r="I39" s="156">
        <f t="shared" si="0"/>
        <v>0</v>
      </c>
      <c r="J39" s="156"/>
      <c r="K39" s="334"/>
      <c r="L39" s="158">
        <f t="shared" si="1"/>
        <v>0</v>
      </c>
      <c r="M39" s="334"/>
      <c r="N39" s="158">
        <f t="shared" si="2"/>
        <v>0</v>
      </c>
      <c r="O39" s="158">
        <f t="shared" si="3"/>
        <v>0</v>
      </c>
      <c r="P39" s="4"/>
    </row>
    <row r="40" spans="2:16">
      <c r="B40" s="9" t="str">
        <f t="shared" si="4"/>
        <v/>
      </c>
      <c r="C40" s="153">
        <f>IF(D11="","-",+C39+1)</f>
        <v>2029</v>
      </c>
      <c r="D40" s="159">
        <f>IF(F39+SUM(E$17:E39)=D$10,F39,D$10-SUM(E$17:E39))</f>
        <v>2943339.9921215381</v>
      </c>
      <c r="E40" s="160">
        <f>IF(+I14&lt;F39,I14,D40)</f>
        <v>133293.18604651163</v>
      </c>
      <c r="F40" s="159">
        <f t="shared" si="10"/>
        <v>2810046.8060750263</v>
      </c>
      <c r="G40" s="161">
        <f t="shared" si="11"/>
        <v>419684.33185231406</v>
      </c>
      <c r="H40" s="142">
        <f t="shared" si="12"/>
        <v>419684.33185231406</v>
      </c>
      <c r="I40" s="156">
        <f t="shared" si="0"/>
        <v>0</v>
      </c>
      <c r="J40" s="156"/>
      <c r="K40" s="334"/>
      <c r="L40" s="158">
        <f t="shared" si="1"/>
        <v>0</v>
      </c>
      <c r="M40" s="334"/>
      <c r="N40" s="158">
        <f t="shared" si="2"/>
        <v>0</v>
      </c>
      <c r="O40" s="158">
        <f t="shared" si="3"/>
        <v>0</v>
      </c>
      <c r="P40" s="4"/>
    </row>
    <row r="41" spans="2:16">
      <c r="B41" s="9" t="str">
        <f t="shared" si="4"/>
        <v/>
      </c>
      <c r="C41" s="153">
        <f>IF(D11="","-",+C40+1)</f>
        <v>2030</v>
      </c>
      <c r="D41" s="159">
        <f>IF(F40+SUM(E$17:E40)=D$10,F40,D$10-SUM(E$17:E40))</f>
        <v>2810046.8060750263</v>
      </c>
      <c r="E41" s="160">
        <f>IF(+I14&lt;F40,I14,D41)</f>
        <v>133293.18604651163</v>
      </c>
      <c r="F41" s="159">
        <f t="shared" si="10"/>
        <v>2676753.6200285144</v>
      </c>
      <c r="G41" s="161">
        <f t="shared" si="11"/>
        <v>406414.23908124142</v>
      </c>
      <c r="H41" s="142">
        <f t="shared" si="12"/>
        <v>406414.23908124142</v>
      </c>
      <c r="I41" s="156">
        <f t="shared" si="0"/>
        <v>0</v>
      </c>
      <c r="J41" s="156"/>
      <c r="K41" s="334"/>
      <c r="L41" s="158">
        <f t="shared" si="1"/>
        <v>0</v>
      </c>
      <c r="M41" s="334"/>
      <c r="N41" s="158">
        <f t="shared" si="2"/>
        <v>0</v>
      </c>
      <c r="O41" s="158">
        <f t="shared" si="3"/>
        <v>0</v>
      </c>
      <c r="P41" s="4"/>
    </row>
    <row r="42" spans="2:16">
      <c r="B42" s="9" t="str">
        <f t="shared" si="4"/>
        <v/>
      </c>
      <c r="C42" s="153">
        <f>IF(D11="","-",+C41+1)</f>
        <v>2031</v>
      </c>
      <c r="D42" s="159">
        <f>IF(F41+SUM(E$17:E41)=D$10,F41,D$10-SUM(E$17:E41))</f>
        <v>2676753.6200285144</v>
      </c>
      <c r="E42" s="160">
        <f>IF(+I14&lt;F41,I14,D42)</f>
        <v>133293.18604651163</v>
      </c>
      <c r="F42" s="159">
        <f t="shared" si="10"/>
        <v>2543460.4339820025</v>
      </c>
      <c r="G42" s="161">
        <f t="shared" si="11"/>
        <v>393144.14631016878</v>
      </c>
      <c r="H42" s="142">
        <f t="shared" si="12"/>
        <v>393144.14631016878</v>
      </c>
      <c r="I42" s="156">
        <f t="shared" si="0"/>
        <v>0</v>
      </c>
      <c r="J42" s="156"/>
      <c r="K42" s="334"/>
      <c r="L42" s="158">
        <f t="shared" si="1"/>
        <v>0</v>
      </c>
      <c r="M42" s="334"/>
      <c r="N42" s="158">
        <f t="shared" si="2"/>
        <v>0</v>
      </c>
      <c r="O42" s="158">
        <f t="shared" si="3"/>
        <v>0</v>
      </c>
      <c r="P42" s="4"/>
    </row>
    <row r="43" spans="2:16">
      <c r="B43" s="9" t="str">
        <f t="shared" si="4"/>
        <v/>
      </c>
      <c r="C43" s="153">
        <f>IF(D11="","-",+C42+1)</f>
        <v>2032</v>
      </c>
      <c r="D43" s="159">
        <f>IF(F42+SUM(E$17:E42)=D$10,F42,D$10-SUM(E$17:E42))</f>
        <v>2543460.4339820025</v>
      </c>
      <c r="E43" s="160">
        <f>IF(+I14&lt;F42,I14,D43)</f>
        <v>133293.18604651163</v>
      </c>
      <c r="F43" s="159">
        <f t="shared" si="10"/>
        <v>2410167.2479354907</v>
      </c>
      <c r="G43" s="161">
        <f t="shared" si="11"/>
        <v>379874.05353909614</v>
      </c>
      <c r="H43" s="142">
        <f t="shared" si="12"/>
        <v>379874.05353909614</v>
      </c>
      <c r="I43" s="156">
        <f t="shared" si="0"/>
        <v>0</v>
      </c>
      <c r="J43" s="156"/>
      <c r="K43" s="334"/>
      <c r="L43" s="158">
        <f t="shared" si="1"/>
        <v>0</v>
      </c>
      <c r="M43" s="334"/>
      <c r="N43" s="158">
        <f t="shared" si="2"/>
        <v>0</v>
      </c>
      <c r="O43" s="158">
        <f t="shared" si="3"/>
        <v>0</v>
      </c>
      <c r="P43" s="4"/>
    </row>
    <row r="44" spans="2:16">
      <c r="B44" s="9" t="str">
        <f t="shared" si="4"/>
        <v/>
      </c>
      <c r="C44" s="153">
        <f>IF(D11="","-",+C43+1)</f>
        <v>2033</v>
      </c>
      <c r="D44" s="159">
        <f>IF(F43+SUM(E$17:E43)=D$10,F43,D$10-SUM(E$17:E43))</f>
        <v>2410167.2479354907</v>
      </c>
      <c r="E44" s="160">
        <f>IF(+I14&lt;F43,I14,D44)</f>
        <v>133293.18604651163</v>
      </c>
      <c r="F44" s="159">
        <f t="shared" si="10"/>
        <v>2276874.0618889788</v>
      </c>
      <c r="G44" s="161">
        <f t="shared" si="11"/>
        <v>366603.96076802345</v>
      </c>
      <c r="H44" s="142">
        <f t="shared" si="12"/>
        <v>366603.96076802345</v>
      </c>
      <c r="I44" s="156">
        <f t="shared" si="0"/>
        <v>0</v>
      </c>
      <c r="J44" s="156"/>
      <c r="K44" s="334"/>
      <c r="L44" s="158">
        <f t="shared" si="1"/>
        <v>0</v>
      </c>
      <c r="M44" s="334"/>
      <c r="N44" s="158">
        <f t="shared" si="2"/>
        <v>0</v>
      </c>
      <c r="O44" s="158">
        <f t="shared" si="3"/>
        <v>0</v>
      </c>
      <c r="P44" s="4"/>
    </row>
    <row r="45" spans="2:16">
      <c r="B45" s="9" t="str">
        <f t="shared" si="4"/>
        <v/>
      </c>
      <c r="C45" s="153">
        <f>IF(D11="","-",+C44+1)</f>
        <v>2034</v>
      </c>
      <c r="D45" s="159">
        <f>IF(F44+SUM(E$17:E44)=D$10,F44,D$10-SUM(E$17:E44))</f>
        <v>2276874.0618889788</v>
      </c>
      <c r="E45" s="160">
        <f>IF(+I14&lt;F44,I14,D45)</f>
        <v>133293.18604651163</v>
      </c>
      <c r="F45" s="159">
        <f t="shared" si="10"/>
        <v>2143580.875842467</v>
      </c>
      <c r="G45" s="161">
        <f t="shared" si="11"/>
        <v>353333.86799695081</v>
      </c>
      <c r="H45" s="142">
        <f t="shared" si="12"/>
        <v>353333.86799695081</v>
      </c>
      <c r="I45" s="156">
        <f t="shared" si="0"/>
        <v>0</v>
      </c>
      <c r="J45" s="156"/>
      <c r="K45" s="334"/>
      <c r="L45" s="158">
        <f t="shared" si="1"/>
        <v>0</v>
      </c>
      <c r="M45" s="334"/>
      <c r="N45" s="158">
        <f t="shared" si="2"/>
        <v>0</v>
      </c>
      <c r="O45" s="158">
        <f t="shared" si="3"/>
        <v>0</v>
      </c>
      <c r="P45" s="4"/>
    </row>
    <row r="46" spans="2:16">
      <c r="B46" s="9" t="str">
        <f t="shared" si="4"/>
        <v/>
      </c>
      <c r="C46" s="153">
        <f>IF(D11="","-",+C45+1)</f>
        <v>2035</v>
      </c>
      <c r="D46" s="159">
        <f>IF(F45+SUM(E$17:E45)=D$10,F45,D$10-SUM(E$17:E45))</f>
        <v>2143580.875842467</v>
      </c>
      <c r="E46" s="160">
        <f>IF(+I14&lt;F45,I14,D46)</f>
        <v>133293.18604651163</v>
      </c>
      <c r="F46" s="159">
        <f t="shared" si="10"/>
        <v>2010287.6897959553</v>
      </c>
      <c r="G46" s="161">
        <f t="shared" si="11"/>
        <v>340063.77522587817</v>
      </c>
      <c r="H46" s="142">
        <f t="shared" si="12"/>
        <v>340063.77522587817</v>
      </c>
      <c r="I46" s="156">
        <f t="shared" si="0"/>
        <v>0</v>
      </c>
      <c r="J46" s="156"/>
      <c r="K46" s="334"/>
      <c r="L46" s="158">
        <f t="shared" si="1"/>
        <v>0</v>
      </c>
      <c r="M46" s="334"/>
      <c r="N46" s="158">
        <f t="shared" si="2"/>
        <v>0</v>
      </c>
      <c r="O46" s="158">
        <f t="shared" si="3"/>
        <v>0</v>
      </c>
      <c r="P46" s="4"/>
    </row>
    <row r="47" spans="2:16">
      <c r="B47" s="9" t="str">
        <f t="shared" si="4"/>
        <v/>
      </c>
      <c r="C47" s="153">
        <f>IF(D11="","-",+C46+1)</f>
        <v>2036</v>
      </c>
      <c r="D47" s="159">
        <f>IF(F46+SUM(E$17:E46)=D$10,F46,D$10-SUM(E$17:E46))</f>
        <v>2010287.6897959553</v>
      </c>
      <c r="E47" s="160">
        <f>IF(+I14&lt;F46,I14,D47)</f>
        <v>133293.18604651163</v>
      </c>
      <c r="F47" s="159">
        <f t="shared" si="10"/>
        <v>1876994.5037494437</v>
      </c>
      <c r="G47" s="161">
        <f t="shared" si="11"/>
        <v>326793.68245480559</v>
      </c>
      <c r="H47" s="142">
        <f t="shared" si="12"/>
        <v>326793.68245480559</v>
      </c>
      <c r="I47" s="156">
        <f t="shared" si="0"/>
        <v>0</v>
      </c>
      <c r="J47" s="156"/>
      <c r="K47" s="334"/>
      <c r="L47" s="158">
        <f t="shared" si="1"/>
        <v>0</v>
      </c>
      <c r="M47" s="334"/>
      <c r="N47" s="158">
        <f t="shared" si="2"/>
        <v>0</v>
      </c>
      <c r="O47" s="158">
        <f t="shared" si="3"/>
        <v>0</v>
      </c>
      <c r="P47" s="4"/>
    </row>
    <row r="48" spans="2:16">
      <c r="B48" s="9" t="str">
        <f t="shared" si="4"/>
        <v/>
      </c>
      <c r="C48" s="153">
        <f>IF(D11="","-",+C47+1)</f>
        <v>2037</v>
      </c>
      <c r="D48" s="159">
        <f>IF(F47+SUM(E$17:E47)=D$10,F47,D$10-SUM(E$17:E47))</f>
        <v>1876994.5037494437</v>
      </c>
      <c r="E48" s="160">
        <f>IF(+I14&lt;F47,I14,D48)</f>
        <v>133293.18604651163</v>
      </c>
      <c r="F48" s="159">
        <f t="shared" si="10"/>
        <v>1743701.3177029321</v>
      </c>
      <c r="G48" s="161">
        <f t="shared" si="11"/>
        <v>313523.58968373289</v>
      </c>
      <c r="H48" s="142">
        <f t="shared" si="12"/>
        <v>313523.58968373289</v>
      </c>
      <c r="I48" s="156">
        <f t="shared" si="0"/>
        <v>0</v>
      </c>
      <c r="J48" s="156"/>
      <c r="K48" s="334"/>
      <c r="L48" s="158">
        <f t="shared" si="1"/>
        <v>0</v>
      </c>
      <c r="M48" s="334"/>
      <c r="N48" s="158">
        <f t="shared" si="2"/>
        <v>0</v>
      </c>
      <c r="O48" s="158">
        <f t="shared" si="3"/>
        <v>0</v>
      </c>
      <c r="P48" s="4"/>
    </row>
    <row r="49" spans="2:17">
      <c r="B49" s="9" t="str">
        <f t="shared" si="4"/>
        <v/>
      </c>
      <c r="C49" s="153">
        <f>IF(D11="","-",+C48+1)</f>
        <v>2038</v>
      </c>
      <c r="D49" s="159">
        <f>IF(F48+SUM(E$17:E48)=D$10,F48,D$10-SUM(E$17:E48))</f>
        <v>1743701.3177029321</v>
      </c>
      <c r="E49" s="160">
        <f>IF(+I14&lt;F48,I14,D49)</f>
        <v>133293.18604651163</v>
      </c>
      <c r="F49" s="159">
        <f t="shared" ref="F49:F72" si="13">+D49-E49</f>
        <v>1610408.1316564204</v>
      </c>
      <c r="G49" s="161">
        <f t="shared" si="11"/>
        <v>300253.49691266031</v>
      </c>
      <c r="H49" s="142">
        <f t="shared" si="12"/>
        <v>300253.49691266031</v>
      </c>
      <c r="I49" s="156">
        <f t="shared" ref="I49:I72" si="14">H49-G49</f>
        <v>0</v>
      </c>
      <c r="J49" s="156"/>
      <c r="K49" s="334"/>
      <c r="L49" s="158">
        <f t="shared" ref="L49:L72" si="15">IF(K49&lt;&gt;0,+G49-K49,0)</f>
        <v>0</v>
      </c>
      <c r="M49" s="334"/>
      <c r="N49" s="158">
        <f t="shared" ref="N49:N72" si="16">IF(M49&lt;&gt;0,+H49-M49,0)</f>
        <v>0</v>
      </c>
      <c r="O49" s="158">
        <f t="shared" ref="O49:O72" si="17">+N49-L49</f>
        <v>0</v>
      </c>
      <c r="P49" s="4"/>
    </row>
    <row r="50" spans="2:17">
      <c r="B50" s="9" t="str">
        <f t="shared" si="4"/>
        <v/>
      </c>
      <c r="C50" s="153">
        <f>IF(D11="","-",+C49+1)</f>
        <v>2039</v>
      </c>
      <c r="D50" s="159">
        <f>IF(F49+SUM(E$17:E49)=D$10,F49,D$10-SUM(E$17:E49))</f>
        <v>1610408.1316564204</v>
      </c>
      <c r="E50" s="160">
        <f>IF(+I14&lt;F49,I14,D50)</f>
        <v>133293.18604651163</v>
      </c>
      <c r="F50" s="159">
        <f t="shared" si="13"/>
        <v>1477114.9456099088</v>
      </c>
      <c r="G50" s="161">
        <f t="shared" si="11"/>
        <v>286983.40414158767</v>
      </c>
      <c r="H50" s="142">
        <f t="shared" si="12"/>
        <v>286983.40414158767</v>
      </c>
      <c r="I50" s="156">
        <f t="shared" si="14"/>
        <v>0</v>
      </c>
      <c r="J50" s="156"/>
      <c r="K50" s="334"/>
      <c r="L50" s="158">
        <f t="shared" si="15"/>
        <v>0</v>
      </c>
      <c r="M50" s="334"/>
      <c r="N50" s="158">
        <f t="shared" si="16"/>
        <v>0</v>
      </c>
      <c r="O50" s="158">
        <f t="shared" si="17"/>
        <v>0</v>
      </c>
      <c r="P50" s="4"/>
    </row>
    <row r="51" spans="2:17">
      <c r="B51" s="9" t="str">
        <f t="shared" si="4"/>
        <v/>
      </c>
      <c r="C51" s="153">
        <f>IF(D11="","-",+C50+1)</f>
        <v>2040</v>
      </c>
      <c r="D51" s="159">
        <f>IF(F50+SUM(E$17:E50)=D$10,F50,D$10-SUM(E$17:E50))</f>
        <v>1477114.9456099088</v>
      </c>
      <c r="E51" s="160">
        <f>IF(+I14&lt;F50,I14,D51)</f>
        <v>133293.18604651163</v>
      </c>
      <c r="F51" s="159">
        <f t="shared" si="13"/>
        <v>1343821.7595633972</v>
      </c>
      <c r="G51" s="161">
        <f t="shared" si="11"/>
        <v>273713.31137051503</v>
      </c>
      <c r="H51" s="142">
        <f t="shared" si="12"/>
        <v>273713.31137051503</v>
      </c>
      <c r="I51" s="156">
        <f t="shared" si="14"/>
        <v>0</v>
      </c>
      <c r="J51" s="156"/>
      <c r="K51" s="334"/>
      <c r="L51" s="158">
        <f t="shared" si="15"/>
        <v>0</v>
      </c>
      <c r="M51" s="334"/>
      <c r="N51" s="158">
        <f t="shared" si="16"/>
        <v>0</v>
      </c>
      <c r="O51" s="158">
        <f t="shared" si="17"/>
        <v>0</v>
      </c>
      <c r="P51" s="4"/>
    </row>
    <row r="52" spans="2:17">
      <c r="B52" s="9" t="str">
        <f t="shared" si="4"/>
        <v/>
      </c>
      <c r="C52" s="153">
        <f>IF(D11="","-",+C51+1)</f>
        <v>2041</v>
      </c>
      <c r="D52" s="159">
        <f>IF(F51+SUM(E$17:E51)=D$10,F51,D$10-SUM(E$17:E51))</f>
        <v>1343821.7595633972</v>
      </c>
      <c r="E52" s="160">
        <f>IF(+I14&lt;F51,I14,D52)</f>
        <v>133293.18604651163</v>
      </c>
      <c r="F52" s="159">
        <f t="shared" si="13"/>
        <v>1210528.5735168855</v>
      </c>
      <c r="G52" s="161">
        <f t="shared" si="11"/>
        <v>260443.21859944239</v>
      </c>
      <c r="H52" s="142">
        <f t="shared" si="12"/>
        <v>260443.21859944239</v>
      </c>
      <c r="I52" s="156">
        <f t="shared" si="14"/>
        <v>0</v>
      </c>
      <c r="J52" s="156"/>
      <c r="K52" s="334"/>
      <c r="L52" s="158">
        <f t="shared" si="15"/>
        <v>0</v>
      </c>
      <c r="M52" s="334"/>
      <c r="N52" s="158">
        <f t="shared" si="16"/>
        <v>0</v>
      </c>
      <c r="O52" s="158">
        <f t="shared" si="17"/>
        <v>0</v>
      </c>
      <c r="P52" s="4"/>
    </row>
    <row r="53" spans="2:17">
      <c r="B53" s="9" t="str">
        <f t="shared" si="4"/>
        <v/>
      </c>
      <c r="C53" s="153">
        <f>IF(D11="","-",+C52+1)</f>
        <v>2042</v>
      </c>
      <c r="D53" s="159">
        <f>IF(F52+SUM(E$17:E52)=D$10,F52,D$10-SUM(E$17:E52))</f>
        <v>1210528.5735168855</v>
      </c>
      <c r="E53" s="160">
        <f>IF(+I14&lt;F52,I14,D53)</f>
        <v>133293.18604651163</v>
      </c>
      <c r="F53" s="159">
        <f t="shared" si="13"/>
        <v>1077235.3874703739</v>
      </c>
      <c r="G53" s="161">
        <f t="shared" si="11"/>
        <v>247173.12582836978</v>
      </c>
      <c r="H53" s="142">
        <f t="shared" si="12"/>
        <v>247173.12582836978</v>
      </c>
      <c r="I53" s="156">
        <f t="shared" si="14"/>
        <v>0</v>
      </c>
      <c r="J53" s="156"/>
      <c r="K53" s="334"/>
      <c r="L53" s="158">
        <f t="shared" si="15"/>
        <v>0</v>
      </c>
      <c r="M53" s="334"/>
      <c r="N53" s="158">
        <f t="shared" si="16"/>
        <v>0</v>
      </c>
      <c r="O53" s="158">
        <f t="shared" si="17"/>
        <v>0</v>
      </c>
      <c r="P53" s="4"/>
    </row>
    <row r="54" spans="2:17">
      <c r="B54" s="9" t="str">
        <f t="shared" si="4"/>
        <v/>
      </c>
      <c r="C54" s="153">
        <f>IF(D11="","-",+C53+1)</f>
        <v>2043</v>
      </c>
      <c r="D54" s="159">
        <f>IF(F53+SUM(E$17:E53)=D$10,F53,D$10-SUM(E$17:E53))</f>
        <v>1077235.3874703739</v>
      </c>
      <c r="E54" s="160">
        <f>IF(+I14&lt;F53,I14,D54)</f>
        <v>133293.18604651163</v>
      </c>
      <c r="F54" s="159">
        <f t="shared" si="13"/>
        <v>943942.20142386225</v>
      </c>
      <c r="G54" s="161">
        <f t="shared" si="11"/>
        <v>233903.03305729711</v>
      </c>
      <c r="H54" s="142">
        <f t="shared" si="12"/>
        <v>233903.03305729711</v>
      </c>
      <c r="I54" s="156">
        <f t="shared" si="14"/>
        <v>0</v>
      </c>
      <c r="J54" s="156"/>
      <c r="K54" s="334"/>
      <c r="L54" s="158">
        <f t="shared" si="15"/>
        <v>0</v>
      </c>
      <c r="M54" s="334"/>
      <c r="N54" s="158">
        <f t="shared" si="16"/>
        <v>0</v>
      </c>
      <c r="O54" s="158">
        <f t="shared" si="17"/>
        <v>0</v>
      </c>
      <c r="P54" s="4"/>
    </row>
    <row r="55" spans="2:17">
      <c r="B55" s="9" t="str">
        <f t="shared" si="4"/>
        <v/>
      </c>
      <c r="C55" s="153">
        <f>IF(D11="","-",+C54+1)</f>
        <v>2044</v>
      </c>
      <c r="D55" s="159">
        <f>IF(F54+SUM(E$17:E54)=D$10,F54,D$10-SUM(E$17:E54))</f>
        <v>943942.20142386225</v>
      </c>
      <c r="E55" s="160">
        <f>IF(+I14&lt;F54,I14,D55)</f>
        <v>133293.18604651163</v>
      </c>
      <c r="F55" s="159">
        <f t="shared" si="13"/>
        <v>810649.01537735062</v>
      </c>
      <c r="G55" s="161">
        <f t="shared" si="11"/>
        <v>220632.9402862245</v>
      </c>
      <c r="H55" s="142">
        <f t="shared" si="12"/>
        <v>220632.9402862245</v>
      </c>
      <c r="I55" s="156">
        <f t="shared" si="14"/>
        <v>0</v>
      </c>
      <c r="J55" s="156"/>
      <c r="K55" s="334"/>
      <c r="L55" s="158">
        <f t="shared" si="15"/>
        <v>0</v>
      </c>
      <c r="M55" s="334"/>
      <c r="N55" s="158">
        <f t="shared" si="16"/>
        <v>0</v>
      </c>
      <c r="O55" s="158">
        <f t="shared" si="17"/>
        <v>0</v>
      </c>
      <c r="P55" s="4"/>
    </row>
    <row r="56" spans="2:17">
      <c r="B56" s="9" t="str">
        <f t="shared" si="4"/>
        <v/>
      </c>
      <c r="C56" s="153">
        <f>IF(D11="","-",+C55+1)</f>
        <v>2045</v>
      </c>
      <c r="D56" s="159">
        <f>IF(F55+SUM(E$17:E55)=D$10,F55,D$10-SUM(E$17:E55))</f>
        <v>810649.01537735062</v>
      </c>
      <c r="E56" s="160">
        <f>IF(+I14&lt;F55,I14,D56)</f>
        <v>133293.18604651163</v>
      </c>
      <c r="F56" s="159">
        <f t="shared" si="13"/>
        <v>677355.82933083898</v>
      </c>
      <c r="G56" s="161">
        <f t="shared" si="11"/>
        <v>207362.84751515189</v>
      </c>
      <c r="H56" s="142">
        <f t="shared" si="12"/>
        <v>207362.84751515189</v>
      </c>
      <c r="I56" s="156">
        <f t="shared" si="14"/>
        <v>0</v>
      </c>
      <c r="J56" s="156"/>
      <c r="K56" s="334"/>
      <c r="L56" s="158">
        <f t="shared" si="15"/>
        <v>0</v>
      </c>
      <c r="M56" s="334"/>
      <c r="N56" s="158">
        <f t="shared" si="16"/>
        <v>0</v>
      </c>
      <c r="O56" s="158">
        <f t="shared" si="17"/>
        <v>0</v>
      </c>
      <c r="P56" s="4"/>
    </row>
    <row r="57" spans="2:17">
      <c r="B57" s="9" t="str">
        <f t="shared" si="4"/>
        <v/>
      </c>
      <c r="C57" s="153">
        <f>IF(D11="","-",+C56+1)</f>
        <v>2046</v>
      </c>
      <c r="D57" s="159">
        <f>IF(F56+SUM(E$17:E56)=D$10,F56,D$10-SUM(E$17:E56))</f>
        <v>677355.82933083898</v>
      </c>
      <c r="E57" s="160">
        <f>IF(+I14&lt;F56,I14,D57)</f>
        <v>133293.18604651163</v>
      </c>
      <c r="F57" s="159">
        <f t="shared" si="13"/>
        <v>544062.64328432735</v>
      </c>
      <c r="G57" s="161">
        <f t="shared" si="11"/>
        <v>194092.75474407926</v>
      </c>
      <c r="H57" s="142">
        <f t="shared" si="12"/>
        <v>194092.75474407926</v>
      </c>
      <c r="I57" s="156">
        <f t="shared" si="14"/>
        <v>0</v>
      </c>
      <c r="J57" s="156"/>
      <c r="K57" s="334"/>
      <c r="L57" s="158">
        <f t="shared" si="15"/>
        <v>0</v>
      </c>
      <c r="M57" s="334"/>
      <c r="N57" s="158">
        <f t="shared" si="16"/>
        <v>0</v>
      </c>
      <c r="O57" s="158">
        <f t="shared" si="17"/>
        <v>0</v>
      </c>
      <c r="P57" s="4"/>
    </row>
    <row r="58" spans="2:17">
      <c r="B58" s="9" t="str">
        <f t="shared" si="4"/>
        <v/>
      </c>
      <c r="C58" s="153">
        <f>IF(D11="","-",+C57+1)</f>
        <v>2047</v>
      </c>
      <c r="D58" s="159">
        <f>IF(F57+SUM(E$17:E57)=D$10,F57,D$10-SUM(E$17:E57))</f>
        <v>544062.64328432735</v>
      </c>
      <c r="E58" s="160">
        <f>IF(+I14&lt;F57,I14,D58)</f>
        <v>133293.18604651163</v>
      </c>
      <c r="F58" s="159">
        <f t="shared" si="13"/>
        <v>410769.45723781572</v>
      </c>
      <c r="G58" s="161">
        <f t="shared" si="11"/>
        <v>180822.66197300662</v>
      </c>
      <c r="H58" s="142">
        <f t="shared" si="12"/>
        <v>180822.66197300662</v>
      </c>
      <c r="I58" s="156">
        <f t="shared" si="14"/>
        <v>0</v>
      </c>
      <c r="J58" s="156"/>
      <c r="K58" s="334"/>
      <c r="L58" s="158">
        <f t="shared" si="15"/>
        <v>0</v>
      </c>
      <c r="M58" s="334"/>
      <c r="N58" s="158">
        <f t="shared" si="16"/>
        <v>0</v>
      </c>
      <c r="O58" s="158">
        <f t="shared" si="17"/>
        <v>0</v>
      </c>
      <c r="P58" s="4"/>
      <c r="Q58" t="str">
        <f>IF(ROUND(Q57,0)=ROUND(SUM(Q18:Q56),0),"","Error -- check allocations above).")</f>
        <v/>
      </c>
    </row>
    <row r="59" spans="2:17">
      <c r="B59" s="9" t="str">
        <f t="shared" si="4"/>
        <v/>
      </c>
      <c r="C59" s="153">
        <f>IF(D11="","-",+C58+1)</f>
        <v>2048</v>
      </c>
      <c r="D59" s="159">
        <f>IF(F58+SUM(E$17:E58)=D$10,F58,D$10-SUM(E$17:E58))</f>
        <v>410769.45723781572</v>
      </c>
      <c r="E59" s="160">
        <f>IF(+I14&lt;F58,I14,D59)</f>
        <v>133293.18604651163</v>
      </c>
      <c r="F59" s="159">
        <f t="shared" si="13"/>
        <v>277476.27119130408</v>
      </c>
      <c r="G59" s="161">
        <f t="shared" si="11"/>
        <v>167552.56920193398</v>
      </c>
      <c r="H59" s="142">
        <f t="shared" si="12"/>
        <v>167552.56920193398</v>
      </c>
      <c r="I59" s="156">
        <f t="shared" si="14"/>
        <v>0</v>
      </c>
      <c r="J59" s="156"/>
      <c r="K59" s="334"/>
      <c r="L59" s="158">
        <f t="shared" si="15"/>
        <v>0</v>
      </c>
      <c r="M59" s="334"/>
      <c r="N59" s="158">
        <f t="shared" si="16"/>
        <v>0</v>
      </c>
      <c r="O59" s="158">
        <f t="shared" si="17"/>
        <v>0</v>
      </c>
      <c r="P59" s="4"/>
    </row>
    <row r="60" spans="2:17">
      <c r="B60" s="9" t="str">
        <f t="shared" si="4"/>
        <v/>
      </c>
      <c r="C60" s="153">
        <f>IF(D11="","-",+C59+1)</f>
        <v>2049</v>
      </c>
      <c r="D60" s="159">
        <f>IF(F59+SUM(E$17:E59)=D$10,F59,D$10-SUM(E$17:E59))</f>
        <v>277476.27119130408</v>
      </c>
      <c r="E60" s="160">
        <f>IF(+I14&lt;F59,I14,D60)</f>
        <v>133293.18604651163</v>
      </c>
      <c r="F60" s="159">
        <f t="shared" si="13"/>
        <v>144183.08514479245</v>
      </c>
      <c r="G60" s="161">
        <f t="shared" si="11"/>
        <v>154282.47643086137</v>
      </c>
      <c r="H60" s="142">
        <f t="shared" si="12"/>
        <v>154282.47643086137</v>
      </c>
      <c r="I60" s="156">
        <f t="shared" si="14"/>
        <v>0</v>
      </c>
      <c r="J60" s="156"/>
      <c r="K60" s="334"/>
      <c r="L60" s="158">
        <f t="shared" si="15"/>
        <v>0</v>
      </c>
      <c r="M60" s="334"/>
      <c r="N60" s="158">
        <f t="shared" si="16"/>
        <v>0</v>
      </c>
      <c r="O60" s="158">
        <f t="shared" si="17"/>
        <v>0</v>
      </c>
      <c r="P60" s="4"/>
    </row>
    <row r="61" spans="2:17">
      <c r="B61" s="9" t="str">
        <f t="shared" si="4"/>
        <v/>
      </c>
      <c r="C61" s="153">
        <f>IF(D11="","-",+C60+1)</f>
        <v>2050</v>
      </c>
      <c r="D61" s="159">
        <f>IF(F60+SUM(E$17:E60)=D$10,F60,D$10-SUM(E$17:E60))</f>
        <v>144183.08514479245</v>
      </c>
      <c r="E61" s="160">
        <f>IF(+I14&lt;F60,I14,D61)</f>
        <v>133293.18604651163</v>
      </c>
      <c r="F61" s="159">
        <f t="shared" si="13"/>
        <v>10889.899098280817</v>
      </c>
      <c r="G61" s="163">
        <f t="shared" si="11"/>
        <v>141012.38365978873</v>
      </c>
      <c r="H61" s="142">
        <f t="shared" si="12"/>
        <v>141012.38365978873</v>
      </c>
      <c r="I61" s="156">
        <f t="shared" si="14"/>
        <v>0</v>
      </c>
      <c r="J61" s="156"/>
      <c r="K61" s="334"/>
      <c r="L61" s="158">
        <f t="shared" si="15"/>
        <v>0</v>
      </c>
      <c r="M61" s="334"/>
      <c r="N61" s="158">
        <f t="shared" si="16"/>
        <v>0</v>
      </c>
      <c r="O61" s="158">
        <f t="shared" si="17"/>
        <v>0</v>
      </c>
      <c r="P61" s="4"/>
    </row>
    <row r="62" spans="2:17">
      <c r="B62" s="9" t="str">
        <f t="shared" si="4"/>
        <v/>
      </c>
      <c r="C62" s="153">
        <f>IF(D11="","-",+C61+1)</f>
        <v>2051</v>
      </c>
      <c r="D62" s="159">
        <f>IF(F61+SUM(E$17:E61)=D$10,F61,D$10-SUM(E$17:E61))</f>
        <v>10889.899098280817</v>
      </c>
      <c r="E62" s="160">
        <f>IF(+I14&lt;F61,I14,D62)</f>
        <v>10889.899098280817</v>
      </c>
      <c r="F62" s="159">
        <f t="shared" si="13"/>
        <v>0</v>
      </c>
      <c r="G62" s="163">
        <f t="shared" si="11"/>
        <v>11431.97471215121</v>
      </c>
      <c r="H62" s="142">
        <f t="shared" si="12"/>
        <v>11431.97471215121</v>
      </c>
      <c r="I62" s="156">
        <f t="shared" si="14"/>
        <v>0</v>
      </c>
      <c r="J62" s="156"/>
      <c r="K62" s="334"/>
      <c r="L62" s="158">
        <f t="shared" si="15"/>
        <v>0</v>
      </c>
      <c r="M62" s="334"/>
      <c r="N62" s="158">
        <f t="shared" si="16"/>
        <v>0</v>
      </c>
      <c r="O62" s="158">
        <f t="shared" si="17"/>
        <v>0</v>
      </c>
      <c r="P62" s="4"/>
    </row>
    <row r="63" spans="2:17">
      <c r="B63" s="9" t="str">
        <f t="shared" si="4"/>
        <v/>
      </c>
      <c r="C63" s="153">
        <f>IF(D11="","-",+C62+1)</f>
        <v>2052</v>
      </c>
      <c r="D63" s="159">
        <f>IF(F62+SUM(E$17:E62)=D$10,F62,D$10-SUM(E$17:E62))</f>
        <v>0</v>
      </c>
      <c r="E63" s="160">
        <f>IF(+I14&lt;F62,I14,D63)</f>
        <v>0</v>
      </c>
      <c r="F63" s="159">
        <f t="shared" si="13"/>
        <v>0</v>
      </c>
      <c r="G63" s="163">
        <f t="shared" si="11"/>
        <v>0</v>
      </c>
      <c r="H63" s="142">
        <f t="shared" si="12"/>
        <v>0</v>
      </c>
      <c r="I63" s="156">
        <f t="shared" si="14"/>
        <v>0</v>
      </c>
      <c r="J63" s="156"/>
      <c r="K63" s="334"/>
      <c r="L63" s="158">
        <f t="shared" si="15"/>
        <v>0</v>
      </c>
      <c r="M63" s="334"/>
      <c r="N63" s="158">
        <f t="shared" si="16"/>
        <v>0</v>
      </c>
      <c r="O63" s="158">
        <f t="shared" si="17"/>
        <v>0</v>
      </c>
      <c r="P63" s="4"/>
    </row>
    <row r="64" spans="2:17">
      <c r="B64" s="9" t="str">
        <f t="shared" si="4"/>
        <v/>
      </c>
      <c r="C64" s="153">
        <f>IF(D11="","-",+C63+1)</f>
        <v>2053</v>
      </c>
      <c r="D64" s="159">
        <f>IF(F63+SUM(E$17:E63)=D$10,F63,D$10-SUM(E$17:E63))</f>
        <v>0</v>
      </c>
      <c r="E64" s="160">
        <f>IF(+I14&lt;F63,I14,D64)</f>
        <v>0</v>
      </c>
      <c r="F64" s="159">
        <f t="shared" si="13"/>
        <v>0</v>
      </c>
      <c r="G64" s="163">
        <f t="shared" si="11"/>
        <v>0</v>
      </c>
      <c r="H64" s="142">
        <f t="shared" si="12"/>
        <v>0</v>
      </c>
      <c r="I64" s="156">
        <f t="shared" si="14"/>
        <v>0</v>
      </c>
      <c r="J64" s="156"/>
      <c r="K64" s="334"/>
      <c r="L64" s="158">
        <f t="shared" si="15"/>
        <v>0</v>
      </c>
      <c r="M64" s="334"/>
      <c r="N64" s="158">
        <f t="shared" si="16"/>
        <v>0</v>
      </c>
      <c r="O64" s="158">
        <f t="shared" si="17"/>
        <v>0</v>
      </c>
      <c r="P64" s="4"/>
    </row>
    <row r="65" spans="1:16">
      <c r="B65" s="9" t="str">
        <f t="shared" si="4"/>
        <v/>
      </c>
      <c r="C65" s="153">
        <f>IF(D11="","-",+C64+1)</f>
        <v>2054</v>
      </c>
      <c r="D65" s="159">
        <f>IF(F64+SUM(E$17:E64)=D$10,F64,D$10-SUM(E$17:E64))</f>
        <v>0</v>
      </c>
      <c r="E65" s="160">
        <f>IF(+I14&lt;F64,I14,D65)</f>
        <v>0</v>
      </c>
      <c r="F65" s="159">
        <f t="shared" si="13"/>
        <v>0</v>
      </c>
      <c r="G65" s="163">
        <f t="shared" si="11"/>
        <v>0</v>
      </c>
      <c r="H65" s="142">
        <f t="shared" si="12"/>
        <v>0</v>
      </c>
      <c r="I65" s="156">
        <f t="shared" si="14"/>
        <v>0</v>
      </c>
      <c r="J65" s="156"/>
      <c r="K65" s="334"/>
      <c r="L65" s="158">
        <f t="shared" si="15"/>
        <v>0</v>
      </c>
      <c r="M65" s="334"/>
      <c r="N65" s="158">
        <f t="shared" si="16"/>
        <v>0</v>
      </c>
      <c r="O65" s="158">
        <f t="shared" si="17"/>
        <v>0</v>
      </c>
      <c r="P65" s="4"/>
    </row>
    <row r="66" spans="1:16">
      <c r="B66" s="9" t="str">
        <f t="shared" si="4"/>
        <v/>
      </c>
      <c r="C66" s="153">
        <f>IF(D11="","-",+C65+1)</f>
        <v>2055</v>
      </c>
      <c r="D66" s="159">
        <f>IF(F65+SUM(E$17:E65)=D$10,F65,D$10-SUM(E$17:E65))</f>
        <v>0</v>
      </c>
      <c r="E66" s="160">
        <f>IF(+I14&lt;F65,I14,D66)</f>
        <v>0</v>
      </c>
      <c r="F66" s="159">
        <f t="shared" si="13"/>
        <v>0</v>
      </c>
      <c r="G66" s="163">
        <f t="shared" si="11"/>
        <v>0</v>
      </c>
      <c r="H66" s="142">
        <f t="shared" si="12"/>
        <v>0</v>
      </c>
      <c r="I66" s="156">
        <f t="shared" si="14"/>
        <v>0</v>
      </c>
      <c r="J66" s="156"/>
      <c r="K66" s="334"/>
      <c r="L66" s="158">
        <f t="shared" si="15"/>
        <v>0</v>
      </c>
      <c r="M66" s="334"/>
      <c r="N66" s="158">
        <f t="shared" si="16"/>
        <v>0</v>
      </c>
      <c r="O66" s="158">
        <f t="shared" si="17"/>
        <v>0</v>
      </c>
      <c r="P66" s="4"/>
    </row>
    <row r="67" spans="1:16">
      <c r="B67" s="9" t="str">
        <f t="shared" si="4"/>
        <v/>
      </c>
      <c r="C67" s="153">
        <f>IF(D11="","-",+C66+1)</f>
        <v>2056</v>
      </c>
      <c r="D67" s="159">
        <f>IF(F66+SUM(E$17:E66)=D$10,F66,D$10-SUM(E$17:E66))</f>
        <v>0</v>
      </c>
      <c r="E67" s="160">
        <f>IF(+I14&lt;F66,I14,D67)</f>
        <v>0</v>
      </c>
      <c r="F67" s="159">
        <f t="shared" si="13"/>
        <v>0</v>
      </c>
      <c r="G67" s="163">
        <f t="shared" si="11"/>
        <v>0</v>
      </c>
      <c r="H67" s="142">
        <f t="shared" si="12"/>
        <v>0</v>
      </c>
      <c r="I67" s="156">
        <f t="shared" si="14"/>
        <v>0</v>
      </c>
      <c r="J67" s="156"/>
      <c r="K67" s="334"/>
      <c r="L67" s="158">
        <f t="shared" si="15"/>
        <v>0</v>
      </c>
      <c r="M67" s="334"/>
      <c r="N67" s="158">
        <f t="shared" si="16"/>
        <v>0</v>
      </c>
      <c r="O67" s="158">
        <f t="shared" si="17"/>
        <v>0</v>
      </c>
      <c r="P67" s="4"/>
    </row>
    <row r="68" spans="1:16">
      <c r="B68" s="9" t="str">
        <f t="shared" si="4"/>
        <v/>
      </c>
      <c r="C68" s="153">
        <f>IF(D11="","-",+C67+1)</f>
        <v>2057</v>
      </c>
      <c r="D68" s="159">
        <f>IF(F67+SUM(E$17:E67)=D$10,F67,D$10-SUM(E$17:E67))</f>
        <v>0</v>
      </c>
      <c r="E68" s="160">
        <f>IF(+I14&lt;F67,I14,D68)</f>
        <v>0</v>
      </c>
      <c r="F68" s="159">
        <f t="shared" si="13"/>
        <v>0</v>
      </c>
      <c r="G68" s="163">
        <f t="shared" si="11"/>
        <v>0</v>
      </c>
      <c r="H68" s="142">
        <f t="shared" si="12"/>
        <v>0</v>
      </c>
      <c r="I68" s="156">
        <f t="shared" si="14"/>
        <v>0</v>
      </c>
      <c r="J68" s="156"/>
      <c r="K68" s="334"/>
      <c r="L68" s="158">
        <f t="shared" si="15"/>
        <v>0</v>
      </c>
      <c r="M68" s="334"/>
      <c r="N68" s="158">
        <f t="shared" si="16"/>
        <v>0</v>
      </c>
      <c r="O68" s="158">
        <f t="shared" si="17"/>
        <v>0</v>
      </c>
      <c r="P68" s="4"/>
    </row>
    <row r="69" spans="1:16">
      <c r="B69" s="9" t="str">
        <f t="shared" si="4"/>
        <v/>
      </c>
      <c r="C69" s="153">
        <f>IF(D11="","-",+C68+1)</f>
        <v>2058</v>
      </c>
      <c r="D69" s="159">
        <f>IF(F68+SUM(E$17:E68)=D$10,F68,D$10-SUM(E$17:E68))</f>
        <v>0</v>
      </c>
      <c r="E69" s="160">
        <f>IF(+I14&lt;F68,I14,D69)</f>
        <v>0</v>
      </c>
      <c r="F69" s="159">
        <f t="shared" si="13"/>
        <v>0</v>
      </c>
      <c r="G69" s="163">
        <f t="shared" si="11"/>
        <v>0</v>
      </c>
      <c r="H69" s="142">
        <f t="shared" si="12"/>
        <v>0</v>
      </c>
      <c r="I69" s="156">
        <f t="shared" si="14"/>
        <v>0</v>
      </c>
      <c r="J69" s="156"/>
      <c r="K69" s="334"/>
      <c r="L69" s="158">
        <f t="shared" si="15"/>
        <v>0</v>
      </c>
      <c r="M69" s="334"/>
      <c r="N69" s="158">
        <f t="shared" si="16"/>
        <v>0</v>
      </c>
      <c r="O69" s="158">
        <f t="shared" si="17"/>
        <v>0</v>
      </c>
      <c r="P69" s="4"/>
    </row>
    <row r="70" spans="1:16">
      <c r="B70" s="9" t="str">
        <f t="shared" si="4"/>
        <v/>
      </c>
      <c r="C70" s="153">
        <f>IF(D11="","-",+C69+1)</f>
        <v>2059</v>
      </c>
      <c r="D70" s="159">
        <f>IF(F69+SUM(E$17:E69)=D$10,F69,D$10-SUM(E$17:E69))</f>
        <v>0</v>
      </c>
      <c r="E70" s="160">
        <f>IF(+I14&lt;F69,I14,D70)</f>
        <v>0</v>
      </c>
      <c r="F70" s="159">
        <f t="shared" si="13"/>
        <v>0</v>
      </c>
      <c r="G70" s="163">
        <f t="shared" si="11"/>
        <v>0</v>
      </c>
      <c r="H70" s="142">
        <f t="shared" si="12"/>
        <v>0</v>
      </c>
      <c r="I70" s="156">
        <f t="shared" si="14"/>
        <v>0</v>
      </c>
      <c r="J70" s="156"/>
      <c r="K70" s="334"/>
      <c r="L70" s="158">
        <f t="shared" si="15"/>
        <v>0</v>
      </c>
      <c r="M70" s="334"/>
      <c r="N70" s="158">
        <f t="shared" si="16"/>
        <v>0</v>
      </c>
      <c r="O70" s="158">
        <f t="shared" si="17"/>
        <v>0</v>
      </c>
      <c r="P70" s="4"/>
    </row>
    <row r="71" spans="1:16">
      <c r="B71" s="9" t="str">
        <f t="shared" si="4"/>
        <v/>
      </c>
      <c r="C71" s="153">
        <f>IF(D11="","-",+C70+1)</f>
        <v>2060</v>
      </c>
      <c r="D71" s="159">
        <f>IF(F70+SUM(E$17:E70)=D$10,F70,D$10-SUM(E$17:E70))</f>
        <v>0</v>
      </c>
      <c r="E71" s="160">
        <f>IF(+I14&lt;F70,I14,D71)</f>
        <v>0</v>
      </c>
      <c r="F71" s="159">
        <f t="shared" si="13"/>
        <v>0</v>
      </c>
      <c r="G71" s="163">
        <f t="shared" si="11"/>
        <v>0</v>
      </c>
      <c r="H71" s="142">
        <f t="shared" si="12"/>
        <v>0</v>
      </c>
      <c r="I71" s="156">
        <f t="shared" si="14"/>
        <v>0</v>
      </c>
      <c r="J71" s="156"/>
      <c r="K71" s="334"/>
      <c r="L71" s="158">
        <f t="shared" si="15"/>
        <v>0</v>
      </c>
      <c r="M71" s="334"/>
      <c r="N71" s="158">
        <f t="shared" si="16"/>
        <v>0</v>
      </c>
      <c r="O71" s="158">
        <f t="shared" si="17"/>
        <v>0</v>
      </c>
      <c r="P71" s="4"/>
    </row>
    <row r="72" spans="1:16" ht="13.5" thickBot="1">
      <c r="B72" s="9" t="str">
        <f t="shared" si="4"/>
        <v/>
      </c>
      <c r="C72" s="164">
        <f>IF(D11="","-",+C71+1)</f>
        <v>2061</v>
      </c>
      <c r="D72" s="165">
        <f>IF(F71+SUM(E$17:E71)=D$10,F71,D$10-SUM(E$17:E71))</f>
        <v>0</v>
      </c>
      <c r="E72" s="166">
        <f>IF(+I14&lt;F71,I14,D72)</f>
        <v>0</v>
      </c>
      <c r="F72" s="165">
        <f t="shared" si="13"/>
        <v>0</v>
      </c>
      <c r="G72" s="167">
        <f t="shared" si="11"/>
        <v>0</v>
      </c>
      <c r="H72" s="124">
        <f t="shared" si="12"/>
        <v>0</v>
      </c>
      <c r="I72" s="168">
        <f t="shared" si="14"/>
        <v>0</v>
      </c>
      <c r="J72" s="156"/>
      <c r="K72" s="335"/>
      <c r="L72" s="169">
        <f t="shared" si="15"/>
        <v>0</v>
      </c>
      <c r="M72" s="335"/>
      <c r="N72" s="169">
        <f t="shared" si="16"/>
        <v>0</v>
      </c>
      <c r="O72" s="169">
        <f t="shared" si="17"/>
        <v>0</v>
      </c>
      <c r="P72" s="4"/>
    </row>
    <row r="73" spans="1:16">
      <c r="C73" s="154" t="s">
        <v>73</v>
      </c>
      <c r="D73" s="111"/>
      <c r="E73" s="111">
        <f>SUM(E17:E72)</f>
        <v>5731607.0000000028</v>
      </c>
      <c r="F73" s="111"/>
      <c r="G73" s="111">
        <f>SUM(G17:G72)</f>
        <v>19489880.166918043</v>
      </c>
      <c r="H73" s="111">
        <f>SUM(H17:H72)</f>
        <v>19489880.166918043</v>
      </c>
      <c r="I73" s="111">
        <f>SUM(I17:I72)</f>
        <v>0</v>
      </c>
      <c r="J73" s="111"/>
      <c r="K73" s="111"/>
      <c r="L73" s="111"/>
      <c r="M73" s="111"/>
      <c r="N73" s="111"/>
      <c r="O73" s="4"/>
      <c r="P73" s="4"/>
    </row>
    <row r="74" spans="1:16">
      <c r="D74" s="2"/>
      <c r="E74" s="1"/>
      <c r="F74" s="1"/>
      <c r="G74" s="1"/>
      <c r="H74" s="3"/>
      <c r="I74" s="3"/>
      <c r="J74" s="111"/>
      <c r="K74" s="3"/>
      <c r="L74" s="3"/>
      <c r="M74" s="3"/>
      <c r="N74" s="3"/>
      <c r="O74" s="1"/>
      <c r="P74" s="1"/>
    </row>
    <row r="75" spans="1:16">
      <c r="C75" s="170" t="s">
        <v>91</v>
      </c>
      <c r="D75" s="2"/>
      <c r="E75" s="1"/>
      <c r="F75" s="1"/>
      <c r="G75" s="1"/>
      <c r="H75" s="3"/>
      <c r="I75" s="3"/>
      <c r="J75" s="111"/>
      <c r="K75" s="3"/>
      <c r="L75" s="3"/>
      <c r="M75" s="3"/>
      <c r="N75" s="3"/>
      <c r="O75" s="1"/>
      <c r="P75" s="1"/>
    </row>
    <row r="76" spans="1:16">
      <c r="C76" s="121" t="s">
        <v>74</v>
      </c>
      <c r="D76" s="2"/>
      <c r="E76" s="1"/>
      <c r="F76" s="1"/>
      <c r="G76" s="1"/>
      <c r="H76" s="3"/>
      <c r="I76" s="3"/>
      <c r="J76" s="111"/>
      <c r="K76" s="3"/>
      <c r="L76" s="3"/>
      <c r="M76" s="3"/>
      <c r="N76" s="3"/>
      <c r="O76" s="4"/>
      <c r="P76" s="4"/>
    </row>
    <row r="77" spans="1:16" ht="18">
      <c r="C77" s="121" t="s">
        <v>75</v>
      </c>
      <c r="D77" s="154"/>
      <c r="E77" s="154"/>
      <c r="F77" s="154"/>
      <c r="G77" s="111"/>
      <c r="H77" s="111"/>
      <c r="I77" s="171"/>
      <c r="J77" s="171"/>
      <c r="K77" s="171"/>
      <c r="L77" s="171"/>
      <c r="M77" s="171"/>
      <c r="N77" s="171"/>
      <c r="O77" s="110"/>
      <c r="P77" s="4"/>
    </row>
    <row r="78" spans="1:16">
      <c r="C78" s="121"/>
      <c r="D78" s="154"/>
      <c r="E78" s="154"/>
      <c r="F78" s="154"/>
      <c r="G78" s="111"/>
      <c r="H78" s="111"/>
      <c r="I78" s="171"/>
      <c r="J78" s="171"/>
      <c r="K78" s="171"/>
      <c r="L78" s="171"/>
      <c r="M78" s="171"/>
      <c r="N78" s="171"/>
      <c r="O78" s="4"/>
      <c r="P78" s="1"/>
    </row>
    <row r="79" spans="1:16" ht="15">
      <c r="A79" s="241"/>
      <c r="B79" s="1"/>
      <c r="C79" s="21"/>
      <c r="D79" s="2"/>
      <c r="E79" s="1"/>
      <c r="F79" s="107"/>
      <c r="G79" s="1"/>
      <c r="H79" s="3"/>
      <c r="I79" s="1"/>
      <c r="J79" s="4"/>
      <c r="K79" s="1"/>
      <c r="L79" s="1"/>
      <c r="M79" s="1"/>
      <c r="N79" s="1"/>
    </row>
    <row r="80" spans="1:16" ht="18">
      <c r="B80" s="1"/>
      <c r="C80" s="242"/>
      <c r="D80" s="2"/>
      <c r="E80" s="1"/>
      <c r="F80" s="107"/>
      <c r="G80" s="1"/>
      <c r="H80" s="3"/>
      <c r="I80" s="1"/>
      <c r="J80" s="4"/>
      <c r="K80" s="1"/>
      <c r="L80" s="1"/>
      <c r="M80" s="1"/>
      <c r="N80" s="1"/>
      <c r="P80" s="244" t="s">
        <v>125</v>
      </c>
    </row>
    <row r="81" spans="1:17">
      <c r="B81" s="1"/>
      <c r="C81" s="242"/>
      <c r="D81" s="2"/>
      <c r="E81" s="1"/>
      <c r="F81" s="107"/>
      <c r="G81" s="1"/>
      <c r="H81" s="3"/>
      <c r="I81" s="1"/>
      <c r="J81" s="4"/>
      <c r="K81" s="1"/>
      <c r="L81" s="1"/>
      <c r="M81" s="1"/>
      <c r="N81" s="1"/>
      <c r="O81" s="1"/>
      <c r="P81" s="1"/>
    </row>
    <row r="82" spans="1:17">
      <c r="B82" s="1"/>
      <c r="C82" s="21"/>
      <c r="D82" s="2"/>
      <c r="E82" s="1"/>
      <c r="F82" s="107"/>
      <c r="G82" s="1"/>
      <c r="H82" s="3"/>
      <c r="I82" s="1"/>
      <c r="J82" s="4"/>
      <c r="K82" s="1"/>
      <c r="L82" s="1"/>
      <c r="M82" s="1"/>
      <c r="N82" s="1"/>
      <c r="O82" s="1"/>
      <c r="P82" s="1"/>
      <c r="Q82" s="1"/>
    </row>
    <row r="83" spans="1:17" ht="20.25">
      <c r="A83" s="243" t="s">
        <v>129</v>
      </c>
      <c r="B83" s="1"/>
      <c r="C83" s="21"/>
      <c r="D83" s="2"/>
      <c r="E83" s="1"/>
      <c r="F83" s="99"/>
      <c r="G83" s="99"/>
      <c r="H83" s="1"/>
      <c r="I83" s="3"/>
      <c r="K83" s="7"/>
      <c r="L83" s="109"/>
      <c r="M83" s="109"/>
      <c r="P83" s="110" t="str">
        <f ca="1">P1</f>
        <v>SWEPCO Project 13 of 73</v>
      </c>
      <c r="Q83" s="1"/>
    </row>
    <row r="84" spans="1:17" ht="18">
      <c r="B84" s="1"/>
      <c r="C84" s="1"/>
      <c r="D84" s="2"/>
      <c r="E84" s="1"/>
      <c r="F84" s="1"/>
      <c r="G84" s="1"/>
      <c r="H84" s="1"/>
      <c r="I84" s="3"/>
      <c r="J84" s="1"/>
      <c r="K84" s="4"/>
      <c r="L84" s="1"/>
      <c r="M84" s="1"/>
      <c r="P84" s="237" t="s">
        <v>123</v>
      </c>
      <c r="Q84" s="1"/>
    </row>
    <row r="85" spans="1:17" ht="18.75" thickBot="1">
      <c r="B85" s="5" t="s">
        <v>40</v>
      </c>
      <c r="C85" s="197" t="s">
        <v>78</v>
      </c>
      <c r="D85" s="2"/>
      <c r="E85" s="1"/>
      <c r="F85" s="1"/>
      <c r="G85" s="1"/>
      <c r="H85" s="1"/>
      <c r="I85" s="3"/>
      <c r="J85" s="3"/>
      <c r="K85" s="111"/>
      <c r="L85" s="3"/>
      <c r="M85" s="3"/>
      <c r="N85" s="3"/>
      <c r="O85" s="111"/>
      <c r="P85" s="1"/>
      <c r="Q85" s="1"/>
    </row>
    <row r="86" spans="1:17" ht="15.75" thickBot="1">
      <c r="C86" s="67"/>
      <c r="D86" s="2"/>
      <c r="E86" s="1"/>
      <c r="F86" s="1"/>
      <c r="G86" s="1"/>
      <c r="H86" s="1"/>
      <c r="I86" s="3"/>
      <c r="J86" s="3"/>
      <c r="K86" s="111"/>
      <c r="L86" s="265">
        <f>+J92</f>
        <v>0</v>
      </c>
      <c r="M86" s="266" t="s">
        <v>7</v>
      </c>
      <c r="N86" s="270" t="s">
        <v>154</v>
      </c>
      <c r="O86" s="267" t="s">
        <v>9</v>
      </c>
      <c r="P86" s="1"/>
      <c r="Q86" s="1"/>
    </row>
    <row r="87" spans="1:17" ht="15">
      <c r="C87" s="235" t="s">
        <v>42</v>
      </c>
      <c r="D87" s="2"/>
      <c r="E87" s="1"/>
      <c r="F87" s="1"/>
      <c r="G87" s="1"/>
      <c r="H87" s="113"/>
      <c r="I87" s="1" t="s">
        <v>43</v>
      </c>
      <c r="J87" s="1"/>
      <c r="K87" s="261"/>
      <c r="L87" s="259" t="s">
        <v>381</v>
      </c>
      <c r="M87" s="198">
        <f>IF(J92&lt;D11,0,VLOOKUP(J92,C17:O72,9))</f>
        <v>0</v>
      </c>
      <c r="N87" s="198">
        <f>IF(J92&lt;D11,0,VLOOKUP(J92,C17:O72,11))</f>
        <v>0</v>
      </c>
      <c r="O87" s="199">
        <f>+N87-M87</f>
        <v>0</v>
      </c>
      <c r="P87" s="1"/>
      <c r="Q87" s="1"/>
    </row>
    <row r="88" spans="1:17" ht="15.75">
      <c r="C88" s="8"/>
      <c r="D88" s="2"/>
      <c r="E88" s="1"/>
      <c r="F88" s="1"/>
      <c r="G88" s="1"/>
      <c r="H88" s="1"/>
      <c r="I88" s="117"/>
      <c r="J88" s="117"/>
      <c r="K88" s="263"/>
      <c r="L88" s="264" t="s">
        <v>382</v>
      </c>
      <c r="M88" s="200">
        <f>IF(J92&lt;D11,0,VLOOKUP(J92,C99:P154,6))</f>
        <v>0</v>
      </c>
      <c r="N88" s="200">
        <f>IF(J92&lt;D11,0,VLOOKUP(J92,C99:P154,7))</f>
        <v>0</v>
      </c>
      <c r="O88" s="201">
        <f>+N88-M88</f>
        <v>0</v>
      </c>
      <c r="P88" s="1"/>
      <c r="Q88" s="1"/>
    </row>
    <row r="89" spans="1:17" ht="13.5" thickBot="1">
      <c r="C89" s="121" t="s">
        <v>79</v>
      </c>
      <c r="D89" s="246" t="str">
        <f>+D7</f>
        <v xml:space="preserve">Carthage REC - Carthage T 138 kV </v>
      </c>
      <c r="E89" s="1"/>
      <c r="F89" s="1"/>
      <c r="G89" s="1"/>
      <c r="H89" s="1"/>
      <c r="I89" s="3"/>
      <c r="J89" s="3"/>
      <c r="K89" s="262"/>
      <c r="L89" s="260" t="s">
        <v>151</v>
      </c>
      <c r="M89" s="203">
        <f>+M88-M87</f>
        <v>0</v>
      </c>
      <c r="N89" s="203">
        <f>+N88-N87</f>
        <v>0</v>
      </c>
      <c r="O89" s="204">
        <f>+O88-O87</f>
        <v>0</v>
      </c>
      <c r="P89" s="1"/>
      <c r="Q89" s="1"/>
    </row>
    <row r="90" spans="1:17" ht="13.5" thickBot="1">
      <c r="C90" s="170"/>
      <c r="D90" s="173" t="str">
        <f>D8</f>
        <v/>
      </c>
      <c r="E90" s="107"/>
      <c r="F90" s="107"/>
      <c r="G90" s="107"/>
      <c r="H90" s="126"/>
      <c r="I90" s="3"/>
      <c r="J90" s="3"/>
      <c r="K90" s="111"/>
      <c r="L90" s="3"/>
      <c r="M90" s="3"/>
      <c r="N90" s="3"/>
      <c r="O90" s="111"/>
      <c r="P90" s="1"/>
      <c r="Q90" s="1"/>
    </row>
    <row r="91" spans="1:17" ht="13.5" thickBot="1">
      <c r="A91" s="103"/>
      <c r="C91" s="205" t="s">
        <v>80</v>
      </c>
      <c r="D91" s="224" t="str">
        <f>+D9</f>
        <v>TP2004139</v>
      </c>
      <c r="E91" s="206"/>
      <c r="F91" s="206"/>
      <c r="G91" s="206"/>
      <c r="H91" s="206"/>
      <c r="I91" s="206"/>
      <c r="J91" s="238"/>
      <c r="K91" s="207"/>
      <c r="P91" s="131"/>
      <c r="Q91" s="1"/>
    </row>
    <row r="92" spans="1:17">
      <c r="C92" s="136" t="s">
        <v>47</v>
      </c>
      <c r="D92" s="133">
        <v>5731607</v>
      </c>
      <c r="E92" s="21" t="s">
        <v>81</v>
      </c>
      <c r="H92" s="134"/>
      <c r="I92" s="134"/>
      <c r="J92" s="135">
        <f>+SWE.WS.F.BPU.ATRR.Projected!L95</f>
        <v>0</v>
      </c>
      <c r="K92" s="130"/>
      <c r="L92" s="111" t="s">
        <v>82</v>
      </c>
      <c r="P92" s="4"/>
      <c r="Q92" s="1"/>
    </row>
    <row r="93" spans="1:17">
      <c r="C93" s="136" t="s">
        <v>49</v>
      </c>
      <c r="D93" s="219">
        <f>IF(D11=I10,"",D11)</f>
        <v>2006</v>
      </c>
      <c r="E93" s="136" t="s">
        <v>50</v>
      </c>
      <c r="F93" s="134"/>
      <c r="G93" s="134"/>
      <c r="J93" s="138">
        <f>IF(H87="",0,'SWE.WS.G.BPU.ATRR.True-up'!$F$12)</f>
        <v>0</v>
      </c>
      <c r="K93" s="139"/>
      <c r="L93" t="str">
        <f>"          INPUT TRUE-UP ARR (WITH &amp; WITHOUT INCENTIVES) FROM EACH PRIOR YEAR"</f>
        <v xml:space="preserve">          INPUT TRUE-UP ARR (WITH &amp; WITHOUT INCENTIVES) FROM EACH PRIOR YEAR</v>
      </c>
      <c r="P93" s="4"/>
      <c r="Q93" s="1"/>
    </row>
    <row r="94" spans="1:17">
      <c r="C94" s="136" t="s">
        <v>51</v>
      </c>
      <c r="D94" s="218">
        <f>IF(D11=I10,"",D12)</f>
        <v>4</v>
      </c>
      <c r="E94" s="136" t="s">
        <v>52</v>
      </c>
      <c r="F94" s="134"/>
      <c r="G94" s="134"/>
      <c r="J94" s="140">
        <f>'SWE.WS.G.BPU.ATRR.True-up'!$F$80</f>
        <v>0.12147145768398206</v>
      </c>
      <c r="K94" s="141"/>
      <c r="L94" t="s">
        <v>83</v>
      </c>
      <c r="P94" s="4"/>
      <c r="Q94" s="1"/>
    </row>
    <row r="95" spans="1:17">
      <c r="C95" s="136" t="s">
        <v>54</v>
      </c>
      <c r="D95" s="138">
        <f>'SWE.WS.G.BPU.ATRR.True-up'!F$92</f>
        <v>42</v>
      </c>
      <c r="E95" s="136" t="s">
        <v>55</v>
      </c>
      <c r="F95" s="134"/>
      <c r="G95" s="134"/>
      <c r="J95" s="140">
        <f>IF(H87="",J94,'SWE.WS.G.BPU.ATRR.True-up'!$F$79)</f>
        <v>0.12147145768398206</v>
      </c>
      <c r="K95" s="58"/>
      <c r="L95" s="111" t="s">
        <v>56</v>
      </c>
      <c r="M95" s="58"/>
      <c r="N95" s="58"/>
      <c r="O95" s="58"/>
      <c r="P95" s="4"/>
      <c r="Q95" s="1"/>
    </row>
    <row r="96" spans="1:17" ht="13.5" thickBot="1">
      <c r="C96" s="136" t="s">
        <v>57</v>
      </c>
      <c r="D96" s="220" t="str">
        <f>+D14</f>
        <v>No</v>
      </c>
      <c r="E96" s="202" t="s">
        <v>59</v>
      </c>
      <c r="F96" s="208"/>
      <c r="G96" s="208"/>
      <c r="H96" s="209"/>
      <c r="I96" s="209"/>
      <c r="J96" s="124">
        <f>IF(D92=0,0,D92/D95)</f>
        <v>136466.83333333334</v>
      </c>
      <c r="K96" s="111"/>
      <c r="L96" s="111"/>
      <c r="M96" s="111"/>
      <c r="N96" s="111"/>
      <c r="O96" s="111"/>
      <c r="P96" s="4"/>
      <c r="Q96" s="1"/>
    </row>
    <row r="97" spans="1:17" ht="38.25">
      <c r="A97" s="6"/>
      <c r="B97" s="6"/>
      <c r="C97" s="210" t="s">
        <v>47</v>
      </c>
      <c r="D97" s="211" t="s">
        <v>60</v>
      </c>
      <c r="E97" s="146" t="s">
        <v>61</v>
      </c>
      <c r="F97" s="146" t="s">
        <v>62</v>
      </c>
      <c r="G97" s="144" t="s">
        <v>84</v>
      </c>
      <c r="H97" s="434" t="s">
        <v>378</v>
      </c>
      <c r="I97" s="435" t="s">
        <v>379</v>
      </c>
      <c r="J97" s="210" t="s">
        <v>85</v>
      </c>
      <c r="K97" s="212"/>
      <c r="L97" s="271" t="s">
        <v>220</v>
      </c>
      <c r="M97" s="146" t="s">
        <v>156</v>
      </c>
      <c r="N97" s="271" t="s">
        <v>220</v>
      </c>
      <c r="O97" s="146" t="s">
        <v>156</v>
      </c>
      <c r="P97" s="146" t="s">
        <v>65</v>
      </c>
      <c r="Q97" s="1"/>
    </row>
    <row r="98" spans="1:17" ht="13.5" thickBot="1">
      <c r="C98" s="147" t="s">
        <v>66</v>
      </c>
      <c r="D98" s="213" t="s">
        <v>67</v>
      </c>
      <c r="E98" s="147" t="s">
        <v>68</v>
      </c>
      <c r="F98" s="147" t="s">
        <v>67</v>
      </c>
      <c r="G98" s="147" t="s">
        <v>67</v>
      </c>
      <c r="H98" s="407" t="s">
        <v>69</v>
      </c>
      <c r="I98" s="148" t="s">
        <v>70</v>
      </c>
      <c r="J98" s="149" t="s">
        <v>89</v>
      </c>
      <c r="K98" s="150"/>
      <c r="L98" s="151" t="s">
        <v>72</v>
      </c>
      <c r="M98" s="151" t="s">
        <v>72</v>
      </c>
      <c r="N98" s="151" t="s">
        <v>90</v>
      </c>
      <c r="O98" s="151" t="s">
        <v>90</v>
      </c>
      <c r="P98" s="151" t="s">
        <v>90</v>
      </c>
      <c r="Q98" s="1"/>
    </row>
    <row r="99" spans="1:17">
      <c r="C99" s="153">
        <f>IF(D93= "","-",D93)</f>
        <v>2006</v>
      </c>
      <c r="D99" s="357">
        <v>0</v>
      </c>
      <c r="E99" s="360">
        <v>69992</v>
      </c>
      <c r="F99" s="361">
        <v>3814550</v>
      </c>
      <c r="G99" s="365">
        <v>1907275</v>
      </c>
      <c r="H99" s="362">
        <v>374013</v>
      </c>
      <c r="I99" s="363">
        <v>374013</v>
      </c>
      <c r="J99" s="158">
        <f t="shared" ref="J99:J130" si="18">+I99-H99</f>
        <v>0</v>
      </c>
      <c r="K99" s="158"/>
      <c r="L99" s="256">
        <f>K17</f>
        <v>0</v>
      </c>
      <c r="M99" s="157">
        <f t="shared" ref="M99:M130" si="19">IF(L99&lt;&gt;0,+H99-L99,0)</f>
        <v>0</v>
      </c>
      <c r="N99" s="256">
        <f>M17</f>
        <v>0</v>
      </c>
      <c r="O99" s="157">
        <f t="shared" ref="O99:O130" si="20">IF(N99&lt;&gt;0,+I99-N99,0)</f>
        <v>0</v>
      </c>
      <c r="P99" s="157">
        <f t="shared" ref="P99:P130" si="21">+O99-M99</f>
        <v>0</v>
      </c>
      <c r="Q99" s="1"/>
    </row>
    <row r="100" spans="1:17">
      <c r="B100" s="9" t="str">
        <f>IF(D100=F99,"","IU")</f>
        <v>IU</v>
      </c>
      <c r="C100" s="153">
        <f>IF(D93="","-",+C99+1)</f>
        <v>2007</v>
      </c>
      <c r="D100" s="357">
        <v>5731607</v>
      </c>
      <c r="E100" s="360">
        <v>77454</v>
      </c>
      <c r="F100" s="361">
        <v>5654153</v>
      </c>
      <c r="G100" s="361">
        <v>5692880</v>
      </c>
      <c r="H100" s="360">
        <v>622381</v>
      </c>
      <c r="I100" s="359">
        <v>622381</v>
      </c>
      <c r="J100" s="158">
        <f t="shared" si="18"/>
        <v>0</v>
      </c>
      <c r="K100" s="158"/>
      <c r="L100" s="258">
        <v>622381</v>
      </c>
      <c r="M100" s="158">
        <f t="shared" si="19"/>
        <v>0</v>
      </c>
      <c r="N100" s="258">
        <v>622381</v>
      </c>
      <c r="O100" s="158">
        <f t="shared" si="20"/>
        <v>0</v>
      </c>
      <c r="P100" s="158">
        <f t="shared" si="21"/>
        <v>0</v>
      </c>
      <c r="Q100" s="1"/>
    </row>
    <row r="101" spans="1:17">
      <c r="B101" s="9" t="str">
        <f t="shared" ref="B101:B154" si="22">IF(D101=F100,"","IU")</f>
        <v>IU</v>
      </c>
      <c r="C101" s="153">
        <f>IF(D93="","-",+C100+1)</f>
        <v>2008</v>
      </c>
      <c r="D101" s="357">
        <v>3709563</v>
      </c>
      <c r="E101" s="360">
        <v>104988</v>
      </c>
      <c r="F101" s="361">
        <v>3604575</v>
      </c>
      <c r="G101" s="361">
        <v>3657069</v>
      </c>
      <c r="H101" s="360">
        <v>687928</v>
      </c>
      <c r="I101" s="359">
        <v>687928</v>
      </c>
      <c r="J101" s="158">
        <f t="shared" si="18"/>
        <v>0</v>
      </c>
      <c r="K101" s="158"/>
      <c r="L101" s="258">
        <v>687928</v>
      </c>
      <c r="M101" s="158">
        <f t="shared" si="19"/>
        <v>0</v>
      </c>
      <c r="N101" s="258">
        <v>687928</v>
      </c>
      <c r="O101" s="158">
        <f t="shared" si="20"/>
        <v>0</v>
      </c>
      <c r="P101" s="158">
        <f>+O101-M101</f>
        <v>0</v>
      </c>
      <c r="Q101" s="1"/>
    </row>
    <row r="102" spans="1:17">
      <c r="B102" s="9" t="str">
        <f t="shared" si="22"/>
        <v>IU</v>
      </c>
      <c r="C102" s="153">
        <f>IF(D93="","-",+C101+1)</f>
        <v>2009</v>
      </c>
      <c r="D102" s="357">
        <v>3632108</v>
      </c>
      <c r="E102" s="360">
        <v>102224.78947368421</v>
      </c>
      <c r="F102" s="361">
        <v>3529883.210526316</v>
      </c>
      <c r="G102" s="361">
        <v>3580995.6052631577</v>
      </c>
      <c r="H102" s="360">
        <v>620529.72613879445</v>
      </c>
      <c r="I102" s="359">
        <v>620529.72613879445</v>
      </c>
      <c r="J102" s="158">
        <f t="shared" si="18"/>
        <v>0</v>
      </c>
      <c r="K102" s="158"/>
      <c r="L102" s="258">
        <f t="shared" ref="L102:L107" si="23">H102</f>
        <v>620529.72613879445</v>
      </c>
      <c r="M102" s="257">
        <f t="shared" si="19"/>
        <v>0</v>
      </c>
      <c r="N102" s="258">
        <f t="shared" ref="N102:N107" si="24">I102</f>
        <v>620529.72613879445</v>
      </c>
      <c r="O102" s="158">
        <f t="shared" si="20"/>
        <v>0</v>
      </c>
      <c r="P102" s="158">
        <f t="shared" si="21"/>
        <v>0</v>
      </c>
      <c r="Q102" s="1"/>
    </row>
    <row r="103" spans="1:17">
      <c r="B103" s="9" t="str">
        <f t="shared" si="22"/>
        <v/>
      </c>
      <c r="C103" s="153">
        <f>IF(D93="","-",+C102+1)</f>
        <v>2010</v>
      </c>
      <c r="D103" s="357">
        <v>3529883.210526316</v>
      </c>
      <c r="E103" s="360">
        <v>94744.926829268297</v>
      </c>
      <c r="F103" s="361">
        <v>3435138.2836970477</v>
      </c>
      <c r="G103" s="361">
        <v>3482510.7471116818</v>
      </c>
      <c r="H103" s="360">
        <v>669658.98198518401</v>
      </c>
      <c r="I103" s="359">
        <v>669658.98198518401</v>
      </c>
      <c r="J103" s="158">
        <f t="shared" si="18"/>
        <v>0</v>
      </c>
      <c r="K103" s="158"/>
      <c r="L103" s="258">
        <f t="shared" si="23"/>
        <v>669658.98198518401</v>
      </c>
      <c r="M103" s="257">
        <f t="shared" si="19"/>
        <v>0</v>
      </c>
      <c r="N103" s="258">
        <f t="shared" si="24"/>
        <v>669658.98198518401</v>
      </c>
      <c r="O103" s="158">
        <f t="shared" si="20"/>
        <v>0</v>
      </c>
      <c r="P103" s="158">
        <f t="shared" si="21"/>
        <v>0</v>
      </c>
      <c r="Q103" s="1"/>
    </row>
    <row r="104" spans="1:17">
      <c r="B104" s="9" t="str">
        <f t="shared" si="22"/>
        <v/>
      </c>
      <c r="C104" s="153">
        <f>IF(D93="","-",+C103+1)</f>
        <v>2011</v>
      </c>
      <c r="D104" s="357">
        <v>3435138.2836970477</v>
      </c>
      <c r="E104" s="377">
        <v>92489.095238095237</v>
      </c>
      <c r="F104" s="361">
        <v>3342649.1884589526</v>
      </c>
      <c r="G104" s="361">
        <v>3388893.7360780002</v>
      </c>
      <c r="H104" s="360">
        <v>602110.60067638115</v>
      </c>
      <c r="I104" s="359">
        <v>602110.60067638115</v>
      </c>
      <c r="J104" s="158">
        <f t="shared" si="18"/>
        <v>0</v>
      </c>
      <c r="K104" s="158"/>
      <c r="L104" s="258">
        <f t="shared" si="23"/>
        <v>602110.60067638115</v>
      </c>
      <c r="M104" s="257">
        <f t="shared" si="19"/>
        <v>0</v>
      </c>
      <c r="N104" s="258">
        <f t="shared" si="24"/>
        <v>602110.60067638115</v>
      </c>
      <c r="O104" s="158">
        <f t="shared" si="20"/>
        <v>0</v>
      </c>
      <c r="P104" s="158">
        <f t="shared" si="21"/>
        <v>0</v>
      </c>
      <c r="Q104" s="1"/>
    </row>
    <row r="105" spans="1:17">
      <c r="B105" s="9" t="str">
        <f t="shared" si="22"/>
        <v/>
      </c>
      <c r="C105" s="153">
        <f>IF(D93="","-",+C104+1)</f>
        <v>2012</v>
      </c>
      <c r="D105" s="357">
        <v>3342649.1884589526</v>
      </c>
      <c r="E105" s="360">
        <v>92489.095238095237</v>
      </c>
      <c r="F105" s="361">
        <v>3250160.0932208574</v>
      </c>
      <c r="G105" s="361">
        <v>3296404.640839905</v>
      </c>
      <c r="H105" s="360">
        <v>577567.99892876786</v>
      </c>
      <c r="I105" s="359">
        <v>577567.99892876786</v>
      </c>
      <c r="J105" s="158">
        <f t="shared" si="18"/>
        <v>0</v>
      </c>
      <c r="K105" s="158"/>
      <c r="L105" s="258">
        <f t="shared" si="23"/>
        <v>577567.99892876786</v>
      </c>
      <c r="M105" s="257">
        <f t="shared" si="19"/>
        <v>0</v>
      </c>
      <c r="N105" s="258">
        <f t="shared" si="24"/>
        <v>577567.99892876786</v>
      </c>
      <c r="O105" s="158">
        <f t="shared" si="20"/>
        <v>0</v>
      </c>
      <c r="P105" s="158">
        <f t="shared" si="21"/>
        <v>0</v>
      </c>
      <c r="Q105" s="1"/>
    </row>
    <row r="106" spans="1:17">
      <c r="B106" s="9" t="str">
        <f t="shared" si="22"/>
        <v/>
      </c>
      <c r="C106" s="153">
        <f>IF(D93="","-",+C105+1)</f>
        <v>2013</v>
      </c>
      <c r="D106" s="357">
        <v>3250160.0932208574</v>
      </c>
      <c r="E106" s="360">
        <v>92489.095238095237</v>
      </c>
      <c r="F106" s="361">
        <v>3157670.9979827623</v>
      </c>
      <c r="G106" s="361">
        <v>3203915.5456018099</v>
      </c>
      <c r="H106" s="360">
        <v>525952.28345826664</v>
      </c>
      <c r="I106" s="359">
        <v>525952.28345826664</v>
      </c>
      <c r="J106" s="158">
        <v>0</v>
      </c>
      <c r="K106" s="158"/>
      <c r="L106" s="258">
        <f t="shared" si="23"/>
        <v>525952.28345826664</v>
      </c>
      <c r="M106" s="257">
        <f>IF(L106&lt;&gt;0,+H106-L106,0)</f>
        <v>0</v>
      </c>
      <c r="N106" s="258">
        <f t="shared" si="24"/>
        <v>525952.28345826664</v>
      </c>
      <c r="O106" s="158">
        <f>IF(N106&lt;&gt;0,+I106-N106,0)</f>
        <v>0</v>
      </c>
      <c r="P106" s="158">
        <f>+O106-M106</f>
        <v>0</v>
      </c>
      <c r="Q106" s="1"/>
    </row>
    <row r="107" spans="1:17">
      <c r="B107" s="9" t="str">
        <f t="shared" si="22"/>
        <v>IU</v>
      </c>
      <c r="C107" s="153">
        <f>IF(D93="","-",+C106+1)</f>
        <v>2014</v>
      </c>
      <c r="D107" s="357">
        <v>5004735.9979827618</v>
      </c>
      <c r="E107" s="360">
        <v>136466.83333333334</v>
      </c>
      <c r="F107" s="361">
        <v>4868269.1646494288</v>
      </c>
      <c r="G107" s="361">
        <v>4936502.5813160948</v>
      </c>
      <c r="H107" s="360">
        <v>807453.34332208754</v>
      </c>
      <c r="I107" s="359">
        <v>807453.34332208754</v>
      </c>
      <c r="J107" s="158">
        <v>0</v>
      </c>
      <c r="K107" s="158"/>
      <c r="L107" s="258">
        <f t="shared" si="23"/>
        <v>807453.34332208754</v>
      </c>
      <c r="M107" s="257">
        <f>IF(L107&lt;&gt;0,+H107-L107,0)</f>
        <v>0</v>
      </c>
      <c r="N107" s="258">
        <f t="shared" si="24"/>
        <v>807453.34332208754</v>
      </c>
      <c r="O107" s="158">
        <f>IF(N107&lt;&gt;0,+I107-N107,0)</f>
        <v>0</v>
      </c>
      <c r="P107" s="158">
        <f>+O107-M107</f>
        <v>0</v>
      </c>
      <c r="Q107" s="1"/>
    </row>
    <row r="108" spans="1:17">
      <c r="B108" s="9" t="str">
        <f t="shared" si="22"/>
        <v/>
      </c>
      <c r="C108" s="153">
        <f>IF(D93="","-",+C107+1)</f>
        <v>2015</v>
      </c>
      <c r="D108" s="357">
        <v>4868269.1646494288</v>
      </c>
      <c r="E108" s="360">
        <v>136466.83333333334</v>
      </c>
      <c r="F108" s="361">
        <v>4731802.3313160958</v>
      </c>
      <c r="G108" s="361">
        <v>4800035.7479827628</v>
      </c>
      <c r="H108" s="360">
        <v>768962.15760486678</v>
      </c>
      <c r="I108" s="359">
        <v>768962.15760486678</v>
      </c>
      <c r="J108" s="158">
        <f t="shared" si="18"/>
        <v>0</v>
      </c>
      <c r="K108" s="158"/>
      <c r="L108" s="258">
        <f>H108</f>
        <v>768962.15760486678</v>
      </c>
      <c r="M108" s="257">
        <f>IF(L108&lt;&gt;0,+H108-L108,0)</f>
        <v>0</v>
      </c>
      <c r="N108" s="258">
        <f>I108</f>
        <v>768962.15760486678</v>
      </c>
      <c r="O108" s="158">
        <f>IF(N108&lt;&gt;0,+I108-N108,0)</f>
        <v>0</v>
      </c>
      <c r="P108" s="158">
        <f>+O108-M108</f>
        <v>0</v>
      </c>
      <c r="Q108" s="1"/>
    </row>
    <row r="109" spans="1:17">
      <c r="B109" s="9" t="str">
        <f t="shared" si="22"/>
        <v/>
      </c>
      <c r="C109" s="153">
        <f>IF(D93="","-",+C108+1)</f>
        <v>2016</v>
      </c>
      <c r="D109" s="357">
        <v>4731802.3313160958</v>
      </c>
      <c r="E109" s="360">
        <v>133293.18604651163</v>
      </c>
      <c r="F109" s="361">
        <v>4598509.1452695839</v>
      </c>
      <c r="G109" s="361">
        <v>4665155.7382928394</v>
      </c>
      <c r="H109" s="360">
        <v>725534.65238617209</v>
      </c>
      <c r="I109" s="359">
        <v>725534.65238617209</v>
      </c>
      <c r="J109" s="158">
        <v>0</v>
      </c>
      <c r="K109" s="158"/>
      <c r="L109" s="258">
        <f>H109</f>
        <v>725534.65238617209</v>
      </c>
      <c r="M109" s="257">
        <f>IF(L109&lt;&gt;0,+H109-L109,0)</f>
        <v>0</v>
      </c>
      <c r="N109" s="258">
        <f>I109</f>
        <v>725534.65238617209</v>
      </c>
      <c r="O109" s="158">
        <f>IF(N109&lt;&gt;0,+I109-N109,0)</f>
        <v>0</v>
      </c>
      <c r="P109" s="158">
        <f>+O109-M109</f>
        <v>0</v>
      </c>
      <c r="Q109" s="1"/>
    </row>
    <row r="110" spans="1:17">
      <c r="B110" s="9" t="str">
        <f t="shared" si="22"/>
        <v/>
      </c>
      <c r="C110" s="153">
        <f>IF(D93="","-",+C109+1)</f>
        <v>2017</v>
      </c>
      <c r="D110" s="154">
        <f>IF(F109+SUM(E$99:E109)=D$92,F109,D$92-SUM(E$99:E109))</f>
        <v>4598509.1452695839</v>
      </c>
      <c r="E110" s="160">
        <f>IF(+J96&lt;F109,J96,D110)</f>
        <v>136466.83333333334</v>
      </c>
      <c r="F110" s="159">
        <f t="shared" ref="F110:F130" si="25">+D110-E110</f>
        <v>4462042.3119362509</v>
      </c>
      <c r="G110" s="159">
        <f t="shared" ref="G110:G130" si="26">+(F110+D110)/2</f>
        <v>4530275.7286029179</v>
      </c>
      <c r="H110" s="163">
        <f>+J$94*G110+E110</f>
        <v>686766.02979709371</v>
      </c>
      <c r="I110" s="253">
        <f>+J$95*G110+E110</f>
        <v>686766.02979709371</v>
      </c>
      <c r="J110" s="158">
        <f t="shared" si="18"/>
        <v>0</v>
      </c>
      <c r="K110" s="158"/>
      <c r="L110" s="334"/>
      <c r="M110" s="158">
        <f t="shared" si="19"/>
        <v>0</v>
      </c>
      <c r="N110" s="334"/>
      <c r="O110" s="158">
        <f t="shared" si="20"/>
        <v>0</v>
      </c>
      <c r="P110" s="158">
        <f t="shared" si="21"/>
        <v>0</v>
      </c>
      <c r="Q110" s="1"/>
    </row>
    <row r="111" spans="1:17">
      <c r="B111" s="9" t="str">
        <f t="shared" si="22"/>
        <v/>
      </c>
      <c r="C111" s="153">
        <f>IF(D93="","-",+C110+1)</f>
        <v>2018</v>
      </c>
      <c r="D111" s="154">
        <f>IF(F110+SUM(E$99:E110)=D$92,F110,D$92-SUM(E$99:E110))</f>
        <v>4462042.3119362509</v>
      </c>
      <c r="E111" s="160">
        <f>IF(+J96&lt;F110,J96,D111)</f>
        <v>136466.83333333334</v>
      </c>
      <c r="F111" s="159">
        <f t="shared" si="25"/>
        <v>4325575.4786029179</v>
      </c>
      <c r="G111" s="159">
        <f t="shared" si="26"/>
        <v>4393808.8952695839</v>
      </c>
      <c r="H111" s="163">
        <f>+J$94*G111+E111</f>
        <v>670189.20462657663</v>
      </c>
      <c r="I111" s="253">
        <f>+J$95*G111+E111</f>
        <v>670189.20462657663</v>
      </c>
      <c r="J111" s="158">
        <f t="shared" si="18"/>
        <v>0</v>
      </c>
      <c r="K111" s="158"/>
      <c r="L111" s="334"/>
      <c r="M111" s="158">
        <f t="shared" si="19"/>
        <v>0</v>
      </c>
      <c r="N111" s="334"/>
      <c r="O111" s="158">
        <f t="shared" si="20"/>
        <v>0</v>
      </c>
      <c r="P111" s="158">
        <f t="shared" si="21"/>
        <v>0</v>
      </c>
      <c r="Q111" s="1"/>
    </row>
    <row r="112" spans="1:17">
      <c r="B112" s="9" t="str">
        <f t="shared" si="22"/>
        <v/>
      </c>
      <c r="C112" s="153">
        <f>IF(D93="","-",+C111+1)</f>
        <v>2019</v>
      </c>
      <c r="D112" s="154">
        <f>IF(F111+SUM(E$99:E111)=D$92,F111,D$92-SUM(E$99:E111))</f>
        <v>4325575.4786029179</v>
      </c>
      <c r="E112" s="160">
        <f>IF(+J96&lt;F111,J96,D112)</f>
        <v>136466.83333333334</v>
      </c>
      <c r="F112" s="159">
        <f t="shared" si="25"/>
        <v>4189108.6452695844</v>
      </c>
      <c r="G112" s="159">
        <f t="shared" si="26"/>
        <v>4257342.0619362509</v>
      </c>
      <c r="H112" s="163">
        <f>+J$94*G112+E112</f>
        <v>653612.37945605954</v>
      </c>
      <c r="I112" s="253">
        <f>+J$95*G112+E112</f>
        <v>653612.37945605954</v>
      </c>
      <c r="J112" s="158">
        <f t="shared" si="18"/>
        <v>0</v>
      </c>
      <c r="K112" s="158"/>
      <c r="L112" s="334"/>
      <c r="M112" s="158">
        <f t="shared" si="19"/>
        <v>0</v>
      </c>
      <c r="N112" s="334"/>
      <c r="O112" s="158">
        <f t="shared" si="20"/>
        <v>0</v>
      </c>
      <c r="P112" s="158">
        <f t="shared" si="21"/>
        <v>0</v>
      </c>
      <c r="Q112" s="1"/>
    </row>
    <row r="113" spans="2:17">
      <c r="B113" s="9" t="str">
        <f t="shared" si="22"/>
        <v/>
      </c>
      <c r="C113" s="153">
        <f>IF(D93="","-",+C112+1)</f>
        <v>2020</v>
      </c>
      <c r="D113" s="154">
        <f>IF(F112+SUM(E$99:E112)=D$92,F112,D$92-SUM(E$99:E112))</f>
        <v>4189108.6452695844</v>
      </c>
      <c r="E113" s="160">
        <f>IF(+J96&lt;F112,J96,D113)</f>
        <v>136466.83333333334</v>
      </c>
      <c r="F113" s="159">
        <f t="shared" si="25"/>
        <v>4052641.8119362509</v>
      </c>
      <c r="G113" s="159">
        <f t="shared" si="26"/>
        <v>4120875.2286029179</v>
      </c>
      <c r="H113" s="163">
        <f t="shared" ref="H113:H154" si="27">+J$94*G113+E113</f>
        <v>637035.55428554257</v>
      </c>
      <c r="I113" s="253">
        <f t="shared" ref="I113:I154" si="28">+J$95*G113+E113</f>
        <v>637035.55428554257</v>
      </c>
      <c r="J113" s="158">
        <f t="shared" si="18"/>
        <v>0</v>
      </c>
      <c r="K113" s="158"/>
      <c r="L113" s="334"/>
      <c r="M113" s="158">
        <f t="shared" si="19"/>
        <v>0</v>
      </c>
      <c r="N113" s="334"/>
      <c r="O113" s="158">
        <f t="shared" si="20"/>
        <v>0</v>
      </c>
      <c r="P113" s="158">
        <f t="shared" si="21"/>
        <v>0</v>
      </c>
      <c r="Q113" s="1"/>
    </row>
    <row r="114" spans="2:17">
      <c r="B114" s="9" t="str">
        <f t="shared" si="22"/>
        <v/>
      </c>
      <c r="C114" s="153">
        <f>IF(D93="","-",+C113+1)</f>
        <v>2021</v>
      </c>
      <c r="D114" s="154">
        <f>IF(F113+SUM(E$99:E113)=D$92,F113,D$92-SUM(E$99:E113))</f>
        <v>4052641.8119362509</v>
      </c>
      <c r="E114" s="160">
        <f>IF(+J96&lt;F113,J96,D114)</f>
        <v>136466.83333333334</v>
      </c>
      <c r="F114" s="159">
        <f t="shared" si="25"/>
        <v>3916174.9786029174</v>
      </c>
      <c r="G114" s="159">
        <f t="shared" si="26"/>
        <v>3984408.3952695839</v>
      </c>
      <c r="H114" s="163">
        <f t="shared" si="27"/>
        <v>620458.72911502549</v>
      </c>
      <c r="I114" s="253">
        <f t="shared" si="28"/>
        <v>620458.72911502549</v>
      </c>
      <c r="J114" s="158">
        <f t="shared" si="18"/>
        <v>0</v>
      </c>
      <c r="K114" s="158"/>
      <c r="L114" s="334"/>
      <c r="M114" s="158">
        <f t="shared" si="19"/>
        <v>0</v>
      </c>
      <c r="N114" s="334"/>
      <c r="O114" s="158">
        <f t="shared" si="20"/>
        <v>0</v>
      </c>
      <c r="P114" s="158">
        <f t="shared" si="21"/>
        <v>0</v>
      </c>
      <c r="Q114" s="1"/>
    </row>
    <row r="115" spans="2:17">
      <c r="B115" s="9" t="str">
        <f t="shared" si="22"/>
        <v/>
      </c>
      <c r="C115" s="153">
        <f>IF(D93="","-",+C114+1)</f>
        <v>2022</v>
      </c>
      <c r="D115" s="154">
        <f>IF(F114+SUM(E$99:E114)=D$92,F114,D$92-SUM(E$99:E114))</f>
        <v>3916174.9786029174</v>
      </c>
      <c r="E115" s="160">
        <f>IF(+J96&lt;F114,J96,D115)</f>
        <v>136466.83333333334</v>
      </c>
      <c r="F115" s="159">
        <f t="shared" si="25"/>
        <v>3779708.1452695839</v>
      </c>
      <c r="G115" s="159">
        <f t="shared" si="26"/>
        <v>3847941.5619362509</v>
      </c>
      <c r="H115" s="163">
        <f t="shared" si="27"/>
        <v>603881.90394450841</v>
      </c>
      <c r="I115" s="253">
        <f t="shared" si="28"/>
        <v>603881.90394450841</v>
      </c>
      <c r="J115" s="158">
        <f t="shared" si="18"/>
        <v>0</v>
      </c>
      <c r="K115" s="158"/>
      <c r="L115" s="334"/>
      <c r="M115" s="158">
        <f t="shared" si="19"/>
        <v>0</v>
      </c>
      <c r="N115" s="334"/>
      <c r="O115" s="158">
        <f t="shared" si="20"/>
        <v>0</v>
      </c>
      <c r="P115" s="158">
        <f t="shared" si="21"/>
        <v>0</v>
      </c>
      <c r="Q115" s="1"/>
    </row>
    <row r="116" spans="2:17">
      <c r="B116" s="9" t="str">
        <f t="shared" si="22"/>
        <v/>
      </c>
      <c r="C116" s="153">
        <f>IF(D93="","-",+C115+1)</f>
        <v>2023</v>
      </c>
      <c r="D116" s="154">
        <f>IF(F115+SUM(E$99:E115)=D$92,F115,D$92-SUM(E$99:E115))</f>
        <v>3779708.1452695839</v>
      </c>
      <c r="E116" s="160">
        <f>IF(+J96&lt;F115,J96,D116)</f>
        <v>136466.83333333334</v>
      </c>
      <c r="F116" s="159">
        <f t="shared" si="25"/>
        <v>3643241.3119362504</v>
      </c>
      <c r="G116" s="159">
        <f t="shared" si="26"/>
        <v>3711474.7286029169</v>
      </c>
      <c r="H116" s="163">
        <f t="shared" si="27"/>
        <v>587305.07877399132</v>
      </c>
      <c r="I116" s="253">
        <f t="shared" si="28"/>
        <v>587305.07877399132</v>
      </c>
      <c r="J116" s="158">
        <f t="shared" si="18"/>
        <v>0</v>
      </c>
      <c r="K116" s="158"/>
      <c r="L116" s="334"/>
      <c r="M116" s="158">
        <f t="shared" si="19"/>
        <v>0</v>
      </c>
      <c r="N116" s="334"/>
      <c r="O116" s="158">
        <f t="shared" si="20"/>
        <v>0</v>
      </c>
      <c r="P116" s="158">
        <f t="shared" si="21"/>
        <v>0</v>
      </c>
      <c r="Q116" s="1"/>
    </row>
    <row r="117" spans="2:17">
      <c r="B117" s="9" t="str">
        <f t="shared" si="22"/>
        <v/>
      </c>
      <c r="C117" s="153">
        <f>IF(D93="","-",+C116+1)</f>
        <v>2024</v>
      </c>
      <c r="D117" s="154">
        <f>IF(F116+SUM(E$99:E116)=D$92,F116,D$92-SUM(E$99:E116))</f>
        <v>3643241.3119362504</v>
      </c>
      <c r="E117" s="160">
        <f>IF(+J96&lt;F116,J96,D117)</f>
        <v>136466.83333333334</v>
      </c>
      <c r="F117" s="159">
        <f t="shared" si="25"/>
        <v>3506774.4786029169</v>
      </c>
      <c r="G117" s="159">
        <f t="shared" si="26"/>
        <v>3575007.8952695839</v>
      </c>
      <c r="H117" s="163">
        <f t="shared" si="27"/>
        <v>570728.25360347435</v>
      </c>
      <c r="I117" s="253">
        <f t="shared" si="28"/>
        <v>570728.25360347435</v>
      </c>
      <c r="J117" s="158">
        <f t="shared" si="18"/>
        <v>0</v>
      </c>
      <c r="K117" s="158"/>
      <c r="L117" s="334"/>
      <c r="M117" s="158">
        <f t="shared" si="19"/>
        <v>0</v>
      </c>
      <c r="N117" s="334"/>
      <c r="O117" s="158">
        <f t="shared" si="20"/>
        <v>0</v>
      </c>
      <c r="P117" s="158">
        <f t="shared" si="21"/>
        <v>0</v>
      </c>
      <c r="Q117" s="1"/>
    </row>
    <row r="118" spans="2:17">
      <c r="B118" s="9" t="str">
        <f t="shared" si="22"/>
        <v/>
      </c>
      <c r="C118" s="153">
        <f>IF(D93="","-",+C117+1)</f>
        <v>2025</v>
      </c>
      <c r="D118" s="154">
        <f>IF(F117+SUM(E$99:E117)=D$92,F117,D$92-SUM(E$99:E117))</f>
        <v>3506774.4786029169</v>
      </c>
      <c r="E118" s="160">
        <f>IF(+J96&lt;F117,J96,D118)</f>
        <v>136466.83333333334</v>
      </c>
      <c r="F118" s="159">
        <f t="shared" si="25"/>
        <v>3370307.6452695834</v>
      </c>
      <c r="G118" s="159">
        <f t="shared" si="26"/>
        <v>3438541.06193625</v>
      </c>
      <c r="H118" s="163">
        <f t="shared" si="27"/>
        <v>554151.42843295727</v>
      </c>
      <c r="I118" s="253">
        <f t="shared" si="28"/>
        <v>554151.42843295727</v>
      </c>
      <c r="J118" s="158">
        <f t="shared" si="18"/>
        <v>0</v>
      </c>
      <c r="K118" s="158"/>
      <c r="L118" s="334"/>
      <c r="M118" s="158">
        <f t="shared" si="19"/>
        <v>0</v>
      </c>
      <c r="N118" s="334"/>
      <c r="O118" s="158">
        <f t="shared" si="20"/>
        <v>0</v>
      </c>
      <c r="P118" s="158">
        <f t="shared" si="21"/>
        <v>0</v>
      </c>
      <c r="Q118" s="1"/>
    </row>
    <row r="119" spans="2:17">
      <c r="B119" s="9" t="str">
        <f t="shared" si="22"/>
        <v/>
      </c>
      <c r="C119" s="153">
        <f>IF(D93="","-",+C118+1)</f>
        <v>2026</v>
      </c>
      <c r="D119" s="154">
        <f>IF(F118+SUM(E$99:E118)=D$92,F118,D$92-SUM(E$99:E118))</f>
        <v>3370307.6452695834</v>
      </c>
      <c r="E119" s="160">
        <f>IF(+J96&lt;F118,J96,D119)</f>
        <v>136466.83333333334</v>
      </c>
      <c r="F119" s="159">
        <f t="shared" si="25"/>
        <v>3233840.81193625</v>
      </c>
      <c r="G119" s="159">
        <f t="shared" si="26"/>
        <v>3302074.2286029169</v>
      </c>
      <c r="H119" s="163">
        <f t="shared" si="27"/>
        <v>537574.6032624403</v>
      </c>
      <c r="I119" s="253">
        <f t="shared" si="28"/>
        <v>537574.6032624403</v>
      </c>
      <c r="J119" s="158">
        <f t="shared" si="18"/>
        <v>0</v>
      </c>
      <c r="K119" s="158"/>
      <c r="L119" s="334"/>
      <c r="M119" s="158">
        <f t="shared" si="19"/>
        <v>0</v>
      </c>
      <c r="N119" s="334"/>
      <c r="O119" s="158">
        <f t="shared" si="20"/>
        <v>0</v>
      </c>
      <c r="P119" s="158">
        <f t="shared" si="21"/>
        <v>0</v>
      </c>
      <c r="Q119" s="1"/>
    </row>
    <row r="120" spans="2:17">
      <c r="B120" s="9" t="str">
        <f t="shared" si="22"/>
        <v/>
      </c>
      <c r="C120" s="153">
        <f>IF(D93="","-",+C119+1)</f>
        <v>2027</v>
      </c>
      <c r="D120" s="154">
        <f>IF(F119+SUM(E$99:E119)=D$92,F119,D$92-SUM(E$99:E119))</f>
        <v>3233840.81193625</v>
      </c>
      <c r="E120" s="160">
        <f>IF(+J96&lt;F119,J96,D120)</f>
        <v>136466.83333333334</v>
      </c>
      <c r="F120" s="159">
        <f t="shared" si="25"/>
        <v>3097373.9786029165</v>
      </c>
      <c r="G120" s="159">
        <f t="shared" si="26"/>
        <v>3165607.395269583</v>
      </c>
      <c r="H120" s="163">
        <f t="shared" si="27"/>
        <v>520997.7780919231</v>
      </c>
      <c r="I120" s="253">
        <f t="shared" si="28"/>
        <v>520997.7780919231</v>
      </c>
      <c r="J120" s="158">
        <f t="shared" si="18"/>
        <v>0</v>
      </c>
      <c r="K120" s="158"/>
      <c r="L120" s="334"/>
      <c r="M120" s="158">
        <f t="shared" si="19"/>
        <v>0</v>
      </c>
      <c r="N120" s="334"/>
      <c r="O120" s="158">
        <f t="shared" si="20"/>
        <v>0</v>
      </c>
      <c r="P120" s="158">
        <f t="shared" si="21"/>
        <v>0</v>
      </c>
      <c r="Q120" s="1"/>
    </row>
    <row r="121" spans="2:17">
      <c r="B121" s="9" t="str">
        <f t="shared" si="22"/>
        <v/>
      </c>
      <c r="C121" s="153">
        <f>IF(D93="","-",+C120+1)</f>
        <v>2028</v>
      </c>
      <c r="D121" s="154">
        <f>IF(F120+SUM(E$99:E120)=D$92,F120,D$92-SUM(E$99:E120))</f>
        <v>3097373.9786029165</v>
      </c>
      <c r="E121" s="160">
        <f>IF(+J96&lt;F120,J96,D121)</f>
        <v>136466.83333333334</v>
      </c>
      <c r="F121" s="159">
        <f t="shared" si="25"/>
        <v>2960907.145269583</v>
      </c>
      <c r="G121" s="159">
        <f t="shared" si="26"/>
        <v>3029140.56193625</v>
      </c>
      <c r="H121" s="163">
        <f t="shared" si="27"/>
        <v>504420.95292140613</v>
      </c>
      <c r="I121" s="253">
        <f t="shared" si="28"/>
        <v>504420.95292140613</v>
      </c>
      <c r="J121" s="158">
        <f t="shared" si="18"/>
        <v>0</v>
      </c>
      <c r="K121" s="158"/>
      <c r="L121" s="334"/>
      <c r="M121" s="158">
        <f t="shared" si="19"/>
        <v>0</v>
      </c>
      <c r="N121" s="334"/>
      <c r="O121" s="158">
        <f t="shared" si="20"/>
        <v>0</v>
      </c>
      <c r="P121" s="158">
        <f t="shared" si="21"/>
        <v>0</v>
      </c>
      <c r="Q121" s="1"/>
    </row>
    <row r="122" spans="2:17">
      <c r="B122" s="9" t="str">
        <f t="shared" si="22"/>
        <v/>
      </c>
      <c r="C122" s="153">
        <f>IF(D93="","-",+C121+1)</f>
        <v>2029</v>
      </c>
      <c r="D122" s="154">
        <f>IF(F121+SUM(E$99:E121)=D$92,F121,D$92-SUM(E$99:E121))</f>
        <v>2960907.145269583</v>
      </c>
      <c r="E122" s="160">
        <f>IF(+J96&lt;F121,J96,D122)</f>
        <v>136466.83333333334</v>
      </c>
      <c r="F122" s="159">
        <f t="shared" si="25"/>
        <v>2824440.3119362495</v>
      </c>
      <c r="G122" s="159">
        <f t="shared" si="26"/>
        <v>2892673.728602916</v>
      </c>
      <c r="H122" s="163">
        <f t="shared" si="27"/>
        <v>487844.12775088905</v>
      </c>
      <c r="I122" s="253">
        <f t="shared" si="28"/>
        <v>487844.12775088905</v>
      </c>
      <c r="J122" s="158">
        <f t="shared" si="18"/>
        <v>0</v>
      </c>
      <c r="K122" s="158"/>
      <c r="L122" s="334"/>
      <c r="M122" s="158">
        <f t="shared" si="19"/>
        <v>0</v>
      </c>
      <c r="N122" s="334"/>
      <c r="O122" s="158">
        <f t="shared" si="20"/>
        <v>0</v>
      </c>
      <c r="P122" s="158">
        <f t="shared" si="21"/>
        <v>0</v>
      </c>
      <c r="Q122" s="1"/>
    </row>
    <row r="123" spans="2:17">
      <c r="B123" s="9" t="str">
        <f t="shared" si="22"/>
        <v/>
      </c>
      <c r="C123" s="153">
        <f>IF(D93="","-",+C122+1)</f>
        <v>2030</v>
      </c>
      <c r="D123" s="154">
        <f>IF(F122+SUM(E$99:E122)=D$92,F122,D$92-SUM(E$99:E122))</f>
        <v>2824440.3119362495</v>
      </c>
      <c r="E123" s="160">
        <f>IF(+J96&lt;F122,J96,D123)</f>
        <v>136466.83333333334</v>
      </c>
      <c r="F123" s="159">
        <f t="shared" si="25"/>
        <v>2687973.478602916</v>
      </c>
      <c r="G123" s="159">
        <f t="shared" si="26"/>
        <v>2756206.895269583</v>
      </c>
      <c r="H123" s="163">
        <f t="shared" si="27"/>
        <v>471267.30258037208</v>
      </c>
      <c r="I123" s="253">
        <f t="shared" si="28"/>
        <v>471267.30258037208</v>
      </c>
      <c r="J123" s="158">
        <f t="shared" si="18"/>
        <v>0</v>
      </c>
      <c r="K123" s="158"/>
      <c r="L123" s="334"/>
      <c r="M123" s="158">
        <f t="shared" si="19"/>
        <v>0</v>
      </c>
      <c r="N123" s="334"/>
      <c r="O123" s="158">
        <f t="shared" si="20"/>
        <v>0</v>
      </c>
      <c r="P123" s="158">
        <f t="shared" si="21"/>
        <v>0</v>
      </c>
      <c r="Q123" s="1"/>
    </row>
    <row r="124" spans="2:17">
      <c r="B124" s="9" t="str">
        <f t="shared" si="22"/>
        <v/>
      </c>
      <c r="C124" s="153">
        <f>IF(D93="","-",+C123+1)</f>
        <v>2031</v>
      </c>
      <c r="D124" s="154">
        <f>IF(F123+SUM(E$99:E123)=D$92,F123,D$92-SUM(E$99:E123))</f>
        <v>2687973.478602916</v>
      </c>
      <c r="E124" s="160">
        <f>IF(+J96&lt;F123,J96,D124)</f>
        <v>136466.83333333334</v>
      </c>
      <c r="F124" s="159">
        <f t="shared" si="25"/>
        <v>2551506.6452695825</v>
      </c>
      <c r="G124" s="159">
        <f t="shared" si="26"/>
        <v>2619740.061936249</v>
      </c>
      <c r="H124" s="163">
        <f t="shared" si="27"/>
        <v>454690.477409855</v>
      </c>
      <c r="I124" s="253">
        <f t="shared" si="28"/>
        <v>454690.477409855</v>
      </c>
      <c r="J124" s="158">
        <f t="shared" si="18"/>
        <v>0</v>
      </c>
      <c r="K124" s="158"/>
      <c r="L124" s="334"/>
      <c r="M124" s="158">
        <f t="shared" si="19"/>
        <v>0</v>
      </c>
      <c r="N124" s="334"/>
      <c r="O124" s="158">
        <f t="shared" si="20"/>
        <v>0</v>
      </c>
      <c r="P124" s="158">
        <f t="shared" si="21"/>
        <v>0</v>
      </c>
      <c r="Q124" s="1"/>
    </row>
    <row r="125" spans="2:17">
      <c r="B125" s="9" t="str">
        <f t="shared" si="22"/>
        <v/>
      </c>
      <c r="C125" s="153">
        <f>IF(D93="","-",+C124+1)</f>
        <v>2032</v>
      </c>
      <c r="D125" s="154">
        <f>IF(F124+SUM(E$99:E124)=D$92,F124,D$92-SUM(E$99:E124))</f>
        <v>2551506.6452695825</v>
      </c>
      <c r="E125" s="160">
        <f>IF(+J96&lt;F124,J96,D125)</f>
        <v>136466.83333333334</v>
      </c>
      <c r="F125" s="159">
        <f t="shared" si="25"/>
        <v>2415039.811936249</v>
      </c>
      <c r="G125" s="159">
        <f t="shared" si="26"/>
        <v>2483273.228602916</v>
      </c>
      <c r="H125" s="163">
        <f t="shared" si="27"/>
        <v>438113.65223933791</v>
      </c>
      <c r="I125" s="253">
        <f t="shared" si="28"/>
        <v>438113.65223933791</v>
      </c>
      <c r="J125" s="158">
        <f t="shared" si="18"/>
        <v>0</v>
      </c>
      <c r="K125" s="158"/>
      <c r="L125" s="334"/>
      <c r="M125" s="158">
        <f t="shared" si="19"/>
        <v>0</v>
      </c>
      <c r="N125" s="334"/>
      <c r="O125" s="158">
        <f t="shared" si="20"/>
        <v>0</v>
      </c>
      <c r="P125" s="158">
        <f t="shared" si="21"/>
        <v>0</v>
      </c>
      <c r="Q125" s="1"/>
    </row>
    <row r="126" spans="2:17">
      <c r="B126" s="9" t="str">
        <f t="shared" si="22"/>
        <v/>
      </c>
      <c r="C126" s="153">
        <f>IF(D93="","-",+C125+1)</f>
        <v>2033</v>
      </c>
      <c r="D126" s="154">
        <f>IF(F125+SUM(E$99:E125)=D$92,F125,D$92-SUM(E$99:E125))</f>
        <v>2415039.811936249</v>
      </c>
      <c r="E126" s="160">
        <f>IF(+J96&lt;F125,J96,D126)</f>
        <v>136466.83333333334</v>
      </c>
      <c r="F126" s="159">
        <f t="shared" si="25"/>
        <v>2278572.9786029155</v>
      </c>
      <c r="G126" s="159">
        <f t="shared" si="26"/>
        <v>2346806.395269582</v>
      </c>
      <c r="H126" s="163">
        <f t="shared" si="27"/>
        <v>421536.82706882083</v>
      </c>
      <c r="I126" s="253">
        <f t="shared" si="28"/>
        <v>421536.82706882083</v>
      </c>
      <c r="J126" s="158">
        <f t="shared" si="18"/>
        <v>0</v>
      </c>
      <c r="K126" s="158"/>
      <c r="L126" s="334"/>
      <c r="M126" s="158">
        <f t="shared" si="19"/>
        <v>0</v>
      </c>
      <c r="N126" s="334"/>
      <c r="O126" s="158">
        <f t="shared" si="20"/>
        <v>0</v>
      </c>
      <c r="P126" s="158">
        <f t="shared" si="21"/>
        <v>0</v>
      </c>
      <c r="Q126" s="1"/>
    </row>
    <row r="127" spans="2:17">
      <c r="B127" s="9" t="str">
        <f t="shared" si="22"/>
        <v/>
      </c>
      <c r="C127" s="153">
        <f>IF(D93="","-",+C126+1)</f>
        <v>2034</v>
      </c>
      <c r="D127" s="154">
        <f>IF(F126+SUM(E$99:E126)=D$92,F126,D$92-SUM(E$99:E126))</f>
        <v>2278572.9786029155</v>
      </c>
      <c r="E127" s="160">
        <f>IF(+J96&lt;F126,J96,D127)</f>
        <v>136466.83333333334</v>
      </c>
      <c r="F127" s="159">
        <f t="shared" si="25"/>
        <v>2142106.145269582</v>
      </c>
      <c r="G127" s="159">
        <f t="shared" si="26"/>
        <v>2210339.561936249</v>
      </c>
      <c r="H127" s="163">
        <f t="shared" si="27"/>
        <v>404960.00189830386</v>
      </c>
      <c r="I127" s="253">
        <f t="shared" si="28"/>
        <v>404960.00189830386</v>
      </c>
      <c r="J127" s="158">
        <f t="shared" si="18"/>
        <v>0</v>
      </c>
      <c r="K127" s="158"/>
      <c r="L127" s="334"/>
      <c r="M127" s="158">
        <f t="shared" si="19"/>
        <v>0</v>
      </c>
      <c r="N127" s="334"/>
      <c r="O127" s="158">
        <f t="shared" si="20"/>
        <v>0</v>
      </c>
      <c r="P127" s="158">
        <f t="shared" si="21"/>
        <v>0</v>
      </c>
      <c r="Q127" s="1"/>
    </row>
    <row r="128" spans="2:17">
      <c r="B128" s="9" t="str">
        <f t="shared" si="22"/>
        <v/>
      </c>
      <c r="C128" s="153">
        <f>IF(D93="","-",+C127+1)</f>
        <v>2035</v>
      </c>
      <c r="D128" s="154">
        <f>IF(F127+SUM(E$99:E127)=D$92,F127,D$92-SUM(E$99:E127))</f>
        <v>2142106.145269582</v>
      </c>
      <c r="E128" s="160">
        <f>IF(+J96&lt;F127,J96,D128)</f>
        <v>136466.83333333334</v>
      </c>
      <c r="F128" s="159">
        <f t="shared" si="25"/>
        <v>2005639.3119362488</v>
      </c>
      <c r="G128" s="159">
        <f t="shared" si="26"/>
        <v>2073872.7286029155</v>
      </c>
      <c r="H128" s="163">
        <f t="shared" si="27"/>
        <v>388383.17672778678</v>
      </c>
      <c r="I128" s="253">
        <f t="shared" si="28"/>
        <v>388383.17672778678</v>
      </c>
      <c r="J128" s="158">
        <f t="shared" si="18"/>
        <v>0</v>
      </c>
      <c r="K128" s="158"/>
      <c r="L128" s="334"/>
      <c r="M128" s="158">
        <f t="shared" si="19"/>
        <v>0</v>
      </c>
      <c r="N128" s="334"/>
      <c r="O128" s="158">
        <f t="shared" si="20"/>
        <v>0</v>
      </c>
      <c r="P128" s="158">
        <f t="shared" si="21"/>
        <v>0</v>
      </c>
      <c r="Q128" s="1"/>
    </row>
    <row r="129" spans="2:17">
      <c r="B129" s="9" t="str">
        <f t="shared" si="22"/>
        <v/>
      </c>
      <c r="C129" s="153">
        <f>IF(D93="","-",+C128+1)</f>
        <v>2036</v>
      </c>
      <c r="D129" s="154">
        <f>IF(F128+SUM(E$99:E128)=D$92,F128,D$92-SUM(E$99:E128))</f>
        <v>2005639.3119362488</v>
      </c>
      <c r="E129" s="160">
        <f>IF(+J96&lt;F128,J96,D129)</f>
        <v>136466.83333333334</v>
      </c>
      <c r="F129" s="159">
        <f t="shared" si="25"/>
        <v>1869172.4786029155</v>
      </c>
      <c r="G129" s="159">
        <f t="shared" si="26"/>
        <v>1937405.895269582</v>
      </c>
      <c r="H129" s="163">
        <f t="shared" si="27"/>
        <v>371806.35155726975</v>
      </c>
      <c r="I129" s="253">
        <f t="shared" si="28"/>
        <v>371806.35155726975</v>
      </c>
      <c r="J129" s="158">
        <f t="shared" si="18"/>
        <v>0</v>
      </c>
      <c r="K129" s="158"/>
      <c r="L129" s="334"/>
      <c r="M129" s="158">
        <f t="shared" si="19"/>
        <v>0</v>
      </c>
      <c r="N129" s="334"/>
      <c r="O129" s="158">
        <f t="shared" si="20"/>
        <v>0</v>
      </c>
      <c r="P129" s="158">
        <f t="shared" si="21"/>
        <v>0</v>
      </c>
      <c r="Q129" s="1"/>
    </row>
    <row r="130" spans="2:17">
      <c r="B130" s="9" t="str">
        <f t="shared" si="22"/>
        <v/>
      </c>
      <c r="C130" s="153">
        <f>IF(D93="","-",+C129+1)</f>
        <v>2037</v>
      </c>
      <c r="D130" s="154">
        <f>IF(F129+SUM(E$99:E129)=D$92,F129,D$92-SUM(E$99:E129))</f>
        <v>1869172.4786029155</v>
      </c>
      <c r="E130" s="160">
        <f>IF(+J96&lt;F129,J96,D130)</f>
        <v>136466.83333333334</v>
      </c>
      <c r="F130" s="159">
        <f t="shared" si="25"/>
        <v>1732705.6452695823</v>
      </c>
      <c r="G130" s="159">
        <f t="shared" si="26"/>
        <v>1800939.061936249</v>
      </c>
      <c r="H130" s="163">
        <f t="shared" si="27"/>
        <v>355229.52638675272</v>
      </c>
      <c r="I130" s="253">
        <f t="shared" si="28"/>
        <v>355229.52638675272</v>
      </c>
      <c r="J130" s="158">
        <f t="shared" si="18"/>
        <v>0</v>
      </c>
      <c r="K130" s="158"/>
      <c r="L130" s="334"/>
      <c r="M130" s="158">
        <f t="shared" si="19"/>
        <v>0</v>
      </c>
      <c r="N130" s="334"/>
      <c r="O130" s="158">
        <f t="shared" si="20"/>
        <v>0</v>
      </c>
      <c r="P130" s="158">
        <f t="shared" si="21"/>
        <v>0</v>
      </c>
      <c r="Q130" s="1"/>
    </row>
    <row r="131" spans="2:17">
      <c r="B131" s="9" t="str">
        <f t="shared" si="22"/>
        <v/>
      </c>
      <c r="C131" s="153">
        <f>IF(D93="","-",+C130+1)</f>
        <v>2038</v>
      </c>
      <c r="D131" s="154">
        <f>IF(F130+SUM(E$99:E130)=D$92,F130,D$92-SUM(E$99:E130))</f>
        <v>1732705.6452695823</v>
      </c>
      <c r="E131" s="160">
        <f>IF(+J96&lt;F130,J96,D131)</f>
        <v>136466.83333333334</v>
      </c>
      <c r="F131" s="159">
        <f t="shared" ref="F131:F154" si="29">+D131-E131</f>
        <v>1596238.811936249</v>
      </c>
      <c r="G131" s="159">
        <f t="shared" ref="G131:G154" si="30">+(F131+D131)/2</f>
        <v>1664472.2286029155</v>
      </c>
      <c r="H131" s="163">
        <f t="shared" si="27"/>
        <v>338652.7012162357</v>
      </c>
      <c r="I131" s="253">
        <f t="shared" si="28"/>
        <v>338652.7012162357</v>
      </c>
      <c r="J131" s="158">
        <f t="shared" ref="J131:J154" si="31">+I131-H131</f>
        <v>0</v>
      </c>
      <c r="K131" s="158"/>
      <c r="L131" s="334"/>
      <c r="M131" s="158">
        <f t="shared" ref="M131:M154" si="32">IF(L131&lt;&gt;0,+H131-L131,0)</f>
        <v>0</v>
      </c>
      <c r="N131" s="334"/>
      <c r="O131" s="158">
        <f t="shared" ref="O131:O154" si="33">IF(N131&lt;&gt;0,+I131-N131,0)</f>
        <v>0</v>
      </c>
      <c r="P131" s="158">
        <f t="shared" ref="P131:P154" si="34">+O131-M131</f>
        <v>0</v>
      </c>
      <c r="Q131" s="1"/>
    </row>
    <row r="132" spans="2:17">
      <c r="B132" s="9" t="str">
        <f t="shared" si="22"/>
        <v/>
      </c>
      <c r="C132" s="153">
        <f>IF(D93="","-",+C131+1)</f>
        <v>2039</v>
      </c>
      <c r="D132" s="154">
        <f>IF(F131+SUM(E$99:E131)=D$92,F131,D$92-SUM(E$99:E131))</f>
        <v>1596238.811936249</v>
      </c>
      <c r="E132" s="160">
        <f>IF(+J96&lt;F131,J96,D132)</f>
        <v>136466.83333333334</v>
      </c>
      <c r="F132" s="159">
        <f t="shared" si="29"/>
        <v>1459771.9786029158</v>
      </c>
      <c r="G132" s="159">
        <f t="shared" si="30"/>
        <v>1528005.3952695825</v>
      </c>
      <c r="H132" s="163">
        <f t="shared" si="27"/>
        <v>322075.87604571867</v>
      </c>
      <c r="I132" s="253">
        <f t="shared" si="28"/>
        <v>322075.87604571867</v>
      </c>
      <c r="J132" s="158">
        <f t="shared" si="31"/>
        <v>0</v>
      </c>
      <c r="K132" s="158"/>
      <c r="L132" s="334"/>
      <c r="M132" s="158">
        <f t="shared" si="32"/>
        <v>0</v>
      </c>
      <c r="N132" s="334"/>
      <c r="O132" s="158">
        <f t="shared" si="33"/>
        <v>0</v>
      </c>
      <c r="P132" s="158">
        <f t="shared" si="34"/>
        <v>0</v>
      </c>
      <c r="Q132" s="1"/>
    </row>
    <row r="133" spans="2:17">
      <c r="B133" s="9" t="str">
        <f t="shared" si="22"/>
        <v/>
      </c>
      <c r="C133" s="153">
        <f>IF(D93="","-",+C132+1)</f>
        <v>2040</v>
      </c>
      <c r="D133" s="154">
        <f>IF(F132+SUM(E$99:E132)=D$92,F132,D$92-SUM(E$99:E132))</f>
        <v>1459771.9786029158</v>
      </c>
      <c r="E133" s="160">
        <f>IF(+J96&lt;F132,J96,D133)</f>
        <v>136466.83333333334</v>
      </c>
      <c r="F133" s="159">
        <f t="shared" si="29"/>
        <v>1323305.1452695825</v>
      </c>
      <c r="G133" s="159">
        <f t="shared" si="30"/>
        <v>1391538.561936249</v>
      </c>
      <c r="H133" s="163">
        <f t="shared" si="27"/>
        <v>305499.05087520165</v>
      </c>
      <c r="I133" s="253">
        <f t="shared" si="28"/>
        <v>305499.05087520165</v>
      </c>
      <c r="J133" s="158">
        <f t="shared" si="31"/>
        <v>0</v>
      </c>
      <c r="K133" s="158"/>
      <c r="L133" s="334"/>
      <c r="M133" s="158">
        <f t="shared" si="32"/>
        <v>0</v>
      </c>
      <c r="N133" s="334"/>
      <c r="O133" s="158">
        <f t="shared" si="33"/>
        <v>0</v>
      </c>
      <c r="P133" s="158">
        <f t="shared" si="34"/>
        <v>0</v>
      </c>
      <c r="Q133" s="1"/>
    </row>
    <row r="134" spans="2:17">
      <c r="B134" s="9" t="str">
        <f t="shared" si="22"/>
        <v/>
      </c>
      <c r="C134" s="153">
        <f>IF(D93="","-",+C133+1)</f>
        <v>2041</v>
      </c>
      <c r="D134" s="154">
        <f>IF(F133+SUM(E$99:E133)=D$92,F133,D$92-SUM(E$99:E133))</f>
        <v>1323305.1452695825</v>
      </c>
      <c r="E134" s="160">
        <f>IF(+J96&lt;F133,J96,D134)</f>
        <v>136466.83333333334</v>
      </c>
      <c r="F134" s="159">
        <f t="shared" si="29"/>
        <v>1186838.3119362493</v>
      </c>
      <c r="G134" s="159">
        <f t="shared" si="30"/>
        <v>1255071.728602916</v>
      </c>
      <c r="H134" s="163">
        <f t="shared" si="27"/>
        <v>288922.22570468468</v>
      </c>
      <c r="I134" s="253">
        <f t="shared" si="28"/>
        <v>288922.22570468468</v>
      </c>
      <c r="J134" s="158">
        <f t="shared" si="31"/>
        <v>0</v>
      </c>
      <c r="K134" s="158"/>
      <c r="L134" s="334"/>
      <c r="M134" s="158">
        <f t="shared" si="32"/>
        <v>0</v>
      </c>
      <c r="N134" s="334"/>
      <c r="O134" s="158">
        <f t="shared" si="33"/>
        <v>0</v>
      </c>
      <c r="P134" s="158">
        <f t="shared" si="34"/>
        <v>0</v>
      </c>
      <c r="Q134" s="1"/>
    </row>
    <row r="135" spans="2:17">
      <c r="B135" s="9" t="str">
        <f t="shared" si="22"/>
        <v/>
      </c>
      <c r="C135" s="153">
        <f>IF(D93="","-",+C134+1)</f>
        <v>2042</v>
      </c>
      <c r="D135" s="154">
        <f>IF(F134+SUM(E$99:E134)=D$92,F134,D$92-SUM(E$99:E134))</f>
        <v>1186838.3119362493</v>
      </c>
      <c r="E135" s="160">
        <f>IF(+J96&lt;F134,J96,D135)</f>
        <v>136466.83333333334</v>
      </c>
      <c r="F135" s="159">
        <f t="shared" si="29"/>
        <v>1050371.478602916</v>
      </c>
      <c r="G135" s="159">
        <f t="shared" si="30"/>
        <v>1118604.8952695825</v>
      </c>
      <c r="H135" s="163">
        <f t="shared" si="27"/>
        <v>272345.40053416765</v>
      </c>
      <c r="I135" s="253">
        <f t="shared" si="28"/>
        <v>272345.40053416765</v>
      </c>
      <c r="J135" s="158">
        <f t="shared" si="31"/>
        <v>0</v>
      </c>
      <c r="K135" s="158"/>
      <c r="L135" s="334"/>
      <c r="M135" s="158">
        <f t="shared" si="32"/>
        <v>0</v>
      </c>
      <c r="N135" s="334"/>
      <c r="O135" s="158">
        <f t="shared" si="33"/>
        <v>0</v>
      </c>
      <c r="P135" s="158">
        <f t="shared" si="34"/>
        <v>0</v>
      </c>
      <c r="Q135" s="1"/>
    </row>
    <row r="136" spans="2:17">
      <c r="B136" s="9" t="str">
        <f t="shared" si="22"/>
        <v/>
      </c>
      <c r="C136" s="153">
        <f>IF(D93="","-",+C135+1)</f>
        <v>2043</v>
      </c>
      <c r="D136" s="154">
        <f>IF(F135+SUM(E$99:E135)=D$92,F135,D$92-SUM(E$99:E135))</f>
        <v>1050371.478602916</v>
      </c>
      <c r="E136" s="160">
        <f>IF(+J96&lt;F135,J96,D136)</f>
        <v>136466.83333333334</v>
      </c>
      <c r="F136" s="159">
        <f t="shared" si="29"/>
        <v>913904.64526958263</v>
      </c>
      <c r="G136" s="159">
        <f t="shared" si="30"/>
        <v>982138.06193624926</v>
      </c>
      <c r="H136" s="163">
        <f t="shared" si="27"/>
        <v>255768.5753636506</v>
      </c>
      <c r="I136" s="253">
        <f t="shared" si="28"/>
        <v>255768.5753636506</v>
      </c>
      <c r="J136" s="158">
        <f t="shared" si="31"/>
        <v>0</v>
      </c>
      <c r="K136" s="158"/>
      <c r="L136" s="334"/>
      <c r="M136" s="158">
        <f t="shared" si="32"/>
        <v>0</v>
      </c>
      <c r="N136" s="334"/>
      <c r="O136" s="158">
        <f t="shared" si="33"/>
        <v>0</v>
      </c>
      <c r="P136" s="158">
        <f t="shared" si="34"/>
        <v>0</v>
      </c>
      <c r="Q136" s="1"/>
    </row>
    <row r="137" spans="2:17">
      <c r="B137" s="9" t="str">
        <f t="shared" si="22"/>
        <v/>
      </c>
      <c r="C137" s="153">
        <f>IF(D93="","-",+C136+1)</f>
        <v>2044</v>
      </c>
      <c r="D137" s="154">
        <f>IF(F136+SUM(E$99:E136)=D$92,F136,D$92-SUM(E$99:E136))</f>
        <v>913904.64526958263</v>
      </c>
      <c r="E137" s="160">
        <f>IF(+J96&lt;F136,J96,D137)</f>
        <v>136466.83333333334</v>
      </c>
      <c r="F137" s="159">
        <f t="shared" si="29"/>
        <v>777437.81193624926</v>
      </c>
      <c r="G137" s="159">
        <f t="shared" si="30"/>
        <v>845671.228602916</v>
      </c>
      <c r="H137" s="163">
        <f t="shared" si="27"/>
        <v>239191.75019313357</v>
      </c>
      <c r="I137" s="253">
        <f t="shared" si="28"/>
        <v>239191.75019313357</v>
      </c>
      <c r="J137" s="158">
        <f t="shared" si="31"/>
        <v>0</v>
      </c>
      <c r="K137" s="158"/>
      <c r="L137" s="334"/>
      <c r="M137" s="158">
        <f t="shared" si="32"/>
        <v>0</v>
      </c>
      <c r="N137" s="334"/>
      <c r="O137" s="158">
        <f t="shared" si="33"/>
        <v>0</v>
      </c>
      <c r="P137" s="158">
        <f t="shared" si="34"/>
        <v>0</v>
      </c>
      <c r="Q137" s="1"/>
    </row>
    <row r="138" spans="2:17">
      <c r="B138" s="9" t="str">
        <f t="shared" si="22"/>
        <v/>
      </c>
      <c r="C138" s="153">
        <f>IF(D93="","-",+C137+1)</f>
        <v>2045</v>
      </c>
      <c r="D138" s="154">
        <f>IF(F137+SUM(E$99:E137)=D$92,F137,D$92-SUM(E$99:E137))</f>
        <v>777437.81193624926</v>
      </c>
      <c r="E138" s="160">
        <f>IF(+J96&lt;F137,J96,D138)</f>
        <v>136466.83333333334</v>
      </c>
      <c r="F138" s="159">
        <f t="shared" si="29"/>
        <v>640970.97860291589</v>
      </c>
      <c r="G138" s="159">
        <f t="shared" si="30"/>
        <v>709204.39526958251</v>
      </c>
      <c r="H138" s="163">
        <f t="shared" si="27"/>
        <v>222614.92502261652</v>
      </c>
      <c r="I138" s="253">
        <f t="shared" si="28"/>
        <v>222614.92502261652</v>
      </c>
      <c r="J138" s="158">
        <f t="shared" si="31"/>
        <v>0</v>
      </c>
      <c r="K138" s="158"/>
      <c r="L138" s="334"/>
      <c r="M138" s="158">
        <f t="shared" si="32"/>
        <v>0</v>
      </c>
      <c r="N138" s="334"/>
      <c r="O138" s="158">
        <f t="shared" si="33"/>
        <v>0</v>
      </c>
      <c r="P138" s="158">
        <f t="shared" si="34"/>
        <v>0</v>
      </c>
      <c r="Q138" s="1"/>
    </row>
    <row r="139" spans="2:17">
      <c r="B139" s="9" t="str">
        <f t="shared" si="22"/>
        <v/>
      </c>
      <c r="C139" s="153">
        <f>IF(D93="","-",+C138+1)</f>
        <v>2046</v>
      </c>
      <c r="D139" s="154">
        <f>IF(F138+SUM(E$99:E138)=D$92,F138,D$92-SUM(E$99:E138))</f>
        <v>640970.97860291589</v>
      </c>
      <c r="E139" s="160">
        <f>IF(+J96&lt;F138,J96,D139)</f>
        <v>136466.83333333334</v>
      </c>
      <c r="F139" s="159">
        <f t="shared" si="29"/>
        <v>504504.14526958251</v>
      </c>
      <c r="G139" s="159">
        <f t="shared" si="30"/>
        <v>572737.56193624926</v>
      </c>
      <c r="H139" s="163">
        <f t="shared" si="27"/>
        <v>206038.09985209949</v>
      </c>
      <c r="I139" s="253">
        <f t="shared" si="28"/>
        <v>206038.09985209949</v>
      </c>
      <c r="J139" s="158">
        <f t="shared" si="31"/>
        <v>0</v>
      </c>
      <c r="K139" s="158"/>
      <c r="L139" s="334"/>
      <c r="M139" s="158">
        <f t="shared" si="32"/>
        <v>0</v>
      </c>
      <c r="N139" s="334"/>
      <c r="O139" s="158">
        <f t="shared" si="33"/>
        <v>0</v>
      </c>
      <c r="P139" s="158">
        <f t="shared" si="34"/>
        <v>0</v>
      </c>
      <c r="Q139" s="1"/>
    </row>
    <row r="140" spans="2:17">
      <c r="B140" s="9" t="str">
        <f t="shared" si="22"/>
        <v/>
      </c>
      <c r="C140" s="153">
        <f>IF(D93="","-",+C139+1)</f>
        <v>2047</v>
      </c>
      <c r="D140" s="154">
        <f>IF(F139+SUM(E$99:E139)=D$92,F139,D$92-SUM(E$99:E139))</f>
        <v>504504.14526958251</v>
      </c>
      <c r="E140" s="160">
        <f>IF(+J96&lt;F139,J96,D140)</f>
        <v>136466.83333333334</v>
      </c>
      <c r="F140" s="159">
        <f t="shared" si="29"/>
        <v>368037.31193624914</v>
      </c>
      <c r="G140" s="159">
        <f t="shared" si="30"/>
        <v>436270.72860291583</v>
      </c>
      <c r="H140" s="163">
        <f t="shared" si="27"/>
        <v>189461.27468158246</v>
      </c>
      <c r="I140" s="253">
        <f t="shared" si="28"/>
        <v>189461.27468158246</v>
      </c>
      <c r="J140" s="158">
        <f t="shared" si="31"/>
        <v>0</v>
      </c>
      <c r="K140" s="158"/>
      <c r="L140" s="334"/>
      <c r="M140" s="158">
        <f t="shared" si="32"/>
        <v>0</v>
      </c>
      <c r="N140" s="334"/>
      <c r="O140" s="158">
        <f t="shared" si="33"/>
        <v>0</v>
      </c>
      <c r="P140" s="158">
        <f t="shared" si="34"/>
        <v>0</v>
      </c>
      <c r="Q140" s="1"/>
    </row>
    <row r="141" spans="2:17">
      <c r="B141" s="9" t="str">
        <f t="shared" si="22"/>
        <v/>
      </c>
      <c r="C141" s="153">
        <f>IF(D93="","-",+C140+1)</f>
        <v>2048</v>
      </c>
      <c r="D141" s="154">
        <f>IF(F140+SUM(E$99:E140)=D$92,F140,D$92-SUM(E$99:E140))</f>
        <v>368037.31193624914</v>
      </c>
      <c r="E141" s="160">
        <f>IF(+J96&lt;F140,J96,D141)</f>
        <v>136466.83333333334</v>
      </c>
      <c r="F141" s="159">
        <f t="shared" si="29"/>
        <v>231570.4786029158</v>
      </c>
      <c r="G141" s="159">
        <f t="shared" si="30"/>
        <v>299803.89526958246</v>
      </c>
      <c r="H141" s="163">
        <f t="shared" si="27"/>
        <v>172884.44951106541</v>
      </c>
      <c r="I141" s="253">
        <f t="shared" si="28"/>
        <v>172884.44951106541</v>
      </c>
      <c r="J141" s="158">
        <f t="shared" si="31"/>
        <v>0</v>
      </c>
      <c r="K141" s="158"/>
      <c r="L141" s="334"/>
      <c r="M141" s="158">
        <f t="shared" si="32"/>
        <v>0</v>
      </c>
      <c r="N141" s="334"/>
      <c r="O141" s="158">
        <f t="shared" si="33"/>
        <v>0</v>
      </c>
      <c r="P141" s="158">
        <f t="shared" si="34"/>
        <v>0</v>
      </c>
      <c r="Q141" s="1"/>
    </row>
    <row r="142" spans="2:17">
      <c r="B142" s="9" t="str">
        <f t="shared" si="22"/>
        <v/>
      </c>
      <c r="C142" s="153">
        <f>IF(D93="","-",+C141+1)</f>
        <v>2049</v>
      </c>
      <c r="D142" s="154">
        <f>IF(F141+SUM(E$99:E141)=D$92,F141,D$92-SUM(E$99:E141))</f>
        <v>231570.4786029158</v>
      </c>
      <c r="E142" s="160">
        <f>IF(+J96&lt;F141,J96,D142)</f>
        <v>136466.83333333334</v>
      </c>
      <c r="F142" s="159">
        <f t="shared" si="29"/>
        <v>95103.645269582456</v>
      </c>
      <c r="G142" s="159">
        <f t="shared" si="30"/>
        <v>163337.06193624914</v>
      </c>
      <c r="H142" s="163">
        <f t="shared" si="27"/>
        <v>156307.62434054838</v>
      </c>
      <c r="I142" s="253">
        <f t="shared" si="28"/>
        <v>156307.62434054838</v>
      </c>
      <c r="J142" s="158">
        <f t="shared" si="31"/>
        <v>0</v>
      </c>
      <c r="K142" s="158"/>
      <c r="L142" s="334"/>
      <c r="M142" s="158">
        <f t="shared" si="32"/>
        <v>0</v>
      </c>
      <c r="N142" s="334"/>
      <c r="O142" s="158">
        <f t="shared" si="33"/>
        <v>0</v>
      </c>
      <c r="P142" s="158">
        <f t="shared" si="34"/>
        <v>0</v>
      </c>
      <c r="Q142" s="1"/>
    </row>
    <row r="143" spans="2:17">
      <c r="B143" s="9" t="str">
        <f t="shared" si="22"/>
        <v/>
      </c>
      <c r="C143" s="153">
        <f>IF(D93="","-",+C142+1)</f>
        <v>2050</v>
      </c>
      <c r="D143" s="154">
        <f>IF(F142+SUM(E$99:E142)=D$92,F142,D$92-SUM(E$99:E142))</f>
        <v>95103.645269582456</v>
      </c>
      <c r="E143" s="160">
        <f>IF(+J96&lt;F142,J96,D143)</f>
        <v>95103.645269582456</v>
      </c>
      <c r="F143" s="159">
        <f t="shared" si="29"/>
        <v>0</v>
      </c>
      <c r="G143" s="159">
        <f t="shared" si="30"/>
        <v>47551.822634791228</v>
      </c>
      <c r="H143" s="163">
        <f t="shared" si="27"/>
        <v>100879.83448056072</v>
      </c>
      <c r="I143" s="253">
        <f t="shared" si="28"/>
        <v>100879.83448056072</v>
      </c>
      <c r="J143" s="158">
        <f t="shared" si="31"/>
        <v>0</v>
      </c>
      <c r="K143" s="158"/>
      <c r="L143" s="334"/>
      <c r="M143" s="158">
        <f t="shared" si="32"/>
        <v>0</v>
      </c>
      <c r="N143" s="334"/>
      <c r="O143" s="158">
        <f t="shared" si="33"/>
        <v>0</v>
      </c>
      <c r="P143" s="158">
        <f t="shared" si="34"/>
        <v>0</v>
      </c>
      <c r="Q143" s="1"/>
    </row>
    <row r="144" spans="2:17">
      <c r="B144" s="9" t="str">
        <f t="shared" si="22"/>
        <v/>
      </c>
      <c r="C144" s="153">
        <f>IF(D93="","-",+C143+1)</f>
        <v>2051</v>
      </c>
      <c r="D144" s="154">
        <f>IF(F143+SUM(E$99:E143)=D$92,F143,D$92-SUM(E$99:E143))</f>
        <v>0</v>
      </c>
      <c r="E144" s="160">
        <f>IF(+J96&lt;F143,J96,D144)</f>
        <v>0</v>
      </c>
      <c r="F144" s="159">
        <f t="shared" si="29"/>
        <v>0</v>
      </c>
      <c r="G144" s="159">
        <f t="shared" si="30"/>
        <v>0</v>
      </c>
      <c r="H144" s="163">
        <f t="shared" si="27"/>
        <v>0</v>
      </c>
      <c r="I144" s="253">
        <f t="shared" si="28"/>
        <v>0</v>
      </c>
      <c r="J144" s="158">
        <f t="shared" si="31"/>
        <v>0</v>
      </c>
      <c r="K144" s="158"/>
      <c r="L144" s="334"/>
      <c r="M144" s="158">
        <f t="shared" si="32"/>
        <v>0</v>
      </c>
      <c r="N144" s="334"/>
      <c r="O144" s="158">
        <f t="shared" si="33"/>
        <v>0</v>
      </c>
      <c r="P144" s="158">
        <f t="shared" si="34"/>
        <v>0</v>
      </c>
      <c r="Q144" s="1"/>
    </row>
    <row r="145" spans="2:17">
      <c r="B145" s="9" t="str">
        <f t="shared" si="22"/>
        <v/>
      </c>
      <c r="C145" s="153">
        <f>IF(D93="","-",+C144+1)</f>
        <v>2052</v>
      </c>
      <c r="D145" s="154">
        <f>IF(F144+SUM(E$99:E144)=D$92,F144,D$92-SUM(E$99:E144))</f>
        <v>0</v>
      </c>
      <c r="E145" s="160">
        <f>IF(+J96&lt;F144,J96,D145)</f>
        <v>0</v>
      </c>
      <c r="F145" s="159">
        <f t="shared" si="29"/>
        <v>0</v>
      </c>
      <c r="G145" s="159">
        <f t="shared" si="30"/>
        <v>0</v>
      </c>
      <c r="H145" s="163">
        <f t="shared" si="27"/>
        <v>0</v>
      </c>
      <c r="I145" s="253">
        <f t="shared" si="28"/>
        <v>0</v>
      </c>
      <c r="J145" s="158">
        <f t="shared" si="31"/>
        <v>0</v>
      </c>
      <c r="K145" s="158"/>
      <c r="L145" s="334"/>
      <c r="M145" s="158">
        <f t="shared" si="32"/>
        <v>0</v>
      </c>
      <c r="N145" s="334"/>
      <c r="O145" s="158">
        <f t="shared" si="33"/>
        <v>0</v>
      </c>
      <c r="P145" s="158">
        <f t="shared" si="34"/>
        <v>0</v>
      </c>
      <c r="Q145" s="1"/>
    </row>
    <row r="146" spans="2:17">
      <c r="B146" s="9" t="str">
        <f t="shared" si="22"/>
        <v/>
      </c>
      <c r="C146" s="153">
        <f>IF(D93="","-",+C145+1)</f>
        <v>2053</v>
      </c>
      <c r="D146" s="154">
        <f>IF(F145+SUM(E$99:E145)=D$92,F145,D$92-SUM(E$99:E145))</f>
        <v>0</v>
      </c>
      <c r="E146" s="160">
        <f>IF(+J96&lt;F145,J96,D146)</f>
        <v>0</v>
      </c>
      <c r="F146" s="159">
        <f t="shared" si="29"/>
        <v>0</v>
      </c>
      <c r="G146" s="159">
        <f t="shared" si="30"/>
        <v>0</v>
      </c>
      <c r="H146" s="163">
        <f t="shared" si="27"/>
        <v>0</v>
      </c>
      <c r="I146" s="253">
        <f t="shared" si="28"/>
        <v>0</v>
      </c>
      <c r="J146" s="158">
        <f t="shared" si="31"/>
        <v>0</v>
      </c>
      <c r="K146" s="158"/>
      <c r="L146" s="334"/>
      <c r="M146" s="158">
        <f t="shared" si="32"/>
        <v>0</v>
      </c>
      <c r="N146" s="334"/>
      <c r="O146" s="158">
        <f t="shared" si="33"/>
        <v>0</v>
      </c>
      <c r="P146" s="158">
        <f t="shared" si="34"/>
        <v>0</v>
      </c>
      <c r="Q146" s="1"/>
    </row>
    <row r="147" spans="2:17">
      <c r="B147" s="9" t="str">
        <f t="shared" si="22"/>
        <v/>
      </c>
      <c r="C147" s="153">
        <f>IF(D93="","-",+C146+1)</f>
        <v>2054</v>
      </c>
      <c r="D147" s="154">
        <f>IF(F146+SUM(E$99:E146)=D$92,F146,D$92-SUM(E$99:E146))</f>
        <v>0</v>
      </c>
      <c r="E147" s="160">
        <f>IF(+J96&lt;F146,J96,D147)</f>
        <v>0</v>
      </c>
      <c r="F147" s="159">
        <f t="shared" si="29"/>
        <v>0</v>
      </c>
      <c r="G147" s="159">
        <f t="shared" si="30"/>
        <v>0</v>
      </c>
      <c r="H147" s="163">
        <f t="shared" si="27"/>
        <v>0</v>
      </c>
      <c r="I147" s="253">
        <f t="shared" si="28"/>
        <v>0</v>
      </c>
      <c r="J147" s="158">
        <f t="shared" si="31"/>
        <v>0</v>
      </c>
      <c r="K147" s="158"/>
      <c r="L147" s="334"/>
      <c r="M147" s="158">
        <f t="shared" si="32"/>
        <v>0</v>
      </c>
      <c r="N147" s="334"/>
      <c r="O147" s="158">
        <f t="shared" si="33"/>
        <v>0</v>
      </c>
      <c r="P147" s="158">
        <f t="shared" si="34"/>
        <v>0</v>
      </c>
      <c r="Q147" s="1"/>
    </row>
    <row r="148" spans="2:17">
      <c r="B148" s="9" t="str">
        <f t="shared" si="22"/>
        <v/>
      </c>
      <c r="C148" s="153">
        <f>IF(D93="","-",+C147+1)</f>
        <v>2055</v>
      </c>
      <c r="D148" s="154">
        <f>IF(F147+SUM(E$99:E147)=D$92,F147,D$92-SUM(E$99:E147))</f>
        <v>0</v>
      </c>
      <c r="E148" s="160">
        <f>IF(+J96&lt;F147,J96,D148)</f>
        <v>0</v>
      </c>
      <c r="F148" s="159">
        <f t="shared" si="29"/>
        <v>0</v>
      </c>
      <c r="G148" s="159">
        <f t="shared" si="30"/>
        <v>0</v>
      </c>
      <c r="H148" s="163">
        <f t="shared" si="27"/>
        <v>0</v>
      </c>
      <c r="I148" s="253">
        <f t="shared" si="28"/>
        <v>0</v>
      </c>
      <c r="J148" s="158">
        <f t="shared" si="31"/>
        <v>0</v>
      </c>
      <c r="K148" s="158"/>
      <c r="L148" s="334"/>
      <c r="M148" s="158">
        <f t="shared" si="32"/>
        <v>0</v>
      </c>
      <c r="N148" s="334"/>
      <c r="O148" s="158">
        <f t="shared" si="33"/>
        <v>0</v>
      </c>
      <c r="P148" s="158">
        <f t="shared" si="34"/>
        <v>0</v>
      </c>
      <c r="Q148" s="1"/>
    </row>
    <row r="149" spans="2:17">
      <c r="B149" s="9" t="str">
        <f t="shared" si="22"/>
        <v/>
      </c>
      <c r="C149" s="153">
        <f>IF(D93="","-",+C148+1)</f>
        <v>2056</v>
      </c>
      <c r="D149" s="154">
        <f>IF(F148+SUM(E$99:E148)=D$92,F148,D$92-SUM(E$99:E148))</f>
        <v>0</v>
      </c>
      <c r="E149" s="160">
        <f>IF(+J96&lt;F148,J96,D149)</f>
        <v>0</v>
      </c>
      <c r="F149" s="159">
        <f t="shared" si="29"/>
        <v>0</v>
      </c>
      <c r="G149" s="159">
        <f t="shared" si="30"/>
        <v>0</v>
      </c>
      <c r="H149" s="163">
        <f t="shared" si="27"/>
        <v>0</v>
      </c>
      <c r="I149" s="253">
        <f t="shared" si="28"/>
        <v>0</v>
      </c>
      <c r="J149" s="158">
        <f t="shared" si="31"/>
        <v>0</v>
      </c>
      <c r="K149" s="158"/>
      <c r="L149" s="334"/>
      <c r="M149" s="158">
        <f t="shared" si="32"/>
        <v>0</v>
      </c>
      <c r="N149" s="334"/>
      <c r="O149" s="158">
        <f t="shared" si="33"/>
        <v>0</v>
      </c>
      <c r="P149" s="158">
        <f t="shared" si="34"/>
        <v>0</v>
      </c>
      <c r="Q149" s="1"/>
    </row>
    <row r="150" spans="2:17">
      <c r="B150" s="9" t="str">
        <f t="shared" si="22"/>
        <v/>
      </c>
      <c r="C150" s="153">
        <f>IF(D93="","-",+C149+1)</f>
        <v>2057</v>
      </c>
      <c r="D150" s="154">
        <f>IF(F149+SUM(E$99:E149)=D$92,F149,D$92-SUM(E$99:E149))</f>
        <v>0</v>
      </c>
      <c r="E150" s="160">
        <f>IF(+J96&lt;F149,J96,D150)</f>
        <v>0</v>
      </c>
      <c r="F150" s="159">
        <f t="shared" si="29"/>
        <v>0</v>
      </c>
      <c r="G150" s="159">
        <f t="shared" si="30"/>
        <v>0</v>
      </c>
      <c r="H150" s="163">
        <f t="shared" si="27"/>
        <v>0</v>
      </c>
      <c r="I150" s="253">
        <f t="shared" si="28"/>
        <v>0</v>
      </c>
      <c r="J150" s="158">
        <f t="shared" si="31"/>
        <v>0</v>
      </c>
      <c r="K150" s="158"/>
      <c r="L150" s="334"/>
      <c r="M150" s="158">
        <f t="shared" si="32"/>
        <v>0</v>
      </c>
      <c r="N150" s="334"/>
      <c r="O150" s="158">
        <f t="shared" si="33"/>
        <v>0</v>
      </c>
      <c r="P150" s="158">
        <f t="shared" si="34"/>
        <v>0</v>
      </c>
      <c r="Q150" s="1"/>
    </row>
    <row r="151" spans="2:17">
      <c r="B151" s="9" t="str">
        <f t="shared" si="22"/>
        <v/>
      </c>
      <c r="C151" s="153">
        <f>IF(D93="","-",+C150+1)</f>
        <v>2058</v>
      </c>
      <c r="D151" s="154">
        <f>IF(F150+SUM(E$99:E150)=D$92,F150,D$92-SUM(E$99:E150))</f>
        <v>0</v>
      </c>
      <c r="E151" s="160">
        <f>IF(+J96&lt;F150,J96,D151)</f>
        <v>0</v>
      </c>
      <c r="F151" s="159">
        <f t="shared" si="29"/>
        <v>0</v>
      </c>
      <c r="G151" s="159">
        <f t="shared" si="30"/>
        <v>0</v>
      </c>
      <c r="H151" s="163">
        <f t="shared" si="27"/>
        <v>0</v>
      </c>
      <c r="I151" s="253">
        <f t="shared" si="28"/>
        <v>0</v>
      </c>
      <c r="J151" s="158">
        <f t="shared" si="31"/>
        <v>0</v>
      </c>
      <c r="K151" s="158"/>
      <c r="L151" s="334"/>
      <c r="M151" s="158">
        <f t="shared" si="32"/>
        <v>0</v>
      </c>
      <c r="N151" s="334"/>
      <c r="O151" s="158">
        <f t="shared" si="33"/>
        <v>0</v>
      </c>
      <c r="P151" s="158">
        <f t="shared" si="34"/>
        <v>0</v>
      </c>
      <c r="Q151" s="1"/>
    </row>
    <row r="152" spans="2:17">
      <c r="B152" s="9" t="str">
        <f t="shared" si="22"/>
        <v/>
      </c>
      <c r="C152" s="153">
        <f>IF(D93="","-",+C151+1)</f>
        <v>2059</v>
      </c>
      <c r="D152" s="154">
        <f>IF(F151+SUM(E$99:E151)=D$92,F151,D$92-SUM(E$99:E151))</f>
        <v>0</v>
      </c>
      <c r="E152" s="160">
        <f>IF(+J96&lt;F151,J96,D152)</f>
        <v>0</v>
      </c>
      <c r="F152" s="159">
        <f t="shared" si="29"/>
        <v>0</v>
      </c>
      <c r="G152" s="159">
        <f t="shared" si="30"/>
        <v>0</v>
      </c>
      <c r="H152" s="163">
        <f t="shared" si="27"/>
        <v>0</v>
      </c>
      <c r="I152" s="253">
        <f t="shared" si="28"/>
        <v>0</v>
      </c>
      <c r="J152" s="158">
        <f t="shared" si="31"/>
        <v>0</v>
      </c>
      <c r="K152" s="158"/>
      <c r="L152" s="334"/>
      <c r="M152" s="158">
        <f t="shared" si="32"/>
        <v>0</v>
      </c>
      <c r="N152" s="334"/>
      <c r="O152" s="158">
        <f t="shared" si="33"/>
        <v>0</v>
      </c>
      <c r="P152" s="158">
        <f t="shared" si="34"/>
        <v>0</v>
      </c>
      <c r="Q152" s="1"/>
    </row>
    <row r="153" spans="2:17">
      <c r="B153" s="9" t="str">
        <f t="shared" si="22"/>
        <v/>
      </c>
      <c r="C153" s="153">
        <f>IF(D93="","-",+C152+1)</f>
        <v>2060</v>
      </c>
      <c r="D153" s="154">
        <f>IF(F152+SUM(E$99:E152)=D$92,F152,D$92-SUM(E$99:E152))</f>
        <v>0</v>
      </c>
      <c r="E153" s="160">
        <f>IF(+J96&lt;F152,J96,D153)</f>
        <v>0</v>
      </c>
      <c r="F153" s="159">
        <f t="shared" si="29"/>
        <v>0</v>
      </c>
      <c r="G153" s="159">
        <f t="shared" si="30"/>
        <v>0</v>
      </c>
      <c r="H153" s="163">
        <f t="shared" si="27"/>
        <v>0</v>
      </c>
      <c r="I153" s="253">
        <f t="shared" si="28"/>
        <v>0</v>
      </c>
      <c r="J153" s="158">
        <f t="shared" si="31"/>
        <v>0</v>
      </c>
      <c r="K153" s="158"/>
      <c r="L153" s="334"/>
      <c r="M153" s="158">
        <f t="shared" si="32"/>
        <v>0</v>
      </c>
      <c r="N153" s="334"/>
      <c r="O153" s="158">
        <f t="shared" si="33"/>
        <v>0</v>
      </c>
      <c r="P153" s="158">
        <f t="shared" si="34"/>
        <v>0</v>
      </c>
      <c r="Q153" s="1"/>
    </row>
    <row r="154" spans="2:17" ht="13.5" thickBot="1">
      <c r="B154" s="9" t="str">
        <f t="shared" si="22"/>
        <v/>
      </c>
      <c r="C154" s="164">
        <f>IF(D93="","-",+C153+1)</f>
        <v>2061</v>
      </c>
      <c r="D154" s="215">
        <f>IF(F153+SUM(E$99:E153)=D$92,F153,D$92-SUM(E$99:E153))</f>
        <v>0</v>
      </c>
      <c r="E154" s="166">
        <f>IF(+J96&lt;F153,J96,D154)</f>
        <v>0</v>
      </c>
      <c r="F154" s="165">
        <f t="shared" si="29"/>
        <v>0</v>
      </c>
      <c r="G154" s="165">
        <f t="shared" si="30"/>
        <v>0</v>
      </c>
      <c r="H154" s="167">
        <f t="shared" si="27"/>
        <v>0</v>
      </c>
      <c r="I154" s="254">
        <f t="shared" si="28"/>
        <v>0</v>
      </c>
      <c r="J154" s="169">
        <f t="shared" si="31"/>
        <v>0</v>
      </c>
      <c r="K154" s="158"/>
      <c r="L154" s="335"/>
      <c r="M154" s="169">
        <f t="shared" si="32"/>
        <v>0</v>
      </c>
      <c r="N154" s="335"/>
      <c r="O154" s="169">
        <f t="shared" si="33"/>
        <v>0</v>
      </c>
      <c r="P154" s="169">
        <f t="shared" si="34"/>
        <v>0</v>
      </c>
      <c r="Q154" s="1"/>
    </row>
    <row r="155" spans="2:17">
      <c r="C155" s="154" t="s">
        <v>73</v>
      </c>
      <c r="D155" s="111"/>
      <c r="E155" s="111">
        <f>SUM(E99:E154)</f>
        <v>5731606.9999999972</v>
      </c>
      <c r="F155" s="111"/>
      <c r="G155" s="111"/>
      <c r="H155" s="111">
        <f>SUM(H99:H154)</f>
        <v>20993686.872252174</v>
      </c>
      <c r="I155" s="111">
        <f>SUM(I99:I154)</f>
        <v>20993686.872252174</v>
      </c>
      <c r="J155" s="111">
        <f>SUM(J99:J154)</f>
        <v>0</v>
      </c>
      <c r="K155" s="111"/>
      <c r="L155" s="111"/>
      <c r="M155" s="111"/>
      <c r="N155" s="111"/>
      <c r="O155" s="111"/>
      <c r="P155" s="1"/>
      <c r="Q155" s="1"/>
    </row>
    <row r="156" spans="2:17">
      <c r="D156" s="2"/>
      <c r="E156" s="1"/>
      <c r="F156" s="1"/>
      <c r="G156" s="1"/>
      <c r="H156" s="1"/>
      <c r="I156" s="3"/>
      <c r="J156" s="3"/>
      <c r="K156" s="111"/>
      <c r="L156" s="3"/>
      <c r="M156" s="3"/>
      <c r="N156" s="3"/>
      <c r="O156" s="3"/>
      <c r="P156" s="1"/>
      <c r="Q156" s="1"/>
    </row>
    <row r="157" spans="2:17">
      <c r="C157" s="216" t="s">
        <v>87</v>
      </c>
      <c r="D157" s="2"/>
      <c r="E157" s="1"/>
      <c r="F157" s="1"/>
      <c r="G157" s="1"/>
      <c r="H157" s="1"/>
      <c r="I157" s="3"/>
      <c r="J157" s="3"/>
      <c r="K157" s="111"/>
      <c r="L157" s="3"/>
      <c r="M157" s="3"/>
      <c r="N157" s="3"/>
      <c r="O157" s="3"/>
      <c r="P157" s="1"/>
      <c r="Q157" s="1"/>
    </row>
    <row r="158" spans="2:17">
      <c r="D158" s="2"/>
      <c r="E158" s="1"/>
      <c r="F158" s="1"/>
      <c r="G158" s="1"/>
      <c r="H158" s="1"/>
      <c r="I158" s="3"/>
      <c r="J158" s="3"/>
      <c r="K158" s="111"/>
      <c r="L158" s="3"/>
      <c r="M158" s="3"/>
      <c r="N158" s="3"/>
      <c r="O158" s="3"/>
      <c r="P158" s="1"/>
      <c r="Q158" s="1"/>
    </row>
    <row r="159" spans="2:17">
      <c r="C159" s="170" t="s">
        <v>92</v>
      </c>
      <c r="D159" s="154"/>
      <c r="E159" s="154"/>
      <c r="F159" s="154"/>
      <c r="G159" s="154"/>
      <c r="H159" s="111"/>
      <c r="I159" s="111"/>
      <c r="J159" s="171"/>
      <c r="K159" s="171"/>
      <c r="L159" s="171"/>
      <c r="M159" s="171"/>
      <c r="N159" s="171"/>
      <c r="O159" s="171"/>
      <c r="P159" s="1"/>
      <c r="Q159" s="1"/>
    </row>
    <row r="160" spans="2:17">
      <c r="C160" s="217" t="s">
        <v>74</v>
      </c>
      <c r="D160" s="154"/>
      <c r="E160" s="154"/>
      <c r="F160" s="154"/>
      <c r="G160" s="154"/>
      <c r="H160" s="111"/>
      <c r="I160" s="111"/>
      <c r="J160" s="171"/>
      <c r="K160" s="171"/>
      <c r="L160" s="171"/>
      <c r="M160" s="171"/>
      <c r="N160" s="171"/>
      <c r="O160" s="171"/>
      <c r="P160" s="1"/>
      <c r="Q160" s="1"/>
    </row>
    <row r="161" spans="3:17">
      <c r="C161" s="217" t="s">
        <v>75</v>
      </c>
      <c r="D161" s="154"/>
      <c r="E161" s="154"/>
      <c r="F161" s="154"/>
      <c r="G161" s="154"/>
      <c r="H161" s="111"/>
      <c r="I161" s="111"/>
      <c r="J161" s="171"/>
      <c r="K161" s="171"/>
      <c r="L161" s="171"/>
      <c r="M161" s="171"/>
      <c r="N161" s="171"/>
      <c r="O161" s="171"/>
      <c r="P161" s="1"/>
      <c r="Q161" s="1"/>
    </row>
    <row r="162" spans="3:17" ht="18">
      <c r="C162" s="217"/>
      <c r="D162" s="154"/>
      <c r="E162" s="154"/>
      <c r="F162" s="154"/>
      <c r="G162" s="154"/>
      <c r="H162" s="111"/>
      <c r="I162" s="111"/>
      <c r="J162" s="171"/>
      <c r="K162" s="171"/>
      <c r="L162" s="171"/>
      <c r="M162" s="171"/>
      <c r="N162" s="171"/>
      <c r="P162" s="237" t="s">
        <v>126</v>
      </c>
      <c r="Q162" s="1"/>
    </row>
  </sheetData>
  <phoneticPr fontId="0" type="noConversion"/>
  <conditionalFormatting sqref="C17:C72">
    <cfRule type="cellIs" dxfId="139" priority="1" stopIfTrue="1" operator="equal">
      <formula>$I$10</formula>
    </cfRule>
  </conditionalFormatting>
  <conditionalFormatting sqref="C99:C154">
    <cfRule type="cellIs" dxfId="138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  <legacy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63">
    <tabColor indexed="16"/>
  </sheetPr>
  <dimension ref="A1:W162"/>
  <sheetViews>
    <sheetView view="pageBreakPreview" zoomScale="75" zoomScaleNormal="100" zoomScaleSheetLayoutView="75" workbookViewId="0">
      <selection activeCell="C19" sqref="C19"/>
    </sheetView>
  </sheetViews>
  <sheetFormatPr defaultRowHeight="12.75" customHeight="1"/>
  <cols>
    <col min="1" max="1" width="4.7109375" customWidth="1"/>
    <col min="2" max="2" width="6.7109375" customWidth="1"/>
    <col min="3" max="3" width="23.28515625" customWidth="1"/>
    <col min="4" max="8" width="17.7109375" customWidth="1"/>
    <col min="9" max="9" width="20.42578125" customWidth="1"/>
    <col min="10" max="10" width="19.140625" customWidth="1"/>
    <col min="11" max="11" width="17.7109375" customWidth="1"/>
    <col min="12" max="12" width="16.140625" customWidth="1"/>
    <col min="13" max="13" width="17.7109375" customWidth="1"/>
    <col min="14" max="14" width="16.140625" customWidth="1"/>
    <col min="15" max="15" width="16.85546875" customWidth="1"/>
    <col min="16" max="16" width="24.42578125" customWidth="1"/>
    <col min="17" max="17" width="4.7109375" customWidth="1"/>
    <col min="23" max="23" width="14.28515625" customWidth="1"/>
  </cols>
  <sheetData>
    <row r="1" spans="1:23" ht="20.25">
      <c r="A1" s="243" t="s">
        <v>128</v>
      </c>
      <c r="B1" s="1"/>
      <c r="C1" s="21"/>
      <c r="D1" s="2"/>
      <c r="E1" s="1"/>
      <c r="F1" s="99"/>
      <c r="G1" s="1"/>
      <c r="H1" s="3"/>
      <c r="J1" s="7"/>
      <c r="K1" s="109"/>
      <c r="L1" s="109"/>
      <c r="M1" s="109"/>
      <c r="P1" s="249" t="str">
        <f ca="1">"SWEPCO Project "&amp;RIGHT(MID(CELL("filename",$A$1),FIND("]",CELL("filename",$A$1))+1,256),2)&amp;" of "&amp;COUNT('S.001:S.xyz - blank'!$P$3)-1</f>
        <v>SWEPCO Project 14 of 73</v>
      </c>
      <c r="Q1" s="108"/>
      <c r="R1" s="1"/>
      <c r="S1" s="1"/>
      <c r="T1" s="1"/>
      <c r="U1" s="1"/>
      <c r="V1" s="1"/>
      <c r="W1" s="1"/>
    </row>
    <row r="2" spans="1:23" ht="18">
      <c r="B2" s="1"/>
      <c r="C2" s="1"/>
      <c r="D2" s="2"/>
      <c r="E2" s="1"/>
      <c r="F2" s="1"/>
      <c r="G2" s="1"/>
      <c r="H2" s="3"/>
      <c r="I2" s="1"/>
      <c r="J2" s="4"/>
      <c r="K2" s="1"/>
      <c r="L2" s="1"/>
      <c r="M2" s="1"/>
      <c r="N2" s="1"/>
      <c r="P2" s="237" t="s">
        <v>124</v>
      </c>
      <c r="R2" s="1"/>
      <c r="S2" s="1"/>
      <c r="T2" s="1"/>
      <c r="U2" s="1"/>
      <c r="V2" s="1"/>
      <c r="W2" s="1"/>
    </row>
    <row r="3" spans="1:23" ht="18.75">
      <c r="B3" s="5" t="s">
        <v>40</v>
      </c>
      <c r="C3" s="68" t="s">
        <v>41</v>
      </c>
      <c r="D3" s="2"/>
      <c r="E3" s="1"/>
      <c r="F3" s="1"/>
      <c r="G3" s="1"/>
      <c r="H3" s="3"/>
      <c r="I3" s="3"/>
      <c r="J3" s="111"/>
      <c r="K3" s="3"/>
      <c r="L3" s="3"/>
      <c r="M3" s="3"/>
      <c r="N3" s="3"/>
      <c r="O3" s="1" t="str">
        <f>RIGHT(N3,3)</f>
        <v/>
      </c>
      <c r="P3" s="239">
        <v>1</v>
      </c>
      <c r="R3" s="1"/>
      <c r="S3" s="1"/>
      <c r="T3" s="1"/>
      <c r="U3" s="1"/>
      <c r="V3" s="1"/>
      <c r="W3" s="1"/>
    </row>
    <row r="4" spans="1:23" ht="15.75" thickBot="1">
      <c r="C4" s="67"/>
      <c r="D4" s="2"/>
      <c r="E4" s="1"/>
      <c r="F4" s="1"/>
      <c r="G4" s="1"/>
      <c r="H4" s="3"/>
      <c r="I4" s="3"/>
      <c r="J4" s="111"/>
      <c r="K4" s="3"/>
      <c r="L4" s="3"/>
      <c r="M4" s="3"/>
      <c r="N4" s="3"/>
      <c r="O4" s="1"/>
      <c r="P4" s="1"/>
      <c r="R4" s="1"/>
      <c r="S4" s="1"/>
      <c r="T4" s="1"/>
      <c r="U4" s="1"/>
      <c r="V4" s="1"/>
      <c r="W4" s="1"/>
    </row>
    <row r="5" spans="1:23" ht="15">
      <c r="C5" s="112" t="s">
        <v>42</v>
      </c>
      <c r="D5" s="2"/>
      <c r="E5" s="1"/>
      <c r="F5" s="1"/>
      <c r="G5" s="113"/>
      <c r="H5" s="1" t="s">
        <v>43</v>
      </c>
      <c r="I5" s="1"/>
      <c r="J5" s="4"/>
      <c r="K5" s="268" t="s">
        <v>152</v>
      </c>
      <c r="L5" s="114"/>
      <c r="M5" s="115"/>
      <c r="N5" s="116">
        <f>VLOOKUP(I10,C17:I72,5)</f>
        <v>7887.128894811628</v>
      </c>
      <c r="P5" s="1"/>
      <c r="R5" s="1"/>
      <c r="S5" s="1"/>
      <c r="T5" s="1"/>
      <c r="U5" s="1"/>
      <c r="V5" s="1"/>
      <c r="W5" s="1"/>
    </row>
    <row r="6" spans="1:23" ht="15.75">
      <c r="C6" s="8"/>
      <c r="D6" s="2"/>
      <c r="E6" s="1"/>
      <c r="F6" s="1"/>
      <c r="G6" s="1"/>
      <c r="H6" s="117"/>
      <c r="I6" s="117"/>
      <c r="J6" s="118"/>
      <c r="K6" s="269" t="s">
        <v>153</v>
      </c>
      <c r="L6" s="119"/>
      <c r="M6" s="4"/>
      <c r="N6" s="120">
        <f>VLOOKUP(I10,C17:I72,6)</f>
        <v>7887.128894811628</v>
      </c>
      <c r="O6" s="1"/>
      <c r="P6" s="1"/>
      <c r="R6" s="1"/>
      <c r="S6" s="1"/>
      <c r="T6" s="1"/>
      <c r="U6" s="1"/>
      <c r="V6" s="1"/>
      <c r="W6" s="1"/>
    </row>
    <row r="7" spans="1:23" ht="13.5" thickBot="1">
      <c r="C7" s="121" t="s">
        <v>44</v>
      </c>
      <c r="D7" s="273" t="s">
        <v>224</v>
      </c>
      <c r="E7" s="1"/>
      <c r="F7" s="1"/>
      <c r="G7" s="1"/>
      <c r="H7" s="3"/>
      <c r="I7" s="3"/>
      <c r="J7" s="111"/>
      <c r="K7" s="122" t="s">
        <v>45</v>
      </c>
      <c r="L7" s="123"/>
      <c r="M7" s="123"/>
      <c r="N7" s="124">
        <f>+N6-N5</f>
        <v>0</v>
      </c>
      <c r="O7" s="1"/>
      <c r="P7" s="1"/>
      <c r="R7" s="1"/>
      <c r="S7" s="1"/>
      <c r="T7" s="1"/>
      <c r="U7" s="1"/>
      <c r="V7" s="1"/>
      <c r="W7" s="1"/>
    </row>
    <row r="8" spans="1:23" ht="13.5" thickBot="1">
      <c r="C8" s="125"/>
      <c r="D8" s="247" t="str">
        <f>IF(D10&lt;100000,"DOES NOT MEET SPP $100,000 MINIMUM INVESTMENT FOR REGIONAL BPU SHARING.","")</f>
        <v>DOES NOT MEET SPP $100,000 MINIMUM INVESTMENT FOR REGIONAL BPU SHARING.</v>
      </c>
      <c r="E8" s="126"/>
      <c r="F8" s="126"/>
      <c r="G8" s="126"/>
      <c r="H8" s="126"/>
      <c r="I8" s="126"/>
      <c r="J8" s="101"/>
      <c r="K8" s="126"/>
      <c r="L8" s="126"/>
      <c r="M8" s="126"/>
      <c r="N8" s="126"/>
      <c r="O8" s="101"/>
      <c r="P8" s="21"/>
      <c r="R8" s="1"/>
      <c r="S8" s="1"/>
      <c r="T8" s="1"/>
      <c r="U8" s="1"/>
      <c r="V8" s="1"/>
      <c r="W8" s="1"/>
    </row>
    <row r="9" spans="1:23" ht="13.5" thickBot="1">
      <c r="A9" s="103"/>
      <c r="C9" s="127" t="s">
        <v>46</v>
      </c>
      <c r="D9" s="225" t="s">
        <v>147</v>
      </c>
      <c r="E9" s="401" t="s">
        <v>408</v>
      </c>
      <c r="F9" s="128"/>
      <c r="G9" s="128"/>
      <c r="H9" s="128"/>
      <c r="I9" s="129"/>
      <c r="J9" s="130"/>
      <c r="O9" s="131"/>
      <c r="P9" s="4"/>
      <c r="R9" s="1"/>
      <c r="S9" s="1"/>
      <c r="T9" s="1"/>
      <c r="U9" s="1"/>
      <c r="V9" s="1"/>
      <c r="W9" s="1"/>
    </row>
    <row r="10" spans="1:23">
      <c r="C10" s="132" t="s">
        <v>47</v>
      </c>
      <c r="D10" s="133">
        <v>81701</v>
      </c>
      <c r="E10" s="61" t="s">
        <v>459</v>
      </c>
      <c r="F10" s="131"/>
      <c r="G10" s="134"/>
      <c r="H10" s="134"/>
      <c r="I10" s="135">
        <f>+SWE.WS.F.BPU.ATRR.Projected!K17</f>
        <v>2019</v>
      </c>
      <c r="J10" s="130"/>
      <c r="K10" s="111" t="s">
        <v>48</v>
      </c>
      <c r="O10" s="4"/>
      <c r="P10" s="4"/>
      <c r="R10" s="1"/>
      <c r="S10" s="1"/>
      <c r="T10" s="1"/>
      <c r="U10" s="1"/>
      <c r="V10" s="1"/>
      <c r="W10" s="1"/>
    </row>
    <row r="11" spans="1:23">
      <c r="C11" s="136" t="s">
        <v>49</v>
      </c>
      <c r="D11" s="137">
        <v>2007</v>
      </c>
      <c r="E11" s="136" t="s">
        <v>50</v>
      </c>
      <c r="F11" s="134"/>
      <c r="G11" s="7"/>
      <c r="H11" s="7"/>
      <c r="I11" s="138">
        <v>0</v>
      </c>
      <c r="J11" s="139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4"/>
      <c r="P11" s="4"/>
      <c r="R11" s="1"/>
      <c r="S11" s="1"/>
      <c r="T11" s="1"/>
      <c r="U11" s="1"/>
      <c r="V11" s="1"/>
      <c r="W11" s="1"/>
    </row>
    <row r="12" spans="1:23">
      <c r="C12" s="136" t="s">
        <v>51</v>
      </c>
      <c r="D12" s="133">
        <v>6</v>
      </c>
      <c r="E12" s="136" t="s">
        <v>52</v>
      </c>
      <c r="F12" s="134"/>
      <c r="G12" s="7"/>
      <c r="H12" s="7"/>
      <c r="I12" s="140">
        <f>SWE.WS.F.BPU.ATRR.Projected!$F$76</f>
        <v>9.9555672459071778E-2</v>
      </c>
      <c r="J12" s="141"/>
      <c r="K12" t="s">
        <v>53</v>
      </c>
      <c r="O12" s="4"/>
      <c r="P12" s="4"/>
      <c r="R12" s="1"/>
      <c r="S12" s="1"/>
      <c r="T12" s="1"/>
      <c r="U12" s="1"/>
      <c r="V12" s="1"/>
      <c r="W12" s="1"/>
    </row>
    <row r="13" spans="1:23">
      <c r="C13" s="136" t="s">
        <v>54</v>
      </c>
      <c r="D13" s="138">
        <f>+SWE.WS.F.BPU.ATRR.Projected!F$87</f>
        <v>43</v>
      </c>
      <c r="E13" s="136" t="s">
        <v>55</v>
      </c>
      <c r="F13" s="134"/>
      <c r="G13" s="7"/>
      <c r="H13" s="7"/>
      <c r="I13" s="140">
        <f>IF(G5="",I12,SWE.WS.F.BPU.ATRR.Projected!$F$75)</f>
        <v>9.9555672459071778E-2</v>
      </c>
      <c r="J13" s="141"/>
      <c r="K13" s="111" t="s">
        <v>56</v>
      </c>
      <c r="L13" s="58"/>
      <c r="M13" s="58"/>
      <c r="N13" s="58"/>
      <c r="O13" s="4"/>
      <c r="P13" s="4"/>
      <c r="R13" s="1"/>
      <c r="S13" s="1"/>
      <c r="T13" s="1"/>
      <c r="U13" s="1"/>
      <c r="V13" s="1"/>
      <c r="W13" s="1"/>
    </row>
    <row r="14" spans="1:23" ht="13.5" thickBot="1">
      <c r="C14" s="136" t="s">
        <v>57</v>
      </c>
      <c r="D14" s="137" t="s">
        <v>58</v>
      </c>
      <c r="E14" s="4" t="s">
        <v>59</v>
      </c>
      <c r="F14" s="134"/>
      <c r="G14" s="7"/>
      <c r="H14" s="7"/>
      <c r="I14" s="142">
        <f>IF(D10=0,0,D10/D13)</f>
        <v>1900.0232558139535</v>
      </c>
      <c r="J14" s="111"/>
      <c r="K14" s="111"/>
      <c r="L14" s="111"/>
      <c r="M14" s="111"/>
      <c r="N14" s="111"/>
      <c r="O14" s="4"/>
      <c r="P14" s="4"/>
      <c r="R14" s="1"/>
      <c r="S14" s="1"/>
      <c r="T14" s="1"/>
      <c r="U14" s="1"/>
      <c r="V14" s="1"/>
      <c r="W14" s="1"/>
    </row>
    <row r="15" spans="1:23" ht="38.25">
      <c r="C15" s="143" t="s">
        <v>47</v>
      </c>
      <c r="D15" s="144" t="s">
        <v>60</v>
      </c>
      <c r="E15" s="144" t="s">
        <v>61</v>
      </c>
      <c r="F15" s="144" t="s">
        <v>62</v>
      </c>
      <c r="G15" s="434" t="s">
        <v>378</v>
      </c>
      <c r="H15" s="435" t="s">
        <v>379</v>
      </c>
      <c r="I15" s="351" t="s">
        <v>249</v>
      </c>
      <c r="J15" s="145"/>
      <c r="K15" s="271" t="s">
        <v>219</v>
      </c>
      <c r="L15" s="146" t="s">
        <v>64</v>
      </c>
      <c r="M15" s="271" t="s">
        <v>219</v>
      </c>
      <c r="N15" s="146" t="s">
        <v>64</v>
      </c>
      <c r="O15" s="146" t="s">
        <v>65</v>
      </c>
      <c r="P15" s="4"/>
      <c r="R15" s="1"/>
      <c r="S15" s="1"/>
      <c r="T15" s="1"/>
      <c r="U15" s="1"/>
      <c r="V15" s="1"/>
      <c r="W15" s="1"/>
    </row>
    <row r="16" spans="1:23" ht="13.5" thickBot="1">
      <c r="C16" s="147" t="s">
        <v>66</v>
      </c>
      <c r="D16" s="147" t="s">
        <v>67</v>
      </c>
      <c r="E16" s="147" t="s">
        <v>68</v>
      </c>
      <c r="F16" s="147" t="s">
        <v>67</v>
      </c>
      <c r="G16" s="408" t="s">
        <v>69</v>
      </c>
      <c r="H16" s="148" t="s">
        <v>70</v>
      </c>
      <c r="I16" s="149" t="s">
        <v>89</v>
      </c>
      <c r="J16" s="150" t="s">
        <v>71</v>
      </c>
      <c r="K16" s="151" t="s">
        <v>72</v>
      </c>
      <c r="L16" s="151" t="s">
        <v>72</v>
      </c>
      <c r="M16" s="151" t="s">
        <v>90</v>
      </c>
      <c r="N16" s="152" t="s">
        <v>90</v>
      </c>
      <c r="O16" s="151" t="s">
        <v>90</v>
      </c>
      <c r="P16" s="4"/>
      <c r="R16" s="1"/>
      <c r="S16" s="1"/>
      <c r="T16" s="1"/>
      <c r="U16" s="1"/>
      <c r="V16" s="1"/>
      <c r="W16" s="1"/>
    </row>
    <row r="17" spans="2:23">
      <c r="C17" s="153">
        <f>IF(D11= "","-",D11)</f>
        <v>2007</v>
      </c>
      <c r="D17" s="357">
        <v>54301</v>
      </c>
      <c r="E17" s="358">
        <v>714</v>
      </c>
      <c r="F17" s="357">
        <v>53587</v>
      </c>
      <c r="G17" s="358">
        <v>8418</v>
      </c>
      <c r="H17" s="359">
        <v>8418</v>
      </c>
      <c r="I17" s="398">
        <f t="shared" ref="I17:I48" si="0">H17-G17</f>
        <v>0</v>
      </c>
      <c r="J17" s="156"/>
      <c r="K17" s="256">
        <v>0</v>
      </c>
      <c r="L17" s="157">
        <f t="shared" ref="L17:L48" si="1">IF(K17&lt;&gt;0,+G17-K17,0)</f>
        <v>0</v>
      </c>
      <c r="M17" s="256">
        <v>0</v>
      </c>
      <c r="N17" s="157">
        <f t="shared" ref="N17:N48" si="2">IF(M17&lt;&gt;0,+H17-M17,0)</f>
        <v>0</v>
      </c>
      <c r="O17" s="158">
        <f t="shared" ref="O17:O48" si="3">+N17-L17</f>
        <v>0</v>
      </c>
      <c r="P17" s="4"/>
      <c r="R17" s="107"/>
      <c r="S17" s="107"/>
      <c r="T17" s="107"/>
      <c r="U17" s="107"/>
      <c r="V17" s="107"/>
      <c r="W17" s="1"/>
    </row>
    <row r="18" spans="2:23">
      <c r="B18" s="9" t="str">
        <f>IF(D18=F17,"","IU")</f>
        <v/>
      </c>
      <c r="C18" s="153">
        <f>IF(D11="","-",+C17+1)</f>
        <v>2008</v>
      </c>
      <c r="D18" s="361">
        <v>53587</v>
      </c>
      <c r="E18" s="360">
        <v>1429</v>
      </c>
      <c r="F18" s="361">
        <v>52158</v>
      </c>
      <c r="G18" s="360">
        <v>8927</v>
      </c>
      <c r="H18" s="359">
        <v>8927</v>
      </c>
      <c r="I18" s="398">
        <f t="shared" si="0"/>
        <v>0</v>
      </c>
      <c r="J18" s="156"/>
      <c r="K18" s="258">
        <v>0</v>
      </c>
      <c r="L18" s="158">
        <f t="shared" si="1"/>
        <v>0</v>
      </c>
      <c r="M18" s="258">
        <v>0</v>
      </c>
      <c r="N18" s="158">
        <f t="shared" si="2"/>
        <v>0</v>
      </c>
      <c r="O18" s="158">
        <f t="shared" si="3"/>
        <v>0</v>
      </c>
      <c r="P18" s="4"/>
      <c r="R18" s="107"/>
      <c r="S18" s="107"/>
      <c r="T18" s="107"/>
      <c r="U18" s="107"/>
      <c r="V18" s="107"/>
      <c r="W18" s="1"/>
    </row>
    <row r="19" spans="2:23">
      <c r="B19" s="9" t="str">
        <f>IF(D19=F18,"","IU")</f>
        <v/>
      </c>
      <c r="C19" s="153">
        <f>IF(D11="","-",+C18+1)</f>
        <v>2009</v>
      </c>
      <c r="D19" s="361">
        <v>52158</v>
      </c>
      <c r="E19" s="360">
        <v>1429</v>
      </c>
      <c r="F19" s="361">
        <v>50729</v>
      </c>
      <c r="G19" s="360">
        <v>8722</v>
      </c>
      <c r="H19" s="359">
        <v>8722</v>
      </c>
      <c r="I19" s="398">
        <f t="shared" si="0"/>
        <v>0</v>
      </c>
      <c r="J19" s="156"/>
      <c r="K19" s="258"/>
      <c r="L19" s="158">
        <f t="shared" si="1"/>
        <v>0</v>
      </c>
      <c r="M19" s="258"/>
      <c r="N19" s="158">
        <f t="shared" si="2"/>
        <v>0</v>
      </c>
      <c r="O19" s="158">
        <f t="shared" si="3"/>
        <v>0</v>
      </c>
      <c r="P19" s="4"/>
      <c r="R19" s="107"/>
      <c r="S19" s="107"/>
      <c r="T19" s="107"/>
      <c r="U19" s="107"/>
      <c r="V19" s="107"/>
      <c r="W19" s="1"/>
    </row>
    <row r="20" spans="2:23">
      <c r="B20" s="9" t="str">
        <f t="shared" ref="B20:B72" si="4">IF(D20=F19,"","IU")</f>
        <v/>
      </c>
      <c r="C20" s="153">
        <f>IF(D11="","-",+C19+1)</f>
        <v>2010</v>
      </c>
      <c r="D20" s="361">
        <v>50729</v>
      </c>
      <c r="E20" s="360">
        <v>1428.9736842105262</v>
      </c>
      <c r="F20" s="361">
        <v>49300.026315789473</v>
      </c>
      <c r="G20" s="360">
        <v>8516.5919295125823</v>
      </c>
      <c r="H20" s="359">
        <v>8516.5919295125823</v>
      </c>
      <c r="I20" s="368">
        <v>0</v>
      </c>
      <c r="J20" s="156"/>
      <c r="K20" s="258">
        <f t="shared" ref="K20:K25" si="5">G20</f>
        <v>8516.5919295125823</v>
      </c>
      <c r="L20" s="257">
        <f t="shared" si="1"/>
        <v>0</v>
      </c>
      <c r="M20" s="258">
        <f t="shared" ref="M20:M25" si="6">H20</f>
        <v>8516.5919295125823</v>
      </c>
      <c r="N20" s="158">
        <f t="shared" si="2"/>
        <v>0</v>
      </c>
      <c r="O20" s="158">
        <f t="shared" si="3"/>
        <v>0</v>
      </c>
      <c r="P20" s="4"/>
      <c r="R20" s="1"/>
      <c r="S20" s="1"/>
      <c r="T20" s="1"/>
      <c r="U20" s="1"/>
      <c r="V20" s="1"/>
      <c r="W20" s="1"/>
    </row>
    <row r="21" spans="2:23">
      <c r="B21" s="9" t="str">
        <f t="shared" si="4"/>
        <v>IU</v>
      </c>
      <c r="C21" s="153">
        <f>IF(D12="","-",+C20+1)</f>
        <v>2011</v>
      </c>
      <c r="D21" s="361">
        <v>76700.026315789466</v>
      </c>
      <c r="E21" s="360">
        <v>1992.7073170731708</v>
      </c>
      <c r="F21" s="361">
        <v>74707.318998716291</v>
      </c>
      <c r="G21" s="360">
        <v>13661.406661613239</v>
      </c>
      <c r="H21" s="359">
        <v>13661.406661613239</v>
      </c>
      <c r="I21" s="368">
        <v>0</v>
      </c>
      <c r="J21" s="156"/>
      <c r="K21" s="258">
        <f t="shared" si="5"/>
        <v>13661.406661613239</v>
      </c>
      <c r="L21" s="257">
        <f t="shared" si="1"/>
        <v>0</v>
      </c>
      <c r="M21" s="258">
        <f t="shared" si="6"/>
        <v>13661.406661613239</v>
      </c>
      <c r="N21" s="158">
        <f t="shared" si="2"/>
        <v>0</v>
      </c>
      <c r="O21" s="158">
        <f t="shared" si="3"/>
        <v>0</v>
      </c>
      <c r="P21" s="4"/>
      <c r="R21" s="1"/>
      <c r="S21" s="1"/>
      <c r="T21" s="1"/>
      <c r="U21" s="1"/>
      <c r="V21" s="1"/>
      <c r="W21" s="1"/>
    </row>
    <row r="22" spans="2:23">
      <c r="B22" s="9" t="str">
        <f t="shared" si="4"/>
        <v/>
      </c>
      <c r="C22" s="153">
        <f>IF(D11="","-",+C21+1)</f>
        <v>2012</v>
      </c>
      <c r="D22" s="361">
        <v>74707.318998716291</v>
      </c>
      <c r="E22" s="377">
        <v>1945.2619047619048</v>
      </c>
      <c r="F22" s="361">
        <v>72762.057093954383</v>
      </c>
      <c r="G22" s="360">
        <v>12766.445227365637</v>
      </c>
      <c r="H22" s="359">
        <v>12766.445227365637</v>
      </c>
      <c r="I22" s="368">
        <v>0</v>
      </c>
      <c r="J22" s="156"/>
      <c r="K22" s="258">
        <f t="shared" si="5"/>
        <v>12766.445227365637</v>
      </c>
      <c r="L22" s="257">
        <f t="shared" si="1"/>
        <v>0</v>
      </c>
      <c r="M22" s="258">
        <f t="shared" si="6"/>
        <v>12766.445227365637</v>
      </c>
      <c r="N22" s="158">
        <f t="shared" si="2"/>
        <v>0</v>
      </c>
      <c r="O22" s="158">
        <f t="shared" si="3"/>
        <v>0</v>
      </c>
      <c r="P22" s="4"/>
      <c r="R22" s="1"/>
      <c r="S22" s="1"/>
      <c r="T22" s="1"/>
      <c r="U22" s="1"/>
      <c r="V22" s="1"/>
      <c r="W22" s="1"/>
    </row>
    <row r="23" spans="2:23">
      <c r="B23" s="9" t="str">
        <f t="shared" si="4"/>
        <v/>
      </c>
      <c r="C23" s="153">
        <f>IF(D11="","-",+C22+1)</f>
        <v>2013</v>
      </c>
      <c r="D23" s="396">
        <v>72762.057093954383</v>
      </c>
      <c r="E23" s="397">
        <v>1945.2619047619048</v>
      </c>
      <c r="F23" s="396">
        <v>70816.795189192475</v>
      </c>
      <c r="G23" s="397">
        <v>11858.698425256665</v>
      </c>
      <c r="H23" s="395">
        <v>11858.698425256665</v>
      </c>
      <c r="I23" s="398">
        <v>0</v>
      </c>
      <c r="J23" s="156"/>
      <c r="K23" s="258">
        <f t="shared" si="5"/>
        <v>11858.698425256665</v>
      </c>
      <c r="L23" s="257">
        <f t="shared" ref="L23:L28" si="7">IF(K23&lt;&gt;0,+G23-K23,0)</f>
        <v>0</v>
      </c>
      <c r="M23" s="258">
        <f t="shared" si="6"/>
        <v>11858.698425256665</v>
      </c>
      <c r="N23" s="158">
        <f t="shared" ref="N23:N28" si="8">IF(M23&lt;&gt;0,+H23-M23,0)</f>
        <v>0</v>
      </c>
      <c r="O23" s="158">
        <f t="shared" ref="O23:O28" si="9">+N23-L23</f>
        <v>0</v>
      </c>
      <c r="P23" s="4"/>
      <c r="R23" s="1"/>
      <c r="S23" s="1"/>
      <c r="T23" s="1"/>
      <c r="U23" s="1"/>
      <c r="V23" s="1"/>
      <c r="W23" s="1"/>
    </row>
    <row r="24" spans="2:23">
      <c r="B24" s="9" t="str">
        <f t="shared" si="4"/>
        <v/>
      </c>
      <c r="C24" s="153">
        <f>IF(D11="","-",+C23+1)</f>
        <v>2014</v>
      </c>
      <c r="D24" s="396">
        <v>70816.795189192475</v>
      </c>
      <c r="E24" s="397">
        <v>1945.2619047619048</v>
      </c>
      <c r="F24" s="396">
        <v>68871.533284430567</v>
      </c>
      <c r="G24" s="397">
        <v>11236.755464120854</v>
      </c>
      <c r="H24" s="395">
        <v>11236.755464120854</v>
      </c>
      <c r="I24" s="398">
        <v>0</v>
      </c>
      <c r="J24" s="156"/>
      <c r="K24" s="258">
        <f t="shared" si="5"/>
        <v>11236.755464120854</v>
      </c>
      <c r="L24" s="257">
        <f t="shared" si="7"/>
        <v>0</v>
      </c>
      <c r="M24" s="258">
        <f t="shared" si="6"/>
        <v>11236.755464120854</v>
      </c>
      <c r="N24" s="158">
        <f t="shared" si="8"/>
        <v>0</v>
      </c>
      <c r="O24" s="158">
        <f t="shared" si="9"/>
        <v>0</v>
      </c>
      <c r="P24" s="4"/>
      <c r="R24" s="1"/>
      <c r="S24" s="1"/>
      <c r="T24" s="1"/>
      <c r="U24" s="1"/>
      <c r="V24" s="1"/>
      <c r="W24" s="1"/>
    </row>
    <row r="25" spans="2:23">
      <c r="B25" s="9" t="str">
        <f t="shared" si="4"/>
        <v/>
      </c>
      <c r="C25" s="153">
        <f>IF(D11="","-",+C24+1)</f>
        <v>2015</v>
      </c>
      <c r="D25" s="396">
        <v>68871.533284430567</v>
      </c>
      <c r="E25" s="397">
        <v>1945.2619047619048</v>
      </c>
      <c r="F25" s="396">
        <v>66926.271379668658</v>
      </c>
      <c r="G25" s="397">
        <v>10759.773156827454</v>
      </c>
      <c r="H25" s="395">
        <v>10759.773156827454</v>
      </c>
      <c r="I25" s="156">
        <v>0</v>
      </c>
      <c r="J25" s="156"/>
      <c r="K25" s="258">
        <f t="shared" si="5"/>
        <v>10759.773156827454</v>
      </c>
      <c r="L25" s="257">
        <f t="shared" si="7"/>
        <v>0</v>
      </c>
      <c r="M25" s="258">
        <f t="shared" si="6"/>
        <v>10759.773156827454</v>
      </c>
      <c r="N25" s="158">
        <f t="shared" si="8"/>
        <v>0</v>
      </c>
      <c r="O25" s="158">
        <f t="shared" si="9"/>
        <v>0</v>
      </c>
      <c r="P25" s="4"/>
      <c r="R25" s="1"/>
      <c r="S25" s="1"/>
      <c r="T25" s="1"/>
      <c r="U25" s="1"/>
      <c r="V25" s="1"/>
      <c r="W25" s="1"/>
    </row>
    <row r="26" spans="2:23">
      <c r="B26" s="9" t="str">
        <f t="shared" si="4"/>
        <v/>
      </c>
      <c r="C26" s="153">
        <f>IF(D11="","-",+C25+1)</f>
        <v>2016</v>
      </c>
      <c r="D26" s="396">
        <v>66926.271379668658</v>
      </c>
      <c r="E26" s="397">
        <v>1945.2619047619048</v>
      </c>
      <c r="F26" s="396">
        <v>64981.00947490675</v>
      </c>
      <c r="G26" s="397">
        <v>10397.989993961875</v>
      </c>
      <c r="H26" s="395">
        <v>10397.989993961875</v>
      </c>
      <c r="I26" s="156">
        <f t="shared" si="0"/>
        <v>0</v>
      </c>
      <c r="J26" s="156"/>
      <c r="K26" s="258">
        <f>G26</f>
        <v>10397.989993961875</v>
      </c>
      <c r="L26" s="257">
        <f t="shared" si="7"/>
        <v>0</v>
      </c>
      <c r="M26" s="258">
        <f>H26</f>
        <v>10397.989993961875</v>
      </c>
      <c r="N26" s="158">
        <f t="shared" si="8"/>
        <v>0</v>
      </c>
      <c r="O26" s="158">
        <f t="shared" si="9"/>
        <v>0</v>
      </c>
      <c r="P26" s="4"/>
      <c r="R26" s="1"/>
      <c r="S26" s="1"/>
      <c r="T26" s="1"/>
      <c r="U26" s="1"/>
      <c r="V26" s="1"/>
      <c r="W26" s="1"/>
    </row>
    <row r="27" spans="2:23">
      <c r="B27" s="9" t="str">
        <f t="shared" si="4"/>
        <v/>
      </c>
      <c r="C27" s="153">
        <f>IF(D11="","-",+C26+1)</f>
        <v>2017</v>
      </c>
      <c r="D27" s="396">
        <v>64981.00947490675</v>
      </c>
      <c r="E27" s="397">
        <v>1900.0232558139535</v>
      </c>
      <c r="F27" s="396">
        <v>63080.986219092796</v>
      </c>
      <c r="G27" s="397">
        <v>9832.9858090659618</v>
      </c>
      <c r="H27" s="395">
        <v>9832.9858090659618</v>
      </c>
      <c r="I27" s="156">
        <v>0</v>
      </c>
      <c r="J27" s="156"/>
      <c r="K27" s="258">
        <f>G27</f>
        <v>9832.9858090659618</v>
      </c>
      <c r="L27" s="257">
        <f t="shared" si="7"/>
        <v>0</v>
      </c>
      <c r="M27" s="258">
        <f>H27</f>
        <v>9832.9858090659618</v>
      </c>
      <c r="N27" s="158">
        <f t="shared" si="8"/>
        <v>0</v>
      </c>
      <c r="O27" s="158">
        <f t="shared" si="9"/>
        <v>0</v>
      </c>
      <c r="P27" s="4"/>
      <c r="R27" s="1"/>
      <c r="S27" s="1"/>
      <c r="T27" s="1"/>
      <c r="U27" s="1"/>
      <c r="V27" s="1"/>
      <c r="W27" s="1"/>
    </row>
    <row r="28" spans="2:23">
      <c r="B28" s="9" t="str">
        <f t="shared" si="4"/>
        <v/>
      </c>
      <c r="C28" s="153">
        <f>IF(D11="","-",+C27+1)</f>
        <v>2018</v>
      </c>
      <c r="D28" s="396">
        <v>63080.986219092796</v>
      </c>
      <c r="E28" s="397">
        <v>1992.7073170731708</v>
      </c>
      <c r="F28" s="396">
        <v>61088.278902019629</v>
      </c>
      <c r="G28" s="397">
        <v>8938.9973866530927</v>
      </c>
      <c r="H28" s="395">
        <v>8938.9973866530927</v>
      </c>
      <c r="I28" s="156">
        <f t="shared" si="0"/>
        <v>0</v>
      </c>
      <c r="J28" s="156"/>
      <c r="K28" s="258">
        <f>G28</f>
        <v>8938.9973866530927</v>
      </c>
      <c r="L28" s="257">
        <f t="shared" si="7"/>
        <v>0</v>
      </c>
      <c r="M28" s="258">
        <f>H28</f>
        <v>8938.9973866530927</v>
      </c>
      <c r="N28" s="158">
        <f t="shared" si="8"/>
        <v>0</v>
      </c>
      <c r="O28" s="158">
        <f t="shared" si="9"/>
        <v>0</v>
      </c>
      <c r="P28" s="4"/>
      <c r="R28" s="1"/>
      <c r="S28" s="1"/>
      <c r="T28" s="1"/>
      <c r="U28" s="1"/>
      <c r="V28" s="1"/>
      <c r="W28" s="1"/>
    </row>
    <row r="29" spans="2:23">
      <c r="B29" s="9" t="str">
        <f t="shared" si="4"/>
        <v/>
      </c>
      <c r="C29" s="153">
        <f>IF(D11="","-",+C28+1)</f>
        <v>2019</v>
      </c>
      <c r="D29" s="159">
        <f>IF(F28+SUM(E$17:E28)=D$10,F28,D$10-SUM(E$17:E28))</f>
        <v>61088.278902019629</v>
      </c>
      <c r="E29" s="160">
        <f>IF(+I14&lt;F28,I14,D29)</f>
        <v>1900.0232558139535</v>
      </c>
      <c r="F29" s="159">
        <f t="shared" ref="F29:F48" si="10">+D29-E29</f>
        <v>59188.255646205675</v>
      </c>
      <c r="G29" s="161">
        <f t="shared" ref="G29:G72" si="11">+I$12*((D29+F29)/2)+E29</f>
        <v>7887.128894811628</v>
      </c>
      <c r="H29" s="142">
        <f t="shared" ref="H29:H72" si="12">+I$13*((D29+F29)/2)+E29</f>
        <v>7887.128894811628</v>
      </c>
      <c r="I29" s="156">
        <f t="shared" si="0"/>
        <v>0</v>
      </c>
      <c r="J29" s="156"/>
      <c r="K29" s="334"/>
      <c r="L29" s="158">
        <f t="shared" si="1"/>
        <v>0</v>
      </c>
      <c r="M29" s="334"/>
      <c r="N29" s="158">
        <f t="shared" si="2"/>
        <v>0</v>
      </c>
      <c r="O29" s="158">
        <f t="shared" si="3"/>
        <v>0</v>
      </c>
      <c r="P29" s="4"/>
      <c r="R29" s="1"/>
      <c r="S29" s="1"/>
      <c r="T29" s="1"/>
      <c r="U29" s="1"/>
      <c r="V29" s="1"/>
      <c r="W29" s="1"/>
    </row>
    <row r="30" spans="2:23">
      <c r="B30" s="9" t="str">
        <f t="shared" si="4"/>
        <v/>
      </c>
      <c r="C30" s="153">
        <f>IF(D11="","-",+C29+1)</f>
        <v>2020</v>
      </c>
      <c r="D30" s="159">
        <f>IF(F29+SUM(E$17:E29)=D$10,F29,D$10-SUM(E$17:E29))</f>
        <v>59188.255646205675</v>
      </c>
      <c r="E30" s="160">
        <f>IF(+I14&lt;F29,I14,D30)</f>
        <v>1900.0232558139535</v>
      </c>
      <c r="F30" s="159">
        <f t="shared" si="10"/>
        <v>57288.23239039172</v>
      </c>
      <c r="G30" s="161">
        <f t="shared" si="11"/>
        <v>7697.9708018911942</v>
      </c>
      <c r="H30" s="142">
        <f t="shared" si="12"/>
        <v>7697.9708018911942</v>
      </c>
      <c r="I30" s="156">
        <f t="shared" si="0"/>
        <v>0</v>
      </c>
      <c r="J30" s="156"/>
      <c r="K30" s="334"/>
      <c r="L30" s="158">
        <f t="shared" si="1"/>
        <v>0</v>
      </c>
      <c r="M30" s="334"/>
      <c r="N30" s="158">
        <f t="shared" si="2"/>
        <v>0</v>
      </c>
      <c r="O30" s="158">
        <f t="shared" si="3"/>
        <v>0</v>
      </c>
      <c r="P30" s="4"/>
      <c r="R30" s="1"/>
      <c r="S30" s="1"/>
      <c r="T30" s="1"/>
      <c r="U30" s="1"/>
      <c r="V30" s="1"/>
      <c r="W30" s="1"/>
    </row>
    <row r="31" spans="2:23">
      <c r="B31" s="9" t="str">
        <f t="shared" si="4"/>
        <v/>
      </c>
      <c r="C31" s="153">
        <f>IF(D11="","-",+C30+1)</f>
        <v>2021</v>
      </c>
      <c r="D31" s="159">
        <f>IF(F30+SUM(E$17:E30)=D$10,F30,D$10-SUM(E$17:E30))</f>
        <v>57288.23239039172</v>
      </c>
      <c r="E31" s="160">
        <f>IF(+I14&lt;F30,I14,D31)</f>
        <v>1900.0232558139535</v>
      </c>
      <c r="F31" s="159">
        <f t="shared" si="10"/>
        <v>55388.209134577766</v>
      </c>
      <c r="G31" s="161">
        <f t="shared" si="11"/>
        <v>7508.8127089707614</v>
      </c>
      <c r="H31" s="142">
        <f t="shared" si="12"/>
        <v>7508.8127089707614</v>
      </c>
      <c r="I31" s="156">
        <f t="shared" si="0"/>
        <v>0</v>
      </c>
      <c r="J31" s="156"/>
      <c r="K31" s="334"/>
      <c r="L31" s="158">
        <f t="shared" si="1"/>
        <v>0</v>
      </c>
      <c r="M31" s="334"/>
      <c r="N31" s="158">
        <f t="shared" si="2"/>
        <v>0</v>
      </c>
      <c r="O31" s="158">
        <f t="shared" si="3"/>
        <v>0</v>
      </c>
      <c r="P31" s="4"/>
      <c r="R31" s="1"/>
      <c r="S31" s="1"/>
      <c r="T31" s="1"/>
      <c r="U31" s="1"/>
      <c r="V31" s="1"/>
      <c r="W31" s="1"/>
    </row>
    <row r="32" spans="2:23">
      <c r="B32" s="9" t="str">
        <f t="shared" si="4"/>
        <v/>
      </c>
      <c r="C32" s="153">
        <f>IF(D11="","-",+C31+1)</f>
        <v>2022</v>
      </c>
      <c r="D32" s="159">
        <f>IF(F31+SUM(E$17:E31)=D$10,F31,D$10-SUM(E$17:E31))</f>
        <v>55388.209134577766</v>
      </c>
      <c r="E32" s="160">
        <f>IF(+I14&lt;F31,I14,D32)</f>
        <v>1900.0232558139535</v>
      </c>
      <c r="F32" s="159">
        <f t="shared" si="10"/>
        <v>53488.185878763812</v>
      </c>
      <c r="G32" s="161">
        <f t="shared" si="11"/>
        <v>7319.6546160503285</v>
      </c>
      <c r="H32" s="142">
        <f t="shared" si="12"/>
        <v>7319.6546160503285</v>
      </c>
      <c r="I32" s="156">
        <f t="shared" si="0"/>
        <v>0</v>
      </c>
      <c r="J32" s="156"/>
      <c r="K32" s="334"/>
      <c r="L32" s="158">
        <f t="shared" si="1"/>
        <v>0</v>
      </c>
      <c r="M32" s="334"/>
      <c r="N32" s="158">
        <f t="shared" si="2"/>
        <v>0</v>
      </c>
      <c r="O32" s="158">
        <f t="shared" si="3"/>
        <v>0</v>
      </c>
      <c r="P32" s="4"/>
      <c r="R32" s="1"/>
      <c r="S32" s="1"/>
      <c r="T32" s="1"/>
      <c r="U32" s="1"/>
      <c r="V32" s="1"/>
      <c r="W32" s="1"/>
    </row>
    <row r="33" spans="2:23">
      <c r="B33" s="374" t="str">
        <f t="shared" si="4"/>
        <v/>
      </c>
      <c r="C33" s="153">
        <f>IF(D11="","-",+C32+1)</f>
        <v>2023</v>
      </c>
      <c r="D33" s="159">
        <f>IF(F32+SUM(E$17:E32)=D$10,F32,D$10-SUM(E$17:E32))</f>
        <v>53488.185878763812</v>
      </c>
      <c r="E33" s="160">
        <f>IF(+I14&lt;F32,I14,D33)</f>
        <v>1900.0232558139535</v>
      </c>
      <c r="F33" s="159">
        <f t="shared" si="10"/>
        <v>51588.162622949858</v>
      </c>
      <c r="G33" s="161">
        <f t="shared" si="11"/>
        <v>7130.4965231298947</v>
      </c>
      <c r="H33" s="142">
        <f t="shared" si="12"/>
        <v>7130.4965231298947</v>
      </c>
      <c r="I33" s="156">
        <f t="shared" si="0"/>
        <v>0</v>
      </c>
      <c r="J33" s="156"/>
      <c r="K33" s="334"/>
      <c r="L33" s="158">
        <f t="shared" si="1"/>
        <v>0</v>
      </c>
      <c r="M33" s="334"/>
      <c r="N33" s="158">
        <f t="shared" si="2"/>
        <v>0</v>
      </c>
      <c r="O33" s="158">
        <f t="shared" si="3"/>
        <v>0</v>
      </c>
      <c r="P33" s="4"/>
      <c r="R33" s="1"/>
      <c r="S33" s="1"/>
      <c r="T33" s="1"/>
      <c r="U33" s="1"/>
      <c r="V33" s="1"/>
      <c r="W33" s="1"/>
    </row>
    <row r="34" spans="2:23">
      <c r="B34" s="9" t="str">
        <f t="shared" si="4"/>
        <v/>
      </c>
      <c r="C34" s="153">
        <f>IF(D11="","-",+C33+1)</f>
        <v>2024</v>
      </c>
      <c r="D34" s="159">
        <f>IF(F33+SUM(E$17:E33)=D$10,F33,D$10-SUM(E$17:E33))</f>
        <v>51588.162622949858</v>
      </c>
      <c r="E34" s="160">
        <f>IF(+I14&lt;F33,I14,D34)</f>
        <v>1900.0232558139535</v>
      </c>
      <c r="F34" s="159">
        <f t="shared" si="10"/>
        <v>49688.139367135904</v>
      </c>
      <c r="G34" s="161">
        <f t="shared" si="11"/>
        <v>6941.3384302094619</v>
      </c>
      <c r="H34" s="142">
        <f t="shared" si="12"/>
        <v>6941.3384302094619</v>
      </c>
      <c r="I34" s="156">
        <f t="shared" si="0"/>
        <v>0</v>
      </c>
      <c r="J34" s="156"/>
      <c r="K34" s="334"/>
      <c r="L34" s="158">
        <f t="shared" si="1"/>
        <v>0</v>
      </c>
      <c r="M34" s="334"/>
      <c r="N34" s="158">
        <f t="shared" si="2"/>
        <v>0</v>
      </c>
      <c r="O34" s="158">
        <f t="shared" si="3"/>
        <v>0</v>
      </c>
      <c r="P34" s="4"/>
      <c r="R34" s="1"/>
      <c r="S34" s="1"/>
      <c r="T34" s="1"/>
      <c r="U34" s="1"/>
      <c r="V34" s="1"/>
      <c r="W34" s="1"/>
    </row>
    <row r="35" spans="2:23">
      <c r="B35" s="9" t="str">
        <f t="shared" si="4"/>
        <v/>
      </c>
      <c r="C35" s="153">
        <f>IF(D11="","-",+C34+1)</f>
        <v>2025</v>
      </c>
      <c r="D35" s="159">
        <f>IF(F34+SUM(E$17:E34)=D$10,F34,D$10-SUM(E$17:E34))</f>
        <v>49688.139367135904</v>
      </c>
      <c r="E35" s="160">
        <f>IF(+I14&lt;F34,I14,D35)</f>
        <v>1900.0232558139535</v>
      </c>
      <c r="F35" s="159">
        <f t="shared" si="10"/>
        <v>47788.11611132195</v>
      </c>
      <c r="G35" s="161">
        <f t="shared" si="11"/>
        <v>6752.180337289029</v>
      </c>
      <c r="H35" s="142">
        <f t="shared" si="12"/>
        <v>6752.180337289029</v>
      </c>
      <c r="I35" s="156">
        <f t="shared" si="0"/>
        <v>0</v>
      </c>
      <c r="J35" s="156"/>
      <c r="K35" s="334"/>
      <c r="L35" s="158">
        <f t="shared" si="1"/>
        <v>0</v>
      </c>
      <c r="M35" s="334"/>
      <c r="N35" s="158">
        <f t="shared" si="2"/>
        <v>0</v>
      </c>
      <c r="O35" s="158">
        <f t="shared" si="3"/>
        <v>0</v>
      </c>
      <c r="P35" s="4"/>
      <c r="R35" s="1"/>
      <c r="S35" s="1"/>
      <c r="T35" s="1"/>
      <c r="U35" s="1"/>
      <c r="V35" s="1"/>
      <c r="W35" s="1"/>
    </row>
    <row r="36" spans="2:23">
      <c r="B36" s="9" t="str">
        <f t="shared" si="4"/>
        <v/>
      </c>
      <c r="C36" s="153">
        <f>IF(D11="","-",+C35+1)</f>
        <v>2026</v>
      </c>
      <c r="D36" s="159">
        <f>IF(F35+SUM(E$17:E35)=D$10,F35,D$10-SUM(E$17:E35))</f>
        <v>47788.11611132195</v>
      </c>
      <c r="E36" s="160">
        <f>IF(+I14&lt;F35,I14,D36)</f>
        <v>1900.0232558139535</v>
      </c>
      <c r="F36" s="159">
        <f t="shared" si="10"/>
        <v>45888.092855507995</v>
      </c>
      <c r="G36" s="161">
        <f t="shared" si="11"/>
        <v>6563.0222443685952</v>
      </c>
      <c r="H36" s="142">
        <f t="shared" si="12"/>
        <v>6563.0222443685952</v>
      </c>
      <c r="I36" s="156">
        <f t="shared" si="0"/>
        <v>0</v>
      </c>
      <c r="J36" s="156"/>
      <c r="K36" s="334"/>
      <c r="L36" s="158">
        <f t="shared" si="1"/>
        <v>0</v>
      </c>
      <c r="M36" s="334"/>
      <c r="N36" s="158">
        <f t="shared" si="2"/>
        <v>0</v>
      </c>
      <c r="O36" s="158">
        <f t="shared" si="3"/>
        <v>0</v>
      </c>
      <c r="P36" s="4"/>
      <c r="R36" s="1"/>
      <c r="S36" s="1"/>
      <c r="T36" s="1"/>
      <c r="U36" s="1"/>
      <c r="V36" s="1"/>
      <c r="W36" s="1"/>
    </row>
    <row r="37" spans="2:23">
      <c r="B37" s="9" t="str">
        <f t="shared" si="4"/>
        <v/>
      </c>
      <c r="C37" s="153">
        <f>IF(D11="","-",+C36+1)</f>
        <v>2027</v>
      </c>
      <c r="D37" s="159">
        <f>IF(F36+SUM(E$17:E36)=D$10,F36,D$10-SUM(E$17:E36))</f>
        <v>45888.092855507995</v>
      </c>
      <c r="E37" s="160">
        <f>IF(+I14&lt;F36,I14,D37)</f>
        <v>1900.0232558139535</v>
      </c>
      <c r="F37" s="159">
        <f t="shared" si="10"/>
        <v>43988.069599694041</v>
      </c>
      <c r="G37" s="161">
        <f t="shared" si="11"/>
        <v>6373.8641514481624</v>
      </c>
      <c r="H37" s="142">
        <f t="shared" si="12"/>
        <v>6373.8641514481624</v>
      </c>
      <c r="I37" s="156">
        <f t="shared" si="0"/>
        <v>0</v>
      </c>
      <c r="J37" s="156"/>
      <c r="K37" s="334"/>
      <c r="L37" s="158">
        <f t="shared" si="1"/>
        <v>0</v>
      </c>
      <c r="M37" s="334"/>
      <c r="N37" s="158">
        <f t="shared" si="2"/>
        <v>0</v>
      </c>
      <c r="O37" s="158">
        <f t="shared" si="3"/>
        <v>0</v>
      </c>
      <c r="P37" s="4"/>
      <c r="R37" s="1"/>
      <c r="S37" s="1"/>
      <c r="T37" s="1"/>
      <c r="U37" s="1"/>
      <c r="V37" s="1"/>
      <c r="W37" s="1"/>
    </row>
    <row r="38" spans="2:23">
      <c r="B38" s="9" t="str">
        <f t="shared" si="4"/>
        <v/>
      </c>
      <c r="C38" s="153">
        <f>IF(D11="","-",+C37+1)</f>
        <v>2028</v>
      </c>
      <c r="D38" s="159">
        <f>IF(F37+SUM(E$17:E37)=D$10,F37,D$10-SUM(E$17:E37))</f>
        <v>43988.069599694041</v>
      </c>
      <c r="E38" s="160">
        <f>IF(+I14&lt;F37,I14,D38)</f>
        <v>1900.0232558139535</v>
      </c>
      <c r="F38" s="159">
        <f t="shared" si="10"/>
        <v>42088.046343880087</v>
      </c>
      <c r="G38" s="161">
        <f t="shared" si="11"/>
        <v>6184.7060585277295</v>
      </c>
      <c r="H38" s="142">
        <f t="shared" si="12"/>
        <v>6184.7060585277295</v>
      </c>
      <c r="I38" s="156">
        <f t="shared" si="0"/>
        <v>0</v>
      </c>
      <c r="J38" s="156"/>
      <c r="K38" s="334"/>
      <c r="L38" s="158">
        <f t="shared" si="1"/>
        <v>0</v>
      </c>
      <c r="M38" s="334"/>
      <c r="N38" s="158">
        <f t="shared" si="2"/>
        <v>0</v>
      </c>
      <c r="O38" s="158">
        <f t="shared" si="3"/>
        <v>0</v>
      </c>
      <c r="P38" s="4"/>
      <c r="R38" s="1"/>
      <c r="S38" s="1"/>
      <c r="T38" s="1"/>
      <c r="U38" s="1"/>
      <c r="V38" s="1"/>
      <c r="W38" s="1"/>
    </row>
    <row r="39" spans="2:23">
      <c r="B39" s="9" t="str">
        <f t="shared" si="4"/>
        <v/>
      </c>
      <c r="C39" s="153">
        <f>IF(D11="","-",+C38+1)</f>
        <v>2029</v>
      </c>
      <c r="D39" s="159">
        <f>IF(F38+SUM(E$17:E38)=D$10,F38,D$10-SUM(E$17:E38))</f>
        <v>42088.046343880087</v>
      </c>
      <c r="E39" s="160">
        <f>IF(+I14&lt;F38,I14,D39)</f>
        <v>1900.0232558139535</v>
      </c>
      <c r="F39" s="159">
        <f t="shared" si="10"/>
        <v>40188.023088066133</v>
      </c>
      <c r="G39" s="161">
        <f t="shared" si="11"/>
        <v>5995.5479656072966</v>
      </c>
      <c r="H39" s="142">
        <f t="shared" si="12"/>
        <v>5995.5479656072966</v>
      </c>
      <c r="I39" s="156">
        <f t="shared" si="0"/>
        <v>0</v>
      </c>
      <c r="J39" s="156"/>
      <c r="K39" s="334"/>
      <c r="L39" s="158">
        <f t="shared" si="1"/>
        <v>0</v>
      </c>
      <c r="M39" s="334"/>
      <c r="N39" s="158">
        <f t="shared" si="2"/>
        <v>0</v>
      </c>
      <c r="O39" s="158">
        <f t="shared" si="3"/>
        <v>0</v>
      </c>
      <c r="P39" s="4"/>
      <c r="R39" s="1"/>
      <c r="S39" s="1"/>
      <c r="T39" s="1"/>
      <c r="U39" s="1"/>
      <c r="V39" s="1"/>
      <c r="W39" s="1"/>
    </row>
    <row r="40" spans="2:23">
      <c r="B40" s="9" t="str">
        <f t="shared" si="4"/>
        <v/>
      </c>
      <c r="C40" s="153">
        <f>IF(D11="","-",+C39+1)</f>
        <v>2030</v>
      </c>
      <c r="D40" s="159">
        <f>IF(F39+SUM(E$17:E39)=D$10,F39,D$10-SUM(E$17:E39))</f>
        <v>40188.023088066133</v>
      </c>
      <c r="E40" s="160">
        <f>IF(+I14&lt;F39,I14,D40)</f>
        <v>1900.0232558139535</v>
      </c>
      <c r="F40" s="159">
        <f t="shared" si="10"/>
        <v>38287.999832252179</v>
      </c>
      <c r="G40" s="161">
        <f t="shared" si="11"/>
        <v>5806.3898726868629</v>
      </c>
      <c r="H40" s="142">
        <f t="shared" si="12"/>
        <v>5806.3898726868629</v>
      </c>
      <c r="I40" s="156">
        <f t="shared" si="0"/>
        <v>0</v>
      </c>
      <c r="J40" s="156"/>
      <c r="K40" s="334"/>
      <c r="L40" s="158">
        <f t="shared" si="1"/>
        <v>0</v>
      </c>
      <c r="M40" s="334"/>
      <c r="N40" s="158">
        <f t="shared" si="2"/>
        <v>0</v>
      </c>
      <c r="O40" s="158">
        <f t="shared" si="3"/>
        <v>0</v>
      </c>
      <c r="P40" s="4"/>
      <c r="R40" s="1"/>
      <c r="S40" s="1"/>
      <c r="T40" s="1"/>
      <c r="U40" s="1"/>
      <c r="V40" s="1"/>
      <c r="W40" s="1"/>
    </row>
    <row r="41" spans="2:23">
      <c r="B41" s="9" t="str">
        <f t="shared" si="4"/>
        <v/>
      </c>
      <c r="C41" s="153">
        <f>IF(D11="","-",+C40+1)</f>
        <v>2031</v>
      </c>
      <c r="D41" s="159">
        <f>IF(F40+SUM(E$17:E40)=D$10,F40,D$10-SUM(E$17:E40))</f>
        <v>38287.999832252179</v>
      </c>
      <c r="E41" s="160">
        <f>IF(+I14&lt;F40,I14,D41)</f>
        <v>1900.0232558139535</v>
      </c>
      <c r="F41" s="159">
        <f t="shared" si="10"/>
        <v>36387.976576438225</v>
      </c>
      <c r="G41" s="161">
        <f t="shared" si="11"/>
        <v>5617.23177976643</v>
      </c>
      <c r="H41" s="142">
        <f t="shared" si="12"/>
        <v>5617.23177976643</v>
      </c>
      <c r="I41" s="156">
        <f t="shared" si="0"/>
        <v>0</v>
      </c>
      <c r="J41" s="156"/>
      <c r="K41" s="334"/>
      <c r="L41" s="158">
        <f t="shared" si="1"/>
        <v>0</v>
      </c>
      <c r="M41" s="334"/>
      <c r="N41" s="158">
        <f t="shared" si="2"/>
        <v>0</v>
      </c>
      <c r="O41" s="158">
        <f t="shared" si="3"/>
        <v>0</v>
      </c>
      <c r="P41" s="4"/>
      <c r="R41" s="1"/>
      <c r="S41" s="1"/>
      <c r="T41" s="1"/>
      <c r="U41" s="1"/>
      <c r="V41" s="1"/>
      <c r="W41" s="1"/>
    </row>
    <row r="42" spans="2:23">
      <c r="B42" s="9" t="str">
        <f t="shared" si="4"/>
        <v/>
      </c>
      <c r="C42" s="153">
        <f>IF(D11="","-",+C41+1)</f>
        <v>2032</v>
      </c>
      <c r="D42" s="159">
        <f>IF(F41+SUM(E$17:E41)=D$10,F41,D$10-SUM(E$17:E41))</f>
        <v>36387.976576438225</v>
      </c>
      <c r="E42" s="160">
        <f>IF(+I14&lt;F41,I14,D42)</f>
        <v>1900.0232558139535</v>
      </c>
      <c r="F42" s="159">
        <f t="shared" si="10"/>
        <v>34487.95332062427</v>
      </c>
      <c r="G42" s="161">
        <f t="shared" si="11"/>
        <v>5428.0736868459971</v>
      </c>
      <c r="H42" s="142">
        <f t="shared" si="12"/>
        <v>5428.0736868459971</v>
      </c>
      <c r="I42" s="156">
        <f t="shared" si="0"/>
        <v>0</v>
      </c>
      <c r="J42" s="156"/>
      <c r="K42" s="334"/>
      <c r="L42" s="158">
        <f t="shared" si="1"/>
        <v>0</v>
      </c>
      <c r="M42" s="334"/>
      <c r="N42" s="158">
        <f t="shared" si="2"/>
        <v>0</v>
      </c>
      <c r="O42" s="158">
        <f t="shared" si="3"/>
        <v>0</v>
      </c>
      <c r="P42" s="4"/>
      <c r="R42" s="1"/>
      <c r="S42" s="1"/>
      <c r="T42" s="1"/>
      <c r="U42" s="1"/>
      <c r="V42" s="1"/>
      <c r="W42" s="1"/>
    </row>
    <row r="43" spans="2:23">
      <c r="B43" s="9" t="str">
        <f t="shared" si="4"/>
        <v/>
      </c>
      <c r="C43" s="153">
        <f>IF(D11="","-",+C42+1)</f>
        <v>2033</v>
      </c>
      <c r="D43" s="159">
        <f>IF(F42+SUM(E$17:E42)=D$10,F42,D$10-SUM(E$17:E42))</f>
        <v>34487.95332062427</v>
      </c>
      <c r="E43" s="160">
        <f>IF(+I14&lt;F42,I14,D43)</f>
        <v>1900.0232558139535</v>
      </c>
      <c r="F43" s="159">
        <f t="shared" si="10"/>
        <v>32587.930064810316</v>
      </c>
      <c r="G43" s="161">
        <f t="shared" si="11"/>
        <v>5238.9155939255634</v>
      </c>
      <c r="H43" s="142">
        <f t="shared" si="12"/>
        <v>5238.9155939255634</v>
      </c>
      <c r="I43" s="156">
        <f t="shared" si="0"/>
        <v>0</v>
      </c>
      <c r="J43" s="156"/>
      <c r="K43" s="334"/>
      <c r="L43" s="158">
        <f t="shared" si="1"/>
        <v>0</v>
      </c>
      <c r="M43" s="334"/>
      <c r="N43" s="158">
        <f t="shared" si="2"/>
        <v>0</v>
      </c>
      <c r="O43" s="158">
        <f t="shared" si="3"/>
        <v>0</v>
      </c>
      <c r="P43" s="4"/>
      <c r="R43" s="1"/>
      <c r="S43" s="1"/>
      <c r="T43" s="1"/>
      <c r="U43" s="1"/>
      <c r="V43" s="1"/>
      <c r="W43" s="1"/>
    </row>
    <row r="44" spans="2:23">
      <c r="B44" s="9" t="str">
        <f t="shared" si="4"/>
        <v/>
      </c>
      <c r="C44" s="153">
        <f>IF(D11="","-",+C43+1)</f>
        <v>2034</v>
      </c>
      <c r="D44" s="159">
        <f>IF(F43+SUM(E$17:E43)=D$10,F43,D$10-SUM(E$17:E43))</f>
        <v>32587.930064810316</v>
      </c>
      <c r="E44" s="160">
        <f>IF(+I14&lt;F43,I14,D44)</f>
        <v>1900.0232558139535</v>
      </c>
      <c r="F44" s="159">
        <f t="shared" si="10"/>
        <v>30687.906808996362</v>
      </c>
      <c r="G44" s="161">
        <f t="shared" si="11"/>
        <v>5049.7575010051305</v>
      </c>
      <c r="H44" s="142">
        <f t="shared" si="12"/>
        <v>5049.7575010051305</v>
      </c>
      <c r="I44" s="156">
        <f t="shared" si="0"/>
        <v>0</v>
      </c>
      <c r="J44" s="156"/>
      <c r="K44" s="334"/>
      <c r="L44" s="158">
        <f t="shared" si="1"/>
        <v>0</v>
      </c>
      <c r="M44" s="334"/>
      <c r="N44" s="158">
        <f t="shared" si="2"/>
        <v>0</v>
      </c>
      <c r="O44" s="158">
        <f t="shared" si="3"/>
        <v>0</v>
      </c>
      <c r="P44" s="4"/>
      <c r="R44" s="1"/>
      <c r="S44" s="1"/>
      <c r="T44" s="1"/>
      <c r="U44" s="1"/>
      <c r="V44" s="1"/>
      <c r="W44" s="1"/>
    </row>
    <row r="45" spans="2:23">
      <c r="B45" s="9" t="str">
        <f t="shared" si="4"/>
        <v/>
      </c>
      <c r="C45" s="153">
        <f>IF(D11="","-",+C44+1)</f>
        <v>2035</v>
      </c>
      <c r="D45" s="159">
        <f>IF(F44+SUM(E$17:E44)=D$10,F44,D$10-SUM(E$17:E44))</f>
        <v>30687.906808996362</v>
      </c>
      <c r="E45" s="160">
        <f>IF(+I14&lt;F44,I14,D45)</f>
        <v>1900.0232558139535</v>
      </c>
      <c r="F45" s="159">
        <f t="shared" si="10"/>
        <v>28787.883553182408</v>
      </c>
      <c r="G45" s="161">
        <f t="shared" si="11"/>
        <v>4860.5994080846976</v>
      </c>
      <c r="H45" s="142">
        <f t="shared" si="12"/>
        <v>4860.5994080846976</v>
      </c>
      <c r="I45" s="156">
        <f t="shared" si="0"/>
        <v>0</v>
      </c>
      <c r="J45" s="156"/>
      <c r="K45" s="334"/>
      <c r="L45" s="158">
        <f t="shared" si="1"/>
        <v>0</v>
      </c>
      <c r="M45" s="334"/>
      <c r="N45" s="158">
        <f t="shared" si="2"/>
        <v>0</v>
      </c>
      <c r="O45" s="158">
        <f t="shared" si="3"/>
        <v>0</v>
      </c>
      <c r="P45" s="4"/>
      <c r="R45" s="1"/>
      <c r="S45" s="1"/>
      <c r="T45" s="1"/>
      <c r="U45" s="1"/>
      <c r="V45" s="1"/>
      <c r="W45" s="1"/>
    </row>
    <row r="46" spans="2:23">
      <c r="B46" s="9" t="str">
        <f t="shared" si="4"/>
        <v/>
      </c>
      <c r="C46" s="153">
        <f>IF(D11="","-",+C45+1)</f>
        <v>2036</v>
      </c>
      <c r="D46" s="159">
        <f>IF(F45+SUM(E$17:E45)=D$10,F45,D$10-SUM(E$17:E45))</f>
        <v>28787.883553182408</v>
      </c>
      <c r="E46" s="160">
        <f>IF(+I14&lt;F45,I14,D46)</f>
        <v>1900.0232558139535</v>
      </c>
      <c r="F46" s="159">
        <f t="shared" si="10"/>
        <v>26887.860297368454</v>
      </c>
      <c r="G46" s="161">
        <f t="shared" si="11"/>
        <v>4671.4413151642639</v>
      </c>
      <c r="H46" s="142">
        <f t="shared" si="12"/>
        <v>4671.4413151642639</v>
      </c>
      <c r="I46" s="156">
        <f t="shared" si="0"/>
        <v>0</v>
      </c>
      <c r="J46" s="156"/>
      <c r="K46" s="334"/>
      <c r="L46" s="158">
        <f t="shared" si="1"/>
        <v>0</v>
      </c>
      <c r="M46" s="334"/>
      <c r="N46" s="158">
        <f t="shared" si="2"/>
        <v>0</v>
      </c>
      <c r="O46" s="158">
        <f t="shared" si="3"/>
        <v>0</v>
      </c>
      <c r="P46" s="4"/>
      <c r="R46" s="1"/>
      <c r="S46" s="1"/>
      <c r="T46" s="1"/>
      <c r="U46" s="1"/>
      <c r="V46" s="1"/>
      <c r="W46" s="1"/>
    </row>
    <row r="47" spans="2:23">
      <c r="B47" s="9" t="str">
        <f t="shared" si="4"/>
        <v/>
      </c>
      <c r="C47" s="153">
        <f>IF(D11="","-",+C46+1)</f>
        <v>2037</v>
      </c>
      <c r="D47" s="159">
        <f>IF(F46+SUM(E$17:E46)=D$10,F46,D$10-SUM(E$17:E46))</f>
        <v>26887.860297368454</v>
      </c>
      <c r="E47" s="160">
        <f>IF(+I14&lt;F46,I14,D47)</f>
        <v>1900.0232558139535</v>
      </c>
      <c r="F47" s="159">
        <f t="shared" si="10"/>
        <v>24987.8370415545</v>
      </c>
      <c r="G47" s="161">
        <f t="shared" si="11"/>
        <v>4482.283222243831</v>
      </c>
      <c r="H47" s="142">
        <f t="shared" si="12"/>
        <v>4482.283222243831</v>
      </c>
      <c r="I47" s="156">
        <f t="shared" si="0"/>
        <v>0</v>
      </c>
      <c r="J47" s="156"/>
      <c r="K47" s="334"/>
      <c r="L47" s="158">
        <f t="shared" si="1"/>
        <v>0</v>
      </c>
      <c r="M47" s="334"/>
      <c r="N47" s="158">
        <f t="shared" si="2"/>
        <v>0</v>
      </c>
      <c r="O47" s="158">
        <f t="shared" si="3"/>
        <v>0</v>
      </c>
      <c r="P47" s="4"/>
      <c r="R47" s="1"/>
      <c r="S47" s="1"/>
      <c r="T47" s="1"/>
      <c r="U47" s="1"/>
      <c r="V47" s="1"/>
      <c r="W47" s="1"/>
    </row>
    <row r="48" spans="2:23">
      <c r="B48" s="9" t="str">
        <f t="shared" si="4"/>
        <v/>
      </c>
      <c r="C48" s="153">
        <f>IF(D11="","-",+C47+1)</f>
        <v>2038</v>
      </c>
      <c r="D48" s="159">
        <f>IF(F47+SUM(E$17:E47)=D$10,F47,D$10-SUM(E$17:E47))</f>
        <v>24987.8370415545</v>
      </c>
      <c r="E48" s="160">
        <f>IF(+I14&lt;F47,I14,D48)</f>
        <v>1900.0232558139535</v>
      </c>
      <c r="F48" s="159">
        <f t="shared" si="10"/>
        <v>23087.813785740545</v>
      </c>
      <c r="G48" s="161">
        <f t="shared" si="11"/>
        <v>4293.1251293233981</v>
      </c>
      <c r="H48" s="142">
        <f t="shared" si="12"/>
        <v>4293.1251293233981</v>
      </c>
      <c r="I48" s="156">
        <f t="shared" si="0"/>
        <v>0</v>
      </c>
      <c r="J48" s="156"/>
      <c r="K48" s="334"/>
      <c r="L48" s="158">
        <f t="shared" si="1"/>
        <v>0</v>
      </c>
      <c r="M48" s="334"/>
      <c r="N48" s="158">
        <f t="shared" si="2"/>
        <v>0</v>
      </c>
      <c r="O48" s="158">
        <f t="shared" si="3"/>
        <v>0</v>
      </c>
      <c r="P48" s="4"/>
      <c r="R48" s="1"/>
      <c r="S48" s="1"/>
      <c r="T48" s="1"/>
      <c r="U48" s="1"/>
      <c r="V48" s="1"/>
      <c r="W48" s="1"/>
    </row>
    <row r="49" spans="2:23">
      <c r="B49" s="9" t="str">
        <f t="shared" si="4"/>
        <v/>
      </c>
      <c r="C49" s="153">
        <f>IF(D11="","-",+C48+1)</f>
        <v>2039</v>
      </c>
      <c r="D49" s="159">
        <f>IF(F48+SUM(E$17:E48)=D$10,F48,D$10-SUM(E$17:E48))</f>
        <v>23087.813785740545</v>
      </c>
      <c r="E49" s="160">
        <f>IF(+I14&lt;F48,I14,D49)</f>
        <v>1900.0232558139535</v>
      </c>
      <c r="F49" s="159">
        <f t="shared" ref="F49:F72" si="13">+D49-E49</f>
        <v>21187.790529926591</v>
      </c>
      <c r="G49" s="161">
        <f t="shared" si="11"/>
        <v>4103.9670364029644</v>
      </c>
      <c r="H49" s="142">
        <f t="shared" si="12"/>
        <v>4103.9670364029644</v>
      </c>
      <c r="I49" s="156">
        <f t="shared" ref="I49:I72" si="14">H49-G49</f>
        <v>0</v>
      </c>
      <c r="J49" s="156"/>
      <c r="K49" s="334"/>
      <c r="L49" s="158">
        <f t="shared" ref="L49:L72" si="15">IF(K49&lt;&gt;0,+G49-K49,0)</f>
        <v>0</v>
      </c>
      <c r="M49" s="334"/>
      <c r="N49" s="158">
        <f t="shared" ref="N49:N72" si="16">IF(M49&lt;&gt;0,+H49-M49,0)</f>
        <v>0</v>
      </c>
      <c r="O49" s="158">
        <f t="shared" ref="O49:O72" si="17">+N49-L49</f>
        <v>0</v>
      </c>
      <c r="P49" s="4"/>
      <c r="R49" s="1"/>
      <c r="S49" s="1"/>
      <c r="T49" s="1"/>
      <c r="U49" s="1"/>
      <c r="V49" s="1"/>
      <c r="W49" s="1"/>
    </row>
    <row r="50" spans="2:23">
      <c r="B50" s="9" t="str">
        <f t="shared" si="4"/>
        <v/>
      </c>
      <c r="C50" s="153">
        <f>IF(D11="","-",+C49+1)</f>
        <v>2040</v>
      </c>
      <c r="D50" s="159">
        <f>IF(F49+SUM(E$17:E49)=D$10,F49,D$10-SUM(E$17:E49))</f>
        <v>21187.790529926591</v>
      </c>
      <c r="E50" s="160">
        <f>IF(+I14&lt;F49,I14,D50)</f>
        <v>1900.0232558139535</v>
      </c>
      <c r="F50" s="159">
        <f t="shared" si="13"/>
        <v>19287.767274112637</v>
      </c>
      <c r="G50" s="161">
        <f t="shared" si="11"/>
        <v>3914.8089434825315</v>
      </c>
      <c r="H50" s="142">
        <f t="shared" si="12"/>
        <v>3914.8089434825315</v>
      </c>
      <c r="I50" s="156">
        <f t="shared" si="14"/>
        <v>0</v>
      </c>
      <c r="J50" s="156"/>
      <c r="K50" s="334"/>
      <c r="L50" s="158">
        <f t="shared" si="15"/>
        <v>0</v>
      </c>
      <c r="M50" s="334"/>
      <c r="N50" s="158">
        <f t="shared" si="16"/>
        <v>0</v>
      </c>
      <c r="O50" s="158">
        <f t="shared" si="17"/>
        <v>0</v>
      </c>
      <c r="P50" s="4"/>
      <c r="R50" s="1"/>
      <c r="S50" s="1"/>
      <c r="T50" s="1"/>
      <c r="U50" s="1"/>
      <c r="V50" s="1"/>
      <c r="W50" s="1"/>
    </row>
    <row r="51" spans="2:23">
      <c r="B51" s="9" t="str">
        <f t="shared" si="4"/>
        <v/>
      </c>
      <c r="C51" s="153">
        <f>IF(D11="","-",+C50+1)</f>
        <v>2041</v>
      </c>
      <c r="D51" s="159">
        <f>IF(F50+SUM(E$17:E50)=D$10,F50,D$10-SUM(E$17:E50))</f>
        <v>19287.767274112637</v>
      </c>
      <c r="E51" s="160">
        <f>IF(+I14&lt;F50,I14,D51)</f>
        <v>1900.0232558139535</v>
      </c>
      <c r="F51" s="159">
        <f t="shared" si="13"/>
        <v>17387.744018298683</v>
      </c>
      <c r="G51" s="161">
        <f t="shared" si="11"/>
        <v>3725.6508505620986</v>
      </c>
      <c r="H51" s="142">
        <f t="shared" si="12"/>
        <v>3725.6508505620986</v>
      </c>
      <c r="I51" s="156">
        <f t="shared" si="14"/>
        <v>0</v>
      </c>
      <c r="J51" s="156"/>
      <c r="K51" s="334"/>
      <c r="L51" s="158">
        <f t="shared" si="15"/>
        <v>0</v>
      </c>
      <c r="M51" s="334"/>
      <c r="N51" s="158">
        <f t="shared" si="16"/>
        <v>0</v>
      </c>
      <c r="O51" s="158">
        <f t="shared" si="17"/>
        <v>0</v>
      </c>
      <c r="P51" s="4"/>
      <c r="R51" s="1"/>
      <c r="S51" s="1"/>
      <c r="T51" s="1"/>
      <c r="U51" s="1"/>
      <c r="V51" s="1"/>
      <c r="W51" s="1"/>
    </row>
    <row r="52" spans="2:23">
      <c r="B52" s="9" t="str">
        <f t="shared" si="4"/>
        <v/>
      </c>
      <c r="C52" s="153">
        <f>IF(D11="","-",+C51+1)</f>
        <v>2042</v>
      </c>
      <c r="D52" s="159">
        <f>IF(F51+SUM(E$17:E51)=D$10,F51,D$10-SUM(E$17:E51))</f>
        <v>17387.744018298683</v>
      </c>
      <c r="E52" s="160">
        <f>IF(+I14&lt;F51,I14,D52)</f>
        <v>1900.0232558139535</v>
      </c>
      <c r="F52" s="159">
        <f t="shared" si="13"/>
        <v>15487.720762484729</v>
      </c>
      <c r="G52" s="161">
        <f t="shared" si="11"/>
        <v>3536.4927576416649</v>
      </c>
      <c r="H52" s="142">
        <f t="shared" si="12"/>
        <v>3536.4927576416649</v>
      </c>
      <c r="I52" s="156">
        <f t="shared" si="14"/>
        <v>0</v>
      </c>
      <c r="J52" s="156"/>
      <c r="K52" s="334"/>
      <c r="L52" s="158">
        <f t="shared" si="15"/>
        <v>0</v>
      </c>
      <c r="M52" s="334"/>
      <c r="N52" s="158">
        <f t="shared" si="16"/>
        <v>0</v>
      </c>
      <c r="O52" s="158">
        <f t="shared" si="17"/>
        <v>0</v>
      </c>
      <c r="P52" s="4"/>
      <c r="R52" s="1"/>
      <c r="S52" s="1"/>
      <c r="T52" s="1"/>
      <c r="U52" s="1"/>
      <c r="V52" s="1"/>
      <c r="W52" s="1"/>
    </row>
    <row r="53" spans="2:23">
      <c r="B53" s="9" t="str">
        <f t="shared" si="4"/>
        <v/>
      </c>
      <c r="C53" s="153">
        <f>IF(D11="","-",+C52+1)</f>
        <v>2043</v>
      </c>
      <c r="D53" s="159">
        <f>IF(F52+SUM(E$17:E52)=D$10,F52,D$10-SUM(E$17:E52))</f>
        <v>15487.720762484729</v>
      </c>
      <c r="E53" s="160">
        <f>IF(+I14&lt;F52,I14,D53)</f>
        <v>1900.0232558139535</v>
      </c>
      <c r="F53" s="159">
        <f t="shared" si="13"/>
        <v>13587.697506670775</v>
      </c>
      <c r="G53" s="161">
        <f t="shared" si="11"/>
        <v>3347.334664721232</v>
      </c>
      <c r="H53" s="142">
        <f t="shared" si="12"/>
        <v>3347.334664721232</v>
      </c>
      <c r="I53" s="156">
        <f t="shared" si="14"/>
        <v>0</v>
      </c>
      <c r="J53" s="156"/>
      <c r="K53" s="334"/>
      <c r="L53" s="158">
        <f t="shared" si="15"/>
        <v>0</v>
      </c>
      <c r="M53" s="334"/>
      <c r="N53" s="158">
        <f t="shared" si="16"/>
        <v>0</v>
      </c>
      <c r="O53" s="158">
        <f t="shared" si="17"/>
        <v>0</v>
      </c>
      <c r="P53" s="4"/>
      <c r="R53" s="1"/>
      <c r="S53" s="1"/>
      <c r="T53" s="1"/>
      <c r="U53" s="1"/>
      <c r="V53" s="1"/>
      <c r="W53" s="1"/>
    </row>
    <row r="54" spans="2:23">
      <c r="B54" s="9" t="str">
        <f t="shared" si="4"/>
        <v/>
      </c>
      <c r="C54" s="153">
        <f>IF(D11="","-",+C53+1)</f>
        <v>2044</v>
      </c>
      <c r="D54" s="159">
        <f>IF(F53+SUM(E$17:E53)=D$10,F53,D$10-SUM(E$17:E53))</f>
        <v>13587.697506670775</v>
      </c>
      <c r="E54" s="160">
        <f>IF(+I14&lt;F53,I14,D54)</f>
        <v>1900.0232558139535</v>
      </c>
      <c r="F54" s="159">
        <f t="shared" si="13"/>
        <v>11687.67425085682</v>
      </c>
      <c r="G54" s="161">
        <f t="shared" si="11"/>
        <v>3158.1765718007991</v>
      </c>
      <c r="H54" s="142">
        <f t="shared" si="12"/>
        <v>3158.1765718007991</v>
      </c>
      <c r="I54" s="156">
        <f t="shared" si="14"/>
        <v>0</v>
      </c>
      <c r="J54" s="156"/>
      <c r="K54" s="334"/>
      <c r="L54" s="158">
        <f t="shared" si="15"/>
        <v>0</v>
      </c>
      <c r="M54" s="334"/>
      <c r="N54" s="158">
        <f t="shared" si="16"/>
        <v>0</v>
      </c>
      <c r="O54" s="158">
        <f t="shared" si="17"/>
        <v>0</v>
      </c>
      <c r="P54" s="4"/>
      <c r="R54" s="1"/>
      <c r="S54" s="1"/>
      <c r="T54" s="1"/>
      <c r="U54" s="1"/>
      <c r="V54" s="1"/>
      <c r="W54" s="1"/>
    </row>
    <row r="55" spans="2:23">
      <c r="B55" s="9" t="str">
        <f t="shared" si="4"/>
        <v/>
      </c>
      <c r="C55" s="153">
        <f>IF(D11="","-",+C54+1)</f>
        <v>2045</v>
      </c>
      <c r="D55" s="159">
        <f>IF(F54+SUM(E$17:E54)=D$10,F54,D$10-SUM(E$17:E54))</f>
        <v>11687.67425085682</v>
      </c>
      <c r="E55" s="160">
        <f>IF(+I14&lt;F54,I14,D55)</f>
        <v>1900.0232558139535</v>
      </c>
      <c r="F55" s="159">
        <f t="shared" si="13"/>
        <v>9787.6509950428663</v>
      </c>
      <c r="G55" s="161">
        <f t="shared" si="11"/>
        <v>2969.0184788803654</v>
      </c>
      <c r="H55" s="142">
        <f t="shared" si="12"/>
        <v>2969.0184788803654</v>
      </c>
      <c r="I55" s="156">
        <f t="shared" si="14"/>
        <v>0</v>
      </c>
      <c r="J55" s="156"/>
      <c r="K55" s="334"/>
      <c r="L55" s="158">
        <f t="shared" si="15"/>
        <v>0</v>
      </c>
      <c r="M55" s="334"/>
      <c r="N55" s="158">
        <f t="shared" si="16"/>
        <v>0</v>
      </c>
      <c r="O55" s="158">
        <f t="shared" si="17"/>
        <v>0</v>
      </c>
      <c r="P55" s="4"/>
      <c r="R55" s="1"/>
      <c r="S55" s="1"/>
      <c r="T55" s="1"/>
      <c r="U55" s="1"/>
      <c r="V55" s="1"/>
      <c r="W55" s="1"/>
    </row>
    <row r="56" spans="2:23">
      <c r="B56" s="9" t="str">
        <f t="shared" si="4"/>
        <v/>
      </c>
      <c r="C56" s="153">
        <f>IF(D11="","-",+C55+1)</f>
        <v>2046</v>
      </c>
      <c r="D56" s="159">
        <f>IF(F55+SUM(E$17:E55)=D$10,F55,D$10-SUM(E$17:E55))</f>
        <v>9787.6509950428663</v>
      </c>
      <c r="E56" s="160">
        <f>IF(+I14&lt;F55,I14,D56)</f>
        <v>1900.0232558139535</v>
      </c>
      <c r="F56" s="159">
        <f t="shared" si="13"/>
        <v>7887.627739228913</v>
      </c>
      <c r="G56" s="161">
        <f t="shared" si="11"/>
        <v>2779.8603859599325</v>
      </c>
      <c r="H56" s="142">
        <f t="shared" si="12"/>
        <v>2779.8603859599325</v>
      </c>
      <c r="I56" s="156">
        <f t="shared" si="14"/>
        <v>0</v>
      </c>
      <c r="J56" s="156"/>
      <c r="K56" s="334"/>
      <c r="L56" s="158">
        <f t="shared" si="15"/>
        <v>0</v>
      </c>
      <c r="M56" s="334"/>
      <c r="N56" s="158">
        <f t="shared" si="16"/>
        <v>0</v>
      </c>
      <c r="O56" s="158">
        <f t="shared" si="17"/>
        <v>0</v>
      </c>
      <c r="P56" s="4"/>
      <c r="R56" s="1"/>
      <c r="S56" s="1"/>
      <c r="T56" s="1"/>
      <c r="U56" s="1"/>
      <c r="V56" s="1"/>
      <c r="W56" s="1"/>
    </row>
    <row r="57" spans="2:23">
      <c r="B57" s="9" t="str">
        <f t="shared" si="4"/>
        <v/>
      </c>
      <c r="C57" s="153">
        <f>IF(D11="","-",+C56+1)</f>
        <v>2047</v>
      </c>
      <c r="D57" s="159">
        <f>IF(F56+SUM(E$17:E56)=D$10,F56,D$10-SUM(E$17:E56))</f>
        <v>7887.627739228913</v>
      </c>
      <c r="E57" s="160">
        <f>IF(+I14&lt;F56,I14,D57)</f>
        <v>1900.0232558139535</v>
      </c>
      <c r="F57" s="159">
        <f t="shared" si="13"/>
        <v>5987.6044834149598</v>
      </c>
      <c r="G57" s="161">
        <f t="shared" si="11"/>
        <v>2590.7022930394996</v>
      </c>
      <c r="H57" s="142">
        <f t="shared" si="12"/>
        <v>2590.7022930394996</v>
      </c>
      <c r="I57" s="156">
        <f t="shared" si="14"/>
        <v>0</v>
      </c>
      <c r="J57" s="156"/>
      <c r="K57" s="334"/>
      <c r="L57" s="158">
        <f t="shared" si="15"/>
        <v>0</v>
      </c>
      <c r="M57" s="334"/>
      <c r="N57" s="158">
        <f t="shared" si="16"/>
        <v>0</v>
      </c>
      <c r="O57" s="158">
        <f t="shared" si="17"/>
        <v>0</v>
      </c>
      <c r="P57" s="4"/>
      <c r="R57" s="1"/>
      <c r="S57" s="1"/>
      <c r="T57" s="1"/>
      <c r="U57" s="1"/>
      <c r="V57" s="1"/>
      <c r="W57" s="1"/>
    </row>
    <row r="58" spans="2:23">
      <c r="B58" s="9" t="str">
        <f t="shared" si="4"/>
        <v/>
      </c>
      <c r="C58" s="153">
        <f>IF(D11="","-",+C57+1)</f>
        <v>2048</v>
      </c>
      <c r="D58" s="159">
        <f>IF(F57+SUM(E$17:E57)=D$10,F57,D$10-SUM(E$17:E57))</f>
        <v>5987.6044834149598</v>
      </c>
      <c r="E58" s="160">
        <f>IF(+I14&lt;F57,I14,D58)</f>
        <v>1900.0232558139535</v>
      </c>
      <c r="F58" s="159">
        <f t="shared" si="13"/>
        <v>4087.5812276010065</v>
      </c>
      <c r="G58" s="161">
        <f t="shared" si="11"/>
        <v>2401.5442001190663</v>
      </c>
      <c r="H58" s="142">
        <f t="shared" si="12"/>
        <v>2401.5442001190663</v>
      </c>
      <c r="I58" s="156">
        <f t="shared" si="14"/>
        <v>0</v>
      </c>
      <c r="J58" s="156"/>
      <c r="K58" s="334"/>
      <c r="L58" s="158">
        <f t="shared" si="15"/>
        <v>0</v>
      </c>
      <c r="M58" s="334"/>
      <c r="N58" s="158">
        <f t="shared" si="16"/>
        <v>0</v>
      </c>
      <c r="O58" s="158">
        <f t="shared" si="17"/>
        <v>0</v>
      </c>
      <c r="P58" s="4"/>
      <c r="Q58" t="str">
        <f>IF(ROUND(Q57,0)=ROUND(SUM(Q18:Q56),0),"","Error -- check allocations above).")</f>
        <v/>
      </c>
      <c r="R58" s="1"/>
      <c r="S58" s="1"/>
      <c r="T58" s="1"/>
      <c r="U58" s="1"/>
      <c r="V58" s="1"/>
      <c r="W58" s="1"/>
    </row>
    <row r="59" spans="2:23">
      <c r="B59" s="374" t="str">
        <f t="shared" si="4"/>
        <v/>
      </c>
      <c r="C59" s="153">
        <f>IF(D11="","-",+C58+1)</f>
        <v>2049</v>
      </c>
      <c r="D59" s="159">
        <f>IF(F58+SUM(E$17:E58)=D$10,F58,D$10-SUM(E$17:E58))</f>
        <v>4087.5812276010065</v>
      </c>
      <c r="E59" s="160">
        <f>IF(+I14&lt;F58,I14,D59)</f>
        <v>1900.0232558139535</v>
      </c>
      <c r="F59" s="159">
        <f t="shared" si="13"/>
        <v>2187.5579717870532</v>
      </c>
      <c r="G59" s="161">
        <f t="shared" si="11"/>
        <v>2212.3861071986335</v>
      </c>
      <c r="H59" s="142">
        <f t="shared" si="12"/>
        <v>2212.3861071986335</v>
      </c>
      <c r="I59" s="156">
        <f t="shared" si="14"/>
        <v>0</v>
      </c>
      <c r="J59" s="156"/>
      <c r="K59" s="334"/>
      <c r="L59" s="158">
        <f t="shared" si="15"/>
        <v>0</v>
      </c>
      <c r="M59" s="334"/>
      <c r="N59" s="158">
        <f t="shared" si="16"/>
        <v>0</v>
      </c>
      <c r="O59" s="158">
        <f t="shared" si="17"/>
        <v>0</v>
      </c>
      <c r="P59" s="4"/>
      <c r="R59" s="1"/>
      <c r="S59" s="1"/>
      <c r="T59" s="1"/>
      <c r="U59" s="1"/>
      <c r="V59" s="1"/>
      <c r="W59" s="1"/>
    </row>
    <row r="60" spans="2:23">
      <c r="B60" s="9" t="str">
        <f t="shared" si="4"/>
        <v/>
      </c>
      <c r="C60" s="153">
        <f>IF(D11="","-",+C59+1)</f>
        <v>2050</v>
      </c>
      <c r="D60" s="159">
        <f>IF(F59+SUM(E$17:E59)=D$10,F59,D$10-SUM(E$17:E59))</f>
        <v>2187.5579717870532</v>
      </c>
      <c r="E60" s="160">
        <f>IF(+I14&lt;F59,I14,D60)</f>
        <v>1900.0232558139535</v>
      </c>
      <c r="F60" s="159">
        <f t="shared" si="13"/>
        <v>287.53471597309976</v>
      </c>
      <c r="G60" s="161">
        <f t="shared" si="11"/>
        <v>2023.2280142782001</v>
      </c>
      <c r="H60" s="142">
        <f t="shared" si="12"/>
        <v>2023.2280142782001</v>
      </c>
      <c r="I60" s="156">
        <f t="shared" si="14"/>
        <v>0</v>
      </c>
      <c r="J60" s="156"/>
      <c r="K60" s="334"/>
      <c r="L60" s="158">
        <f t="shared" si="15"/>
        <v>0</v>
      </c>
      <c r="M60" s="334"/>
      <c r="N60" s="158">
        <f t="shared" si="16"/>
        <v>0</v>
      </c>
      <c r="O60" s="158">
        <f t="shared" si="17"/>
        <v>0</v>
      </c>
      <c r="P60" s="4"/>
      <c r="R60" s="1"/>
      <c r="S60" s="1"/>
      <c r="T60" s="1"/>
      <c r="U60" s="1"/>
      <c r="V60" s="1"/>
      <c r="W60" s="1"/>
    </row>
    <row r="61" spans="2:23">
      <c r="B61" s="9" t="str">
        <f t="shared" si="4"/>
        <v/>
      </c>
      <c r="C61" s="153">
        <f>IF(D11="","-",+C60+1)</f>
        <v>2051</v>
      </c>
      <c r="D61" s="159">
        <f>IF(F60+SUM(E$17:E60)=D$10,F60,D$10-SUM(E$17:E60))</f>
        <v>287.53471597309976</v>
      </c>
      <c r="E61" s="160">
        <f>IF(+I14&lt;F60,I14,D61)</f>
        <v>287.53471597309976</v>
      </c>
      <c r="F61" s="159">
        <f t="shared" si="13"/>
        <v>0</v>
      </c>
      <c r="G61" s="161">
        <f t="shared" si="11"/>
        <v>301.84757197511482</v>
      </c>
      <c r="H61" s="142">
        <f t="shared" si="12"/>
        <v>301.84757197511482</v>
      </c>
      <c r="I61" s="156">
        <f t="shared" si="14"/>
        <v>0</v>
      </c>
      <c r="J61" s="156"/>
      <c r="K61" s="334"/>
      <c r="L61" s="158">
        <f t="shared" si="15"/>
        <v>0</v>
      </c>
      <c r="M61" s="334"/>
      <c r="N61" s="158">
        <f t="shared" si="16"/>
        <v>0</v>
      </c>
      <c r="O61" s="158">
        <f t="shared" si="17"/>
        <v>0</v>
      </c>
      <c r="P61" s="4"/>
      <c r="R61" s="1"/>
      <c r="S61" s="1"/>
      <c r="T61" s="1"/>
      <c r="U61" s="1"/>
      <c r="V61" s="1"/>
      <c r="W61" s="1"/>
    </row>
    <row r="62" spans="2:23">
      <c r="B62" s="9" t="str">
        <f t="shared" si="4"/>
        <v/>
      </c>
      <c r="C62" s="153">
        <f>IF(D11="","-",+C61+1)</f>
        <v>2052</v>
      </c>
      <c r="D62" s="159">
        <f>IF(F61+SUM(E$17:E61)=D$10,F61,D$10-SUM(E$17:E61))</f>
        <v>0</v>
      </c>
      <c r="E62" s="160">
        <f>IF(+I14&lt;F61,I14,D62)</f>
        <v>0</v>
      </c>
      <c r="F62" s="159">
        <f t="shared" si="13"/>
        <v>0</v>
      </c>
      <c r="G62" s="161">
        <f t="shared" si="11"/>
        <v>0</v>
      </c>
      <c r="H62" s="142">
        <f t="shared" si="12"/>
        <v>0</v>
      </c>
      <c r="I62" s="156">
        <f t="shared" si="14"/>
        <v>0</v>
      </c>
      <c r="J62" s="156"/>
      <c r="K62" s="334"/>
      <c r="L62" s="158">
        <f t="shared" si="15"/>
        <v>0</v>
      </c>
      <c r="M62" s="334"/>
      <c r="N62" s="158">
        <f t="shared" si="16"/>
        <v>0</v>
      </c>
      <c r="O62" s="158">
        <f t="shared" si="17"/>
        <v>0</v>
      </c>
      <c r="P62" s="4"/>
      <c r="R62" s="1"/>
      <c r="S62" s="1"/>
      <c r="T62" s="1"/>
      <c r="U62" s="1"/>
      <c r="V62" s="1"/>
      <c r="W62" s="1"/>
    </row>
    <row r="63" spans="2:23">
      <c r="B63" s="9" t="str">
        <f t="shared" si="4"/>
        <v/>
      </c>
      <c r="C63" s="153">
        <f>IF(D11="","-",+C62+1)</f>
        <v>2053</v>
      </c>
      <c r="D63" s="159">
        <f>IF(F62+SUM(E$17:E62)=D$10,F62,D$10-SUM(E$17:E62))</f>
        <v>0</v>
      </c>
      <c r="E63" s="160">
        <f>IF(+I14&lt;F62,I14,D63)</f>
        <v>0</v>
      </c>
      <c r="F63" s="159">
        <f t="shared" si="13"/>
        <v>0</v>
      </c>
      <c r="G63" s="161">
        <f t="shared" si="11"/>
        <v>0</v>
      </c>
      <c r="H63" s="142">
        <f t="shared" si="12"/>
        <v>0</v>
      </c>
      <c r="I63" s="156">
        <f t="shared" si="14"/>
        <v>0</v>
      </c>
      <c r="J63" s="156"/>
      <c r="K63" s="334"/>
      <c r="L63" s="158">
        <f t="shared" si="15"/>
        <v>0</v>
      </c>
      <c r="M63" s="334"/>
      <c r="N63" s="158">
        <f t="shared" si="16"/>
        <v>0</v>
      </c>
      <c r="O63" s="158">
        <f t="shared" si="17"/>
        <v>0</v>
      </c>
      <c r="P63" s="4"/>
      <c r="R63" s="1"/>
      <c r="S63" s="1"/>
      <c r="T63" s="1"/>
      <c r="U63" s="1"/>
      <c r="V63" s="1"/>
      <c r="W63" s="1"/>
    </row>
    <row r="64" spans="2:23">
      <c r="B64" s="9" t="str">
        <f t="shared" si="4"/>
        <v/>
      </c>
      <c r="C64" s="153">
        <f>IF(D11="","-",+C63+1)</f>
        <v>2054</v>
      </c>
      <c r="D64" s="159">
        <f>IF(F63+SUM(E$17:E63)=D$10,F63,D$10-SUM(E$17:E63))</f>
        <v>0</v>
      </c>
      <c r="E64" s="160">
        <f>IF(+I14&lt;F63,I14,D64)</f>
        <v>0</v>
      </c>
      <c r="F64" s="159">
        <f t="shared" si="13"/>
        <v>0</v>
      </c>
      <c r="G64" s="161">
        <f t="shared" si="11"/>
        <v>0</v>
      </c>
      <c r="H64" s="142">
        <f t="shared" si="12"/>
        <v>0</v>
      </c>
      <c r="I64" s="156">
        <f t="shared" si="14"/>
        <v>0</v>
      </c>
      <c r="J64" s="156"/>
      <c r="K64" s="334"/>
      <c r="L64" s="158">
        <f t="shared" si="15"/>
        <v>0</v>
      </c>
      <c r="M64" s="334"/>
      <c r="N64" s="158">
        <f t="shared" si="16"/>
        <v>0</v>
      </c>
      <c r="O64" s="158">
        <f t="shared" si="17"/>
        <v>0</v>
      </c>
      <c r="P64" s="4"/>
      <c r="R64" s="1"/>
      <c r="S64" s="1"/>
      <c r="T64" s="1"/>
      <c r="U64" s="1"/>
      <c r="V64" s="1"/>
      <c r="W64" s="1"/>
    </row>
    <row r="65" spans="1:23">
      <c r="B65" s="9" t="str">
        <f t="shared" si="4"/>
        <v/>
      </c>
      <c r="C65" s="153">
        <f>IF(D11="","-",+C64+1)</f>
        <v>2055</v>
      </c>
      <c r="D65" s="159">
        <f>IF(F64+SUM(E$17:E64)=D$10,F64,D$10-SUM(E$17:E64))</f>
        <v>0</v>
      </c>
      <c r="E65" s="160">
        <f>IF(+I14&lt;F64,I14,D65)</f>
        <v>0</v>
      </c>
      <c r="F65" s="159">
        <f t="shared" si="13"/>
        <v>0</v>
      </c>
      <c r="G65" s="161">
        <f t="shared" si="11"/>
        <v>0</v>
      </c>
      <c r="H65" s="142">
        <f t="shared" si="12"/>
        <v>0</v>
      </c>
      <c r="I65" s="156">
        <f t="shared" si="14"/>
        <v>0</v>
      </c>
      <c r="J65" s="156"/>
      <c r="K65" s="334"/>
      <c r="L65" s="158">
        <f t="shared" si="15"/>
        <v>0</v>
      </c>
      <c r="M65" s="334"/>
      <c r="N65" s="158">
        <f t="shared" si="16"/>
        <v>0</v>
      </c>
      <c r="O65" s="158">
        <f t="shared" si="17"/>
        <v>0</v>
      </c>
      <c r="P65" s="4"/>
      <c r="R65" s="1"/>
      <c r="S65" s="1"/>
      <c r="T65" s="1"/>
      <c r="U65" s="1"/>
      <c r="V65" s="1"/>
      <c r="W65" s="1"/>
    </row>
    <row r="66" spans="1:23">
      <c r="B66" s="9" t="str">
        <f t="shared" si="4"/>
        <v/>
      </c>
      <c r="C66" s="153">
        <f>IF(D11="","-",+C65+1)</f>
        <v>2056</v>
      </c>
      <c r="D66" s="159">
        <f>IF(F65+SUM(E$17:E65)=D$10,F65,D$10-SUM(E$17:E65))</f>
        <v>0</v>
      </c>
      <c r="E66" s="160">
        <f>IF(+I14&lt;F65,I14,D66)</f>
        <v>0</v>
      </c>
      <c r="F66" s="159">
        <f t="shared" si="13"/>
        <v>0</v>
      </c>
      <c r="G66" s="161">
        <f t="shared" si="11"/>
        <v>0</v>
      </c>
      <c r="H66" s="142">
        <f t="shared" si="12"/>
        <v>0</v>
      </c>
      <c r="I66" s="156">
        <f t="shared" si="14"/>
        <v>0</v>
      </c>
      <c r="J66" s="156"/>
      <c r="K66" s="334"/>
      <c r="L66" s="158">
        <f t="shared" si="15"/>
        <v>0</v>
      </c>
      <c r="M66" s="334"/>
      <c r="N66" s="158">
        <f t="shared" si="16"/>
        <v>0</v>
      </c>
      <c r="O66" s="158">
        <f t="shared" si="17"/>
        <v>0</v>
      </c>
      <c r="P66" s="4"/>
      <c r="R66" s="1"/>
      <c r="S66" s="1"/>
      <c r="T66" s="1"/>
      <c r="U66" s="1"/>
      <c r="V66" s="1"/>
      <c r="W66" s="1"/>
    </row>
    <row r="67" spans="1:23">
      <c r="B67" s="9" t="str">
        <f t="shared" si="4"/>
        <v/>
      </c>
      <c r="C67" s="153">
        <f>IF(D11="","-",+C66+1)</f>
        <v>2057</v>
      </c>
      <c r="D67" s="159">
        <f>IF(F66+SUM(E$17:E66)=D$10,F66,D$10-SUM(E$17:E66))</f>
        <v>0</v>
      </c>
      <c r="E67" s="160">
        <f>IF(+I14&lt;F66,I14,D67)</f>
        <v>0</v>
      </c>
      <c r="F67" s="159">
        <f t="shared" si="13"/>
        <v>0</v>
      </c>
      <c r="G67" s="161">
        <f t="shared" si="11"/>
        <v>0</v>
      </c>
      <c r="H67" s="142">
        <f t="shared" si="12"/>
        <v>0</v>
      </c>
      <c r="I67" s="156">
        <f t="shared" si="14"/>
        <v>0</v>
      </c>
      <c r="J67" s="156"/>
      <c r="K67" s="334"/>
      <c r="L67" s="158">
        <f t="shared" si="15"/>
        <v>0</v>
      </c>
      <c r="M67" s="334"/>
      <c r="N67" s="158">
        <f t="shared" si="16"/>
        <v>0</v>
      </c>
      <c r="O67" s="158">
        <f t="shared" si="17"/>
        <v>0</v>
      </c>
      <c r="P67" s="4"/>
      <c r="R67" s="1"/>
      <c r="S67" s="1"/>
      <c r="T67" s="1"/>
      <c r="U67" s="1"/>
      <c r="V67" s="1"/>
      <c r="W67" s="1"/>
    </row>
    <row r="68" spans="1:23">
      <c r="B68" s="9" t="str">
        <f t="shared" si="4"/>
        <v/>
      </c>
      <c r="C68" s="153">
        <f>IF(D11="","-",+C67+1)</f>
        <v>2058</v>
      </c>
      <c r="D68" s="159">
        <f>IF(F67+SUM(E$17:E67)=D$10,F67,D$10-SUM(E$17:E67))</f>
        <v>0</v>
      </c>
      <c r="E68" s="160">
        <f>IF(+I14&lt;F67,I14,D68)</f>
        <v>0</v>
      </c>
      <c r="F68" s="159">
        <f t="shared" si="13"/>
        <v>0</v>
      </c>
      <c r="G68" s="161">
        <f t="shared" si="11"/>
        <v>0</v>
      </c>
      <c r="H68" s="142">
        <f t="shared" si="12"/>
        <v>0</v>
      </c>
      <c r="I68" s="156">
        <f t="shared" si="14"/>
        <v>0</v>
      </c>
      <c r="J68" s="156"/>
      <c r="K68" s="334"/>
      <c r="L68" s="158">
        <f t="shared" si="15"/>
        <v>0</v>
      </c>
      <c r="M68" s="334"/>
      <c r="N68" s="158">
        <f t="shared" si="16"/>
        <v>0</v>
      </c>
      <c r="O68" s="158">
        <f t="shared" si="17"/>
        <v>0</v>
      </c>
      <c r="P68" s="4"/>
      <c r="R68" s="1"/>
      <c r="S68" s="1"/>
      <c r="T68" s="1"/>
      <c r="U68" s="1"/>
      <c r="V68" s="1"/>
      <c r="W68" s="1"/>
    </row>
    <row r="69" spans="1:23">
      <c r="B69" s="9" t="str">
        <f t="shared" si="4"/>
        <v/>
      </c>
      <c r="C69" s="153">
        <f>IF(D11="","-",+C68+1)</f>
        <v>2059</v>
      </c>
      <c r="D69" s="159">
        <f>IF(F68+SUM(E$17:E68)=D$10,F68,D$10-SUM(E$17:E68))</f>
        <v>0</v>
      </c>
      <c r="E69" s="160">
        <f>IF(+I14&lt;F68,I14,D69)</f>
        <v>0</v>
      </c>
      <c r="F69" s="159">
        <f t="shared" si="13"/>
        <v>0</v>
      </c>
      <c r="G69" s="161">
        <f t="shared" si="11"/>
        <v>0</v>
      </c>
      <c r="H69" s="142">
        <f t="shared" si="12"/>
        <v>0</v>
      </c>
      <c r="I69" s="156">
        <f t="shared" si="14"/>
        <v>0</v>
      </c>
      <c r="J69" s="156"/>
      <c r="K69" s="334"/>
      <c r="L69" s="158">
        <f t="shared" si="15"/>
        <v>0</v>
      </c>
      <c r="M69" s="334"/>
      <c r="N69" s="158">
        <f t="shared" si="16"/>
        <v>0</v>
      </c>
      <c r="O69" s="158">
        <f t="shared" si="17"/>
        <v>0</v>
      </c>
      <c r="P69" s="4"/>
      <c r="R69" s="1"/>
      <c r="S69" s="1"/>
      <c r="T69" s="1"/>
      <c r="U69" s="1"/>
      <c r="V69" s="1"/>
      <c r="W69" s="1"/>
    </row>
    <row r="70" spans="1:23">
      <c r="B70" s="9" t="str">
        <f t="shared" si="4"/>
        <v/>
      </c>
      <c r="C70" s="153">
        <f>IF(D11="","-",+C69+1)</f>
        <v>2060</v>
      </c>
      <c r="D70" s="159">
        <f>IF(F69+SUM(E$17:E69)=D$10,F69,D$10-SUM(E$17:E69))</f>
        <v>0</v>
      </c>
      <c r="E70" s="160">
        <f>IF(+I14&lt;F69,I14,D70)</f>
        <v>0</v>
      </c>
      <c r="F70" s="159">
        <f t="shared" si="13"/>
        <v>0</v>
      </c>
      <c r="G70" s="161">
        <f t="shared" si="11"/>
        <v>0</v>
      </c>
      <c r="H70" s="142">
        <f t="shared" si="12"/>
        <v>0</v>
      </c>
      <c r="I70" s="156">
        <f t="shared" si="14"/>
        <v>0</v>
      </c>
      <c r="J70" s="156"/>
      <c r="K70" s="334"/>
      <c r="L70" s="158">
        <f t="shared" si="15"/>
        <v>0</v>
      </c>
      <c r="M70" s="334"/>
      <c r="N70" s="158">
        <f t="shared" si="16"/>
        <v>0</v>
      </c>
      <c r="O70" s="158">
        <f t="shared" si="17"/>
        <v>0</v>
      </c>
      <c r="P70" s="4"/>
      <c r="R70" s="1"/>
      <c r="S70" s="1"/>
      <c r="T70" s="1"/>
      <c r="U70" s="1"/>
      <c r="V70" s="1"/>
      <c r="W70" s="1"/>
    </row>
    <row r="71" spans="1:23">
      <c r="B71" s="9" t="str">
        <f t="shared" si="4"/>
        <v/>
      </c>
      <c r="C71" s="153">
        <f>IF(D11="","-",+C70+1)</f>
        <v>2061</v>
      </c>
      <c r="D71" s="159">
        <f>IF(F70+SUM(E$17:E70)=D$10,F70,D$10-SUM(E$17:E70))</f>
        <v>0</v>
      </c>
      <c r="E71" s="160">
        <f>IF(+I14&lt;F70,I14,D71)</f>
        <v>0</v>
      </c>
      <c r="F71" s="159">
        <f t="shared" si="13"/>
        <v>0</v>
      </c>
      <c r="G71" s="161">
        <f t="shared" si="11"/>
        <v>0</v>
      </c>
      <c r="H71" s="142">
        <f t="shared" si="12"/>
        <v>0</v>
      </c>
      <c r="I71" s="156">
        <f t="shared" si="14"/>
        <v>0</v>
      </c>
      <c r="J71" s="156"/>
      <c r="K71" s="334"/>
      <c r="L71" s="158">
        <f t="shared" si="15"/>
        <v>0</v>
      </c>
      <c r="M71" s="334"/>
      <c r="N71" s="158">
        <f t="shared" si="16"/>
        <v>0</v>
      </c>
      <c r="O71" s="158">
        <f t="shared" si="17"/>
        <v>0</v>
      </c>
      <c r="P71" s="4"/>
      <c r="R71" s="1"/>
      <c r="S71" s="1"/>
      <c r="T71" s="1"/>
      <c r="U71" s="1"/>
      <c r="V71" s="1"/>
      <c r="W71" s="1"/>
    </row>
    <row r="72" spans="1:23" ht="13.5" thickBot="1">
      <c r="B72" s="9" t="str">
        <f t="shared" si="4"/>
        <v/>
      </c>
      <c r="C72" s="164">
        <f>IF(D11="","-",+C71+1)</f>
        <v>2062</v>
      </c>
      <c r="D72" s="165">
        <f>IF(F71+SUM(E$17:E71)=D$10,F71,D$10-SUM(E$17:E71))</f>
        <v>0</v>
      </c>
      <c r="E72" s="166">
        <f>IF(+I14&lt;F71,I14,D72)</f>
        <v>0</v>
      </c>
      <c r="F72" s="165">
        <f t="shared" si="13"/>
        <v>0</v>
      </c>
      <c r="G72" s="165">
        <f t="shared" si="11"/>
        <v>0</v>
      </c>
      <c r="H72" s="165">
        <f t="shared" si="12"/>
        <v>0</v>
      </c>
      <c r="I72" s="168">
        <f t="shared" si="14"/>
        <v>0</v>
      </c>
      <c r="J72" s="156"/>
      <c r="K72" s="335"/>
      <c r="L72" s="169">
        <f t="shared" si="15"/>
        <v>0</v>
      </c>
      <c r="M72" s="335"/>
      <c r="N72" s="169">
        <f t="shared" si="16"/>
        <v>0</v>
      </c>
      <c r="O72" s="169">
        <f t="shared" si="17"/>
        <v>0</v>
      </c>
      <c r="P72" s="4"/>
      <c r="R72" s="1"/>
      <c r="S72" s="1"/>
      <c r="T72" s="1"/>
      <c r="U72" s="1"/>
      <c r="V72" s="1"/>
      <c r="W72" s="1"/>
    </row>
    <row r="73" spans="1:23">
      <c r="C73" s="154" t="s">
        <v>73</v>
      </c>
      <c r="D73" s="111"/>
      <c r="E73" s="111">
        <f>SUM(E17:E72)</f>
        <v>81700.999999999971</v>
      </c>
      <c r="F73" s="111"/>
      <c r="G73" s="111">
        <f>SUM(G17:G72)</f>
        <v>282904.20217178966</v>
      </c>
      <c r="H73" s="111">
        <f>SUM(H17:H72)</f>
        <v>282904.20217178966</v>
      </c>
      <c r="I73" s="111">
        <f>SUM(I17:I72)</f>
        <v>0</v>
      </c>
      <c r="J73" s="111"/>
      <c r="K73" s="111"/>
      <c r="L73" s="111"/>
      <c r="M73" s="111"/>
      <c r="N73" s="111"/>
      <c r="O73" s="4"/>
      <c r="P73" s="4"/>
      <c r="R73" s="1"/>
      <c r="S73" s="1"/>
      <c r="T73" s="1"/>
      <c r="U73" s="1"/>
      <c r="V73" s="1"/>
      <c r="W73" s="1"/>
    </row>
    <row r="74" spans="1:23">
      <c r="D74" s="2"/>
      <c r="E74" s="1"/>
      <c r="F74" s="1"/>
      <c r="G74" s="1"/>
      <c r="H74" s="3"/>
      <c r="I74" s="3"/>
      <c r="J74" s="111"/>
      <c r="K74" s="3"/>
      <c r="L74" s="3"/>
      <c r="M74" s="3"/>
      <c r="N74" s="3"/>
      <c r="O74" s="1"/>
      <c r="P74" s="1"/>
      <c r="R74" s="1"/>
      <c r="S74" s="1"/>
      <c r="T74" s="1"/>
      <c r="U74" s="1"/>
      <c r="V74" s="1"/>
      <c r="W74" s="1"/>
    </row>
    <row r="75" spans="1:23">
      <c r="C75" s="170" t="s">
        <v>91</v>
      </c>
      <c r="D75" s="2"/>
      <c r="E75" s="1"/>
      <c r="F75" s="1"/>
      <c r="G75" s="1"/>
      <c r="H75" s="3"/>
      <c r="I75" s="3"/>
      <c r="J75" s="111"/>
      <c r="K75" s="3"/>
      <c r="L75" s="3"/>
      <c r="M75" s="3"/>
      <c r="N75" s="3"/>
      <c r="O75" s="1"/>
      <c r="P75" s="1"/>
      <c r="R75" s="1"/>
      <c r="S75" s="1"/>
      <c r="T75" s="1"/>
      <c r="U75" s="1"/>
      <c r="V75" s="1"/>
      <c r="W75" s="1"/>
    </row>
    <row r="76" spans="1:23">
      <c r="C76" s="121" t="s">
        <v>74</v>
      </c>
      <c r="D76" s="2"/>
      <c r="E76" s="1"/>
      <c r="F76" s="1"/>
      <c r="G76" s="1"/>
      <c r="H76" s="3"/>
      <c r="I76" s="3"/>
      <c r="J76" s="111"/>
      <c r="K76" s="3"/>
      <c r="L76" s="3"/>
      <c r="M76" s="3"/>
      <c r="N76" s="3"/>
      <c r="O76" s="4"/>
      <c r="P76" s="4"/>
      <c r="R76" s="1"/>
      <c r="S76" s="1"/>
      <c r="T76" s="1"/>
      <c r="U76" s="1"/>
      <c r="V76" s="1"/>
      <c r="W76" s="1"/>
    </row>
    <row r="77" spans="1:23" ht="18">
      <c r="C77" s="121" t="s">
        <v>75</v>
      </c>
      <c r="D77" s="154"/>
      <c r="E77" s="154"/>
      <c r="F77" s="154"/>
      <c r="G77" s="111"/>
      <c r="H77" s="111"/>
      <c r="I77" s="171"/>
      <c r="J77" s="171"/>
      <c r="K77" s="171"/>
      <c r="L77" s="171"/>
      <c r="M77" s="171"/>
      <c r="N77" s="171"/>
      <c r="O77" s="110"/>
      <c r="P77" s="4"/>
      <c r="R77" s="1"/>
      <c r="S77" s="1"/>
      <c r="T77" s="1"/>
      <c r="U77" s="1"/>
      <c r="V77" s="1"/>
      <c r="W77" s="1"/>
    </row>
    <row r="78" spans="1:23">
      <c r="C78" s="121"/>
      <c r="D78" s="154"/>
      <c r="E78" s="154"/>
      <c r="F78" s="154"/>
      <c r="G78" s="111"/>
      <c r="H78" s="111"/>
      <c r="I78" s="171"/>
      <c r="J78" s="171"/>
      <c r="K78" s="171"/>
      <c r="L78" s="171"/>
      <c r="M78" s="171"/>
      <c r="N78" s="171"/>
      <c r="O78" s="4"/>
      <c r="P78" s="1"/>
      <c r="R78" s="1"/>
      <c r="S78" s="1"/>
      <c r="T78" s="1"/>
      <c r="U78" s="1"/>
      <c r="V78" s="1"/>
      <c r="W78" s="1"/>
    </row>
    <row r="79" spans="1:23" ht="15">
      <c r="A79" s="241"/>
      <c r="B79" s="1"/>
      <c r="C79" s="21"/>
      <c r="D79" s="2"/>
      <c r="E79" s="1"/>
      <c r="F79" s="107"/>
      <c r="G79" s="1"/>
      <c r="H79" s="3"/>
      <c r="I79" s="1"/>
      <c r="J79" s="4"/>
      <c r="K79" s="1"/>
      <c r="L79" s="1"/>
      <c r="M79" s="1"/>
      <c r="N79" s="1"/>
      <c r="R79" s="1"/>
      <c r="S79" s="1"/>
      <c r="T79" s="1"/>
      <c r="U79" s="1"/>
      <c r="V79" s="1"/>
      <c r="W79" s="1"/>
    </row>
    <row r="80" spans="1:23" ht="18">
      <c r="B80" s="1"/>
      <c r="C80" s="242"/>
      <c r="D80" s="2"/>
      <c r="E80" s="1"/>
      <c r="F80" s="107"/>
      <c r="G80" s="1"/>
      <c r="H80" s="3"/>
      <c r="I80" s="1"/>
      <c r="J80" s="4"/>
      <c r="K80" s="1"/>
      <c r="L80" s="1"/>
      <c r="M80" s="1"/>
      <c r="N80" s="1"/>
      <c r="P80" s="244" t="s">
        <v>125</v>
      </c>
      <c r="R80" s="1"/>
      <c r="S80" s="1"/>
      <c r="T80" s="1"/>
      <c r="U80" s="1"/>
      <c r="V80" s="1"/>
      <c r="W80" s="1"/>
    </row>
    <row r="81" spans="1:23">
      <c r="B81" s="1"/>
      <c r="C81" s="242"/>
      <c r="D81" s="2"/>
      <c r="E81" s="1"/>
      <c r="F81" s="107"/>
      <c r="G81" s="1"/>
      <c r="H81" s="3"/>
      <c r="I81" s="1"/>
      <c r="J81" s="4"/>
      <c r="K81" s="1"/>
      <c r="L81" s="1"/>
      <c r="M81" s="1"/>
      <c r="N81" s="1"/>
      <c r="O81" s="1"/>
      <c r="P81" s="1"/>
      <c r="R81" s="1"/>
      <c r="S81" s="1"/>
      <c r="T81" s="1"/>
      <c r="U81" s="1"/>
      <c r="V81" s="1"/>
      <c r="W81" s="1"/>
    </row>
    <row r="82" spans="1:23">
      <c r="B82" s="1"/>
      <c r="C82" s="21"/>
      <c r="D82" s="2"/>
      <c r="E82" s="1"/>
      <c r="F82" s="107"/>
      <c r="G82" s="1"/>
      <c r="H82" s="3"/>
      <c r="I82" s="1"/>
      <c r="J82" s="4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</row>
    <row r="83" spans="1:23" ht="20.25">
      <c r="A83" s="243" t="s">
        <v>129</v>
      </c>
      <c r="B83" s="1"/>
      <c r="C83" s="21"/>
      <c r="D83" s="2"/>
      <c r="E83" s="1"/>
      <c r="F83" s="99"/>
      <c r="G83" s="99"/>
      <c r="H83" s="1"/>
      <c r="I83" s="3"/>
      <c r="K83" s="7"/>
      <c r="L83" s="109"/>
      <c r="M83" s="109"/>
      <c r="P83" s="110" t="str">
        <f ca="1">P1</f>
        <v>SWEPCO Project 14 of 73</v>
      </c>
      <c r="Q83" s="1"/>
      <c r="R83" s="1"/>
      <c r="S83" s="1"/>
      <c r="T83" s="1"/>
      <c r="U83" s="1"/>
      <c r="V83" s="1"/>
      <c r="W83" s="1"/>
    </row>
    <row r="84" spans="1:23" ht="18">
      <c r="B84" s="1"/>
      <c r="C84" s="1"/>
      <c r="D84" s="2"/>
      <c r="E84" s="1"/>
      <c r="F84" s="1"/>
      <c r="G84" s="1"/>
      <c r="H84" s="1"/>
      <c r="I84" s="3"/>
      <c r="J84" s="1"/>
      <c r="K84" s="4"/>
      <c r="L84" s="1"/>
      <c r="M84" s="1"/>
      <c r="P84" s="237" t="s">
        <v>123</v>
      </c>
      <c r="Q84" s="1"/>
      <c r="R84" s="1"/>
      <c r="S84" s="1"/>
      <c r="T84" s="1"/>
      <c r="U84" s="1"/>
      <c r="V84" s="1"/>
      <c r="W84" s="1"/>
    </row>
    <row r="85" spans="1:23" ht="18.75" thickBot="1">
      <c r="B85" s="5" t="s">
        <v>40</v>
      </c>
      <c r="C85" s="197" t="s">
        <v>78</v>
      </c>
      <c r="D85" s="2"/>
      <c r="E85" s="1"/>
      <c r="F85" s="1"/>
      <c r="G85" s="1"/>
      <c r="H85" s="1"/>
      <c r="I85" s="3"/>
      <c r="J85" s="3"/>
      <c r="K85" s="111"/>
      <c r="L85" s="3"/>
      <c r="M85" s="3"/>
      <c r="N85" s="3"/>
      <c r="O85" s="111"/>
      <c r="P85" s="1"/>
      <c r="Q85" s="1"/>
      <c r="R85" s="1"/>
      <c r="S85" s="1"/>
      <c r="T85" s="1"/>
      <c r="U85" s="1"/>
      <c r="V85" s="1"/>
      <c r="W85" s="1"/>
    </row>
    <row r="86" spans="1:23" ht="15.75" thickBot="1">
      <c r="C86" s="67"/>
      <c r="D86" s="2"/>
      <c r="E86" s="1"/>
      <c r="F86" s="1"/>
      <c r="G86" s="1"/>
      <c r="H86" s="1"/>
      <c r="I86" s="3"/>
      <c r="J86" s="3"/>
      <c r="K86" s="111"/>
      <c r="L86" s="265">
        <f>+J92</f>
        <v>2017</v>
      </c>
      <c r="M86" s="266" t="s">
        <v>7</v>
      </c>
      <c r="N86" s="270" t="s">
        <v>154</v>
      </c>
      <c r="O86" s="267" t="s">
        <v>9</v>
      </c>
      <c r="P86" s="1"/>
      <c r="Q86" s="1"/>
      <c r="R86" s="1"/>
      <c r="S86" s="1"/>
      <c r="T86" s="1"/>
      <c r="U86" s="1"/>
      <c r="V86" s="1"/>
      <c r="W86" s="1"/>
    </row>
    <row r="87" spans="1:23" ht="15">
      <c r="C87" s="235" t="s">
        <v>42</v>
      </c>
      <c r="D87" s="2"/>
      <c r="E87" s="1"/>
      <c r="F87" s="1"/>
      <c r="G87" s="1"/>
      <c r="H87" s="113"/>
      <c r="I87" s="1" t="s">
        <v>43</v>
      </c>
      <c r="J87" s="1"/>
      <c r="K87" s="261"/>
      <c r="L87" s="259" t="s">
        <v>381</v>
      </c>
      <c r="M87" s="198">
        <f>IF(J92&lt;D11,0,VLOOKUP(J92,C17:O72,9))</f>
        <v>9832.9858090659618</v>
      </c>
      <c r="N87" s="198">
        <f>IF(J92&lt;D11,0,VLOOKUP(J92,C17:O72,11))</f>
        <v>9832.9858090659618</v>
      </c>
      <c r="O87" s="199">
        <f>+N87-M87</f>
        <v>0</v>
      </c>
      <c r="P87" s="1"/>
      <c r="Q87" s="1"/>
      <c r="R87" s="1"/>
      <c r="S87" s="1"/>
      <c r="T87" s="1"/>
      <c r="U87" s="1"/>
      <c r="V87" s="1"/>
      <c r="W87" s="1"/>
    </row>
    <row r="88" spans="1:23" ht="15.75">
      <c r="C88" s="8"/>
      <c r="D88" s="2"/>
      <c r="E88" s="1"/>
      <c r="F88" s="1"/>
      <c r="G88" s="1"/>
      <c r="H88" s="1"/>
      <c r="I88" s="117"/>
      <c r="J88" s="117"/>
      <c r="K88" s="263"/>
      <c r="L88" s="264" t="s">
        <v>382</v>
      </c>
      <c r="M88" s="200">
        <f>IF(J92&lt;D11,0,VLOOKUP(J92,C99:P154,6))</f>
        <v>9745.2303003311172</v>
      </c>
      <c r="N88" s="200">
        <f>IF(J92&lt;D11,0,VLOOKUP(J92,C99:P154,7))</f>
        <v>9745.2303003311172</v>
      </c>
      <c r="O88" s="201">
        <f>+N88-M88</f>
        <v>0</v>
      </c>
      <c r="P88" s="1"/>
      <c r="Q88" s="1"/>
      <c r="R88" s="1"/>
      <c r="S88" s="1"/>
      <c r="T88" s="1"/>
      <c r="U88" s="1"/>
      <c r="V88" s="1"/>
      <c r="W88" s="1"/>
    </row>
    <row r="89" spans="1:23" ht="13.5" thickBot="1">
      <c r="C89" s="121" t="s">
        <v>79</v>
      </c>
      <c r="D89" s="246" t="str">
        <f>+D7</f>
        <v>NW Henderson - Oak Hill 138 kV line*</v>
      </c>
      <c r="E89" s="1"/>
      <c r="F89" s="1"/>
      <c r="G89" s="1"/>
      <c r="H89" s="1"/>
      <c r="I89" s="3"/>
      <c r="J89" s="3"/>
      <c r="K89" s="262"/>
      <c r="L89" s="260" t="s">
        <v>151</v>
      </c>
      <c r="M89" s="203">
        <f>+M88-M87</f>
        <v>-87.755508734844625</v>
      </c>
      <c r="N89" s="203">
        <f>+N88-N87</f>
        <v>-87.755508734844625</v>
      </c>
      <c r="O89" s="204">
        <f>+O88-O87</f>
        <v>0</v>
      </c>
      <c r="P89" s="1"/>
      <c r="Q89" s="1"/>
      <c r="R89" s="1"/>
      <c r="S89" s="1"/>
      <c r="T89" s="1"/>
      <c r="U89" s="1"/>
      <c r="V89" s="1"/>
      <c r="W89" s="1"/>
    </row>
    <row r="90" spans="1:23" ht="13.5" thickBot="1">
      <c r="C90" s="170"/>
      <c r="D90" s="173" t="str">
        <f>D8</f>
        <v>DOES NOT MEET SPP $100,000 MINIMUM INVESTMENT FOR REGIONAL BPU SHARING.</v>
      </c>
      <c r="E90" s="107"/>
      <c r="F90" s="107"/>
      <c r="G90" s="107"/>
      <c r="H90" s="126"/>
      <c r="I90" s="3"/>
      <c r="J90" s="3"/>
      <c r="K90" s="111"/>
      <c r="L90" s="3"/>
      <c r="M90" s="3"/>
      <c r="N90" s="3"/>
      <c r="O90" s="111"/>
      <c r="P90" s="1"/>
      <c r="Q90" s="1"/>
      <c r="R90" s="1"/>
      <c r="S90" s="1"/>
      <c r="T90" s="1"/>
      <c r="U90" s="1"/>
      <c r="V90" s="1"/>
      <c r="W90" s="1"/>
    </row>
    <row r="91" spans="1:23" ht="13.5" thickBot="1">
      <c r="A91" s="103"/>
      <c r="C91" s="205" t="s">
        <v>80</v>
      </c>
      <c r="D91" s="224" t="str">
        <f>+D9</f>
        <v>TP2006089</v>
      </c>
      <c r="E91" s="206"/>
      <c r="F91" s="206"/>
      <c r="G91" s="206"/>
      <c r="H91" s="206"/>
      <c r="I91" s="206"/>
      <c r="J91" s="238"/>
      <c r="K91" s="207"/>
      <c r="P91" s="131"/>
      <c r="Q91" s="1"/>
      <c r="R91" s="1"/>
      <c r="S91" s="1"/>
      <c r="T91" s="1"/>
      <c r="U91" s="1"/>
      <c r="V91" s="1"/>
      <c r="W91" s="1"/>
    </row>
    <row r="92" spans="1:23">
      <c r="C92" s="136" t="s">
        <v>47</v>
      </c>
      <c r="D92" s="133">
        <v>81701</v>
      </c>
      <c r="E92" s="21" t="s">
        <v>81</v>
      </c>
      <c r="H92" s="134"/>
      <c r="I92" s="134"/>
      <c r="J92" s="135">
        <f>+'SWE.WS.G.BPU.ATRR.True-up'!M15</f>
        <v>2017</v>
      </c>
      <c r="K92" s="130"/>
      <c r="L92" s="111" t="s">
        <v>82</v>
      </c>
      <c r="P92" s="4"/>
      <c r="Q92" s="1"/>
      <c r="R92" s="1"/>
      <c r="S92" s="1"/>
      <c r="T92" s="1"/>
      <c r="U92" s="1"/>
      <c r="V92" s="1"/>
      <c r="W92" s="1"/>
    </row>
    <row r="93" spans="1:23">
      <c r="C93" s="136" t="s">
        <v>49</v>
      </c>
      <c r="D93" s="219">
        <f>IF(D11=I10,"",D11)</f>
        <v>2007</v>
      </c>
      <c r="E93" s="136" t="s">
        <v>50</v>
      </c>
      <c r="F93" s="134"/>
      <c r="G93" s="134"/>
      <c r="J93" s="138">
        <f>IF(H87="",0,'SWE.WS.G.BPU.ATRR.True-up'!$F$12)</f>
        <v>0</v>
      </c>
      <c r="K93" s="139"/>
      <c r="L93" t="str">
        <f>"          INPUT TRUE-UP ARR (WITH &amp; WITHOUT INCENTIVES) FROM EACH PRIOR YEAR"</f>
        <v xml:space="preserve">          INPUT TRUE-UP ARR (WITH &amp; WITHOUT INCENTIVES) FROM EACH PRIOR YEAR</v>
      </c>
      <c r="P93" s="4"/>
      <c r="Q93" s="1"/>
      <c r="R93" s="1"/>
      <c r="S93" s="1"/>
      <c r="T93" s="1"/>
      <c r="U93" s="1"/>
      <c r="V93" s="1"/>
      <c r="W93" s="1"/>
    </row>
    <row r="94" spans="1:23">
      <c r="C94" s="136" t="s">
        <v>51</v>
      </c>
      <c r="D94" s="218">
        <f>IF(D11=I10,"",D12)</f>
        <v>6</v>
      </c>
      <c r="E94" s="136" t="s">
        <v>52</v>
      </c>
      <c r="F94" s="134"/>
      <c r="G94" s="134"/>
      <c r="J94" s="140">
        <f>'SWE.WS.G.BPU.ATRR.True-up'!$F$80</f>
        <v>0.12147145768398206</v>
      </c>
      <c r="K94" s="141"/>
      <c r="L94" t="s">
        <v>83</v>
      </c>
      <c r="P94" s="4"/>
      <c r="Q94" s="1"/>
      <c r="R94" s="1"/>
      <c r="S94" s="1"/>
      <c r="T94" s="1"/>
      <c r="U94" s="1"/>
      <c r="V94" s="1"/>
      <c r="W94" s="1"/>
    </row>
    <row r="95" spans="1:23">
      <c r="C95" s="136" t="s">
        <v>54</v>
      </c>
      <c r="D95" s="138">
        <f>'SWE.WS.G.BPU.ATRR.True-up'!F$92</f>
        <v>42</v>
      </c>
      <c r="E95" s="136" t="s">
        <v>55</v>
      </c>
      <c r="F95" s="134"/>
      <c r="G95" s="134"/>
      <c r="J95" s="140">
        <f>IF(H87="",J94,'SWE.WS.G.BPU.ATRR.True-up'!$F$79)</f>
        <v>0.12147145768398206</v>
      </c>
      <c r="K95" s="58"/>
      <c r="L95" s="111" t="s">
        <v>56</v>
      </c>
      <c r="M95" s="58"/>
      <c r="N95" s="58"/>
      <c r="O95" s="58"/>
      <c r="P95" s="4"/>
      <c r="Q95" s="1"/>
      <c r="R95" s="1"/>
      <c r="S95" s="1"/>
      <c r="T95" s="1"/>
      <c r="U95" s="1"/>
      <c r="V95" s="1"/>
      <c r="W95" s="1"/>
    </row>
    <row r="96" spans="1:23" ht="13.5" thickBot="1">
      <c r="C96" s="136" t="s">
        <v>57</v>
      </c>
      <c r="D96" s="220" t="str">
        <f>+D14</f>
        <v>No</v>
      </c>
      <c r="E96" s="202" t="s">
        <v>59</v>
      </c>
      <c r="F96" s="208"/>
      <c r="G96" s="208"/>
      <c r="H96" s="209"/>
      <c r="I96" s="209"/>
      <c r="J96" s="124">
        <f>IF(D92=0,0,D92/D95)</f>
        <v>1945.2619047619048</v>
      </c>
      <c r="K96" s="111"/>
      <c r="L96" s="111"/>
      <c r="M96" s="111"/>
      <c r="N96" s="111"/>
      <c r="O96" s="111"/>
      <c r="P96" s="4"/>
      <c r="Q96" s="1"/>
      <c r="R96" s="1"/>
      <c r="S96" s="1"/>
      <c r="T96" s="1"/>
      <c r="U96" s="1"/>
      <c r="V96" s="1"/>
      <c r="W96" s="1"/>
    </row>
    <row r="97" spans="1:23" ht="38.25">
      <c r="A97" s="6"/>
      <c r="B97" s="6"/>
      <c r="C97" s="210" t="s">
        <v>47</v>
      </c>
      <c r="D97" s="211" t="s">
        <v>60</v>
      </c>
      <c r="E97" s="146" t="s">
        <v>61</v>
      </c>
      <c r="F97" s="146" t="s">
        <v>62</v>
      </c>
      <c r="G97" s="144" t="s">
        <v>84</v>
      </c>
      <c r="H97" s="434" t="s">
        <v>378</v>
      </c>
      <c r="I97" s="435" t="s">
        <v>379</v>
      </c>
      <c r="J97" s="210" t="s">
        <v>85</v>
      </c>
      <c r="K97" s="212"/>
      <c r="L97" s="271" t="s">
        <v>220</v>
      </c>
      <c r="M97" s="146" t="s">
        <v>86</v>
      </c>
      <c r="N97" s="271" t="s">
        <v>220</v>
      </c>
      <c r="O97" s="146" t="s">
        <v>86</v>
      </c>
      <c r="P97" s="146" t="s">
        <v>65</v>
      </c>
      <c r="Q97" s="1"/>
      <c r="R97" s="1"/>
      <c r="S97" s="1"/>
      <c r="T97" s="1"/>
      <c r="U97" s="1"/>
      <c r="V97" s="1"/>
      <c r="W97" s="1"/>
    </row>
    <row r="98" spans="1:23" ht="13.5" thickBot="1">
      <c r="C98" s="147" t="s">
        <v>66</v>
      </c>
      <c r="D98" s="213" t="s">
        <v>67</v>
      </c>
      <c r="E98" s="147" t="s">
        <v>68</v>
      </c>
      <c r="F98" s="147" t="s">
        <v>67</v>
      </c>
      <c r="G98" s="147" t="s">
        <v>67</v>
      </c>
      <c r="H98" s="407" t="s">
        <v>69</v>
      </c>
      <c r="I98" s="148" t="s">
        <v>70</v>
      </c>
      <c r="J98" s="149" t="s">
        <v>89</v>
      </c>
      <c r="K98" s="150"/>
      <c r="L98" s="151" t="s">
        <v>72</v>
      </c>
      <c r="M98" s="151" t="s">
        <v>72</v>
      </c>
      <c r="N98" s="151" t="s">
        <v>90</v>
      </c>
      <c r="O98" s="151" t="s">
        <v>90</v>
      </c>
      <c r="P98" s="151" t="s">
        <v>90</v>
      </c>
      <c r="Q98" s="1"/>
      <c r="R98" s="1"/>
      <c r="S98" s="1"/>
      <c r="T98" s="1"/>
      <c r="U98" s="1"/>
      <c r="V98" s="1"/>
      <c r="W98" s="1"/>
    </row>
    <row r="99" spans="1:23">
      <c r="C99" s="153">
        <f>IF(D93= "","-",D93)</f>
        <v>2007</v>
      </c>
      <c r="D99" s="357">
        <f>IF(D93=C99,0,D92)</f>
        <v>0</v>
      </c>
      <c r="E99" s="360">
        <v>0</v>
      </c>
      <c r="F99" s="361">
        <v>54301</v>
      </c>
      <c r="G99" s="365">
        <v>27151</v>
      </c>
      <c r="H99" s="362">
        <v>4328</v>
      </c>
      <c r="I99" s="363">
        <v>4328</v>
      </c>
      <c r="J99" s="403">
        <f t="shared" ref="J99:J130" si="18">+I99-H99</f>
        <v>0</v>
      </c>
      <c r="K99" s="158"/>
      <c r="L99" s="256">
        <v>0</v>
      </c>
      <c r="M99" s="157">
        <f t="shared" ref="M99:M130" si="19">IF(L99&lt;&gt;0,+H99-L99,0)</f>
        <v>0</v>
      </c>
      <c r="N99" s="256">
        <v>0</v>
      </c>
      <c r="O99" s="157">
        <f t="shared" ref="O99:O130" si="20">IF(N99&lt;&gt;0,+I99-N99,0)</f>
        <v>0</v>
      </c>
      <c r="P99" s="157">
        <f t="shared" ref="P99:P130" si="21">+O99-M99</f>
        <v>0</v>
      </c>
      <c r="Q99" s="1"/>
      <c r="R99" s="107"/>
      <c r="S99" s="107"/>
      <c r="T99" s="107"/>
      <c r="U99" s="107"/>
      <c r="V99" s="107"/>
      <c r="W99" s="107">
        <f>ROUND(I99,0)</f>
        <v>4328</v>
      </c>
    </row>
    <row r="100" spans="1:23">
      <c r="B100" s="9" t="str">
        <f>IF(D100=F99,"","IU")</f>
        <v/>
      </c>
      <c r="C100" s="153">
        <f>IF(D93="","-",+C99+1)</f>
        <v>2008</v>
      </c>
      <c r="D100" s="357">
        <v>54301</v>
      </c>
      <c r="E100" s="360">
        <v>1468</v>
      </c>
      <c r="F100" s="361">
        <v>52833</v>
      </c>
      <c r="G100" s="361">
        <v>53567</v>
      </c>
      <c r="H100" s="360">
        <v>10006</v>
      </c>
      <c r="I100" s="359">
        <v>10006</v>
      </c>
      <c r="J100" s="403">
        <f t="shared" si="18"/>
        <v>0</v>
      </c>
      <c r="K100" s="158"/>
      <c r="L100" s="258">
        <v>10006</v>
      </c>
      <c r="M100" s="158">
        <f t="shared" si="19"/>
        <v>0</v>
      </c>
      <c r="N100" s="258">
        <v>10006</v>
      </c>
      <c r="O100" s="158">
        <f t="shared" si="20"/>
        <v>0</v>
      </c>
      <c r="P100" s="158">
        <f t="shared" si="21"/>
        <v>0</v>
      </c>
      <c r="Q100" s="1"/>
      <c r="R100" s="107"/>
      <c r="S100" s="107"/>
      <c r="T100" s="107"/>
      <c r="U100" s="107"/>
      <c r="V100" s="107"/>
      <c r="W100" s="107">
        <f>ROUND(I100,0)</f>
        <v>10006</v>
      </c>
    </row>
    <row r="101" spans="1:23">
      <c r="B101" s="9" t="str">
        <f t="shared" ref="B101:B154" si="22">IF(D101=F100,"","IU")</f>
        <v/>
      </c>
      <c r="C101" s="153">
        <f>IF(D93="","-",+C100+1)</f>
        <v>2009</v>
      </c>
      <c r="D101" s="357">
        <v>52833</v>
      </c>
      <c r="E101" s="360">
        <v>1428.9736842105262</v>
      </c>
      <c r="F101" s="361">
        <v>51404.026315789473</v>
      </c>
      <c r="G101" s="361">
        <v>52118.513157894733</v>
      </c>
      <c r="H101" s="360">
        <v>8972.4855002204786</v>
      </c>
      <c r="I101" s="359">
        <v>8972.4855002204786</v>
      </c>
      <c r="J101" s="403">
        <f t="shared" si="18"/>
        <v>0</v>
      </c>
      <c r="K101" s="158"/>
      <c r="L101" s="258">
        <f t="shared" ref="L101:L106" si="23">H101</f>
        <v>8972.4855002204786</v>
      </c>
      <c r="M101" s="257">
        <f t="shared" si="19"/>
        <v>0</v>
      </c>
      <c r="N101" s="258">
        <f t="shared" ref="N101:N106" si="24">I101</f>
        <v>8972.4855002204786</v>
      </c>
      <c r="O101" s="158">
        <f t="shared" si="20"/>
        <v>0</v>
      </c>
      <c r="P101" s="158">
        <f t="shared" si="21"/>
        <v>0</v>
      </c>
      <c r="Q101" s="1"/>
      <c r="R101" s="1"/>
      <c r="S101" s="1"/>
      <c r="T101" s="1"/>
      <c r="U101" s="1"/>
      <c r="V101" s="1"/>
      <c r="W101" s="1"/>
    </row>
    <row r="102" spans="1:23">
      <c r="B102" s="9" t="str">
        <f t="shared" si="22"/>
        <v>IU</v>
      </c>
      <c r="C102" s="153">
        <f>IF(D93="","-",+C101+1)</f>
        <v>2010</v>
      </c>
      <c r="D102" s="357">
        <v>78804.026315789481</v>
      </c>
      <c r="E102" s="360">
        <v>1992.7073170731708</v>
      </c>
      <c r="F102" s="361">
        <v>76811.318998716306</v>
      </c>
      <c r="G102" s="361">
        <v>77807.672657252901</v>
      </c>
      <c r="H102" s="360">
        <v>14837.671154363743</v>
      </c>
      <c r="I102" s="359">
        <v>14837.671154363743</v>
      </c>
      <c r="J102" s="403">
        <f t="shared" si="18"/>
        <v>0</v>
      </c>
      <c r="K102" s="158"/>
      <c r="L102" s="258">
        <f t="shared" si="23"/>
        <v>14837.671154363743</v>
      </c>
      <c r="M102" s="257">
        <f t="shared" si="19"/>
        <v>0</v>
      </c>
      <c r="N102" s="258">
        <f t="shared" si="24"/>
        <v>14837.671154363743</v>
      </c>
      <c r="O102" s="158">
        <f t="shared" si="20"/>
        <v>0</v>
      </c>
      <c r="P102" s="158">
        <f t="shared" si="21"/>
        <v>0</v>
      </c>
      <c r="Q102" s="1"/>
      <c r="R102" s="1"/>
      <c r="S102" s="1"/>
      <c r="T102" s="1"/>
      <c r="U102" s="1"/>
      <c r="V102" s="1"/>
      <c r="W102" s="1"/>
    </row>
    <row r="103" spans="1:23">
      <c r="B103" s="9" t="str">
        <f t="shared" si="22"/>
        <v/>
      </c>
      <c r="C103" s="153">
        <f>IF(D93="","-",+C102+1)</f>
        <v>2011</v>
      </c>
      <c r="D103" s="357">
        <v>76811.318998716306</v>
      </c>
      <c r="E103" s="377">
        <v>1945.2619047619048</v>
      </c>
      <c r="F103" s="361">
        <v>74866.057093954398</v>
      </c>
      <c r="G103" s="361">
        <v>75838.688046335359</v>
      </c>
      <c r="H103" s="360">
        <v>13349.876325445057</v>
      </c>
      <c r="I103" s="359">
        <v>13349.876325445057</v>
      </c>
      <c r="J103" s="403">
        <f t="shared" si="18"/>
        <v>0</v>
      </c>
      <c r="K103" s="158"/>
      <c r="L103" s="258">
        <f t="shared" si="23"/>
        <v>13349.876325445057</v>
      </c>
      <c r="M103" s="257">
        <f t="shared" si="19"/>
        <v>0</v>
      </c>
      <c r="N103" s="258">
        <f t="shared" si="24"/>
        <v>13349.876325445057</v>
      </c>
      <c r="O103" s="158">
        <f t="shared" si="20"/>
        <v>0</v>
      </c>
      <c r="P103" s="158">
        <f t="shared" si="21"/>
        <v>0</v>
      </c>
      <c r="Q103" s="1"/>
      <c r="R103" s="1"/>
      <c r="S103" s="1"/>
      <c r="T103" s="1"/>
      <c r="U103" s="1"/>
      <c r="V103" s="1"/>
      <c r="W103" s="1"/>
    </row>
    <row r="104" spans="1:23">
      <c r="B104" s="9" t="str">
        <f t="shared" si="22"/>
        <v/>
      </c>
      <c r="C104" s="153">
        <f>IF(D93="","-",+C103+1)</f>
        <v>2012</v>
      </c>
      <c r="D104" s="357">
        <v>74866.057093954398</v>
      </c>
      <c r="E104" s="360">
        <v>1945.2619047619048</v>
      </c>
      <c r="F104" s="361">
        <v>72920.795189192489</v>
      </c>
      <c r="G104" s="361">
        <v>73893.426141573436</v>
      </c>
      <c r="H104" s="360">
        <v>12818.97009538296</v>
      </c>
      <c r="I104" s="359">
        <v>12818.97009538296</v>
      </c>
      <c r="J104" s="403">
        <f t="shared" si="18"/>
        <v>0</v>
      </c>
      <c r="K104" s="158"/>
      <c r="L104" s="258">
        <f t="shared" si="23"/>
        <v>12818.97009538296</v>
      </c>
      <c r="M104" s="257">
        <f t="shared" si="19"/>
        <v>0</v>
      </c>
      <c r="N104" s="258">
        <f t="shared" si="24"/>
        <v>12818.97009538296</v>
      </c>
      <c r="O104" s="158">
        <f t="shared" si="20"/>
        <v>0</v>
      </c>
      <c r="P104" s="158">
        <f t="shared" si="21"/>
        <v>0</v>
      </c>
      <c r="Q104" s="1"/>
      <c r="R104" s="1"/>
      <c r="S104" s="1"/>
      <c r="T104" s="1"/>
      <c r="U104" s="1"/>
      <c r="V104" s="1"/>
      <c r="W104" s="1"/>
    </row>
    <row r="105" spans="1:23">
      <c r="B105" s="9" t="str">
        <f t="shared" si="22"/>
        <v/>
      </c>
      <c r="C105" s="153">
        <f>IF(D93="","-",+C104+1)</f>
        <v>2013</v>
      </c>
      <c r="D105" s="357">
        <v>72920.795189192489</v>
      </c>
      <c r="E105" s="360">
        <v>1945.2619047619048</v>
      </c>
      <c r="F105" s="361">
        <v>70975.533284430581</v>
      </c>
      <c r="G105" s="361">
        <v>71948.164236811543</v>
      </c>
      <c r="H105" s="360">
        <v>11679.251522399856</v>
      </c>
      <c r="I105" s="359">
        <v>11679.251522399856</v>
      </c>
      <c r="J105" s="403">
        <v>0</v>
      </c>
      <c r="K105" s="158"/>
      <c r="L105" s="258">
        <f t="shared" si="23"/>
        <v>11679.251522399856</v>
      </c>
      <c r="M105" s="257">
        <f>IF(L105&lt;&gt;0,+H105-L105,0)</f>
        <v>0</v>
      </c>
      <c r="N105" s="258">
        <f t="shared" si="24"/>
        <v>11679.251522399856</v>
      </c>
      <c r="O105" s="158">
        <f>IF(N105&lt;&gt;0,+I105-N105,0)</f>
        <v>0</v>
      </c>
      <c r="P105" s="158">
        <f>+O105-M105</f>
        <v>0</v>
      </c>
      <c r="Q105" s="1"/>
      <c r="R105" s="1"/>
      <c r="S105" s="1"/>
      <c r="T105" s="1"/>
      <c r="U105" s="1"/>
      <c r="V105" s="1"/>
      <c r="W105" s="1"/>
    </row>
    <row r="106" spans="1:23">
      <c r="B106" s="9" t="str">
        <f t="shared" si="22"/>
        <v/>
      </c>
      <c r="C106" s="153">
        <f>IF(D93="","-",+C105+1)</f>
        <v>2014</v>
      </c>
      <c r="D106" s="357">
        <v>70975.533284430581</v>
      </c>
      <c r="E106" s="360">
        <v>1945.2619047619048</v>
      </c>
      <c r="F106" s="361">
        <v>69030.271379668673</v>
      </c>
      <c r="G106" s="361">
        <v>70002.90233204962</v>
      </c>
      <c r="H106" s="360">
        <v>11460.298583288852</v>
      </c>
      <c r="I106" s="359">
        <v>11460.298583288852</v>
      </c>
      <c r="J106" s="158">
        <v>0</v>
      </c>
      <c r="K106" s="158"/>
      <c r="L106" s="258">
        <f t="shared" si="23"/>
        <v>11460.298583288852</v>
      </c>
      <c r="M106" s="257">
        <f>IF(L106&lt;&gt;0,+H106-L106,0)</f>
        <v>0</v>
      </c>
      <c r="N106" s="258">
        <f t="shared" si="24"/>
        <v>11460.298583288852</v>
      </c>
      <c r="O106" s="158">
        <f>IF(N106&lt;&gt;0,+I106-N106,0)</f>
        <v>0</v>
      </c>
      <c r="P106" s="158">
        <f>+O106-M106</f>
        <v>0</v>
      </c>
      <c r="Q106" s="1"/>
      <c r="R106" s="1"/>
      <c r="S106" s="1"/>
      <c r="T106" s="1"/>
      <c r="U106" s="1"/>
      <c r="V106" s="1"/>
      <c r="W106" s="1"/>
    </row>
    <row r="107" spans="1:23">
      <c r="B107" s="9" t="str">
        <f t="shared" si="22"/>
        <v/>
      </c>
      <c r="C107" s="153">
        <f>IF(D93="","-",+C106+1)</f>
        <v>2015</v>
      </c>
      <c r="D107" s="357">
        <v>69030.271379668673</v>
      </c>
      <c r="E107" s="360">
        <v>1945.2619047619048</v>
      </c>
      <c r="F107" s="361">
        <v>67085.009474906765</v>
      </c>
      <c r="G107" s="361">
        <v>68057.640427287726</v>
      </c>
      <c r="H107" s="360">
        <v>10913.140814685254</v>
      </c>
      <c r="I107" s="359">
        <v>10913.140814685254</v>
      </c>
      <c r="J107" s="158">
        <f t="shared" si="18"/>
        <v>0</v>
      </c>
      <c r="K107" s="158"/>
      <c r="L107" s="258">
        <f>H107</f>
        <v>10913.140814685254</v>
      </c>
      <c r="M107" s="257">
        <f>IF(L107&lt;&gt;0,+H107-L107,0)</f>
        <v>0</v>
      </c>
      <c r="N107" s="258">
        <f>I107</f>
        <v>10913.140814685254</v>
      </c>
      <c r="O107" s="158">
        <f>IF(N107&lt;&gt;0,+I107-N107,0)</f>
        <v>0</v>
      </c>
      <c r="P107" s="158">
        <f>+O107-M107</f>
        <v>0</v>
      </c>
      <c r="Q107" s="1"/>
      <c r="R107" s="1"/>
      <c r="S107" s="1"/>
      <c r="T107" s="1"/>
      <c r="U107" s="1"/>
      <c r="V107" s="1"/>
      <c r="W107" s="1"/>
    </row>
    <row r="108" spans="1:23">
      <c r="B108" s="9" t="str">
        <f t="shared" si="22"/>
        <v/>
      </c>
      <c r="C108" s="153">
        <f>IF(D93="","-",+C107+1)</f>
        <v>2016</v>
      </c>
      <c r="D108" s="357">
        <v>67085.009474906765</v>
      </c>
      <c r="E108" s="360">
        <v>1900.0232558139535</v>
      </c>
      <c r="F108" s="361">
        <v>65184.986219092811</v>
      </c>
      <c r="G108" s="361">
        <v>66134.997846999788</v>
      </c>
      <c r="H108" s="360">
        <v>10295.860457941419</v>
      </c>
      <c r="I108" s="359">
        <v>10295.860457941419</v>
      </c>
      <c r="J108" s="158">
        <v>0</v>
      </c>
      <c r="K108" s="158"/>
      <c r="L108" s="258">
        <f>H108</f>
        <v>10295.860457941419</v>
      </c>
      <c r="M108" s="257">
        <f>IF(L108&lt;&gt;0,+H108-L108,0)</f>
        <v>0</v>
      </c>
      <c r="N108" s="258">
        <f>I108</f>
        <v>10295.860457941419</v>
      </c>
      <c r="O108" s="158">
        <f>IF(N108&lt;&gt;0,+I108-N108,0)</f>
        <v>0</v>
      </c>
      <c r="P108" s="158">
        <f>+O108-M108</f>
        <v>0</v>
      </c>
      <c r="Q108" s="1"/>
      <c r="R108" s="1"/>
      <c r="S108" s="1"/>
      <c r="T108" s="1"/>
      <c r="U108" s="1"/>
      <c r="V108" s="1"/>
      <c r="W108" s="1"/>
    </row>
    <row r="109" spans="1:23">
      <c r="B109" s="9" t="str">
        <f t="shared" si="22"/>
        <v/>
      </c>
      <c r="C109" s="153">
        <f>IF(D93="","-",+C108+1)</f>
        <v>2017</v>
      </c>
      <c r="D109" s="154">
        <f>IF(F108+SUM(E$99:E108)=D$92,F108,D$92-SUM(E$99:E108))</f>
        <v>65184.986219092811</v>
      </c>
      <c r="E109" s="160">
        <f>IF(+J96&lt;F108,J96,D109)</f>
        <v>1945.2619047619048</v>
      </c>
      <c r="F109" s="159">
        <f t="shared" ref="F109:F130" si="25">+D109-E109</f>
        <v>63239.724314330902</v>
      </c>
      <c r="G109" s="159">
        <f t="shared" ref="G109:G130" si="26">+(F109+D109)/2</f>
        <v>64212.355266711857</v>
      </c>
      <c r="H109" s="163">
        <f>+J$94*G109+E109</f>
        <v>9745.2303003311172</v>
      </c>
      <c r="I109" s="253">
        <f>+J$95*G109+E109</f>
        <v>9745.2303003311172</v>
      </c>
      <c r="J109" s="158">
        <f t="shared" si="18"/>
        <v>0</v>
      </c>
      <c r="K109" s="158"/>
      <c r="L109" s="334"/>
      <c r="M109" s="158">
        <f t="shared" si="19"/>
        <v>0</v>
      </c>
      <c r="N109" s="334"/>
      <c r="O109" s="158">
        <f t="shared" si="20"/>
        <v>0</v>
      </c>
      <c r="P109" s="158">
        <f t="shared" si="21"/>
        <v>0</v>
      </c>
      <c r="Q109" s="1"/>
      <c r="R109" s="1"/>
      <c r="S109" s="1"/>
      <c r="T109" s="1"/>
      <c r="U109" s="1"/>
      <c r="V109" s="1"/>
      <c r="W109" s="1"/>
    </row>
    <row r="110" spans="1:23">
      <c r="B110" s="9" t="str">
        <f t="shared" si="22"/>
        <v/>
      </c>
      <c r="C110" s="153">
        <f>IF(D93="","-",+C109+1)</f>
        <v>2018</v>
      </c>
      <c r="D110" s="154">
        <f>IF(F109+SUM(E$99:E109)=D$92,F109,D$92-SUM(E$99:E109))</f>
        <v>63239.724314330902</v>
      </c>
      <c r="E110" s="160">
        <f>IF(+J96&lt;F109,J96,D110)</f>
        <v>1945.2619047619048</v>
      </c>
      <c r="F110" s="159">
        <f t="shared" si="25"/>
        <v>61294.462409568994</v>
      </c>
      <c r="G110" s="159">
        <f t="shared" si="26"/>
        <v>62267.093361949948</v>
      </c>
      <c r="H110" s="163">
        <f>+J$94*G110+E110</f>
        <v>9508.9365011825685</v>
      </c>
      <c r="I110" s="253">
        <f>+J$95*G110+E110</f>
        <v>9508.9365011825685</v>
      </c>
      <c r="J110" s="158">
        <f t="shared" si="18"/>
        <v>0</v>
      </c>
      <c r="K110" s="158"/>
      <c r="L110" s="334"/>
      <c r="M110" s="158">
        <f t="shared" si="19"/>
        <v>0</v>
      </c>
      <c r="N110" s="334"/>
      <c r="O110" s="158">
        <f t="shared" si="20"/>
        <v>0</v>
      </c>
      <c r="P110" s="158">
        <f t="shared" si="21"/>
        <v>0</v>
      </c>
      <c r="Q110" s="1"/>
      <c r="R110" s="1"/>
      <c r="S110" s="1"/>
      <c r="T110" s="1"/>
      <c r="U110" s="1"/>
      <c r="V110" s="1"/>
      <c r="W110" s="1"/>
    </row>
    <row r="111" spans="1:23">
      <c r="B111" s="9" t="str">
        <f t="shared" si="22"/>
        <v/>
      </c>
      <c r="C111" s="153">
        <f>IF(D93="","-",+C110+1)</f>
        <v>2019</v>
      </c>
      <c r="D111" s="154">
        <f>IF(F110+SUM(E$99:E110)=D$92,F110,D$92-SUM(E$99:E110))</f>
        <v>61294.462409568994</v>
      </c>
      <c r="E111" s="160">
        <f>IF(+J96&lt;F110,J96,D111)</f>
        <v>1945.2619047619048</v>
      </c>
      <c r="F111" s="159">
        <f t="shared" si="25"/>
        <v>59349.200504807086</v>
      </c>
      <c r="G111" s="159">
        <f t="shared" si="26"/>
        <v>60321.83145718804</v>
      </c>
      <c r="H111" s="163">
        <f>+J$94*G111+E111</f>
        <v>9272.6427020340197</v>
      </c>
      <c r="I111" s="253">
        <f>+J$95*G111+E111</f>
        <v>9272.6427020340197</v>
      </c>
      <c r="J111" s="158">
        <f t="shared" si="18"/>
        <v>0</v>
      </c>
      <c r="K111" s="158"/>
      <c r="L111" s="334"/>
      <c r="M111" s="158">
        <f t="shared" si="19"/>
        <v>0</v>
      </c>
      <c r="N111" s="334"/>
      <c r="O111" s="158">
        <f t="shared" si="20"/>
        <v>0</v>
      </c>
      <c r="P111" s="158">
        <f t="shared" si="21"/>
        <v>0</v>
      </c>
      <c r="Q111" s="1"/>
      <c r="R111" s="1"/>
      <c r="S111" s="1"/>
      <c r="T111" s="1"/>
      <c r="U111" s="1"/>
      <c r="V111" s="1"/>
      <c r="W111" s="1"/>
    </row>
    <row r="112" spans="1:23">
      <c r="B112" s="9" t="str">
        <f t="shared" si="22"/>
        <v/>
      </c>
      <c r="C112" s="153">
        <f>IF(D93="","-",+C111+1)</f>
        <v>2020</v>
      </c>
      <c r="D112" s="154">
        <f>IF(F111+SUM(E$99:E111)=D$92,F111,D$92-SUM(E$99:E111))</f>
        <v>59349.200504807086</v>
      </c>
      <c r="E112" s="160">
        <f>IF(+J96&lt;F111,J96,D112)</f>
        <v>1945.2619047619048</v>
      </c>
      <c r="F112" s="159">
        <f t="shared" si="25"/>
        <v>57403.938600045178</v>
      </c>
      <c r="G112" s="159">
        <f t="shared" si="26"/>
        <v>58376.569552426132</v>
      </c>
      <c r="H112" s="163">
        <f>+J$94*G112+E112</f>
        <v>9036.348902885471</v>
      </c>
      <c r="I112" s="253">
        <f>+J$95*G112+E112</f>
        <v>9036.348902885471</v>
      </c>
      <c r="J112" s="158">
        <f t="shared" si="18"/>
        <v>0</v>
      </c>
      <c r="K112" s="158"/>
      <c r="L112" s="334"/>
      <c r="M112" s="158">
        <f t="shared" si="19"/>
        <v>0</v>
      </c>
      <c r="N112" s="334"/>
      <c r="O112" s="158">
        <f t="shared" si="20"/>
        <v>0</v>
      </c>
      <c r="P112" s="158">
        <f t="shared" si="21"/>
        <v>0</v>
      </c>
      <c r="Q112" s="1"/>
      <c r="R112" s="1"/>
      <c r="S112" s="1"/>
      <c r="T112" s="1"/>
      <c r="U112" s="1"/>
      <c r="V112" s="1"/>
      <c r="W112" s="1"/>
    </row>
    <row r="113" spans="2:23">
      <c r="B113" s="9" t="str">
        <f t="shared" si="22"/>
        <v/>
      </c>
      <c r="C113" s="153">
        <f>IF(D93="","-",+C112+1)</f>
        <v>2021</v>
      </c>
      <c r="D113" s="154">
        <f>IF(F112+SUM(E$99:E112)=D$92,F112,D$92-SUM(E$99:E112))</f>
        <v>57403.938600045178</v>
      </c>
      <c r="E113" s="160">
        <f>IF(+J96&lt;F112,J96,D113)</f>
        <v>1945.2619047619048</v>
      </c>
      <c r="F113" s="159">
        <f t="shared" si="25"/>
        <v>55458.67669528327</v>
      </c>
      <c r="G113" s="159">
        <f t="shared" si="26"/>
        <v>56431.307647664224</v>
      </c>
      <c r="H113" s="163">
        <f t="shared" ref="H113:H154" si="27">+J$94*G113+E113</f>
        <v>8800.0551037369223</v>
      </c>
      <c r="I113" s="253">
        <f t="shared" ref="I113:I154" si="28">+J$95*G113+E113</f>
        <v>8800.0551037369223</v>
      </c>
      <c r="J113" s="158">
        <f t="shared" si="18"/>
        <v>0</v>
      </c>
      <c r="K113" s="158"/>
      <c r="L113" s="334"/>
      <c r="M113" s="158">
        <f t="shared" si="19"/>
        <v>0</v>
      </c>
      <c r="N113" s="334"/>
      <c r="O113" s="158">
        <f t="shared" si="20"/>
        <v>0</v>
      </c>
      <c r="P113" s="158">
        <f t="shared" si="21"/>
        <v>0</v>
      </c>
      <c r="Q113" s="1"/>
      <c r="R113" s="1"/>
      <c r="S113" s="1"/>
      <c r="T113" s="1"/>
      <c r="U113" s="1"/>
      <c r="V113" s="1"/>
      <c r="W113" s="1"/>
    </row>
    <row r="114" spans="2:23">
      <c r="B114" s="9" t="str">
        <f t="shared" si="22"/>
        <v/>
      </c>
      <c r="C114" s="153">
        <f>IF(D93="","-",+C113+1)</f>
        <v>2022</v>
      </c>
      <c r="D114" s="154">
        <f>IF(F113+SUM(E$99:E113)=D$92,F113,D$92-SUM(E$99:E113))</f>
        <v>55458.67669528327</v>
      </c>
      <c r="E114" s="160">
        <f>IF(+J96&lt;F113,J96,D114)</f>
        <v>1945.2619047619048</v>
      </c>
      <c r="F114" s="159">
        <f t="shared" si="25"/>
        <v>53513.414790521361</v>
      </c>
      <c r="G114" s="159">
        <f t="shared" si="26"/>
        <v>54486.045742902315</v>
      </c>
      <c r="H114" s="163">
        <f t="shared" si="27"/>
        <v>8563.7613045883736</v>
      </c>
      <c r="I114" s="253">
        <f t="shared" si="28"/>
        <v>8563.7613045883736</v>
      </c>
      <c r="J114" s="158">
        <f t="shared" si="18"/>
        <v>0</v>
      </c>
      <c r="K114" s="158"/>
      <c r="L114" s="334"/>
      <c r="M114" s="158">
        <f t="shared" si="19"/>
        <v>0</v>
      </c>
      <c r="N114" s="334"/>
      <c r="O114" s="158">
        <f t="shared" si="20"/>
        <v>0</v>
      </c>
      <c r="P114" s="158">
        <f t="shared" si="21"/>
        <v>0</v>
      </c>
      <c r="Q114" s="1"/>
      <c r="R114" s="1"/>
      <c r="S114" s="1"/>
      <c r="T114" s="1"/>
      <c r="U114" s="1"/>
      <c r="V114" s="1"/>
      <c r="W114" s="1"/>
    </row>
    <row r="115" spans="2:23">
      <c r="B115" s="9" t="str">
        <f t="shared" si="22"/>
        <v/>
      </c>
      <c r="C115" s="153">
        <f>IF(D93="","-",+C114+1)</f>
        <v>2023</v>
      </c>
      <c r="D115" s="154">
        <f>IF(F114+SUM(E$99:E114)=D$92,F114,D$92-SUM(E$99:E114))</f>
        <v>53513.414790521361</v>
      </c>
      <c r="E115" s="160">
        <f>IF(+J96&lt;F114,J96,D115)</f>
        <v>1945.2619047619048</v>
      </c>
      <c r="F115" s="159">
        <f t="shared" si="25"/>
        <v>51568.152885759453</v>
      </c>
      <c r="G115" s="159">
        <f t="shared" si="26"/>
        <v>52540.783838140407</v>
      </c>
      <c r="H115" s="163">
        <f t="shared" si="27"/>
        <v>8327.4675054398267</v>
      </c>
      <c r="I115" s="253">
        <f t="shared" si="28"/>
        <v>8327.4675054398267</v>
      </c>
      <c r="J115" s="158">
        <f t="shared" si="18"/>
        <v>0</v>
      </c>
      <c r="K115" s="158"/>
      <c r="L115" s="334"/>
      <c r="M115" s="158">
        <f t="shared" si="19"/>
        <v>0</v>
      </c>
      <c r="N115" s="334"/>
      <c r="O115" s="158">
        <f t="shared" si="20"/>
        <v>0</v>
      </c>
      <c r="P115" s="158">
        <f t="shared" si="21"/>
        <v>0</v>
      </c>
      <c r="Q115" s="1"/>
      <c r="R115" s="1"/>
      <c r="S115" s="1"/>
      <c r="T115" s="1"/>
      <c r="U115" s="1"/>
      <c r="V115" s="1"/>
      <c r="W115" s="1"/>
    </row>
    <row r="116" spans="2:23">
      <c r="B116" s="9" t="str">
        <f t="shared" si="22"/>
        <v/>
      </c>
      <c r="C116" s="153">
        <f>IF(D93="","-",+C115+1)</f>
        <v>2024</v>
      </c>
      <c r="D116" s="154">
        <f>IF(F115+SUM(E$99:E115)=D$92,F115,D$92-SUM(E$99:E115))</f>
        <v>51568.152885759453</v>
      </c>
      <c r="E116" s="160">
        <f>IF(+J96&lt;F115,J96,D116)</f>
        <v>1945.2619047619048</v>
      </c>
      <c r="F116" s="159">
        <f t="shared" si="25"/>
        <v>49622.890980997545</v>
      </c>
      <c r="G116" s="159">
        <f t="shared" si="26"/>
        <v>50595.521933378499</v>
      </c>
      <c r="H116" s="163">
        <f t="shared" si="27"/>
        <v>8091.1737062912771</v>
      </c>
      <c r="I116" s="253">
        <f t="shared" si="28"/>
        <v>8091.1737062912771</v>
      </c>
      <c r="J116" s="158">
        <f t="shared" si="18"/>
        <v>0</v>
      </c>
      <c r="K116" s="158"/>
      <c r="L116" s="334"/>
      <c r="M116" s="158">
        <f t="shared" si="19"/>
        <v>0</v>
      </c>
      <c r="N116" s="334"/>
      <c r="O116" s="158">
        <f t="shared" si="20"/>
        <v>0</v>
      </c>
      <c r="P116" s="158">
        <f t="shared" si="21"/>
        <v>0</v>
      </c>
      <c r="Q116" s="1"/>
      <c r="R116" s="1"/>
      <c r="S116" s="1"/>
      <c r="T116" s="1"/>
      <c r="U116" s="1"/>
      <c r="V116" s="1"/>
      <c r="W116" s="1"/>
    </row>
    <row r="117" spans="2:23">
      <c r="B117" s="9" t="str">
        <f t="shared" si="22"/>
        <v/>
      </c>
      <c r="C117" s="153">
        <f>IF(D93="","-",+C116+1)</f>
        <v>2025</v>
      </c>
      <c r="D117" s="154">
        <f>IF(F116+SUM(E$99:E116)=D$92,F116,D$92-SUM(E$99:E116))</f>
        <v>49622.890980997545</v>
      </c>
      <c r="E117" s="160">
        <f>IF(+J96&lt;F116,J96,D117)</f>
        <v>1945.2619047619048</v>
      </c>
      <c r="F117" s="159">
        <f t="shared" si="25"/>
        <v>47677.629076235637</v>
      </c>
      <c r="G117" s="159">
        <f t="shared" si="26"/>
        <v>48650.260028616591</v>
      </c>
      <c r="H117" s="163">
        <f t="shared" si="27"/>
        <v>7854.8799071427284</v>
      </c>
      <c r="I117" s="253">
        <f t="shared" si="28"/>
        <v>7854.8799071427284</v>
      </c>
      <c r="J117" s="158">
        <f t="shared" si="18"/>
        <v>0</v>
      </c>
      <c r="K117" s="158"/>
      <c r="L117" s="334"/>
      <c r="M117" s="158">
        <f t="shared" si="19"/>
        <v>0</v>
      </c>
      <c r="N117" s="334"/>
      <c r="O117" s="158">
        <f t="shared" si="20"/>
        <v>0</v>
      </c>
      <c r="P117" s="158">
        <f t="shared" si="21"/>
        <v>0</v>
      </c>
      <c r="Q117" s="1"/>
      <c r="R117" s="1"/>
      <c r="S117" s="1"/>
      <c r="T117" s="1"/>
      <c r="U117" s="1"/>
      <c r="V117" s="1"/>
      <c r="W117" s="1"/>
    </row>
    <row r="118" spans="2:23">
      <c r="B118" s="9" t="str">
        <f t="shared" si="22"/>
        <v/>
      </c>
      <c r="C118" s="153">
        <f>IF(D93="","-",+C117+1)</f>
        <v>2026</v>
      </c>
      <c r="D118" s="154">
        <f>IF(F117+SUM(E$99:E117)=D$92,F117,D$92-SUM(E$99:E117))</f>
        <v>47677.629076235637</v>
      </c>
      <c r="E118" s="160">
        <f>IF(+J96&lt;F117,J96,D118)</f>
        <v>1945.2619047619048</v>
      </c>
      <c r="F118" s="159">
        <f t="shared" si="25"/>
        <v>45732.367171473728</v>
      </c>
      <c r="G118" s="159">
        <f t="shared" si="26"/>
        <v>46704.998123854682</v>
      </c>
      <c r="H118" s="163">
        <f t="shared" si="27"/>
        <v>7618.5861079941797</v>
      </c>
      <c r="I118" s="253">
        <f t="shared" si="28"/>
        <v>7618.5861079941797</v>
      </c>
      <c r="J118" s="158">
        <f t="shared" si="18"/>
        <v>0</v>
      </c>
      <c r="K118" s="158"/>
      <c r="L118" s="334"/>
      <c r="M118" s="158">
        <f t="shared" si="19"/>
        <v>0</v>
      </c>
      <c r="N118" s="334"/>
      <c r="O118" s="158">
        <f t="shared" si="20"/>
        <v>0</v>
      </c>
      <c r="P118" s="158">
        <f t="shared" si="21"/>
        <v>0</v>
      </c>
      <c r="Q118" s="1"/>
      <c r="R118" s="1"/>
      <c r="S118" s="1"/>
      <c r="T118" s="1"/>
      <c r="U118" s="1"/>
      <c r="V118" s="1"/>
      <c r="W118" s="1"/>
    </row>
    <row r="119" spans="2:23">
      <c r="B119" s="9" t="str">
        <f t="shared" si="22"/>
        <v/>
      </c>
      <c r="C119" s="153">
        <f>IF(D93="","-",+C118+1)</f>
        <v>2027</v>
      </c>
      <c r="D119" s="154">
        <f>IF(F118+SUM(E$99:E118)=D$92,F118,D$92-SUM(E$99:E118))</f>
        <v>45732.367171473728</v>
      </c>
      <c r="E119" s="160">
        <f>IF(+J96&lt;F118,J96,D119)</f>
        <v>1945.2619047619048</v>
      </c>
      <c r="F119" s="159">
        <f t="shared" si="25"/>
        <v>43787.10526671182</v>
      </c>
      <c r="G119" s="159">
        <f t="shared" si="26"/>
        <v>44759.736219092774</v>
      </c>
      <c r="H119" s="163">
        <f t="shared" si="27"/>
        <v>7382.2923088456319</v>
      </c>
      <c r="I119" s="253">
        <f t="shared" si="28"/>
        <v>7382.2923088456319</v>
      </c>
      <c r="J119" s="158">
        <f t="shared" si="18"/>
        <v>0</v>
      </c>
      <c r="K119" s="158"/>
      <c r="L119" s="334"/>
      <c r="M119" s="158">
        <f t="shared" si="19"/>
        <v>0</v>
      </c>
      <c r="N119" s="334"/>
      <c r="O119" s="158">
        <f t="shared" si="20"/>
        <v>0</v>
      </c>
      <c r="P119" s="158">
        <f t="shared" si="21"/>
        <v>0</v>
      </c>
      <c r="Q119" s="1"/>
      <c r="R119" s="1"/>
      <c r="S119" s="1"/>
      <c r="T119" s="1"/>
      <c r="U119" s="1"/>
      <c r="V119" s="1"/>
      <c r="W119" s="1"/>
    </row>
    <row r="120" spans="2:23">
      <c r="B120" s="9" t="str">
        <f t="shared" si="22"/>
        <v/>
      </c>
      <c r="C120" s="153">
        <f>IF(D93="","-",+C119+1)</f>
        <v>2028</v>
      </c>
      <c r="D120" s="154">
        <f>IF(F119+SUM(E$99:E119)=D$92,F119,D$92-SUM(E$99:E119))</f>
        <v>43787.10526671182</v>
      </c>
      <c r="E120" s="160">
        <f>IF(+J96&lt;F119,J96,D120)</f>
        <v>1945.2619047619048</v>
      </c>
      <c r="F120" s="159">
        <f t="shared" si="25"/>
        <v>41841.843361949912</v>
      </c>
      <c r="G120" s="159">
        <f t="shared" si="26"/>
        <v>42814.474314330866</v>
      </c>
      <c r="H120" s="163">
        <f t="shared" si="27"/>
        <v>7145.9985096970831</v>
      </c>
      <c r="I120" s="253">
        <f t="shared" si="28"/>
        <v>7145.9985096970831</v>
      </c>
      <c r="J120" s="158">
        <f t="shared" si="18"/>
        <v>0</v>
      </c>
      <c r="K120" s="158"/>
      <c r="L120" s="334"/>
      <c r="M120" s="158">
        <f t="shared" si="19"/>
        <v>0</v>
      </c>
      <c r="N120" s="334"/>
      <c r="O120" s="158">
        <f t="shared" si="20"/>
        <v>0</v>
      </c>
      <c r="P120" s="158">
        <f t="shared" si="21"/>
        <v>0</v>
      </c>
      <c r="Q120" s="1"/>
      <c r="R120" s="1"/>
      <c r="S120" s="1"/>
      <c r="T120" s="1"/>
      <c r="U120" s="1"/>
      <c r="V120" s="1"/>
      <c r="W120" s="1"/>
    </row>
    <row r="121" spans="2:23">
      <c r="B121" s="9" t="str">
        <f t="shared" si="22"/>
        <v/>
      </c>
      <c r="C121" s="153">
        <f>IF(D93="","-",+C120+1)</f>
        <v>2029</v>
      </c>
      <c r="D121" s="154">
        <f>IF(F120+SUM(E$99:E120)=D$92,F120,D$92-SUM(E$99:E120))</f>
        <v>41841.843361949912</v>
      </c>
      <c r="E121" s="160">
        <f>IF(+J96&lt;F120,J96,D121)</f>
        <v>1945.2619047619048</v>
      </c>
      <c r="F121" s="159">
        <f t="shared" si="25"/>
        <v>39896.581457188004</v>
      </c>
      <c r="G121" s="159">
        <f t="shared" si="26"/>
        <v>40869.212409568958</v>
      </c>
      <c r="H121" s="163">
        <f t="shared" si="27"/>
        <v>6909.7047105485344</v>
      </c>
      <c r="I121" s="253">
        <f t="shared" si="28"/>
        <v>6909.7047105485344</v>
      </c>
      <c r="J121" s="158">
        <f t="shared" si="18"/>
        <v>0</v>
      </c>
      <c r="K121" s="158"/>
      <c r="L121" s="334"/>
      <c r="M121" s="158">
        <f t="shared" si="19"/>
        <v>0</v>
      </c>
      <c r="N121" s="334"/>
      <c r="O121" s="158">
        <f t="shared" si="20"/>
        <v>0</v>
      </c>
      <c r="P121" s="158">
        <f t="shared" si="21"/>
        <v>0</v>
      </c>
      <c r="Q121" s="1"/>
      <c r="R121" s="1"/>
      <c r="S121" s="1"/>
      <c r="T121" s="1"/>
      <c r="U121" s="1"/>
      <c r="V121" s="1"/>
      <c r="W121" s="1"/>
    </row>
    <row r="122" spans="2:23">
      <c r="B122" s="9" t="str">
        <f t="shared" si="22"/>
        <v/>
      </c>
      <c r="C122" s="153">
        <f>IF(D93="","-",+C121+1)</f>
        <v>2030</v>
      </c>
      <c r="D122" s="154">
        <f>IF(F121+SUM(E$99:E121)=D$92,F121,D$92-SUM(E$99:E121))</f>
        <v>39896.581457188004</v>
      </c>
      <c r="E122" s="160">
        <f>IF(+J96&lt;F121,J96,D122)</f>
        <v>1945.2619047619048</v>
      </c>
      <c r="F122" s="159">
        <f t="shared" si="25"/>
        <v>37951.319552426095</v>
      </c>
      <c r="G122" s="159">
        <f t="shared" si="26"/>
        <v>38923.95050480705</v>
      </c>
      <c r="H122" s="163">
        <f t="shared" si="27"/>
        <v>6673.4109113999857</v>
      </c>
      <c r="I122" s="253">
        <f t="shared" si="28"/>
        <v>6673.4109113999857</v>
      </c>
      <c r="J122" s="158">
        <f t="shared" si="18"/>
        <v>0</v>
      </c>
      <c r="K122" s="158"/>
      <c r="L122" s="334"/>
      <c r="M122" s="158">
        <f t="shared" si="19"/>
        <v>0</v>
      </c>
      <c r="N122" s="334"/>
      <c r="O122" s="158">
        <f t="shared" si="20"/>
        <v>0</v>
      </c>
      <c r="P122" s="158">
        <f t="shared" si="21"/>
        <v>0</v>
      </c>
      <c r="Q122" s="1"/>
      <c r="R122" s="1"/>
      <c r="S122" s="1"/>
      <c r="T122" s="1"/>
      <c r="U122" s="1"/>
      <c r="V122" s="1"/>
      <c r="W122" s="1"/>
    </row>
    <row r="123" spans="2:23">
      <c r="B123" s="9" t="str">
        <f t="shared" si="22"/>
        <v/>
      </c>
      <c r="C123" s="153">
        <f>IF(D93="","-",+C122+1)</f>
        <v>2031</v>
      </c>
      <c r="D123" s="154">
        <f>IF(F122+SUM(E$99:E122)=D$92,F122,D$92-SUM(E$99:E122))</f>
        <v>37951.319552426095</v>
      </c>
      <c r="E123" s="160">
        <f>IF(+J96&lt;F122,J96,D123)</f>
        <v>1945.2619047619048</v>
      </c>
      <c r="F123" s="159">
        <f t="shared" si="25"/>
        <v>36006.057647664187</v>
      </c>
      <c r="G123" s="159">
        <f t="shared" si="26"/>
        <v>36978.688600045141</v>
      </c>
      <c r="H123" s="163">
        <f t="shared" si="27"/>
        <v>6437.1171122514379</v>
      </c>
      <c r="I123" s="253">
        <f t="shared" si="28"/>
        <v>6437.1171122514379</v>
      </c>
      <c r="J123" s="158">
        <f t="shared" si="18"/>
        <v>0</v>
      </c>
      <c r="K123" s="158"/>
      <c r="L123" s="334"/>
      <c r="M123" s="158">
        <f t="shared" si="19"/>
        <v>0</v>
      </c>
      <c r="N123" s="334"/>
      <c r="O123" s="158">
        <f t="shared" si="20"/>
        <v>0</v>
      </c>
      <c r="P123" s="158">
        <f t="shared" si="21"/>
        <v>0</v>
      </c>
      <c r="Q123" s="1"/>
      <c r="R123" s="1"/>
      <c r="S123" s="1"/>
      <c r="T123" s="1"/>
      <c r="U123" s="1"/>
      <c r="V123" s="1"/>
      <c r="W123" s="1"/>
    </row>
    <row r="124" spans="2:23">
      <c r="B124" s="9" t="str">
        <f t="shared" si="22"/>
        <v/>
      </c>
      <c r="C124" s="153">
        <f>IF(D93="","-",+C123+1)</f>
        <v>2032</v>
      </c>
      <c r="D124" s="154">
        <f>IF(F123+SUM(E$99:E123)=D$92,F123,D$92-SUM(E$99:E123))</f>
        <v>36006.057647664187</v>
      </c>
      <c r="E124" s="160">
        <f>IF(+J96&lt;F123,J96,D124)</f>
        <v>1945.2619047619048</v>
      </c>
      <c r="F124" s="159">
        <f t="shared" si="25"/>
        <v>34060.795742902279</v>
      </c>
      <c r="G124" s="159">
        <f t="shared" si="26"/>
        <v>35033.426695283233</v>
      </c>
      <c r="H124" s="163">
        <f t="shared" si="27"/>
        <v>6200.8233131028892</v>
      </c>
      <c r="I124" s="253">
        <f t="shared" si="28"/>
        <v>6200.8233131028892</v>
      </c>
      <c r="J124" s="158">
        <f t="shared" si="18"/>
        <v>0</v>
      </c>
      <c r="K124" s="158"/>
      <c r="L124" s="334"/>
      <c r="M124" s="158">
        <f t="shared" si="19"/>
        <v>0</v>
      </c>
      <c r="N124" s="334"/>
      <c r="O124" s="158">
        <f t="shared" si="20"/>
        <v>0</v>
      </c>
      <c r="P124" s="158">
        <f t="shared" si="21"/>
        <v>0</v>
      </c>
      <c r="Q124" s="1"/>
      <c r="R124" s="1"/>
      <c r="S124" s="1"/>
      <c r="T124" s="1"/>
      <c r="U124" s="1"/>
      <c r="V124" s="1"/>
      <c r="W124" s="1"/>
    </row>
    <row r="125" spans="2:23">
      <c r="B125" s="9" t="str">
        <f t="shared" si="22"/>
        <v/>
      </c>
      <c r="C125" s="153">
        <f>IF(D93="","-",+C124+1)</f>
        <v>2033</v>
      </c>
      <c r="D125" s="154">
        <f>IF(F124+SUM(E$99:E124)=D$92,F124,D$92-SUM(E$99:E124))</f>
        <v>34060.795742902279</v>
      </c>
      <c r="E125" s="160">
        <f>IF(+J96&lt;F124,J96,D125)</f>
        <v>1945.2619047619048</v>
      </c>
      <c r="F125" s="159">
        <f t="shared" si="25"/>
        <v>32115.533838140374</v>
      </c>
      <c r="G125" s="159">
        <f t="shared" si="26"/>
        <v>33088.164790521325</v>
      </c>
      <c r="H125" s="163">
        <f t="shared" si="27"/>
        <v>5964.5295139543414</v>
      </c>
      <c r="I125" s="253">
        <f t="shared" si="28"/>
        <v>5964.5295139543414</v>
      </c>
      <c r="J125" s="158">
        <f t="shared" si="18"/>
        <v>0</v>
      </c>
      <c r="K125" s="158"/>
      <c r="L125" s="334"/>
      <c r="M125" s="158">
        <f t="shared" si="19"/>
        <v>0</v>
      </c>
      <c r="N125" s="334"/>
      <c r="O125" s="158">
        <f t="shared" si="20"/>
        <v>0</v>
      </c>
      <c r="P125" s="158">
        <f t="shared" si="21"/>
        <v>0</v>
      </c>
      <c r="Q125" s="1"/>
      <c r="R125" s="1"/>
      <c r="S125" s="1"/>
      <c r="T125" s="1"/>
      <c r="U125" s="1"/>
      <c r="V125" s="1"/>
      <c r="W125" s="1"/>
    </row>
    <row r="126" spans="2:23">
      <c r="B126" s="9" t="str">
        <f t="shared" si="22"/>
        <v/>
      </c>
      <c r="C126" s="153">
        <f>IF(D93="","-",+C125+1)</f>
        <v>2034</v>
      </c>
      <c r="D126" s="154">
        <f>IF(F125+SUM(E$99:E125)=D$92,F125,D$92-SUM(E$99:E125))</f>
        <v>32115.533838140374</v>
      </c>
      <c r="E126" s="160">
        <f>IF(+J96&lt;F125,J96,D126)</f>
        <v>1945.2619047619048</v>
      </c>
      <c r="F126" s="159">
        <f t="shared" si="25"/>
        <v>30170.27193337847</v>
      </c>
      <c r="G126" s="159">
        <f t="shared" si="26"/>
        <v>31142.902885759424</v>
      </c>
      <c r="H126" s="163">
        <f t="shared" si="27"/>
        <v>5728.2357148057936</v>
      </c>
      <c r="I126" s="253">
        <f t="shared" si="28"/>
        <v>5728.2357148057936</v>
      </c>
      <c r="J126" s="158">
        <f t="shared" si="18"/>
        <v>0</v>
      </c>
      <c r="K126" s="158"/>
      <c r="L126" s="334"/>
      <c r="M126" s="158">
        <f t="shared" si="19"/>
        <v>0</v>
      </c>
      <c r="N126" s="334"/>
      <c r="O126" s="158">
        <f t="shared" si="20"/>
        <v>0</v>
      </c>
      <c r="P126" s="158">
        <f t="shared" si="21"/>
        <v>0</v>
      </c>
      <c r="Q126" s="1"/>
      <c r="R126" s="1"/>
      <c r="S126" s="1"/>
      <c r="T126" s="1"/>
      <c r="U126" s="1"/>
      <c r="V126" s="1"/>
      <c r="W126" s="1"/>
    </row>
    <row r="127" spans="2:23">
      <c r="B127" s="9" t="str">
        <f t="shared" si="22"/>
        <v/>
      </c>
      <c r="C127" s="153">
        <f>IF(D93="","-",+C126+1)</f>
        <v>2035</v>
      </c>
      <c r="D127" s="154">
        <f>IF(F126+SUM(E$99:E126)=D$92,F126,D$92-SUM(E$99:E126))</f>
        <v>30170.27193337847</v>
      </c>
      <c r="E127" s="160">
        <f>IF(+J96&lt;F126,J96,D127)</f>
        <v>1945.2619047619048</v>
      </c>
      <c r="F127" s="159">
        <f t="shared" si="25"/>
        <v>28225.010028616565</v>
      </c>
      <c r="G127" s="159">
        <f t="shared" si="26"/>
        <v>29197.640980997516</v>
      </c>
      <c r="H127" s="163">
        <f t="shared" si="27"/>
        <v>5491.9419156572449</v>
      </c>
      <c r="I127" s="253">
        <f t="shared" si="28"/>
        <v>5491.9419156572449</v>
      </c>
      <c r="J127" s="158">
        <f t="shared" si="18"/>
        <v>0</v>
      </c>
      <c r="K127" s="158"/>
      <c r="L127" s="334"/>
      <c r="M127" s="158">
        <f t="shared" si="19"/>
        <v>0</v>
      </c>
      <c r="N127" s="334"/>
      <c r="O127" s="158">
        <f t="shared" si="20"/>
        <v>0</v>
      </c>
      <c r="P127" s="158">
        <f t="shared" si="21"/>
        <v>0</v>
      </c>
      <c r="Q127" s="1"/>
      <c r="R127" s="1"/>
      <c r="S127" s="1"/>
      <c r="T127" s="1"/>
      <c r="U127" s="1"/>
      <c r="V127" s="1"/>
      <c r="W127" s="1"/>
    </row>
    <row r="128" spans="2:23">
      <c r="B128" s="9" t="str">
        <f t="shared" si="22"/>
        <v/>
      </c>
      <c r="C128" s="153">
        <f>IF(D93="","-",+C127+1)</f>
        <v>2036</v>
      </c>
      <c r="D128" s="154">
        <f>IF(F127+SUM(E$99:E127)=D$92,F127,D$92-SUM(E$99:E127))</f>
        <v>28225.010028616565</v>
      </c>
      <c r="E128" s="160">
        <f>IF(+J96&lt;F127,J96,D128)</f>
        <v>1945.2619047619048</v>
      </c>
      <c r="F128" s="159">
        <f t="shared" si="25"/>
        <v>26279.748123854661</v>
      </c>
      <c r="G128" s="159">
        <f t="shared" si="26"/>
        <v>27252.379076235615</v>
      </c>
      <c r="H128" s="163">
        <f t="shared" si="27"/>
        <v>5255.6481165086971</v>
      </c>
      <c r="I128" s="253">
        <f t="shared" si="28"/>
        <v>5255.6481165086971</v>
      </c>
      <c r="J128" s="158">
        <f t="shared" si="18"/>
        <v>0</v>
      </c>
      <c r="K128" s="158"/>
      <c r="L128" s="334"/>
      <c r="M128" s="158">
        <f t="shared" si="19"/>
        <v>0</v>
      </c>
      <c r="N128" s="334"/>
      <c r="O128" s="158">
        <f t="shared" si="20"/>
        <v>0</v>
      </c>
      <c r="P128" s="158">
        <f t="shared" si="21"/>
        <v>0</v>
      </c>
      <c r="Q128" s="1"/>
      <c r="R128" s="1"/>
      <c r="S128" s="1"/>
      <c r="T128" s="1"/>
      <c r="U128" s="1"/>
      <c r="V128" s="1"/>
      <c r="W128" s="1"/>
    </row>
    <row r="129" spans="2:23">
      <c r="B129" s="9" t="str">
        <f t="shared" si="22"/>
        <v/>
      </c>
      <c r="C129" s="153">
        <f>IF(D93="","-",+C128+1)</f>
        <v>2037</v>
      </c>
      <c r="D129" s="154">
        <f>IF(F128+SUM(E$99:E128)=D$92,F128,D$92-SUM(E$99:E128))</f>
        <v>26279.748123854661</v>
      </c>
      <c r="E129" s="160">
        <f>IF(+J96&lt;F128,J96,D129)</f>
        <v>1945.2619047619048</v>
      </c>
      <c r="F129" s="159">
        <f t="shared" si="25"/>
        <v>24334.486219092756</v>
      </c>
      <c r="G129" s="159">
        <f t="shared" si="26"/>
        <v>25307.117171473707</v>
      </c>
      <c r="H129" s="163">
        <f t="shared" si="27"/>
        <v>5019.3543173601493</v>
      </c>
      <c r="I129" s="253">
        <f t="shared" si="28"/>
        <v>5019.3543173601493</v>
      </c>
      <c r="J129" s="158">
        <f t="shared" si="18"/>
        <v>0</v>
      </c>
      <c r="K129" s="158"/>
      <c r="L129" s="334"/>
      <c r="M129" s="158">
        <f t="shared" si="19"/>
        <v>0</v>
      </c>
      <c r="N129" s="334"/>
      <c r="O129" s="158">
        <f t="shared" si="20"/>
        <v>0</v>
      </c>
      <c r="P129" s="158">
        <f t="shared" si="21"/>
        <v>0</v>
      </c>
      <c r="Q129" s="1"/>
      <c r="R129" s="1"/>
      <c r="S129" s="1"/>
      <c r="T129" s="1"/>
      <c r="U129" s="1"/>
      <c r="V129" s="1"/>
      <c r="W129" s="1"/>
    </row>
    <row r="130" spans="2:23">
      <c r="B130" s="9" t="str">
        <f t="shared" si="22"/>
        <v/>
      </c>
      <c r="C130" s="153">
        <f>IF(D93="","-",+C129+1)</f>
        <v>2038</v>
      </c>
      <c r="D130" s="154">
        <f>IF(F129+SUM(E$99:E129)=D$92,F129,D$92-SUM(E$99:E129))</f>
        <v>24334.486219092756</v>
      </c>
      <c r="E130" s="160">
        <f>IF(+J96&lt;F129,J96,D130)</f>
        <v>1945.2619047619048</v>
      </c>
      <c r="F130" s="159">
        <f t="shared" si="25"/>
        <v>22389.224314330851</v>
      </c>
      <c r="G130" s="159">
        <f t="shared" si="26"/>
        <v>23361.855266711806</v>
      </c>
      <c r="H130" s="163">
        <f t="shared" si="27"/>
        <v>4783.0605182116014</v>
      </c>
      <c r="I130" s="253">
        <f t="shared" si="28"/>
        <v>4783.0605182116014</v>
      </c>
      <c r="J130" s="158">
        <f t="shared" si="18"/>
        <v>0</v>
      </c>
      <c r="K130" s="158"/>
      <c r="L130" s="334"/>
      <c r="M130" s="158">
        <f t="shared" si="19"/>
        <v>0</v>
      </c>
      <c r="N130" s="334"/>
      <c r="O130" s="158">
        <f t="shared" si="20"/>
        <v>0</v>
      </c>
      <c r="P130" s="158">
        <f t="shared" si="21"/>
        <v>0</v>
      </c>
      <c r="Q130" s="1"/>
      <c r="R130" s="1"/>
      <c r="S130" s="1"/>
      <c r="T130" s="1"/>
      <c r="U130" s="1"/>
      <c r="V130" s="1"/>
      <c r="W130" s="1"/>
    </row>
    <row r="131" spans="2:23">
      <c r="B131" s="9" t="str">
        <f t="shared" si="22"/>
        <v/>
      </c>
      <c r="C131" s="153">
        <f>IF(D93="","-",+C130+1)</f>
        <v>2039</v>
      </c>
      <c r="D131" s="154">
        <f>IF(F130+SUM(E$99:E130)=D$92,F130,D$92-SUM(E$99:E130))</f>
        <v>22389.224314330851</v>
      </c>
      <c r="E131" s="160">
        <f>IF(+J96&lt;F130,J96,D131)</f>
        <v>1945.2619047619048</v>
      </c>
      <c r="F131" s="159">
        <f t="shared" ref="F131:F154" si="29">+D131-E131</f>
        <v>20443.962409568947</v>
      </c>
      <c r="G131" s="159">
        <f t="shared" ref="G131:G154" si="30">+(F131+D131)/2</f>
        <v>21416.593361949897</v>
      </c>
      <c r="H131" s="163">
        <f t="shared" si="27"/>
        <v>4546.7667190630527</v>
      </c>
      <c r="I131" s="253">
        <f t="shared" si="28"/>
        <v>4546.7667190630527</v>
      </c>
      <c r="J131" s="158">
        <f t="shared" ref="J131:J154" si="31">+I131-H131</f>
        <v>0</v>
      </c>
      <c r="K131" s="158"/>
      <c r="L131" s="334"/>
      <c r="M131" s="158">
        <f t="shared" ref="M131:M154" si="32">IF(L131&lt;&gt;0,+H131-L131,0)</f>
        <v>0</v>
      </c>
      <c r="N131" s="334"/>
      <c r="O131" s="158">
        <f t="shared" ref="O131:O154" si="33">IF(N131&lt;&gt;0,+I131-N131,0)</f>
        <v>0</v>
      </c>
      <c r="P131" s="158">
        <f t="shared" ref="P131:P154" si="34">+O131-M131</f>
        <v>0</v>
      </c>
      <c r="Q131" s="1"/>
      <c r="R131" s="1"/>
      <c r="S131" s="1"/>
      <c r="T131" s="1"/>
      <c r="U131" s="1"/>
      <c r="V131" s="1"/>
      <c r="W131" s="1"/>
    </row>
    <row r="132" spans="2:23">
      <c r="B132" s="9" t="str">
        <f t="shared" si="22"/>
        <v/>
      </c>
      <c r="C132" s="153">
        <f>IF(D93="","-",+C131+1)</f>
        <v>2040</v>
      </c>
      <c r="D132" s="154">
        <f>IF(F131+SUM(E$99:E131)=D$92,F131,D$92-SUM(E$99:E131))</f>
        <v>20443.962409568947</v>
      </c>
      <c r="E132" s="160">
        <f>IF(+J96&lt;F131,J96,D132)</f>
        <v>1945.2619047619048</v>
      </c>
      <c r="F132" s="159">
        <f t="shared" si="29"/>
        <v>18498.700504807042</v>
      </c>
      <c r="G132" s="159">
        <f t="shared" si="30"/>
        <v>19471.331457187996</v>
      </c>
      <c r="H132" s="163">
        <f t="shared" si="27"/>
        <v>4310.4729199145049</v>
      </c>
      <c r="I132" s="253">
        <f t="shared" si="28"/>
        <v>4310.4729199145049</v>
      </c>
      <c r="J132" s="158">
        <f t="shared" si="31"/>
        <v>0</v>
      </c>
      <c r="K132" s="158"/>
      <c r="L132" s="334"/>
      <c r="M132" s="158">
        <f t="shared" si="32"/>
        <v>0</v>
      </c>
      <c r="N132" s="334"/>
      <c r="O132" s="158">
        <f t="shared" si="33"/>
        <v>0</v>
      </c>
      <c r="P132" s="158">
        <f t="shared" si="34"/>
        <v>0</v>
      </c>
      <c r="Q132" s="1"/>
      <c r="R132" s="1"/>
      <c r="S132" s="1"/>
      <c r="T132" s="1"/>
      <c r="U132" s="1"/>
      <c r="V132" s="1"/>
      <c r="W132" s="1"/>
    </row>
    <row r="133" spans="2:23">
      <c r="B133" s="9" t="str">
        <f t="shared" si="22"/>
        <v/>
      </c>
      <c r="C133" s="153">
        <f>IF(D93="","-",+C132+1)</f>
        <v>2041</v>
      </c>
      <c r="D133" s="154">
        <f>IF(F132+SUM(E$99:E132)=D$92,F132,D$92-SUM(E$99:E132))</f>
        <v>18498.700504807042</v>
      </c>
      <c r="E133" s="160">
        <f>IF(+J96&lt;F132,J96,D133)</f>
        <v>1945.2619047619048</v>
      </c>
      <c r="F133" s="159">
        <f t="shared" si="29"/>
        <v>16553.438600045138</v>
      </c>
      <c r="G133" s="159">
        <f t="shared" si="30"/>
        <v>17526.069552426088</v>
      </c>
      <c r="H133" s="163">
        <f t="shared" si="27"/>
        <v>4074.1791207659571</v>
      </c>
      <c r="I133" s="253">
        <f t="shared" si="28"/>
        <v>4074.1791207659571</v>
      </c>
      <c r="J133" s="158">
        <f t="shared" si="31"/>
        <v>0</v>
      </c>
      <c r="K133" s="158"/>
      <c r="L133" s="334"/>
      <c r="M133" s="158">
        <f t="shared" si="32"/>
        <v>0</v>
      </c>
      <c r="N133" s="334"/>
      <c r="O133" s="158">
        <f t="shared" si="33"/>
        <v>0</v>
      </c>
      <c r="P133" s="158">
        <f t="shared" si="34"/>
        <v>0</v>
      </c>
      <c r="Q133" s="1"/>
      <c r="R133" s="1"/>
      <c r="S133" s="1"/>
      <c r="T133" s="1"/>
      <c r="U133" s="1"/>
      <c r="V133" s="1"/>
      <c r="W133" s="1"/>
    </row>
    <row r="134" spans="2:23">
      <c r="B134" s="9" t="str">
        <f t="shared" si="22"/>
        <v/>
      </c>
      <c r="C134" s="153">
        <f>IF(D93="","-",+C133+1)</f>
        <v>2042</v>
      </c>
      <c r="D134" s="154">
        <f>IF(F133+SUM(E$99:E133)=D$92,F133,D$92-SUM(E$99:E133))</f>
        <v>16553.438600045138</v>
      </c>
      <c r="E134" s="160">
        <f>IF(+J96&lt;F133,J96,D134)</f>
        <v>1945.2619047619048</v>
      </c>
      <c r="F134" s="159">
        <f t="shared" si="29"/>
        <v>14608.176695283233</v>
      </c>
      <c r="G134" s="159">
        <f t="shared" si="30"/>
        <v>15580.807647664185</v>
      </c>
      <c r="H134" s="163">
        <f t="shared" si="27"/>
        <v>3837.8853216174089</v>
      </c>
      <c r="I134" s="253">
        <f t="shared" si="28"/>
        <v>3837.8853216174089</v>
      </c>
      <c r="J134" s="158">
        <f t="shared" si="31"/>
        <v>0</v>
      </c>
      <c r="K134" s="158"/>
      <c r="L134" s="334"/>
      <c r="M134" s="158">
        <f t="shared" si="32"/>
        <v>0</v>
      </c>
      <c r="N134" s="334"/>
      <c r="O134" s="158">
        <f t="shared" si="33"/>
        <v>0</v>
      </c>
      <c r="P134" s="158">
        <f t="shared" si="34"/>
        <v>0</v>
      </c>
      <c r="Q134" s="1"/>
      <c r="R134" s="1"/>
      <c r="S134" s="1"/>
      <c r="T134" s="1"/>
      <c r="U134" s="1"/>
      <c r="V134" s="1"/>
      <c r="W134" s="1"/>
    </row>
    <row r="135" spans="2:23">
      <c r="B135" s="9" t="str">
        <f t="shared" si="22"/>
        <v/>
      </c>
      <c r="C135" s="153">
        <f>IF(D93="","-",+C134+1)</f>
        <v>2043</v>
      </c>
      <c r="D135" s="154">
        <f>IF(F134+SUM(E$99:E134)=D$92,F134,D$92-SUM(E$99:E134))</f>
        <v>14608.176695283233</v>
      </c>
      <c r="E135" s="160">
        <f>IF(+J96&lt;F134,J96,D135)</f>
        <v>1945.2619047619048</v>
      </c>
      <c r="F135" s="159">
        <f t="shared" si="29"/>
        <v>12662.914790521329</v>
      </c>
      <c r="G135" s="159">
        <f t="shared" si="30"/>
        <v>13635.545742902281</v>
      </c>
      <c r="H135" s="163">
        <f t="shared" si="27"/>
        <v>3601.5915224688606</v>
      </c>
      <c r="I135" s="253">
        <f t="shared" si="28"/>
        <v>3601.5915224688606</v>
      </c>
      <c r="J135" s="158">
        <f t="shared" si="31"/>
        <v>0</v>
      </c>
      <c r="K135" s="158"/>
      <c r="L135" s="334"/>
      <c r="M135" s="158">
        <f t="shared" si="32"/>
        <v>0</v>
      </c>
      <c r="N135" s="334"/>
      <c r="O135" s="158">
        <f t="shared" si="33"/>
        <v>0</v>
      </c>
      <c r="P135" s="158">
        <f t="shared" si="34"/>
        <v>0</v>
      </c>
      <c r="Q135" s="1"/>
      <c r="R135" s="1"/>
      <c r="S135" s="1"/>
      <c r="T135" s="1"/>
      <c r="U135" s="1"/>
      <c r="V135" s="1"/>
      <c r="W135" s="1"/>
    </row>
    <row r="136" spans="2:23">
      <c r="B136" s="9" t="str">
        <f t="shared" si="22"/>
        <v/>
      </c>
      <c r="C136" s="153">
        <f>IF(D93="","-",+C135+1)</f>
        <v>2044</v>
      </c>
      <c r="D136" s="154">
        <f>IF(F135+SUM(E$99:E135)=D$92,F135,D$92-SUM(E$99:E135))</f>
        <v>12662.914790521329</v>
      </c>
      <c r="E136" s="160">
        <f>IF(+J96&lt;F135,J96,D136)</f>
        <v>1945.2619047619048</v>
      </c>
      <c r="F136" s="159">
        <f t="shared" si="29"/>
        <v>10717.652885759424</v>
      </c>
      <c r="G136" s="159">
        <f t="shared" si="30"/>
        <v>11690.283838140376</v>
      </c>
      <c r="H136" s="163">
        <f t="shared" si="27"/>
        <v>3365.2977233203128</v>
      </c>
      <c r="I136" s="253">
        <f t="shared" si="28"/>
        <v>3365.2977233203128</v>
      </c>
      <c r="J136" s="158">
        <f t="shared" si="31"/>
        <v>0</v>
      </c>
      <c r="K136" s="158"/>
      <c r="L136" s="334"/>
      <c r="M136" s="158">
        <f t="shared" si="32"/>
        <v>0</v>
      </c>
      <c r="N136" s="334"/>
      <c r="O136" s="158">
        <f t="shared" si="33"/>
        <v>0</v>
      </c>
      <c r="P136" s="158">
        <f t="shared" si="34"/>
        <v>0</v>
      </c>
      <c r="Q136" s="1"/>
      <c r="R136" s="1"/>
      <c r="S136" s="1"/>
      <c r="T136" s="1"/>
      <c r="U136" s="1"/>
      <c r="V136" s="1"/>
      <c r="W136" s="1"/>
    </row>
    <row r="137" spans="2:23">
      <c r="B137" s="9" t="str">
        <f t="shared" si="22"/>
        <v/>
      </c>
      <c r="C137" s="153">
        <f>IF(D93="","-",+C136+1)</f>
        <v>2045</v>
      </c>
      <c r="D137" s="154">
        <f>IF(F136+SUM(E$99:E136)=D$92,F136,D$92-SUM(E$99:E136))</f>
        <v>10717.652885759424</v>
      </c>
      <c r="E137" s="160">
        <f>IF(+J96&lt;F136,J96,D137)</f>
        <v>1945.2619047619048</v>
      </c>
      <c r="F137" s="159">
        <f t="shared" si="29"/>
        <v>8772.3909809975194</v>
      </c>
      <c r="G137" s="159">
        <f t="shared" si="30"/>
        <v>9745.0219333784717</v>
      </c>
      <c r="H137" s="163">
        <f t="shared" si="27"/>
        <v>3129.003924171765</v>
      </c>
      <c r="I137" s="253">
        <f t="shared" si="28"/>
        <v>3129.003924171765</v>
      </c>
      <c r="J137" s="158">
        <f t="shared" si="31"/>
        <v>0</v>
      </c>
      <c r="K137" s="158"/>
      <c r="L137" s="334"/>
      <c r="M137" s="158">
        <f t="shared" si="32"/>
        <v>0</v>
      </c>
      <c r="N137" s="334"/>
      <c r="O137" s="158">
        <f t="shared" si="33"/>
        <v>0</v>
      </c>
      <c r="P137" s="158">
        <f t="shared" si="34"/>
        <v>0</v>
      </c>
      <c r="Q137" s="1"/>
      <c r="R137" s="1"/>
      <c r="S137" s="1"/>
      <c r="T137" s="1"/>
      <c r="U137" s="1"/>
      <c r="V137" s="1"/>
      <c r="W137" s="1"/>
    </row>
    <row r="138" spans="2:23">
      <c r="B138" s="9" t="str">
        <f t="shared" si="22"/>
        <v/>
      </c>
      <c r="C138" s="153">
        <f>IF(D93="","-",+C137+1)</f>
        <v>2046</v>
      </c>
      <c r="D138" s="154">
        <f>IF(F137+SUM(E$99:E137)=D$92,F137,D$92-SUM(E$99:E137))</f>
        <v>8772.3909809975194</v>
      </c>
      <c r="E138" s="160">
        <f>IF(+J96&lt;F137,J96,D138)</f>
        <v>1945.2619047619048</v>
      </c>
      <c r="F138" s="159">
        <f t="shared" si="29"/>
        <v>6827.1290762356148</v>
      </c>
      <c r="G138" s="159">
        <f t="shared" si="30"/>
        <v>7799.7600286165671</v>
      </c>
      <c r="H138" s="163">
        <f t="shared" si="27"/>
        <v>2892.7101250232167</v>
      </c>
      <c r="I138" s="253">
        <f t="shared" si="28"/>
        <v>2892.7101250232167</v>
      </c>
      <c r="J138" s="158">
        <f t="shared" si="31"/>
        <v>0</v>
      </c>
      <c r="K138" s="158"/>
      <c r="L138" s="334"/>
      <c r="M138" s="158">
        <f t="shared" si="32"/>
        <v>0</v>
      </c>
      <c r="N138" s="334"/>
      <c r="O138" s="158">
        <f t="shared" si="33"/>
        <v>0</v>
      </c>
      <c r="P138" s="158">
        <f t="shared" si="34"/>
        <v>0</v>
      </c>
      <c r="Q138" s="1"/>
      <c r="R138" s="1"/>
      <c r="S138" s="1"/>
      <c r="T138" s="1"/>
      <c r="U138" s="1"/>
      <c r="V138" s="1"/>
      <c r="W138" s="1"/>
    </row>
    <row r="139" spans="2:23">
      <c r="B139" s="9" t="str">
        <f t="shared" si="22"/>
        <v/>
      </c>
      <c r="C139" s="153">
        <f>IF(D93="","-",+C138+1)</f>
        <v>2047</v>
      </c>
      <c r="D139" s="154">
        <f>IF(F138+SUM(E$99:E138)=D$92,F138,D$92-SUM(E$99:E138))</f>
        <v>6827.1290762356148</v>
      </c>
      <c r="E139" s="160">
        <f>IF(+J96&lt;F138,J96,D139)</f>
        <v>1945.2619047619048</v>
      </c>
      <c r="F139" s="159">
        <f t="shared" si="29"/>
        <v>4881.8671714737102</v>
      </c>
      <c r="G139" s="159">
        <f t="shared" si="30"/>
        <v>5854.4981238546625</v>
      </c>
      <c r="H139" s="163">
        <f t="shared" si="27"/>
        <v>2656.4163258746689</v>
      </c>
      <c r="I139" s="253">
        <f t="shared" si="28"/>
        <v>2656.4163258746689</v>
      </c>
      <c r="J139" s="158">
        <f t="shared" si="31"/>
        <v>0</v>
      </c>
      <c r="K139" s="158"/>
      <c r="L139" s="334"/>
      <c r="M139" s="158">
        <f t="shared" si="32"/>
        <v>0</v>
      </c>
      <c r="N139" s="334"/>
      <c r="O139" s="158">
        <f t="shared" si="33"/>
        <v>0</v>
      </c>
      <c r="P139" s="158">
        <f t="shared" si="34"/>
        <v>0</v>
      </c>
      <c r="Q139" s="1"/>
      <c r="R139" s="1"/>
      <c r="S139" s="1"/>
      <c r="T139" s="1"/>
      <c r="U139" s="1"/>
      <c r="V139" s="1"/>
      <c r="W139" s="1"/>
    </row>
    <row r="140" spans="2:23">
      <c r="B140" s="9" t="str">
        <f t="shared" si="22"/>
        <v/>
      </c>
      <c r="C140" s="153">
        <f>IF(D93="","-",+C139+1)</f>
        <v>2048</v>
      </c>
      <c r="D140" s="154">
        <f>IF(F139+SUM(E$99:E139)=D$92,F139,D$92-SUM(E$99:E139))</f>
        <v>4881.8671714737102</v>
      </c>
      <c r="E140" s="160">
        <f>IF(+J96&lt;F139,J96,D140)</f>
        <v>1945.2619047619048</v>
      </c>
      <c r="F140" s="159">
        <f t="shared" si="29"/>
        <v>2936.6052667118056</v>
      </c>
      <c r="G140" s="159">
        <f t="shared" si="30"/>
        <v>3909.2362190927579</v>
      </c>
      <c r="H140" s="163">
        <f t="shared" si="27"/>
        <v>2420.1225267261207</v>
      </c>
      <c r="I140" s="253">
        <f t="shared" si="28"/>
        <v>2420.1225267261207</v>
      </c>
      <c r="J140" s="158">
        <f t="shared" si="31"/>
        <v>0</v>
      </c>
      <c r="K140" s="158"/>
      <c r="L140" s="334"/>
      <c r="M140" s="158">
        <f t="shared" si="32"/>
        <v>0</v>
      </c>
      <c r="N140" s="334"/>
      <c r="O140" s="158">
        <f t="shared" si="33"/>
        <v>0</v>
      </c>
      <c r="P140" s="158">
        <f t="shared" si="34"/>
        <v>0</v>
      </c>
      <c r="Q140" s="1"/>
      <c r="R140" s="1"/>
      <c r="S140" s="1"/>
      <c r="T140" s="1"/>
      <c r="U140" s="1"/>
      <c r="V140" s="1"/>
      <c r="W140" s="1"/>
    </row>
    <row r="141" spans="2:23">
      <c r="B141" s="374" t="str">
        <f t="shared" si="22"/>
        <v/>
      </c>
      <c r="C141" s="153">
        <f>IF(D93="","-",+C140+1)</f>
        <v>2049</v>
      </c>
      <c r="D141" s="154">
        <f>IF(F140+SUM(E$99:E140)=D$92,F140,D$92-SUM(E$99:E140))</f>
        <v>2936.6052667118056</v>
      </c>
      <c r="E141" s="160">
        <f>IF(+J96&lt;F140,J96,D141)</f>
        <v>1945.2619047619048</v>
      </c>
      <c r="F141" s="159">
        <f t="shared" si="29"/>
        <v>991.34336194990078</v>
      </c>
      <c r="G141" s="159">
        <f t="shared" si="30"/>
        <v>1963.9743143308533</v>
      </c>
      <c r="H141" s="163">
        <f t="shared" si="27"/>
        <v>2183.8287275775729</v>
      </c>
      <c r="I141" s="253">
        <f t="shared" si="28"/>
        <v>2183.8287275775729</v>
      </c>
      <c r="J141" s="158">
        <f t="shared" si="31"/>
        <v>0</v>
      </c>
      <c r="K141" s="158"/>
      <c r="L141" s="334"/>
      <c r="M141" s="158">
        <f t="shared" si="32"/>
        <v>0</v>
      </c>
      <c r="N141" s="334"/>
      <c r="O141" s="158">
        <f t="shared" si="33"/>
        <v>0</v>
      </c>
      <c r="P141" s="158">
        <f t="shared" si="34"/>
        <v>0</v>
      </c>
      <c r="Q141" s="1"/>
      <c r="R141" s="1"/>
      <c r="S141" s="1"/>
      <c r="T141" s="1"/>
      <c r="U141" s="1"/>
      <c r="V141" s="1"/>
      <c r="W141" s="1"/>
    </row>
    <row r="142" spans="2:23">
      <c r="B142" s="9" t="str">
        <f t="shared" si="22"/>
        <v/>
      </c>
      <c r="C142" s="153">
        <f>IF(D93="","-",+C141+1)</f>
        <v>2050</v>
      </c>
      <c r="D142" s="154">
        <f>IF(F141+SUM(E$99:E141)=D$92,F141,D$92-SUM(E$99:E141))</f>
        <v>991.34336194990078</v>
      </c>
      <c r="E142" s="160">
        <f>IF(+J96&lt;F141,J96,D142)</f>
        <v>991.34336194990078</v>
      </c>
      <c r="F142" s="159">
        <f t="shared" si="29"/>
        <v>0</v>
      </c>
      <c r="G142" s="159">
        <f t="shared" si="30"/>
        <v>495.67168097495039</v>
      </c>
      <c r="H142" s="163">
        <f t="shared" si="27"/>
        <v>1051.5533235705977</v>
      </c>
      <c r="I142" s="253">
        <f t="shared" si="28"/>
        <v>1051.5533235705977</v>
      </c>
      <c r="J142" s="158">
        <f t="shared" si="31"/>
        <v>0</v>
      </c>
      <c r="K142" s="158"/>
      <c r="L142" s="334"/>
      <c r="M142" s="158">
        <f t="shared" si="32"/>
        <v>0</v>
      </c>
      <c r="N142" s="334"/>
      <c r="O142" s="158">
        <f t="shared" si="33"/>
        <v>0</v>
      </c>
      <c r="P142" s="158">
        <f t="shared" si="34"/>
        <v>0</v>
      </c>
      <c r="Q142" s="1"/>
      <c r="R142" s="1"/>
      <c r="S142" s="1"/>
      <c r="T142" s="1"/>
      <c r="U142" s="1"/>
      <c r="V142" s="1"/>
      <c r="W142" s="1"/>
    </row>
    <row r="143" spans="2:23">
      <c r="B143" s="9" t="str">
        <f t="shared" si="22"/>
        <v/>
      </c>
      <c r="C143" s="153">
        <f>IF(D93="","-",+C142+1)</f>
        <v>2051</v>
      </c>
      <c r="D143" s="154">
        <f>IF(F142+SUM(E$99:E142)=D$92,F142,D$92-SUM(E$99:E142))</f>
        <v>0</v>
      </c>
      <c r="E143" s="160">
        <f>IF(+J96&lt;F142,J96,D143)</f>
        <v>0</v>
      </c>
      <c r="F143" s="159">
        <f t="shared" si="29"/>
        <v>0</v>
      </c>
      <c r="G143" s="159">
        <f t="shared" si="30"/>
        <v>0</v>
      </c>
      <c r="H143" s="163">
        <f t="shared" si="27"/>
        <v>0</v>
      </c>
      <c r="I143" s="253">
        <f t="shared" si="28"/>
        <v>0</v>
      </c>
      <c r="J143" s="158">
        <f t="shared" si="31"/>
        <v>0</v>
      </c>
      <c r="K143" s="158"/>
      <c r="L143" s="334"/>
      <c r="M143" s="158">
        <f t="shared" si="32"/>
        <v>0</v>
      </c>
      <c r="N143" s="334"/>
      <c r="O143" s="158">
        <f t="shared" si="33"/>
        <v>0</v>
      </c>
      <c r="P143" s="158">
        <f t="shared" si="34"/>
        <v>0</v>
      </c>
      <c r="Q143" s="1"/>
      <c r="R143" s="1"/>
      <c r="S143" s="1"/>
      <c r="T143" s="1"/>
      <c r="U143" s="1"/>
      <c r="V143" s="1"/>
      <c r="W143" s="1"/>
    </row>
    <row r="144" spans="2:23">
      <c r="B144" s="9" t="str">
        <f t="shared" si="22"/>
        <v/>
      </c>
      <c r="C144" s="153">
        <f>IF(D93="","-",+C143+1)</f>
        <v>2052</v>
      </c>
      <c r="D144" s="154">
        <f>IF(F143+SUM(E$99:E143)=D$92,F143,D$92-SUM(E$99:E143))</f>
        <v>0</v>
      </c>
      <c r="E144" s="160">
        <f>IF(+J96&lt;F143,J96,D144)</f>
        <v>0</v>
      </c>
      <c r="F144" s="159">
        <f t="shared" si="29"/>
        <v>0</v>
      </c>
      <c r="G144" s="159">
        <f t="shared" si="30"/>
        <v>0</v>
      </c>
      <c r="H144" s="163">
        <f t="shared" si="27"/>
        <v>0</v>
      </c>
      <c r="I144" s="253">
        <f t="shared" si="28"/>
        <v>0</v>
      </c>
      <c r="J144" s="158">
        <f t="shared" si="31"/>
        <v>0</v>
      </c>
      <c r="K144" s="158"/>
      <c r="L144" s="334"/>
      <c r="M144" s="158">
        <f t="shared" si="32"/>
        <v>0</v>
      </c>
      <c r="N144" s="334"/>
      <c r="O144" s="158">
        <f t="shared" si="33"/>
        <v>0</v>
      </c>
      <c r="P144" s="158">
        <f t="shared" si="34"/>
        <v>0</v>
      </c>
      <c r="Q144" s="1"/>
      <c r="R144" s="1"/>
      <c r="S144" s="1"/>
      <c r="T144" s="1"/>
      <c r="U144" s="1"/>
      <c r="V144" s="1"/>
      <c r="W144" s="1"/>
    </row>
    <row r="145" spans="2:23">
      <c r="B145" s="9" t="str">
        <f t="shared" si="22"/>
        <v/>
      </c>
      <c r="C145" s="153">
        <f>IF(D93="","-",+C144+1)</f>
        <v>2053</v>
      </c>
      <c r="D145" s="154">
        <f>IF(F144+SUM(E$99:E144)=D$92,F144,D$92-SUM(E$99:E144))</f>
        <v>0</v>
      </c>
      <c r="E145" s="160">
        <f>IF(+J96&lt;F144,J96,D145)</f>
        <v>0</v>
      </c>
      <c r="F145" s="159">
        <f t="shared" si="29"/>
        <v>0</v>
      </c>
      <c r="G145" s="159">
        <f t="shared" si="30"/>
        <v>0</v>
      </c>
      <c r="H145" s="163">
        <f t="shared" si="27"/>
        <v>0</v>
      </c>
      <c r="I145" s="253">
        <f t="shared" si="28"/>
        <v>0</v>
      </c>
      <c r="J145" s="158">
        <f t="shared" si="31"/>
        <v>0</v>
      </c>
      <c r="K145" s="158"/>
      <c r="L145" s="334"/>
      <c r="M145" s="158">
        <f t="shared" si="32"/>
        <v>0</v>
      </c>
      <c r="N145" s="334"/>
      <c r="O145" s="158">
        <f t="shared" si="33"/>
        <v>0</v>
      </c>
      <c r="P145" s="158">
        <f t="shared" si="34"/>
        <v>0</v>
      </c>
      <c r="Q145" s="1"/>
      <c r="R145" s="1"/>
      <c r="S145" s="1"/>
      <c r="T145" s="1"/>
      <c r="U145" s="1"/>
      <c r="V145" s="1"/>
      <c r="W145" s="1"/>
    </row>
    <row r="146" spans="2:23">
      <c r="B146" s="9" t="str">
        <f t="shared" si="22"/>
        <v/>
      </c>
      <c r="C146" s="153">
        <f>IF(D93="","-",+C145+1)</f>
        <v>2054</v>
      </c>
      <c r="D146" s="154">
        <f>IF(F145+SUM(E$99:E145)=D$92,F145,D$92-SUM(E$99:E145))</f>
        <v>0</v>
      </c>
      <c r="E146" s="160">
        <f>IF(+J96&lt;F145,J96,D146)</f>
        <v>0</v>
      </c>
      <c r="F146" s="159">
        <f t="shared" si="29"/>
        <v>0</v>
      </c>
      <c r="G146" s="159">
        <f t="shared" si="30"/>
        <v>0</v>
      </c>
      <c r="H146" s="163">
        <f t="shared" si="27"/>
        <v>0</v>
      </c>
      <c r="I146" s="253">
        <f t="shared" si="28"/>
        <v>0</v>
      </c>
      <c r="J146" s="158">
        <f t="shared" si="31"/>
        <v>0</v>
      </c>
      <c r="K146" s="158"/>
      <c r="L146" s="334"/>
      <c r="M146" s="158">
        <f t="shared" si="32"/>
        <v>0</v>
      </c>
      <c r="N146" s="334"/>
      <c r="O146" s="158">
        <f t="shared" si="33"/>
        <v>0</v>
      </c>
      <c r="P146" s="158">
        <f t="shared" si="34"/>
        <v>0</v>
      </c>
      <c r="Q146" s="1"/>
      <c r="R146" s="1"/>
      <c r="S146" s="1"/>
      <c r="T146" s="1"/>
      <c r="U146" s="1"/>
      <c r="V146" s="1"/>
      <c r="W146" s="1"/>
    </row>
    <row r="147" spans="2:23">
      <c r="B147" s="9" t="str">
        <f t="shared" si="22"/>
        <v/>
      </c>
      <c r="C147" s="153">
        <f>IF(D93="","-",+C146+1)</f>
        <v>2055</v>
      </c>
      <c r="D147" s="154">
        <f>IF(F146+SUM(E$99:E146)=D$92,F146,D$92-SUM(E$99:E146))</f>
        <v>0</v>
      </c>
      <c r="E147" s="160">
        <f>IF(+J96&lt;F146,J96,D147)</f>
        <v>0</v>
      </c>
      <c r="F147" s="159">
        <f t="shared" si="29"/>
        <v>0</v>
      </c>
      <c r="G147" s="159">
        <f t="shared" si="30"/>
        <v>0</v>
      </c>
      <c r="H147" s="163">
        <f t="shared" si="27"/>
        <v>0</v>
      </c>
      <c r="I147" s="253">
        <f t="shared" si="28"/>
        <v>0</v>
      </c>
      <c r="J147" s="158">
        <f t="shared" si="31"/>
        <v>0</v>
      </c>
      <c r="K147" s="158"/>
      <c r="L147" s="334"/>
      <c r="M147" s="158">
        <f t="shared" si="32"/>
        <v>0</v>
      </c>
      <c r="N147" s="334"/>
      <c r="O147" s="158">
        <f t="shared" si="33"/>
        <v>0</v>
      </c>
      <c r="P147" s="158">
        <f t="shared" si="34"/>
        <v>0</v>
      </c>
      <c r="Q147" s="1"/>
      <c r="R147" s="1"/>
      <c r="S147" s="1"/>
      <c r="T147" s="1"/>
      <c r="U147" s="1"/>
      <c r="V147" s="1"/>
      <c r="W147" s="1"/>
    </row>
    <row r="148" spans="2:23">
      <c r="B148" s="9" t="str">
        <f t="shared" si="22"/>
        <v/>
      </c>
      <c r="C148" s="153">
        <f>IF(D93="","-",+C147+1)</f>
        <v>2056</v>
      </c>
      <c r="D148" s="154">
        <f>IF(F147+SUM(E$99:E147)=D$92,F147,D$92-SUM(E$99:E147))</f>
        <v>0</v>
      </c>
      <c r="E148" s="160">
        <f>IF(+J96&lt;F147,J96,D148)</f>
        <v>0</v>
      </c>
      <c r="F148" s="159">
        <f t="shared" si="29"/>
        <v>0</v>
      </c>
      <c r="G148" s="159">
        <f t="shared" si="30"/>
        <v>0</v>
      </c>
      <c r="H148" s="163">
        <f t="shared" si="27"/>
        <v>0</v>
      </c>
      <c r="I148" s="253">
        <f t="shared" si="28"/>
        <v>0</v>
      </c>
      <c r="J148" s="158">
        <f t="shared" si="31"/>
        <v>0</v>
      </c>
      <c r="K148" s="158"/>
      <c r="L148" s="334"/>
      <c r="M148" s="158">
        <f t="shared" si="32"/>
        <v>0</v>
      </c>
      <c r="N148" s="334"/>
      <c r="O148" s="158">
        <f t="shared" si="33"/>
        <v>0</v>
      </c>
      <c r="P148" s="158">
        <f t="shared" si="34"/>
        <v>0</v>
      </c>
      <c r="Q148" s="1"/>
      <c r="R148" s="1"/>
      <c r="S148" s="1"/>
      <c r="T148" s="1"/>
      <c r="U148" s="1"/>
      <c r="V148" s="1"/>
      <c r="W148" s="1"/>
    </row>
    <row r="149" spans="2:23">
      <c r="B149" s="9" t="str">
        <f t="shared" si="22"/>
        <v/>
      </c>
      <c r="C149" s="153">
        <f>IF(D93="","-",+C148+1)</f>
        <v>2057</v>
      </c>
      <c r="D149" s="154">
        <f>IF(F148+SUM(E$99:E148)=D$92,F148,D$92-SUM(E$99:E148))</f>
        <v>0</v>
      </c>
      <c r="E149" s="160">
        <f>IF(+J96&lt;F148,J96,D149)</f>
        <v>0</v>
      </c>
      <c r="F149" s="159">
        <f t="shared" si="29"/>
        <v>0</v>
      </c>
      <c r="G149" s="159">
        <f t="shared" si="30"/>
        <v>0</v>
      </c>
      <c r="H149" s="163">
        <f t="shared" si="27"/>
        <v>0</v>
      </c>
      <c r="I149" s="253">
        <f t="shared" si="28"/>
        <v>0</v>
      </c>
      <c r="J149" s="158">
        <f t="shared" si="31"/>
        <v>0</v>
      </c>
      <c r="K149" s="158"/>
      <c r="L149" s="334"/>
      <c r="M149" s="158">
        <f t="shared" si="32"/>
        <v>0</v>
      </c>
      <c r="N149" s="334"/>
      <c r="O149" s="158">
        <f t="shared" si="33"/>
        <v>0</v>
      </c>
      <c r="P149" s="158">
        <f t="shared" si="34"/>
        <v>0</v>
      </c>
      <c r="Q149" s="1"/>
      <c r="R149" s="1"/>
      <c r="S149" s="1"/>
      <c r="T149" s="1"/>
      <c r="U149" s="1"/>
      <c r="V149" s="1"/>
      <c r="W149" s="1"/>
    </row>
    <row r="150" spans="2:23">
      <c r="B150" s="9" t="str">
        <f t="shared" si="22"/>
        <v/>
      </c>
      <c r="C150" s="153">
        <f>IF(D93="","-",+C149+1)</f>
        <v>2058</v>
      </c>
      <c r="D150" s="154">
        <f>IF(F149+SUM(E$99:E149)=D$92,F149,D$92-SUM(E$99:E149))</f>
        <v>0</v>
      </c>
      <c r="E150" s="160">
        <f>IF(+J96&lt;F149,J96,D150)</f>
        <v>0</v>
      </c>
      <c r="F150" s="159">
        <f t="shared" si="29"/>
        <v>0</v>
      </c>
      <c r="G150" s="159">
        <f t="shared" si="30"/>
        <v>0</v>
      </c>
      <c r="H150" s="163">
        <f t="shared" si="27"/>
        <v>0</v>
      </c>
      <c r="I150" s="253">
        <f t="shared" si="28"/>
        <v>0</v>
      </c>
      <c r="J150" s="158">
        <f t="shared" si="31"/>
        <v>0</v>
      </c>
      <c r="K150" s="158"/>
      <c r="L150" s="334"/>
      <c r="M150" s="158">
        <f t="shared" si="32"/>
        <v>0</v>
      </c>
      <c r="N150" s="334"/>
      <c r="O150" s="158">
        <f t="shared" si="33"/>
        <v>0</v>
      </c>
      <c r="P150" s="158">
        <f t="shared" si="34"/>
        <v>0</v>
      </c>
      <c r="Q150" s="1"/>
      <c r="R150" s="1"/>
      <c r="S150" s="1"/>
      <c r="T150" s="1"/>
      <c r="U150" s="1"/>
      <c r="V150" s="1"/>
      <c r="W150" s="1"/>
    </row>
    <row r="151" spans="2:23">
      <c r="B151" s="9" t="str">
        <f t="shared" si="22"/>
        <v/>
      </c>
      <c r="C151" s="153">
        <f>IF(D93="","-",+C150+1)</f>
        <v>2059</v>
      </c>
      <c r="D151" s="154">
        <f>IF(F150+SUM(E$99:E150)=D$92,F150,D$92-SUM(E$99:E150))</f>
        <v>0</v>
      </c>
      <c r="E151" s="160">
        <f>IF(+J96&lt;F150,J96,D151)</f>
        <v>0</v>
      </c>
      <c r="F151" s="159">
        <f t="shared" si="29"/>
        <v>0</v>
      </c>
      <c r="G151" s="159">
        <f t="shared" si="30"/>
        <v>0</v>
      </c>
      <c r="H151" s="163">
        <f t="shared" si="27"/>
        <v>0</v>
      </c>
      <c r="I151" s="253">
        <f t="shared" si="28"/>
        <v>0</v>
      </c>
      <c r="J151" s="158">
        <f t="shared" si="31"/>
        <v>0</v>
      </c>
      <c r="K151" s="158"/>
      <c r="L151" s="334"/>
      <c r="M151" s="158">
        <f t="shared" si="32"/>
        <v>0</v>
      </c>
      <c r="N151" s="334"/>
      <c r="O151" s="158">
        <f t="shared" si="33"/>
        <v>0</v>
      </c>
      <c r="P151" s="158">
        <f t="shared" si="34"/>
        <v>0</v>
      </c>
      <c r="Q151" s="1"/>
      <c r="R151" s="1"/>
      <c r="S151" s="1"/>
      <c r="T151" s="1"/>
      <c r="U151" s="1"/>
      <c r="V151" s="1"/>
      <c r="W151" s="1"/>
    </row>
    <row r="152" spans="2:23">
      <c r="B152" s="9" t="str">
        <f t="shared" si="22"/>
        <v/>
      </c>
      <c r="C152" s="153">
        <f>IF(D93="","-",+C151+1)</f>
        <v>2060</v>
      </c>
      <c r="D152" s="154">
        <f>IF(F151+SUM(E$99:E151)=D$92,F151,D$92-SUM(E$99:E151))</f>
        <v>0</v>
      </c>
      <c r="E152" s="160">
        <f>IF(+J96&lt;F151,J96,D152)</f>
        <v>0</v>
      </c>
      <c r="F152" s="159">
        <f t="shared" si="29"/>
        <v>0</v>
      </c>
      <c r="G152" s="159">
        <f t="shared" si="30"/>
        <v>0</v>
      </c>
      <c r="H152" s="163">
        <f t="shared" si="27"/>
        <v>0</v>
      </c>
      <c r="I152" s="253">
        <f t="shared" si="28"/>
        <v>0</v>
      </c>
      <c r="J152" s="158">
        <f t="shared" si="31"/>
        <v>0</v>
      </c>
      <c r="K152" s="158"/>
      <c r="L152" s="334"/>
      <c r="M152" s="158">
        <f t="shared" si="32"/>
        <v>0</v>
      </c>
      <c r="N152" s="334"/>
      <c r="O152" s="158">
        <f t="shared" si="33"/>
        <v>0</v>
      </c>
      <c r="P152" s="158">
        <f t="shared" si="34"/>
        <v>0</v>
      </c>
      <c r="Q152" s="1"/>
      <c r="R152" s="1"/>
      <c r="S152" s="1"/>
      <c r="T152" s="1"/>
      <c r="U152" s="1"/>
      <c r="V152" s="1"/>
      <c r="W152" s="1"/>
    </row>
    <row r="153" spans="2:23">
      <c r="B153" s="9" t="str">
        <f t="shared" si="22"/>
        <v/>
      </c>
      <c r="C153" s="153">
        <f>IF(D93="","-",+C152+1)</f>
        <v>2061</v>
      </c>
      <c r="D153" s="154">
        <f>IF(F152+SUM(E$99:E152)=D$92,F152,D$92-SUM(E$99:E152))</f>
        <v>0</v>
      </c>
      <c r="E153" s="160">
        <f>IF(+J96&lt;F152,J96,D153)</f>
        <v>0</v>
      </c>
      <c r="F153" s="159">
        <f t="shared" si="29"/>
        <v>0</v>
      </c>
      <c r="G153" s="159">
        <f t="shared" si="30"/>
        <v>0</v>
      </c>
      <c r="H153" s="163">
        <f t="shared" si="27"/>
        <v>0</v>
      </c>
      <c r="I153" s="253">
        <f t="shared" si="28"/>
        <v>0</v>
      </c>
      <c r="J153" s="158">
        <f t="shared" si="31"/>
        <v>0</v>
      </c>
      <c r="K153" s="158"/>
      <c r="L153" s="334"/>
      <c r="M153" s="158">
        <f t="shared" si="32"/>
        <v>0</v>
      </c>
      <c r="N153" s="334"/>
      <c r="O153" s="158">
        <f t="shared" si="33"/>
        <v>0</v>
      </c>
      <c r="P153" s="158">
        <f t="shared" si="34"/>
        <v>0</v>
      </c>
      <c r="Q153" s="1"/>
      <c r="R153" s="1"/>
      <c r="S153" s="1"/>
      <c r="T153" s="1"/>
      <c r="U153" s="1"/>
      <c r="V153" s="1"/>
      <c r="W153" s="1"/>
    </row>
    <row r="154" spans="2:23" ht="13.5" thickBot="1">
      <c r="B154" s="9" t="str">
        <f t="shared" si="22"/>
        <v/>
      </c>
      <c r="C154" s="164">
        <f>IF(D93="","-",+C153+1)</f>
        <v>2062</v>
      </c>
      <c r="D154" s="215">
        <f>IF(F153+SUM(E$99:E153)=D$92,F153,D$92-SUM(E$99:E153))</f>
        <v>0</v>
      </c>
      <c r="E154" s="166">
        <f>IF(+J96&lt;F153,J96,D154)</f>
        <v>0</v>
      </c>
      <c r="F154" s="165">
        <f t="shared" si="29"/>
        <v>0</v>
      </c>
      <c r="G154" s="165">
        <f t="shared" si="30"/>
        <v>0</v>
      </c>
      <c r="H154" s="167">
        <f t="shared" si="27"/>
        <v>0</v>
      </c>
      <c r="I154" s="254">
        <f t="shared" si="28"/>
        <v>0</v>
      </c>
      <c r="J154" s="169">
        <f t="shared" si="31"/>
        <v>0</v>
      </c>
      <c r="K154" s="158"/>
      <c r="L154" s="335"/>
      <c r="M154" s="169">
        <f t="shared" si="32"/>
        <v>0</v>
      </c>
      <c r="N154" s="335"/>
      <c r="O154" s="169">
        <f t="shared" si="33"/>
        <v>0</v>
      </c>
      <c r="P154" s="169">
        <f t="shared" si="34"/>
        <v>0</v>
      </c>
      <c r="Q154" s="1"/>
      <c r="R154" s="1"/>
      <c r="S154" s="1"/>
      <c r="T154" s="1"/>
      <c r="U154" s="1"/>
      <c r="V154" s="1"/>
      <c r="W154" s="1"/>
    </row>
    <row r="155" spans="2:23">
      <c r="C155" s="154" t="s">
        <v>73</v>
      </c>
      <c r="D155" s="111"/>
      <c r="E155" s="111">
        <f>SUM(E99:E154)</f>
        <v>81701.000000000015</v>
      </c>
      <c r="F155" s="111"/>
      <c r="G155" s="111"/>
      <c r="H155" s="111">
        <f>SUM(H99:H154)</f>
        <v>306542.5817377916</v>
      </c>
      <c r="I155" s="111">
        <f>SUM(I99:I154)</f>
        <v>306542.5817377916</v>
      </c>
      <c r="J155" s="111">
        <f>SUM(J99:J154)</f>
        <v>0</v>
      </c>
      <c r="K155" s="111"/>
      <c r="L155" s="111"/>
      <c r="M155" s="111"/>
      <c r="N155" s="111"/>
      <c r="O155" s="111"/>
      <c r="P155" s="1"/>
      <c r="Q155" s="1"/>
      <c r="R155" s="1"/>
      <c r="S155" s="1"/>
      <c r="T155" s="1"/>
      <c r="U155" s="1"/>
      <c r="V155" s="1"/>
      <c r="W155" s="1"/>
    </row>
    <row r="156" spans="2:23">
      <c r="D156" s="2"/>
      <c r="E156" s="1"/>
      <c r="F156" s="1"/>
      <c r="G156" s="1"/>
      <c r="H156" s="1"/>
      <c r="I156" s="3"/>
      <c r="J156" s="3"/>
      <c r="K156" s="111"/>
      <c r="L156" s="3"/>
      <c r="M156" s="3"/>
      <c r="N156" s="3"/>
      <c r="O156" s="3"/>
      <c r="P156" s="1"/>
      <c r="Q156" s="1"/>
      <c r="R156" s="1"/>
      <c r="S156" s="1"/>
      <c r="T156" s="1"/>
      <c r="U156" s="1"/>
      <c r="V156" s="1"/>
      <c r="W156" s="1"/>
    </row>
    <row r="157" spans="2:23">
      <c r="C157" s="216" t="s">
        <v>87</v>
      </c>
      <c r="D157" s="2"/>
      <c r="E157" s="1"/>
      <c r="F157" s="1"/>
      <c r="G157" s="1"/>
      <c r="H157" s="1"/>
      <c r="I157" s="3"/>
      <c r="J157" s="3"/>
      <c r="K157" s="111"/>
      <c r="L157" s="3"/>
      <c r="M157" s="3"/>
      <c r="N157" s="3"/>
      <c r="O157" s="3"/>
      <c r="P157" s="1"/>
      <c r="Q157" s="1"/>
      <c r="R157" s="1"/>
      <c r="S157" s="1"/>
      <c r="T157" s="1"/>
      <c r="U157" s="1"/>
      <c r="V157" s="1"/>
      <c r="W157" s="1"/>
    </row>
    <row r="158" spans="2:23">
      <c r="D158" s="2"/>
      <c r="E158" s="1"/>
      <c r="F158" s="1"/>
      <c r="G158" s="1"/>
      <c r="H158" s="1"/>
      <c r="I158" s="3"/>
      <c r="J158" s="3"/>
      <c r="K158" s="111"/>
      <c r="L158" s="3"/>
      <c r="M158" s="3"/>
      <c r="N158" s="3"/>
      <c r="O158" s="3"/>
      <c r="P158" s="1"/>
      <c r="Q158" s="1"/>
      <c r="R158" s="1"/>
      <c r="S158" s="1"/>
      <c r="T158" s="1"/>
      <c r="U158" s="1"/>
      <c r="V158" s="1"/>
      <c r="W158" s="1"/>
    </row>
    <row r="159" spans="2:23">
      <c r="C159" s="170" t="s">
        <v>92</v>
      </c>
      <c r="D159" s="154"/>
      <c r="E159" s="154"/>
      <c r="F159" s="154"/>
      <c r="G159" s="154"/>
      <c r="H159" s="111"/>
      <c r="I159" s="111"/>
      <c r="J159" s="171"/>
      <c r="K159" s="171"/>
      <c r="L159" s="171"/>
      <c r="M159" s="171"/>
      <c r="N159" s="171"/>
      <c r="O159" s="171"/>
      <c r="P159" s="1"/>
      <c r="Q159" s="1"/>
      <c r="R159" s="1"/>
      <c r="S159" s="1"/>
      <c r="T159" s="1"/>
      <c r="U159" s="1"/>
      <c r="V159" s="1"/>
      <c r="W159" s="1"/>
    </row>
    <row r="160" spans="2:23">
      <c r="C160" s="217" t="s">
        <v>74</v>
      </c>
      <c r="D160" s="154"/>
      <c r="E160" s="154"/>
      <c r="F160" s="154"/>
      <c r="G160" s="154"/>
      <c r="H160" s="111"/>
      <c r="I160" s="111"/>
      <c r="J160" s="171"/>
      <c r="K160" s="171"/>
      <c r="L160" s="171"/>
      <c r="M160" s="171"/>
      <c r="N160" s="171"/>
      <c r="O160" s="171"/>
      <c r="P160" s="1"/>
      <c r="Q160" s="1"/>
      <c r="R160" s="1"/>
      <c r="S160" s="1"/>
      <c r="T160" s="1"/>
      <c r="U160" s="1"/>
      <c r="V160" s="1"/>
      <c r="W160" s="1"/>
    </row>
    <row r="161" spans="3:23">
      <c r="C161" s="217" t="s">
        <v>75</v>
      </c>
      <c r="D161" s="154"/>
      <c r="E161" s="154"/>
      <c r="F161" s="154"/>
      <c r="G161" s="154"/>
      <c r="H161" s="111"/>
      <c r="I161" s="111"/>
      <c r="J161" s="171"/>
      <c r="K161" s="171"/>
      <c r="L161" s="171"/>
      <c r="M161" s="171"/>
      <c r="N161" s="171"/>
      <c r="O161" s="171"/>
      <c r="P161" s="1"/>
      <c r="Q161" s="1"/>
      <c r="R161" s="1"/>
      <c r="S161" s="1"/>
      <c r="T161" s="1"/>
      <c r="U161" s="1"/>
      <c r="V161" s="1"/>
      <c r="W161" s="1"/>
    </row>
    <row r="162" spans="3:23" ht="18">
      <c r="C162" s="217"/>
      <c r="D162" s="154"/>
      <c r="E162" s="154"/>
      <c r="F162" s="154"/>
      <c r="G162" s="154"/>
      <c r="H162" s="111"/>
      <c r="I162" s="111"/>
      <c r="J162" s="171"/>
      <c r="K162" s="171"/>
      <c r="L162" s="171"/>
      <c r="M162" s="171"/>
      <c r="N162" s="171"/>
      <c r="P162" s="237" t="s">
        <v>126</v>
      </c>
      <c r="Q162" s="1"/>
      <c r="R162" s="1"/>
      <c r="S162" s="1"/>
      <c r="T162" s="1"/>
      <c r="U162" s="1"/>
      <c r="V162" s="1"/>
      <c r="W162" s="1"/>
    </row>
  </sheetData>
  <phoneticPr fontId="0" type="noConversion"/>
  <conditionalFormatting sqref="C17:C72">
    <cfRule type="cellIs" dxfId="137" priority="1" stopIfTrue="1" operator="equal">
      <formula>$I$10</formula>
    </cfRule>
  </conditionalFormatting>
  <conditionalFormatting sqref="C99:C154">
    <cfRule type="cellIs" dxfId="136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  <legacyDrawing r:id="rId3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64"/>
  <dimension ref="A1:Q162"/>
  <sheetViews>
    <sheetView view="pageBreakPreview" topLeftCell="A4" zoomScale="75" zoomScaleNormal="100" zoomScaleSheetLayoutView="75" workbookViewId="0">
      <selection activeCell="C19" sqref="C19"/>
    </sheetView>
  </sheetViews>
  <sheetFormatPr defaultRowHeight="12.75" customHeight="1"/>
  <cols>
    <col min="1" max="1" width="4.7109375" customWidth="1"/>
    <col min="2" max="2" width="6.7109375" customWidth="1"/>
    <col min="3" max="3" width="23.28515625" customWidth="1"/>
    <col min="4" max="8" width="17.7109375" customWidth="1"/>
    <col min="9" max="9" width="20.42578125" customWidth="1"/>
    <col min="10" max="10" width="16.42578125" customWidth="1"/>
    <col min="11" max="11" width="17.7109375" customWidth="1"/>
    <col min="12" max="12" width="16.140625" customWidth="1"/>
    <col min="13" max="13" width="17.7109375" customWidth="1"/>
    <col min="14" max="14" width="16.140625" customWidth="1"/>
    <col min="15" max="15" width="16.85546875" customWidth="1"/>
    <col min="16" max="16" width="24.42578125" customWidth="1"/>
    <col min="17" max="17" width="4.7109375" customWidth="1"/>
    <col min="23" max="23" width="9.140625" customWidth="1"/>
  </cols>
  <sheetData>
    <row r="1" spans="1:17" ht="20.25">
      <c r="A1" s="243" t="s">
        <v>128</v>
      </c>
      <c r="B1" s="1"/>
      <c r="C1" s="21"/>
      <c r="D1" s="2"/>
      <c r="E1" s="1"/>
      <c r="F1" s="99"/>
      <c r="G1" s="1"/>
      <c r="H1" s="3"/>
      <c r="J1" s="7"/>
      <c r="K1" s="109"/>
      <c r="L1" s="109"/>
      <c r="M1" s="109"/>
      <c r="P1" s="249" t="str">
        <f ca="1">"SWEPCO Project "&amp;RIGHT(MID(CELL("filename",$A$1),FIND("]",CELL("filename",$A$1))+1,256),2)&amp;" of "&amp;COUNT('S.001:S.xyz - blank'!$P$3)-1</f>
        <v>SWEPCO Project 15 of 73</v>
      </c>
      <c r="Q1" s="108"/>
    </row>
    <row r="2" spans="1:17" ht="18">
      <c r="B2" s="1"/>
      <c r="C2" s="1"/>
      <c r="D2" s="2"/>
      <c r="E2" s="1"/>
      <c r="F2" s="1"/>
      <c r="G2" s="1"/>
      <c r="H2" s="3"/>
      <c r="I2" s="1"/>
      <c r="J2" s="4"/>
      <c r="K2" s="1"/>
      <c r="L2" s="1"/>
      <c r="M2" s="1"/>
      <c r="N2" s="1"/>
      <c r="P2" s="237" t="s">
        <v>124</v>
      </c>
    </row>
    <row r="3" spans="1:17" ht="18.75">
      <c r="B3" s="5" t="s">
        <v>40</v>
      </c>
      <c r="C3" s="68" t="s">
        <v>41</v>
      </c>
      <c r="D3" s="2"/>
      <c r="E3" s="1"/>
      <c r="F3" s="1"/>
      <c r="G3" s="1"/>
      <c r="H3" s="3"/>
      <c r="I3" s="3"/>
      <c r="J3" s="111"/>
      <c r="K3" s="3"/>
      <c r="L3" s="3"/>
      <c r="M3" s="3"/>
      <c r="N3" s="3"/>
      <c r="O3" s="1" t="str">
        <f>RIGHT(N3,3)</f>
        <v/>
      </c>
      <c r="P3" s="239">
        <v>1</v>
      </c>
    </row>
    <row r="4" spans="1:17" ht="15.75" thickBot="1">
      <c r="C4" s="67"/>
      <c r="D4" s="2"/>
      <c r="E4" s="1"/>
      <c r="F4" s="1"/>
      <c r="G4" s="1"/>
      <c r="H4" s="3"/>
      <c r="I4" s="3"/>
      <c r="J4" s="111"/>
      <c r="K4" s="3"/>
      <c r="L4" s="3"/>
      <c r="M4" s="3"/>
      <c r="N4" s="3"/>
      <c r="O4" s="1"/>
      <c r="P4" s="1"/>
    </row>
    <row r="5" spans="1:17" ht="15">
      <c r="C5" s="112" t="s">
        <v>42</v>
      </c>
      <c r="D5" s="2"/>
      <c r="E5" s="1"/>
      <c r="F5" s="1"/>
      <c r="G5" s="113"/>
      <c r="H5" s="1" t="s">
        <v>43</v>
      </c>
      <c r="I5" s="1"/>
      <c r="J5" s="4"/>
      <c r="K5" s="268" t="s">
        <v>152</v>
      </c>
      <c r="L5" s="114"/>
      <c r="M5" s="115"/>
      <c r="N5" s="116">
        <f>VLOOKUP(I10,C17:I72,5)</f>
        <v>34874.405853202261</v>
      </c>
      <c r="P5" s="1"/>
    </row>
    <row r="6" spans="1:17" ht="15.75">
      <c r="C6" s="8"/>
      <c r="D6" s="2"/>
      <c r="E6" s="1"/>
      <c r="F6" s="1"/>
      <c r="G6" s="1"/>
      <c r="H6" s="117"/>
      <c r="I6" s="117"/>
      <c r="J6" s="118"/>
      <c r="K6" s="269" t="s">
        <v>153</v>
      </c>
      <c r="L6" s="119"/>
      <c r="M6" s="4"/>
      <c r="N6" s="120">
        <f>VLOOKUP(I10,C17:I72,6)</f>
        <v>34874.405853202261</v>
      </c>
      <c r="O6" s="1"/>
      <c r="P6" s="1"/>
    </row>
    <row r="7" spans="1:17" ht="13.5" thickBot="1">
      <c r="C7" s="121" t="s">
        <v>44</v>
      </c>
      <c r="D7" s="273" t="s">
        <v>235</v>
      </c>
      <c r="E7" s="1"/>
      <c r="F7" s="1"/>
      <c r="G7" s="1"/>
      <c r="H7" s="3"/>
      <c r="I7" s="3"/>
      <c r="J7" s="111"/>
      <c r="K7" s="122" t="s">
        <v>45</v>
      </c>
      <c r="L7" s="123"/>
      <c r="M7" s="123"/>
      <c r="N7" s="124">
        <f>+N6-N5</f>
        <v>0</v>
      </c>
      <c r="O7" s="1"/>
      <c r="P7" s="1"/>
    </row>
    <row r="8" spans="1:17" ht="13.5" thickBot="1">
      <c r="C8" s="125"/>
      <c r="D8" s="247" t="str">
        <f>IF(D10&lt;100000,"DOES NOT MEET SPP $100,000 MINIMUM INVESTMENT FOR REGIONAL BPU SHARING.","")</f>
        <v/>
      </c>
      <c r="E8" s="126"/>
      <c r="F8" s="126"/>
      <c r="G8" s="126"/>
      <c r="H8" s="126"/>
      <c r="I8" s="126"/>
      <c r="J8" s="101"/>
      <c r="K8" s="126"/>
      <c r="L8" s="126"/>
      <c r="M8" s="126"/>
      <c r="N8" s="126"/>
      <c r="O8" s="101"/>
      <c r="P8" s="21"/>
    </row>
    <row r="9" spans="1:17" ht="13.5" thickBot="1">
      <c r="A9" s="103"/>
      <c r="C9" s="127" t="s">
        <v>46</v>
      </c>
      <c r="D9" s="225" t="s">
        <v>148</v>
      </c>
      <c r="E9" s="401" t="s">
        <v>409</v>
      </c>
      <c r="F9" s="128"/>
      <c r="G9" s="128"/>
      <c r="H9" s="128"/>
      <c r="I9" s="129"/>
      <c r="J9" s="130"/>
      <c r="O9" s="131"/>
      <c r="P9" s="4"/>
    </row>
    <row r="10" spans="1:17">
      <c r="C10" s="132" t="s">
        <v>47</v>
      </c>
      <c r="D10" s="133">
        <v>372149</v>
      </c>
      <c r="E10" s="61" t="s">
        <v>459</v>
      </c>
      <c r="F10" s="131"/>
      <c r="G10" s="134"/>
      <c r="H10" s="134"/>
      <c r="I10" s="135">
        <f>+SWE.WS.F.BPU.ATRR.Projected!K17</f>
        <v>2019</v>
      </c>
      <c r="J10" s="130"/>
      <c r="K10" s="111" t="s">
        <v>48</v>
      </c>
      <c r="O10" s="4"/>
      <c r="P10" s="4"/>
    </row>
    <row r="11" spans="1:17">
      <c r="C11" s="136" t="s">
        <v>49</v>
      </c>
      <c r="D11" s="137">
        <v>2007</v>
      </c>
      <c r="E11" s="136" t="s">
        <v>50</v>
      </c>
      <c r="F11" s="134"/>
      <c r="G11" s="7"/>
      <c r="H11" s="7"/>
      <c r="I11" s="138">
        <v>0</v>
      </c>
      <c r="J11" s="139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4"/>
      <c r="P11" s="4"/>
    </row>
    <row r="12" spans="1:17">
      <c r="C12" s="136" t="s">
        <v>51</v>
      </c>
      <c r="D12" s="133">
        <v>7</v>
      </c>
      <c r="E12" s="136" t="s">
        <v>52</v>
      </c>
      <c r="F12" s="134"/>
      <c r="G12" s="7"/>
      <c r="H12" s="7"/>
      <c r="I12" s="140">
        <f>SWE.WS.F.BPU.ATRR.Projected!$F$76</f>
        <v>9.9555672459071778E-2</v>
      </c>
      <c r="J12" s="141"/>
      <c r="K12" t="s">
        <v>53</v>
      </c>
      <c r="O12" s="4"/>
      <c r="P12" s="4"/>
    </row>
    <row r="13" spans="1:17">
      <c r="C13" s="136" t="s">
        <v>54</v>
      </c>
      <c r="D13" s="138">
        <f>+SWE.WS.F.BPU.ATRR.Projected!F$87</f>
        <v>43</v>
      </c>
      <c r="E13" s="136" t="s">
        <v>55</v>
      </c>
      <c r="F13" s="134"/>
      <c r="G13" s="7"/>
      <c r="H13" s="7"/>
      <c r="I13" s="140">
        <f>IF(G5="",I12,SWE.WS.F.BPU.ATRR.Projected!$F$75)</f>
        <v>9.9555672459071778E-2</v>
      </c>
      <c r="J13" s="141"/>
      <c r="K13" s="111" t="s">
        <v>56</v>
      </c>
      <c r="L13" s="58"/>
      <c r="M13" s="58"/>
      <c r="N13" s="58"/>
      <c r="O13" s="4"/>
      <c r="P13" s="4"/>
    </row>
    <row r="14" spans="1:17" ht="13.5" thickBot="1">
      <c r="C14" s="136" t="s">
        <v>57</v>
      </c>
      <c r="D14" s="137" t="s">
        <v>58</v>
      </c>
      <c r="E14" s="4" t="s">
        <v>59</v>
      </c>
      <c r="F14" s="134"/>
      <c r="G14" s="7"/>
      <c r="H14" s="7"/>
      <c r="I14" s="142">
        <f>IF(D10=0,0,D10/D13)</f>
        <v>8654.6279069767443</v>
      </c>
      <c r="J14" s="111"/>
      <c r="K14" s="111"/>
      <c r="L14" s="111"/>
      <c r="M14" s="111"/>
      <c r="N14" s="111"/>
      <c r="O14" s="4"/>
      <c r="P14" s="4"/>
    </row>
    <row r="15" spans="1:17" ht="38.25">
      <c r="C15" s="143" t="s">
        <v>47</v>
      </c>
      <c r="D15" s="144" t="s">
        <v>60</v>
      </c>
      <c r="E15" s="144" t="s">
        <v>61</v>
      </c>
      <c r="F15" s="144" t="s">
        <v>62</v>
      </c>
      <c r="G15" s="434" t="s">
        <v>378</v>
      </c>
      <c r="H15" s="435" t="s">
        <v>379</v>
      </c>
      <c r="I15" s="351" t="s">
        <v>249</v>
      </c>
      <c r="J15" s="145"/>
      <c r="K15" s="271" t="s">
        <v>219</v>
      </c>
      <c r="L15" s="146" t="s">
        <v>64</v>
      </c>
      <c r="M15" s="271" t="s">
        <v>219</v>
      </c>
      <c r="N15" s="146" t="s">
        <v>64</v>
      </c>
      <c r="O15" s="146" t="s">
        <v>65</v>
      </c>
      <c r="P15" s="4"/>
    </row>
    <row r="16" spans="1:17" ht="13.5" thickBot="1">
      <c r="C16" s="147" t="s">
        <v>66</v>
      </c>
      <c r="D16" s="147" t="s">
        <v>67</v>
      </c>
      <c r="E16" s="147" t="s">
        <v>68</v>
      </c>
      <c r="F16" s="147" t="s">
        <v>67</v>
      </c>
      <c r="G16" s="408" t="s">
        <v>69</v>
      </c>
      <c r="H16" s="148" t="s">
        <v>70</v>
      </c>
      <c r="I16" s="149" t="s">
        <v>89</v>
      </c>
      <c r="J16" s="150" t="s">
        <v>71</v>
      </c>
      <c r="K16" s="151" t="s">
        <v>72</v>
      </c>
      <c r="L16" s="151" t="s">
        <v>72</v>
      </c>
      <c r="M16" s="151" t="s">
        <v>90</v>
      </c>
      <c r="N16" s="152" t="s">
        <v>90</v>
      </c>
      <c r="O16" s="151" t="s">
        <v>90</v>
      </c>
      <c r="P16" s="4"/>
    </row>
    <row r="17" spans="2:16">
      <c r="C17" s="153">
        <f>IF(D11= "","-",D11)</f>
        <v>2007</v>
      </c>
      <c r="D17" s="357">
        <v>367119</v>
      </c>
      <c r="E17" s="358">
        <v>10058</v>
      </c>
      <c r="F17" s="357">
        <v>357061</v>
      </c>
      <c r="G17" s="358">
        <v>37924</v>
      </c>
      <c r="H17" s="359">
        <v>37924</v>
      </c>
      <c r="I17" s="398">
        <f t="shared" ref="I17:I48" si="0">H17-G17</f>
        <v>0</v>
      </c>
      <c r="J17" s="156"/>
      <c r="K17" s="256">
        <v>0</v>
      </c>
      <c r="L17" s="157">
        <f t="shared" ref="L17:L48" si="1">IF(K17&lt;&gt;0,+G17-K17,0)</f>
        <v>0</v>
      </c>
      <c r="M17" s="256">
        <v>0</v>
      </c>
      <c r="N17" s="157">
        <f t="shared" ref="N17:N48" si="2">IF(M17&lt;&gt;0,+H17-M17,0)</f>
        <v>0</v>
      </c>
      <c r="O17" s="158">
        <f t="shared" ref="O17:O48" si="3">+N17-L17</f>
        <v>0</v>
      </c>
      <c r="P17" s="4"/>
    </row>
    <row r="18" spans="2:16">
      <c r="B18" s="9" t="str">
        <f>IF(D18=F17,"","IU")</f>
        <v/>
      </c>
      <c r="C18" s="153">
        <f>IF(D11="","-",+C17+1)</f>
        <v>2008</v>
      </c>
      <c r="D18" s="361">
        <v>357061</v>
      </c>
      <c r="E18" s="360">
        <v>10058</v>
      </c>
      <c r="F18" s="361">
        <v>347003</v>
      </c>
      <c r="G18" s="360">
        <v>63360</v>
      </c>
      <c r="H18" s="359">
        <v>63360</v>
      </c>
      <c r="I18" s="398">
        <f t="shared" si="0"/>
        <v>0</v>
      </c>
      <c r="J18" s="156"/>
      <c r="K18" s="258">
        <v>63360</v>
      </c>
      <c r="L18" s="158">
        <f t="shared" si="1"/>
        <v>0</v>
      </c>
      <c r="M18" s="258">
        <v>63360</v>
      </c>
      <c r="N18" s="158">
        <f t="shared" si="2"/>
        <v>0</v>
      </c>
      <c r="O18" s="158">
        <f t="shared" si="3"/>
        <v>0</v>
      </c>
      <c r="P18" s="4"/>
    </row>
    <row r="19" spans="2:16">
      <c r="B19" s="9" t="str">
        <f>IF(D19=F18,"","IU")</f>
        <v>IU</v>
      </c>
      <c r="C19" s="153">
        <f>IF(D11="","-",+C18+1)</f>
        <v>2009</v>
      </c>
      <c r="D19" s="361">
        <v>238456</v>
      </c>
      <c r="E19" s="360">
        <v>6701</v>
      </c>
      <c r="F19" s="361">
        <v>231755</v>
      </c>
      <c r="G19" s="360">
        <v>42221</v>
      </c>
      <c r="H19" s="359">
        <v>42221</v>
      </c>
      <c r="I19" s="398">
        <f t="shared" si="0"/>
        <v>0</v>
      </c>
      <c r="J19" s="156"/>
      <c r="K19" s="258">
        <v>42221</v>
      </c>
      <c r="L19" s="257">
        <f t="shared" si="1"/>
        <v>0</v>
      </c>
      <c r="M19" s="258">
        <v>42221</v>
      </c>
      <c r="N19" s="158">
        <f t="shared" si="2"/>
        <v>0</v>
      </c>
      <c r="O19" s="158">
        <f t="shared" si="3"/>
        <v>0</v>
      </c>
      <c r="P19" s="4"/>
    </row>
    <row r="20" spans="2:16">
      <c r="B20" s="9" t="str">
        <f t="shared" ref="B20:B72" si="4">IF(D20=F19,"","IU")</f>
        <v>IU</v>
      </c>
      <c r="C20" s="153">
        <f>IF(D11="","-",+C19+1)</f>
        <v>2010</v>
      </c>
      <c r="D20" s="361">
        <v>221133</v>
      </c>
      <c r="E20" s="360">
        <v>6525</v>
      </c>
      <c r="F20" s="361">
        <v>214608</v>
      </c>
      <c r="G20" s="360">
        <v>37378.118954636928</v>
      </c>
      <c r="H20" s="359">
        <v>37378.118954636928</v>
      </c>
      <c r="I20" s="368">
        <v>0</v>
      </c>
      <c r="J20" s="156"/>
      <c r="K20" s="258">
        <f t="shared" ref="K20:K25" si="5">G20</f>
        <v>37378.118954636928</v>
      </c>
      <c r="L20" s="257">
        <f t="shared" si="1"/>
        <v>0</v>
      </c>
      <c r="M20" s="258">
        <f t="shared" ref="M20:M25" si="6">H20</f>
        <v>37378.118954636928</v>
      </c>
      <c r="N20" s="158">
        <f t="shared" si="2"/>
        <v>0</v>
      </c>
      <c r="O20" s="158">
        <f t="shared" si="3"/>
        <v>0</v>
      </c>
      <c r="P20" s="4"/>
    </row>
    <row r="21" spans="2:16">
      <c r="B21" s="9" t="str">
        <f t="shared" si="4"/>
        <v>IU</v>
      </c>
      <c r="C21" s="153">
        <f>IF(D12="","-",+C20+1)</f>
        <v>2011</v>
      </c>
      <c r="D21" s="361">
        <v>338807</v>
      </c>
      <c r="E21" s="360">
        <v>9076.8048780487807</v>
      </c>
      <c r="F21" s="361">
        <v>329730.19512195123</v>
      </c>
      <c r="G21" s="360">
        <v>60578.084314414227</v>
      </c>
      <c r="H21" s="359">
        <v>60578.084314414227</v>
      </c>
      <c r="I21" s="368">
        <v>0</v>
      </c>
      <c r="J21" s="156"/>
      <c r="K21" s="258">
        <f t="shared" si="5"/>
        <v>60578.084314414227</v>
      </c>
      <c r="L21" s="257">
        <f t="shared" si="1"/>
        <v>0</v>
      </c>
      <c r="M21" s="258">
        <f t="shared" si="6"/>
        <v>60578.084314414227</v>
      </c>
      <c r="N21" s="158">
        <f t="shared" si="2"/>
        <v>0</v>
      </c>
      <c r="O21" s="158">
        <f t="shared" si="3"/>
        <v>0</v>
      </c>
      <c r="P21" s="4"/>
    </row>
    <row r="22" spans="2:16">
      <c r="B22" s="9" t="str">
        <f t="shared" si="4"/>
        <v/>
      </c>
      <c r="C22" s="153">
        <f>IF(D11="","-",+C21+1)</f>
        <v>2012</v>
      </c>
      <c r="D22" s="361">
        <v>329730.19512195123</v>
      </c>
      <c r="E22" s="377">
        <v>8860.6904761904771</v>
      </c>
      <c r="F22" s="361">
        <v>320869.50464576075</v>
      </c>
      <c r="G22" s="360">
        <v>56580.448150459459</v>
      </c>
      <c r="H22" s="359">
        <v>56580.448150459459</v>
      </c>
      <c r="I22" s="368">
        <v>0</v>
      </c>
      <c r="J22" s="156"/>
      <c r="K22" s="258">
        <f t="shared" si="5"/>
        <v>56580.448150459459</v>
      </c>
      <c r="L22" s="257">
        <f t="shared" si="1"/>
        <v>0</v>
      </c>
      <c r="M22" s="258">
        <f t="shared" si="6"/>
        <v>56580.448150459459</v>
      </c>
      <c r="N22" s="158">
        <f t="shared" si="2"/>
        <v>0</v>
      </c>
      <c r="O22" s="158">
        <f t="shared" si="3"/>
        <v>0</v>
      </c>
      <c r="P22" s="4"/>
    </row>
    <row r="23" spans="2:16">
      <c r="B23" s="9" t="str">
        <f t="shared" si="4"/>
        <v/>
      </c>
      <c r="C23" s="153">
        <f>IF(D11="","-",+C22+1)</f>
        <v>2013</v>
      </c>
      <c r="D23" s="396">
        <v>320869.50464576075</v>
      </c>
      <c r="E23" s="397">
        <v>8860.6904761904771</v>
      </c>
      <c r="F23" s="396">
        <v>312008.81416957028</v>
      </c>
      <c r="G23" s="397">
        <v>52537.893953719817</v>
      </c>
      <c r="H23" s="395">
        <v>52537.893953719817</v>
      </c>
      <c r="I23" s="398">
        <v>0</v>
      </c>
      <c r="J23" s="156"/>
      <c r="K23" s="258">
        <f t="shared" si="5"/>
        <v>52537.893953719817</v>
      </c>
      <c r="L23" s="257">
        <f t="shared" ref="L23:L28" si="7">IF(K23&lt;&gt;0,+G23-K23,0)</f>
        <v>0</v>
      </c>
      <c r="M23" s="258">
        <f t="shared" si="6"/>
        <v>52537.893953719817</v>
      </c>
      <c r="N23" s="158">
        <f t="shared" ref="N23:N28" si="8">IF(M23&lt;&gt;0,+H23-M23,0)</f>
        <v>0</v>
      </c>
      <c r="O23" s="158">
        <f t="shared" ref="O23:O28" si="9">+N23-L23</f>
        <v>0</v>
      </c>
      <c r="P23" s="4"/>
    </row>
    <row r="24" spans="2:16">
      <c r="B24" s="9" t="str">
        <f t="shared" si="4"/>
        <v/>
      </c>
      <c r="C24" s="153">
        <f>IF(D11="","-",+C23+1)</f>
        <v>2014</v>
      </c>
      <c r="D24" s="396">
        <v>312008.81416957028</v>
      </c>
      <c r="E24" s="397">
        <v>8860.6904761904771</v>
      </c>
      <c r="F24" s="396">
        <v>303148.12369337981</v>
      </c>
      <c r="G24" s="397">
        <v>49758.557918696577</v>
      </c>
      <c r="H24" s="395">
        <v>49758.557918696577</v>
      </c>
      <c r="I24" s="398">
        <v>0</v>
      </c>
      <c r="J24" s="156"/>
      <c r="K24" s="258">
        <f t="shared" si="5"/>
        <v>49758.557918696577</v>
      </c>
      <c r="L24" s="257">
        <f t="shared" si="7"/>
        <v>0</v>
      </c>
      <c r="M24" s="258">
        <f t="shared" si="6"/>
        <v>49758.557918696577</v>
      </c>
      <c r="N24" s="158">
        <f t="shared" si="8"/>
        <v>0</v>
      </c>
      <c r="O24" s="158">
        <f t="shared" si="9"/>
        <v>0</v>
      </c>
      <c r="P24" s="4"/>
    </row>
    <row r="25" spans="2:16">
      <c r="B25" s="9" t="str">
        <f t="shared" si="4"/>
        <v/>
      </c>
      <c r="C25" s="153">
        <f>IF(D11="","-",+C24+1)</f>
        <v>2015</v>
      </c>
      <c r="D25" s="396">
        <v>303148.12369337981</v>
      </c>
      <c r="E25" s="397">
        <v>8860.6904761904771</v>
      </c>
      <c r="F25" s="396">
        <v>294287.43321718933</v>
      </c>
      <c r="G25" s="397">
        <v>47619.758297536755</v>
      </c>
      <c r="H25" s="395">
        <v>47619.758297536755</v>
      </c>
      <c r="I25" s="156">
        <v>0</v>
      </c>
      <c r="J25" s="156"/>
      <c r="K25" s="258">
        <f t="shared" si="5"/>
        <v>47619.758297536755</v>
      </c>
      <c r="L25" s="257">
        <f t="shared" si="7"/>
        <v>0</v>
      </c>
      <c r="M25" s="258">
        <f t="shared" si="6"/>
        <v>47619.758297536755</v>
      </c>
      <c r="N25" s="158">
        <f t="shared" si="8"/>
        <v>0</v>
      </c>
      <c r="O25" s="158">
        <f t="shared" si="9"/>
        <v>0</v>
      </c>
      <c r="P25" s="4"/>
    </row>
    <row r="26" spans="2:16">
      <c r="B26" s="9" t="str">
        <f t="shared" si="4"/>
        <v/>
      </c>
      <c r="C26" s="153">
        <f>IF(D11="","-",+C25+1)</f>
        <v>2016</v>
      </c>
      <c r="D26" s="396">
        <v>294287.43321718933</v>
      </c>
      <c r="E26" s="397">
        <v>8860.6904761904771</v>
      </c>
      <c r="F26" s="396">
        <v>285426.74274099886</v>
      </c>
      <c r="G26" s="397">
        <v>45988.994041670856</v>
      </c>
      <c r="H26" s="395">
        <v>45988.994041670856</v>
      </c>
      <c r="I26" s="156">
        <f t="shared" si="0"/>
        <v>0</v>
      </c>
      <c r="J26" s="156"/>
      <c r="K26" s="258">
        <f>G26</f>
        <v>45988.994041670856</v>
      </c>
      <c r="L26" s="257">
        <f t="shared" si="7"/>
        <v>0</v>
      </c>
      <c r="M26" s="258">
        <f>H26</f>
        <v>45988.994041670856</v>
      </c>
      <c r="N26" s="158">
        <f t="shared" si="8"/>
        <v>0</v>
      </c>
      <c r="O26" s="158">
        <f t="shared" si="9"/>
        <v>0</v>
      </c>
      <c r="P26" s="4"/>
    </row>
    <row r="27" spans="2:16">
      <c r="B27" s="9" t="str">
        <f t="shared" si="4"/>
        <v/>
      </c>
      <c r="C27" s="153">
        <f>IF(D11="","-",+C26+1)</f>
        <v>2017</v>
      </c>
      <c r="D27" s="396">
        <v>285426.74274099886</v>
      </c>
      <c r="E27" s="397">
        <v>8654.6279069767443</v>
      </c>
      <c r="F27" s="396">
        <v>276772.11483402213</v>
      </c>
      <c r="G27" s="397">
        <v>43480.748337588419</v>
      </c>
      <c r="H27" s="395">
        <v>43480.748337588419</v>
      </c>
      <c r="I27" s="156">
        <v>0</v>
      </c>
      <c r="J27" s="156"/>
      <c r="K27" s="258">
        <f>G27</f>
        <v>43480.748337588419</v>
      </c>
      <c r="L27" s="257">
        <f t="shared" si="7"/>
        <v>0</v>
      </c>
      <c r="M27" s="258">
        <f>H27</f>
        <v>43480.748337588419</v>
      </c>
      <c r="N27" s="158">
        <f t="shared" si="8"/>
        <v>0</v>
      </c>
      <c r="O27" s="158">
        <f t="shared" si="9"/>
        <v>0</v>
      </c>
      <c r="P27" s="4"/>
    </row>
    <row r="28" spans="2:16">
      <c r="B28" s="9" t="str">
        <f t="shared" si="4"/>
        <v/>
      </c>
      <c r="C28" s="153">
        <f>IF(D11="","-",+C27+1)</f>
        <v>2018</v>
      </c>
      <c r="D28" s="396">
        <v>276772.11483402213</v>
      </c>
      <c r="E28" s="397">
        <v>9076.8048780487807</v>
      </c>
      <c r="F28" s="396">
        <v>267695.30995597335</v>
      </c>
      <c r="G28" s="397">
        <v>39535.458735261971</v>
      </c>
      <c r="H28" s="395">
        <v>39535.458735261971</v>
      </c>
      <c r="I28" s="156">
        <f t="shared" si="0"/>
        <v>0</v>
      </c>
      <c r="J28" s="156"/>
      <c r="K28" s="258">
        <f>G28</f>
        <v>39535.458735261971</v>
      </c>
      <c r="L28" s="257">
        <f t="shared" si="7"/>
        <v>0</v>
      </c>
      <c r="M28" s="258">
        <f>H28</f>
        <v>39535.458735261971</v>
      </c>
      <c r="N28" s="158">
        <f t="shared" si="8"/>
        <v>0</v>
      </c>
      <c r="O28" s="158">
        <f t="shared" si="9"/>
        <v>0</v>
      </c>
      <c r="P28" s="4"/>
    </row>
    <row r="29" spans="2:16">
      <c r="B29" s="9" t="str">
        <f t="shared" si="4"/>
        <v/>
      </c>
      <c r="C29" s="153">
        <f>IF(D11="","-",+C28+1)</f>
        <v>2019</v>
      </c>
      <c r="D29" s="159">
        <f>IF(F28+SUM(E$17:E28)=D$10,F28,D$10-SUM(E$17:E28))</f>
        <v>267695.30995597335</v>
      </c>
      <c r="E29" s="160">
        <f>IF(+I14&lt;F28,I14,D29)</f>
        <v>8654.6279069767443</v>
      </c>
      <c r="F29" s="159">
        <f t="shared" ref="F29:F48" si="10">+D29-E29</f>
        <v>259040.68204899662</v>
      </c>
      <c r="G29" s="161">
        <f t="shared" ref="G29:G72" si="11">+I$12*((D29+F29)/2)+E29</f>
        <v>34874.405853202261</v>
      </c>
      <c r="H29" s="142">
        <f t="shared" ref="H29:H72" si="12">+I$13*((D29+F29)/2)+E29</f>
        <v>34874.405853202261</v>
      </c>
      <c r="I29" s="156">
        <f t="shared" si="0"/>
        <v>0</v>
      </c>
      <c r="J29" s="156"/>
      <c r="K29" s="334"/>
      <c r="L29" s="158">
        <f t="shared" si="1"/>
        <v>0</v>
      </c>
      <c r="M29" s="334"/>
      <c r="N29" s="158">
        <f t="shared" si="2"/>
        <v>0</v>
      </c>
      <c r="O29" s="158">
        <f t="shared" si="3"/>
        <v>0</v>
      </c>
      <c r="P29" s="4"/>
    </row>
    <row r="30" spans="2:16">
      <c r="B30" s="9" t="str">
        <f t="shared" si="4"/>
        <v/>
      </c>
      <c r="C30" s="153">
        <f>IF(D11="","-",+C29+1)</f>
        <v>2020</v>
      </c>
      <c r="D30" s="159">
        <f>IF(F29+SUM(E$17:E29)=D$10,F29,D$10-SUM(E$17:E29))</f>
        <v>259040.68204899662</v>
      </c>
      <c r="E30" s="160">
        <f>IF(+I14&lt;F29,I14,D30)</f>
        <v>8654.6279069767443</v>
      </c>
      <c r="F30" s="159">
        <f t="shared" si="10"/>
        <v>250386.05414201989</v>
      </c>
      <c r="G30" s="161">
        <f t="shared" si="11"/>
        <v>34012.788552040147</v>
      </c>
      <c r="H30" s="142">
        <f t="shared" si="12"/>
        <v>34012.788552040147</v>
      </c>
      <c r="I30" s="156">
        <f t="shared" si="0"/>
        <v>0</v>
      </c>
      <c r="J30" s="156"/>
      <c r="K30" s="334"/>
      <c r="L30" s="158">
        <f t="shared" si="1"/>
        <v>0</v>
      </c>
      <c r="M30" s="334"/>
      <c r="N30" s="158">
        <f t="shared" si="2"/>
        <v>0</v>
      </c>
      <c r="O30" s="158">
        <f t="shared" si="3"/>
        <v>0</v>
      </c>
      <c r="P30" s="4"/>
    </row>
    <row r="31" spans="2:16">
      <c r="B31" s="9" t="str">
        <f t="shared" si="4"/>
        <v/>
      </c>
      <c r="C31" s="153">
        <f>IF(D11="","-",+C30+1)</f>
        <v>2021</v>
      </c>
      <c r="D31" s="159">
        <f>IF(F30+SUM(E$17:E30)=D$10,F30,D$10-SUM(E$17:E30))</f>
        <v>250386.05414201989</v>
      </c>
      <c r="E31" s="160">
        <f>IF(+I14&lt;F30,I14,D31)</f>
        <v>8654.6279069767443</v>
      </c>
      <c r="F31" s="159">
        <f t="shared" si="10"/>
        <v>241731.42623504315</v>
      </c>
      <c r="G31" s="161">
        <f t="shared" si="11"/>
        <v>33151.171250878033</v>
      </c>
      <c r="H31" s="142">
        <f t="shared" si="12"/>
        <v>33151.171250878033</v>
      </c>
      <c r="I31" s="156">
        <f t="shared" si="0"/>
        <v>0</v>
      </c>
      <c r="J31" s="156"/>
      <c r="K31" s="334"/>
      <c r="L31" s="158">
        <f t="shared" si="1"/>
        <v>0</v>
      </c>
      <c r="M31" s="334"/>
      <c r="N31" s="158">
        <f t="shared" si="2"/>
        <v>0</v>
      </c>
      <c r="O31" s="158">
        <f t="shared" si="3"/>
        <v>0</v>
      </c>
      <c r="P31" s="4"/>
    </row>
    <row r="32" spans="2:16">
      <c r="B32" s="9" t="str">
        <f t="shared" si="4"/>
        <v/>
      </c>
      <c r="C32" s="153">
        <f>IF(D11="","-",+C31+1)</f>
        <v>2022</v>
      </c>
      <c r="D32" s="159">
        <f>IF(F31+SUM(E$17:E31)=D$10,F31,D$10-SUM(E$17:E31))</f>
        <v>241731.42623504315</v>
      </c>
      <c r="E32" s="160">
        <f>IF(+I14&lt;F31,I14,D32)</f>
        <v>8654.6279069767443</v>
      </c>
      <c r="F32" s="159">
        <f t="shared" si="10"/>
        <v>233076.79832806642</v>
      </c>
      <c r="G32" s="161">
        <f t="shared" si="11"/>
        <v>32289.553949715912</v>
      </c>
      <c r="H32" s="142">
        <f t="shared" si="12"/>
        <v>32289.553949715912</v>
      </c>
      <c r="I32" s="156">
        <f t="shared" si="0"/>
        <v>0</v>
      </c>
      <c r="J32" s="156"/>
      <c r="K32" s="334"/>
      <c r="L32" s="158">
        <f t="shared" si="1"/>
        <v>0</v>
      </c>
      <c r="M32" s="334"/>
      <c r="N32" s="158">
        <f t="shared" si="2"/>
        <v>0</v>
      </c>
      <c r="O32" s="158">
        <f t="shared" si="3"/>
        <v>0</v>
      </c>
      <c r="P32" s="4"/>
    </row>
    <row r="33" spans="2:16">
      <c r="B33" s="9" t="str">
        <f t="shared" si="4"/>
        <v/>
      </c>
      <c r="C33" s="153">
        <f>IF(D11="","-",+C32+1)</f>
        <v>2023</v>
      </c>
      <c r="D33" s="159">
        <f>IF(F32+SUM(E$17:E32)=D$10,F32,D$10-SUM(E$17:E32))</f>
        <v>233076.79832806642</v>
      </c>
      <c r="E33" s="160">
        <f>IF(+I14&lt;F32,I14,D33)</f>
        <v>8654.6279069767443</v>
      </c>
      <c r="F33" s="159">
        <f t="shared" si="10"/>
        <v>224422.17042108969</v>
      </c>
      <c r="G33" s="161">
        <f t="shared" si="11"/>
        <v>31427.936648553794</v>
      </c>
      <c r="H33" s="142">
        <f t="shared" si="12"/>
        <v>31427.936648553794</v>
      </c>
      <c r="I33" s="156">
        <f t="shared" si="0"/>
        <v>0</v>
      </c>
      <c r="J33" s="156"/>
      <c r="K33" s="334"/>
      <c r="L33" s="158">
        <f t="shared" si="1"/>
        <v>0</v>
      </c>
      <c r="M33" s="334"/>
      <c r="N33" s="158">
        <f t="shared" si="2"/>
        <v>0</v>
      </c>
      <c r="O33" s="158">
        <f t="shared" si="3"/>
        <v>0</v>
      </c>
      <c r="P33" s="4"/>
    </row>
    <row r="34" spans="2:16">
      <c r="B34" s="9" t="str">
        <f t="shared" si="4"/>
        <v/>
      </c>
      <c r="C34" s="153">
        <f>IF(D11="","-",+C33+1)</f>
        <v>2024</v>
      </c>
      <c r="D34" s="159">
        <f>IF(F33+SUM(E$17:E33)=D$10,F33,D$10-SUM(E$17:E33))</f>
        <v>224422.17042108969</v>
      </c>
      <c r="E34" s="160">
        <f>IF(+I14&lt;F33,I14,D34)</f>
        <v>8654.6279069767443</v>
      </c>
      <c r="F34" s="159">
        <f t="shared" si="10"/>
        <v>215767.54251411295</v>
      </c>
      <c r="G34" s="161">
        <f t="shared" si="11"/>
        <v>30566.319347391676</v>
      </c>
      <c r="H34" s="142">
        <f t="shared" si="12"/>
        <v>30566.319347391676</v>
      </c>
      <c r="I34" s="156">
        <f t="shared" si="0"/>
        <v>0</v>
      </c>
      <c r="J34" s="156"/>
      <c r="K34" s="334"/>
      <c r="L34" s="158">
        <f t="shared" si="1"/>
        <v>0</v>
      </c>
      <c r="M34" s="334"/>
      <c r="N34" s="158">
        <f t="shared" si="2"/>
        <v>0</v>
      </c>
      <c r="O34" s="158">
        <f t="shared" si="3"/>
        <v>0</v>
      </c>
      <c r="P34" s="4"/>
    </row>
    <row r="35" spans="2:16">
      <c r="B35" s="9" t="str">
        <f t="shared" si="4"/>
        <v/>
      </c>
      <c r="C35" s="153">
        <f>IF(D11="","-",+C34+1)</f>
        <v>2025</v>
      </c>
      <c r="D35" s="159">
        <f>IF(F34+SUM(E$17:E34)=D$10,F34,D$10-SUM(E$17:E34))</f>
        <v>215767.54251411295</v>
      </c>
      <c r="E35" s="160">
        <f>IF(+I14&lt;F34,I14,D35)</f>
        <v>8654.6279069767443</v>
      </c>
      <c r="F35" s="159">
        <f t="shared" si="10"/>
        <v>207112.91460713622</v>
      </c>
      <c r="G35" s="161">
        <f t="shared" si="11"/>
        <v>29704.702046229559</v>
      </c>
      <c r="H35" s="142">
        <f t="shared" si="12"/>
        <v>29704.702046229559</v>
      </c>
      <c r="I35" s="156">
        <f t="shared" si="0"/>
        <v>0</v>
      </c>
      <c r="J35" s="156"/>
      <c r="K35" s="334"/>
      <c r="L35" s="158">
        <f t="shared" si="1"/>
        <v>0</v>
      </c>
      <c r="M35" s="334"/>
      <c r="N35" s="158">
        <f t="shared" si="2"/>
        <v>0</v>
      </c>
      <c r="O35" s="158">
        <f t="shared" si="3"/>
        <v>0</v>
      </c>
      <c r="P35" s="4"/>
    </row>
    <row r="36" spans="2:16">
      <c r="B36" s="9" t="str">
        <f t="shared" si="4"/>
        <v/>
      </c>
      <c r="C36" s="153">
        <f>IF(D11="","-",+C35+1)</f>
        <v>2026</v>
      </c>
      <c r="D36" s="159">
        <f>IF(F35+SUM(E$17:E35)=D$10,F35,D$10-SUM(E$17:E35))</f>
        <v>207112.91460713622</v>
      </c>
      <c r="E36" s="160">
        <f>IF(+I14&lt;F35,I14,D36)</f>
        <v>8654.6279069767443</v>
      </c>
      <c r="F36" s="159">
        <f t="shared" si="10"/>
        <v>198458.28670015949</v>
      </c>
      <c r="G36" s="161">
        <f t="shared" si="11"/>
        <v>28843.084745067441</v>
      </c>
      <c r="H36" s="142">
        <f t="shared" si="12"/>
        <v>28843.084745067441</v>
      </c>
      <c r="I36" s="156">
        <f t="shared" si="0"/>
        <v>0</v>
      </c>
      <c r="J36" s="156"/>
      <c r="K36" s="334"/>
      <c r="L36" s="158">
        <f t="shared" si="1"/>
        <v>0</v>
      </c>
      <c r="M36" s="334"/>
      <c r="N36" s="158">
        <f t="shared" si="2"/>
        <v>0</v>
      </c>
      <c r="O36" s="158">
        <f t="shared" si="3"/>
        <v>0</v>
      </c>
      <c r="P36" s="4"/>
    </row>
    <row r="37" spans="2:16">
      <c r="B37" s="9" t="str">
        <f t="shared" si="4"/>
        <v/>
      </c>
      <c r="C37" s="153">
        <f>IF(D11="","-",+C36+1)</f>
        <v>2027</v>
      </c>
      <c r="D37" s="159">
        <f>IF(F36+SUM(E$17:E36)=D$10,F36,D$10-SUM(E$17:E36))</f>
        <v>198458.28670015949</v>
      </c>
      <c r="E37" s="160">
        <f>IF(+I14&lt;F36,I14,D37)</f>
        <v>8654.6279069767443</v>
      </c>
      <c r="F37" s="159">
        <f t="shared" si="10"/>
        <v>189803.65879318275</v>
      </c>
      <c r="G37" s="161">
        <f t="shared" si="11"/>
        <v>27981.467443905323</v>
      </c>
      <c r="H37" s="142">
        <f t="shared" si="12"/>
        <v>27981.467443905323</v>
      </c>
      <c r="I37" s="156">
        <f t="shared" si="0"/>
        <v>0</v>
      </c>
      <c r="J37" s="156"/>
      <c r="K37" s="334"/>
      <c r="L37" s="158">
        <f t="shared" si="1"/>
        <v>0</v>
      </c>
      <c r="M37" s="334"/>
      <c r="N37" s="158">
        <f t="shared" si="2"/>
        <v>0</v>
      </c>
      <c r="O37" s="158">
        <f t="shared" si="3"/>
        <v>0</v>
      </c>
      <c r="P37" s="4"/>
    </row>
    <row r="38" spans="2:16">
      <c r="B38" s="9" t="str">
        <f t="shared" si="4"/>
        <v/>
      </c>
      <c r="C38" s="153">
        <f>IF(D11="","-",+C37+1)</f>
        <v>2028</v>
      </c>
      <c r="D38" s="159">
        <f>IF(F37+SUM(E$17:E37)=D$10,F37,D$10-SUM(E$17:E37))</f>
        <v>189803.65879318275</v>
      </c>
      <c r="E38" s="160">
        <f>IF(+I14&lt;F37,I14,D38)</f>
        <v>8654.6279069767443</v>
      </c>
      <c r="F38" s="159">
        <f t="shared" si="10"/>
        <v>181149.03088620602</v>
      </c>
      <c r="G38" s="161">
        <f t="shared" si="11"/>
        <v>27119.850142743206</v>
      </c>
      <c r="H38" s="142">
        <f t="shared" si="12"/>
        <v>27119.850142743206</v>
      </c>
      <c r="I38" s="156">
        <f t="shared" si="0"/>
        <v>0</v>
      </c>
      <c r="J38" s="156"/>
      <c r="K38" s="334"/>
      <c r="L38" s="158">
        <f t="shared" si="1"/>
        <v>0</v>
      </c>
      <c r="M38" s="334"/>
      <c r="N38" s="158">
        <f t="shared" si="2"/>
        <v>0</v>
      </c>
      <c r="O38" s="158">
        <f t="shared" si="3"/>
        <v>0</v>
      </c>
      <c r="P38" s="4"/>
    </row>
    <row r="39" spans="2:16">
      <c r="B39" s="9" t="str">
        <f t="shared" si="4"/>
        <v/>
      </c>
      <c r="C39" s="153">
        <f>IF(D11="","-",+C38+1)</f>
        <v>2029</v>
      </c>
      <c r="D39" s="159">
        <f>IF(F38+SUM(E$17:E38)=D$10,F38,D$10-SUM(E$17:E38))</f>
        <v>181149.03088620602</v>
      </c>
      <c r="E39" s="160">
        <f>IF(+I14&lt;F38,I14,D39)</f>
        <v>8654.6279069767443</v>
      </c>
      <c r="F39" s="159">
        <f t="shared" si="10"/>
        <v>172494.40297922929</v>
      </c>
      <c r="G39" s="161">
        <f t="shared" si="11"/>
        <v>26258.232841581088</v>
      </c>
      <c r="H39" s="142">
        <f t="shared" si="12"/>
        <v>26258.232841581088</v>
      </c>
      <c r="I39" s="156">
        <f t="shared" si="0"/>
        <v>0</v>
      </c>
      <c r="J39" s="156"/>
      <c r="K39" s="334"/>
      <c r="L39" s="158">
        <f t="shared" si="1"/>
        <v>0</v>
      </c>
      <c r="M39" s="334"/>
      <c r="N39" s="158">
        <f t="shared" si="2"/>
        <v>0</v>
      </c>
      <c r="O39" s="158">
        <f t="shared" si="3"/>
        <v>0</v>
      </c>
      <c r="P39" s="4"/>
    </row>
    <row r="40" spans="2:16">
      <c r="B40" s="9" t="str">
        <f t="shared" si="4"/>
        <v/>
      </c>
      <c r="C40" s="153">
        <f>IF(D11="","-",+C39+1)</f>
        <v>2030</v>
      </c>
      <c r="D40" s="159">
        <f>IF(F39+SUM(E$17:E39)=D$10,F39,D$10-SUM(E$17:E39))</f>
        <v>172494.40297922929</v>
      </c>
      <c r="E40" s="160">
        <f>IF(+I14&lt;F39,I14,D40)</f>
        <v>8654.6279069767443</v>
      </c>
      <c r="F40" s="159">
        <f t="shared" si="10"/>
        <v>163839.77507225255</v>
      </c>
      <c r="G40" s="161">
        <f t="shared" si="11"/>
        <v>25396.61554041897</v>
      </c>
      <c r="H40" s="142">
        <f t="shared" si="12"/>
        <v>25396.61554041897</v>
      </c>
      <c r="I40" s="156">
        <f t="shared" si="0"/>
        <v>0</v>
      </c>
      <c r="J40" s="156"/>
      <c r="K40" s="334"/>
      <c r="L40" s="158">
        <f t="shared" si="1"/>
        <v>0</v>
      </c>
      <c r="M40" s="334"/>
      <c r="N40" s="158">
        <f t="shared" si="2"/>
        <v>0</v>
      </c>
      <c r="O40" s="158">
        <f t="shared" si="3"/>
        <v>0</v>
      </c>
      <c r="P40" s="4"/>
    </row>
    <row r="41" spans="2:16">
      <c r="B41" s="9" t="str">
        <f t="shared" si="4"/>
        <v/>
      </c>
      <c r="C41" s="153">
        <f>IF(D11="","-",+C40+1)</f>
        <v>2031</v>
      </c>
      <c r="D41" s="159">
        <f>IF(F40+SUM(E$17:E40)=D$10,F40,D$10-SUM(E$17:E40))</f>
        <v>163839.77507225255</v>
      </c>
      <c r="E41" s="160">
        <f>IF(+I14&lt;F40,I14,D41)</f>
        <v>8654.6279069767443</v>
      </c>
      <c r="F41" s="159">
        <f t="shared" si="10"/>
        <v>155185.14716527582</v>
      </c>
      <c r="G41" s="161">
        <f t="shared" si="11"/>
        <v>24534.998239256856</v>
      </c>
      <c r="H41" s="142">
        <f t="shared" si="12"/>
        <v>24534.998239256856</v>
      </c>
      <c r="I41" s="156">
        <f t="shared" si="0"/>
        <v>0</v>
      </c>
      <c r="J41" s="156"/>
      <c r="K41" s="334"/>
      <c r="L41" s="158">
        <f t="shared" si="1"/>
        <v>0</v>
      </c>
      <c r="M41" s="334"/>
      <c r="N41" s="158">
        <f t="shared" si="2"/>
        <v>0</v>
      </c>
      <c r="O41" s="158">
        <f t="shared" si="3"/>
        <v>0</v>
      </c>
      <c r="P41" s="4"/>
    </row>
    <row r="42" spans="2:16">
      <c r="B42" s="9" t="str">
        <f t="shared" si="4"/>
        <v/>
      </c>
      <c r="C42" s="153">
        <f>IF(D11="","-",+C41+1)</f>
        <v>2032</v>
      </c>
      <c r="D42" s="159">
        <f>IF(F41+SUM(E$17:E41)=D$10,F41,D$10-SUM(E$17:E41))</f>
        <v>155185.14716527582</v>
      </c>
      <c r="E42" s="160">
        <f>IF(+I14&lt;F41,I14,D42)</f>
        <v>8654.6279069767443</v>
      </c>
      <c r="F42" s="159">
        <f t="shared" si="10"/>
        <v>146530.51925829909</v>
      </c>
      <c r="G42" s="161">
        <f t="shared" si="11"/>
        <v>23673.380938094735</v>
      </c>
      <c r="H42" s="142">
        <f t="shared" si="12"/>
        <v>23673.380938094735</v>
      </c>
      <c r="I42" s="156">
        <f t="shared" si="0"/>
        <v>0</v>
      </c>
      <c r="J42" s="156"/>
      <c r="K42" s="334"/>
      <c r="L42" s="158">
        <f t="shared" si="1"/>
        <v>0</v>
      </c>
      <c r="M42" s="334"/>
      <c r="N42" s="158">
        <f t="shared" si="2"/>
        <v>0</v>
      </c>
      <c r="O42" s="158">
        <f t="shared" si="3"/>
        <v>0</v>
      </c>
      <c r="P42" s="4"/>
    </row>
    <row r="43" spans="2:16">
      <c r="B43" s="9" t="str">
        <f t="shared" si="4"/>
        <v/>
      </c>
      <c r="C43" s="153">
        <f>IF(D11="","-",+C42+1)</f>
        <v>2033</v>
      </c>
      <c r="D43" s="159">
        <f>IF(F42+SUM(E$17:E42)=D$10,F42,D$10-SUM(E$17:E42))</f>
        <v>146530.51925829909</v>
      </c>
      <c r="E43" s="160">
        <f>IF(+I14&lt;F42,I14,D43)</f>
        <v>8654.6279069767443</v>
      </c>
      <c r="F43" s="159">
        <f t="shared" si="10"/>
        <v>137875.89135132235</v>
      </c>
      <c r="G43" s="161">
        <f t="shared" si="11"/>
        <v>22811.763636932621</v>
      </c>
      <c r="H43" s="142">
        <f t="shared" si="12"/>
        <v>22811.763636932621</v>
      </c>
      <c r="I43" s="156">
        <f t="shared" si="0"/>
        <v>0</v>
      </c>
      <c r="J43" s="156"/>
      <c r="K43" s="334"/>
      <c r="L43" s="158">
        <f t="shared" si="1"/>
        <v>0</v>
      </c>
      <c r="M43" s="334"/>
      <c r="N43" s="158">
        <f t="shared" si="2"/>
        <v>0</v>
      </c>
      <c r="O43" s="158">
        <f t="shared" si="3"/>
        <v>0</v>
      </c>
      <c r="P43" s="4"/>
    </row>
    <row r="44" spans="2:16">
      <c r="B44" s="9" t="str">
        <f t="shared" si="4"/>
        <v/>
      </c>
      <c r="C44" s="153">
        <f>IF(D11="","-",+C43+1)</f>
        <v>2034</v>
      </c>
      <c r="D44" s="159">
        <f>IF(F43+SUM(E$17:E43)=D$10,F43,D$10-SUM(E$17:E43))</f>
        <v>137875.89135132235</v>
      </c>
      <c r="E44" s="160">
        <f>IF(+I14&lt;F43,I14,D44)</f>
        <v>8654.6279069767443</v>
      </c>
      <c r="F44" s="159">
        <f t="shared" si="10"/>
        <v>129221.2634443456</v>
      </c>
      <c r="G44" s="161">
        <f t="shared" si="11"/>
        <v>21950.1463357705</v>
      </c>
      <c r="H44" s="142">
        <f t="shared" si="12"/>
        <v>21950.1463357705</v>
      </c>
      <c r="I44" s="156">
        <f t="shared" si="0"/>
        <v>0</v>
      </c>
      <c r="J44" s="156"/>
      <c r="K44" s="334"/>
      <c r="L44" s="158">
        <f t="shared" si="1"/>
        <v>0</v>
      </c>
      <c r="M44" s="334"/>
      <c r="N44" s="158">
        <f t="shared" si="2"/>
        <v>0</v>
      </c>
      <c r="O44" s="158">
        <f t="shared" si="3"/>
        <v>0</v>
      </c>
      <c r="P44" s="4"/>
    </row>
    <row r="45" spans="2:16">
      <c r="B45" s="9" t="str">
        <f t="shared" si="4"/>
        <v/>
      </c>
      <c r="C45" s="153">
        <f>IF(D11="","-",+C44+1)</f>
        <v>2035</v>
      </c>
      <c r="D45" s="159">
        <f>IF(F44+SUM(E$17:E44)=D$10,F44,D$10-SUM(E$17:E44))</f>
        <v>129221.2634443456</v>
      </c>
      <c r="E45" s="160">
        <f>IF(+I14&lt;F44,I14,D45)</f>
        <v>8654.6279069767443</v>
      </c>
      <c r="F45" s="159">
        <f t="shared" si="10"/>
        <v>120566.63553736886</v>
      </c>
      <c r="G45" s="161">
        <f t="shared" si="11"/>
        <v>21088.529034608378</v>
      </c>
      <c r="H45" s="142">
        <f t="shared" si="12"/>
        <v>21088.529034608378</v>
      </c>
      <c r="I45" s="156">
        <f t="shared" si="0"/>
        <v>0</v>
      </c>
      <c r="J45" s="156"/>
      <c r="K45" s="334"/>
      <c r="L45" s="158">
        <f t="shared" si="1"/>
        <v>0</v>
      </c>
      <c r="M45" s="334"/>
      <c r="N45" s="158">
        <f t="shared" si="2"/>
        <v>0</v>
      </c>
      <c r="O45" s="158">
        <f t="shared" si="3"/>
        <v>0</v>
      </c>
      <c r="P45" s="4"/>
    </row>
    <row r="46" spans="2:16">
      <c r="B46" s="9" t="str">
        <f t="shared" si="4"/>
        <v/>
      </c>
      <c r="C46" s="153">
        <f>IF(D11="","-",+C45+1)</f>
        <v>2036</v>
      </c>
      <c r="D46" s="159">
        <f>IF(F45+SUM(E$17:E45)=D$10,F45,D$10-SUM(E$17:E45))</f>
        <v>120566.63553736886</v>
      </c>
      <c r="E46" s="160">
        <f>IF(+I14&lt;F45,I14,D46)</f>
        <v>8654.6279069767443</v>
      </c>
      <c r="F46" s="159">
        <f t="shared" si="10"/>
        <v>111912.00763039211</v>
      </c>
      <c r="G46" s="161">
        <f t="shared" si="11"/>
        <v>20226.911733446264</v>
      </c>
      <c r="H46" s="142">
        <f t="shared" si="12"/>
        <v>20226.911733446264</v>
      </c>
      <c r="I46" s="156">
        <f t="shared" si="0"/>
        <v>0</v>
      </c>
      <c r="J46" s="156"/>
      <c r="K46" s="334"/>
      <c r="L46" s="158">
        <f t="shared" si="1"/>
        <v>0</v>
      </c>
      <c r="M46" s="334"/>
      <c r="N46" s="158">
        <f t="shared" si="2"/>
        <v>0</v>
      </c>
      <c r="O46" s="158">
        <f t="shared" si="3"/>
        <v>0</v>
      </c>
      <c r="P46" s="4"/>
    </row>
    <row r="47" spans="2:16">
      <c r="B47" s="9" t="str">
        <f t="shared" si="4"/>
        <v/>
      </c>
      <c r="C47" s="153">
        <f>IF(D11="","-",+C46+1)</f>
        <v>2037</v>
      </c>
      <c r="D47" s="159">
        <f>IF(F46+SUM(E$17:E46)=D$10,F46,D$10-SUM(E$17:E46))</f>
        <v>111912.00763039211</v>
      </c>
      <c r="E47" s="160">
        <f>IF(+I14&lt;F46,I14,D47)</f>
        <v>8654.6279069767443</v>
      </c>
      <c r="F47" s="159">
        <f t="shared" si="10"/>
        <v>103257.37972341536</v>
      </c>
      <c r="G47" s="161">
        <f t="shared" si="11"/>
        <v>19365.294432284143</v>
      </c>
      <c r="H47" s="142">
        <f t="shared" si="12"/>
        <v>19365.294432284143</v>
      </c>
      <c r="I47" s="156">
        <f t="shared" si="0"/>
        <v>0</v>
      </c>
      <c r="J47" s="156"/>
      <c r="K47" s="334"/>
      <c r="L47" s="158">
        <f t="shared" si="1"/>
        <v>0</v>
      </c>
      <c r="M47" s="334"/>
      <c r="N47" s="158">
        <f t="shared" si="2"/>
        <v>0</v>
      </c>
      <c r="O47" s="158">
        <f t="shared" si="3"/>
        <v>0</v>
      </c>
      <c r="P47" s="4"/>
    </row>
    <row r="48" spans="2:16">
      <c r="B48" s="9" t="str">
        <f t="shared" si="4"/>
        <v/>
      </c>
      <c r="C48" s="153">
        <f>IF(D11="","-",+C47+1)</f>
        <v>2038</v>
      </c>
      <c r="D48" s="159">
        <f>IF(F47+SUM(E$17:E47)=D$10,F47,D$10-SUM(E$17:E47))</f>
        <v>103257.37972341536</v>
      </c>
      <c r="E48" s="160">
        <f>IF(+I14&lt;F47,I14,D48)</f>
        <v>8654.6279069767443</v>
      </c>
      <c r="F48" s="159">
        <f t="shared" si="10"/>
        <v>94602.751816438613</v>
      </c>
      <c r="G48" s="161">
        <f t="shared" si="11"/>
        <v>18503.677131122025</v>
      </c>
      <c r="H48" s="142">
        <f t="shared" si="12"/>
        <v>18503.677131122025</v>
      </c>
      <c r="I48" s="156">
        <f t="shared" si="0"/>
        <v>0</v>
      </c>
      <c r="J48" s="156"/>
      <c r="K48" s="334"/>
      <c r="L48" s="158">
        <f t="shared" si="1"/>
        <v>0</v>
      </c>
      <c r="M48" s="334"/>
      <c r="N48" s="158">
        <f t="shared" si="2"/>
        <v>0</v>
      </c>
      <c r="O48" s="158">
        <f t="shared" si="3"/>
        <v>0</v>
      </c>
      <c r="P48" s="4"/>
    </row>
    <row r="49" spans="2:17">
      <c r="B49" s="9" t="str">
        <f t="shared" si="4"/>
        <v/>
      </c>
      <c r="C49" s="153">
        <f>IF(D11="","-",+C48+1)</f>
        <v>2039</v>
      </c>
      <c r="D49" s="159">
        <f>IF(F48+SUM(E$17:E48)=D$10,F48,D$10-SUM(E$17:E48))</f>
        <v>94602.751816438613</v>
      </c>
      <c r="E49" s="160">
        <f>IF(+I14&lt;F48,I14,D49)</f>
        <v>8654.6279069767443</v>
      </c>
      <c r="F49" s="159">
        <f t="shared" ref="F49:F72" si="13">+D49-E49</f>
        <v>85948.123909461865</v>
      </c>
      <c r="G49" s="161">
        <f t="shared" si="11"/>
        <v>17642.059829959904</v>
      </c>
      <c r="H49" s="142">
        <f t="shared" si="12"/>
        <v>17642.059829959904</v>
      </c>
      <c r="I49" s="156">
        <f t="shared" ref="I49:I72" si="14">H49-G49</f>
        <v>0</v>
      </c>
      <c r="J49" s="156"/>
      <c r="K49" s="334"/>
      <c r="L49" s="158">
        <f t="shared" ref="L49:L72" si="15">IF(K49&lt;&gt;0,+G49-K49,0)</f>
        <v>0</v>
      </c>
      <c r="M49" s="334"/>
      <c r="N49" s="158">
        <f t="shared" ref="N49:N72" si="16">IF(M49&lt;&gt;0,+H49-M49,0)</f>
        <v>0</v>
      </c>
      <c r="O49" s="158">
        <f t="shared" ref="O49:O72" si="17">+N49-L49</f>
        <v>0</v>
      </c>
      <c r="P49" s="4"/>
    </row>
    <row r="50" spans="2:17">
      <c r="B50" s="9" t="str">
        <f t="shared" si="4"/>
        <v/>
      </c>
      <c r="C50" s="153">
        <f>IF(D11="","-",+C49+1)</f>
        <v>2040</v>
      </c>
      <c r="D50" s="159">
        <f>IF(F49+SUM(E$17:E49)=D$10,F49,D$10-SUM(E$17:E49))</f>
        <v>85948.123909461865</v>
      </c>
      <c r="E50" s="160">
        <f>IF(+I14&lt;F49,I14,D50)</f>
        <v>8654.6279069767443</v>
      </c>
      <c r="F50" s="159">
        <f t="shared" si="13"/>
        <v>77293.496002485117</v>
      </c>
      <c r="G50" s="161">
        <f t="shared" si="11"/>
        <v>16780.442528797787</v>
      </c>
      <c r="H50" s="142">
        <f t="shared" si="12"/>
        <v>16780.442528797787</v>
      </c>
      <c r="I50" s="156">
        <f t="shared" si="14"/>
        <v>0</v>
      </c>
      <c r="J50" s="156"/>
      <c r="K50" s="334"/>
      <c r="L50" s="158">
        <f t="shared" si="15"/>
        <v>0</v>
      </c>
      <c r="M50" s="334"/>
      <c r="N50" s="158">
        <f t="shared" si="16"/>
        <v>0</v>
      </c>
      <c r="O50" s="158">
        <f t="shared" si="17"/>
        <v>0</v>
      </c>
      <c r="P50" s="4"/>
    </row>
    <row r="51" spans="2:17">
      <c r="B51" s="9" t="str">
        <f t="shared" si="4"/>
        <v/>
      </c>
      <c r="C51" s="153">
        <f>IF(D11="","-",+C50+1)</f>
        <v>2041</v>
      </c>
      <c r="D51" s="159">
        <f>IF(F50+SUM(E$17:E50)=D$10,F50,D$10-SUM(E$17:E50))</f>
        <v>77293.496002485117</v>
      </c>
      <c r="E51" s="160">
        <f>IF(+I14&lt;F50,I14,D51)</f>
        <v>8654.6279069767443</v>
      </c>
      <c r="F51" s="159">
        <f t="shared" si="13"/>
        <v>68638.868095508369</v>
      </c>
      <c r="G51" s="161">
        <f t="shared" si="11"/>
        <v>15918.825227635665</v>
      </c>
      <c r="H51" s="142">
        <f t="shared" si="12"/>
        <v>15918.825227635665</v>
      </c>
      <c r="I51" s="156">
        <f t="shared" si="14"/>
        <v>0</v>
      </c>
      <c r="J51" s="156"/>
      <c r="K51" s="334"/>
      <c r="L51" s="158">
        <f t="shared" si="15"/>
        <v>0</v>
      </c>
      <c r="M51" s="334"/>
      <c r="N51" s="158">
        <f t="shared" si="16"/>
        <v>0</v>
      </c>
      <c r="O51" s="158">
        <f t="shared" si="17"/>
        <v>0</v>
      </c>
      <c r="P51" s="4"/>
    </row>
    <row r="52" spans="2:17">
      <c r="B52" s="9" t="str">
        <f t="shared" si="4"/>
        <v/>
      </c>
      <c r="C52" s="153">
        <f>IF(D11="","-",+C51+1)</f>
        <v>2042</v>
      </c>
      <c r="D52" s="159">
        <f>IF(F51+SUM(E$17:E51)=D$10,F51,D$10-SUM(E$17:E51))</f>
        <v>68638.868095508369</v>
      </c>
      <c r="E52" s="160">
        <f>IF(+I14&lt;F51,I14,D52)</f>
        <v>8654.6279069767443</v>
      </c>
      <c r="F52" s="159">
        <f t="shared" si="13"/>
        <v>59984.240188531621</v>
      </c>
      <c r="G52" s="161">
        <f t="shared" si="11"/>
        <v>15057.207926473548</v>
      </c>
      <c r="H52" s="142">
        <f t="shared" si="12"/>
        <v>15057.207926473548</v>
      </c>
      <c r="I52" s="156">
        <f t="shared" si="14"/>
        <v>0</v>
      </c>
      <c r="J52" s="156"/>
      <c r="K52" s="334"/>
      <c r="L52" s="158">
        <f t="shared" si="15"/>
        <v>0</v>
      </c>
      <c r="M52" s="334"/>
      <c r="N52" s="158">
        <f t="shared" si="16"/>
        <v>0</v>
      </c>
      <c r="O52" s="158">
        <f t="shared" si="17"/>
        <v>0</v>
      </c>
      <c r="P52" s="4"/>
    </row>
    <row r="53" spans="2:17">
      <c r="B53" s="9" t="str">
        <f t="shared" si="4"/>
        <v/>
      </c>
      <c r="C53" s="153">
        <f>IF(D11="","-",+C52+1)</f>
        <v>2043</v>
      </c>
      <c r="D53" s="159">
        <f>IF(F52+SUM(E$17:E52)=D$10,F52,D$10-SUM(E$17:E52))</f>
        <v>59984.240188531621</v>
      </c>
      <c r="E53" s="160">
        <f>IF(+I14&lt;F52,I14,D53)</f>
        <v>8654.6279069767443</v>
      </c>
      <c r="F53" s="159">
        <f t="shared" si="13"/>
        <v>51329.612281554873</v>
      </c>
      <c r="G53" s="161">
        <f t="shared" si="11"/>
        <v>14195.59062531143</v>
      </c>
      <c r="H53" s="142">
        <f t="shared" si="12"/>
        <v>14195.59062531143</v>
      </c>
      <c r="I53" s="156">
        <f t="shared" si="14"/>
        <v>0</v>
      </c>
      <c r="J53" s="156"/>
      <c r="K53" s="334"/>
      <c r="L53" s="158">
        <f t="shared" si="15"/>
        <v>0</v>
      </c>
      <c r="M53" s="334"/>
      <c r="N53" s="158">
        <f t="shared" si="16"/>
        <v>0</v>
      </c>
      <c r="O53" s="158">
        <f t="shared" si="17"/>
        <v>0</v>
      </c>
      <c r="P53" s="4"/>
    </row>
    <row r="54" spans="2:17">
      <c r="B54" s="9" t="str">
        <f t="shared" si="4"/>
        <v/>
      </c>
      <c r="C54" s="153">
        <f>IF(D11="","-",+C53+1)</f>
        <v>2044</v>
      </c>
      <c r="D54" s="159">
        <f>IF(F53+SUM(E$17:E53)=D$10,F53,D$10-SUM(E$17:E53))</f>
        <v>51329.612281554873</v>
      </c>
      <c r="E54" s="160">
        <f>IF(+I14&lt;F53,I14,D54)</f>
        <v>8654.6279069767443</v>
      </c>
      <c r="F54" s="159">
        <f t="shared" si="13"/>
        <v>42674.984374578125</v>
      </c>
      <c r="G54" s="161">
        <f t="shared" si="11"/>
        <v>13333.973324149309</v>
      </c>
      <c r="H54" s="142">
        <f t="shared" si="12"/>
        <v>13333.973324149309</v>
      </c>
      <c r="I54" s="156">
        <f t="shared" si="14"/>
        <v>0</v>
      </c>
      <c r="J54" s="156"/>
      <c r="K54" s="334"/>
      <c r="L54" s="158">
        <f t="shared" si="15"/>
        <v>0</v>
      </c>
      <c r="M54" s="334"/>
      <c r="N54" s="158">
        <f t="shared" si="16"/>
        <v>0</v>
      </c>
      <c r="O54" s="158">
        <f t="shared" si="17"/>
        <v>0</v>
      </c>
      <c r="P54" s="4"/>
    </row>
    <row r="55" spans="2:17">
      <c r="B55" s="9" t="str">
        <f t="shared" si="4"/>
        <v/>
      </c>
      <c r="C55" s="153">
        <f>IF(D11="","-",+C54+1)</f>
        <v>2045</v>
      </c>
      <c r="D55" s="159">
        <f>IF(F54+SUM(E$17:E54)=D$10,F54,D$10-SUM(E$17:E54))</f>
        <v>42674.984374578125</v>
      </c>
      <c r="E55" s="160">
        <f>IF(+I14&lt;F54,I14,D55)</f>
        <v>8654.6279069767443</v>
      </c>
      <c r="F55" s="159">
        <f t="shared" si="13"/>
        <v>34020.356467601378</v>
      </c>
      <c r="G55" s="161">
        <f t="shared" si="11"/>
        <v>12472.356022987191</v>
      </c>
      <c r="H55" s="142">
        <f t="shared" si="12"/>
        <v>12472.356022987191</v>
      </c>
      <c r="I55" s="156">
        <f t="shared" si="14"/>
        <v>0</v>
      </c>
      <c r="J55" s="156"/>
      <c r="K55" s="334"/>
      <c r="L55" s="158">
        <f t="shared" si="15"/>
        <v>0</v>
      </c>
      <c r="M55" s="334"/>
      <c r="N55" s="158">
        <f t="shared" si="16"/>
        <v>0</v>
      </c>
      <c r="O55" s="158">
        <f t="shared" si="17"/>
        <v>0</v>
      </c>
      <c r="P55" s="4"/>
    </row>
    <row r="56" spans="2:17">
      <c r="B56" s="9" t="str">
        <f t="shared" si="4"/>
        <v/>
      </c>
      <c r="C56" s="153">
        <f>IF(D11="","-",+C55+1)</f>
        <v>2046</v>
      </c>
      <c r="D56" s="159">
        <f>IF(F55+SUM(E$17:E55)=D$10,F55,D$10-SUM(E$17:E55))</f>
        <v>34020.356467601378</v>
      </c>
      <c r="E56" s="160">
        <f>IF(+I14&lt;F55,I14,D56)</f>
        <v>8654.6279069767443</v>
      </c>
      <c r="F56" s="159">
        <f t="shared" si="13"/>
        <v>25365.728560624633</v>
      </c>
      <c r="G56" s="161">
        <f t="shared" si="11"/>
        <v>11610.738721825071</v>
      </c>
      <c r="H56" s="142">
        <f t="shared" si="12"/>
        <v>11610.738721825071</v>
      </c>
      <c r="I56" s="156">
        <f t="shared" si="14"/>
        <v>0</v>
      </c>
      <c r="J56" s="156"/>
      <c r="K56" s="334"/>
      <c r="L56" s="158">
        <f t="shared" si="15"/>
        <v>0</v>
      </c>
      <c r="M56" s="334"/>
      <c r="N56" s="158">
        <f t="shared" si="16"/>
        <v>0</v>
      </c>
      <c r="O56" s="158">
        <f t="shared" si="17"/>
        <v>0</v>
      </c>
      <c r="P56" s="4"/>
    </row>
    <row r="57" spans="2:17">
      <c r="B57" s="9" t="str">
        <f t="shared" si="4"/>
        <v/>
      </c>
      <c r="C57" s="153">
        <f>IF(D11="","-",+C56+1)</f>
        <v>2047</v>
      </c>
      <c r="D57" s="159">
        <f>IF(F56+SUM(E$17:E56)=D$10,F56,D$10-SUM(E$17:E56))</f>
        <v>25365.728560624633</v>
      </c>
      <c r="E57" s="160">
        <f>IF(+I14&lt;F56,I14,D57)</f>
        <v>8654.6279069767443</v>
      </c>
      <c r="F57" s="159">
        <f t="shared" si="13"/>
        <v>16711.100653647889</v>
      </c>
      <c r="G57" s="161">
        <f t="shared" si="11"/>
        <v>10749.121420662954</v>
      </c>
      <c r="H57" s="142">
        <f t="shared" si="12"/>
        <v>10749.121420662954</v>
      </c>
      <c r="I57" s="156">
        <f t="shared" si="14"/>
        <v>0</v>
      </c>
      <c r="J57" s="156"/>
      <c r="K57" s="334"/>
      <c r="L57" s="158">
        <f t="shared" si="15"/>
        <v>0</v>
      </c>
      <c r="M57" s="334"/>
      <c r="N57" s="158">
        <f t="shared" si="16"/>
        <v>0</v>
      </c>
      <c r="O57" s="158">
        <f t="shared" si="17"/>
        <v>0</v>
      </c>
      <c r="P57" s="4"/>
    </row>
    <row r="58" spans="2:17">
      <c r="B58" s="9" t="str">
        <f t="shared" si="4"/>
        <v/>
      </c>
      <c r="C58" s="153">
        <f>IF(D11="","-",+C57+1)</f>
        <v>2048</v>
      </c>
      <c r="D58" s="159">
        <f>IF(F57+SUM(E$17:E57)=D$10,F57,D$10-SUM(E$17:E57))</f>
        <v>16711.100653647889</v>
      </c>
      <c r="E58" s="160">
        <f>IF(+I14&lt;F57,I14,D58)</f>
        <v>8654.6279069767443</v>
      </c>
      <c r="F58" s="159">
        <f t="shared" si="13"/>
        <v>8056.4727466711447</v>
      </c>
      <c r="G58" s="161">
        <f t="shared" si="11"/>
        <v>9887.5041195008343</v>
      </c>
      <c r="H58" s="142">
        <f t="shared" si="12"/>
        <v>9887.5041195008343</v>
      </c>
      <c r="I58" s="156">
        <f t="shared" si="14"/>
        <v>0</v>
      </c>
      <c r="J58" s="156"/>
      <c r="K58" s="334"/>
      <c r="L58" s="158">
        <f t="shared" si="15"/>
        <v>0</v>
      </c>
      <c r="M58" s="334"/>
      <c r="N58" s="158">
        <f t="shared" si="16"/>
        <v>0</v>
      </c>
      <c r="O58" s="158">
        <f t="shared" si="17"/>
        <v>0</v>
      </c>
      <c r="P58" s="4"/>
      <c r="Q58" t="str">
        <f>IF(ROUND(Q57,0)=ROUND(SUM(Q18:Q56),0),"","Error -- check allocations above).")</f>
        <v/>
      </c>
    </row>
    <row r="59" spans="2:17">
      <c r="B59" s="9" t="str">
        <f t="shared" si="4"/>
        <v/>
      </c>
      <c r="C59" s="153">
        <f>IF(D11="","-",+C58+1)</f>
        <v>2049</v>
      </c>
      <c r="D59" s="159">
        <f>IF(F58+SUM(E$17:E58)=D$10,F58,D$10-SUM(E$17:E58))</f>
        <v>8056.4727466711447</v>
      </c>
      <c r="E59" s="160">
        <f>IF(+I14&lt;F58,I14,D59)</f>
        <v>8056.4727466711447</v>
      </c>
      <c r="F59" s="159">
        <f t="shared" si="13"/>
        <v>0</v>
      </c>
      <c r="G59" s="161">
        <f t="shared" si="11"/>
        <v>8457.5065276426594</v>
      </c>
      <c r="H59" s="142">
        <f t="shared" si="12"/>
        <v>8457.5065276426594</v>
      </c>
      <c r="I59" s="156">
        <f t="shared" si="14"/>
        <v>0</v>
      </c>
      <c r="J59" s="156"/>
      <c r="K59" s="334"/>
      <c r="L59" s="158">
        <f t="shared" si="15"/>
        <v>0</v>
      </c>
      <c r="M59" s="334"/>
      <c r="N59" s="158">
        <f t="shared" si="16"/>
        <v>0</v>
      </c>
      <c r="O59" s="158">
        <f t="shared" si="17"/>
        <v>0</v>
      </c>
      <c r="P59" s="4"/>
    </row>
    <row r="60" spans="2:17">
      <c r="B60" s="9" t="str">
        <f t="shared" si="4"/>
        <v/>
      </c>
      <c r="C60" s="153">
        <f>IF(D11="","-",+C59+1)</f>
        <v>2050</v>
      </c>
      <c r="D60" s="159">
        <f>IF(F59+SUM(E$17:E59)=D$10,F59,D$10-SUM(E$17:E59))</f>
        <v>0</v>
      </c>
      <c r="E60" s="160">
        <f>IF(+I14&lt;F59,I14,D60)</f>
        <v>0</v>
      </c>
      <c r="F60" s="159">
        <f t="shared" si="13"/>
        <v>0</v>
      </c>
      <c r="G60" s="161">
        <f t="shared" si="11"/>
        <v>0</v>
      </c>
      <c r="H60" s="142">
        <f t="shared" si="12"/>
        <v>0</v>
      </c>
      <c r="I60" s="156">
        <f t="shared" si="14"/>
        <v>0</v>
      </c>
      <c r="J60" s="156"/>
      <c r="K60" s="334"/>
      <c r="L60" s="158">
        <f t="shared" si="15"/>
        <v>0</v>
      </c>
      <c r="M60" s="334"/>
      <c r="N60" s="158">
        <f t="shared" si="16"/>
        <v>0</v>
      </c>
      <c r="O60" s="158">
        <f t="shared" si="17"/>
        <v>0</v>
      </c>
      <c r="P60" s="4"/>
    </row>
    <row r="61" spans="2:17">
      <c r="B61" s="9" t="str">
        <f t="shared" si="4"/>
        <v/>
      </c>
      <c r="C61" s="153">
        <f>IF(D11="","-",+C60+1)</f>
        <v>2051</v>
      </c>
      <c r="D61" s="159">
        <f>IF(F60+SUM(E$17:E60)=D$10,F60,D$10-SUM(E$17:E60))</f>
        <v>0</v>
      </c>
      <c r="E61" s="160">
        <f>IF(+I14&lt;F60,I14,D61)</f>
        <v>0</v>
      </c>
      <c r="F61" s="159">
        <f t="shared" si="13"/>
        <v>0</v>
      </c>
      <c r="G61" s="163">
        <f t="shared" si="11"/>
        <v>0</v>
      </c>
      <c r="H61" s="142">
        <f t="shared" si="12"/>
        <v>0</v>
      </c>
      <c r="I61" s="156">
        <f t="shared" si="14"/>
        <v>0</v>
      </c>
      <c r="J61" s="156"/>
      <c r="K61" s="334"/>
      <c r="L61" s="158">
        <f t="shared" si="15"/>
        <v>0</v>
      </c>
      <c r="M61" s="334"/>
      <c r="N61" s="158">
        <f t="shared" si="16"/>
        <v>0</v>
      </c>
      <c r="O61" s="158">
        <f t="shared" si="17"/>
        <v>0</v>
      </c>
      <c r="P61" s="4"/>
    </row>
    <row r="62" spans="2:17">
      <c r="B62" s="9" t="str">
        <f t="shared" si="4"/>
        <v/>
      </c>
      <c r="C62" s="153">
        <f>IF(D11="","-",+C61+1)</f>
        <v>2052</v>
      </c>
      <c r="D62" s="159">
        <f>IF(F61+SUM(E$17:E61)=D$10,F61,D$10-SUM(E$17:E61))</f>
        <v>0</v>
      </c>
      <c r="E62" s="160">
        <f>IF(+I14&lt;F61,I14,D62)</f>
        <v>0</v>
      </c>
      <c r="F62" s="159">
        <f t="shared" si="13"/>
        <v>0</v>
      </c>
      <c r="G62" s="163">
        <f t="shared" si="11"/>
        <v>0</v>
      </c>
      <c r="H62" s="142">
        <f t="shared" si="12"/>
        <v>0</v>
      </c>
      <c r="I62" s="156">
        <f t="shared" si="14"/>
        <v>0</v>
      </c>
      <c r="J62" s="156"/>
      <c r="K62" s="334"/>
      <c r="L62" s="158">
        <f t="shared" si="15"/>
        <v>0</v>
      </c>
      <c r="M62" s="334"/>
      <c r="N62" s="158">
        <f t="shared" si="16"/>
        <v>0</v>
      </c>
      <c r="O62" s="158">
        <f t="shared" si="17"/>
        <v>0</v>
      </c>
      <c r="P62" s="4"/>
    </row>
    <row r="63" spans="2:17">
      <c r="B63" s="9" t="str">
        <f t="shared" si="4"/>
        <v/>
      </c>
      <c r="C63" s="153">
        <f>IF(D11="","-",+C62+1)</f>
        <v>2053</v>
      </c>
      <c r="D63" s="159">
        <f>IF(F62+SUM(E$17:E62)=D$10,F62,D$10-SUM(E$17:E62))</f>
        <v>0</v>
      </c>
      <c r="E63" s="160">
        <f>IF(+I14&lt;F62,I14,D63)</f>
        <v>0</v>
      </c>
      <c r="F63" s="159">
        <f t="shared" si="13"/>
        <v>0</v>
      </c>
      <c r="G63" s="163">
        <f t="shared" si="11"/>
        <v>0</v>
      </c>
      <c r="H63" s="142">
        <f t="shared" si="12"/>
        <v>0</v>
      </c>
      <c r="I63" s="156">
        <f t="shared" si="14"/>
        <v>0</v>
      </c>
      <c r="J63" s="156"/>
      <c r="K63" s="334"/>
      <c r="L63" s="158">
        <f t="shared" si="15"/>
        <v>0</v>
      </c>
      <c r="M63" s="334"/>
      <c r="N63" s="158">
        <f t="shared" si="16"/>
        <v>0</v>
      </c>
      <c r="O63" s="158">
        <f t="shared" si="17"/>
        <v>0</v>
      </c>
      <c r="P63" s="4"/>
    </row>
    <row r="64" spans="2:17">
      <c r="B64" s="9" t="str">
        <f t="shared" si="4"/>
        <v/>
      </c>
      <c r="C64" s="153">
        <f>IF(D11="","-",+C63+1)</f>
        <v>2054</v>
      </c>
      <c r="D64" s="159">
        <f>IF(F63+SUM(E$17:E63)=D$10,F63,D$10-SUM(E$17:E63))</f>
        <v>0</v>
      </c>
      <c r="E64" s="160">
        <f>IF(+I14&lt;F63,I14,D64)</f>
        <v>0</v>
      </c>
      <c r="F64" s="159">
        <f t="shared" si="13"/>
        <v>0</v>
      </c>
      <c r="G64" s="163">
        <f t="shared" si="11"/>
        <v>0</v>
      </c>
      <c r="H64" s="142">
        <f t="shared" si="12"/>
        <v>0</v>
      </c>
      <c r="I64" s="156">
        <f t="shared" si="14"/>
        <v>0</v>
      </c>
      <c r="J64" s="156"/>
      <c r="K64" s="334"/>
      <c r="L64" s="158">
        <f t="shared" si="15"/>
        <v>0</v>
      </c>
      <c r="M64" s="334"/>
      <c r="N64" s="158">
        <f t="shared" si="16"/>
        <v>0</v>
      </c>
      <c r="O64" s="158">
        <f t="shared" si="17"/>
        <v>0</v>
      </c>
      <c r="P64" s="4"/>
    </row>
    <row r="65" spans="1:16">
      <c r="B65" s="9" t="str">
        <f t="shared" si="4"/>
        <v/>
      </c>
      <c r="C65" s="153">
        <f>IF(D11="","-",+C64+1)</f>
        <v>2055</v>
      </c>
      <c r="D65" s="159">
        <f>IF(F64+SUM(E$17:E64)=D$10,F64,D$10-SUM(E$17:E64))</f>
        <v>0</v>
      </c>
      <c r="E65" s="160">
        <f>IF(+I14&lt;F64,I14,D65)</f>
        <v>0</v>
      </c>
      <c r="F65" s="159">
        <f t="shared" si="13"/>
        <v>0</v>
      </c>
      <c r="G65" s="163">
        <f t="shared" si="11"/>
        <v>0</v>
      </c>
      <c r="H65" s="142">
        <f t="shared" si="12"/>
        <v>0</v>
      </c>
      <c r="I65" s="156">
        <f t="shared" si="14"/>
        <v>0</v>
      </c>
      <c r="J65" s="156"/>
      <c r="K65" s="334"/>
      <c r="L65" s="158">
        <f t="shared" si="15"/>
        <v>0</v>
      </c>
      <c r="M65" s="334"/>
      <c r="N65" s="158">
        <f t="shared" si="16"/>
        <v>0</v>
      </c>
      <c r="O65" s="158">
        <f t="shared" si="17"/>
        <v>0</v>
      </c>
      <c r="P65" s="4"/>
    </row>
    <row r="66" spans="1:16">
      <c r="B66" s="9" t="str">
        <f t="shared" si="4"/>
        <v/>
      </c>
      <c r="C66" s="153">
        <f>IF(D11="","-",+C65+1)</f>
        <v>2056</v>
      </c>
      <c r="D66" s="159">
        <f>IF(F65+SUM(E$17:E65)=D$10,F65,D$10-SUM(E$17:E65))</f>
        <v>0</v>
      </c>
      <c r="E66" s="160">
        <f>IF(+I14&lt;F65,I14,D66)</f>
        <v>0</v>
      </c>
      <c r="F66" s="159">
        <f t="shared" si="13"/>
        <v>0</v>
      </c>
      <c r="G66" s="163">
        <f t="shared" si="11"/>
        <v>0</v>
      </c>
      <c r="H66" s="142">
        <f t="shared" si="12"/>
        <v>0</v>
      </c>
      <c r="I66" s="156">
        <f t="shared" si="14"/>
        <v>0</v>
      </c>
      <c r="J66" s="156"/>
      <c r="K66" s="334"/>
      <c r="L66" s="158">
        <f t="shared" si="15"/>
        <v>0</v>
      </c>
      <c r="M66" s="334"/>
      <c r="N66" s="158">
        <f t="shared" si="16"/>
        <v>0</v>
      </c>
      <c r="O66" s="158">
        <f t="shared" si="17"/>
        <v>0</v>
      </c>
      <c r="P66" s="4"/>
    </row>
    <row r="67" spans="1:16">
      <c r="B67" s="9" t="str">
        <f t="shared" si="4"/>
        <v/>
      </c>
      <c r="C67" s="153">
        <f>IF(D11="","-",+C66+1)</f>
        <v>2057</v>
      </c>
      <c r="D67" s="159">
        <f>IF(F66+SUM(E$17:E66)=D$10,F66,D$10-SUM(E$17:E66))</f>
        <v>0</v>
      </c>
      <c r="E67" s="160">
        <f>IF(+I14&lt;F66,I14,D67)</f>
        <v>0</v>
      </c>
      <c r="F67" s="159">
        <f t="shared" si="13"/>
        <v>0</v>
      </c>
      <c r="G67" s="163">
        <f t="shared" si="11"/>
        <v>0</v>
      </c>
      <c r="H67" s="142">
        <f t="shared" si="12"/>
        <v>0</v>
      </c>
      <c r="I67" s="156">
        <f t="shared" si="14"/>
        <v>0</v>
      </c>
      <c r="J67" s="156"/>
      <c r="K67" s="334"/>
      <c r="L67" s="158">
        <f t="shared" si="15"/>
        <v>0</v>
      </c>
      <c r="M67" s="334"/>
      <c r="N67" s="158">
        <f t="shared" si="16"/>
        <v>0</v>
      </c>
      <c r="O67" s="158">
        <f t="shared" si="17"/>
        <v>0</v>
      </c>
      <c r="P67" s="4"/>
    </row>
    <row r="68" spans="1:16">
      <c r="B68" s="9" t="str">
        <f t="shared" si="4"/>
        <v/>
      </c>
      <c r="C68" s="153">
        <f>IF(D11="","-",+C67+1)</f>
        <v>2058</v>
      </c>
      <c r="D68" s="159">
        <f>IF(F67+SUM(E$17:E67)=D$10,F67,D$10-SUM(E$17:E67))</f>
        <v>0</v>
      </c>
      <c r="E68" s="160">
        <f>IF(+I14&lt;F67,I14,D68)</f>
        <v>0</v>
      </c>
      <c r="F68" s="159">
        <f t="shared" si="13"/>
        <v>0</v>
      </c>
      <c r="G68" s="163">
        <f t="shared" si="11"/>
        <v>0</v>
      </c>
      <c r="H68" s="142">
        <f t="shared" si="12"/>
        <v>0</v>
      </c>
      <c r="I68" s="156">
        <f t="shared" si="14"/>
        <v>0</v>
      </c>
      <c r="J68" s="156"/>
      <c r="K68" s="334"/>
      <c r="L68" s="158">
        <f t="shared" si="15"/>
        <v>0</v>
      </c>
      <c r="M68" s="334"/>
      <c r="N68" s="158">
        <f t="shared" si="16"/>
        <v>0</v>
      </c>
      <c r="O68" s="158">
        <f t="shared" si="17"/>
        <v>0</v>
      </c>
      <c r="P68" s="4"/>
    </row>
    <row r="69" spans="1:16">
      <c r="B69" s="9" t="str">
        <f t="shared" si="4"/>
        <v/>
      </c>
      <c r="C69" s="153">
        <f>IF(D11="","-",+C68+1)</f>
        <v>2059</v>
      </c>
      <c r="D69" s="159">
        <f>IF(F68+SUM(E$17:E68)=D$10,F68,D$10-SUM(E$17:E68))</f>
        <v>0</v>
      </c>
      <c r="E69" s="160">
        <f>IF(+I14&lt;F68,I14,D69)</f>
        <v>0</v>
      </c>
      <c r="F69" s="159">
        <f t="shared" si="13"/>
        <v>0</v>
      </c>
      <c r="G69" s="163">
        <f t="shared" si="11"/>
        <v>0</v>
      </c>
      <c r="H69" s="142">
        <f t="shared" si="12"/>
        <v>0</v>
      </c>
      <c r="I69" s="156">
        <f t="shared" si="14"/>
        <v>0</v>
      </c>
      <c r="J69" s="156"/>
      <c r="K69" s="334"/>
      <c r="L69" s="158">
        <f t="shared" si="15"/>
        <v>0</v>
      </c>
      <c r="M69" s="334"/>
      <c r="N69" s="158">
        <f t="shared" si="16"/>
        <v>0</v>
      </c>
      <c r="O69" s="158">
        <f t="shared" si="17"/>
        <v>0</v>
      </c>
      <c r="P69" s="4"/>
    </row>
    <row r="70" spans="1:16">
      <c r="B70" s="9" t="str">
        <f t="shared" si="4"/>
        <v/>
      </c>
      <c r="C70" s="153">
        <f>IF(D11="","-",+C69+1)</f>
        <v>2060</v>
      </c>
      <c r="D70" s="159">
        <f>IF(F69+SUM(E$17:E69)=D$10,F69,D$10-SUM(E$17:E69))</f>
        <v>0</v>
      </c>
      <c r="E70" s="160">
        <f>IF(+I14&lt;F69,I14,D70)</f>
        <v>0</v>
      </c>
      <c r="F70" s="159">
        <f t="shared" si="13"/>
        <v>0</v>
      </c>
      <c r="G70" s="163">
        <f t="shared" si="11"/>
        <v>0</v>
      </c>
      <c r="H70" s="142">
        <f t="shared" si="12"/>
        <v>0</v>
      </c>
      <c r="I70" s="156">
        <f t="shared" si="14"/>
        <v>0</v>
      </c>
      <c r="J70" s="156"/>
      <c r="K70" s="334"/>
      <c r="L70" s="158">
        <f t="shared" si="15"/>
        <v>0</v>
      </c>
      <c r="M70" s="334"/>
      <c r="N70" s="158">
        <f t="shared" si="16"/>
        <v>0</v>
      </c>
      <c r="O70" s="158">
        <f t="shared" si="17"/>
        <v>0</v>
      </c>
      <c r="P70" s="4"/>
    </row>
    <row r="71" spans="1:16">
      <c r="B71" s="9" t="str">
        <f t="shared" si="4"/>
        <v/>
      </c>
      <c r="C71" s="153">
        <f>IF(D11="","-",+C70+1)</f>
        <v>2061</v>
      </c>
      <c r="D71" s="159">
        <f>IF(F70+SUM(E$17:E70)=D$10,F70,D$10-SUM(E$17:E70))</f>
        <v>0</v>
      </c>
      <c r="E71" s="160">
        <f>IF(+I14&lt;F70,I14,D71)</f>
        <v>0</v>
      </c>
      <c r="F71" s="159">
        <f t="shared" si="13"/>
        <v>0</v>
      </c>
      <c r="G71" s="163">
        <f t="shared" si="11"/>
        <v>0</v>
      </c>
      <c r="H71" s="142">
        <f t="shared" si="12"/>
        <v>0</v>
      </c>
      <c r="I71" s="156">
        <f t="shared" si="14"/>
        <v>0</v>
      </c>
      <c r="J71" s="156"/>
      <c r="K71" s="334"/>
      <c r="L71" s="158">
        <f t="shared" si="15"/>
        <v>0</v>
      </c>
      <c r="M71" s="334"/>
      <c r="N71" s="158">
        <f t="shared" si="16"/>
        <v>0</v>
      </c>
      <c r="O71" s="158">
        <f t="shared" si="17"/>
        <v>0</v>
      </c>
      <c r="P71" s="4"/>
    </row>
    <row r="72" spans="1:16" ht="13.5" thickBot="1">
      <c r="B72" s="9" t="str">
        <f t="shared" si="4"/>
        <v/>
      </c>
      <c r="C72" s="164">
        <f>IF(D11="","-",+C71+1)</f>
        <v>2062</v>
      </c>
      <c r="D72" s="165">
        <f>IF(F71+SUM(E$17:E71)=D$10,F71,D$10-SUM(E$17:E71))</f>
        <v>0</v>
      </c>
      <c r="E72" s="166">
        <f>IF(+I14&lt;F71,I14,D72)</f>
        <v>0</v>
      </c>
      <c r="F72" s="165">
        <f t="shared" si="13"/>
        <v>0</v>
      </c>
      <c r="G72" s="167">
        <f t="shared" si="11"/>
        <v>0</v>
      </c>
      <c r="H72" s="124">
        <f t="shared" si="12"/>
        <v>0</v>
      </c>
      <c r="I72" s="168">
        <f t="shared" si="14"/>
        <v>0</v>
      </c>
      <c r="J72" s="156"/>
      <c r="K72" s="335"/>
      <c r="L72" s="169">
        <f t="shared" si="15"/>
        <v>0</v>
      </c>
      <c r="M72" s="335"/>
      <c r="N72" s="169">
        <f t="shared" si="16"/>
        <v>0</v>
      </c>
      <c r="O72" s="169">
        <f t="shared" si="17"/>
        <v>0</v>
      </c>
      <c r="P72" s="4"/>
    </row>
    <row r="73" spans="1:16">
      <c r="C73" s="154" t="s">
        <v>73</v>
      </c>
      <c r="D73" s="111"/>
      <c r="E73" s="111">
        <f>SUM(E17:E72)</f>
        <v>372148.99999999988</v>
      </c>
      <c r="F73" s="111"/>
      <c r="G73" s="111">
        <f>SUM(G17:G72)</f>
        <v>1256849.2188221742</v>
      </c>
      <c r="H73" s="111">
        <f>SUM(H17:H72)</f>
        <v>1256849.2188221742</v>
      </c>
      <c r="I73" s="111">
        <f>SUM(I17:I72)</f>
        <v>0</v>
      </c>
      <c r="J73" s="111"/>
      <c r="K73" s="111"/>
      <c r="L73" s="111"/>
      <c r="M73" s="111"/>
      <c r="N73" s="111"/>
      <c r="O73" s="4"/>
      <c r="P73" s="4"/>
    </row>
    <row r="74" spans="1:16">
      <c r="D74" s="2"/>
      <c r="E74" s="1"/>
      <c r="F74" s="1"/>
      <c r="G74" s="1"/>
      <c r="H74" s="3"/>
      <c r="I74" s="3"/>
      <c r="J74" s="111"/>
      <c r="K74" s="3"/>
      <c r="L74" s="3"/>
      <c r="M74" s="3"/>
      <c r="N74" s="3"/>
      <c r="O74" s="1"/>
      <c r="P74" s="1"/>
    </row>
    <row r="75" spans="1:16">
      <c r="C75" s="170" t="s">
        <v>91</v>
      </c>
      <c r="D75" s="2"/>
      <c r="E75" s="1"/>
      <c r="F75" s="1"/>
      <c r="G75" s="1"/>
      <c r="H75" s="3"/>
      <c r="I75" s="3"/>
      <c r="J75" s="111"/>
      <c r="K75" s="3"/>
      <c r="L75" s="3"/>
      <c r="M75" s="3"/>
      <c r="N75" s="3"/>
      <c r="O75" s="1"/>
      <c r="P75" s="1"/>
    </row>
    <row r="76" spans="1:16">
      <c r="C76" s="121" t="s">
        <v>74</v>
      </c>
      <c r="D76" s="2"/>
      <c r="E76" s="1"/>
      <c r="F76" s="1"/>
      <c r="G76" s="1"/>
      <c r="H76" s="3"/>
      <c r="I76" s="3"/>
      <c r="J76" s="111"/>
      <c r="K76" s="3"/>
      <c r="L76" s="3"/>
      <c r="M76" s="3"/>
      <c r="N76" s="3"/>
      <c r="O76" s="4"/>
      <c r="P76" s="4"/>
    </row>
    <row r="77" spans="1:16" ht="18">
      <c r="C77" s="121" t="s">
        <v>75</v>
      </c>
      <c r="D77" s="154"/>
      <c r="E77" s="154"/>
      <c r="F77" s="154"/>
      <c r="G77" s="111"/>
      <c r="H77" s="111"/>
      <c r="I77" s="171"/>
      <c r="J77" s="171"/>
      <c r="K77" s="171"/>
      <c r="L77" s="171"/>
      <c r="M77" s="171"/>
      <c r="N77" s="171"/>
      <c r="O77" s="110"/>
      <c r="P77" s="4"/>
    </row>
    <row r="78" spans="1:16">
      <c r="C78" s="121"/>
      <c r="D78" s="154"/>
      <c r="E78" s="154"/>
      <c r="F78" s="154"/>
      <c r="G78" s="111"/>
      <c r="H78" s="111"/>
      <c r="I78" s="171"/>
      <c r="J78" s="171"/>
      <c r="K78" s="171"/>
      <c r="L78" s="171"/>
      <c r="M78" s="171"/>
      <c r="N78" s="171"/>
      <c r="O78" s="4"/>
      <c r="P78" s="1"/>
    </row>
    <row r="79" spans="1:16" ht="15">
      <c r="A79" s="241"/>
      <c r="B79" s="1"/>
      <c r="C79" s="21"/>
      <c r="D79" s="2"/>
      <c r="E79" s="1"/>
      <c r="F79" s="107"/>
      <c r="G79" s="1"/>
      <c r="H79" s="3"/>
      <c r="I79" s="1"/>
      <c r="J79" s="4"/>
      <c r="K79" s="1"/>
      <c r="L79" s="1"/>
      <c r="M79" s="1"/>
      <c r="N79" s="1"/>
    </row>
    <row r="80" spans="1:16" ht="18">
      <c r="B80" s="1"/>
      <c r="C80" s="242"/>
      <c r="D80" s="2"/>
      <c r="E80" s="1"/>
      <c r="F80" s="107"/>
      <c r="G80" s="1"/>
      <c r="H80" s="3"/>
      <c r="I80" s="1"/>
      <c r="J80" s="4"/>
      <c r="K80" s="1"/>
      <c r="L80" s="1"/>
      <c r="M80" s="1"/>
      <c r="N80" s="1"/>
      <c r="P80" s="244" t="s">
        <v>125</v>
      </c>
    </row>
    <row r="81" spans="1:17">
      <c r="B81" s="1"/>
      <c r="C81" s="242"/>
      <c r="D81" s="2"/>
      <c r="E81" s="1"/>
      <c r="F81" s="107"/>
      <c r="G81" s="1"/>
      <c r="H81" s="3"/>
      <c r="I81" s="1"/>
      <c r="J81" s="4"/>
      <c r="K81" s="1"/>
      <c r="L81" s="1"/>
      <c r="M81" s="1"/>
      <c r="N81" s="1"/>
      <c r="O81" s="1"/>
      <c r="P81" s="1"/>
    </row>
    <row r="82" spans="1:17">
      <c r="B82" s="1"/>
      <c r="C82" s="21"/>
      <c r="D82" s="2"/>
      <c r="E82" s="1"/>
      <c r="F82" s="107"/>
      <c r="G82" s="1"/>
      <c r="H82" s="3"/>
      <c r="I82" s="1"/>
      <c r="J82" s="4"/>
      <c r="K82" s="1"/>
      <c r="L82" s="1"/>
      <c r="M82" s="1"/>
      <c r="N82" s="1"/>
      <c r="O82" s="1"/>
      <c r="P82" s="1"/>
      <c r="Q82" s="1"/>
    </row>
    <row r="83" spans="1:17" ht="20.25">
      <c r="A83" s="243" t="s">
        <v>129</v>
      </c>
      <c r="B83" s="1"/>
      <c r="C83" s="21"/>
      <c r="D83" s="2"/>
      <c r="E83" s="1"/>
      <c r="F83" s="99"/>
      <c r="G83" s="99"/>
      <c r="H83" s="1"/>
      <c r="I83" s="3"/>
      <c r="K83" s="7"/>
      <c r="L83" s="109"/>
      <c r="M83" s="109"/>
      <c r="P83" s="110" t="str">
        <f ca="1">P1</f>
        <v>SWEPCO Project 15 of 73</v>
      </c>
      <c r="Q83" s="1"/>
    </row>
    <row r="84" spans="1:17" ht="18">
      <c r="B84" s="1"/>
      <c r="C84" s="1"/>
      <c r="D84" s="2"/>
      <c r="E84" s="1"/>
      <c r="F84" s="1"/>
      <c r="G84" s="1"/>
      <c r="H84" s="1"/>
      <c r="I84" s="3"/>
      <c r="J84" s="1"/>
      <c r="K84" s="4"/>
      <c r="L84" s="1"/>
      <c r="M84" s="1"/>
      <c r="P84" s="237" t="s">
        <v>123</v>
      </c>
      <c r="Q84" s="1"/>
    </row>
    <row r="85" spans="1:17" ht="18.75" thickBot="1">
      <c r="B85" s="5" t="s">
        <v>40</v>
      </c>
      <c r="C85" s="197" t="s">
        <v>78</v>
      </c>
      <c r="D85" s="2"/>
      <c r="E85" s="1"/>
      <c r="F85" s="1"/>
      <c r="G85" s="1"/>
      <c r="H85" s="1"/>
      <c r="I85" s="3"/>
      <c r="J85" s="3"/>
      <c r="K85" s="111"/>
      <c r="L85" s="3"/>
      <c r="M85" s="3"/>
      <c r="N85" s="3"/>
      <c r="O85" s="111"/>
      <c r="P85" s="1"/>
      <c r="Q85" s="1"/>
    </row>
    <row r="86" spans="1:17" ht="15.75" thickBot="1">
      <c r="C86" s="67"/>
      <c r="D86" s="2"/>
      <c r="E86" s="1"/>
      <c r="F86" s="1"/>
      <c r="G86" s="1"/>
      <c r="H86" s="1"/>
      <c r="I86" s="3"/>
      <c r="J86" s="3"/>
      <c r="K86" s="111"/>
      <c r="L86" s="265">
        <f>+J92</f>
        <v>2017</v>
      </c>
      <c r="M86" s="266" t="s">
        <v>7</v>
      </c>
      <c r="N86" s="270" t="s">
        <v>154</v>
      </c>
      <c r="O86" s="267" t="s">
        <v>9</v>
      </c>
      <c r="P86" s="1"/>
      <c r="Q86" s="1"/>
    </row>
    <row r="87" spans="1:17" ht="15">
      <c r="C87" s="235" t="s">
        <v>42</v>
      </c>
      <c r="D87" s="2"/>
      <c r="E87" s="1"/>
      <c r="F87" s="1"/>
      <c r="G87" s="1"/>
      <c r="H87" s="113"/>
      <c r="I87" s="1" t="s">
        <v>43</v>
      </c>
      <c r="J87" s="1"/>
      <c r="K87" s="261"/>
      <c r="L87" s="259" t="s">
        <v>381</v>
      </c>
      <c r="M87" s="198">
        <f>IF(J92&lt;D11,0,VLOOKUP(J92,C17:O72,9))</f>
        <v>43480.748337588419</v>
      </c>
      <c r="N87" s="198">
        <f>IF(J92&lt;D11,0,VLOOKUP(J92,C17:O72,11))</f>
        <v>43480.748337588419</v>
      </c>
      <c r="O87" s="199">
        <f>+N87-M87</f>
        <v>0</v>
      </c>
      <c r="P87" s="1"/>
      <c r="Q87" s="1"/>
    </row>
    <row r="88" spans="1:17" ht="15.75">
      <c r="C88" s="8"/>
      <c r="D88" s="2"/>
      <c r="E88" s="1"/>
      <c r="F88" s="1"/>
      <c r="G88" s="1"/>
      <c r="H88" s="1"/>
      <c r="I88" s="117"/>
      <c r="J88" s="117"/>
      <c r="K88" s="263"/>
      <c r="L88" s="264" t="s">
        <v>382</v>
      </c>
      <c r="M88" s="200">
        <f>IF(J92&lt;D11,0,VLOOKUP(J92,C99:P154,6))</f>
        <v>42767.185465657531</v>
      </c>
      <c r="N88" s="200">
        <f>IF(J92&lt;D11,0,VLOOKUP(J92,C99:P154,7))</f>
        <v>42767.185465657531</v>
      </c>
      <c r="O88" s="201">
        <f>+N88-M88</f>
        <v>0</v>
      </c>
      <c r="P88" s="1"/>
      <c r="Q88" s="1"/>
    </row>
    <row r="89" spans="1:17" ht="13.5" thickBot="1">
      <c r="C89" s="121" t="s">
        <v>79</v>
      </c>
      <c r="D89" s="246" t="str">
        <f>+D7</f>
        <v>Arsenal Hill 138kV Device (Cap. Bank)</v>
      </c>
      <c r="E89" s="1"/>
      <c r="F89" s="1"/>
      <c r="G89" s="1"/>
      <c r="H89" s="1"/>
      <c r="I89" s="3"/>
      <c r="J89" s="3"/>
      <c r="K89" s="262"/>
      <c r="L89" s="260" t="s">
        <v>151</v>
      </c>
      <c r="M89" s="203">
        <f>+M88-M87</f>
        <v>-713.56287193088792</v>
      </c>
      <c r="N89" s="203">
        <f>+N88-N87</f>
        <v>-713.56287193088792</v>
      </c>
      <c r="O89" s="204">
        <f>+O88-O87</f>
        <v>0</v>
      </c>
      <c r="P89" s="1"/>
      <c r="Q89" s="1"/>
    </row>
    <row r="90" spans="1:17" ht="13.5" thickBot="1">
      <c r="C90" s="170"/>
      <c r="D90" s="173" t="str">
        <f>D8</f>
        <v/>
      </c>
      <c r="E90" s="107"/>
      <c r="F90" s="107"/>
      <c r="G90" s="107"/>
      <c r="H90" s="126"/>
      <c r="I90" s="3"/>
      <c r="J90" s="3"/>
      <c r="K90" s="111"/>
      <c r="L90" s="3"/>
      <c r="M90" s="3"/>
      <c r="N90" s="3"/>
      <c r="O90" s="111"/>
      <c r="P90" s="1"/>
      <c r="Q90" s="1"/>
    </row>
    <row r="91" spans="1:17" ht="13.5" thickBot="1">
      <c r="A91" s="103"/>
      <c r="C91" s="205" t="s">
        <v>80</v>
      </c>
      <c r="D91" s="224" t="str">
        <f>+D9</f>
        <v>TP2004148</v>
      </c>
      <c r="E91" s="206"/>
      <c r="F91" s="206"/>
      <c r="G91" s="206"/>
      <c r="H91" s="206"/>
      <c r="I91" s="206"/>
      <c r="J91" s="238"/>
      <c r="K91" s="207"/>
      <c r="P91" s="131"/>
      <c r="Q91" s="1"/>
    </row>
    <row r="92" spans="1:17">
      <c r="C92" s="136" t="s">
        <v>47</v>
      </c>
      <c r="D92" s="133">
        <f>IF(D11=I10,0,D10)</f>
        <v>372149</v>
      </c>
      <c r="E92" s="21" t="s">
        <v>81</v>
      </c>
      <c r="H92" s="134"/>
      <c r="I92" s="134"/>
      <c r="J92" s="135">
        <f>+'SWE.WS.G.BPU.ATRR.True-up'!M15</f>
        <v>2017</v>
      </c>
      <c r="K92" s="130"/>
      <c r="L92" s="111" t="s">
        <v>82</v>
      </c>
      <c r="P92" s="4"/>
      <c r="Q92" s="1"/>
    </row>
    <row r="93" spans="1:17">
      <c r="C93" s="136" t="s">
        <v>49</v>
      </c>
      <c r="D93" s="219">
        <f>IF(D11=I10,"",D11)</f>
        <v>2007</v>
      </c>
      <c r="E93" s="136" t="s">
        <v>50</v>
      </c>
      <c r="F93" s="134"/>
      <c r="G93" s="134"/>
      <c r="J93" s="138">
        <f>IF(H87="",0,'SWE.WS.G.BPU.ATRR.True-up'!$F$12)</f>
        <v>0</v>
      </c>
      <c r="K93" s="139"/>
      <c r="L93" t="str">
        <f>"          INPUT TRUE-UP ARR (WITH &amp; WITHOUT INCENTIVES) FROM EACH PRIOR YEAR"</f>
        <v xml:space="preserve">          INPUT TRUE-UP ARR (WITH &amp; WITHOUT INCENTIVES) FROM EACH PRIOR YEAR</v>
      </c>
      <c r="P93" s="4"/>
      <c r="Q93" s="1"/>
    </row>
    <row r="94" spans="1:17">
      <c r="C94" s="136" t="s">
        <v>51</v>
      </c>
      <c r="D94" s="218">
        <f>IF(D11=I10,"",D12)</f>
        <v>7</v>
      </c>
      <c r="E94" s="136" t="s">
        <v>52</v>
      </c>
      <c r="F94" s="134"/>
      <c r="G94" s="134"/>
      <c r="J94" s="140">
        <f>'SWE.WS.G.BPU.ATRR.True-up'!$F$80</f>
        <v>0.12147145768398206</v>
      </c>
      <c r="K94" s="141"/>
      <c r="L94" t="s">
        <v>83</v>
      </c>
      <c r="P94" s="4"/>
      <c r="Q94" s="1"/>
    </row>
    <row r="95" spans="1:17">
      <c r="C95" s="136" t="s">
        <v>54</v>
      </c>
      <c r="D95" s="138">
        <f>'SWE.WS.G.BPU.ATRR.True-up'!F$92</f>
        <v>42</v>
      </c>
      <c r="E95" s="136" t="s">
        <v>55</v>
      </c>
      <c r="F95" s="134"/>
      <c r="G95" s="134"/>
      <c r="J95" s="140">
        <f>IF(H87="",J94,'SWE.WS.G.BPU.ATRR.True-up'!$F$79)</f>
        <v>0.12147145768398206</v>
      </c>
      <c r="K95" s="58"/>
      <c r="L95" s="111" t="s">
        <v>56</v>
      </c>
      <c r="M95" s="58"/>
      <c r="N95" s="58"/>
      <c r="O95" s="58"/>
      <c r="P95" s="4"/>
      <c r="Q95" s="1"/>
    </row>
    <row r="96" spans="1:17" ht="13.5" thickBot="1">
      <c r="C96" s="136" t="s">
        <v>57</v>
      </c>
      <c r="D96" s="220" t="str">
        <f>+D14</f>
        <v>No</v>
      </c>
      <c r="E96" s="202" t="s">
        <v>59</v>
      </c>
      <c r="F96" s="208"/>
      <c r="G96" s="208"/>
      <c r="H96" s="209"/>
      <c r="I96" s="209"/>
      <c r="J96" s="124">
        <f>IF(D92=0,0,D92/D95)</f>
        <v>8860.6904761904771</v>
      </c>
      <c r="K96" s="111"/>
      <c r="L96" s="111"/>
      <c r="M96" s="111"/>
      <c r="N96" s="111"/>
      <c r="O96" s="111"/>
      <c r="P96" s="4"/>
      <c r="Q96" s="1"/>
    </row>
    <row r="97" spans="1:17" ht="38.25">
      <c r="A97" s="6"/>
      <c r="B97" s="6"/>
      <c r="C97" s="210" t="s">
        <v>47</v>
      </c>
      <c r="D97" s="211" t="s">
        <v>60</v>
      </c>
      <c r="E97" s="146" t="s">
        <v>61</v>
      </c>
      <c r="F97" s="146" t="s">
        <v>62</v>
      </c>
      <c r="G97" s="144" t="s">
        <v>84</v>
      </c>
      <c r="H97" s="434" t="s">
        <v>378</v>
      </c>
      <c r="I97" s="435" t="s">
        <v>379</v>
      </c>
      <c r="J97" s="210" t="s">
        <v>85</v>
      </c>
      <c r="K97" s="212"/>
      <c r="L97" s="271" t="s">
        <v>220</v>
      </c>
      <c r="M97" s="146" t="s">
        <v>86</v>
      </c>
      <c r="N97" s="271" t="s">
        <v>220</v>
      </c>
      <c r="O97" s="146" t="s">
        <v>86</v>
      </c>
      <c r="P97" s="146" t="s">
        <v>65</v>
      </c>
      <c r="Q97" s="1"/>
    </row>
    <row r="98" spans="1:17" ht="13.5" thickBot="1">
      <c r="C98" s="147" t="s">
        <v>66</v>
      </c>
      <c r="D98" s="213" t="s">
        <v>67</v>
      </c>
      <c r="E98" s="147" t="s">
        <v>68</v>
      </c>
      <c r="F98" s="147" t="s">
        <v>67</v>
      </c>
      <c r="G98" s="147" t="s">
        <v>67</v>
      </c>
      <c r="H98" s="407" t="s">
        <v>69</v>
      </c>
      <c r="I98" s="148" t="s">
        <v>70</v>
      </c>
      <c r="J98" s="149" t="s">
        <v>89</v>
      </c>
      <c r="K98" s="150"/>
      <c r="L98" s="151" t="s">
        <v>72</v>
      </c>
      <c r="M98" s="151" t="s">
        <v>72</v>
      </c>
      <c r="N98" s="151" t="s">
        <v>90</v>
      </c>
      <c r="O98" s="151" t="s">
        <v>90</v>
      </c>
      <c r="P98" s="151" t="s">
        <v>90</v>
      </c>
      <c r="Q98" s="1"/>
    </row>
    <row r="99" spans="1:17">
      <c r="C99" s="153">
        <f>IF(D93= "","-",D93)</f>
        <v>2007</v>
      </c>
      <c r="D99" s="357">
        <v>367119</v>
      </c>
      <c r="E99" s="360">
        <v>10058</v>
      </c>
      <c r="F99" s="361">
        <v>357061</v>
      </c>
      <c r="G99" s="365">
        <v>362090</v>
      </c>
      <c r="H99" s="362">
        <v>69474</v>
      </c>
      <c r="I99" s="363">
        <v>69474</v>
      </c>
      <c r="J99" s="403">
        <f t="shared" ref="J99:J130" si="18">+I99-H99</f>
        <v>0</v>
      </c>
      <c r="K99" s="158"/>
      <c r="L99" s="256">
        <v>0</v>
      </c>
      <c r="M99" s="172">
        <f t="shared" ref="M99:M130" si="19">IF(L99&lt;&gt;0,+H99-L99,0)</f>
        <v>0</v>
      </c>
      <c r="N99" s="256">
        <v>0</v>
      </c>
      <c r="O99" s="157">
        <f t="shared" ref="O99:O130" si="20">IF(N99&lt;&gt;0,+I99-N99,0)</f>
        <v>0</v>
      </c>
      <c r="P99" s="157">
        <f t="shared" ref="P99:P130" si="21">+O99-M99</f>
        <v>0</v>
      </c>
      <c r="Q99" s="1"/>
    </row>
    <row r="100" spans="1:17">
      <c r="B100" s="9" t="str">
        <f>IF(D100=F99,"","IU")</f>
        <v>IU</v>
      </c>
      <c r="C100" s="153">
        <f>IF(D93="","-",+C99+1)</f>
        <v>2008</v>
      </c>
      <c r="D100" s="357">
        <v>245158</v>
      </c>
      <c r="E100" s="360">
        <v>6701</v>
      </c>
      <c r="F100" s="361">
        <v>238456</v>
      </c>
      <c r="G100" s="361">
        <v>241807</v>
      </c>
      <c r="H100" s="360">
        <v>45246</v>
      </c>
      <c r="I100" s="359">
        <v>45246</v>
      </c>
      <c r="J100" s="403">
        <f t="shared" si="18"/>
        <v>0</v>
      </c>
      <c r="K100" s="158"/>
      <c r="L100" s="258">
        <v>45246</v>
      </c>
      <c r="M100" s="158">
        <f t="shared" si="19"/>
        <v>0</v>
      </c>
      <c r="N100" s="258">
        <v>45246</v>
      </c>
      <c r="O100" s="158">
        <f t="shared" si="20"/>
        <v>0</v>
      </c>
      <c r="P100" s="158">
        <f t="shared" si="21"/>
        <v>0</v>
      </c>
      <c r="Q100" s="1"/>
    </row>
    <row r="101" spans="1:17">
      <c r="B101" s="9" t="str">
        <f t="shared" ref="B101:B154" si="22">IF(D101=F100,"","IU")</f>
        <v>IU</v>
      </c>
      <c r="C101" s="153">
        <f>IF(D93="","-",+C100+1)</f>
        <v>2009</v>
      </c>
      <c r="D101" s="357">
        <v>355390</v>
      </c>
      <c r="E101" s="360">
        <v>9793.394736842105</v>
      </c>
      <c r="F101" s="361">
        <v>345596.60526315792</v>
      </c>
      <c r="G101" s="361">
        <v>350493.30263157899</v>
      </c>
      <c r="H101" s="360">
        <v>60522.976408209717</v>
      </c>
      <c r="I101" s="359">
        <v>60522.976408209717</v>
      </c>
      <c r="J101" s="403">
        <f t="shared" si="18"/>
        <v>0</v>
      </c>
      <c r="K101" s="158"/>
      <c r="L101" s="258">
        <f t="shared" ref="L101:L106" si="23">H101</f>
        <v>60522.976408209717</v>
      </c>
      <c r="M101" s="257">
        <f t="shared" si="19"/>
        <v>0</v>
      </c>
      <c r="N101" s="258">
        <f t="shared" ref="N101:N106" si="24">I101</f>
        <v>60522.976408209717</v>
      </c>
      <c r="O101" s="158">
        <f t="shared" si="20"/>
        <v>0</v>
      </c>
      <c r="P101" s="158">
        <f t="shared" si="21"/>
        <v>0</v>
      </c>
      <c r="Q101" s="1"/>
    </row>
    <row r="102" spans="1:17">
      <c r="B102" s="9" t="str">
        <f t="shared" si="22"/>
        <v/>
      </c>
      <c r="C102" s="153">
        <f>IF(D93="","-",+C101+1)</f>
        <v>2010</v>
      </c>
      <c r="D102" s="357">
        <v>345596.60526315792</v>
      </c>
      <c r="E102" s="360">
        <v>9076.8048780487807</v>
      </c>
      <c r="F102" s="361">
        <v>336519.80038510915</v>
      </c>
      <c r="G102" s="361">
        <v>341058.20282413356</v>
      </c>
      <c r="H102" s="360">
        <v>65380.767354671472</v>
      </c>
      <c r="I102" s="359">
        <v>65380.767354671472</v>
      </c>
      <c r="J102" s="403">
        <f t="shared" si="18"/>
        <v>0</v>
      </c>
      <c r="K102" s="158"/>
      <c r="L102" s="258">
        <f t="shared" si="23"/>
        <v>65380.767354671472</v>
      </c>
      <c r="M102" s="257">
        <f t="shared" si="19"/>
        <v>0</v>
      </c>
      <c r="N102" s="258">
        <f t="shared" si="24"/>
        <v>65380.767354671472</v>
      </c>
      <c r="O102" s="158">
        <f t="shared" si="20"/>
        <v>0</v>
      </c>
      <c r="P102" s="158">
        <f t="shared" si="21"/>
        <v>0</v>
      </c>
      <c r="Q102" s="1"/>
    </row>
    <row r="103" spans="1:17">
      <c r="B103" s="9" t="str">
        <f t="shared" si="22"/>
        <v/>
      </c>
      <c r="C103" s="153">
        <f>IF(D93="","-",+C102+1)</f>
        <v>2011</v>
      </c>
      <c r="D103" s="357">
        <v>336519.80038510915</v>
      </c>
      <c r="E103" s="377">
        <v>8860.6904761904771</v>
      </c>
      <c r="F103" s="361">
        <v>327659.10990891868</v>
      </c>
      <c r="G103" s="361">
        <v>332089.45514701388</v>
      </c>
      <c r="H103" s="360">
        <v>58800.269953257346</v>
      </c>
      <c r="I103" s="359">
        <v>58800.269953257346</v>
      </c>
      <c r="J103" s="403">
        <f t="shared" si="18"/>
        <v>0</v>
      </c>
      <c r="K103" s="158"/>
      <c r="L103" s="258">
        <f t="shared" si="23"/>
        <v>58800.269953257346</v>
      </c>
      <c r="M103" s="257">
        <f t="shared" si="19"/>
        <v>0</v>
      </c>
      <c r="N103" s="258">
        <f t="shared" si="24"/>
        <v>58800.269953257346</v>
      </c>
      <c r="O103" s="158">
        <f t="shared" si="20"/>
        <v>0</v>
      </c>
      <c r="P103" s="158">
        <f t="shared" si="21"/>
        <v>0</v>
      </c>
      <c r="Q103" s="1"/>
    </row>
    <row r="104" spans="1:17">
      <c r="B104" s="9" t="str">
        <f t="shared" si="22"/>
        <v/>
      </c>
      <c r="C104" s="153">
        <f>IF(D93="","-",+C103+1)</f>
        <v>2012</v>
      </c>
      <c r="D104" s="357">
        <v>327659.10990891868</v>
      </c>
      <c r="E104" s="360">
        <v>8860.6904761904771</v>
      </c>
      <c r="F104" s="361">
        <v>318798.4194327282</v>
      </c>
      <c r="G104" s="361">
        <v>323228.76467082347</v>
      </c>
      <c r="H104" s="360">
        <v>56425.074067115129</v>
      </c>
      <c r="I104" s="359">
        <v>56425.074067115129</v>
      </c>
      <c r="J104" s="403">
        <f t="shared" si="18"/>
        <v>0</v>
      </c>
      <c r="K104" s="158"/>
      <c r="L104" s="258">
        <f t="shared" si="23"/>
        <v>56425.074067115129</v>
      </c>
      <c r="M104" s="257">
        <f t="shared" si="19"/>
        <v>0</v>
      </c>
      <c r="N104" s="258">
        <f t="shared" si="24"/>
        <v>56425.074067115129</v>
      </c>
      <c r="O104" s="158">
        <f t="shared" si="20"/>
        <v>0</v>
      </c>
      <c r="P104" s="158">
        <f t="shared" si="21"/>
        <v>0</v>
      </c>
      <c r="Q104" s="1"/>
    </row>
    <row r="105" spans="1:17">
      <c r="B105" s="9" t="str">
        <f t="shared" si="22"/>
        <v/>
      </c>
      <c r="C105" s="153">
        <f>IF(D93="","-",+C104+1)</f>
        <v>2013</v>
      </c>
      <c r="D105" s="357">
        <v>318798.4194327282</v>
      </c>
      <c r="E105" s="360">
        <v>8860.6904761904771</v>
      </c>
      <c r="F105" s="361">
        <v>309937.72895653773</v>
      </c>
      <c r="G105" s="361">
        <v>314368.07419463294</v>
      </c>
      <c r="H105" s="360">
        <v>51392.082385725094</v>
      </c>
      <c r="I105" s="359">
        <v>51392.082385725094</v>
      </c>
      <c r="J105" s="403">
        <v>0</v>
      </c>
      <c r="K105" s="158"/>
      <c r="L105" s="258">
        <f t="shared" si="23"/>
        <v>51392.082385725094</v>
      </c>
      <c r="M105" s="257">
        <f>IF(L105&lt;&gt;0,+H105-L105,0)</f>
        <v>0</v>
      </c>
      <c r="N105" s="258">
        <f t="shared" si="24"/>
        <v>51392.082385725094</v>
      </c>
      <c r="O105" s="158">
        <f>IF(N105&lt;&gt;0,+I105-N105,0)</f>
        <v>0</v>
      </c>
      <c r="P105" s="158">
        <f>+O105-M105</f>
        <v>0</v>
      </c>
      <c r="Q105" s="1"/>
    </row>
    <row r="106" spans="1:17">
      <c r="B106" s="9" t="str">
        <f t="shared" si="22"/>
        <v/>
      </c>
      <c r="C106" s="153">
        <f>IF(D93="","-",+C105+1)</f>
        <v>2014</v>
      </c>
      <c r="D106" s="357">
        <v>309937.72895653773</v>
      </c>
      <c r="E106" s="360">
        <v>8860.6904761904771</v>
      </c>
      <c r="F106" s="361">
        <v>301077.03848034726</v>
      </c>
      <c r="G106" s="361">
        <v>305507.38371844252</v>
      </c>
      <c r="H106" s="360">
        <v>50386.311054794773</v>
      </c>
      <c r="I106" s="359">
        <v>50386.311054794773</v>
      </c>
      <c r="J106" s="158">
        <v>0</v>
      </c>
      <c r="K106" s="158"/>
      <c r="L106" s="258">
        <f t="shared" si="23"/>
        <v>50386.311054794773</v>
      </c>
      <c r="M106" s="257">
        <f>IF(L106&lt;&gt;0,+H106-L106,0)</f>
        <v>0</v>
      </c>
      <c r="N106" s="258">
        <f t="shared" si="24"/>
        <v>50386.311054794773</v>
      </c>
      <c r="O106" s="158">
        <f>IF(N106&lt;&gt;0,+I106-N106,0)</f>
        <v>0</v>
      </c>
      <c r="P106" s="158">
        <f>+O106-M106</f>
        <v>0</v>
      </c>
      <c r="Q106" s="1"/>
    </row>
    <row r="107" spans="1:17">
      <c r="B107" s="9" t="str">
        <f t="shared" si="22"/>
        <v/>
      </c>
      <c r="C107" s="153">
        <f>IF(D93="","-",+C106+1)</f>
        <v>2015</v>
      </c>
      <c r="D107" s="357">
        <v>301077.03848034726</v>
      </c>
      <c r="E107" s="360">
        <v>8860.6904761904771</v>
      </c>
      <c r="F107" s="361">
        <v>292216.34800415678</v>
      </c>
      <c r="G107" s="361">
        <v>296646.69324225199</v>
      </c>
      <c r="H107" s="360">
        <v>47949.4923700488</v>
      </c>
      <c r="I107" s="359">
        <v>47949.4923700488</v>
      </c>
      <c r="J107" s="158">
        <f t="shared" si="18"/>
        <v>0</v>
      </c>
      <c r="K107" s="158"/>
      <c r="L107" s="258">
        <f>H107</f>
        <v>47949.4923700488</v>
      </c>
      <c r="M107" s="257">
        <f>IF(L107&lt;&gt;0,+H107-L107,0)</f>
        <v>0</v>
      </c>
      <c r="N107" s="258">
        <f>I107</f>
        <v>47949.4923700488</v>
      </c>
      <c r="O107" s="158">
        <f>IF(N107&lt;&gt;0,+I107-N107,0)</f>
        <v>0</v>
      </c>
      <c r="P107" s="158">
        <f>+O107-M107</f>
        <v>0</v>
      </c>
      <c r="Q107" s="1"/>
    </row>
    <row r="108" spans="1:17">
      <c r="B108" s="9" t="str">
        <f t="shared" si="22"/>
        <v/>
      </c>
      <c r="C108" s="153">
        <f>IF(D93="","-",+C107+1)</f>
        <v>2016</v>
      </c>
      <c r="D108" s="357">
        <v>292216.34800415678</v>
      </c>
      <c r="E108" s="360">
        <v>8654.6279069767443</v>
      </c>
      <c r="F108" s="361">
        <v>283561.72009718005</v>
      </c>
      <c r="G108" s="361">
        <v>287889.03405066842</v>
      </c>
      <c r="H108" s="360">
        <v>45202.137408056922</v>
      </c>
      <c r="I108" s="359">
        <v>45202.137408056922</v>
      </c>
      <c r="J108" s="158">
        <v>0</v>
      </c>
      <c r="K108" s="158"/>
      <c r="L108" s="258">
        <f>H108</f>
        <v>45202.137408056922</v>
      </c>
      <c r="M108" s="257">
        <f>IF(L108&lt;&gt;0,+H108-L108,0)</f>
        <v>0</v>
      </c>
      <c r="N108" s="258">
        <f>I108</f>
        <v>45202.137408056922</v>
      </c>
      <c r="O108" s="158">
        <f>IF(N108&lt;&gt;0,+I108-N108,0)</f>
        <v>0</v>
      </c>
      <c r="P108" s="158">
        <f>+O108-M108</f>
        <v>0</v>
      </c>
      <c r="Q108" s="1"/>
    </row>
    <row r="109" spans="1:17">
      <c r="B109" s="9" t="str">
        <f t="shared" si="22"/>
        <v/>
      </c>
      <c r="C109" s="153">
        <f>IF(D93="","-",+C108+1)</f>
        <v>2017</v>
      </c>
      <c r="D109" s="154">
        <f>IF(F108+SUM(E$99:E108)=D$92,F108,D$92-SUM(E$99:E108))</f>
        <v>283561.72009718005</v>
      </c>
      <c r="E109" s="160">
        <f>IF(+J96&lt;F108,J96,D109)</f>
        <v>8860.6904761904771</v>
      </c>
      <c r="F109" s="159">
        <f t="shared" ref="F109:F130" si="25">+D109-E109</f>
        <v>274701.02962098958</v>
      </c>
      <c r="G109" s="159">
        <f t="shared" ref="G109:G130" si="26">+(F109+D109)/2</f>
        <v>279131.37485908484</v>
      </c>
      <c r="H109" s="163">
        <f>+J$94*G109+E109</f>
        <v>42767.185465657531</v>
      </c>
      <c r="I109" s="253">
        <f>+J$95*G109+E109</f>
        <v>42767.185465657531</v>
      </c>
      <c r="J109" s="158">
        <f t="shared" si="18"/>
        <v>0</v>
      </c>
      <c r="K109" s="158"/>
      <c r="L109" s="334"/>
      <c r="M109" s="158">
        <f t="shared" si="19"/>
        <v>0</v>
      </c>
      <c r="N109" s="334"/>
      <c r="O109" s="158">
        <f t="shared" si="20"/>
        <v>0</v>
      </c>
      <c r="P109" s="158">
        <f t="shared" si="21"/>
        <v>0</v>
      </c>
      <c r="Q109" s="1"/>
    </row>
    <row r="110" spans="1:17">
      <c r="B110" s="9" t="str">
        <f t="shared" si="22"/>
        <v/>
      </c>
      <c r="C110" s="153">
        <f>IF(D93="","-",+C109+1)</f>
        <v>2018</v>
      </c>
      <c r="D110" s="154">
        <f>IF(F109+SUM(E$99:E109)=D$92,F109,D$92-SUM(E$99:E109))</f>
        <v>274701.02962098958</v>
      </c>
      <c r="E110" s="160">
        <f>IF(+J96&lt;F109,J96,D110)</f>
        <v>8860.6904761904771</v>
      </c>
      <c r="F110" s="159">
        <f t="shared" si="25"/>
        <v>265840.3391447991</v>
      </c>
      <c r="G110" s="159">
        <f t="shared" si="26"/>
        <v>270270.68438289431</v>
      </c>
      <c r="H110" s="163">
        <f>+J$94*G110+E110</f>
        <v>41690.864477428098</v>
      </c>
      <c r="I110" s="253">
        <f>+J$95*G110+E110</f>
        <v>41690.864477428098</v>
      </c>
      <c r="J110" s="158">
        <f t="shared" si="18"/>
        <v>0</v>
      </c>
      <c r="K110" s="158"/>
      <c r="L110" s="334"/>
      <c r="M110" s="158">
        <f t="shared" si="19"/>
        <v>0</v>
      </c>
      <c r="N110" s="334"/>
      <c r="O110" s="158">
        <f t="shared" si="20"/>
        <v>0</v>
      </c>
      <c r="P110" s="158">
        <f t="shared" si="21"/>
        <v>0</v>
      </c>
      <c r="Q110" s="1"/>
    </row>
    <row r="111" spans="1:17">
      <c r="B111" s="9" t="str">
        <f t="shared" si="22"/>
        <v/>
      </c>
      <c r="C111" s="153">
        <f>IF(D93="","-",+C110+1)</f>
        <v>2019</v>
      </c>
      <c r="D111" s="154">
        <f>IF(F110+SUM(E$99:E110)=D$92,F110,D$92-SUM(E$99:E110))</f>
        <v>265840.3391447991</v>
      </c>
      <c r="E111" s="160">
        <f>IF(+J96&lt;F110,J96,D111)</f>
        <v>8860.6904761904771</v>
      </c>
      <c r="F111" s="159">
        <f t="shared" si="25"/>
        <v>256979.64866860863</v>
      </c>
      <c r="G111" s="159">
        <f t="shared" si="26"/>
        <v>261409.99390670386</v>
      </c>
      <c r="H111" s="163">
        <f>+J$94*G111+E111</f>
        <v>40614.543489198666</v>
      </c>
      <c r="I111" s="253">
        <f>+J$95*G111+E111</f>
        <v>40614.543489198666</v>
      </c>
      <c r="J111" s="158">
        <f t="shared" si="18"/>
        <v>0</v>
      </c>
      <c r="K111" s="158"/>
      <c r="L111" s="334"/>
      <c r="M111" s="158">
        <f t="shared" si="19"/>
        <v>0</v>
      </c>
      <c r="N111" s="334"/>
      <c r="O111" s="158">
        <f t="shared" si="20"/>
        <v>0</v>
      </c>
      <c r="P111" s="158">
        <f t="shared" si="21"/>
        <v>0</v>
      </c>
      <c r="Q111" s="1"/>
    </row>
    <row r="112" spans="1:17">
      <c r="B112" s="9" t="str">
        <f t="shared" si="22"/>
        <v/>
      </c>
      <c r="C112" s="153">
        <f>IF(D93="","-",+C111+1)</f>
        <v>2020</v>
      </c>
      <c r="D112" s="154">
        <f>IF(F111+SUM(E$99:E111)=D$92,F111,D$92-SUM(E$99:E111))</f>
        <v>256979.64866860863</v>
      </c>
      <c r="E112" s="160">
        <f>IF(+J96&lt;F111,J96,D112)</f>
        <v>8860.6904761904771</v>
      </c>
      <c r="F112" s="159">
        <f t="shared" si="25"/>
        <v>248118.95819241815</v>
      </c>
      <c r="G112" s="159">
        <f t="shared" si="26"/>
        <v>252549.30343051339</v>
      </c>
      <c r="H112" s="163">
        <f>+J$94*G112+E112</f>
        <v>39538.222500969234</v>
      </c>
      <c r="I112" s="253">
        <f>+J$95*G112+E112</f>
        <v>39538.222500969234</v>
      </c>
      <c r="J112" s="158">
        <f t="shared" si="18"/>
        <v>0</v>
      </c>
      <c r="K112" s="158"/>
      <c r="L112" s="334"/>
      <c r="M112" s="158">
        <f t="shared" si="19"/>
        <v>0</v>
      </c>
      <c r="N112" s="334"/>
      <c r="O112" s="158">
        <f t="shared" si="20"/>
        <v>0</v>
      </c>
      <c r="P112" s="158">
        <f t="shared" si="21"/>
        <v>0</v>
      </c>
      <c r="Q112" s="1"/>
    </row>
    <row r="113" spans="2:17">
      <c r="B113" s="9" t="str">
        <f t="shared" si="22"/>
        <v/>
      </c>
      <c r="C113" s="153">
        <f>IF(D93="","-",+C112+1)</f>
        <v>2021</v>
      </c>
      <c r="D113" s="154">
        <f>IF(F112+SUM(E$99:E112)=D$92,F112,D$92-SUM(E$99:E112))</f>
        <v>248118.95819241815</v>
      </c>
      <c r="E113" s="160">
        <f>IF(+J96&lt;F112,J96,D113)</f>
        <v>8860.6904761904771</v>
      </c>
      <c r="F113" s="159">
        <f t="shared" si="25"/>
        <v>239258.26771622768</v>
      </c>
      <c r="G113" s="159">
        <f t="shared" si="26"/>
        <v>243688.61295432292</v>
      </c>
      <c r="H113" s="163">
        <f t="shared" ref="H113:H154" si="27">+J$94*G113+E113</f>
        <v>38461.901512739794</v>
      </c>
      <c r="I113" s="253">
        <f t="shared" ref="I113:I154" si="28">+J$95*G113+E113</f>
        <v>38461.901512739794</v>
      </c>
      <c r="J113" s="158">
        <f t="shared" si="18"/>
        <v>0</v>
      </c>
      <c r="K113" s="158"/>
      <c r="L113" s="334"/>
      <c r="M113" s="158">
        <f t="shared" si="19"/>
        <v>0</v>
      </c>
      <c r="N113" s="334"/>
      <c r="O113" s="158">
        <f t="shared" si="20"/>
        <v>0</v>
      </c>
      <c r="P113" s="158">
        <f t="shared" si="21"/>
        <v>0</v>
      </c>
      <c r="Q113" s="1"/>
    </row>
    <row r="114" spans="2:17">
      <c r="B114" s="9" t="str">
        <f t="shared" si="22"/>
        <v/>
      </c>
      <c r="C114" s="153">
        <f>IF(D93="","-",+C113+1)</f>
        <v>2022</v>
      </c>
      <c r="D114" s="154">
        <f>IF(F113+SUM(E$99:E113)=D$92,F113,D$92-SUM(E$99:E113))</f>
        <v>239258.26771622768</v>
      </c>
      <c r="E114" s="160">
        <f>IF(+J96&lt;F113,J96,D114)</f>
        <v>8860.6904761904771</v>
      </c>
      <c r="F114" s="159">
        <f t="shared" si="25"/>
        <v>230397.57724003721</v>
      </c>
      <c r="G114" s="159">
        <f t="shared" si="26"/>
        <v>234827.92247813244</v>
      </c>
      <c r="H114" s="163">
        <f t="shared" si="27"/>
        <v>37385.580524510362</v>
      </c>
      <c r="I114" s="253">
        <f t="shared" si="28"/>
        <v>37385.580524510362</v>
      </c>
      <c r="J114" s="158">
        <f t="shared" si="18"/>
        <v>0</v>
      </c>
      <c r="K114" s="158"/>
      <c r="L114" s="334"/>
      <c r="M114" s="158">
        <f t="shared" si="19"/>
        <v>0</v>
      </c>
      <c r="N114" s="334"/>
      <c r="O114" s="158">
        <f t="shared" si="20"/>
        <v>0</v>
      </c>
      <c r="P114" s="158">
        <f t="shared" si="21"/>
        <v>0</v>
      </c>
      <c r="Q114" s="1"/>
    </row>
    <row r="115" spans="2:17">
      <c r="B115" s="9" t="str">
        <f t="shared" si="22"/>
        <v/>
      </c>
      <c r="C115" s="153">
        <f>IF(D93="","-",+C114+1)</f>
        <v>2023</v>
      </c>
      <c r="D115" s="154">
        <f>IF(F114+SUM(E$99:E114)=D$92,F114,D$92-SUM(E$99:E114))</f>
        <v>230397.57724003721</v>
      </c>
      <c r="E115" s="160">
        <f>IF(+J96&lt;F114,J96,D115)</f>
        <v>8860.6904761904771</v>
      </c>
      <c r="F115" s="159">
        <f t="shared" si="25"/>
        <v>221536.88676384673</v>
      </c>
      <c r="G115" s="159">
        <f t="shared" si="26"/>
        <v>225967.23200194197</v>
      </c>
      <c r="H115" s="163">
        <f t="shared" si="27"/>
        <v>36309.259536280922</v>
      </c>
      <c r="I115" s="253">
        <f t="shared" si="28"/>
        <v>36309.259536280922</v>
      </c>
      <c r="J115" s="158">
        <f t="shared" si="18"/>
        <v>0</v>
      </c>
      <c r="K115" s="158"/>
      <c r="L115" s="334"/>
      <c r="M115" s="158">
        <f t="shared" si="19"/>
        <v>0</v>
      </c>
      <c r="N115" s="334"/>
      <c r="O115" s="158">
        <f t="shared" si="20"/>
        <v>0</v>
      </c>
      <c r="P115" s="158">
        <f t="shared" si="21"/>
        <v>0</v>
      </c>
      <c r="Q115" s="1"/>
    </row>
    <row r="116" spans="2:17">
      <c r="B116" s="9" t="str">
        <f t="shared" si="22"/>
        <v/>
      </c>
      <c r="C116" s="153">
        <f>IF(D93="","-",+C115+1)</f>
        <v>2024</v>
      </c>
      <c r="D116" s="154">
        <f>IF(F115+SUM(E$99:E115)=D$92,F115,D$92-SUM(E$99:E115))</f>
        <v>221536.88676384673</v>
      </c>
      <c r="E116" s="160">
        <f>IF(+J96&lt;F115,J96,D116)</f>
        <v>8860.6904761904771</v>
      </c>
      <c r="F116" s="159">
        <f t="shared" si="25"/>
        <v>212676.19628765626</v>
      </c>
      <c r="G116" s="159">
        <f t="shared" si="26"/>
        <v>217106.5415257515</v>
      </c>
      <c r="H116" s="163">
        <f t="shared" si="27"/>
        <v>35232.93854805149</v>
      </c>
      <c r="I116" s="253">
        <f t="shared" si="28"/>
        <v>35232.93854805149</v>
      </c>
      <c r="J116" s="158">
        <f t="shared" si="18"/>
        <v>0</v>
      </c>
      <c r="K116" s="158"/>
      <c r="L116" s="334"/>
      <c r="M116" s="158">
        <f t="shared" si="19"/>
        <v>0</v>
      </c>
      <c r="N116" s="334"/>
      <c r="O116" s="158">
        <f t="shared" si="20"/>
        <v>0</v>
      </c>
      <c r="P116" s="158">
        <f t="shared" si="21"/>
        <v>0</v>
      </c>
      <c r="Q116" s="1"/>
    </row>
    <row r="117" spans="2:17">
      <c r="B117" s="9" t="str">
        <f t="shared" si="22"/>
        <v/>
      </c>
      <c r="C117" s="153">
        <f>IF(D93="","-",+C116+1)</f>
        <v>2025</v>
      </c>
      <c r="D117" s="154">
        <f>IF(F116+SUM(E$99:E116)=D$92,F116,D$92-SUM(E$99:E116))</f>
        <v>212676.19628765626</v>
      </c>
      <c r="E117" s="160">
        <f>IF(+J96&lt;F116,J96,D117)</f>
        <v>8860.6904761904771</v>
      </c>
      <c r="F117" s="159">
        <f t="shared" si="25"/>
        <v>203815.50581146579</v>
      </c>
      <c r="G117" s="159">
        <f t="shared" si="26"/>
        <v>208245.85104956102</v>
      </c>
      <c r="H117" s="163">
        <f t="shared" si="27"/>
        <v>34156.617559822058</v>
      </c>
      <c r="I117" s="253">
        <f t="shared" si="28"/>
        <v>34156.617559822058</v>
      </c>
      <c r="J117" s="158">
        <f t="shared" si="18"/>
        <v>0</v>
      </c>
      <c r="K117" s="158"/>
      <c r="L117" s="334"/>
      <c r="M117" s="158">
        <f t="shared" si="19"/>
        <v>0</v>
      </c>
      <c r="N117" s="334"/>
      <c r="O117" s="158">
        <f t="shared" si="20"/>
        <v>0</v>
      </c>
      <c r="P117" s="158">
        <f t="shared" si="21"/>
        <v>0</v>
      </c>
      <c r="Q117" s="1"/>
    </row>
    <row r="118" spans="2:17">
      <c r="B118" s="9" t="str">
        <f t="shared" si="22"/>
        <v/>
      </c>
      <c r="C118" s="153">
        <f>IF(D93="","-",+C117+1)</f>
        <v>2026</v>
      </c>
      <c r="D118" s="154">
        <f>IF(F117+SUM(E$99:E117)=D$92,F117,D$92-SUM(E$99:E117))</f>
        <v>203815.50581146579</v>
      </c>
      <c r="E118" s="160">
        <f>IF(+J96&lt;F117,J96,D118)</f>
        <v>8860.6904761904771</v>
      </c>
      <c r="F118" s="159">
        <f t="shared" si="25"/>
        <v>194954.81533527531</v>
      </c>
      <c r="G118" s="159">
        <f t="shared" si="26"/>
        <v>199385.16057337055</v>
      </c>
      <c r="H118" s="163">
        <f t="shared" si="27"/>
        <v>33080.296571592626</v>
      </c>
      <c r="I118" s="253">
        <f t="shared" si="28"/>
        <v>33080.296571592626</v>
      </c>
      <c r="J118" s="158">
        <f t="shared" si="18"/>
        <v>0</v>
      </c>
      <c r="K118" s="158"/>
      <c r="L118" s="334"/>
      <c r="M118" s="158">
        <f t="shared" si="19"/>
        <v>0</v>
      </c>
      <c r="N118" s="334"/>
      <c r="O118" s="158">
        <f t="shared" si="20"/>
        <v>0</v>
      </c>
      <c r="P118" s="158">
        <f t="shared" si="21"/>
        <v>0</v>
      </c>
      <c r="Q118" s="1"/>
    </row>
    <row r="119" spans="2:17">
      <c r="B119" s="9" t="str">
        <f t="shared" si="22"/>
        <v/>
      </c>
      <c r="C119" s="153">
        <f>IF(D93="","-",+C118+1)</f>
        <v>2027</v>
      </c>
      <c r="D119" s="154">
        <f>IF(F118+SUM(E$99:E118)=D$92,F118,D$92-SUM(E$99:E118))</f>
        <v>194954.81533527531</v>
      </c>
      <c r="E119" s="160">
        <f>IF(+J96&lt;F118,J96,D119)</f>
        <v>8860.6904761904771</v>
      </c>
      <c r="F119" s="159">
        <f t="shared" si="25"/>
        <v>186094.12485908484</v>
      </c>
      <c r="G119" s="159">
        <f t="shared" si="26"/>
        <v>190524.47009718008</v>
      </c>
      <c r="H119" s="163">
        <f t="shared" si="27"/>
        <v>32003.97558336319</v>
      </c>
      <c r="I119" s="253">
        <f t="shared" si="28"/>
        <v>32003.97558336319</v>
      </c>
      <c r="J119" s="158">
        <f t="shared" si="18"/>
        <v>0</v>
      </c>
      <c r="K119" s="158"/>
      <c r="L119" s="334"/>
      <c r="M119" s="158">
        <f t="shared" si="19"/>
        <v>0</v>
      </c>
      <c r="N119" s="334"/>
      <c r="O119" s="158">
        <f t="shared" si="20"/>
        <v>0</v>
      </c>
      <c r="P119" s="158">
        <f t="shared" si="21"/>
        <v>0</v>
      </c>
      <c r="Q119" s="1"/>
    </row>
    <row r="120" spans="2:17">
      <c r="B120" s="9" t="str">
        <f t="shared" si="22"/>
        <v/>
      </c>
      <c r="C120" s="153">
        <f>IF(D93="","-",+C119+1)</f>
        <v>2028</v>
      </c>
      <c r="D120" s="154">
        <f>IF(F119+SUM(E$99:E119)=D$92,F119,D$92-SUM(E$99:E119))</f>
        <v>186094.12485908484</v>
      </c>
      <c r="E120" s="160">
        <f>IF(+J96&lt;F119,J96,D120)</f>
        <v>8860.6904761904771</v>
      </c>
      <c r="F120" s="159">
        <f t="shared" si="25"/>
        <v>177233.43438289437</v>
      </c>
      <c r="G120" s="159">
        <f t="shared" si="26"/>
        <v>181663.7796209896</v>
      </c>
      <c r="H120" s="163">
        <f t="shared" si="27"/>
        <v>30927.654595133758</v>
      </c>
      <c r="I120" s="253">
        <f t="shared" si="28"/>
        <v>30927.654595133758</v>
      </c>
      <c r="J120" s="158">
        <f t="shared" si="18"/>
        <v>0</v>
      </c>
      <c r="K120" s="158"/>
      <c r="L120" s="334"/>
      <c r="M120" s="158">
        <f t="shared" si="19"/>
        <v>0</v>
      </c>
      <c r="N120" s="334"/>
      <c r="O120" s="158">
        <f t="shared" si="20"/>
        <v>0</v>
      </c>
      <c r="P120" s="158">
        <f t="shared" si="21"/>
        <v>0</v>
      </c>
      <c r="Q120" s="1"/>
    </row>
    <row r="121" spans="2:17">
      <c r="B121" s="9" t="str">
        <f t="shared" si="22"/>
        <v/>
      </c>
      <c r="C121" s="153">
        <f>IF(D93="","-",+C120+1)</f>
        <v>2029</v>
      </c>
      <c r="D121" s="154">
        <f>IF(F120+SUM(E$99:E120)=D$92,F120,D$92-SUM(E$99:E120))</f>
        <v>177233.43438289437</v>
      </c>
      <c r="E121" s="160">
        <f>IF(+J96&lt;F120,J96,D121)</f>
        <v>8860.6904761904771</v>
      </c>
      <c r="F121" s="159">
        <f t="shared" si="25"/>
        <v>168372.74390670389</v>
      </c>
      <c r="G121" s="159">
        <f t="shared" si="26"/>
        <v>172803.08914479913</v>
      </c>
      <c r="H121" s="163">
        <f t="shared" si="27"/>
        <v>29851.333606904325</v>
      </c>
      <c r="I121" s="253">
        <f t="shared" si="28"/>
        <v>29851.333606904325</v>
      </c>
      <c r="J121" s="158">
        <f t="shared" si="18"/>
        <v>0</v>
      </c>
      <c r="K121" s="158"/>
      <c r="L121" s="334"/>
      <c r="M121" s="158">
        <f t="shared" si="19"/>
        <v>0</v>
      </c>
      <c r="N121" s="334"/>
      <c r="O121" s="158">
        <f t="shared" si="20"/>
        <v>0</v>
      </c>
      <c r="P121" s="158">
        <f t="shared" si="21"/>
        <v>0</v>
      </c>
      <c r="Q121" s="1"/>
    </row>
    <row r="122" spans="2:17">
      <c r="B122" s="9" t="str">
        <f t="shared" si="22"/>
        <v/>
      </c>
      <c r="C122" s="153">
        <f>IF(D93="","-",+C121+1)</f>
        <v>2030</v>
      </c>
      <c r="D122" s="154">
        <f>IF(F121+SUM(E$99:E121)=D$92,F121,D$92-SUM(E$99:E121))</f>
        <v>168372.74390670389</v>
      </c>
      <c r="E122" s="160">
        <f>IF(+J96&lt;F121,J96,D122)</f>
        <v>8860.6904761904771</v>
      </c>
      <c r="F122" s="159">
        <f t="shared" si="25"/>
        <v>159512.05343051342</v>
      </c>
      <c r="G122" s="159">
        <f t="shared" si="26"/>
        <v>163942.39866860866</v>
      </c>
      <c r="H122" s="163">
        <f t="shared" si="27"/>
        <v>28775.012618674889</v>
      </c>
      <c r="I122" s="253">
        <f t="shared" si="28"/>
        <v>28775.012618674889</v>
      </c>
      <c r="J122" s="158">
        <f t="shared" si="18"/>
        <v>0</v>
      </c>
      <c r="K122" s="158"/>
      <c r="L122" s="334"/>
      <c r="M122" s="158">
        <f t="shared" si="19"/>
        <v>0</v>
      </c>
      <c r="N122" s="334"/>
      <c r="O122" s="158">
        <f t="shared" si="20"/>
        <v>0</v>
      </c>
      <c r="P122" s="158">
        <f t="shared" si="21"/>
        <v>0</v>
      </c>
      <c r="Q122" s="1"/>
    </row>
    <row r="123" spans="2:17">
      <c r="B123" s="9" t="str">
        <f t="shared" si="22"/>
        <v/>
      </c>
      <c r="C123" s="153">
        <f>IF(D93="","-",+C122+1)</f>
        <v>2031</v>
      </c>
      <c r="D123" s="154">
        <f>IF(F122+SUM(E$99:E122)=D$92,F122,D$92-SUM(E$99:E122))</f>
        <v>159512.05343051342</v>
      </c>
      <c r="E123" s="160">
        <f>IF(+J96&lt;F122,J96,D123)</f>
        <v>8860.6904761904771</v>
      </c>
      <c r="F123" s="159">
        <f t="shared" si="25"/>
        <v>150651.36295432295</v>
      </c>
      <c r="G123" s="159">
        <f t="shared" si="26"/>
        <v>155081.70819241818</v>
      </c>
      <c r="H123" s="163">
        <f t="shared" si="27"/>
        <v>27698.691630445457</v>
      </c>
      <c r="I123" s="253">
        <f t="shared" si="28"/>
        <v>27698.691630445457</v>
      </c>
      <c r="J123" s="158">
        <f t="shared" si="18"/>
        <v>0</v>
      </c>
      <c r="K123" s="158"/>
      <c r="L123" s="334"/>
      <c r="M123" s="158">
        <f t="shared" si="19"/>
        <v>0</v>
      </c>
      <c r="N123" s="334"/>
      <c r="O123" s="158">
        <f t="shared" si="20"/>
        <v>0</v>
      </c>
      <c r="P123" s="158">
        <f t="shared" si="21"/>
        <v>0</v>
      </c>
      <c r="Q123" s="1"/>
    </row>
    <row r="124" spans="2:17">
      <c r="B124" s="9" t="str">
        <f t="shared" si="22"/>
        <v/>
      </c>
      <c r="C124" s="153">
        <f>IF(D93="","-",+C123+1)</f>
        <v>2032</v>
      </c>
      <c r="D124" s="154">
        <f>IF(F123+SUM(E$99:E123)=D$92,F123,D$92-SUM(E$99:E123))</f>
        <v>150651.36295432295</v>
      </c>
      <c r="E124" s="160">
        <f>IF(+J96&lt;F123,J96,D124)</f>
        <v>8860.6904761904771</v>
      </c>
      <c r="F124" s="159">
        <f t="shared" si="25"/>
        <v>141790.67247813247</v>
      </c>
      <c r="G124" s="159">
        <f t="shared" si="26"/>
        <v>146221.01771622771</v>
      </c>
      <c r="H124" s="163">
        <f t="shared" si="27"/>
        <v>26622.370642216021</v>
      </c>
      <c r="I124" s="253">
        <f t="shared" si="28"/>
        <v>26622.370642216021</v>
      </c>
      <c r="J124" s="158">
        <f t="shared" si="18"/>
        <v>0</v>
      </c>
      <c r="K124" s="158"/>
      <c r="L124" s="334"/>
      <c r="M124" s="158">
        <f t="shared" si="19"/>
        <v>0</v>
      </c>
      <c r="N124" s="334"/>
      <c r="O124" s="158">
        <f t="shared" si="20"/>
        <v>0</v>
      </c>
      <c r="P124" s="158">
        <f t="shared" si="21"/>
        <v>0</v>
      </c>
      <c r="Q124" s="1"/>
    </row>
    <row r="125" spans="2:17">
      <c r="B125" s="9" t="str">
        <f t="shared" si="22"/>
        <v/>
      </c>
      <c r="C125" s="153">
        <f>IF(D93="","-",+C124+1)</f>
        <v>2033</v>
      </c>
      <c r="D125" s="154">
        <f>IF(F124+SUM(E$99:E124)=D$92,F124,D$92-SUM(E$99:E124))</f>
        <v>141790.67247813247</v>
      </c>
      <c r="E125" s="160">
        <f>IF(+J96&lt;F124,J96,D125)</f>
        <v>8860.6904761904771</v>
      </c>
      <c r="F125" s="159">
        <f t="shared" si="25"/>
        <v>132929.982001942</v>
      </c>
      <c r="G125" s="159">
        <f t="shared" si="26"/>
        <v>137360.32724003724</v>
      </c>
      <c r="H125" s="163">
        <f t="shared" si="27"/>
        <v>25546.049653986589</v>
      </c>
      <c r="I125" s="253">
        <f t="shared" si="28"/>
        <v>25546.049653986589</v>
      </c>
      <c r="J125" s="158">
        <f t="shared" si="18"/>
        <v>0</v>
      </c>
      <c r="K125" s="158"/>
      <c r="L125" s="334"/>
      <c r="M125" s="158">
        <f t="shared" si="19"/>
        <v>0</v>
      </c>
      <c r="N125" s="334"/>
      <c r="O125" s="158">
        <f t="shared" si="20"/>
        <v>0</v>
      </c>
      <c r="P125" s="158">
        <f t="shared" si="21"/>
        <v>0</v>
      </c>
      <c r="Q125" s="1"/>
    </row>
    <row r="126" spans="2:17">
      <c r="B126" s="9" t="str">
        <f t="shared" si="22"/>
        <v/>
      </c>
      <c r="C126" s="153">
        <f>IF(D93="","-",+C125+1)</f>
        <v>2034</v>
      </c>
      <c r="D126" s="154">
        <f>IF(F125+SUM(E$99:E125)=D$92,F125,D$92-SUM(E$99:E125))</f>
        <v>132929.982001942</v>
      </c>
      <c r="E126" s="160">
        <f>IF(+J96&lt;F125,J96,D126)</f>
        <v>8860.6904761904771</v>
      </c>
      <c r="F126" s="159">
        <f t="shared" si="25"/>
        <v>124069.29152575153</v>
      </c>
      <c r="G126" s="159">
        <f t="shared" si="26"/>
        <v>128499.63676384676</v>
      </c>
      <c r="H126" s="163">
        <f t="shared" si="27"/>
        <v>24469.728665757153</v>
      </c>
      <c r="I126" s="253">
        <f t="shared" si="28"/>
        <v>24469.728665757153</v>
      </c>
      <c r="J126" s="158">
        <f t="shared" si="18"/>
        <v>0</v>
      </c>
      <c r="K126" s="158"/>
      <c r="L126" s="334"/>
      <c r="M126" s="158">
        <f t="shared" si="19"/>
        <v>0</v>
      </c>
      <c r="N126" s="334"/>
      <c r="O126" s="158">
        <f t="shared" si="20"/>
        <v>0</v>
      </c>
      <c r="P126" s="158">
        <f t="shared" si="21"/>
        <v>0</v>
      </c>
      <c r="Q126" s="1"/>
    </row>
    <row r="127" spans="2:17">
      <c r="B127" s="9" t="str">
        <f t="shared" si="22"/>
        <v/>
      </c>
      <c r="C127" s="153">
        <f>IF(D93="","-",+C126+1)</f>
        <v>2035</v>
      </c>
      <c r="D127" s="154">
        <f>IF(F126+SUM(E$99:E126)=D$92,F126,D$92-SUM(E$99:E126))</f>
        <v>124069.29152575153</v>
      </c>
      <c r="E127" s="160">
        <f>IF(+J96&lt;F126,J96,D127)</f>
        <v>8860.6904761904771</v>
      </c>
      <c r="F127" s="159">
        <f t="shared" si="25"/>
        <v>115208.60104956105</v>
      </c>
      <c r="G127" s="159">
        <f t="shared" si="26"/>
        <v>119638.94628765629</v>
      </c>
      <c r="H127" s="163">
        <f t="shared" si="27"/>
        <v>23393.407677527721</v>
      </c>
      <c r="I127" s="253">
        <f t="shared" si="28"/>
        <v>23393.407677527721</v>
      </c>
      <c r="J127" s="158">
        <f t="shared" si="18"/>
        <v>0</v>
      </c>
      <c r="K127" s="158"/>
      <c r="L127" s="334"/>
      <c r="M127" s="158">
        <f t="shared" si="19"/>
        <v>0</v>
      </c>
      <c r="N127" s="334"/>
      <c r="O127" s="158">
        <f t="shared" si="20"/>
        <v>0</v>
      </c>
      <c r="P127" s="158">
        <f t="shared" si="21"/>
        <v>0</v>
      </c>
      <c r="Q127" s="1"/>
    </row>
    <row r="128" spans="2:17">
      <c r="B128" s="9" t="str">
        <f t="shared" si="22"/>
        <v/>
      </c>
      <c r="C128" s="153">
        <f>IF(D93="","-",+C127+1)</f>
        <v>2036</v>
      </c>
      <c r="D128" s="154">
        <f>IF(F127+SUM(E$99:E127)=D$92,F127,D$92-SUM(E$99:E127))</f>
        <v>115208.60104956105</v>
      </c>
      <c r="E128" s="160">
        <f>IF(+J96&lt;F127,J96,D128)</f>
        <v>8860.6904761904771</v>
      </c>
      <c r="F128" s="159">
        <f t="shared" si="25"/>
        <v>106347.91057337058</v>
      </c>
      <c r="G128" s="159">
        <f t="shared" si="26"/>
        <v>110778.25581146582</v>
      </c>
      <c r="H128" s="163">
        <f t="shared" si="27"/>
        <v>22317.086689298289</v>
      </c>
      <c r="I128" s="253">
        <f t="shared" si="28"/>
        <v>22317.086689298289</v>
      </c>
      <c r="J128" s="158">
        <f t="shared" si="18"/>
        <v>0</v>
      </c>
      <c r="K128" s="158"/>
      <c r="L128" s="334"/>
      <c r="M128" s="158">
        <f t="shared" si="19"/>
        <v>0</v>
      </c>
      <c r="N128" s="334"/>
      <c r="O128" s="158">
        <f t="shared" si="20"/>
        <v>0</v>
      </c>
      <c r="P128" s="158">
        <f t="shared" si="21"/>
        <v>0</v>
      </c>
      <c r="Q128" s="1"/>
    </row>
    <row r="129" spans="2:17">
      <c r="B129" s="9" t="str">
        <f t="shared" si="22"/>
        <v/>
      </c>
      <c r="C129" s="153">
        <f>IF(D93="","-",+C128+1)</f>
        <v>2037</v>
      </c>
      <c r="D129" s="154">
        <f>IF(F128+SUM(E$99:E128)=D$92,F128,D$92-SUM(E$99:E128))</f>
        <v>106347.91057337058</v>
      </c>
      <c r="E129" s="160">
        <f>IF(+J96&lt;F128,J96,D129)</f>
        <v>8860.6904761904771</v>
      </c>
      <c r="F129" s="159">
        <f t="shared" si="25"/>
        <v>97487.220097180107</v>
      </c>
      <c r="G129" s="159">
        <f t="shared" si="26"/>
        <v>101917.56533527534</v>
      </c>
      <c r="H129" s="163">
        <f t="shared" si="27"/>
        <v>21240.765701068853</v>
      </c>
      <c r="I129" s="253">
        <f t="shared" si="28"/>
        <v>21240.765701068853</v>
      </c>
      <c r="J129" s="158">
        <f t="shared" si="18"/>
        <v>0</v>
      </c>
      <c r="K129" s="158"/>
      <c r="L129" s="334"/>
      <c r="M129" s="158">
        <f t="shared" si="19"/>
        <v>0</v>
      </c>
      <c r="N129" s="334"/>
      <c r="O129" s="158">
        <f t="shared" si="20"/>
        <v>0</v>
      </c>
      <c r="P129" s="158">
        <f t="shared" si="21"/>
        <v>0</v>
      </c>
      <c r="Q129" s="1"/>
    </row>
    <row r="130" spans="2:17">
      <c r="B130" s="9" t="str">
        <f t="shared" si="22"/>
        <v/>
      </c>
      <c r="C130" s="153">
        <f>IF(D93="","-",+C129+1)</f>
        <v>2038</v>
      </c>
      <c r="D130" s="154">
        <f>IF(F129+SUM(E$99:E129)=D$92,F129,D$92-SUM(E$99:E129))</f>
        <v>97487.220097180107</v>
      </c>
      <c r="E130" s="160">
        <f>IF(+J96&lt;F129,J96,D130)</f>
        <v>8860.6904761904771</v>
      </c>
      <c r="F130" s="159">
        <f t="shared" si="25"/>
        <v>88626.529620989633</v>
      </c>
      <c r="G130" s="159">
        <f t="shared" si="26"/>
        <v>93056.87485908487</v>
      </c>
      <c r="H130" s="163">
        <f t="shared" si="27"/>
        <v>20164.444712839417</v>
      </c>
      <c r="I130" s="253">
        <f t="shared" si="28"/>
        <v>20164.444712839417</v>
      </c>
      <c r="J130" s="158">
        <f t="shared" si="18"/>
        <v>0</v>
      </c>
      <c r="K130" s="158"/>
      <c r="L130" s="334"/>
      <c r="M130" s="158">
        <f t="shared" si="19"/>
        <v>0</v>
      </c>
      <c r="N130" s="334"/>
      <c r="O130" s="158">
        <f t="shared" si="20"/>
        <v>0</v>
      </c>
      <c r="P130" s="158">
        <f t="shared" si="21"/>
        <v>0</v>
      </c>
      <c r="Q130" s="1"/>
    </row>
    <row r="131" spans="2:17">
      <c r="B131" s="9" t="str">
        <f t="shared" si="22"/>
        <v/>
      </c>
      <c r="C131" s="153">
        <f>IF(D93="","-",+C130+1)</f>
        <v>2039</v>
      </c>
      <c r="D131" s="154">
        <f>IF(F130+SUM(E$99:E130)=D$92,F130,D$92-SUM(E$99:E130))</f>
        <v>88626.529620989633</v>
      </c>
      <c r="E131" s="160">
        <f>IF(+J96&lt;F130,J96,D131)</f>
        <v>8860.6904761904771</v>
      </c>
      <c r="F131" s="159">
        <f t="shared" ref="F131:F154" si="29">+D131-E131</f>
        <v>79765.83914479916</v>
      </c>
      <c r="G131" s="159">
        <f t="shared" ref="G131:G154" si="30">+(F131+D131)/2</f>
        <v>84196.184382894397</v>
      </c>
      <c r="H131" s="163">
        <f t="shared" si="27"/>
        <v>19088.123724609984</v>
      </c>
      <c r="I131" s="253">
        <f t="shared" si="28"/>
        <v>19088.123724609984</v>
      </c>
      <c r="J131" s="158">
        <f t="shared" ref="J131:J154" si="31">+I131-H131</f>
        <v>0</v>
      </c>
      <c r="K131" s="158"/>
      <c r="L131" s="334"/>
      <c r="M131" s="158">
        <f t="shared" ref="M131:M154" si="32">IF(L131&lt;&gt;0,+H131-L131,0)</f>
        <v>0</v>
      </c>
      <c r="N131" s="334"/>
      <c r="O131" s="158">
        <f t="shared" ref="O131:O154" si="33">IF(N131&lt;&gt;0,+I131-N131,0)</f>
        <v>0</v>
      </c>
      <c r="P131" s="158">
        <f t="shared" ref="P131:P154" si="34">+O131-M131</f>
        <v>0</v>
      </c>
      <c r="Q131" s="1"/>
    </row>
    <row r="132" spans="2:17">
      <c r="B132" s="9" t="str">
        <f t="shared" si="22"/>
        <v/>
      </c>
      <c r="C132" s="153">
        <f>IF(D93="","-",+C131+1)</f>
        <v>2040</v>
      </c>
      <c r="D132" s="154">
        <f>IF(F131+SUM(E$99:E131)=D$92,F131,D$92-SUM(E$99:E131))</f>
        <v>79765.83914479916</v>
      </c>
      <c r="E132" s="160">
        <f>IF(+J96&lt;F131,J96,D132)</f>
        <v>8860.6904761904771</v>
      </c>
      <c r="F132" s="159">
        <f t="shared" si="29"/>
        <v>70905.148668608686</v>
      </c>
      <c r="G132" s="159">
        <f t="shared" si="30"/>
        <v>75335.493906703923</v>
      </c>
      <c r="H132" s="163">
        <f t="shared" si="27"/>
        <v>18011.802736380552</v>
      </c>
      <c r="I132" s="253">
        <f t="shared" si="28"/>
        <v>18011.802736380552</v>
      </c>
      <c r="J132" s="158">
        <f t="shared" si="31"/>
        <v>0</v>
      </c>
      <c r="K132" s="158"/>
      <c r="L132" s="334"/>
      <c r="M132" s="158">
        <f t="shared" si="32"/>
        <v>0</v>
      </c>
      <c r="N132" s="334"/>
      <c r="O132" s="158">
        <f t="shared" si="33"/>
        <v>0</v>
      </c>
      <c r="P132" s="158">
        <f t="shared" si="34"/>
        <v>0</v>
      </c>
      <c r="Q132" s="1"/>
    </row>
    <row r="133" spans="2:17">
      <c r="B133" s="9" t="str">
        <f t="shared" si="22"/>
        <v/>
      </c>
      <c r="C133" s="153">
        <f>IF(D93="","-",+C132+1)</f>
        <v>2041</v>
      </c>
      <c r="D133" s="154">
        <f>IF(F132+SUM(E$99:E132)=D$92,F132,D$92-SUM(E$99:E132))</f>
        <v>70905.148668608686</v>
      </c>
      <c r="E133" s="160">
        <f>IF(+J96&lt;F132,J96,D133)</f>
        <v>8860.6904761904771</v>
      </c>
      <c r="F133" s="159">
        <f t="shared" si="29"/>
        <v>62044.458192418213</v>
      </c>
      <c r="G133" s="159">
        <f t="shared" si="30"/>
        <v>66474.80343051345</v>
      </c>
      <c r="H133" s="163">
        <f t="shared" si="27"/>
        <v>16935.481748151116</v>
      </c>
      <c r="I133" s="253">
        <f t="shared" si="28"/>
        <v>16935.481748151116</v>
      </c>
      <c r="J133" s="158">
        <f t="shared" si="31"/>
        <v>0</v>
      </c>
      <c r="K133" s="158"/>
      <c r="L133" s="334"/>
      <c r="M133" s="158">
        <f t="shared" si="32"/>
        <v>0</v>
      </c>
      <c r="N133" s="334"/>
      <c r="O133" s="158">
        <f t="shared" si="33"/>
        <v>0</v>
      </c>
      <c r="P133" s="158">
        <f t="shared" si="34"/>
        <v>0</v>
      </c>
      <c r="Q133" s="1"/>
    </row>
    <row r="134" spans="2:17">
      <c r="B134" s="9" t="str">
        <f t="shared" si="22"/>
        <v/>
      </c>
      <c r="C134" s="153">
        <f>IF(D93="","-",+C133+1)</f>
        <v>2042</v>
      </c>
      <c r="D134" s="154">
        <f>IF(F133+SUM(E$99:E133)=D$92,F133,D$92-SUM(E$99:E133))</f>
        <v>62044.458192418213</v>
      </c>
      <c r="E134" s="160">
        <f>IF(+J96&lt;F133,J96,D134)</f>
        <v>8860.6904761904771</v>
      </c>
      <c r="F134" s="159">
        <f t="shared" si="29"/>
        <v>53183.76771622774</v>
      </c>
      <c r="G134" s="159">
        <f t="shared" si="30"/>
        <v>57614.112954322976</v>
      </c>
      <c r="H134" s="163">
        <f t="shared" si="27"/>
        <v>15859.160759921684</v>
      </c>
      <c r="I134" s="253">
        <f t="shared" si="28"/>
        <v>15859.160759921684</v>
      </c>
      <c r="J134" s="158">
        <f t="shared" si="31"/>
        <v>0</v>
      </c>
      <c r="K134" s="158"/>
      <c r="L134" s="334"/>
      <c r="M134" s="158">
        <f t="shared" si="32"/>
        <v>0</v>
      </c>
      <c r="N134" s="334"/>
      <c r="O134" s="158">
        <f t="shared" si="33"/>
        <v>0</v>
      </c>
      <c r="P134" s="158">
        <f t="shared" si="34"/>
        <v>0</v>
      </c>
      <c r="Q134" s="1"/>
    </row>
    <row r="135" spans="2:17">
      <c r="B135" s="9" t="str">
        <f t="shared" si="22"/>
        <v/>
      </c>
      <c r="C135" s="153">
        <f>IF(D93="","-",+C134+1)</f>
        <v>2043</v>
      </c>
      <c r="D135" s="154">
        <f>IF(F134+SUM(E$99:E134)=D$92,F134,D$92-SUM(E$99:E134))</f>
        <v>53183.76771622774</v>
      </c>
      <c r="E135" s="160">
        <f>IF(+J96&lt;F134,J96,D135)</f>
        <v>8860.6904761904771</v>
      </c>
      <c r="F135" s="159">
        <f t="shared" si="29"/>
        <v>44323.077240037266</v>
      </c>
      <c r="G135" s="159">
        <f t="shared" si="30"/>
        <v>48753.422478132503</v>
      </c>
      <c r="H135" s="163">
        <f t="shared" si="27"/>
        <v>14782.839771692248</v>
      </c>
      <c r="I135" s="253">
        <f t="shared" si="28"/>
        <v>14782.839771692248</v>
      </c>
      <c r="J135" s="158">
        <f t="shared" si="31"/>
        <v>0</v>
      </c>
      <c r="K135" s="158"/>
      <c r="L135" s="334"/>
      <c r="M135" s="158">
        <f t="shared" si="32"/>
        <v>0</v>
      </c>
      <c r="N135" s="334"/>
      <c r="O135" s="158">
        <f t="shared" si="33"/>
        <v>0</v>
      </c>
      <c r="P135" s="158">
        <f t="shared" si="34"/>
        <v>0</v>
      </c>
      <c r="Q135" s="1"/>
    </row>
    <row r="136" spans="2:17">
      <c r="B136" s="9" t="str">
        <f t="shared" si="22"/>
        <v/>
      </c>
      <c r="C136" s="153">
        <f>IF(D93="","-",+C135+1)</f>
        <v>2044</v>
      </c>
      <c r="D136" s="154">
        <f>IF(F135+SUM(E$99:E135)=D$92,F135,D$92-SUM(E$99:E135))</f>
        <v>44323.077240037266</v>
      </c>
      <c r="E136" s="160">
        <f>IF(+J96&lt;F135,J96,D136)</f>
        <v>8860.6904761904771</v>
      </c>
      <c r="F136" s="159">
        <f t="shared" si="29"/>
        <v>35462.386763846793</v>
      </c>
      <c r="G136" s="159">
        <f t="shared" si="30"/>
        <v>39892.732001942029</v>
      </c>
      <c r="H136" s="163">
        <f t="shared" si="27"/>
        <v>13706.518783462816</v>
      </c>
      <c r="I136" s="253">
        <f t="shared" si="28"/>
        <v>13706.518783462816</v>
      </c>
      <c r="J136" s="158">
        <f t="shared" si="31"/>
        <v>0</v>
      </c>
      <c r="K136" s="158"/>
      <c r="L136" s="334"/>
      <c r="M136" s="158">
        <f t="shared" si="32"/>
        <v>0</v>
      </c>
      <c r="N136" s="334"/>
      <c r="O136" s="158">
        <f t="shared" si="33"/>
        <v>0</v>
      </c>
      <c r="P136" s="158">
        <f t="shared" si="34"/>
        <v>0</v>
      </c>
      <c r="Q136" s="1"/>
    </row>
    <row r="137" spans="2:17">
      <c r="B137" s="9" t="str">
        <f t="shared" si="22"/>
        <v/>
      </c>
      <c r="C137" s="153">
        <f>IF(D93="","-",+C136+1)</f>
        <v>2045</v>
      </c>
      <c r="D137" s="154">
        <f>IF(F136+SUM(E$99:E136)=D$92,F136,D$92-SUM(E$99:E136))</f>
        <v>35462.386763846793</v>
      </c>
      <c r="E137" s="160">
        <f>IF(+J96&lt;F136,J96,D137)</f>
        <v>8860.6904761904771</v>
      </c>
      <c r="F137" s="159">
        <f t="shared" si="29"/>
        <v>26601.696287656316</v>
      </c>
      <c r="G137" s="159">
        <f t="shared" si="30"/>
        <v>31032.041525751556</v>
      </c>
      <c r="H137" s="163">
        <f t="shared" si="27"/>
        <v>12630.197795233382</v>
      </c>
      <c r="I137" s="253">
        <f t="shared" si="28"/>
        <v>12630.197795233382</v>
      </c>
      <c r="J137" s="158">
        <f t="shared" si="31"/>
        <v>0</v>
      </c>
      <c r="K137" s="158"/>
      <c r="L137" s="334"/>
      <c r="M137" s="158">
        <f t="shared" si="32"/>
        <v>0</v>
      </c>
      <c r="N137" s="334"/>
      <c r="O137" s="158">
        <f t="shared" si="33"/>
        <v>0</v>
      </c>
      <c r="P137" s="158">
        <f t="shared" si="34"/>
        <v>0</v>
      </c>
      <c r="Q137" s="1"/>
    </row>
    <row r="138" spans="2:17">
      <c r="B138" s="9" t="str">
        <f t="shared" si="22"/>
        <v/>
      </c>
      <c r="C138" s="153">
        <f>IF(D93="","-",+C137+1)</f>
        <v>2046</v>
      </c>
      <c r="D138" s="154">
        <f>IF(F137+SUM(E$99:E137)=D$92,F137,D$92-SUM(E$99:E137))</f>
        <v>26601.696287656316</v>
      </c>
      <c r="E138" s="160">
        <f>IF(+J96&lt;F137,J96,D138)</f>
        <v>8860.6904761904771</v>
      </c>
      <c r="F138" s="159">
        <f t="shared" si="29"/>
        <v>17741.005811465839</v>
      </c>
      <c r="G138" s="159">
        <f t="shared" si="30"/>
        <v>22171.351049561075</v>
      </c>
      <c r="H138" s="163">
        <f t="shared" si="27"/>
        <v>11553.876807003946</v>
      </c>
      <c r="I138" s="253">
        <f t="shared" si="28"/>
        <v>11553.876807003946</v>
      </c>
      <c r="J138" s="158">
        <f t="shared" si="31"/>
        <v>0</v>
      </c>
      <c r="K138" s="158"/>
      <c r="L138" s="334"/>
      <c r="M138" s="158">
        <f t="shared" si="32"/>
        <v>0</v>
      </c>
      <c r="N138" s="334"/>
      <c r="O138" s="158">
        <f t="shared" si="33"/>
        <v>0</v>
      </c>
      <c r="P138" s="158">
        <f t="shared" si="34"/>
        <v>0</v>
      </c>
      <c r="Q138" s="1"/>
    </row>
    <row r="139" spans="2:17">
      <c r="B139" s="9" t="str">
        <f t="shared" si="22"/>
        <v/>
      </c>
      <c r="C139" s="153">
        <f>IF(D93="","-",+C138+1)</f>
        <v>2047</v>
      </c>
      <c r="D139" s="154">
        <f>IF(F138+SUM(E$99:E138)=D$92,F138,D$92-SUM(E$99:E138))</f>
        <v>17741.005811465839</v>
      </c>
      <c r="E139" s="160">
        <f>IF(+J96&lt;F138,J96,D139)</f>
        <v>8860.6904761904771</v>
      </c>
      <c r="F139" s="159">
        <f t="shared" si="29"/>
        <v>8880.3153352753616</v>
      </c>
      <c r="G139" s="159">
        <f t="shared" si="30"/>
        <v>13310.6605733706</v>
      </c>
      <c r="H139" s="163">
        <f t="shared" si="27"/>
        <v>10477.555818774512</v>
      </c>
      <c r="I139" s="253">
        <f t="shared" si="28"/>
        <v>10477.555818774512</v>
      </c>
      <c r="J139" s="158">
        <f t="shared" si="31"/>
        <v>0</v>
      </c>
      <c r="K139" s="158"/>
      <c r="L139" s="334"/>
      <c r="M139" s="158">
        <f t="shared" si="32"/>
        <v>0</v>
      </c>
      <c r="N139" s="334"/>
      <c r="O139" s="158">
        <f t="shared" si="33"/>
        <v>0</v>
      </c>
      <c r="P139" s="158">
        <f t="shared" si="34"/>
        <v>0</v>
      </c>
      <c r="Q139" s="1"/>
    </row>
    <row r="140" spans="2:17">
      <c r="B140" s="9" t="str">
        <f t="shared" si="22"/>
        <v/>
      </c>
      <c r="C140" s="153">
        <f>IF(D93="","-",+C139+1)</f>
        <v>2048</v>
      </c>
      <c r="D140" s="154">
        <f>IF(F139+SUM(E$99:E139)=D$92,F139,D$92-SUM(E$99:E139))</f>
        <v>8880.3153352753616</v>
      </c>
      <c r="E140" s="160">
        <f>IF(+J96&lt;F139,J96,D140)</f>
        <v>8860.6904761904771</v>
      </c>
      <c r="F140" s="159">
        <f t="shared" si="29"/>
        <v>19.62485908488452</v>
      </c>
      <c r="G140" s="159">
        <f t="shared" si="30"/>
        <v>4449.970097180123</v>
      </c>
      <c r="H140" s="163">
        <f t="shared" si="27"/>
        <v>9401.2348305450778</v>
      </c>
      <c r="I140" s="253">
        <f t="shared" si="28"/>
        <v>9401.2348305450778</v>
      </c>
      <c r="J140" s="158">
        <f t="shared" si="31"/>
        <v>0</v>
      </c>
      <c r="K140" s="158"/>
      <c r="L140" s="334"/>
      <c r="M140" s="158">
        <f t="shared" si="32"/>
        <v>0</v>
      </c>
      <c r="N140" s="334"/>
      <c r="O140" s="158">
        <f t="shared" si="33"/>
        <v>0</v>
      </c>
      <c r="P140" s="158">
        <f t="shared" si="34"/>
        <v>0</v>
      </c>
      <c r="Q140" s="1"/>
    </row>
    <row r="141" spans="2:17">
      <c r="B141" s="9" t="str">
        <f t="shared" si="22"/>
        <v/>
      </c>
      <c r="C141" s="153">
        <f>IF(D93="","-",+C140+1)</f>
        <v>2049</v>
      </c>
      <c r="D141" s="154">
        <f>IF(F140+SUM(E$99:E140)=D$92,F140,D$92-SUM(E$99:E140))</f>
        <v>19.62485908488452</v>
      </c>
      <c r="E141" s="160">
        <f>IF(+J96&lt;F140,J96,D141)</f>
        <v>19.62485908488452</v>
      </c>
      <c r="F141" s="159">
        <f t="shared" si="29"/>
        <v>0</v>
      </c>
      <c r="G141" s="159">
        <f t="shared" si="30"/>
        <v>9.8124295424422598</v>
      </c>
      <c r="H141" s="163">
        <f t="shared" si="27"/>
        <v>20.81678920482635</v>
      </c>
      <c r="I141" s="253">
        <f t="shared" si="28"/>
        <v>20.81678920482635</v>
      </c>
      <c r="J141" s="158">
        <f t="shared" si="31"/>
        <v>0</v>
      </c>
      <c r="K141" s="158"/>
      <c r="L141" s="334"/>
      <c r="M141" s="158">
        <f t="shared" si="32"/>
        <v>0</v>
      </c>
      <c r="N141" s="334"/>
      <c r="O141" s="158">
        <f t="shared" si="33"/>
        <v>0</v>
      </c>
      <c r="P141" s="158">
        <f t="shared" si="34"/>
        <v>0</v>
      </c>
      <c r="Q141" s="1"/>
    </row>
    <row r="142" spans="2:17">
      <c r="B142" s="9" t="str">
        <f t="shared" si="22"/>
        <v/>
      </c>
      <c r="C142" s="153">
        <f>IF(D93="","-",+C141+1)</f>
        <v>2050</v>
      </c>
      <c r="D142" s="154">
        <f>IF(F141+SUM(E$99:E141)=D$92,F141,D$92-SUM(E$99:E141))</f>
        <v>0</v>
      </c>
      <c r="E142" s="160">
        <f>IF(+J96&lt;F141,J96,D142)</f>
        <v>0</v>
      </c>
      <c r="F142" s="159">
        <f t="shared" si="29"/>
        <v>0</v>
      </c>
      <c r="G142" s="159">
        <f t="shared" si="30"/>
        <v>0</v>
      </c>
      <c r="H142" s="163">
        <f t="shared" si="27"/>
        <v>0</v>
      </c>
      <c r="I142" s="253">
        <f t="shared" si="28"/>
        <v>0</v>
      </c>
      <c r="J142" s="158">
        <f t="shared" si="31"/>
        <v>0</v>
      </c>
      <c r="K142" s="158"/>
      <c r="L142" s="334"/>
      <c r="M142" s="158">
        <f t="shared" si="32"/>
        <v>0</v>
      </c>
      <c r="N142" s="334"/>
      <c r="O142" s="158">
        <f t="shared" si="33"/>
        <v>0</v>
      </c>
      <c r="P142" s="158">
        <f t="shared" si="34"/>
        <v>0</v>
      </c>
      <c r="Q142" s="1"/>
    </row>
    <row r="143" spans="2:17">
      <c r="B143" s="9" t="str">
        <f t="shared" si="22"/>
        <v/>
      </c>
      <c r="C143" s="153">
        <f>IF(D93="","-",+C142+1)</f>
        <v>2051</v>
      </c>
      <c r="D143" s="154">
        <f>IF(F142+SUM(E$99:E142)=D$92,F142,D$92-SUM(E$99:E142))</f>
        <v>0</v>
      </c>
      <c r="E143" s="160">
        <f>IF(+J96&lt;F142,J96,D143)</f>
        <v>0</v>
      </c>
      <c r="F143" s="159">
        <f t="shared" si="29"/>
        <v>0</v>
      </c>
      <c r="G143" s="159">
        <f t="shared" si="30"/>
        <v>0</v>
      </c>
      <c r="H143" s="163">
        <f t="shared" si="27"/>
        <v>0</v>
      </c>
      <c r="I143" s="253">
        <f t="shared" si="28"/>
        <v>0</v>
      </c>
      <c r="J143" s="158">
        <f t="shared" si="31"/>
        <v>0</v>
      </c>
      <c r="K143" s="158"/>
      <c r="L143" s="334"/>
      <c r="M143" s="158">
        <f t="shared" si="32"/>
        <v>0</v>
      </c>
      <c r="N143" s="334"/>
      <c r="O143" s="158">
        <f t="shared" si="33"/>
        <v>0</v>
      </c>
      <c r="P143" s="158">
        <f t="shared" si="34"/>
        <v>0</v>
      </c>
      <c r="Q143" s="1"/>
    </row>
    <row r="144" spans="2:17">
      <c r="B144" s="9" t="str">
        <f t="shared" si="22"/>
        <v/>
      </c>
      <c r="C144" s="153">
        <f>IF(D93="","-",+C143+1)</f>
        <v>2052</v>
      </c>
      <c r="D144" s="154">
        <f>IF(F143+SUM(E$99:E143)=D$92,F143,D$92-SUM(E$99:E143))</f>
        <v>0</v>
      </c>
      <c r="E144" s="160">
        <f>IF(+J96&lt;F143,J96,D144)</f>
        <v>0</v>
      </c>
      <c r="F144" s="159">
        <f t="shared" si="29"/>
        <v>0</v>
      </c>
      <c r="G144" s="159">
        <f t="shared" si="30"/>
        <v>0</v>
      </c>
      <c r="H144" s="163">
        <f t="shared" si="27"/>
        <v>0</v>
      </c>
      <c r="I144" s="253">
        <f t="shared" si="28"/>
        <v>0</v>
      </c>
      <c r="J144" s="158">
        <f t="shared" si="31"/>
        <v>0</v>
      </c>
      <c r="K144" s="158"/>
      <c r="L144" s="334"/>
      <c r="M144" s="158">
        <f t="shared" si="32"/>
        <v>0</v>
      </c>
      <c r="N144" s="334"/>
      <c r="O144" s="158">
        <f t="shared" si="33"/>
        <v>0</v>
      </c>
      <c r="P144" s="158">
        <f t="shared" si="34"/>
        <v>0</v>
      </c>
      <c r="Q144" s="1"/>
    </row>
    <row r="145" spans="2:17">
      <c r="B145" s="9" t="str">
        <f t="shared" si="22"/>
        <v/>
      </c>
      <c r="C145" s="153">
        <f>IF(D93="","-",+C144+1)</f>
        <v>2053</v>
      </c>
      <c r="D145" s="154">
        <f>IF(F144+SUM(E$99:E144)=D$92,F144,D$92-SUM(E$99:E144))</f>
        <v>0</v>
      </c>
      <c r="E145" s="160">
        <f>IF(+J96&lt;F144,J96,D145)</f>
        <v>0</v>
      </c>
      <c r="F145" s="159">
        <f t="shared" si="29"/>
        <v>0</v>
      </c>
      <c r="G145" s="159">
        <f t="shared" si="30"/>
        <v>0</v>
      </c>
      <c r="H145" s="163">
        <f t="shared" si="27"/>
        <v>0</v>
      </c>
      <c r="I145" s="253">
        <f t="shared" si="28"/>
        <v>0</v>
      </c>
      <c r="J145" s="158">
        <f t="shared" si="31"/>
        <v>0</v>
      </c>
      <c r="K145" s="158"/>
      <c r="L145" s="334"/>
      <c r="M145" s="158">
        <f t="shared" si="32"/>
        <v>0</v>
      </c>
      <c r="N145" s="334"/>
      <c r="O145" s="158">
        <f t="shared" si="33"/>
        <v>0</v>
      </c>
      <c r="P145" s="158">
        <f t="shared" si="34"/>
        <v>0</v>
      </c>
      <c r="Q145" s="1"/>
    </row>
    <row r="146" spans="2:17">
      <c r="B146" s="9" t="str">
        <f t="shared" si="22"/>
        <v/>
      </c>
      <c r="C146" s="153">
        <f>IF(D93="","-",+C145+1)</f>
        <v>2054</v>
      </c>
      <c r="D146" s="154">
        <f>IF(F145+SUM(E$99:E145)=D$92,F145,D$92-SUM(E$99:E145))</f>
        <v>0</v>
      </c>
      <c r="E146" s="160">
        <f>IF(+J96&lt;F145,J96,D146)</f>
        <v>0</v>
      </c>
      <c r="F146" s="159">
        <f t="shared" si="29"/>
        <v>0</v>
      </c>
      <c r="G146" s="159">
        <f t="shared" si="30"/>
        <v>0</v>
      </c>
      <c r="H146" s="163">
        <f t="shared" si="27"/>
        <v>0</v>
      </c>
      <c r="I146" s="253">
        <f t="shared" si="28"/>
        <v>0</v>
      </c>
      <c r="J146" s="158">
        <f t="shared" si="31"/>
        <v>0</v>
      </c>
      <c r="K146" s="158"/>
      <c r="L146" s="334"/>
      <c r="M146" s="158">
        <f t="shared" si="32"/>
        <v>0</v>
      </c>
      <c r="N146" s="334"/>
      <c r="O146" s="158">
        <f t="shared" si="33"/>
        <v>0</v>
      </c>
      <c r="P146" s="158">
        <f t="shared" si="34"/>
        <v>0</v>
      </c>
      <c r="Q146" s="1"/>
    </row>
    <row r="147" spans="2:17">
      <c r="B147" s="9" t="str">
        <f t="shared" si="22"/>
        <v/>
      </c>
      <c r="C147" s="153">
        <f>IF(D93="","-",+C146+1)</f>
        <v>2055</v>
      </c>
      <c r="D147" s="154">
        <f>IF(F146+SUM(E$99:E146)=D$92,F146,D$92-SUM(E$99:E146))</f>
        <v>0</v>
      </c>
      <c r="E147" s="160">
        <f>IF(+J96&lt;F146,J96,D147)</f>
        <v>0</v>
      </c>
      <c r="F147" s="159">
        <f t="shared" si="29"/>
        <v>0</v>
      </c>
      <c r="G147" s="159">
        <f t="shared" si="30"/>
        <v>0</v>
      </c>
      <c r="H147" s="163">
        <f t="shared" si="27"/>
        <v>0</v>
      </c>
      <c r="I147" s="253">
        <f t="shared" si="28"/>
        <v>0</v>
      </c>
      <c r="J147" s="158">
        <f t="shared" si="31"/>
        <v>0</v>
      </c>
      <c r="K147" s="158"/>
      <c r="L147" s="334"/>
      <c r="M147" s="158">
        <f t="shared" si="32"/>
        <v>0</v>
      </c>
      <c r="N147" s="334"/>
      <c r="O147" s="158">
        <f t="shared" si="33"/>
        <v>0</v>
      </c>
      <c r="P147" s="158">
        <f t="shared" si="34"/>
        <v>0</v>
      </c>
      <c r="Q147" s="1"/>
    </row>
    <row r="148" spans="2:17">
      <c r="B148" s="9" t="str">
        <f t="shared" si="22"/>
        <v/>
      </c>
      <c r="C148" s="153">
        <f>IF(D93="","-",+C147+1)</f>
        <v>2056</v>
      </c>
      <c r="D148" s="154">
        <f>IF(F147+SUM(E$99:E147)=D$92,F147,D$92-SUM(E$99:E147))</f>
        <v>0</v>
      </c>
      <c r="E148" s="160">
        <f>IF(+J96&lt;F147,J96,D148)</f>
        <v>0</v>
      </c>
      <c r="F148" s="159">
        <f t="shared" si="29"/>
        <v>0</v>
      </c>
      <c r="G148" s="159">
        <f t="shared" si="30"/>
        <v>0</v>
      </c>
      <c r="H148" s="163">
        <f t="shared" si="27"/>
        <v>0</v>
      </c>
      <c r="I148" s="253">
        <f t="shared" si="28"/>
        <v>0</v>
      </c>
      <c r="J148" s="158">
        <f t="shared" si="31"/>
        <v>0</v>
      </c>
      <c r="K148" s="158"/>
      <c r="L148" s="334"/>
      <c r="M148" s="158">
        <f t="shared" si="32"/>
        <v>0</v>
      </c>
      <c r="N148" s="334"/>
      <c r="O148" s="158">
        <f t="shared" si="33"/>
        <v>0</v>
      </c>
      <c r="P148" s="158">
        <f t="shared" si="34"/>
        <v>0</v>
      </c>
      <c r="Q148" s="1"/>
    </row>
    <row r="149" spans="2:17">
      <c r="B149" s="9" t="str">
        <f t="shared" si="22"/>
        <v/>
      </c>
      <c r="C149" s="153">
        <f>IF(D93="","-",+C148+1)</f>
        <v>2057</v>
      </c>
      <c r="D149" s="154">
        <f>IF(F148+SUM(E$99:E148)=D$92,F148,D$92-SUM(E$99:E148))</f>
        <v>0</v>
      </c>
      <c r="E149" s="160">
        <f>IF(+J96&lt;F148,J96,D149)</f>
        <v>0</v>
      </c>
      <c r="F149" s="159">
        <f t="shared" si="29"/>
        <v>0</v>
      </c>
      <c r="G149" s="159">
        <f t="shared" si="30"/>
        <v>0</v>
      </c>
      <c r="H149" s="163">
        <f t="shared" si="27"/>
        <v>0</v>
      </c>
      <c r="I149" s="253">
        <f t="shared" si="28"/>
        <v>0</v>
      </c>
      <c r="J149" s="158">
        <f t="shared" si="31"/>
        <v>0</v>
      </c>
      <c r="K149" s="158"/>
      <c r="L149" s="334"/>
      <c r="M149" s="158">
        <f t="shared" si="32"/>
        <v>0</v>
      </c>
      <c r="N149" s="334"/>
      <c r="O149" s="158">
        <f t="shared" si="33"/>
        <v>0</v>
      </c>
      <c r="P149" s="158">
        <f t="shared" si="34"/>
        <v>0</v>
      </c>
      <c r="Q149" s="1"/>
    </row>
    <row r="150" spans="2:17">
      <c r="B150" s="9" t="str">
        <f t="shared" si="22"/>
        <v/>
      </c>
      <c r="C150" s="153">
        <f>IF(D93="","-",+C149+1)</f>
        <v>2058</v>
      </c>
      <c r="D150" s="154">
        <f>IF(F149+SUM(E$99:E149)=D$92,F149,D$92-SUM(E$99:E149))</f>
        <v>0</v>
      </c>
      <c r="E150" s="160">
        <f>IF(+J96&lt;F149,J96,D150)</f>
        <v>0</v>
      </c>
      <c r="F150" s="159">
        <f t="shared" si="29"/>
        <v>0</v>
      </c>
      <c r="G150" s="159">
        <f t="shared" si="30"/>
        <v>0</v>
      </c>
      <c r="H150" s="163">
        <f t="shared" si="27"/>
        <v>0</v>
      </c>
      <c r="I150" s="253">
        <f t="shared" si="28"/>
        <v>0</v>
      </c>
      <c r="J150" s="158">
        <f t="shared" si="31"/>
        <v>0</v>
      </c>
      <c r="K150" s="158"/>
      <c r="L150" s="334"/>
      <c r="M150" s="158">
        <f t="shared" si="32"/>
        <v>0</v>
      </c>
      <c r="N150" s="334"/>
      <c r="O150" s="158">
        <f t="shared" si="33"/>
        <v>0</v>
      </c>
      <c r="P150" s="158">
        <f t="shared" si="34"/>
        <v>0</v>
      </c>
      <c r="Q150" s="1"/>
    </row>
    <row r="151" spans="2:17">
      <c r="B151" s="9" t="str">
        <f t="shared" si="22"/>
        <v/>
      </c>
      <c r="C151" s="153">
        <f>IF(D93="","-",+C150+1)</f>
        <v>2059</v>
      </c>
      <c r="D151" s="154">
        <f>IF(F150+SUM(E$99:E150)=D$92,F150,D$92-SUM(E$99:E150))</f>
        <v>0</v>
      </c>
      <c r="E151" s="160">
        <f>IF(+J96&lt;F150,J96,D151)</f>
        <v>0</v>
      </c>
      <c r="F151" s="159">
        <f t="shared" si="29"/>
        <v>0</v>
      </c>
      <c r="G151" s="159">
        <f t="shared" si="30"/>
        <v>0</v>
      </c>
      <c r="H151" s="163">
        <f t="shared" si="27"/>
        <v>0</v>
      </c>
      <c r="I151" s="253">
        <f t="shared" si="28"/>
        <v>0</v>
      </c>
      <c r="J151" s="158">
        <f t="shared" si="31"/>
        <v>0</v>
      </c>
      <c r="K151" s="158"/>
      <c r="L151" s="334"/>
      <c r="M151" s="158">
        <f t="shared" si="32"/>
        <v>0</v>
      </c>
      <c r="N151" s="334"/>
      <c r="O151" s="158">
        <f t="shared" si="33"/>
        <v>0</v>
      </c>
      <c r="P151" s="158">
        <f t="shared" si="34"/>
        <v>0</v>
      </c>
      <c r="Q151" s="1"/>
    </row>
    <row r="152" spans="2:17">
      <c r="B152" s="9" t="str">
        <f t="shared" si="22"/>
        <v/>
      </c>
      <c r="C152" s="153">
        <f>IF(D93="","-",+C151+1)</f>
        <v>2060</v>
      </c>
      <c r="D152" s="154">
        <f>IF(F151+SUM(E$99:E151)=D$92,F151,D$92-SUM(E$99:E151))</f>
        <v>0</v>
      </c>
      <c r="E152" s="160">
        <f>IF(+J96&lt;F151,J96,D152)</f>
        <v>0</v>
      </c>
      <c r="F152" s="159">
        <f t="shared" si="29"/>
        <v>0</v>
      </c>
      <c r="G152" s="159">
        <f t="shared" si="30"/>
        <v>0</v>
      </c>
      <c r="H152" s="163">
        <f t="shared" si="27"/>
        <v>0</v>
      </c>
      <c r="I152" s="253">
        <f t="shared" si="28"/>
        <v>0</v>
      </c>
      <c r="J152" s="158">
        <f t="shared" si="31"/>
        <v>0</v>
      </c>
      <c r="K152" s="158"/>
      <c r="L152" s="334"/>
      <c r="M152" s="158">
        <f t="shared" si="32"/>
        <v>0</v>
      </c>
      <c r="N152" s="334"/>
      <c r="O152" s="158">
        <f t="shared" si="33"/>
        <v>0</v>
      </c>
      <c r="P152" s="158">
        <f t="shared" si="34"/>
        <v>0</v>
      </c>
      <c r="Q152" s="1"/>
    </row>
    <row r="153" spans="2:17">
      <c r="B153" s="9" t="str">
        <f t="shared" si="22"/>
        <v/>
      </c>
      <c r="C153" s="153">
        <f>IF(D93="","-",+C152+1)</f>
        <v>2061</v>
      </c>
      <c r="D153" s="154">
        <f>IF(F152+SUM(E$99:E152)=D$92,F152,D$92-SUM(E$99:E152))</f>
        <v>0</v>
      </c>
      <c r="E153" s="160">
        <f>IF(+J96&lt;F152,J96,D153)</f>
        <v>0</v>
      </c>
      <c r="F153" s="159">
        <f t="shared" si="29"/>
        <v>0</v>
      </c>
      <c r="G153" s="159">
        <f t="shared" si="30"/>
        <v>0</v>
      </c>
      <c r="H153" s="163">
        <f t="shared" si="27"/>
        <v>0</v>
      </c>
      <c r="I153" s="253">
        <f t="shared" si="28"/>
        <v>0</v>
      </c>
      <c r="J153" s="158">
        <f t="shared" si="31"/>
        <v>0</v>
      </c>
      <c r="K153" s="158"/>
      <c r="L153" s="334"/>
      <c r="M153" s="158">
        <f t="shared" si="32"/>
        <v>0</v>
      </c>
      <c r="N153" s="334"/>
      <c r="O153" s="158">
        <f t="shared" si="33"/>
        <v>0</v>
      </c>
      <c r="P153" s="158">
        <f t="shared" si="34"/>
        <v>0</v>
      </c>
      <c r="Q153" s="1"/>
    </row>
    <row r="154" spans="2:17" ht="13.5" thickBot="1">
      <c r="B154" s="9" t="str">
        <f t="shared" si="22"/>
        <v/>
      </c>
      <c r="C154" s="164">
        <f>IF(D93="","-",+C153+1)</f>
        <v>2062</v>
      </c>
      <c r="D154" s="215">
        <f>IF(F153+SUM(E$99:E153)=D$92,F153,D$92-SUM(E$99:E153))</f>
        <v>0</v>
      </c>
      <c r="E154" s="166">
        <f>IF(+J96&lt;F153,J96,D154)</f>
        <v>0</v>
      </c>
      <c r="F154" s="165">
        <f t="shared" si="29"/>
        <v>0</v>
      </c>
      <c r="G154" s="165">
        <f t="shared" si="30"/>
        <v>0</v>
      </c>
      <c r="H154" s="167">
        <f t="shared" si="27"/>
        <v>0</v>
      </c>
      <c r="I154" s="254">
        <f t="shared" si="28"/>
        <v>0</v>
      </c>
      <c r="J154" s="169">
        <f t="shared" si="31"/>
        <v>0</v>
      </c>
      <c r="K154" s="158"/>
      <c r="L154" s="335"/>
      <c r="M154" s="169">
        <f t="shared" si="32"/>
        <v>0</v>
      </c>
      <c r="N154" s="335"/>
      <c r="O154" s="169">
        <f t="shared" si="33"/>
        <v>0</v>
      </c>
      <c r="P154" s="169">
        <f t="shared" si="34"/>
        <v>0</v>
      </c>
      <c r="Q154" s="1"/>
    </row>
    <row r="155" spans="2:17">
      <c r="C155" s="154" t="s">
        <v>73</v>
      </c>
      <c r="D155" s="111"/>
      <c r="E155" s="111">
        <f>SUM(E99:E154)</f>
        <v>372149.00000000006</v>
      </c>
      <c r="F155" s="111"/>
      <c r="G155" s="111"/>
      <c r="H155" s="111">
        <f>SUM(H99:H154)</f>
        <v>1385494.6525303256</v>
      </c>
      <c r="I155" s="111">
        <f>SUM(I99:I154)</f>
        <v>1385494.6525303256</v>
      </c>
      <c r="J155" s="111">
        <f>SUM(J99:J154)</f>
        <v>0</v>
      </c>
      <c r="K155" s="111"/>
      <c r="L155" s="111"/>
      <c r="M155" s="111"/>
      <c r="N155" s="111"/>
      <c r="O155" s="111"/>
      <c r="P155" s="1"/>
      <c r="Q155" s="1"/>
    </row>
    <row r="156" spans="2:17">
      <c r="D156" s="2"/>
      <c r="E156" s="1"/>
      <c r="F156" s="1"/>
      <c r="G156" s="1"/>
      <c r="H156" s="1"/>
      <c r="I156" s="3"/>
      <c r="J156" s="3"/>
      <c r="K156" s="111"/>
      <c r="L156" s="3"/>
      <c r="M156" s="3"/>
      <c r="N156" s="3"/>
      <c r="O156" s="3"/>
      <c r="P156" s="1"/>
      <c r="Q156" s="1"/>
    </row>
    <row r="157" spans="2:17">
      <c r="C157" s="216" t="s">
        <v>87</v>
      </c>
      <c r="D157" s="2"/>
      <c r="E157" s="1"/>
      <c r="F157" s="1"/>
      <c r="G157" s="1"/>
      <c r="H157" s="1"/>
      <c r="I157" s="3"/>
      <c r="J157" s="3"/>
      <c r="K157" s="111"/>
      <c r="L157" s="3"/>
      <c r="M157" s="3"/>
      <c r="N157" s="3"/>
      <c r="O157" s="3"/>
      <c r="P157" s="1"/>
      <c r="Q157" s="1"/>
    </row>
    <row r="158" spans="2:17">
      <c r="D158" s="2"/>
      <c r="E158" s="1"/>
      <c r="F158" s="1"/>
      <c r="G158" s="1"/>
      <c r="H158" s="1"/>
      <c r="I158" s="3"/>
      <c r="J158" s="3"/>
      <c r="K158" s="111"/>
      <c r="L158" s="3"/>
      <c r="M158" s="3"/>
      <c r="N158" s="3"/>
      <c r="O158" s="3"/>
      <c r="P158" s="1"/>
      <c r="Q158" s="1"/>
    </row>
    <row r="159" spans="2:17">
      <c r="C159" s="170" t="s">
        <v>92</v>
      </c>
      <c r="D159" s="154"/>
      <c r="E159" s="154"/>
      <c r="F159" s="154"/>
      <c r="G159" s="154"/>
      <c r="H159" s="111"/>
      <c r="I159" s="111"/>
      <c r="J159" s="171"/>
      <c r="K159" s="171"/>
      <c r="L159" s="171"/>
      <c r="M159" s="171"/>
      <c r="N159" s="171"/>
      <c r="O159" s="171"/>
      <c r="P159" s="1"/>
      <c r="Q159" s="1"/>
    </row>
    <row r="160" spans="2:17">
      <c r="C160" s="217" t="s">
        <v>74</v>
      </c>
      <c r="D160" s="154"/>
      <c r="E160" s="154"/>
      <c r="F160" s="154"/>
      <c r="G160" s="154"/>
      <c r="H160" s="111"/>
      <c r="I160" s="111"/>
      <c r="J160" s="171"/>
      <c r="K160" s="171"/>
      <c r="L160" s="171"/>
      <c r="M160" s="171"/>
      <c r="N160" s="171"/>
      <c r="O160" s="171"/>
      <c r="P160" s="1"/>
      <c r="Q160" s="1"/>
    </row>
    <row r="161" spans="3:17">
      <c r="C161" s="217" t="s">
        <v>75</v>
      </c>
      <c r="D161" s="154"/>
      <c r="E161" s="154"/>
      <c r="F161" s="154"/>
      <c r="G161" s="154"/>
      <c r="H161" s="111"/>
      <c r="I161" s="111"/>
      <c r="J161" s="171"/>
      <c r="K161" s="171"/>
      <c r="L161" s="171"/>
      <c r="M161" s="171"/>
      <c r="N161" s="171"/>
      <c r="O161" s="171"/>
      <c r="P161" s="1"/>
      <c r="Q161" s="1"/>
    </row>
    <row r="162" spans="3:17" ht="18">
      <c r="C162" s="217"/>
      <c r="D162" s="154"/>
      <c r="E162" s="154"/>
      <c r="F162" s="154"/>
      <c r="G162" s="154"/>
      <c r="H162" s="111"/>
      <c r="I162" s="111"/>
      <c r="J162" s="171"/>
      <c r="K162" s="171"/>
      <c r="L162" s="171"/>
      <c r="M162" s="171"/>
      <c r="N162" s="171"/>
      <c r="P162" s="237" t="s">
        <v>126</v>
      </c>
      <c r="Q162" s="1"/>
    </row>
  </sheetData>
  <phoneticPr fontId="0" type="noConversion"/>
  <conditionalFormatting sqref="C17:C72">
    <cfRule type="cellIs" dxfId="135" priority="1" stopIfTrue="1" operator="equal">
      <formula>$I$10</formula>
    </cfRule>
  </conditionalFormatting>
  <conditionalFormatting sqref="C99:C154">
    <cfRule type="cellIs" dxfId="134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  <legacyDrawing r:id="rId3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65"/>
  <dimension ref="A1:Q162"/>
  <sheetViews>
    <sheetView view="pageBreakPreview" zoomScale="75" zoomScaleNormal="100" zoomScaleSheetLayoutView="75" workbookViewId="0">
      <selection activeCell="C19" sqref="C19"/>
    </sheetView>
  </sheetViews>
  <sheetFormatPr defaultRowHeight="12.75" customHeight="1"/>
  <cols>
    <col min="1" max="1" width="4.7109375" customWidth="1"/>
    <col min="2" max="2" width="6.7109375" customWidth="1"/>
    <col min="3" max="3" width="23.28515625" customWidth="1"/>
    <col min="4" max="8" width="17.7109375" customWidth="1"/>
    <col min="9" max="9" width="20.42578125" customWidth="1"/>
    <col min="10" max="10" width="16.42578125" customWidth="1"/>
    <col min="11" max="11" width="17.7109375" customWidth="1"/>
    <col min="12" max="12" width="16.140625" customWidth="1"/>
    <col min="13" max="13" width="17.7109375" customWidth="1"/>
    <col min="14" max="14" width="16.140625" customWidth="1"/>
    <col min="15" max="15" width="16.85546875" customWidth="1"/>
    <col min="16" max="16" width="24.42578125" customWidth="1"/>
    <col min="17" max="17" width="4.7109375" customWidth="1"/>
    <col min="18" max="18" width="9.140625" customWidth="1"/>
    <col min="23" max="23" width="9.140625" customWidth="1"/>
  </cols>
  <sheetData>
    <row r="1" spans="1:17" ht="20.25">
      <c r="A1" s="243" t="s">
        <v>128</v>
      </c>
      <c r="B1" s="1"/>
      <c r="C1" s="21"/>
      <c r="D1" s="2"/>
      <c r="E1" s="1"/>
      <c r="F1" s="99"/>
      <c r="G1" s="1"/>
      <c r="H1" s="3"/>
      <c r="J1" s="7"/>
      <c r="K1" s="109"/>
      <c r="L1" s="109"/>
      <c r="M1" s="109"/>
      <c r="P1" s="249" t="str">
        <f ca="1">"SWEPCO Project "&amp;RIGHT(MID(CELL("filename",$A$1),FIND("]",CELL("filename",$A$1))+1,256),2)&amp;" of "&amp;COUNT('S.001:S.xyz - blank'!$P$3)-1</f>
        <v>SWEPCO Project 16 of 73</v>
      </c>
      <c r="Q1" s="108"/>
    </row>
    <row r="2" spans="1:17" ht="18">
      <c r="B2" s="1"/>
      <c r="C2" s="1"/>
      <c r="D2" s="2"/>
      <c r="E2" s="1"/>
      <c r="F2" s="1"/>
      <c r="G2" s="1"/>
      <c r="H2" s="3"/>
      <c r="I2" s="1"/>
      <c r="J2" s="4"/>
      <c r="K2" s="1"/>
      <c r="L2" s="1"/>
      <c r="M2" s="1"/>
      <c r="N2" s="1"/>
      <c r="P2" s="237" t="s">
        <v>124</v>
      </c>
    </row>
    <row r="3" spans="1:17" ht="18.75">
      <c r="B3" s="5" t="s">
        <v>40</v>
      </c>
      <c r="C3" s="68" t="s">
        <v>41</v>
      </c>
      <c r="D3" s="2"/>
      <c r="E3" s="1"/>
      <c r="F3" s="1"/>
      <c r="G3" s="1"/>
      <c r="H3" s="3"/>
      <c r="I3" s="3"/>
      <c r="J3" s="111"/>
      <c r="K3" s="3"/>
      <c r="L3" s="3"/>
      <c r="M3" s="3"/>
      <c r="N3" s="3"/>
      <c r="O3" s="1" t="str">
        <f>RIGHT(N3,3)</f>
        <v/>
      </c>
      <c r="P3" s="239">
        <v>1</v>
      </c>
    </row>
    <row r="4" spans="1:17" ht="15.75" thickBot="1">
      <c r="C4" s="67"/>
      <c r="D4" s="2"/>
      <c r="E4" s="1"/>
      <c r="F4" s="1"/>
      <c r="G4" s="1"/>
      <c r="H4" s="3"/>
      <c r="I4" s="3"/>
      <c r="J4" s="111"/>
      <c r="K4" s="3"/>
      <c r="L4" s="3"/>
      <c r="M4" s="3"/>
      <c r="N4" s="3"/>
      <c r="O4" s="1"/>
      <c r="P4" s="1"/>
    </row>
    <row r="5" spans="1:17" ht="15">
      <c r="C5" s="112" t="s">
        <v>42</v>
      </c>
      <c r="D5" s="2"/>
      <c r="E5" s="1"/>
      <c r="F5" s="1"/>
      <c r="G5" s="113"/>
      <c r="H5" s="1" t="s">
        <v>43</v>
      </c>
      <c r="I5" s="1"/>
      <c r="J5" s="4"/>
      <c r="K5" s="268" t="s">
        <v>152</v>
      </c>
      <c r="L5" s="114"/>
      <c r="M5" s="115"/>
      <c r="N5" s="116">
        <f>VLOOKUP(I10,C17:I72,5)</f>
        <v>38328.893237173492</v>
      </c>
      <c r="P5" s="1"/>
    </row>
    <row r="6" spans="1:17" ht="15.75">
      <c r="C6" s="8"/>
      <c r="D6" s="248" t="s">
        <v>259</v>
      </c>
      <c r="E6" s="1"/>
      <c r="F6" s="1"/>
      <c r="G6" s="1"/>
      <c r="H6" s="117"/>
      <c r="I6" s="117"/>
      <c r="J6" s="118"/>
      <c r="K6" s="269" t="s">
        <v>153</v>
      </c>
      <c r="L6" s="119"/>
      <c r="M6" s="4"/>
      <c r="N6" s="120">
        <f>VLOOKUP(I10,C17:I72,6)</f>
        <v>38328.893237173492</v>
      </c>
      <c r="O6" s="1"/>
      <c r="P6" s="1"/>
    </row>
    <row r="7" spans="1:17" ht="13.5" thickBot="1">
      <c r="C7" s="121" t="s">
        <v>44</v>
      </c>
      <c r="D7" s="273" t="s">
        <v>228</v>
      </c>
      <c r="E7" s="1"/>
      <c r="F7" s="1"/>
      <c r="G7" s="1"/>
      <c r="H7" s="337"/>
      <c r="I7" s="3"/>
      <c r="J7" s="111"/>
      <c r="K7" s="122" t="s">
        <v>45</v>
      </c>
      <c r="L7" s="123"/>
      <c r="M7" s="123"/>
      <c r="N7" s="124">
        <f>+N6-N5</f>
        <v>0</v>
      </c>
      <c r="O7" s="1"/>
      <c r="P7" s="1"/>
    </row>
    <row r="8" spans="1:17" ht="13.5" thickBot="1">
      <c r="C8" s="125"/>
      <c r="D8" s="250" t="str">
        <f>IF(D10&lt;100000,"DOES NOT MEET SPP $100,000 MINIMUM INVESTMENT FOR REGIONAL BPU SHARING.","")</f>
        <v/>
      </c>
      <c r="E8" s="126"/>
      <c r="F8" s="126"/>
      <c r="G8" s="126"/>
      <c r="H8" s="126"/>
      <c r="I8" s="126"/>
      <c r="J8" s="101"/>
      <c r="K8" s="126"/>
      <c r="L8" s="126"/>
      <c r="M8" s="126"/>
      <c r="N8" s="126"/>
      <c r="O8" s="101"/>
      <c r="P8" s="21"/>
    </row>
    <row r="9" spans="1:17" ht="13.5" thickBot="1">
      <c r="A9" s="103"/>
      <c r="C9" s="127" t="s">
        <v>46</v>
      </c>
      <c r="D9" s="225" t="s">
        <v>157</v>
      </c>
      <c r="E9" s="401" t="s">
        <v>410</v>
      </c>
      <c r="F9" s="128"/>
      <c r="G9" s="128"/>
      <c r="H9" s="128"/>
      <c r="I9" s="129"/>
      <c r="J9" s="130"/>
      <c r="O9" s="131"/>
      <c r="P9" s="4"/>
    </row>
    <row r="10" spans="1:17">
      <c r="C10" s="132" t="s">
        <v>47</v>
      </c>
      <c r="D10" s="133">
        <v>389326</v>
      </c>
      <c r="E10" s="61" t="s">
        <v>459</v>
      </c>
      <c r="F10" s="131"/>
      <c r="G10" s="134"/>
      <c r="H10" s="134"/>
      <c r="I10" s="135">
        <f>+SWE.WS.F.BPU.ATRR.Projected!K17</f>
        <v>2019</v>
      </c>
      <c r="J10" s="130"/>
      <c r="K10" s="111" t="s">
        <v>48</v>
      </c>
      <c r="O10" s="4"/>
      <c r="P10" s="4"/>
    </row>
    <row r="11" spans="1:17">
      <c r="C11" s="136" t="s">
        <v>49</v>
      </c>
      <c r="D11" s="137">
        <v>2008</v>
      </c>
      <c r="E11" s="136" t="s">
        <v>50</v>
      </c>
      <c r="F11" s="134"/>
      <c r="G11" s="7"/>
      <c r="H11" s="7"/>
      <c r="I11" s="138">
        <v>0</v>
      </c>
      <c r="J11" s="139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4"/>
      <c r="P11" s="4"/>
    </row>
    <row r="12" spans="1:17">
      <c r="C12" s="136" t="s">
        <v>51</v>
      </c>
      <c r="D12" s="133">
        <v>12</v>
      </c>
      <c r="E12" s="136" t="s">
        <v>52</v>
      </c>
      <c r="F12" s="134"/>
      <c r="G12" s="7"/>
      <c r="H12" s="7"/>
      <c r="I12" s="140">
        <f>SWE.WS.F.BPU.ATRR.Projected!$F$76</f>
        <v>9.9555672459071778E-2</v>
      </c>
      <c r="J12" s="141"/>
      <c r="K12" t="s">
        <v>53</v>
      </c>
      <c r="O12" s="4"/>
      <c r="P12" s="4"/>
    </row>
    <row r="13" spans="1:17">
      <c r="C13" s="136" t="s">
        <v>54</v>
      </c>
      <c r="D13" s="138">
        <f>+SWE.WS.F.BPU.ATRR.Projected!F$87</f>
        <v>43</v>
      </c>
      <c r="E13" s="136" t="s">
        <v>55</v>
      </c>
      <c r="F13" s="134"/>
      <c r="G13" s="7"/>
      <c r="H13" s="7"/>
      <c r="I13" s="140">
        <f>IF(G5="",I12,SWE.WS.F.BPU.ATRR.Projected!$F$75)</f>
        <v>9.9555672459071778E-2</v>
      </c>
      <c r="J13" s="141"/>
      <c r="K13" s="111" t="s">
        <v>56</v>
      </c>
      <c r="L13" s="58"/>
      <c r="M13" s="58"/>
      <c r="N13" s="58"/>
      <c r="O13" s="4"/>
      <c r="P13" s="4"/>
    </row>
    <row r="14" spans="1:17" ht="13.5" thickBot="1">
      <c r="C14" s="136" t="s">
        <v>57</v>
      </c>
      <c r="D14" s="137" t="s">
        <v>58</v>
      </c>
      <c r="E14" s="4" t="s">
        <v>59</v>
      </c>
      <c r="F14" s="134"/>
      <c r="G14" s="7"/>
      <c r="H14" s="7"/>
      <c r="I14" s="142">
        <f>IF(D10=0,0,D10/D13)</f>
        <v>9054.0930232558148</v>
      </c>
      <c r="J14" s="111"/>
      <c r="K14" s="111"/>
      <c r="L14" s="111"/>
      <c r="M14" s="111"/>
      <c r="N14" s="111"/>
      <c r="O14" s="4"/>
      <c r="P14" s="4"/>
    </row>
    <row r="15" spans="1:17" ht="38.25">
      <c r="C15" s="143" t="s">
        <v>47</v>
      </c>
      <c r="D15" s="144" t="s">
        <v>60</v>
      </c>
      <c r="E15" s="144" t="s">
        <v>61</v>
      </c>
      <c r="F15" s="144" t="s">
        <v>62</v>
      </c>
      <c r="G15" s="434" t="s">
        <v>378</v>
      </c>
      <c r="H15" s="435" t="s">
        <v>379</v>
      </c>
      <c r="I15" s="351" t="s">
        <v>249</v>
      </c>
      <c r="J15" s="145"/>
      <c r="K15" s="271" t="s">
        <v>219</v>
      </c>
      <c r="L15" s="146" t="s">
        <v>64</v>
      </c>
      <c r="M15" s="271" t="s">
        <v>219</v>
      </c>
      <c r="N15" s="146" t="s">
        <v>64</v>
      </c>
      <c r="O15" s="146" t="s">
        <v>65</v>
      </c>
      <c r="P15" s="4"/>
    </row>
    <row r="16" spans="1:17" ht="13.5" thickBot="1">
      <c r="C16" s="147" t="s">
        <v>66</v>
      </c>
      <c r="D16" s="147" t="s">
        <v>67</v>
      </c>
      <c r="E16" s="147" t="s">
        <v>68</v>
      </c>
      <c r="F16" s="147" t="s">
        <v>67</v>
      </c>
      <c r="G16" s="408" t="s">
        <v>69</v>
      </c>
      <c r="H16" s="148" t="s">
        <v>70</v>
      </c>
      <c r="I16" s="149" t="s">
        <v>89</v>
      </c>
      <c r="J16" s="150" t="s">
        <v>71</v>
      </c>
      <c r="K16" s="151" t="s">
        <v>72</v>
      </c>
      <c r="L16" s="151" t="s">
        <v>72</v>
      </c>
      <c r="M16" s="151" t="s">
        <v>90</v>
      </c>
      <c r="N16" s="152" t="s">
        <v>90</v>
      </c>
      <c r="O16" s="151" t="s">
        <v>90</v>
      </c>
      <c r="P16" s="4"/>
    </row>
    <row r="17" spans="2:16">
      <c r="C17" s="153">
        <f>IF(D11= "","-",D11)</f>
        <v>2008</v>
      </c>
      <c r="D17" s="357">
        <v>310667</v>
      </c>
      <c r="E17" s="358">
        <v>0</v>
      </c>
      <c r="F17" s="357">
        <v>310667</v>
      </c>
      <c r="G17" s="358">
        <v>44663</v>
      </c>
      <c r="H17" s="359">
        <v>44663</v>
      </c>
      <c r="I17" s="404">
        <f t="shared" ref="I17:I48" si="0">H17-G17</f>
        <v>0</v>
      </c>
      <c r="J17" s="156"/>
      <c r="K17" s="256">
        <v>0</v>
      </c>
      <c r="L17" s="172">
        <f t="shared" ref="L17:L48" si="1">IF(K17&lt;&gt;0,+G17-K17,0)</f>
        <v>0</v>
      </c>
      <c r="M17" s="256">
        <v>0</v>
      </c>
      <c r="N17" s="157">
        <f t="shared" ref="N17:N48" si="2">IF(M17&lt;&gt;0,+H17-M17,0)</f>
        <v>0</v>
      </c>
      <c r="O17" s="158">
        <f t="shared" ref="O17:O48" si="3">+N17-L17</f>
        <v>0</v>
      </c>
      <c r="P17" s="4"/>
    </row>
    <row r="18" spans="2:16">
      <c r="B18" s="9" t="str">
        <f>IF(D18=F17,"","IU")</f>
        <v/>
      </c>
      <c r="C18" s="153">
        <f>IF(D11="","-",+C17+1)</f>
        <v>2009</v>
      </c>
      <c r="D18" s="361">
        <v>310667</v>
      </c>
      <c r="E18" s="360">
        <v>8175</v>
      </c>
      <c r="F18" s="361">
        <v>302492</v>
      </c>
      <c r="G18" s="360">
        <v>51663</v>
      </c>
      <c r="H18" s="359">
        <v>51663</v>
      </c>
      <c r="I18" s="404">
        <f t="shared" si="0"/>
        <v>0</v>
      </c>
      <c r="J18" s="156"/>
      <c r="K18" s="258">
        <v>0</v>
      </c>
      <c r="L18" s="158">
        <f t="shared" si="1"/>
        <v>0</v>
      </c>
      <c r="M18" s="258">
        <v>0</v>
      </c>
      <c r="N18" s="158">
        <f t="shared" si="2"/>
        <v>0</v>
      </c>
      <c r="O18" s="158">
        <f t="shared" si="3"/>
        <v>0</v>
      </c>
      <c r="P18" s="4"/>
    </row>
    <row r="19" spans="2:16">
      <c r="B19" s="9" t="str">
        <f>IF(D19=F18,"","IU")</f>
        <v/>
      </c>
      <c r="C19" s="153">
        <f>IF(D11="","-",+C18+1)</f>
        <v>2010</v>
      </c>
      <c r="D19" s="361">
        <v>302492</v>
      </c>
      <c r="E19" s="360">
        <v>8175.4473684210525</v>
      </c>
      <c r="F19" s="361">
        <v>294316.55263157893</v>
      </c>
      <c r="G19" s="360">
        <v>50487.866330718665</v>
      </c>
      <c r="H19" s="359">
        <v>50487.866330718665</v>
      </c>
      <c r="I19" s="405">
        <v>0</v>
      </c>
      <c r="J19" s="156"/>
      <c r="K19" s="258">
        <f t="shared" ref="K19:K24" si="4">G19</f>
        <v>50487.866330718665</v>
      </c>
      <c r="L19" s="257">
        <f t="shared" si="1"/>
        <v>0</v>
      </c>
      <c r="M19" s="258">
        <f t="shared" ref="M19:M24" si="5">H19</f>
        <v>50487.866330718665</v>
      </c>
      <c r="N19" s="158">
        <f t="shared" si="2"/>
        <v>0</v>
      </c>
      <c r="O19" s="158">
        <f t="shared" si="3"/>
        <v>0</v>
      </c>
      <c r="P19" s="4"/>
    </row>
    <row r="20" spans="2:16">
      <c r="B20" s="9" t="str">
        <f t="shared" ref="B20:B72" si="6">IF(D20=F19,"","IU")</f>
        <v>IU</v>
      </c>
      <c r="C20" s="153">
        <f>IF(D11="","-",+C19+1)</f>
        <v>2011</v>
      </c>
      <c r="D20" s="361">
        <v>372975.55263157893</v>
      </c>
      <c r="E20" s="360">
        <v>9495.7560975609758</v>
      </c>
      <c r="F20" s="361">
        <v>363479.79653401795</v>
      </c>
      <c r="G20" s="360">
        <v>66268.459500863828</v>
      </c>
      <c r="H20" s="359">
        <v>66268.459500863828</v>
      </c>
      <c r="I20" s="368">
        <v>0</v>
      </c>
      <c r="J20" s="156"/>
      <c r="K20" s="258">
        <f t="shared" si="4"/>
        <v>66268.459500863828</v>
      </c>
      <c r="L20" s="257">
        <f t="shared" si="1"/>
        <v>0</v>
      </c>
      <c r="M20" s="258">
        <f t="shared" si="5"/>
        <v>66268.459500863828</v>
      </c>
      <c r="N20" s="158">
        <f t="shared" si="2"/>
        <v>0</v>
      </c>
      <c r="O20" s="158">
        <f t="shared" si="3"/>
        <v>0</v>
      </c>
      <c r="P20" s="4"/>
    </row>
    <row r="21" spans="2:16">
      <c r="B21" s="9" t="str">
        <f t="shared" si="6"/>
        <v/>
      </c>
      <c r="C21" s="153">
        <f>IF(D12="","-",+C20+1)</f>
        <v>2012</v>
      </c>
      <c r="D21" s="361">
        <v>363479.79653401795</v>
      </c>
      <c r="E21" s="377">
        <v>9269.6666666666661</v>
      </c>
      <c r="F21" s="361">
        <v>354210.12986735126</v>
      </c>
      <c r="G21" s="360">
        <v>61947.846793824669</v>
      </c>
      <c r="H21" s="359">
        <v>61947.846793824669</v>
      </c>
      <c r="I21" s="368">
        <v>0</v>
      </c>
      <c r="J21" s="156"/>
      <c r="K21" s="258">
        <f t="shared" si="4"/>
        <v>61947.846793824669</v>
      </c>
      <c r="L21" s="257">
        <f t="shared" si="1"/>
        <v>0</v>
      </c>
      <c r="M21" s="258">
        <f t="shared" si="5"/>
        <v>61947.846793824669</v>
      </c>
      <c r="N21" s="158">
        <f t="shared" si="2"/>
        <v>0</v>
      </c>
      <c r="O21" s="158">
        <f t="shared" si="3"/>
        <v>0</v>
      </c>
      <c r="P21" s="4"/>
    </row>
    <row r="22" spans="2:16">
      <c r="B22" s="9" t="str">
        <f t="shared" si="6"/>
        <v/>
      </c>
      <c r="C22" s="153">
        <f>IF(D11="","-",+C21+1)</f>
        <v>2013</v>
      </c>
      <c r="D22" s="396">
        <v>354210.12986735126</v>
      </c>
      <c r="E22" s="397">
        <v>9269.6666666666661</v>
      </c>
      <c r="F22" s="396">
        <v>344940.46320068458</v>
      </c>
      <c r="G22" s="397">
        <v>57556.875600006118</v>
      </c>
      <c r="H22" s="395">
        <v>57556.875600006118</v>
      </c>
      <c r="I22" s="398">
        <v>0</v>
      </c>
      <c r="J22" s="156"/>
      <c r="K22" s="258">
        <f t="shared" si="4"/>
        <v>57556.875600006118</v>
      </c>
      <c r="L22" s="257">
        <f t="shared" ref="L22:L27" si="7">IF(K22&lt;&gt;0,+G22-K22,0)</f>
        <v>0</v>
      </c>
      <c r="M22" s="258">
        <f t="shared" si="5"/>
        <v>57556.875600006118</v>
      </c>
      <c r="N22" s="158">
        <f t="shared" ref="N22:N27" si="8">IF(M22&lt;&gt;0,+H22-M22,0)</f>
        <v>0</v>
      </c>
      <c r="O22" s="158">
        <f t="shared" ref="O22:O27" si="9">+N22-L22</f>
        <v>0</v>
      </c>
      <c r="P22" s="4"/>
    </row>
    <row r="23" spans="2:16">
      <c r="B23" s="9" t="str">
        <f t="shared" si="6"/>
        <v/>
      </c>
      <c r="C23" s="153">
        <f>IF(D11="","-",+C22+1)</f>
        <v>2014</v>
      </c>
      <c r="D23" s="396">
        <v>344940.46320068458</v>
      </c>
      <c r="E23" s="397">
        <v>9269.6666666666661</v>
      </c>
      <c r="F23" s="396">
        <v>335670.79653401789</v>
      </c>
      <c r="G23" s="397">
        <v>54555.18443175155</v>
      </c>
      <c r="H23" s="395">
        <v>54555.18443175155</v>
      </c>
      <c r="I23" s="398">
        <v>0</v>
      </c>
      <c r="J23" s="156"/>
      <c r="K23" s="258">
        <f t="shared" si="4"/>
        <v>54555.18443175155</v>
      </c>
      <c r="L23" s="257">
        <f t="shared" si="7"/>
        <v>0</v>
      </c>
      <c r="M23" s="258">
        <f t="shared" si="5"/>
        <v>54555.18443175155</v>
      </c>
      <c r="N23" s="158">
        <f t="shared" si="8"/>
        <v>0</v>
      </c>
      <c r="O23" s="158">
        <f t="shared" si="9"/>
        <v>0</v>
      </c>
      <c r="P23" s="4"/>
    </row>
    <row r="24" spans="2:16">
      <c r="B24" s="9" t="str">
        <f t="shared" si="6"/>
        <v/>
      </c>
      <c r="C24" s="153">
        <f>IF(D11="","-",+C23+1)</f>
        <v>2015</v>
      </c>
      <c r="D24" s="396">
        <v>335670.79653401789</v>
      </c>
      <c r="E24" s="397">
        <v>9269.6666666666661</v>
      </c>
      <c r="F24" s="396">
        <v>326401.12986735121</v>
      </c>
      <c r="G24" s="397">
        <v>52258.262513897615</v>
      </c>
      <c r="H24" s="395">
        <v>52258.262513897615</v>
      </c>
      <c r="I24" s="156">
        <v>0</v>
      </c>
      <c r="J24" s="156"/>
      <c r="K24" s="258">
        <f t="shared" si="4"/>
        <v>52258.262513897615</v>
      </c>
      <c r="L24" s="257">
        <f t="shared" si="7"/>
        <v>0</v>
      </c>
      <c r="M24" s="258">
        <f t="shared" si="5"/>
        <v>52258.262513897615</v>
      </c>
      <c r="N24" s="158">
        <f t="shared" si="8"/>
        <v>0</v>
      </c>
      <c r="O24" s="158">
        <f t="shared" si="9"/>
        <v>0</v>
      </c>
      <c r="P24" s="4"/>
    </row>
    <row r="25" spans="2:16">
      <c r="B25" s="9" t="str">
        <f t="shared" si="6"/>
        <v/>
      </c>
      <c r="C25" s="153">
        <f>IF(D11="","-",+C24+1)</f>
        <v>2016</v>
      </c>
      <c r="D25" s="396">
        <v>326401.12986735121</v>
      </c>
      <c r="E25" s="397">
        <v>9269.6666666666661</v>
      </c>
      <c r="F25" s="396">
        <v>317131.46320068452</v>
      </c>
      <c r="G25" s="397">
        <v>50522.11947752475</v>
      </c>
      <c r="H25" s="395">
        <v>50522.11947752475</v>
      </c>
      <c r="I25" s="156">
        <f t="shared" si="0"/>
        <v>0</v>
      </c>
      <c r="J25" s="156"/>
      <c r="K25" s="258">
        <f>G25</f>
        <v>50522.11947752475</v>
      </c>
      <c r="L25" s="257">
        <f t="shared" si="7"/>
        <v>0</v>
      </c>
      <c r="M25" s="258">
        <f>H25</f>
        <v>50522.11947752475</v>
      </c>
      <c r="N25" s="158">
        <f t="shared" si="8"/>
        <v>0</v>
      </c>
      <c r="O25" s="158">
        <f t="shared" si="9"/>
        <v>0</v>
      </c>
      <c r="P25" s="4"/>
    </row>
    <row r="26" spans="2:16">
      <c r="B26" s="9" t="str">
        <f t="shared" si="6"/>
        <v/>
      </c>
      <c r="C26" s="153">
        <f>IF(D11="","-",+C25+1)</f>
        <v>2017</v>
      </c>
      <c r="D26" s="396">
        <v>317131.46320068452</v>
      </c>
      <c r="E26" s="397">
        <v>9054.0930232558148</v>
      </c>
      <c r="F26" s="396">
        <v>308077.3701774287</v>
      </c>
      <c r="G26" s="397">
        <v>47783.446226544533</v>
      </c>
      <c r="H26" s="395">
        <v>47783.446226544533</v>
      </c>
      <c r="I26" s="156">
        <v>0</v>
      </c>
      <c r="J26" s="156"/>
      <c r="K26" s="258">
        <f>G26</f>
        <v>47783.446226544533</v>
      </c>
      <c r="L26" s="257">
        <f t="shared" si="7"/>
        <v>0</v>
      </c>
      <c r="M26" s="258">
        <f>H26</f>
        <v>47783.446226544533</v>
      </c>
      <c r="N26" s="158">
        <f t="shared" si="8"/>
        <v>0</v>
      </c>
      <c r="O26" s="158">
        <f t="shared" si="9"/>
        <v>0</v>
      </c>
      <c r="P26" s="4"/>
    </row>
    <row r="27" spans="2:16">
      <c r="B27" s="9" t="str">
        <f t="shared" si="6"/>
        <v/>
      </c>
      <c r="C27" s="153">
        <f>IF(D11="","-",+C26+1)</f>
        <v>2018</v>
      </c>
      <c r="D27" s="396">
        <v>308077.3701774287</v>
      </c>
      <c r="E27" s="397">
        <v>9495.7560975609758</v>
      </c>
      <c r="F27" s="396">
        <v>298581.61407986772</v>
      </c>
      <c r="G27" s="397">
        <v>43433.536705810628</v>
      </c>
      <c r="H27" s="395">
        <v>43433.536705810628</v>
      </c>
      <c r="I27" s="156">
        <f t="shared" si="0"/>
        <v>0</v>
      </c>
      <c r="J27" s="156"/>
      <c r="K27" s="258">
        <f>G27</f>
        <v>43433.536705810628</v>
      </c>
      <c r="L27" s="257">
        <f t="shared" si="7"/>
        <v>0</v>
      </c>
      <c r="M27" s="258">
        <f>H27</f>
        <v>43433.536705810628</v>
      </c>
      <c r="N27" s="158">
        <f t="shared" si="8"/>
        <v>0</v>
      </c>
      <c r="O27" s="158">
        <f t="shared" si="9"/>
        <v>0</v>
      </c>
      <c r="P27" s="4"/>
    </row>
    <row r="28" spans="2:16">
      <c r="B28" s="9" t="str">
        <f t="shared" si="6"/>
        <v/>
      </c>
      <c r="C28" s="153">
        <f>IF(D11="","-",+C27+1)</f>
        <v>2019</v>
      </c>
      <c r="D28" s="159">
        <f>IF(F27+SUM(E$17:E27)=D$10,F27,D$10-SUM(E$17:E27))</f>
        <v>298581.61407986772</v>
      </c>
      <c r="E28" s="160">
        <f>IF(+I14&lt;F27,I14,D28)</f>
        <v>9054.0930232558148</v>
      </c>
      <c r="F28" s="159">
        <f t="shared" ref="F28:F48" si="10">+D28-E28</f>
        <v>289527.52105661191</v>
      </c>
      <c r="G28" s="161">
        <f t="shared" ref="G28:G72" si="11">+I$12*((D28+F28)/2)+E28</f>
        <v>38328.893237173492</v>
      </c>
      <c r="H28" s="142">
        <f t="shared" ref="H28:H72" si="12">+I$13*((D28+F28)/2)+E28</f>
        <v>38328.893237173492</v>
      </c>
      <c r="I28" s="156">
        <f t="shared" si="0"/>
        <v>0</v>
      </c>
      <c r="J28" s="156"/>
      <c r="K28" s="334"/>
      <c r="L28" s="158">
        <f t="shared" si="1"/>
        <v>0</v>
      </c>
      <c r="M28" s="334"/>
      <c r="N28" s="158">
        <f t="shared" si="2"/>
        <v>0</v>
      </c>
      <c r="O28" s="158">
        <f t="shared" si="3"/>
        <v>0</v>
      </c>
      <c r="P28" s="4"/>
    </row>
    <row r="29" spans="2:16">
      <c r="B29" s="9" t="str">
        <f t="shared" si="6"/>
        <v/>
      </c>
      <c r="C29" s="153">
        <f>IF(D11="","-",+C28+1)</f>
        <v>2020</v>
      </c>
      <c r="D29" s="159">
        <f>IF(F28+SUM(E$17:E28)=D$10,F28,D$10-SUM(E$17:E28))</f>
        <v>289527.52105661191</v>
      </c>
      <c r="E29" s="160">
        <f>IF(+I14&lt;F28,I14,D29)</f>
        <v>9054.0930232558148</v>
      </c>
      <c r="F29" s="159">
        <f t="shared" si="10"/>
        <v>280473.42803335609</v>
      </c>
      <c r="G29" s="161">
        <f t="shared" si="11"/>
        <v>37427.506917736267</v>
      </c>
      <c r="H29" s="142">
        <f t="shared" si="12"/>
        <v>37427.506917736267</v>
      </c>
      <c r="I29" s="156">
        <f t="shared" si="0"/>
        <v>0</v>
      </c>
      <c r="J29" s="156"/>
      <c r="K29" s="334"/>
      <c r="L29" s="158">
        <f t="shared" si="1"/>
        <v>0</v>
      </c>
      <c r="M29" s="334"/>
      <c r="N29" s="158">
        <f t="shared" si="2"/>
        <v>0</v>
      </c>
      <c r="O29" s="158">
        <f t="shared" si="3"/>
        <v>0</v>
      </c>
      <c r="P29" s="4"/>
    </row>
    <row r="30" spans="2:16">
      <c r="B30" s="9" t="str">
        <f t="shared" si="6"/>
        <v/>
      </c>
      <c r="C30" s="153">
        <f>IF(D11="","-",+C29+1)</f>
        <v>2021</v>
      </c>
      <c r="D30" s="159">
        <f>IF(F29+SUM(E$17:E29)=D$10,F29,D$10-SUM(E$17:E29))</f>
        <v>280473.42803335609</v>
      </c>
      <c r="E30" s="160">
        <f>IF(+I14&lt;F29,I14,D30)</f>
        <v>9054.0930232558148</v>
      </c>
      <c r="F30" s="159">
        <f t="shared" si="10"/>
        <v>271419.33501010027</v>
      </c>
      <c r="G30" s="161">
        <f t="shared" si="11"/>
        <v>36526.120598299043</v>
      </c>
      <c r="H30" s="142">
        <f t="shared" si="12"/>
        <v>36526.120598299043</v>
      </c>
      <c r="I30" s="156">
        <f t="shared" si="0"/>
        <v>0</v>
      </c>
      <c r="J30" s="156"/>
      <c r="K30" s="334"/>
      <c r="L30" s="158">
        <f t="shared" si="1"/>
        <v>0</v>
      </c>
      <c r="M30" s="334"/>
      <c r="N30" s="158">
        <f t="shared" si="2"/>
        <v>0</v>
      </c>
      <c r="O30" s="158">
        <f t="shared" si="3"/>
        <v>0</v>
      </c>
      <c r="P30" s="4"/>
    </row>
    <row r="31" spans="2:16">
      <c r="B31" s="9" t="str">
        <f t="shared" si="6"/>
        <v/>
      </c>
      <c r="C31" s="153">
        <f>IF(D11="","-",+C30+1)</f>
        <v>2022</v>
      </c>
      <c r="D31" s="159">
        <f>IF(F30+SUM(E$17:E30)=D$10,F30,D$10-SUM(E$17:E30))</f>
        <v>271419.33501010027</v>
      </c>
      <c r="E31" s="160">
        <f>IF(+I14&lt;F30,I14,D31)</f>
        <v>9054.0930232558148</v>
      </c>
      <c r="F31" s="159">
        <f t="shared" si="10"/>
        <v>262365.24198684446</v>
      </c>
      <c r="G31" s="161">
        <f t="shared" si="11"/>
        <v>35624.734278861819</v>
      </c>
      <c r="H31" s="142">
        <f t="shared" si="12"/>
        <v>35624.734278861819</v>
      </c>
      <c r="I31" s="156">
        <f t="shared" si="0"/>
        <v>0</v>
      </c>
      <c r="J31" s="156"/>
      <c r="K31" s="334"/>
      <c r="L31" s="158">
        <f t="shared" si="1"/>
        <v>0</v>
      </c>
      <c r="M31" s="334"/>
      <c r="N31" s="158">
        <f t="shared" si="2"/>
        <v>0</v>
      </c>
      <c r="O31" s="158">
        <f t="shared" si="3"/>
        <v>0</v>
      </c>
      <c r="P31" s="4"/>
    </row>
    <row r="32" spans="2:16">
      <c r="B32" s="9" t="str">
        <f t="shared" si="6"/>
        <v/>
      </c>
      <c r="C32" s="153">
        <f>IF(D11="","-",+C31+1)</f>
        <v>2023</v>
      </c>
      <c r="D32" s="159">
        <f>IF(F31+SUM(E$17:E31)=D$10,F31,D$10-SUM(E$17:E31))</f>
        <v>262365.24198684446</v>
      </c>
      <c r="E32" s="160">
        <f>IF(+I14&lt;F31,I14,D32)</f>
        <v>9054.0930232558148</v>
      </c>
      <c r="F32" s="159">
        <f t="shared" si="10"/>
        <v>253311.14896358864</v>
      </c>
      <c r="G32" s="161">
        <f t="shared" si="11"/>
        <v>34723.347959424595</v>
      </c>
      <c r="H32" s="142">
        <f t="shared" si="12"/>
        <v>34723.347959424595</v>
      </c>
      <c r="I32" s="156">
        <f t="shared" si="0"/>
        <v>0</v>
      </c>
      <c r="J32" s="156"/>
      <c r="K32" s="334"/>
      <c r="L32" s="158">
        <f t="shared" si="1"/>
        <v>0</v>
      </c>
      <c r="M32" s="334"/>
      <c r="N32" s="158">
        <f t="shared" si="2"/>
        <v>0</v>
      </c>
      <c r="O32" s="158">
        <f t="shared" si="3"/>
        <v>0</v>
      </c>
      <c r="P32" s="4"/>
    </row>
    <row r="33" spans="2:16">
      <c r="B33" s="9" t="str">
        <f t="shared" si="6"/>
        <v/>
      </c>
      <c r="C33" s="153">
        <f>IF(D11="","-",+C32+1)</f>
        <v>2024</v>
      </c>
      <c r="D33" s="159">
        <f>IF(F32+SUM(E$17:E32)=D$10,F32,D$10-SUM(E$17:E32))</f>
        <v>253311.14896358864</v>
      </c>
      <c r="E33" s="160">
        <f>IF(+I14&lt;F32,I14,D33)</f>
        <v>9054.0930232558148</v>
      </c>
      <c r="F33" s="159">
        <f t="shared" si="10"/>
        <v>244257.05594033282</v>
      </c>
      <c r="G33" s="161">
        <f t="shared" si="11"/>
        <v>33821.96163998737</v>
      </c>
      <c r="H33" s="142">
        <f t="shared" si="12"/>
        <v>33821.96163998737</v>
      </c>
      <c r="I33" s="156">
        <f t="shared" si="0"/>
        <v>0</v>
      </c>
      <c r="J33" s="156"/>
      <c r="K33" s="334"/>
      <c r="L33" s="158">
        <f t="shared" si="1"/>
        <v>0</v>
      </c>
      <c r="M33" s="334"/>
      <c r="N33" s="158">
        <f t="shared" si="2"/>
        <v>0</v>
      </c>
      <c r="O33" s="158">
        <f t="shared" si="3"/>
        <v>0</v>
      </c>
      <c r="P33" s="4"/>
    </row>
    <row r="34" spans="2:16">
      <c r="B34" s="9" t="str">
        <f t="shared" si="6"/>
        <v/>
      </c>
      <c r="C34" s="153">
        <f>IF(D11="","-",+C33+1)</f>
        <v>2025</v>
      </c>
      <c r="D34" s="159">
        <f>IF(F33+SUM(E$17:E33)=D$10,F33,D$10-SUM(E$17:E33))</f>
        <v>244257.05594033282</v>
      </c>
      <c r="E34" s="160">
        <f>IF(+I14&lt;F33,I14,D34)</f>
        <v>9054.0930232558148</v>
      </c>
      <c r="F34" s="159">
        <f t="shared" si="10"/>
        <v>235202.96291707701</v>
      </c>
      <c r="G34" s="161">
        <f t="shared" si="11"/>
        <v>32920.575320550153</v>
      </c>
      <c r="H34" s="142">
        <f t="shared" si="12"/>
        <v>32920.575320550153</v>
      </c>
      <c r="I34" s="156">
        <f t="shared" si="0"/>
        <v>0</v>
      </c>
      <c r="J34" s="156"/>
      <c r="K34" s="334"/>
      <c r="L34" s="158">
        <f t="shared" si="1"/>
        <v>0</v>
      </c>
      <c r="M34" s="334"/>
      <c r="N34" s="158">
        <f t="shared" si="2"/>
        <v>0</v>
      </c>
      <c r="O34" s="158">
        <f t="shared" si="3"/>
        <v>0</v>
      </c>
      <c r="P34" s="4"/>
    </row>
    <row r="35" spans="2:16">
      <c r="B35" s="9" t="str">
        <f t="shared" si="6"/>
        <v/>
      </c>
      <c r="C35" s="153">
        <f>IF(D11="","-",+C34+1)</f>
        <v>2026</v>
      </c>
      <c r="D35" s="159">
        <f>IF(F34+SUM(E$17:E34)=D$10,F34,D$10-SUM(E$17:E34))</f>
        <v>235202.96291707701</v>
      </c>
      <c r="E35" s="160">
        <f>IF(+I14&lt;F34,I14,D35)</f>
        <v>9054.0930232558148</v>
      </c>
      <c r="F35" s="159">
        <f t="shared" si="10"/>
        <v>226148.86989382119</v>
      </c>
      <c r="G35" s="161">
        <f t="shared" si="11"/>
        <v>32019.189001112929</v>
      </c>
      <c r="H35" s="142">
        <f t="shared" si="12"/>
        <v>32019.189001112929</v>
      </c>
      <c r="I35" s="156">
        <f t="shared" si="0"/>
        <v>0</v>
      </c>
      <c r="J35" s="156"/>
      <c r="K35" s="334"/>
      <c r="L35" s="158">
        <f t="shared" si="1"/>
        <v>0</v>
      </c>
      <c r="M35" s="334"/>
      <c r="N35" s="158">
        <f t="shared" si="2"/>
        <v>0</v>
      </c>
      <c r="O35" s="158">
        <f t="shared" si="3"/>
        <v>0</v>
      </c>
      <c r="P35" s="4"/>
    </row>
    <row r="36" spans="2:16">
      <c r="B36" s="9" t="str">
        <f t="shared" si="6"/>
        <v/>
      </c>
      <c r="C36" s="153">
        <f>IF(D11="","-",+C35+1)</f>
        <v>2027</v>
      </c>
      <c r="D36" s="159">
        <f>IF(F35+SUM(E$17:E35)=D$10,F35,D$10-SUM(E$17:E35))</f>
        <v>226148.86989382119</v>
      </c>
      <c r="E36" s="160">
        <f>IF(+I14&lt;F35,I14,D36)</f>
        <v>9054.0930232558148</v>
      </c>
      <c r="F36" s="159">
        <f t="shared" si="10"/>
        <v>217094.77687056537</v>
      </c>
      <c r="G36" s="161">
        <f t="shared" si="11"/>
        <v>31117.802681675705</v>
      </c>
      <c r="H36" s="142">
        <f t="shared" si="12"/>
        <v>31117.802681675705</v>
      </c>
      <c r="I36" s="156">
        <f t="shared" si="0"/>
        <v>0</v>
      </c>
      <c r="J36" s="156"/>
      <c r="K36" s="334"/>
      <c r="L36" s="158">
        <f t="shared" si="1"/>
        <v>0</v>
      </c>
      <c r="M36" s="334"/>
      <c r="N36" s="158">
        <f t="shared" si="2"/>
        <v>0</v>
      </c>
      <c r="O36" s="158">
        <f t="shared" si="3"/>
        <v>0</v>
      </c>
      <c r="P36" s="4"/>
    </row>
    <row r="37" spans="2:16">
      <c r="B37" s="9" t="str">
        <f t="shared" si="6"/>
        <v/>
      </c>
      <c r="C37" s="153">
        <f>IF(D11="","-",+C36+1)</f>
        <v>2028</v>
      </c>
      <c r="D37" s="159">
        <f>IF(F36+SUM(E$17:E36)=D$10,F36,D$10-SUM(E$17:E36))</f>
        <v>217094.77687056537</v>
      </c>
      <c r="E37" s="160">
        <f>IF(+I14&lt;F36,I14,D37)</f>
        <v>9054.0930232558148</v>
      </c>
      <c r="F37" s="159">
        <f t="shared" si="10"/>
        <v>208040.68384730956</v>
      </c>
      <c r="G37" s="161">
        <f t="shared" si="11"/>
        <v>30216.41636223848</v>
      </c>
      <c r="H37" s="142">
        <f t="shared" si="12"/>
        <v>30216.41636223848</v>
      </c>
      <c r="I37" s="156">
        <f t="shared" si="0"/>
        <v>0</v>
      </c>
      <c r="J37" s="156"/>
      <c r="K37" s="334"/>
      <c r="L37" s="158">
        <f t="shared" si="1"/>
        <v>0</v>
      </c>
      <c r="M37" s="334"/>
      <c r="N37" s="158">
        <f t="shared" si="2"/>
        <v>0</v>
      </c>
      <c r="O37" s="158">
        <f t="shared" si="3"/>
        <v>0</v>
      </c>
      <c r="P37" s="4"/>
    </row>
    <row r="38" spans="2:16">
      <c r="B38" s="9" t="str">
        <f t="shared" si="6"/>
        <v/>
      </c>
      <c r="C38" s="153">
        <f>IF(D11="","-",+C37+1)</f>
        <v>2029</v>
      </c>
      <c r="D38" s="159">
        <f>IF(F37+SUM(E$17:E37)=D$10,F37,D$10-SUM(E$17:E37))</f>
        <v>208040.68384730956</v>
      </c>
      <c r="E38" s="160">
        <f>IF(+I14&lt;F37,I14,D38)</f>
        <v>9054.0930232558148</v>
      </c>
      <c r="F38" s="159">
        <f t="shared" si="10"/>
        <v>198986.59082405374</v>
      </c>
      <c r="G38" s="161">
        <f t="shared" si="11"/>
        <v>29315.030042801256</v>
      </c>
      <c r="H38" s="142">
        <f t="shared" si="12"/>
        <v>29315.030042801256</v>
      </c>
      <c r="I38" s="156">
        <f t="shared" si="0"/>
        <v>0</v>
      </c>
      <c r="J38" s="156"/>
      <c r="K38" s="334"/>
      <c r="L38" s="158">
        <f t="shared" si="1"/>
        <v>0</v>
      </c>
      <c r="M38" s="334"/>
      <c r="N38" s="158">
        <f t="shared" si="2"/>
        <v>0</v>
      </c>
      <c r="O38" s="158">
        <f t="shared" si="3"/>
        <v>0</v>
      </c>
      <c r="P38" s="4"/>
    </row>
    <row r="39" spans="2:16">
      <c r="B39" s="9" t="str">
        <f t="shared" si="6"/>
        <v/>
      </c>
      <c r="C39" s="153">
        <f>IF(D11="","-",+C38+1)</f>
        <v>2030</v>
      </c>
      <c r="D39" s="159">
        <f>IF(F38+SUM(E$17:E38)=D$10,F38,D$10-SUM(E$17:E38))</f>
        <v>198986.59082405374</v>
      </c>
      <c r="E39" s="160">
        <f>IF(+I14&lt;F38,I14,D39)</f>
        <v>9054.0930232558148</v>
      </c>
      <c r="F39" s="159">
        <f t="shared" si="10"/>
        <v>189932.49780079792</v>
      </c>
      <c r="G39" s="161">
        <f t="shared" si="11"/>
        <v>28413.643723364032</v>
      </c>
      <c r="H39" s="142">
        <f t="shared" si="12"/>
        <v>28413.643723364032</v>
      </c>
      <c r="I39" s="156">
        <f t="shared" si="0"/>
        <v>0</v>
      </c>
      <c r="J39" s="156"/>
      <c r="K39" s="334"/>
      <c r="L39" s="158">
        <f t="shared" si="1"/>
        <v>0</v>
      </c>
      <c r="M39" s="334"/>
      <c r="N39" s="158">
        <f t="shared" si="2"/>
        <v>0</v>
      </c>
      <c r="O39" s="158">
        <f t="shared" si="3"/>
        <v>0</v>
      </c>
      <c r="P39" s="4"/>
    </row>
    <row r="40" spans="2:16">
      <c r="B40" s="9" t="str">
        <f t="shared" si="6"/>
        <v/>
      </c>
      <c r="C40" s="153">
        <f>IF(D11="","-",+C39+1)</f>
        <v>2031</v>
      </c>
      <c r="D40" s="159">
        <f>IF(F39+SUM(E$17:E39)=D$10,F39,D$10-SUM(E$17:E39))</f>
        <v>189932.49780079792</v>
      </c>
      <c r="E40" s="160">
        <f>IF(+I14&lt;F39,I14,D40)</f>
        <v>9054.0930232558148</v>
      </c>
      <c r="F40" s="159">
        <f t="shared" si="10"/>
        <v>180878.40477754211</v>
      </c>
      <c r="G40" s="161">
        <f t="shared" si="11"/>
        <v>27512.257403926815</v>
      </c>
      <c r="H40" s="142">
        <f t="shared" si="12"/>
        <v>27512.257403926815</v>
      </c>
      <c r="I40" s="156">
        <f t="shared" si="0"/>
        <v>0</v>
      </c>
      <c r="J40" s="156"/>
      <c r="K40" s="334"/>
      <c r="L40" s="158">
        <f t="shared" si="1"/>
        <v>0</v>
      </c>
      <c r="M40" s="334"/>
      <c r="N40" s="158">
        <f t="shared" si="2"/>
        <v>0</v>
      </c>
      <c r="O40" s="158">
        <f t="shared" si="3"/>
        <v>0</v>
      </c>
      <c r="P40" s="4"/>
    </row>
    <row r="41" spans="2:16">
      <c r="B41" s="9" t="str">
        <f t="shared" si="6"/>
        <v/>
      </c>
      <c r="C41" s="153">
        <f>IF(D11="","-",+C40+1)</f>
        <v>2032</v>
      </c>
      <c r="D41" s="159">
        <f>IF(F40+SUM(E$17:E40)=D$10,F40,D$10-SUM(E$17:E40))</f>
        <v>180878.40477754211</v>
      </c>
      <c r="E41" s="160">
        <f>IF(+I14&lt;F40,I14,D41)</f>
        <v>9054.0930232558148</v>
      </c>
      <c r="F41" s="159">
        <f t="shared" si="10"/>
        <v>171824.31175428629</v>
      </c>
      <c r="G41" s="161">
        <f t="shared" si="11"/>
        <v>26610.87108448959</v>
      </c>
      <c r="H41" s="142">
        <f t="shared" si="12"/>
        <v>26610.87108448959</v>
      </c>
      <c r="I41" s="156">
        <f t="shared" si="0"/>
        <v>0</v>
      </c>
      <c r="J41" s="156"/>
      <c r="K41" s="334"/>
      <c r="L41" s="158">
        <f t="shared" si="1"/>
        <v>0</v>
      </c>
      <c r="M41" s="334"/>
      <c r="N41" s="158">
        <f t="shared" si="2"/>
        <v>0</v>
      </c>
      <c r="O41" s="158">
        <f t="shared" si="3"/>
        <v>0</v>
      </c>
      <c r="P41" s="4"/>
    </row>
    <row r="42" spans="2:16">
      <c r="B42" s="9" t="str">
        <f t="shared" si="6"/>
        <v/>
      </c>
      <c r="C42" s="153">
        <f>IF(D11="","-",+C41+1)</f>
        <v>2033</v>
      </c>
      <c r="D42" s="159">
        <f>IF(F41+SUM(E$17:E41)=D$10,F41,D$10-SUM(E$17:E41))</f>
        <v>171824.31175428629</v>
      </c>
      <c r="E42" s="160">
        <f>IF(+I14&lt;F41,I14,D42)</f>
        <v>9054.0930232558148</v>
      </c>
      <c r="F42" s="159">
        <f t="shared" si="10"/>
        <v>162770.21873103047</v>
      </c>
      <c r="G42" s="161">
        <f t="shared" si="11"/>
        <v>25709.484765052366</v>
      </c>
      <c r="H42" s="142">
        <f t="shared" si="12"/>
        <v>25709.484765052366</v>
      </c>
      <c r="I42" s="156">
        <f t="shared" si="0"/>
        <v>0</v>
      </c>
      <c r="J42" s="156"/>
      <c r="K42" s="334"/>
      <c r="L42" s="158">
        <f t="shared" si="1"/>
        <v>0</v>
      </c>
      <c r="M42" s="334"/>
      <c r="N42" s="158">
        <f t="shared" si="2"/>
        <v>0</v>
      </c>
      <c r="O42" s="158">
        <f t="shared" si="3"/>
        <v>0</v>
      </c>
      <c r="P42" s="4"/>
    </row>
    <row r="43" spans="2:16">
      <c r="B43" s="9" t="str">
        <f t="shared" si="6"/>
        <v/>
      </c>
      <c r="C43" s="153">
        <f>IF(D11="","-",+C42+1)</f>
        <v>2034</v>
      </c>
      <c r="D43" s="159">
        <f>IF(F42+SUM(E$17:E42)=D$10,F42,D$10-SUM(E$17:E42))</f>
        <v>162770.21873103047</v>
      </c>
      <c r="E43" s="160">
        <f>IF(+I14&lt;F42,I14,D43)</f>
        <v>9054.0930232558148</v>
      </c>
      <c r="F43" s="159">
        <f t="shared" si="10"/>
        <v>153716.12570777466</v>
      </c>
      <c r="G43" s="161">
        <f t="shared" si="11"/>
        <v>24808.098445615142</v>
      </c>
      <c r="H43" s="142">
        <f t="shared" si="12"/>
        <v>24808.098445615142</v>
      </c>
      <c r="I43" s="156">
        <f t="shared" si="0"/>
        <v>0</v>
      </c>
      <c r="J43" s="156"/>
      <c r="K43" s="334"/>
      <c r="L43" s="158">
        <f t="shared" si="1"/>
        <v>0</v>
      </c>
      <c r="M43" s="334"/>
      <c r="N43" s="158">
        <f t="shared" si="2"/>
        <v>0</v>
      </c>
      <c r="O43" s="158">
        <f t="shared" si="3"/>
        <v>0</v>
      </c>
      <c r="P43" s="4"/>
    </row>
    <row r="44" spans="2:16">
      <c r="B44" s="9" t="str">
        <f t="shared" si="6"/>
        <v/>
      </c>
      <c r="C44" s="153">
        <f>IF(D11="","-",+C43+1)</f>
        <v>2035</v>
      </c>
      <c r="D44" s="159">
        <f>IF(F43+SUM(E$17:E43)=D$10,F43,D$10-SUM(E$17:E43))</f>
        <v>153716.12570777466</v>
      </c>
      <c r="E44" s="160">
        <f>IF(+I14&lt;F43,I14,D44)</f>
        <v>9054.0930232558148</v>
      </c>
      <c r="F44" s="159">
        <f t="shared" si="10"/>
        <v>144662.03268451884</v>
      </c>
      <c r="G44" s="161">
        <f t="shared" si="11"/>
        <v>23906.712126177918</v>
      </c>
      <c r="H44" s="142">
        <f t="shared" si="12"/>
        <v>23906.712126177918</v>
      </c>
      <c r="I44" s="156">
        <f t="shared" si="0"/>
        <v>0</v>
      </c>
      <c r="J44" s="156"/>
      <c r="K44" s="334"/>
      <c r="L44" s="158">
        <f t="shared" si="1"/>
        <v>0</v>
      </c>
      <c r="M44" s="334"/>
      <c r="N44" s="158">
        <f t="shared" si="2"/>
        <v>0</v>
      </c>
      <c r="O44" s="158">
        <f t="shared" si="3"/>
        <v>0</v>
      </c>
      <c r="P44" s="4"/>
    </row>
    <row r="45" spans="2:16">
      <c r="B45" s="9" t="str">
        <f t="shared" si="6"/>
        <v/>
      </c>
      <c r="C45" s="153">
        <f>IF(D11="","-",+C44+1)</f>
        <v>2036</v>
      </c>
      <c r="D45" s="159">
        <f>IF(F44+SUM(E$17:E44)=D$10,F44,D$10-SUM(E$17:E44))</f>
        <v>144662.03268451884</v>
      </c>
      <c r="E45" s="160">
        <f>IF(+I14&lt;F44,I14,D45)</f>
        <v>9054.0930232558148</v>
      </c>
      <c r="F45" s="159">
        <f t="shared" si="10"/>
        <v>135607.93966126302</v>
      </c>
      <c r="G45" s="161">
        <f t="shared" si="11"/>
        <v>23005.325806740697</v>
      </c>
      <c r="H45" s="142">
        <f t="shared" si="12"/>
        <v>23005.325806740697</v>
      </c>
      <c r="I45" s="156">
        <f t="shared" si="0"/>
        <v>0</v>
      </c>
      <c r="J45" s="156"/>
      <c r="K45" s="334"/>
      <c r="L45" s="158">
        <f t="shared" si="1"/>
        <v>0</v>
      </c>
      <c r="M45" s="334"/>
      <c r="N45" s="158">
        <f t="shared" si="2"/>
        <v>0</v>
      </c>
      <c r="O45" s="158">
        <f t="shared" si="3"/>
        <v>0</v>
      </c>
      <c r="P45" s="4"/>
    </row>
    <row r="46" spans="2:16">
      <c r="B46" s="9" t="str">
        <f t="shared" si="6"/>
        <v/>
      </c>
      <c r="C46" s="153">
        <f>IF(D11="","-",+C45+1)</f>
        <v>2037</v>
      </c>
      <c r="D46" s="159">
        <f>IF(F45+SUM(E$17:E45)=D$10,F45,D$10-SUM(E$17:E45))</f>
        <v>135607.93966126302</v>
      </c>
      <c r="E46" s="160">
        <f>IF(+I14&lt;F45,I14,D46)</f>
        <v>9054.0930232558148</v>
      </c>
      <c r="F46" s="159">
        <f t="shared" si="10"/>
        <v>126553.84663800721</v>
      </c>
      <c r="G46" s="161">
        <f t="shared" si="11"/>
        <v>22103.939487303476</v>
      </c>
      <c r="H46" s="142">
        <f t="shared" si="12"/>
        <v>22103.939487303476</v>
      </c>
      <c r="I46" s="156">
        <f t="shared" si="0"/>
        <v>0</v>
      </c>
      <c r="J46" s="156"/>
      <c r="K46" s="334"/>
      <c r="L46" s="158">
        <f t="shared" si="1"/>
        <v>0</v>
      </c>
      <c r="M46" s="334"/>
      <c r="N46" s="158">
        <f t="shared" si="2"/>
        <v>0</v>
      </c>
      <c r="O46" s="158">
        <f t="shared" si="3"/>
        <v>0</v>
      </c>
      <c r="P46" s="4"/>
    </row>
    <row r="47" spans="2:16">
      <c r="B47" s="9" t="str">
        <f t="shared" si="6"/>
        <v/>
      </c>
      <c r="C47" s="153">
        <f>IF(D11="","-",+C46+1)</f>
        <v>2038</v>
      </c>
      <c r="D47" s="159">
        <f>IF(F46+SUM(E$17:E46)=D$10,F46,D$10-SUM(E$17:E46))</f>
        <v>126553.84663800721</v>
      </c>
      <c r="E47" s="160">
        <f>IF(+I14&lt;F46,I14,D47)</f>
        <v>9054.0930232558148</v>
      </c>
      <c r="F47" s="159">
        <f t="shared" si="10"/>
        <v>117499.75361475139</v>
      </c>
      <c r="G47" s="161">
        <f t="shared" si="11"/>
        <v>21202.553167866252</v>
      </c>
      <c r="H47" s="142">
        <f t="shared" si="12"/>
        <v>21202.553167866252</v>
      </c>
      <c r="I47" s="156">
        <f t="shared" si="0"/>
        <v>0</v>
      </c>
      <c r="J47" s="156"/>
      <c r="K47" s="334"/>
      <c r="L47" s="158">
        <f t="shared" si="1"/>
        <v>0</v>
      </c>
      <c r="M47" s="334"/>
      <c r="N47" s="158">
        <f t="shared" si="2"/>
        <v>0</v>
      </c>
      <c r="O47" s="158">
        <f t="shared" si="3"/>
        <v>0</v>
      </c>
      <c r="P47" s="4"/>
    </row>
    <row r="48" spans="2:16">
      <c r="B48" s="9" t="str">
        <f t="shared" si="6"/>
        <v/>
      </c>
      <c r="C48" s="153">
        <f>IF(D11="","-",+C47+1)</f>
        <v>2039</v>
      </c>
      <c r="D48" s="159">
        <f>IF(F47+SUM(E$17:E47)=D$10,F47,D$10-SUM(E$17:E47))</f>
        <v>117499.75361475139</v>
      </c>
      <c r="E48" s="160">
        <f>IF(+I14&lt;F47,I14,D48)</f>
        <v>9054.0930232558148</v>
      </c>
      <c r="F48" s="159">
        <f t="shared" si="10"/>
        <v>108445.66059149557</v>
      </c>
      <c r="G48" s="161">
        <f t="shared" si="11"/>
        <v>20301.166848429028</v>
      </c>
      <c r="H48" s="142">
        <f t="shared" si="12"/>
        <v>20301.166848429028</v>
      </c>
      <c r="I48" s="156">
        <f t="shared" si="0"/>
        <v>0</v>
      </c>
      <c r="J48" s="156"/>
      <c r="K48" s="334"/>
      <c r="L48" s="158">
        <f t="shared" si="1"/>
        <v>0</v>
      </c>
      <c r="M48" s="334"/>
      <c r="N48" s="158">
        <f t="shared" si="2"/>
        <v>0</v>
      </c>
      <c r="O48" s="158">
        <f t="shared" si="3"/>
        <v>0</v>
      </c>
      <c r="P48" s="4"/>
    </row>
    <row r="49" spans="2:17">
      <c r="B49" s="9" t="str">
        <f t="shared" si="6"/>
        <v/>
      </c>
      <c r="C49" s="153">
        <f>IF(D11="","-",+C48+1)</f>
        <v>2040</v>
      </c>
      <c r="D49" s="159">
        <f>IF(F48+SUM(E$17:E48)=D$10,F48,D$10-SUM(E$17:E48))</f>
        <v>108445.66059149557</v>
      </c>
      <c r="E49" s="160">
        <f>IF(+I14&lt;F48,I14,D49)</f>
        <v>9054.0930232558148</v>
      </c>
      <c r="F49" s="159">
        <f t="shared" ref="F49:F72" si="13">+D49-E49</f>
        <v>99391.567568239756</v>
      </c>
      <c r="G49" s="161">
        <f t="shared" si="11"/>
        <v>19399.780528991803</v>
      </c>
      <c r="H49" s="142">
        <f t="shared" si="12"/>
        <v>19399.780528991803</v>
      </c>
      <c r="I49" s="156">
        <f t="shared" ref="I49:I72" si="14">H49-G49</f>
        <v>0</v>
      </c>
      <c r="J49" s="156"/>
      <c r="K49" s="334"/>
      <c r="L49" s="158">
        <f t="shared" ref="L49:L72" si="15">IF(K49&lt;&gt;0,+G49-K49,0)</f>
        <v>0</v>
      </c>
      <c r="M49" s="334"/>
      <c r="N49" s="158">
        <f t="shared" ref="N49:N72" si="16">IF(M49&lt;&gt;0,+H49-M49,0)</f>
        <v>0</v>
      </c>
      <c r="O49" s="158">
        <f t="shared" ref="O49:O72" si="17">+N49-L49</f>
        <v>0</v>
      </c>
      <c r="P49" s="4"/>
    </row>
    <row r="50" spans="2:17">
      <c r="B50" s="9" t="str">
        <f t="shared" si="6"/>
        <v/>
      </c>
      <c r="C50" s="153">
        <f>IF(D11="","-",+C49+1)</f>
        <v>2041</v>
      </c>
      <c r="D50" s="159">
        <f>IF(F49+SUM(E$17:E49)=D$10,F49,D$10-SUM(E$17:E49))</f>
        <v>99391.567568239756</v>
      </c>
      <c r="E50" s="160">
        <f>IF(+I14&lt;F49,I14,D50)</f>
        <v>9054.0930232558148</v>
      </c>
      <c r="F50" s="159">
        <f t="shared" si="13"/>
        <v>90337.474544983939</v>
      </c>
      <c r="G50" s="161">
        <f t="shared" si="11"/>
        <v>18498.394209554583</v>
      </c>
      <c r="H50" s="142">
        <f t="shared" si="12"/>
        <v>18498.394209554583</v>
      </c>
      <c r="I50" s="156">
        <f t="shared" si="14"/>
        <v>0</v>
      </c>
      <c r="J50" s="156"/>
      <c r="K50" s="334"/>
      <c r="L50" s="158">
        <f t="shared" si="15"/>
        <v>0</v>
      </c>
      <c r="M50" s="334"/>
      <c r="N50" s="158">
        <f t="shared" si="16"/>
        <v>0</v>
      </c>
      <c r="O50" s="158">
        <f t="shared" si="17"/>
        <v>0</v>
      </c>
      <c r="P50" s="4"/>
    </row>
    <row r="51" spans="2:17">
      <c r="B51" s="9" t="str">
        <f t="shared" si="6"/>
        <v/>
      </c>
      <c r="C51" s="153">
        <f>IF(D11="","-",+C50+1)</f>
        <v>2042</v>
      </c>
      <c r="D51" s="159">
        <f>IF(F50+SUM(E$17:E50)=D$10,F50,D$10-SUM(E$17:E50))</f>
        <v>90337.474544983939</v>
      </c>
      <c r="E51" s="160">
        <f>IF(+I14&lt;F50,I14,D51)</f>
        <v>9054.0930232558148</v>
      </c>
      <c r="F51" s="159">
        <f t="shared" si="13"/>
        <v>81283.381521728123</v>
      </c>
      <c r="G51" s="161">
        <f t="shared" si="11"/>
        <v>17597.007890117358</v>
      </c>
      <c r="H51" s="142">
        <f t="shared" si="12"/>
        <v>17597.007890117358</v>
      </c>
      <c r="I51" s="156">
        <f t="shared" si="14"/>
        <v>0</v>
      </c>
      <c r="J51" s="156"/>
      <c r="K51" s="334"/>
      <c r="L51" s="158">
        <f t="shared" si="15"/>
        <v>0</v>
      </c>
      <c r="M51" s="334"/>
      <c r="N51" s="158">
        <f t="shared" si="16"/>
        <v>0</v>
      </c>
      <c r="O51" s="158">
        <f t="shared" si="17"/>
        <v>0</v>
      </c>
      <c r="P51" s="4"/>
    </row>
    <row r="52" spans="2:17">
      <c r="B52" s="9" t="str">
        <f t="shared" si="6"/>
        <v/>
      </c>
      <c r="C52" s="153">
        <f>IF(D11="","-",+C51+1)</f>
        <v>2043</v>
      </c>
      <c r="D52" s="159">
        <f>IF(F51+SUM(E$17:E51)=D$10,F51,D$10-SUM(E$17:E51))</f>
        <v>81283.381521728123</v>
      </c>
      <c r="E52" s="160">
        <f>IF(+I14&lt;F51,I14,D52)</f>
        <v>9054.0930232558148</v>
      </c>
      <c r="F52" s="159">
        <f t="shared" si="13"/>
        <v>72229.288498472306</v>
      </c>
      <c r="G52" s="161">
        <f t="shared" si="11"/>
        <v>16695.621570680138</v>
      </c>
      <c r="H52" s="142">
        <f t="shared" si="12"/>
        <v>16695.621570680138</v>
      </c>
      <c r="I52" s="156">
        <f t="shared" si="14"/>
        <v>0</v>
      </c>
      <c r="J52" s="156"/>
      <c r="K52" s="334"/>
      <c r="L52" s="158">
        <f t="shared" si="15"/>
        <v>0</v>
      </c>
      <c r="M52" s="334"/>
      <c r="N52" s="158">
        <f t="shared" si="16"/>
        <v>0</v>
      </c>
      <c r="O52" s="158">
        <f t="shared" si="17"/>
        <v>0</v>
      </c>
      <c r="P52" s="4"/>
    </row>
    <row r="53" spans="2:17">
      <c r="B53" s="9" t="str">
        <f t="shared" si="6"/>
        <v/>
      </c>
      <c r="C53" s="153">
        <f>IF(D11="","-",+C52+1)</f>
        <v>2044</v>
      </c>
      <c r="D53" s="159">
        <f>IF(F52+SUM(E$17:E52)=D$10,F52,D$10-SUM(E$17:E52))</f>
        <v>72229.288498472306</v>
      </c>
      <c r="E53" s="160">
        <f>IF(+I14&lt;F52,I14,D53)</f>
        <v>9054.0930232558148</v>
      </c>
      <c r="F53" s="159">
        <f t="shared" si="13"/>
        <v>63175.195475216489</v>
      </c>
      <c r="G53" s="161">
        <f t="shared" si="11"/>
        <v>15794.235251242913</v>
      </c>
      <c r="H53" s="142">
        <f t="shared" si="12"/>
        <v>15794.235251242913</v>
      </c>
      <c r="I53" s="156">
        <f t="shared" si="14"/>
        <v>0</v>
      </c>
      <c r="J53" s="156"/>
      <c r="K53" s="334"/>
      <c r="L53" s="158">
        <f t="shared" si="15"/>
        <v>0</v>
      </c>
      <c r="M53" s="334"/>
      <c r="N53" s="158">
        <f t="shared" si="16"/>
        <v>0</v>
      </c>
      <c r="O53" s="158">
        <f t="shared" si="17"/>
        <v>0</v>
      </c>
      <c r="P53" s="4"/>
    </row>
    <row r="54" spans="2:17">
      <c r="B54" s="9" t="str">
        <f t="shared" si="6"/>
        <v/>
      </c>
      <c r="C54" s="153">
        <f>IF(D11="","-",+C53+1)</f>
        <v>2045</v>
      </c>
      <c r="D54" s="159">
        <f>IF(F53+SUM(E$17:E53)=D$10,F53,D$10-SUM(E$17:E53))</f>
        <v>63175.195475216489</v>
      </c>
      <c r="E54" s="160">
        <f>IF(+I14&lt;F53,I14,D54)</f>
        <v>9054.0930232558148</v>
      </c>
      <c r="F54" s="159">
        <f t="shared" si="13"/>
        <v>54121.102451960673</v>
      </c>
      <c r="G54" s="161">
        <f t="shared" si="11"/>
        <v>14892.848931805689</v>
      </c>
      <c r="H54" s="142">
        <f t="shared" si="12"/>
        <v>14892.848931805689</v>
      </c>
      <c r="I54" s="156">
        <f t="shared" si="14"/>
        <v>0</v>
      </c>
      <c r="J54" s="156"/>
      <c r="K54" s="334"/>
      <c r="L54" s="158">
        <f t="shared" si="15"/>
        <v>0</v>
      </c>
      <c r="M54" s="334"/>
      <c r="N54" s="158">
        <f t="shared" si="16"/>
        <v>0</v>
      </c>
      <c r="O54" s="158">
        <f t="shared" si="17"/>
        <v>0</v>
      </c>
      <c r="P54" s="4"/>
    </row>
    <row r="55" spans="2:17">
      <c r="B55" s="9" t="str">
        <f t="shared" si="6"/>
        <v/>
      </c>
      <c r="C55" s="153">
        <f>IF(D11="","-",+C54+1)</f>
        <v>2046</v>
      </c>
      <c r="D55" s="159">
        <f>IF(F54+SUM(E$17:E54)=D$10,F54,D$10-SUM(E$17:E54))</f>
        <v>54121.102451960673</v>
      </c>
      <c r="E55" s="160">
        <f>IF(+I14&lt;F54,I14,D55)</f>
        <v>9054.0930232558148</v>
      </c>
      <c r="F55" s="159">
        <f t="shared" si="13"/>
        <v>45067.009428704856</v>
      </c>
      <c r="G55" s="161">
        <f t="shared" si="11"/>
        <v>13991.462612368467</v>
      </c>
      <c r="H55" s="142">
        <f t="shared" si="12"/>
        <v>13991.462612368467</v>
      </c>
      <c r="I55" s="156">
        <f t="shared" si="14"/>
        <v>0</v>
      </c>
      <c r="J55" s="156"/>
      <c r="K55" s="334"/>
      <c r="L55" s="158">
        <f t="shared" si="15"/>
        <v>0</v>
      </c>
      <c r="M55" s="334"/>
      <c r="N55" s="158">
        <f t="shared" si="16"/>
        <v>0</v>
      </c>
      <c r="O55" s="158">
        <f t="shared" si="17"/>
        <v>0</v>
      </c>
      <c r="P55" s="4"/>
    </row>
    <row r="56" spans="2:17">
      <c r="B56" s="9" t="str">
        <f t="shared" si="6"/>
        <v/>
      </c>
      <c r="C56" s="153">
        <f>IF(D11="","-",+C55+1)</f>
        <v>2047</v>
      </c>
      <c r="D56" s="159">
        <f>IF(F55+SUM(E$17:E55)=D$10,F55,D$10-SUM(E$17:E55))</f>
        <v>45067.009428704856</v>
      </c>
      <c r="E56" s="160">
        <f>IF(+I14&lt;F55,I14,D56)</f>
        <v>9054.0930232558148</v>
      </c>
      <c r="F56" s="159">
        <f t="shared" si="13"/>
        <v>36012.916405449039</v>
      </c>
      <c r="G56" s="161">
        <f t="shared" si="11"/>
        <v>13090.076292931244</v>
      </c>
      <c r="H56" s="142">
        <f t="shared" si="12"/>
        <v>13090.076292931244</v>
      </c>
      <c r="I56" s="156">
        <f t="shared" si="14"/>
        <v>0</v>
      </c>
      <c r="J56" s="156"/>
      <c r="K56" s="334"/>
      <c r="L56" s="158">
        <f t="shared" si="15"/>
        <v>0</v>
      </c>
      <c r="M56" s="334"/>
      <c r="N56" s="158">
        <f t="shared" si="16"/>
        <v>0</v>
      </c>
      <c r="O56" s="158">
        <f t="shared" si="17"/>
        <v>0</v>
      </c>
      <c r="P56" s="4"/>
    </row>
    <row r="57" spans="2:17">
      <c r="B57" s="9" t="str">
        <f t="shared" si="6"/>
        <v/>
      </c>
      <c r="C57" s="153">
        <f>IF(D11="","-",+C56+1)</f>
        <v>2048</v>
      </c>
      <c r="D57" s="159">
        <f>IF(F56+SUM(E$17:E56)=D$10,F56,D$10-SUM(E$17:E56))</f>
        <v>36012.916405449039</v>
      </c>
      <c r="E57" s="160">
        <f>IF(+I14&lt;F56,I14,D57)</f>
        <v>9054.0930232558148</v>
      </c>
      <c r="F57" s="159">
        <f t="shared" si="13"/>
        <v>26958.823382193223</v>
      </c>
      <c r="G57" s="161">
        <f t="shared" si="11"/>
        <v>12188.68997349402</v>
      </c>
      <c r="H57" s="142">
        <f t="shared" si="12"/>
        <v>12188.68997349402</v>
      </c>
      <c r="I57" s="156">
        <f t="shared" si="14"/>
        <v>0</v>
      </c>
      <c r="J57" s="156"/>
      <c r="K57" s="334"/>
      <c r="L57" s="158">
        <f t="shared" si="15"/>
        <v>0</v>
      </c>
      <c r="M57" s="334"/>
      <c r="N57" s="158">
        <f t="shared" si="16"/>
        <v>0</v>
      </c>
      <c r="O57" s="158">
        <f t="shared" si="17"/>
        <v>0</v>
      </c>
      <c r="P57" s="4"/>
    </row>
    <row r="58" spans="2:17">
      <c r="B58" s="9" t="str">
        <f t="shared" si="6"/>
        <v/>
      </c>
      <c r="C58" s="153">
        <f>IF(D11="","-",+C57+1)</f>
        <v>2049</v>
      </c>
      <c r="D58" s="159">
        <f>IF(F57+SUM(E$17:E57)=D$10,F57,D$10-SUM(E$17:E57))</f>
        <v>26958.823382193223</v>
      </c>
      <c r="E58" s="160">
        <f>IF(+I14&lt;F57,I14,D58)</f>
        <v>9054.0930232558148</v>
      </c>
      <c r="F58" s="159">
        <f t="shared" si="13"/>
        <v>17904.730358937406</v>
      </c>
      <c r="G58" s="161">
        <f t="shared" si="11"/>
        <v>11287.303654056797</v>
      </c>
      <c r="H58" s="142">
        <f t="shared" si="12"/>
        <v>11287.303654056797</v>
      </c>
      <c r="I58" s="156">
        <f t="shared" si="14"/>
        <v>0</v>
      </c>
      <c r="J58" s="156"/>
      <c r="K58" s="334"/>
      <c r="L58" s="158">
        <f t="shared" si="15"/>
        <v>0</v>
      </c>
      <c r="M58" s="334"/>
      <c r="N58" s="158">
        <f t="shared" si="16"/>
        <v>0</v>
      </c>
      <c r="O58" s="158">
        <f t="shared" si="17"/>
        <v>0</v>
      </c>
      <c r="P58" s="4"/>
      <c r="Q58" t="str">
        <f>IF(ROUND(Q57,0)=ROUND(SUM(Q18:Q56),0),"","Error -- check allocations above).")</f>
        <v/>
      </c>
    </row>
    <row r="59" spans="2:17">
      <c r="B59" s="9" t="str">
        <f t="shared" si="6"/>
        <v/>
      </c>
      <c r="C59" s="153">
        <f>IF(D11="","-",+C58+1)</f>
        <v>2050</v>
      </c>
      <c r="D59" s="159">
        <f>IF(F58+SUM(E$17:E58)=D$10,F58,D$10-SUM(E$17:E58))</f>
        <v>17904.730358937406</v>
      </c>
      <c r="E59" s="160">
        <f>IF(+I14&lt;F58,I14,D59)</f>
        <v>9054.0930232558148</v>
      </c>
      <c r="F59" s="159">
        <f t="shared" si="13"/>
        <v>8850.6373356815911</v>
      </c>
      <c r="G59" s="161">
        <f t="shared" si="11"/>
        <v>10385.917334619575</v>
      </c>
      <c r="H59" s="142">
        <f t="shared" si="12"/>
        <v>10385.917334619575</v>
      </c>
      <c r="I59" s="156">
        <f t="shared" si="14"/>
        <v>0</v>
      </c>
      <c r="J59" s="156"/>
      <c r="K59" s="334"/>
      <c r="L59" s="158">
        <f t="shared" si="15"/>
        <v>0</v>
      </c>
      <c r="M59" s="334"/>
      <c r="N59" s="158">
        <f t="shared" si="16"/>
        <v>0</v>
      </c>
      <c r="O59" s="158">
        <f t="shared" si="17"/>
        <v>0</v>
      </c>
      <c r="P59" s="4"/>
    </row>
    <row r="60" spans="2:17">
      <c r="B60" s="9" t="str">
        <f t="shared" si="6"/>
        <v/>
      </c>
      <c r="C60" s="153">
        <f>IF(D11="","-",+C59+1)</f>
        <v>2051</v>
      </c>
      <c r="D60" s="159">
        <f>IF(F59+SUM(E$17:E59)=D$10,F59,D$10-SUM(E$17:E59))</f>
        <v>8850.6373356815911</v>
      </c>
      <c r="E60" s="160">
        <f>IF(+I14&lt;F59,I14,D60)</f>
        <v>8850.6373356815911</v>
      </c>
      <c r="F60" s="159">
        <f t="shared" si="13"/>
        <v>0</v>
      </c>
      <c r="G60" s="161">
        <f t="shared" si="11"/>
        <v>9291.202911504166</v>
      </c>
      <c r="H60" s="142">
        <f t="shared" si="12"/>
        <v>9291.202911504166</v>
      </c>
      <c r="I60" s="156">
        <f t="shared" si="14"/>
        <v>0</v>
      </c>
      <c r="J60" s="156"/>
      <c r="K60" s="334"/>
      <c r="L60" s="158">
        <f t="shared" si="15"/>
        <v>0</v>
      </c>
      <c r="M60" s="334"/>
      <c r="N60" s="158">
        <f t="shared" si="16"/>
        <v>0</v>
      </c>
      <c r="O60" s="158">
        <f t="shared" si="17"/>
        <v>0</v>
      </c>
      <c r="P60" s="4"/>
    </row>
    <row r="61" spans="2:17">
      <c r="B61" s="9" t="str">
        <f t="shared" si="6"/>
        <v/>
      </c>
      <c r="C61" s="153">
        <f>IF(D11="","-",+C60+1)</f>
        <v>2052</v>
      </c>
      <c r="D61" s="159">
        <f>IF(F60+SUM(E$17:E60)=D$10,F60,D$10-SUM(E$17:E60))</f>
        <v>0</v>
      </c>
      <c r="E61" s="160">
        <f>IF(+I14&lt;F60,I14,D61)</f>
        <v>0</v>
      </c>
      <c r="F61" s="159">
        <f t="shared" si="13"/>
        <v>0</v>
      </c>
      <c r="G61" s="163">
        <f t="shared" si="11"/>
        <v>0</v>
      </c>
      <c r="H61" s="142">
        <f t="shared" si="12"/>
        <v>0</v>
      </c>
      <c r="I61" s="156">
        <f t="shared" si="14"/>
        <v>0</v>
      </c>
      <c r="J61" s="156"/>
      <c r="K61" s="334"/>
      <c r="L61" s="158">
        <f t="shared" si="15"/>
        <v>0</v>
      </c>
      <c r="M61" s="334"/>
      <c r="N61" s="158">
        <f t="shared" si="16"/>
        <v>0</v>
      </c>
      <c r="O61" s="158">
        <f t="shared" si="17"/>
        <v>0</v>
      </c>
      <c r="P61" s="4"/>
    </row>
    <row r="62" spans="2:17">
      <c r="B62" s="9" t="str">
        <f t="shared" si="6"/>
        <v/>
      </c>
      <c r="C62" s="153">
        <f>IF(D11="","-",+C61+1)</f>
        <v>2053</v>
      </c>
      <c r="D62" s="159">
        <f>IF(F61+SUM(E$17:E61)=D$10,F61,D$10-SUM(E$17:E61))</f>
        <v>0</v>
      </c>
      <c r="E62" s="160">
        <f>IF(+I14&lt;F61,I14,D62)</f>
        <v>0</v>
      </c>
      <c r="F62" s="159">
        <f t="shared" si="13"/>
        <v>0</v>
      </c>
      <c r="G62" s="163">
        <f t="shared" si="11"/>
        <v>0</v>
      </c>
      <c r="H62" s="142">
        <f t="shared" si="12"/>
        <v>0</v>
      </c>
      <c r="I62" s="156">
        <f t="shared" si="14"/>
        <v>0</v>
      </c>
      <c r="J62" s="156"/>
      <c r="K62" s="334"/>
      <c r="L62" s="158">
        <f t="shared" si="15"/>
        <v>0</v>
      </c>
      <c r="M62" s="334"/>
      <c r="N62" s="158">
        <f t="shared" si="16"/>
        <v>0</v>
      </c>
      <c r="O62" s="158">
        <f t="shared" si="17"/>
        <v>0</v>
      </c>
      <c r="P62" s="4"/>
    </row>
    <row r="63" spans="2:17">
      <c r="B63" s="9" t="str">
        <f t="shared" si="6"/>
        <v/>
      </c>
      <c r="C63" s="153">
        <f>IF(D11="","-",+C62+1)</f>
        <v>2054</v>
      </c>
      <c r="D63" s="159">
        <f>IF(F62+SUM(E$17:E62)=D$10,F62,D$10-SUM(E$17:E62))</f>
        <v>0</v>
      </c>
      <c r="E63" s="160">
        <f>IF(+I14&lt;F62,I14,D63)</f>
        <v>0</v>
      </c>
      <c r="F63" s="159">
        <f t="shared" si="13"/>
        <v>0</v>
      </c>
      <c r="G63" s="163">
        <f t="shared" si="11"/>
        <v>0</v>
      </c>
      <c r="H63" s="142">
        <f t="shared" si="12"/>
        <v>0</v>
      </c>
      <c r="I63" s="156">
        <f t="shared" si="14"/>
        <v>0</v>
      </c>
      <c r="J63" s="156"/>
      <c r="K63" s="334"/>
      <c r="L63" s="158">
        <f t="shared" si="15"/>
        <v>0</v>
      </c>
      <c r="M63" s="334"/>
      <c r="N63" s="158">
        <f t="shared" si="16"/>
        <v>0</v>
      </c>
      <c r="O63" s="158">
        <f t="shared" si="17"/>
        <v>0</v>
      </c>
      <c r="P63" s="4"/>
    </row>
    <row r="64" spans="2:17">
      <c r="B64" s="9" t="str">
        <f t="shared" si="6"/>
        <v/>
      </c>
      <c r="C64" s="153">
        <f>IF(D11="","-",+C63+1)</f>
        <v>2055</v>
      </c>
      <c r="D64" s="159">
        <f>IF(F63+SUM(E$17:E63)=D$10,F63,D$10-SUM(E$17:E63))</f>
        <v>0</v>
      </c>
      <c r="E64" s="160">
        <f>IF(+I14&lt;F63,I14,D64)</f>
        <v>0</v>
      </c>
      <c r="F64" s="159">
        <f t="shared" si="13"/>
        <v>0</v>
      </c>
      <c r="G64" s="163">
        <f t="shared" si="11"/>
        <v>0</v>
      </c>
      <c r="H64" s="142">
        <f t="shared" si="12"/>
        <v>0</v>
      </c>
      <c r="I64" s="156">
        <f t="shared" si="14"/>
        <v>0</v>
      </c>
      <c r="J64" s="156"/>
      <c r="K64" s="334"/>
      <c r="L64" s="158">
        <f t="shared" si="15"/>
        <v>0</v>
      </c>
      <c r="M64" s="334"/>
      <c r="N64" s="158">
        <f t="shared" si="16"/>
        <v>0</v>
      </c>
      <c r="O64" s="158">
        <f t="shared" si="17"/>
        <v>0</v>
      </c>
      <c r="P64" s="4"/>
    </row>
    <row r="65" spans="1:16">
      <c r="B65" s="9" t="str">
        <f t="shared" si="6"/>
        <v/>
      </c>
      <c r="C65" s="153">
        <f>IF(D11="","-",+C64+1)</f>
        <v>2056</v>
      </c>
      <c r="D65" s="159">
        <f>IF(F64+SUM(E$17:E64)=D$10,F64,D$10-SUM(E$17:E64))</f>
        <v>0</v>
      </c>
      <c r="E65" s="160">
        <f>IF(+I14&lt;F64,I14,D65)</f>
        <v>0</v>
      </c>
      <c r="F65" s="159">
        <f t="shared" si="13"/>
        <v>0</v>
      </c>
      <c r="G65" s="163">
        <f t="shared" si="11"/>
        <v>0</v>
      </c>
      <c r="H65" s="142">
        <f t="shared" si="12"/>
        <v>0</v>
      </c>
      <c r="I65" s="156">
        <f t="shared" si="14"/>
        <v>0</v>
      </c>
      <c r="J65" s="156"/>
      <c r="K65" s="334"/>
      <c r="L65" s="158">
        <f t="shared" si="15"/>
        <v>0</v>
      </c>
      <c r="M65" s="334"/>
      <c r="N65" s="158">
        <f t="shared" si="16"/>
        <v>0</v>
      </c>
      <c r="O65" s="158">
        <f t="shared" si="17"/>
        <v>0</v>
      </c>
      <c r="P65" s="4"/>
    </row>
    <row r="66" spans="1:16">
      <c r="B66" s="9" t="str">
        <f t="shared" si="6"/>
        <v/>
      </c>
      <c r="C66" s="153">
        <f>IF(D11="","-",+C65+1)</f>
        <v>2057</v>
      </c>
      <c r="D66" s="159">
        <f>IF(F65+SUM(E$17:E65)=D$10,F65,D$10-SUM(E$17:E65))</f>
        <v>0</v>
      </c>
      <c r="E66" s="160">
        <f>IF(+I14&lt;F65,I14,D66)</f>
        <v>0</v>
      </c>
      <c r="F66" s="159">
        <f t="shared" si="13"/>
        <v>0</v>
      </c>
      <c r="G66" s="163">
        <f t="shared" si="11"/>
        <v>0</v>
      </c>
      <c r="H66" s="142">
        <f t="shared" si="12"/>
        <v>0</v>
      </c>
      <c r="I66" s="156">
        <f t="shared" si="14"/>
        <v>0</v>
      </c>
      <c r="J66" s="156"/>
      <c r="K66" s="334"/>
      <c r="L66" s="158">
        <f t="shared" si="15"/>
        <v>0</v>
      </c>
      <c r="M66" s="334"/>
      <c r="N66" s="158">
        <f t="shared" si="16"/>
        <v>0</v>
      </c>
      <c r="O66" s="158">
        <f t="shared" si="17"/>
        <v>0</v>
      </c>
      <c r="P66" s="4"/>
    </row>
    <row r="67" spans="1:16">
      <c r="B67" s="9" t="str">
        <f t="shared" si="6"/>
        <v/>
      </c>
      <c r="C67" s="153">
        <f>IF(D11="","-",+C66+1)</f>
        <v>2058</v>
      </c>
      <c r="D67" s="159">
        <f>IF(F66+SUM(E$17:E66)=D$10,F66,D$10-SUM(E$17:E66))</f>
        <v>0</v>
      </c>
      <c r="E67" s="160">
        <f>IF(+I14&lt;F66,I14,D67)</f>
        <v>0</v>
      </c>
      <c r="F67" s="159">
        <f t="shared" si="13"/>
        <v>0</v>
      </c>
      <c r="G67" s="163">
        <f t="shared" si="11"/>
        <v>0</v>
      </c>
      <c r="H67" s="142">
        <f t="shared" si="12"/>
        <v>0</v>
      </c>
      <c r="I67" s="156">
        <f t="shared" si="14"/>
        <v>0</v>
      </c>
      <c r="J67" s="156"/>
      <c r="K67" s="334"/>
      <c r="L67" s="158">
        <f t="shared" si="15"/>
        <v>0</v>
      </c>
      <c r="M67" s="334"/>
      <c r="N67" s="158">
        <f t="shared" si="16"/>
        <v>0</v>
      </c>
      <c r="O67" s="158">
        <f t="shared" si="17"/>
        <v>0</v>
      </c>
      <c r="P67" s="4"/>
    </row>
    <row r="68" spans="1:16">
      <c r="B68" s="9" t="str">
        <f t="shared" si="6"/>
        <v/>
      </c>
      <c r="C68" s="153">
        <f>IF(D11="","-",+C67+1)</f>
        <v>2059</v>
      </c>
      <c r="D68" s="159">
        <f>IF(F67+SUM(E$17:E67)=D$10,F67,D$10-SUM(E$17:E67))</f>
        <v>0</v>
      </c>
      <c r="E68" s="160">
        <f>IF(+I14&lt;F67,I14,D68)</f>
        <v>0</v>
      </c>
      <c r="F68" s="159">
        <f t="shared" si="13"/>
        <v>0</v>
      </c>
      <c r="G68" s="163">
        <f t="shared" si="11"/>
        <v>0</v>
      </c>
      <c r="H68" s="142">
        <f t="shared" si="12"/>
        <v>0</v>
      </c>
      <c r="I68" s="156">
        <f t="shared" si="14"/>
        <v>0</v>
      </c>
      <c r="J68" s="156"/>
      <c r="K68" s="334"/>
      <c r="L68" s="158">
        <f t="shared" si="15"/>
        <v>0</v>
      </c>
      <c r="M68" s="334"/>
      <c r="N68" s="158">
        <f t="shared" si="16"/>
        <v>0</v>
      </c>
      <c r="O68" s="158">
        <f t="shared" si="17"/>
        <v>0</v>
      </c>
      <c r="P68" s="4"/>
    </row>
    <row r="69" spans="1:16">
      <c r="B69" s="9" t="str">
        <f t="shared" si="6"/>
        <v/>
      </c>
      <c r="C69" s="153">
        <f>IF(D11="","-",+C68+1)</f>
        <v>2060</v>
      </c>
      <c r="D69" s="159">
        <f>IF(F68+SUM(E$17:E68)=D$10,F68,D$10-SUM(E$17:E68))</f>
        <v>0</v>
      </c>
      <c r="E69" s="160">
        <f>IF(+I14&lt;F68,I14,D69)</f>
        <v>0</v>
      </c>
      <c r="F69" s="159">
        <f t="shared" si="13"/>
        <v>0</v>
      </c>
      <c r="G69" s="163">
        <f t="shared" si="11"/>
        <v>0</v>
      </c>
      <c r="H69" s="142">
        <f t="shared" si="12"/>
        <v>0</v>
      </c>
      <c r="I69" s="156">
        <f t="shared" si="14"/>
        <v>0</v>
      </c>
      <c r="J69" s="156"/>
      <c r="K69" s="334"/>
      <c r="L69" s="158">
        <f t="shared" si="15"/>
        <v>0</v>
      </c>
      <c r="M69" s="334"/>
      <c r="N69" s="158">
        <f t="shared" si="16"/>
        <v>0</v>
      </c>
      <c r="O69" s="158">
        <f t="shared" si="17"/>
        <v>0</v>
      </c>
      <c r="P69" s="4"/>
    </row>
    <row r="70" spans="1:16">
      <c r="B70" s="9" t="str">
        <f t="shared" si="6"/>
        <v/>
      </c>
      <c r="C70" s="153">
        <f>IF(D11="","-",+C69+1)</f>
        <v>2061</v>
      </c>
      <c r="D70" s="159">
        <f>IF(F69+SUM(E$17:E69)=D$10,F69,D$10-SUM(E$17:E69))</f>
        <v>0</v>
      </c>
      <c r="E70" s="160">
        <f>IF(+I14&lt;F69,I14,D70)</f>
        <v>0</v>
      </c>
      <c r="F70" s="159">
        <f t="shared" si="13"/>
        <v>0</v>
      </c>
      <c r="G70" s="163">
        <f t="shared" si="11"/>
        <v>0</v>
      </c>
      <c r="H70" s="142">
        <f t="shared" si="12"/>
        <v>0</v>
      </c>
      <c r="I70" s="156">
        <f t="shared" si="14"/>
        <v>0</v>
      </c>
      <c r="J70" s="156"/>
      <c r="K70" s="334"/>
      <c r="L70" s="158">
        <f t="shared" si="15"/>
        <v>0</v>
      </c>
      <c r="M70" s="334"/>
      <c r="N70" s="158">
        <f t="shared" si="16"/>
        <v>0</v>
      </c>
      <c r="O70" s="158">
        <f t="shared" si="17"/>
        <v>0</v>
      </c>
      <c r="P70" s="4"/>
    </row>
    <row r="71" spans="1:16">
      <c r="B71" s="9" t="str">
        <f t="shared" si="6"/>
        <v/>
      </c>
      <c r="C71" s="153">
        <f>IF(D11="","-",+C70+1)</f>
        <v>2062</v>
      </c>
      <c r="D71" s="159">
        <f>IF(F70+SUM(E$17:E70)=D$10,F70,D$10-SUM(E$17:E70))</f>
        <v>0</v>
      </c>
      <c r="E71" s="160">
        <f>IF(+I14&lt;F70,I14,D71)</f>
        <v>0</v>
      </c>
      <c r="F71" s="159">
        <f t="shared" si="13"/>
        <v>0</v>
      </c>
      <c r="G71" s="163">
        <f t="shared" si="11"/>
        <v>0</v>
      </c>
      <c r="H71" s="142">
        <f t="shared" si="12"/>
        <v>0</v>
      </c>
      <c r="I71" s="156">
        <f t="shared" si="14"/>
        <v>0</v>
      </c>
      <c r="J71" s="156"/>
      <c r="K71" s="334"/>
      <c r="L71" s="158">
        <f t="shared" si="15"/>
        <v>0</v>
      </c>
      <c r="M71" s="334"/>
      <c r="N71" s="158">
        <f t="shared" si="16"/>
        <v>0</v>
      </c>
      <c r="O71" s="158">
        <f t="shared" si="17"/>
        <v>0</v>
      </c>
      <c r="P71" s="4"/>
    </row>
    <row r="72" spans="1:16" ht="13.5" thickBot="1">
      <c r="B72" s="9" t="str">
        <f t="shared" si="6"/>
        <v/>
      </c>
      <c r="C72" s="164">
        <f>IF(D11="","-",+C71+1)</f>
        <v>2063</v>
      </c>
      <c r="D72" s="165">
        <f>IF(F71+SUM(E$17:E71)=D$10,F71,D$10-SUM(E$17:E71))</f>
        <v>0</v>
      </c>
      <c r="E72" s="166">
        <f>IF(+I14&lt;F71,I14,D72)</f>
        <v>0</v>
      </c>
      <c r="F72" s="165">
        <f t="shared" si="13"/>
        <v>0</v>
      </c>
      <c r="G72" s="167">
        <f t="shared" si="11"/>
        <v>0</v>
      </c>
      <c r="H72" s="124">
        <f t="shared" si="12"/>
        <v>0</v>
      </c>
      <c r="I72" s="168">
        <f t="shared" si="14"/>
        <v>0</v>
      </c>
      <c r="J72" s="156"/>
      <c r="K72" s="335"/>
      <c r="L72" s="169">
        <f t="shared" si="15"/>
        <v>0</v>
      </c>
      <c r="M72" s="335"/>
      <c r="N72" s="169">
        <f t="shared" si="16"/>
        <v>0</v>
      </c>
      <c r="O72" s="169">
        <f t="shared" si="17"/>
        <v>0</v>
      </c>
      <c r="P72" s="4"/>
    </row>
    <row r="73" spans="1:16">
      <c r="C73" s="154" t="s">
        <v>73</v>
      </c>
      <c r="D73" s="111"/>
      <c r="E73" s="111">
        <f>SUM(E17:E72)</f>
        <v>389325.99999999983</v>
      </c>
      <c r="F73" s="111"/>
      <c r="G73" s="111">
        <f>SUM(G17:G72)</f>
        <v>1369867.7696411354</v>
      </c>
      <c r="H73" s="111">
        <f>SUM(H17:H72)</f>
        <v>1369867.7696411354</v>
      </c>
      <c r="I73" s="111">
        <f>SUM(I17:I72)</f>
        <v>0</v>
      </c>
      <c r="J73" s="111"/>
      <c r="K73" s="111"/>
      <c r="L73" s="111"/>
      <c r="M73" s="111"/>
      <c r="N73" s="111"/>
      <c r="O73" s="4"/>
      <c r="P73" s="4"/>
    </row>
    <row r="74" spans="1:16">
      <c r="D74" s="2"/>
      <c r="E74" s="1"/>
      <c r="F74" s="1"/>
      <c r="G74" s="1"/>
      <c r="H74" s="3"/>
      <c r="I74" s="3"/>
      <c r="J74" s="111"/>
      <c r="K74" s="3"/>
      <c r="L74" s="3"/>
      <c r="M74" s="3"/>
      <c r="N74" s="3"/>
      <c r="O74" s="1"/>
      <c r="P74" s="1"/>
    </row>
    <row r="75" spans="1:16">
      <c r="C75" s="170" t="s">
        <v>91</v>
      </c>
      <c r="D75" s="2"/>
      <c r="E75" s="1"/>
      <c r="F75" s="1"/>
      <c r="G75" s="1"/>
      <c r="H75" s="3"/>
      <c r="I75" s="3"/>
      <c r="J75" s="111"/>
      <c r="K75" s="3"/>
      <c r="L75" s="3"/>
      <c r="M75" s="3"/>
      <c r="N75" s="3"/>
      <c r="O75" s="1"/>
      <c r="P75" s="1"/>
    </row>
    <row r="76" spans="1:16">
      <c r="C76" s="121" t="s">
        <v>74</v>
      </c>
      <c r="D76" s="2"/>
      <c r="E76" s="1"/>
      <c r="F76" s="1"/>
      <c r="G76" s="1"/>
      <c r="H76" s="3"/>
      <c r="I76" s="3"/>
      <c r="J76" s="111"/>
      <c r="K76" s="3"/>
      <c r="L76" s="3"/>
      <c r="M76" s="3"/>
      <c r="N76" s="3"/>
      <c r="O76" s="4"/>
      <c r="P76" s="4"/>
    </row>
    <row r="77" spans="1:16" ht="18">
      <c r="C77" s="121" t="s">
        <v>75</v>
      </c>
      <c r="D77" s="154"/>
      <c r="E77" s="154"/>
      <c r="F77" s="154"/>
      <c r="G77" s="111"/>
      <c r="H77" s="111"/>
      <c r="I77" s="171"/>
      <c r="J77" s="171"/>
      <c r="K77" s="171"/>
      <c r="L77" s="171"/>
      <c r="M77" s="171"/>
      <c r="N77" s="171"/>
      <c r="O77" s="110"/>
      <c r="P77" s="4"/>
    </row>
    <row r="78" spans="1:16">
      <c r="C78" s="121"/>
      <c r="D78" s="154"/>
      <c r="E78" s="154"/>
      <c r="F78" s="154"/>
      <c r="G78" s="111"/>
      <c r="H78" s="111"/>
      <c r="I78" s="171"/>
      <c r="J78" s="171"/>
      <c r="K78" s="171"/>
      <c r="L78" s="171"/>
      <c r="M78" s="171"/>
      <c r="N78" s="171"/>
      <c r="O78" s="4"/>
      <c r="P78" s="1"/>
    </row>
    <row r="79" spans="1:16" ht="15">
      <c r="A79" s="241"/>
      <c r="B79" s="1"/>
      <c r="C79" s="21"/>
      <c r="D79" s="2"/>
      <c r="E79" s="1"/>
      <c r="F79" s="107"/>
      <c r="G79" s="1"/>
      <c r="H79" s="3"/>
      <c r="I79" s="1"/>
      <c r="J79" s="4"/>
      <c r="K79" s="1"/>
      <c r="L79" s="1"/>
      <c r="M79" s="1"/>
      <c r="N79" s="1"/>
    </row>
    <row r="80" spans="1:16" ht="18">
      <c r="B80" s="1"/>
      <c r="C80" s="242"/>
      <c r="D80" s="2"/>
      <c r="E80" s="1"/>
      <c r="F80" s="107"/>
      <c r="G80" s="1"/>
      <c r="H80" s="3"/>
      <c r="I80" s="1"/>
      <c r="J80" s="4"/>
      <c r="K80" s="1"/>
      <c r="L80" s="1"/>
      <c r="M80" s="1"/>
      <c r="N80" s="1"/>
      <c r="P80" s="244" t="s">
        <v>125</v>
      </c>
    </row>
    <row r="81" spans="1:17">
      <c r="B81" s="1"/>
      <c r="C81" s="242"/>
      <c r="D81" s="2"/>
      <c r="E81" s="1"/>
      <c r="F81" s="107"/>
      <c r="G81" s="1"/>
      <c r="H81" s="3"/>
      <c r="I81" s="1"/>
      <c r="J81" s="4"/>
      <c r="K81" s="1"/>
      <c r="L81" s="1"/>
      <c r="M81" s="1"/>
      <c r="N81" s="1"/>
      <c r="O81" s="1"/>
      <c r="P81" s="1"/>
    </row>
    <row r="82" spans="1:17">
      <c r="B82" s="1"/>
      <c r="C82" s="21"/>
      <c r="D82" s="2"/>
      <c r="E82" s="1"/>
      <c r="F82" s="107"/>
      <c r="G82" s="1"/>
      <c r="H82" s="3"/>
      <c r="I82" s="1"/>
      <c r="J82" s="4"/>
      <c r="K82" s="1"/>
      <c r="L82" s="1"/>
      <c r="M82" s="1"/>
      <c r="N82" s="1"/>
      <c r="O82" s="1"/>
      <c r="P82" s="1"/>
      <c r="Q82" s="1"/>
    </row>
    <row r="83" spans="1:17" ht="20.25">
      <c r="A83" s="243" t="s">
        <v>129</v>
      </c>
      <c r="B83" s="1"/>
      <c r="C83" s="21"/>
      <c r="D83" s="2"/>
      <c r="E83" s="1"/>
      <c r="F83" s="99"/>
      <c r="G83" s="99"/>
      <c r="H83" s="1"/>
      <c r="I83" s="3"/>
      <c r="K83" s="7"/>
      <c r="L83" s="109"/>
      <c r="M83" s="109"/>
      <c r="P83" s="110" t="str">
        <f ca="1">P1</f>
        <v>SWEPCO Project 16 of 73</v>
      </c>
      <c r="Q83" s="1"/>
    </row>
    <row r="84" spans="1:17" ht="18">
      <c r="B84" s="1"/>
      <c r="C84" s="1"/>
      <c r="D84" s="2"/>
      <c r="E84" s="1"/>
      <c r="F84" s="1"/>
      <c r="G84" s="1"/>
      <c r="H84" s="1"/>
      <c r="I84" s="3"/>
      <c r="J84" s="1"/>
      <c r="K84" s="4"/>
      <c r="L84" s="1"/>
      <c r="M84" s="1"/>
      <c r="P84" s="237" t="s">
        <v>123</v>
      </c>
      <c r="Q84" s="1"/>
    </row>
    <row r="85" spans="1:17" ht="18.75" thickBot="1">
      <c r="B85" s="5" t="s">
        <v>40</v>
      </c>
      <c r="C85" s="197" t="s">
        <v>78</v>
      </c>
      <c r="D85" s="2"/>
      <c r="E85" s="1"/>
      <c r="F85" s="1"/>
      <c r="G85" s="1"/>
      <c r="H85" s="1"/>
      <c r="I85" s="3"/>
      <c r="J85" s="3"/>
      <c r="K85" s="111"/>
      <c r="L85" s="3"/>
      <c r="M85" s="3"/>
      <c r="N85" s="3"/>
      <c r="O85" s="111"/>
      <c r="P85" s="1"/>
      <c r="Q85" s="1"/>
    </row>
    <row r="86" spans="1:17" ht="15.75" thickBot="1">
      <c r="C86" s="67"/>
      <c r="D86" s="2"/>
      <c r="E86" s="1"/>
      <c r="F86" s="1"/>
      <c r="G86" s="1"/>
      <c r="H86" s="1"/>
      <c r="I86" s="3"/>
      <c r="J86" s="3"/>
      <c r="K86" s="111"/>
      <c r="L86" s="265">
        <f>+J92</f>
        <v>2017</v>
      </c>
      <c r="M86" s="266" t="s">
        <v>7</v>
      </c>
      <c r="N86" s="270" t="s">
        <v>154</v>
      </c>
      <c r="O86" s="267" t="s">
        <v>9</v>
      </c>
      <c r="P86" s="1"/>
      <c r="Q86" s="1"/>
    </row>
    <row r="87" spans="1:17" ht="15">
      <c r="C87" s="235" t="s">
        <v>42</v>
      </c>
      <c r="D87" s="2"/>
      <c r="E87" s="1"/>
      <c r="F87" s="1"/>
      <c r="G87" s="1"/>
      <c r="H87" s="113"/>
      <c r="I87" s="1" t="s">
        <v>43</v>
      </c>
      <c r="J87" s="1"/>
      <c r="K87" s="261"/>
      <c r="L87" s="259" t="s">
        <v>381</v>
      </c>
      <c r="M87" s="198">
        <f>IF(J92&lt;D11,0,VLOOKUP(J92,C17:O72,9))</f>
        <v>47783.446226544533</v>
      </c>
      <c r="N87" s="198">
        <f>IF(J92&lt;D11,0,VLOOKUP(J92,C17:O72,11))</f>
        <v>47783.446226544533</v>
      </c>
      <c r="O87" s="199">
        <f>+N87-M87</f>
        <v>0</v>
      </c>
      <c r="P87" s="1"/>
      <c r="Q87" s="1"/>
    </row>
    <row r="88" spans="1:17" ht="15.75">
      <c r="C88" s="8"/>
      <c r="D88" s="248" t="s">
        <v>258</v>
      </c>
      <c r="E88" s="1"/>
      <c r="F88" s="1"/>
      <c r="G88" s="1"/>
      <c r="H88" s="1"/>
      <c r="I88" s="117"/>
      <c r="J88" s="117"/>
      <c r="K88" s="263"/>
      <c r="L88" s="264" t="s">
        <v>382</v>
      </c>
      <c r="M88" s="200">
        <f>IF(J92&lt;D11,0,VLOOKUP(J92,C99:P154,6))</f>
        <v>48024.374867081598</v>
      </c>
      <c r="N88" s="200">
        <f>IF(J92&lt;D11,0,VLOOKUP(J92,C99:P154,7))</f>
        <v>48024.374867081598</v>
      </c>
      <c r="O88" s="201">
        <f>+N88-M88</f>
        <v>0</v>
      </c>
      <c r="P88" s="1"/>
      <c r="Q88" s="1"/>
    </row>
    <row r="89" spans="1:17" ht="13.5" thickBot="1">
      <c r="C89" s="121" t="s">
        <v>79</v>
      </c>
      <c r="D89" s="246" t="str">
        <f>+D7</f>
        <v>Daingerfield - Jenkins REC 69 kV CB Repl**</v>
      </c>
      <c r="E89" s="1"/>
      <c r="F89" s="1"/>
      <c r="G89" s="1"/>
      <c r="H89" s="1"/>
      <c r="I89" s="3"/>
      <c r="J89" s="3"/>
      <c r="K89" s="262"/>
      <c r="L89" s="260" t="s">
        <v>151</v>
      </c>
      <c r="M89" s="203">
        <f>+M88-M87</f>
        <v>240.9286405370658</v>
      </c>
      <c r="N89" s="203">
        <f>+N88-N87</f>
        <v>240.9286405370658</v>
      </c>
      <c r="O89" s="204">
        <f>+O88-O87</f>
        <v>0</v>
      </c>
      <c r="P89" s="1"/>
      <c r="Q89" s="1"/>
    </row>
    <row r="90" spans="1:17" ht="13.5" thickBot="1">
      <c r="C90" s="170"/>
      <c r="D90" s="173" t="str">
        <f>D8</f>
        <v/>
      </c>
      <c r="E90" s="107"/>
      <c r="F90" s="107"/>
      <c r="G90" s="107"/>
      <c r="H90" s="126"/>
      <c r="I90" s="3"/>
      <c r="J90" s="3"/>
      <c r="K90" s="111"/>
      <c r="L90" s="3"/>
      <c r="M90" s="3"/>
      <c r="N90" s="3"/>
      <c r="O90" s="111"/>
      <c r="P90" s="1"/>
      <c r="Q90" s="1"/>
    </row>
    <row r="91" spans="1:17" ht="13.5" thickBot="1">
      <c r="A91" s="103"/>
      <c r="C91" s="205" t="s">
        <v>80</v>
      </c>
      <c r="D91" s="224" t="str">
        <f>+D9</f>
        <v>TP2008017</v>
      </c>
      <c r="E91" s="206"/>
      <c r="F91" s="206"/>
      <c r="G91" s="206"/>
      <c r="H91" s="206"/>
      <c r="I91" s="206"/>
      <c r="J91" s="238"/>
      <c r="K91" s="207"/>
      <c r="P91" s="131"/>
      <c r="Q91" s="1"/>
    </row>
    <row r="92" spans="1:17">
      <c r="C92" s="136" t="s">
        <v>47</v>
      </c>
      <c r="D92" s="133">
        <f>IF(D11=I10,0,D10)</f>
        <v>389326</v>
      </c>
      <c r="E92" s="21" t="s">
        <v>81</v>
      </c>
      <c r="H92" s="134"/>
      <c r="I92" s="134"/>
      <c r="J92" s="135">
        <f>+'SWE.WS.G.BPU.ATRR.True-up'!M15</f>
        <v>2017</v>
      </c>
      <c r="K92" s="130"/>
      <c r="L92" s="111" t="s">
        <v>82</v>
      </c>
      <c r="P92" s="4"/>
      <c r="Q92" s="1"/>
    </row>
    <row r="93" spans="1:17">
      <c r="C93" s="136" t="s">
        <v>49</v>
      </c>
      <c r="D93" s="219">
        <f>IF(D11=I10,"",D11)</f>
        <v>2008</v>
      </c>
      <c r="E93" s="136" t="s">
        <v>50</v>
      </c>
      <c r="F93" s="134"/>
      <c r="G93" s="134"/>
      <c r="J93" s="138">
        <f>IF(H87="",0,'SWE.WS.G.BPU.ATRR.True-up'!$F$12)</f>
        <v>0</v>
      </c>
      <c r="K93" s="139"/>
      <c r="L93" t="str">
        <f>"          INPUT TRUE-UP ARR (WITH &amp; WITHOUT INCENTIVES) FROM EACH PRIOR YEAR"</f>
        <v xml:space="preserve">          INPUT TRUE-UP ARR (WITH &amp; WITHOUT INCENTIVES) FROM EACH PRIOR YEAR</v>
      </c>
      <c r="P93" s="4"/>
      <c r="Q93" s="1"/>
    </row>
    <row r="94" spans="1:17">
      <c r="C94" s="136" t="s">
        <v>51</v>
      </c>
      <c r="D94" s="218">
        <f>IF(D11=I10,"",D12)</f>
        <v>12</v>
      </c>
      <c r="E94" s="136" t="s">
        <v>52</v>
      </c>
      <c r="F94" s="134"/>
      <c r="G94" s="134"/>
      <c r="J94" s="140">
        <f>'SWE.WS.G.BPU.ATRR.True-up'!$F$80</f>
        <v>0.12147145768398206</v>
      </c>
      <c r="K94" s="141"/>
      <c r="L94" t="s">
        <v>83</v>
      </c>
      <c r="P94" s="4"/>
      <c r="Q94" s="1"/>
    </row>
    <row r="95" spans="1:17">
      <c r="C95" s="136" t="s">
        <v>54</v>
      </c>
      <c r="D95" s="138">
        <f>'SWE.WS.G.BPU.ATRR.True-up'!F$92</f>
        <v>42</v>
      </c>
      <c r="E95" s="136" t="s">
        <v>55</v>
      </c>
      <c r="F95" s="134"/>
      <c r="G95" s="134"/>
      <c r="J95" s="140">
        <f>IF(H87="",J94,'SWE.WS.G.BPU.ATRR.True-up'!$F$79)</f>
        <v>0.12147145768398206</v>
      </c>
      <c r="K95" s="58"/>
      <c r="L95" s="111" t="s">
        <v>56</v>
      </c>
      <c r="M95" s="58"/>
      <c r="N95" s="58"/>
      <c r="O95" s="58"/>
      <c r="P95" s="4"/>
      <c r="Q95" s="1"/>
    </row>
    <row r="96" spans="1:17" ht="13.5" thickBot="1">
      <c r="C96" s="136" t="s">
        <v>57</v>
      </c>
      <c r="D96" s="220" t="str">
        <f>+D14</f>
        <v>No</v>
      </c>
      <c r="E96" s="202" t="s">
        <v>59</v>
      </c>
      <c r="F96" s="208"/>
      <c r="G96" s="208"/>
      <c r="H96" s="209"/>
      <c r="I96" s="209"/>
      <c r="J96" s="124">
        <f>IF(D92=0,0,D92/D95)</f>
        <v>9269.6666666666661</v>
      </c>
      <c r="K96" s="111"/>
      <c r="L96" s="111"/>
      <c r="M96" s="111"/>
      <c r="N96" s="111"/>
      <c r="O96" s="111"/>
      <c r="P96" s="4"/>
      <c r="Q96" s="1"/>
    </row>
    <row r="97" spans="1:17" ht="38.25">
      <c r="A97" s="6"/>
      <c r="B97" s="6"/>
      <c r="C97" s="210" t="s">
        <v>47</v>
      </c>
      <c r="D97" s="211" t="s">
        <v>60</v>
      </c>
      <c r="E97" s="146" t="s">
        <v>61</v>
      </c>
      <c r="F97" s="146" t="s">
        <v>62</v>
      </c>
      <c r="G97" s="144" t="s">
        <v>84</v>
      </c>
      <c r="H97" s="434" t="s">
        <v>378</v>
      </c>
      <c r="I97" s="435" t="s">
        <v>379</v>
      </c>
      <c r="J97" s="210" t="s">
        <v>85</v>
      </c>
      <c r="K97" s="212"/>
      <c r="L97" s="271" t="s">
        <v>220</v>
      </c>
      <c r="M97" s="146" t="s">
        <v>86</v>
      </c>
      <c r="N97" s="271" t="s">
        <v>220</v>
      </c>
      <c r="O97" s="146" t="s">
        <v>86</v>
      </c>
      <c r="P97" s="146" t="s">
        <v>65</v>
      </c>
      <c r="Q97" s="1"/>
    </row>
    <row r="98" spans="1:17" ht="13.5" thickBot="1">
      <c r="C98" s="147" t="s">
        <v>66</v>
      </c>
      <c r="D98" s="213" t="s">
        <v>67</v>
      </c>
      <c r="E98" s="147" t="s">
        <v>68</v>
      </c>
      <c r="F98" s="147" t="s">
        <v>67</v>
      </c>
      <c r="G98" s="147" t="s">
        <v>67</v>
      </c>
      <c r="H98" s="407" t="s">
        <v>69</v>
      </c>
      <c r="I98" s="148" t="s">
        <v>70</v>
      </c>
      <c r="J98" s="149" t="s">
        <v>89</v>
      </c>
      <c r="K98" s="150"/>
      <c r="L98" s="151" t="s">
        <v>72</v>
      </c>
      <c r="M98" s="151" t="s">
        <v>72</v>
      </c>
      <c r="N98" s="151" t="s">
        <v>90</v>
      </c>
      <c r="O98" s="151" t="s">
        <v>90</v>
      </c>
      <c r="P98" s="151" t="s">
        <v>90</v>
      </c>
      <c r="Q98" s="1"/>
    </row>
    <row r="99" spans="1:17">
      <c r="C99" s="153">
        <f>IF(D93= "","-",D93)</f>
        <v>2008</v>
      </c>
      <c r="D99" s="357">
        <v>0</v>
      </c>
      <c r="E99" s="360">
        <v>0</v>
      </c>
      <c r="F99" s="361">
        <v>0</v>
      </c>
      <c r="G99" s="365">
        <v>0</v>
      </c>
      <c r="H99" s="362">
        <v>0</v>
      </c>
      <c r="I99" s="363">
        <v>0</v>
      </c>
      <c r="J99" s="403">
        <f t="shared" ref="J99:J130" si="18">+I99-H99</f>
        <v>0</v>
      </c>
      <c r="K99" s="158"/>
      <c r="L99" s="256">
        <v>0</v>
      </c>
      <c r="M99" s="157">
        <f t="shared" ref="M99:M130" si="19">IF(L99&lt;&gt;0,+H99-L99,0)</f>
        <v>0</v>
      </c>
      <c r="N99" s="256">
        <v>0</v>
      </c>
      <c r="O99" s="157">
        <f t="shared" ref="O99:O130" si="20">IF(N99&lt;&gt;0,+I99-N99,0)</f>
        <v>0</v>
      </c>
      <c r="P99" s="157">
        <f t="shared" ref="P99:P130" si="21">+O99-M99</f>
        <v>0</v>
      </c>
      <c r="Q99" s="1"/>
    </row>
    <row r="100" spans="1:17">
      <c r="B100" s="9" t="str">
        <f>IF(D100=F99,"","IU")</f>
        <v/>
      </c>
      <c r="C100" s="153">
        <f>IF(D93="","-",+C99+1)</f>
        <v>2009</v>
      </c>
      <c r="D100" s="357">
        <v>0</v>
      </c>
      <c r="E100" s="360">
        <v>0</v>
      </c>
      <c r="F100" s="361">
        <v>0</v>
      </c>
      <c r="G100" s="361">
        <v>0</v>
      </c>
      <c r="H100" s="360">
        <v>0</v>
      </c>
      <c r="I100" s="359">
        <v>0</v>
      </c>
      <c r="J100" s="403">
        <f t="shared" si="18"/>
        <v>0</v>
      </c>
      <c r="K100" s="158"/>
      <c r="L100" s="258">
        <f t="shared" ref="L100:L105" si="22">H100</f>
        <v>0</v>
      </c>
      <c r="M100" s="257">
        <f t="shared" si="19"/>
        <v>0</v>
      </c>
      <c r="N100" s="258">
        <f t="shared" ref="N100:N105" si="23">I100</f>
        <v>0</v>
      </c>
      <c r="O100" s="158">
        <f t="shared" si="20"/>
        <v>0</v>
      </c>
      <c r="P100" s="158">
        <f t="shared" si="21"/>
        <v>0</v>
      </c>
      <c r="Q100" s="1"/>
    </row>
    <row r="101" spans="1:17">
      <c r="B101" s="9" t="str">
        <f t="shared" ref="B101:B154" si="24">IF(D101=F100,"","IU")</f>
        <v>IU</v>
      </c>
      <c r="C101" s="153">
        <f>IF(D93="","-",+C100+1)</f>
        <v>2010</v>
      </c>
      <c r="D101" s="357">
        <v>389326</v>
      </c>
      <c r="E101" s="360">
        <v>10245</v>
      </c>
      <c r="F101" s="361">
        <v>379081</v>
      </c>
      <c r="G101" s="361">
        <v>384203.5</v>
      </c>
      <c r="H101" s="360">
        <v>73671.650548973092</v>
      </c>
      <c r="I101" s="359">
        <v>73671.650548973092</v>
      </c>
      <c r="J101" s="403">
        <f t="shared" si="18"/>
        <v>0</v>
      </c>
      <c r="K101" s="158"/>
      <c r="L101" s="258">
        <f t="shared" si="22"/>
        <v>73671.650548973092</v>
      </c>
      <c r="M101" s="257">
        <f t="shared" si="19"/>
        <v>0</v>
      </c>
      <c r="N101" s="258">
        <f t="shared" si="23"/>
        <v>73671.650548973092</v>
      </c>
      <c r="O101" s="158">
        <f t="shared" si="20"/>
        <v>0</v>
      </c>
      <c r="P101" s="158">
        <f t="shared" si="21"/>
        <v>0</v>
      </c>
      <c r="Q101" s="1"/>
    </row>
    <row r="102" spans="1:17">
      <c r="B102" s="9" t="str">
        <f t="shared" si="24"/>
        <v/>
      </c>
      <c r="C102" s="153">
        <f>IF(D93="","-",+C101+1)</f>
        <v>2011</v>
      </c>
      <c r="D102" s="357">
        <v>379081</v>
      </c>
      <c r="E102" s="377">
        <v>9269.6666666666661</v>
      </c>
      <c r="F102" s="361">
        <v>369811.33333333331</v>
      </c>
      <c r="G102" s="361">
        <v>374446.16666666663</v>
      </c>
      <c r="H102" s="360">
        <v>65578.844240085236</v>
      </c>
      <c r="I102" s="359">
        <v>65578.844240085236</v>
      </c>
      <c r="J102" s="403">
        <f t="shared" si="18"/>
        <v>0</v>
      </c>
      <c r="K102" s="158"/>
      <c r="L102" s="258">
        <f t="shared" si="22"/>
        <v>65578.844240085236</v>
      </c>
      <c r="M102" s="257">
        <f t="shared" si="19"/>
        <v>0</v>
      </c>
      <c r="N102" s="258">
        <f t="shared" si="23"/>
        <v>65578.844240085236</v>
      </c>
      <c r="O102" s="158">
        <f t="shared" si="20"/>
        <v>0</v>
      </c>
      <c r="P102" s="158">
        <f t="shared" si="21"/>
        <v>0</v>
      </c>
      <c r="Q102" s="1"/>
    </row>
    <row r="103" spans="1:17">
      <c r="B103" s="9" t="str">
        <f t="shared" si="24"/>
        <v/>
      </c>
      <c r="C103" s="153">
        <f>IF(D93="","-",+C102+1)</f>
        <v>2012</v>
      </c>
      <c r="D103" s="357">
        <v>369811.33333333331</v>
      </c>
      <c r="E103" s="360">
        <v>9269.6666666666661</v>
      </c>
      <c r="F103" s="361">
        <v>360541.66666666663</v>
      </c>
      <c r="G103" s="361">
        <v>365176.5</v>
      </c>
      <c r="H103" s="360">
        <v>63006.82444122398</v>
      </c>
      <c r="I103" s="359">
        <v>63006.82444122398</v>
      </c>
      <c r="J103" s="403">
        <f t="shared" si="18"/>
        <v>0</v>
      </c>
      <c r="K103" s="158"/>
      <c r="L103" s="258">
        <f t="shared" si="22"/>
        <v>63006.82444122398</v>
      </c>
      <c r="M103" s="257">
        <f t="shared" si="19"/>
        <v>0</v>
      </c>
      <c r="N103" s="258">
        <f t="shared" si="23"/>
        <v>63006.82444122398</v>
      </c>
      <c r="O103" s="158">
        <f t="shared" si="20"/>
        <v>0</v>
      </c>
      <c r="P103" s="158">
        <f t="shared" si="21"/>
        <v>0</v>
      </c>
      <c r="Q103" s="1"/>
    </row>
    <row r="104" spans="1:17">
      <c r="B104" s="9" t="str">
        <f t="shared" si="24"/>
        <v/>
      </c>
      <c r="C104" s="153">
        <f>IF(D93="","-",+C103+1)</f>
        <v>2013</v>
      </c>
      <c r="D104" s="357">
        <v>360541.66666666663</v>
      </c>
      <c r="E104" s="360">
        <v>9269.6666666666661</v>
      </c>
      <c r="F104" s="361">
        <v>351271.99999999994</v>
      </c>
      <c r="G104" s="361">
        <v>355906.83333333326</v>
      </c>
      <c r="H104" s="360">
        <v>57420.908011898166</v>
      </c>
      <c r="I104" s="359">
        <v>57420.908011898166</v>
      </c>
      <c r="J104" s="403">
        <v>0</v>
      </c>
      <c r="K104" s="158"/>
      <c r="L104" s="258">
        <f t="shared" si="22"/>
        <v>57420.908011898166</v>
      </c>
      <c r="M104" s="257">
        <f>IF(L104&lt;&gt;0,+H104-L104,0)</f>
        <v>0</v>
      </c>
      <c r="N104" s="258">
        <f t="shared" si="23"/>
        <v>57420.908011898166</v>
      </c>
      <c r="O104" s="158">
        <f>IF(N104&lt;&gt;0,+I104-N104,0)</f>
        <v>0</v>
      </c>
      <c r="P104" s="158">
        <f>+O104-M104</f>
        <v>0</v>
      </c>
      <c r="Q104" s="1"/>
    </row>
    <row r="105" spans="1:17">
      <c r="B105" s="9" t="str">
        <f t="shared" si="24"/>
        <v/>
      </c>
      <c r="C105" s="153">
        <f>IF(D93="","-",+C104+1)</f>
        <v>2014</v>
      </c>
      <c r="D105" s="357">
        <v>351271.99999999994</v>
      </c>
      <c r="E105" s="360">
        <v>9269.6666666666661</v>
      </c>
      <c r="F105" s="361">
        <v>342002.33333333326</v>
      </c>
      <c r="G105" s="361">
        <v>346637.16666666663</v>
      </c>
      <c r="H105" s="360">
        <v>56385.789642955569</v>
      </c>
      <c r="I105" s="359">
        <v>56385.789642955569</v>
      </c>
      <c r="J105" s="158">
        <v>0</v>
      </c>
      <c r="K105" s="158"/>
      <c r="L105" s="258">
        <f t="shared" si="22"/>
        <v>56385.789642955569</v>
      </c>
      <c r="M105" s="257">
        <f>IF(L105&lt;&gt;0,+H105-L105,0)</f>
        <v>0</v>
      </c>
      <c r="N105" s="258">
        <f t="shared" si="23"/>
        <v>56385.789642955569</v>
      </c>
      <c r="O105" s="158">
        <f>IF(N105&lt;&gt;0,+I105-N105,0)</f>
        <v>0</v>
      </c>
      <c r="P105" s="158">
        <f>+O105-M105</f>
        <v>0</v>
      </c>
      <c r="Q105" s="1"/>
    </row>
    <row r="106" spans="1:17">
      <c r="B106" s="9" t="str">
        <f t="shared" si="24"/>
        <v/>
      </c>
      <c r="C106" s="153">
        <f>IF(D93="","-",+C105+1)</f>
        <v>2015</v>
      </c>
      <c r="D106" s="357">
        <v>342002.33333333326</v>
      </c>
      <c r="E106" s="360">
        <v>9269.6666666666661</v>
      </c>
      <c r="F106" s="361">
        <v>332732.66666666657</v>
      </c>
      <c r="G106" s="361">
        <v>337367.49999999988</v>
      </c>
      <c r="H106" s="360">
        <v>53724.203573157785</v>
      </c>
      <c r="I106" s="359">
        <v>53724.203573157785</v>
      </c>
      <c r="J106" s="158">
        <f t="shared" si="18"/>
        <v>0</v>
      </c>
      <c r="K106" s="158"/>
      <c r="L106" s="258">
        <f>H106</f>
        <v>53724.203573157785</v>
      </c>
      <c r="M106" s="257">
        <f>IF(L106&lt;&gt;0,+H106-L106,0)</f>
        <v>0</v>
      </c>
      <c r="N106" s="258">
        <f>I106</f>
        <v>53724.203573157785</v>
      </c>
      <c r="O106" s="158">
        <f>IF(N106&lt;&gt;0,+I106-N106,0)</f>
        <v>0</v>
      </c>
      <c r="P106" s="158">
        <f>+O106-M106</f>
        <v>0</v>
      </c>
      <c r="Q106" s="1"/>
    </row>
    <row r="107" spans="1:17">
      <c r="B107" s="9" t="str">
        <f t="shared" si="24"/>
        <v/>
      </c>
      <c r="C107" s="153">
        <f>IF(D93="","-",+C106+1)</f>
        <v>2016</v>
      </c>
      <c r="D107" s="357">
        <v>332732.66666666657</v>
      </c>
      <c r="E107" s="360">
        <v>9054.0930232558148</v>
      </c>
      <c r="F107" s="361">
        <v>323678.57364341075</v>
      </c>
      <c r="G107" s="361">
        <v>328205.62015503866</v>
      </c>
      <c r="H107" s="360">
        <v>50719.792658112536</v>
      </c>
      <c r="I107" s="359">
        <v>50719.792658112536</v>
      </c>
      <c r="J107" s="158">
        <v>0</v>
      </c>
      <c r="K107" s="158"/>
      <c r="L107" s="334"/>
      <c r="M107" s="158">
        <f t="shared" si="19"/>
        <v>0</v>
      </c>
      <c r="N107" s="334"/>
      <c r="O107" s="158">
        <f t="shared" si="20"/>
        <v>0</v>
      </c>
      <c r="P107" s="158">
        <f t="shared" si="21"/>
        <v>0</v>
      </c>
      <c r="Q107" s="1"/>
    </row>
    <row r="108" spans="1:17">
      <c r="B108" s="9" t="str">
        <f t="shared" si="24"/>
        <v/>
      </c>
      <c r="C108" s="153">
        <f>IF(D93="","-",+C107+1)</f>
        <v>2017</v>
      </c>
      <c r="D108" s="154">
        <f>IF(F107+SUM(E$99:E107)=D$92,F107,D$92-SUM(E$99:E107))</f>
        <v>323678.57364341075</v>
      </c>
      <c r="E108" s="160">
        <f>IF(+J96&lt;F107,J96,D108)</f>
        <v>9269.6666666666661</v>
      </c>
      <c r="F108" s="159">
        <f t="shared" ref="F108:F130" si="25">+D108-E108</f>
        <v>314408.90697674407</v>
      </c>
      <c r="G108" s="159">
        <f t="shared" ref="G108:G130" si="26">+(F108+D108)/2</f>
        <v>319043.74031007744</v>
      </c>
      <c r="H108" s="163">
        <f>+J$94*G108+E108</f>
        <v>48024.374867081598</v>
      </c>
      <c r="I108" s="253">
        <f>+J$95*G108+E108</f>
        <v>48024.374867081598</v>
      </c>
      <c r="J108" s="158">
        <f t="shared" si="18"/>
        <v>0</v>
      </c>
      <c r="K108" s="158"/>
      <c r="L108" s="334"/>
      <c r="M108" s="158">
        <f t="shared" si="19"/>
        <v>0</v>
      </c>
      <c r="N108" s="334"/>
      <c r="O108" s="158">
        <f t="shared" si="20"/>
        <v>0</v>
      </c>
      <c r="P108" s="158">
        <f t="shared" si="21"/>
        <v>0</v>
      </c>
      <c r="Q108" s="1"/>
    </row>
    <row r="109" spans="1:17">
      <c r="B109" s="9" t="str">
        <f t="shared" si="24"/>
        <v/>
      </c>
      <c r="C109" s="153">
        <f>IF(D93="","-",+C108+1)</f>
        <v>2018</v>
      </c>
      <c r="D109" s="154">
        <f>IF(F108+SUM(E$99:E108)=D$92,F108,D$92-SUM(E$99:E108))</f>
        <v>314408.90697674407</v>
      </c>
      <c r="E109" s="160">
        <f>IF(+J96&lt;F108,J96,D109)</f>
        <v>9269.6666666666661</v>
      </c>
      <c r="F109" s="159">
        <f t="shared" si="25"/>
        <v>305139.24031007738</v>
      </c>
      <c r="G109" s="159">
        <f t="shared" si="26"/>
        <v>309774.07364341069</v>
      </c>
      <c r="H109" s="163">
        <f>+J$94*G109+E109</f>
        <v>46898.374944836971</v>
      </c>
      <c r="I109" s="253">
        <f>+J$95*G109+E109</f>
        <v>46898.374944836971</v>
      </c>
      <c r="J109" s="158">
        <f t="shared" si="18"/>
        <v>0</v>
      </c>
      <c r="K109" s="158"/>
      <c r="L109" s="334"/>
      <c r="M109" s="158">
        <f t="shared" si="19"/>
        <v>0</v>
      </c>
      <c r="N109" s="334"/>
      <c r="O109" s="158">
        <f t="shared" si="20"/>
        <v>0</v>
      </c>
      <c r="P109" s="158">
        <f t="shared" si="21"/>
        <v>0</v>
      </c>
      <c r="Q109" s="1"/>
    </row>
    <row r="110" spans="1:17">
      <c r="B110" s="9" t="str">
        <f t="shared" si="24"/>
        <v/>
      </c>
      <c r="C110" s="153">
        <f>IF(D93="","-",+C109+1)</f>
        <v>2019</v>
      </c>
      <c r="D110" s="154">
        <f>IF(F109+SUM(E$99:E109)=D$92,F109,D$92-SUM(E$99:E109))</f>
        <v>305139.24031007738</v>
      </c>
      <c r="E110" s="160">
        <f>IF(+J96&lt;F109,J96,D110)</f>
        <v>9269.6666666666661</v>
      </c>
      <c r="F110" s="159">
        <f t="shared" si="25"/>
        <v>295869.57364341069</v>
      </c>
      <c r="G110" s="159">
        <f t="shared" si="26"/>
        <v>300504.40697674407</v>
      </c>
      <c r="H110" s="163">
        <f>+J$94*G110+E110</f>
        <v>45772.37502259235</v>
      </c>
      <c r="I110" s="253">
        <f>+J$95*G110+E110</f>
        <v>45772.37502259235</v>
      </c>
      <c r="J110" s="158">
        <f t="shared" si="18"/>
        <v>0</v>
      </c>
      <c r="K110" s="158"/>
      <c r="L110" s="334"/>
      <c r="M110" s="158">
        <f t="shared" si="19"/>
        <v>0</v>
      </c>
      <c r="N110" s="334"/>
      <c r="O110" s="158">
        <f t="shared" si="20"/>
        <v>0</v>
      </c>
      <c r="P110" s="158">
        <f t="shared" si="21"/>
        <v>0</v>
      </c>
      <c r="Q110" s="1"/>
    </row>
    <row r="111" spans="1:17">
      <c r="B111" s="9" t="str">
        <f t="shared" si="24"/>
        <v/>
      </c>
      <c r="C111" s="153">
        <f>IF(D93="","-",+C110+1)</f>
        <v>2020</v>
      </c>
      <c r="D111" s="154">
        <f>IF(F110+SUM(E$99:E110)=D$92,F110,D$92-SUM(E$99:E110))</f>
        <v>295869.57364341069</v>
      </c>
      <c r="E111" s="160">
        <f>IF(+J96&lt;F110,J96,D111)</f>
        <v>9269.6666666666661</v>
      </c>
      <c r="F111" s="159">
        <f t="shared" si="25"/>
        <v>286599.90697674401</v>
      </c>
      <c r="G111" s="159">
        <f t="shared" si="26"/>
        <v>291234.74031007732</v>
      </c>
      <c r="H111" s="163">
        <f>+J$94*G111+E111</f>
        <v>44646.375100347723</v>
      </c>
      <c r="I111" s="253">
        <f>+J$95*G111+E111</f>
        <v>44646.375100347723</v>
      </c>
      <c r="J111" s="158">
        <f t="shared" si="18"/>
        <v>0</v>
      </c>
      <c r="K111" s="158"/>
      <c r="L111" s="334"/>
      <c r="M111" s="158">
        <f t="shared" si="19"/>
        <v>0</v>
      </c>
      <c r="N111" s="334"/>
      <c r="O111" s="158">
        <f t="shared" si="20"/>
        <v>0</v>
      </c>
      <c r="P111" s="158">
        <f t="shared" si="21"/>
        <v>0</v>
      </c>
      <c r="Q111" s="1"/>
    </row>
    <row r="112" spans="1:17">
      <c r="B112" s="9" t="str">
        <f t="shared" si="24"/>
        <v/>
      </c>
      <c r="C112" s="153">
        <f>IF(D93="","-",+C111+1)</f>
        <v>2021</v>
      </c>
      <c r="D112" s="154">
        <f>IF(F111+SUM(E$99:E111)=D$92,F111,D$92-SUM(E$99:E111))</f>
        <v>286599.90697674401</v>
      </c>
      <c r="E112" s="160">
        <f>IF(+J96&lt;F111,J96,D112)</f>
        <v>9269.6666666666661</v>
      </c>
      <c r="F112" s="159">
        <f t="shared" si="25"/>
        <v>277330.24031007732</v>
      </c>
      <c r="G112" s="159">
        <f t="shared" si="26"/>
        <v>281965.07364341069</v>
      </c>
      <c r="H112" s="163">
        <f>+J$94*G112+E112</f>
        <v>43520.37517810311</v>
      </c>
      <c r="I112" s="253">
        <f>+J$95*G112+E112</f>
        <v>43520.37517810311</v>
      </c>
      <c r="J112" s="158">
        <f t="shared" si="18"/>
        <v>0</v>
      </c>
      <c r="K112" s="158"/>
      <c r="L112" s="334"/>
      <c r="M112" s="158">
        <f t="shared" si="19"/>
        <v>0</v>
      </c>
      <c r="N112" s="334"/>
      <c r="O112" s="158">
        <f t="shared" si="20"/>
        <v>0</v>
      </c>
      <c r="P112" s="158">
        <f t="shared" si="21"/>
        <v>0</v>
      </c>
      <c r="Q112" s="1"/>
    </row>
    <row r="113" spans="2:17">
      <c r="B113" s="9" t="str">
        <f t="shared" si="24"/>
        <v/>
      </c>
      <c r="C113" s="153">
        <f>IF(D93="","-",+C112+1)</f>
        <v>2022</v>
      </c>
      <c r="D113" s="154">
        <f>IF(F112+SUM(E$99:E112)=D$92,F112,D$92-SUM(E$99:E112))</f>
        <v>277330.24031007732</v>
      </c>
      <c r="E113" s="160">
        <f>IF(+J96&lt;F112,J96,D113)</f>
        <v>9269.6666666666661</v>
      </c>
      <c r="F113" s="159">
        <f t="shared" si="25"/>
        <v>268060.57364341064</v>
      </c>
      <c r="G113" s="159">
        <f t="shared" si="26"/>
        <v>272695.40697674395</v>
      </c>
      <c r="H113" s="163">
        <f t="shared" ref="H113:H154" si="27">+J$94*G113+E113</f>
        <v>42394.375255858482</v>
      </c>
      <c r="I113" s="253">
        <f t="shared" ref="I113:I154" si="28">+J$95*G113+E113</f>
        <v>42394.375255858482</v>
      </c>
      <c r="J113" s="158">
        <f t="shared" si="18"/>
        <v>0</v>
      </c>
      <c r="K113" s="158"/>
      <c r="L113" s="334"/>
      <c r="M113" s="158">
        <f t="shared" si="19"/>
        <v>0</v>
      </c>
      <c r="N113" s="334"/>
      <c r="O113" s="158">
        <f t="shared" si="20"/>
        <v>0</v>
      </c>
      <c r="P113" s="158">
        <f t="shared" si="21"/>
        <v>0</v>
      </c>
      <c r="Q113" s="1"/>
    </row>
    <row r="114" spans="2:17">
      <c r="B114" s="9" t="str">
        <f t="shared" si="24"/>
        <v/>
      </c>
      <c r="C114" s="153">
        <f>IF(D93="","-",+C113+1)</f>
        <v>2023</v>
      </c>
      <c r="D114" s="154">
        <f>IF(F113+SUM(E$99:E113)=D$92,F113,D$92-SUM(E$99:E113))</f>
        <v>268060.57364341064</v>
      </c>
      <c r="E114" s="160">
        <f>IF(+J96&lt;F113,J96,D114)</f>
        <v>9269.6666666666661</v>
      </c>
      <c r="F114" s="159">
        <f t="shared" si="25"/>
        <v>258790.90697674398</v>
      </c>
      <c r="G114" s="159">
        <f t="shared" si="26"/>
        <v>263425.74031007732</v>
      </c>
      <c r="H114" s="163">
        <f t="shared" si="27"/>
        <v>41268.375333613869</v>
      </c>
      <c r="I114" s="253">
        <f t="shared" si="28"/>
        <v>41268.375333613869</v>
      </c>
      <c r="J114" s="158">
        <f t="shared" si="18"/>
        <v>0</v>
      </c>
      <c r="K114" s="158"/>
      <c r="L114" s="334"/>
      <c r="M114" s="158">
        <f t="shared" si="19"/>
        <v>0</v>
      </c>
      <c r="N114" s="334"/>
      <c r="O114" s="158">
        <f t="shared" si="20"/>
        <v>0</v>
      </c>
      <c r="P114" s="158">
        <f t="shared" si="21"/>
        <v>0</v>
      </c>
      <c r="Q114" s="1"/>
    </row>
    <row r="115" spans="2:17">
      <c r="B115" s="9" t="str">
        <f t="shared" si="24"/>
        <v/>
      </c>
      <c r="C115" s="153">
        <f>IF(D93="","-",+C114+1)</f>
        <v>2024</v>
      </c>
      <c r="D115" s="154">
        <f>IF(F114+SUM(E$99:E114)=D$92,F114,D$92-SUM(E$99:E114))</f>
        <v>258790.90697674398</v>
      </c>
      <c r="E115" s="160">
        <f>IF(+J96&lt;F114,J96,D115)</f>
        <v>9269.6666666666661</v>
      </c>
      <c r="F115" s="159">
        <f t="shared" si="25"/>
        <v>249521.24031007732</v>
      </c>
      <c r="G115" s="159">
        <f t="shared" si="26"/>
        <v>254156.07364341064</v>
      </c>
      <c r="H115" s="163">
        <f t="shared" si="27"/>
        <v>40142.375411369248</v>
      </c>
      <c r="I115" s="253">
        <f t="shared" si="28"/>
        <v>40142.375411369248</v>
      </c>
      <c r="J115" s="158">
        <f t="shared" si="18"/>
        <v>0</v>
      </c>
      <c r="K115" s="158"/>
      <c r="L115" s="334"/>
      <c r="M115" s="158">
        <f t="shared" si="19"/>
        <v>0</v>
      </c>
      <c r="N115" s="334"/>
      <c r="O115" s="158">
        <f t="shared" si="20"/>
        <v>0</v>
      </c>
      <c r="P115" s="158">
        <f t="shared" si="21"/>
        <v>0</v>
      </c>
      <c r="Q115" s="1"/>
    </row>
    <row r="116" spans="2:17">
      <c r="B116" s="9" t="str">
        <f t="shared" si="24"/>
        <v/>
      </c>
      <c r="C116" s="153">
        <f>IF(D93="","-",+C115+1)</f>
        <v>2025</v>
      </c>
      <c r="D116" s="154">
        <f>IF(F115+SUM(E$99:E115)=D$92,F115,D$92-SUM(E$99:E115))</f>
        <v>249521.24031007732</v>
      </c>
      <c r="E116" s="160">
        <f>IF(+J96&lt;F115,J96,D116)</f>
        <v>9269.6666666666661</v>
      </c>
      <c r="F116" s="159">
        <f t="shared" si="25"/>
        <v>240251.57364341067</v>
      </c>
      <c r="G116" s="159">
        <f t="shared" si="26"/>
        <v>244886.40697674401</v>
      </c>
      <c r="H116" s="163">
        <f t="shared" si="27"/>
        <v>39016.375489124635</v>
      </c>
      <c r="I116" s="253">
        <f t="shared" si="28"/>
        <v>39016.375489124635</v>
      </c>
      <c r="J116" s="158">
        <f t="shared" si="18"/>
        <v>0</v>
      </c>
      <c r="K116" s="158"/>
      <c r="L116" s="334"/>
      <c r="M116" s="158">
        <f t="shared" si="19"/>
        <v>0</v>
      </c>
      <c r="N116" s="334"/>
      <c r="O116" s="158">
        <f t="shared" si="20"/>
        <v>0</v>
      </c>
      <c r="P116" s="158">
        <f t="shared" si="21"/>
        <v>0</v>
      </c>
      <c r="Q116" s="1"/>
    </row>
    <row r="117" spans="2:17">
      <c r="B117" s="9" t="str">
        <f t="shared" si="24"/>
        <v/>
      </c>
      <c r="C117" s="153">
        <f>IF(D93="","-",+C116+1)</f>
        <v>2026</v>
      </c>
      <c r="D117" s="154">
        <f>IF(F116+SUM(E$99:E116)=D$92,F116,D$92-SUM(E$99:E116))</f>
        <v>240251.57364341067</v>
      </c>
      <c r="E117" s="160">
        <f>IF(+J96&lt;F116,J96,D117)</f>
        <v>9269.6666666666661</v>
      </c>
      <c r="F117" s="159">
        <f t="shared" si="25"/>
        <v>230981.90697674401</v>
      </c>
      <c r="G117" s="159">
        <f t="shared" si="26"/>
        <v>235616.74031007732</v>
      </c>
      <c r="H117" s="163">
        <f t="shared" si="27"/>
        <v>37890.375566880015</v>
      </c>
      <c r="I117" s="253">
        <f t="shared" si="28"/>
        <v>37890.375566880015</v>
      </c>
      <c r="J117" s="158">
        <f t="shared" si="18"/>
        <v>0</v>
      </c>
      <c r="K117" s="158"/>
      <c r="L117" s="334"/>
      <c r="M117" s="158">
        <f t="shared" si="19"/>
        <v>0</v>
      </c>
      <c r="N117" s="334"/>
      <c r="O117" s="158">
        <f t="shared" si="20"/>
        <v>0</v>
      </c>
      <c r="P117" s="158">
        <f t="shared" si="21"/>
        <v>0</v>
      </c>
      <c r="Q117" s="1"/>
    </row>
    <row r="118" spans="2:17">
      <c r="B118" s="9" t="str">
        <f t="shared" si="24"/>
        <v/>
      </c>
      <c r="C118" s="153">
        <f>IF(D93="","-",+C117+1)</f>
        <v>2027</v>
      </c>
      <c r="D118" s="154">
        <f>IF(F117+SUM(E$99:E117)=D$92,F117,D$92-SUM(E$99:E117))</f>
        <v>230981.90697674401</v>
      </c>
      <c r="E118" s="160">
        <f>IF(+J96&lt;F117,J96,D118)</f>
        <v>9269.6666666666661</v>
      </c>
      <c r="F118" s="159">
        <f t="shared" si="25"/>
        <v>221712.24031007735</v>
      </c>
      <c r="G118" s="159">
        <f t="shared" si="26"/>
        <v>226347.07364341069</v>
      </c>
      <c r="H118" s="163">
        <f t="shared" si="27"/>
        <v>36764.375644635402</v>
      </c>
      <c r="I118" s="253">
        <f t="shared" si="28"/>
        <v>36764.375644635402</v>
      </c>
      <c r="J118" s="158">
        <f t="shared" si="18"/>
        <v>0</v>
      </c>
      <c r="K118" s="158"/>
      <c r="L118" s="334"/>
      <c r="M118" s="158">
        <f t="shared" si="19"/>
        <v>0</v>
      </c>
      <c r="N118" s="334"/>
      <c r="O118" s="158">
        <f t="shared" si="20"/>
        <v>0</v>
      </c>
      <c r="P118" s="158">
        <f t="shared" si="21"/>
        <v>0</v>
      </c>
      <c r="Q118" s="1"/>
    </row>
    <row r="119" spans="2:17">
      <c r="B119" s="9" t="str">
        <f t="shared" si="24"/>
        <v/>
      </c>
      <c r="C119" s="153">
        <f>IF(D93="","-",+C118+1)</f>
        <v>2028</v>
      </c>
      <c r="D119" s="154">
        <f>IF(F118+SUM(E$99:E118)=D$92,F118,D$92-SUM(E$99:E118))</f>
        <v>221712.24031007735</v>
      </c>
      <c r="E119" s="160">
        <f>IF(+J96&lt;F118,J96,D119)</f>
        <v>9269.6666666666661</v>
      </c>
      <c r="F119" s="159">
        <f t="shared" si="25"/>
        <v>212442.57364341069</v>
      </c>
      <c r="G119" s="159">
        <f t="shared" si="26"/>
        <v>217077.40697674401</v>
      </c>
      <c r="H119" s="163">
        <f t="shared" si="27"/>
        <v>35638.375722390774</v>
      </c>
      <c r="I119" s="253">
        <f t="shared" si="28"/>
        <v>35638.375722390774</v>
      </c>
      <c r="J119" s="158">
        <f t="shared" si="18"/>
        <v>0</v>
      </c>
      <c r="K119" s="158"/>
      <c r="L119" s="334"/>
      <c r="M119" s="158">
        <f t="shared" si="19"/>
        <v>0</v>
      </c>
      <c r="N119" s="334"/>
      <c r="O119" s="158">
        <f t="shared" si="20"/>
        <v>0</v>
      </c>
      <c r="P119" s="158">
        <f t="shared" si="21"/>
        <v>0</v>
      </c>
      <c r="Q119" s="1"/>
    </row>
    <row r="120" spans="2:17">
      <c r="B120" s="9" t="str">
        <f t="shared" si="24"/>
        <v/>
      </c>
      <c r="C120" s="153">
        <f>IF(D93="","-",+C119+1)</f>
        <v>2029</v>
      </c>
      <c r="D120" s="154">
        <f>IF(F119+SUM(E$99:E119)=D$92,F119,D$92-SUM(E$99:E119))</f>
        <v>212442.57364341069</v>
      </c>
      <c r="E120" s="160">
        <f>IF(+J96&lt;F119,J96,D120)</f>
        <v>9269.6666666666661</v>
      </c>
      <c r="F120" s="159">
        <f t="shared" si="25"/>
        <v>203172.90697674404</v>
      </c>
      <c r="G120" s="159">
        <f t="shared" si="26"/>
        <v>207807.74031007738</v>
      </c>
      <c r="H120" s="163">
        <f t="shared" si="27"/>
        <v>34512.375800146161</v>
      </c>
      <c r="I120" s="253">
        <f t="shared" si="28"/>
        <v>34512.375800146161</v>
      </c>
      <c r="J120" s="158">
        <f t="shared" si="18"/>
        <v>0</v>
      </c>
      <c r="K120" s="158"/>
      <c r="L120" s="334"/>
      <c r="M120" s="158">
        <f t="shared" si="19"/>
        <v>0</v>
      </c>
      <c r="N120" s="334"/>
      <c r="O120" s="158">
        <f t="shared" si="20"/>
        <v>0</v>
      </c>
      <c r="P120" s="158">
        <f t="shared" si="21"/>
        <v>0</v>
      </c>
      <c r="Q120" s="1"/>
    </row>
    <row r="121" spans="2:17">
      <c r="B121" s="9" t="str">
        <f t="shared" si="24"/>
        <v/>
      </c>
      <c r="C121" s="153">
        <f>IF(D93="","-",+C120+1)</f>
        <v>2030</v>
      </c>
      <c r="D121" s="154">
        <f>IF(F120+SUM(E$99:E120)=D$92,F120,D$92-SUM(E$99:E120))</f>
        <v>203172.90697674404</v>
      </c>
      <c r="E121" s="160">
        <f>IF(+J96&lt;F120,J96,D121)</f>
        <v>9269.6666666666661</v>
      </c>
      <c r="F121" s="159">
        <f t="shared" si="25"/>
        <v>193903.24031007738</v>
      </c>
      <c r="G121" s="159">
        <f t="shared" si="26"/>
        <v>198538.07364341069</v>
      </c>
      <c r="H121" s="163">
        <f t="shared" si="27"/>
        <v>33386.375877901541</v>
      </c>
      <c r="I121" s="253">
        <f t="shared" si="28"/>
        <v>33386.375877901541</v>
      </c>
      <c r="J121" s="158">
        <f t="shared" si="18"/>
        <v>0</v>
      </c>
      <c r="K121" s="158"/>
      <c r="L121" s="334"/>
      <c r="M121" s="158">
        <f t="shared" si="19"/>
        <v>0</v>
      </c>
      <c r="N121" s="334"/>
      <c r="O121" s="158">
        <f t="shared" si="20"/>
        <v>0</v>
      </c>
      <c r="P121" s="158">
        <f t="shared" si="21"/>
        <v>0</v>
      </c>
      <c r="Q121" s="1"/>
    </row>
    <row r="122" spans="2:17">
      <c r="B122" s="9" t="str">
        <f t="shared" si="24"/>
        <v/>
      </c>
      <c r="C122" s="153">
        <f>IF(D93="","-",+C121+1)</f>
        <v>2031</v>
      </c>
      <c r="D122" s="154">
        <f>IF(F121+SUM(E$99:E121)=D$92,F121,D$92-SUM(E$99:E121))</f>
        <v>193903.24031007738</v>
      </c>
      <c r="E122" s="160">
        <f>IF(+J96&lt;F121,J96,D122)</f>
        <v>9269.6666666666661</v>
      </c>
      <c r="F122" s="159">
        <f t="shared" si="25"/>
        <v>184633.57364341072</v>
      </c>
      <c r="G122" s="159">
        <f t="shared" si="26"/>
        <v>189268.40697674407</v>
      </c>
      <c r="H122" s="163">
        <f t="shared" si="27"/>
        <v>32260.375955656928</v>
      </c>
      <c r="I122" s="253">
        <f t="shared" si="28"/>
        <v>32260.375955656928</v>
      </c>
      <c r="J122" s="158">
        <f t="shared" si="18"/>
        <v>0</v>
      </c>
      <c r="K122" s="158"/>
      <c r="L122" s="334"/>
      <c r="M122" s="158">
        <f t="shared" si="19"/>
        <v>0</v>
      </c>
      <c r="N122" s="334"/>
      <c r="O122" s="158">
        <f t="shared" si="20"/>
        <v>0</v>
      </c>
      <c r="P122" s="158">
        <f t="shared" si="21"/>
        <v>0</v>
      </c>
      <c r="Q122" s="1"/>
    </row>
    <row r="123" spans="2:17">
      <c r="B123" s="9" t="str">
        <f t="shared" si="24"/>
        <v/>
      </c>
      <c r="C123" s="153">
        <f>IF(D93="","-",+C122+1)</f>
        <v>2032</v>
      </c>
      <c r="D123" s="154">
        <f>IF(F122+SUM(E$99:E122)=D$92,F122,D$92-SUM(E$99:E122))</f>
        <v>184633.57364341072</v>
      </c>
      <c r="E123" s="160">
        <f>IF(+J96&lt;F122,J96,D123)</f>
        <v>9269.6666666666661</v>
      </c>
      <c r="F123" s="159">
        <f t="shared" si="25"/>
        <v>175363.90697674407</v>
      </c>
      <c r="G123" s="159">
        <f t="shared" si="26"/>
        <v>179998.74031007738</v>
      </c>
      <c r="H123" s="163">
        <f t="shared" si="27"/>
        <v>31134.376033412307</v>
      </c>
      <c r="I123" s="253">
        <f t="shared" si="28"/>
        <v>31134.376033412307</v>
      </c>
      <c r="J123" s="158">
        <f t="shared" si="18"/>
        <v>0</v>
      </c>
      <c r="K123" s="158"/>
      <c r="L123" s="334"/>
      <c r="M123" s="158">
        <f t="shared" si="19"/>
        <v>0</v>
      </c>
      <c r="N123" s="334"/>
      <c r="O123" s="158">
        <f t="shared" si="20"/>
        <v>0</v>
      </c>
      <c r="P123" s="158">
        <f t="shared" si="21"/>
        <v>0</v>
      </c>
      <c r="Q123" s="1"/>
    </row>
    <row r="124" spans="2:17">
      <c r="B124" s="9" t="str">
        <f t="shared" si="24"/>
        <v/>
      </c>
      <c r="C124" s="153">
        <f>IF(D93="","-",+C123+1)</f>
        <v>2033</v>
      </c>
      <c r="D124" s="154">
        <f>IF(F123+SUM(E$99:E123)=D$92,F123,D$92-SUM(E$99:E123))</f>
        <v>175363.90697674407</v>
      </c>
      <c r="E124" s="160">
        <f>IF(+J96&lt;F123,J96,D124)</f>
        <v>9269.6666666666661</v>
      </c>
      <c r="F124" s="159">
        <f t="shared" si="25"/>
        <v>166094.24031007741</v>
      </c>
      <c r="G124" s="159">
        <f t="shared" si="26"/>
        <v>170729.07364341075</v>
      </c>
      <c r="H124" s="163">
        <f t="shared" si="27"/>
        <v>30008.376111167694</v>
      </c>
      <c r="I124" s="253">
        <f t="shared" si="28"/>
        <v>30008.376111167694</v>
      </c>
      <c r="J124" s="158">
        <f t="shared" si="18"/>
        <v>0</v>
      </c>
      <c r="K124" s="158"/>
      <c r="L124" s="334"/>
      <c r="M124" s="158">
        <f t="shared" si="19"/>
        <v>0</v>
      </c>
      <c r="N124" s="334"/>
      <c r="O124" s="158">
        <f t="shared" si="20"/>
        <v>0</v>
      </c>
      <c r="P124" s="158">
        <f t="shared" si="21"/>
        <v>0</v>
      </c>
      <c r="Q124" s="1"/>
    </row>
    <row r="125" spans="2:17">
      <c r="B125" s="9" t="str">
        <f t="shared" si="24"/>
        <v/>
      </c>
      <c r="C125" s="153">
        <f>IF(D93="","-",+C124+1)</f>
        <v>2034</v>
      </c>
      <c r="D125" s="154">
        <f>IF(F124+SUM(E$99:E124)=D$92,F124,D$92-SUM(E$99:E124))</f>
        <v>166094.24031007741</v>
      </c>
      <c r="E125" s="160">
        <f>IF(+J96&lt;F124,J96,D125)</f>
        <v>9269.6666666666661</v>
      </c>
      <c r="F125" s="159">
        <f t="shared" si="25"/>
        <v>156824.57364341075</v>
      </c>
      <c r="G125" s="159">
        <f t="shared" si="26"/>
        <v>161459.40697674407</v>
      </c>
      <c r="H125" s="163">
        <f t="shared" si="27"/>
        <v>28882.376188923074</v>
      </c>
      <c r="I125" s="253">
        <f t="shared" si="28"/>
        <v>28882.376188923074</v>
      </c>
      <c r="J125" s="158">
        <f t="shared" si="18"/>
        <v>0</v>
      </c>
      <c r="K125" s="158"/>
      <c r="L125" s="334"/>
      <c r="M125" s="158">
        <f t="shared" si="19"/>
        <v>0</v>
      </c>
      <c r="N125" s="334"/>
      <c r="O125" s="158">
        <f t="shared" si="20"/>
        <v>0</v>
      </c>
      <c r="P125" s="158">
        <f t="shared" si="21"/>
        <v>0</v>
      </c>
      <c r="Q125" s="1"/>
    </row>
    <row r="126" spans="2:17">
      <c r="B126" s="9" t="str">
        <f t="shared" si="24"/>
        <v/>
      </c>
      <c r="C126" s="153">
        <f>IF(D93="","-",+C125+1)</f>
        <v>2035</v>
      </c>
      <c r="D126" s="154">
        <f>IF(F125+SUM(E$99:E125)=D$92,F125,D$92-SUM(E$99:E125))</f>
        <v>156824.57364341075</v>
      </c>
      <c r="E126" s="160">
        <f>IF(+J96&lt;F125,J96,D126)</f>
        <v>9269.6666666666661</v>
      </c>
      <c r="F126" s="159">
        <f t="shared" si="25"/>
        <v>147554.9069767441</v>
      </c>
      <c r="G126" s="159">
        <f t="shared" si="26"/>
        <v>152189.74031007744</v>
      </c>
      <c r="H126" s="163">
        <f t="shared" si="27"/>
        <v>27756.376266678453</v>
      </c>
      <c r="I126" s="253">
        <f t="shared" si="28"/>
        <v>27756.376266678453</v>
      </c>
      <c r="J126" s="158">
        <f t="shared" si="18"/>
        <v>0</v>
      </c>
      <c r="K126" s="158"/>
      <c r="L126" s="334"/>
      <c r="M126" s="158">
        <f t="shared" si="19"/>
        <v>0</v>
      </c>
      <c r="N126" s="334"/>
      <c r="O126" s="158">
        <f t="shared" si="20"/>
        <v>0</v>
      </c>
      <c r="P126" s="158">
        <f t="shared" si="21"/>
        <v>0</v>
      </c>
      <c r="Q126" s="1"/>
    </row>
    <row r="127" spans="2:17">
      <c r="B127" s="9" t="str">
        <f t="shared" si="24"/>
        <v/>
      </c>
      <c r="C127" s="153">
        <f>IF(D93="","-",+C126+1)</f>
        <v>2036</v>
      </c>
      <c r="D127" s="154">
        <f>IF(F126+SUM(E$99:E126)=D$92,F126,D$92-SUM(E$99:E126))</f>
        <v>147554.9069767441</v>
      </c>
      <c r="E127" s="160">
        <f>IF(+J96&lt;F126,J96,D127)</f>
        <v>9269.6666666666661</v>
      </c>
      <c r="F127" s="159">
        <f t="shared" si="25"/>
        <v>138285.24031007744</v>
      </c>
      <c r="G127" s="159">
        <f t="shared" si="26"/>
        <v>142920.07364341075</v>
      </c>
      <c r="H127" s="163">
        <f t="shared" si="27"/>
        <v>26630.376344433833</v>
      </c>
      <c r="I127" s="253">
        <f t="shared" si="28"/>
        <v>26630.376344433833</v>
      </c>
      <c r="J127" s="158">
        <f t="shared" si="18"/>
        <v>0</v>
      </c>
      <c r="K127" s="158"/>
      <c r="L127" s="334"/>
      <c r="M127" s="158">
        <f t="shared" si="19"/>
        <v>0</v>
      </c>
      <c r="N127" s="334"/>
      <c r="O127" s="158">
        <f t="shared" si="20"/>
        <v>0</v>
      </c>
      <c r="P127" s="158">
        <f t="shared" si="21"/>
        <v>0</v>
      </c>
      <c r="Q127" s="1"/>
    </row>
    <row r="128" spans="2:17">
      <c r="B128" s="9" t="str">
        <f t="shared" si="24"/>
        <v/>
      </c>
      <c r="C128" s="153">
        <f>IF(D93="","-",+C127+1)</f>
        <v>2037</v>
      </c>
      <c r="D128" s="154">
        <f>IF(F127+SUM(E$99:E127)=D$92,F127,D$92-SUM(E$99:E127))</f>
        <v>138285.24031007744</v>
      </c>
      <c r="E128" s="160">
        <f>IF(+J96&lt;F127,J96,D128)</f>
        <v>9269.6666666666661</v>
      </c>
      <c r="F128" s="159">
        <f t="shared" si="25"/>
        <v>129015.57364341077</v>
      </c>
      <c r="G128" s="159">
        <f t="shared" si="26"/>
        <v>133650.4069767441</v>
      </c>
      <c r="H128" s="163">
        <f t="shared" si="27"/>
        <v>25504.376422189216</v>
      </c>
      <c r="I128" s="253">
        <f t="shared" si="28"/>
        <v>25504.376422189216</v>
      </c>
      <c r="J128" s="158">
        <f t="shared" si="18"/>
        <v>0</v>
      </c>
      <c r="K128" s="158"/>
      <c r="L128" s="334"/>
      <c r="M128" s="158">
        <f t="shared" si="19"/>
        <v>0</v>
      </c>
      <c r="N128" s="334"/>
      <c r="O128" s="158">
        <f t="shared" si="20"/>
        <v>0</v>
      </c>
      <c r="P128" s="158">
        <f t="shared" si="21"/>
        <v>0</v>
      </c>
      <c r="Q128" s="1"/>
    </row>
    <row r="129" spans="2:17">
      <c r="B129" s="9" t="str">
        <f t="shared" si="24"/>
        <v/>
      </c>
      <c r="C129" s="153">
        <f>IF(D93="","-",+C128+1)</f>
        <v>2038</v>
      </c>
      <c r="D129" s="154">
        <f>IF(F128+SUM(E$99:E128)=D$92,F128,D$92-SUM(E$99:E128))</f>
        <v>129015.57364341077</v>
      </c>
      <c r="E129" s="160">
        <f>IF(+J96&lt;F128,J96,D129)</f>
        <v>9269.6666666666661</v>
      </c>
      <c r="F129" s="159">
        <f t="shared" si="25"/>
        <v>119745.9069767441</v>
      </c>
      <c r="G129" s="159">
        <f t="shared" si="26"/>
        <v>124380.74031007744</v>
      </c>
      <c r="H129" s="163">
        <f t="shared" si="27"/>
        <v>24378.376499944599</v>
      </c>
      <c r="I129" s="253">
        <f t="shared" si="28"/>
        <v>24378.376499944599</v>
      </c>
      <c r="J129" s="158">
        <f t="shared" si="18"/>
        <v>0</v>
      </c>
      <c r="K129" s="158"/>
      <c r="L129" s="334"/>
      <c r="M129" s="158">
        <f t="shared" si="19"/>
        <v>0</v>
      </c>
      <c r="N129" s="334"/>
      <c r="O129" s="158">
        <f t="shared" si="20"/>
        <v>0</v>
      </c>
      <c r="P129" s="158">
        <f t="shared" si="21"/>
        <v>0</v>
      </c>
      <c r="Q129" s="1"/>
    </row>
    <row r="130" spans="2:17">
      <c r="B130" s="9" t="str">
        <f t="shared" si="24"/>
        <v/>
      </c>
      <c r="C130" s="153">
        <f>IF(D93="","-",+C129+1)</f>
        <v>2039</v>
      </c>
      <c r="D130" s="154">
        <f>IF(F129+SUM(E$99:E129)=D$92,F129,D$92-SUM(E$99:E129))</f>
        <v>119745.9069767441</v>
      </c>
      <c r="E130" s="160">
        <f>IF(+J96&lt;F129,J96,D130)</f>
        <v>9269.6666666666661</v>
      </c>
      <c r="F130" s="159">
        <f t="shared" si="25"/>
        <v>110476.24031007742</v>
      </c>
      <c r="G130" s="159">
        <f t="shared" si="26"/>
        <v>115111.07364341075</v>
      </c>
      <c r="H130" s="163">
        <f t="shared" si="27"/>
        <v>23252.376577699979</v>
      </c>
      <c r="I130" s="253">
        <f t="shared" si="28"/>
        <v>23252.376577699979</v>
      </c>
      <c r="J130" s="158">
        <f t="shared" si="18"/>
        <v>0</v>
      </c>
      <c r="K130" s="158"/>
      <c r="L130" s="334"/>
      <c r="M130" s="158">
        <f t="shared" si="19"/>
        <v>0</v>
      </c>
      <c r="N130" s="334"/>
      <c r="O130" s="158">
        <f t="shared" si="20"/>
        <v>0</v>
      </c>
      <c r="P130" s="158">
        <f t="shared" si="21"/>
        <v>0</v>
      </c>
      <c r="Q130" s="1"/>
    </row>
    <row r="131" spans="2:17">
      <c r="B131" s="9" t="str">
        <f t="shared" si="24"/>
        <v/>
      </c>
      <c r="C131" s="153">
        <f>IF(D93="","-",+C130+1)</f>
        <v>2040</v>
      </c>
      <c r="D131" s="154">
        <f>IF(F130+SUM(E$99:E130)=D$92,F130,D$92-SUM(E$99:E130))</f>
        <v>110476.24031007742</v>
      </c>
      <c r="E131" s="160">
        <f>IF(+J96&lt;F130,J96,D131)</f>
        <v>9269.6666666666661</v>
      </c>
      <c r="F131" s="159">
        <f t="shared" ref="F131:F154" si="29">+D131-E131</f>
        <v>101206.57364341075</v>
      </c>
      <c r="G131" s="159">
        <f t="shared" ref="G131:G154" si="30">+(F131+D131)/2</f>
        <v>105841.4069767441</v>
      </c>
      <c r="H131" s="163">
        <f t="shared" si="27"/>
        <v>22126.376655455359</v>
      </c>
      <c r="I131" s="253">
        <f t="shared" si="28"/>
        <v>22126.376655455359</v>
      </c>
      <c r="J131" s="158">
        <f t="shared" ref="J131:J154" si="31">+I131-H131</f>
        <v>0</v>
      </c>
      <c r="K131" s="158"/>
      <c r="L131" s="334"/>
      <c r="M131" s="158">
        <f t="shared" ref="M131:M154" si="32">IF(L131&lt;&gt;0,+H131-L131,0)</f>
        <v>0</v>
      </c>
      <c r="N131" s="334"/>
      <c r="O131" s="158">
        <f t="shared" ref="O131:O154" si="33">IF(N131&lt;&gt;0,+I131-N131,0)</f>
        <v>0</v>
      </c>
      <c r="P131" s="158">
        <f t="shared" ref="P131:P154" si="34">+O131-M131</f>
        <v>0</v>
      </c>
      <c r="Q131" s="1"/>
    </row>
    <row r="132" spans="2:17">
      <c r="B132" s="9" t="str">
        <f t="shared" si="24"/>
        <v/>
      </c>
      <c r="C132" s="153">
        <f>IF(D93="","-",+C131+1)</f>
        <v>2041</v>
      </c>
      <c r="D132" s="154">
        <f>IF(F131+SUM(E$99:E131)=D$92,F131,D$92-SUM(E$99:E131))</f>
        <v>101206.57364341075</v>
      </c>
      <c r="E132" s="160">
        <f>IF(+J96&lt;F131,J96,D132)</f>
        <v>9269.6666666666661</v>
      </c>
      <c r="F132" s="159">
        <f t="shared" si="29"/>
        <v>91936.906976744081</v>
      </c>
      <c r="G132" s="159">
        <f t="shared" si="30"/>
        <v>96571.74031007741</v>
      </c>
      <c r="H132" s="163">
        <f t="shared" si="27"/>
        <v>21000.376733210738</v>
      </c>
      <c r="I132" s="253">
        <f t="shared" si="28"/>
        <v>21000.376733210738</v>
      </c>
      <c r="J132" s="158">
        <f t="shared" si="31"/>
        <v>0</v>
      </c>
      <c r="K132" s="158"/>
      <c r="L132" s="334"/>
      <c r="M132" s="158">
        <f t="shared" si="32"/>
        <v>0</v>
      </c>
      <c r="N132" s="334"/>
      <c r="O132" s="158">
        <f t="shared" si="33"/>
        <v>0</v>
      </c>
      <c r="P132" s="158">
        <f t="shared" si="34"/>
        <v>0</v>
      </c>
      <c r="Q132" s="1"/>
    </row>
    <row r="133" spans="2:17">
      <c r="B133" s="9" t="str">
        <f t="shared" si="24"/>
        <v/>
      </c>
      <c r="C133" s="153">
        <f>IF(D93="","-",+C132+1)</f>
        <v>2042</v>
      </c>
      <c r="D133" s="154">
        <f>IF(F132+SUM(E$99:E132)=D$92,F132,D$92-SUM(E$99:E132))</f>
        <v>91936.906976744081</v>
      </c>
      <c r="E133" s="160">
        <f>IF(+J96&lt;F132,J96,D133)</f>
        <v>9269.6666666666661</v>
      </c>
      <c r="F133" s="159">
        <f t="shared" si="29"/>
        <v>82667.24031007741</v>
      </c>
      <c r="G133" s="159">
        <f t="shared" si="30"/>
        <v>87302.073643410753</v>
      </c>
      <c r="H133" s="163">
        <f t="shared" si="27"/>
        <v>19874.376810966121</v>
      </c>
      <c r="I133" s="253">
        <f t="shared" si="28"/>
        <v>19874.376810966121</v>
      </c>
      <c r="J133" s="158">
        <f t="shared" si="31"/>
        <v>0</v>
      </c>
      <c r="K133" s="158"/>
      <c r="L133" s="334"/>
      <c r="M133" s="158">
        <f t="shared" si="32"/>
        <v>0</v>
      </c>
      <c r="N133" s="334"/>
      <c r="O133" s="158">
        <f t="shared" si="33"/>
        <v>0</v>
      </c>
      <c r="P133" s="158">
        <f t="shared" si="34"/>
        <v>0</v>
      </c>
      <c r="Q133" s="1"/>
    </row>
    <row r="134" spans="2:17">
      <c r="B134" s="9" t="str">
        <f t="shared" si="24"/>
        <v/>
      </c>
      <c r="C134" s="153">
        <f>IF(D93="","-",+C133+1)</f>
        <v>2043</v>
      </c>
      <c r="D134" s="154">
        <f>IF(F133+SUM(E$99:E133)=D$92,F133,D$92-SUM(E$99:E133))</f>
        <v>82667.24031007741</v>
      </c>
      <c r="E134" s="160">
        <f>IF(+J96&lt;F133,J96,D134)</f>
        <v>9269.6666666666661</v>
      </c>
      <c r="F134" s="159">
        <f t="shared" si="29"/>
        <v>73397.573643410738</v>
      </c>
      <c r="G134" s="159">
        <f t="shared" si="30"/>
        <v>78032.406976744067</v>
      </c>
      <c r="H134" s="163">
        <f t="shared" si="27"/>
        <v>18748.376888721497</v>
      </c>
      <c r="I134" s="253">
        <f t="shared" si="28"/>
        <v>18748.376888721497</v>
      </c>
      <c r="J134" s="158">
        <f t="shared" si="31"/>
        <v>0</v>
      </c>
      <c r="K134" s="158"/>
      <c r="L134" s="334"/>
      <c r="M134" s="158">
        <f t="shared" si="32"/>
        <v>0</v>
      </c>
      <c r="N134" s="334"/>
      <c r="O134" s="158">
        <f t="shared" si="33"/>
        <v>0</v>
      </c>
      <c r="P134" s="158">
        <f t="shared" si="34"/>
        <v>0</v>
      </c>
      <c r="Q134" s="1"/>
    </row>
    <row r="135" spans="2:17">
      <c r="B135" s="9" t="str">
        <f t="shared" si="24"/>
        <v/>
      </c>
      <c r="C135" s="153">
        <f>IF(D93="","-",+C134+1)</f>
        <v>2044</v>
      </c>
      <c r="D135" s="154">
        <f>IF(F134+SUM(E$99:E134)=D$92,F134,D$92-SUM(E$99:E134))</f>
        <v>73397.573643410738</v>
      </c>
      <c r="E135" s="160">
        <f>IF(+J96&lt;F134,J96,D135)</f>
        <v>9269.6666666666661</v>
      </c>
      <c r="F135" s="159">
        <f t="shared" si="29"/>
        <v>64127.906976744074</v>
      </c>
      <c r="G135" s="159">
        <f t="shared" si="30"/>
        <v>68762.74031007741</v>
      </c>
      <c r="H135" s="163">
        <f t="shared" si="27"/>
        <v>17622.376966476881</v>
      </c>
      <c r="I135" s="253">
        <f t="shared" si="28"/>
        <v>17622.376966476881</v>
      </c>
      <c r="J135" s="158">
        <f t="shared" si="31"/>
        <v>0</v>
      </c>
      <c r="K135" s="158"/>
      <c r="L135" s="334"/>
      <c r="M135" s="158">
        <f t="shared" si="32"/>
        <v>0</v>
      </c>
      <c r="N135" s="334"/>
      <c r="O135" s="158">
        <f t="shared" si="33"/>
        <v>0</v>
      </c>
      <c r="P135" s="158">
        <f t="shared" si="34"/>
        <v>0</v>
      </c>
      <c r="Q135" s="1"/>
    </row>
    <row r="136" spans="2:17">
      <c r="B136" s="9" t="str">
        <f t="shared" si="24"/>
        <v/>
      </c>
      <c r="C136" s="153">
        <f>IF(D93="","-",+C135+1)</f>
        <v>2045</v>
      </c>
      <c r="D136" s="154">
        <f>IF(F135+SUM(E$99:E135)=D$92,F135,D$92-SUM(E$99:E135))</f>
        <v>64127.906976744074</v>
      </c>
      <c r="E136" s="160">
        <f>IF(+J96&lt;F135,J96,D136)</f>
        <v>9269.6666666666661</v>
      </c>
      <c r="F136" s="159">
        <f t="shared" si="29"/>
        <v>54858.24031007741</v>
      </c>
      <c r="G136" s="159">
        <f t="shared" si="30"/>
        <v>59493.073643410738</v>
      </c>
      <c r="H136" s="163">
        <f t="shared" si="27"/>
        <v>16496.377044232264</v>
      </c>
      <c r="I136" s="253">
        <f t="shared" si="28"/>
        <v>16496.377044232264</v>
      </c>
      <c r="J136" s="158">
        <f t="shared" si="31"/>
        <v>0</v>
      </c>
      <c r="K136" s="158"/>
      <c r="L136" s="334"/>
      <c r="M136" s="158">
        <f t="shared" si="32"/>
        <v>0</v>
      </c>
      <c r="N136" s="334"/>
      <c r="O136" s="158">
        <f t="shared" si="33"/>
        <v>0</v>
      </c>
      <c r="P136" s="158">
        <f t="shared" si="34"/>
        <v>0</v>
      </c>
      <c r="Q136" s="1"/>
    </row>
    <row r="137" spans="2:17">
      <c r="B137" s="9" t="str">
        <f t="shared" si="24"/>
        <v/>
      </c>
      <c r="C137" s="153">
        <f>IF(D93="","-",+C136+1)</f>
        <v>2046</v>
      </c>
      <c r="D137" s="154">
        <f>IF(F136+SUM(E$99:E136)=D$92,F136,D$92-SUM(E$99:E136))</f>
        <v>54858.24031007741</v>
      </c>
      <c r="E137" s="160">
        <f>IF(+J96&lt;F136,J96,D137)</f>
        <v>9269.6666666666661</v>
      </c>
      <c r="F137" s="159">
        <f t="shared" si="29"/>
        <v>45588.573643410746</v>
      </c>
      <c r="G137" s="159">
        <f t="shared" si="30"/>
        <v>50223.406976744081</v>
      </c>
      <c r="H137" s="163">
        <f t="shared" si="27"/>
        <v>15370.377121987643</v>
      </c>
      <c r="I137" s="253">
        <f t="shared" si="28"/>
        <v>15370.377121987643</v>
      </c>
      <c r="J137" s="158">
        <f t="shared" si="31"/>
        <v>0</v>
      </c>
      <c r="K137" s="158"/>
      <c r="L137" s="334"/>
      <c r="M137" s="158">
        <f t="shared" si="32"/>
        <v>0</v>
      </c>
      <c r="N137" s="334"/>
      <c r="O137" s="158">
        <f t="shared" si="33"/>
        <v>0</v>
      </c>
      <c r="P137" s="158">
        <f t="shared" si="34"/>
        <v>0</v>
      </c>
      <c r="Q137" s="1"/>
    </row>
    <row r="138" spans="2:17">
      <c r="B138" s="9" t="str">
        <f t="shared" si="24"/>
        <v/>
      </c>
      <c r="C138" s="153">
        <f>IF(D93="","-",+C137+1)</f>
        <v>2047</v>
      </c>
      <c r="D138" s="154">
        <f>IF(F137+SUM(E$99:E137)=D$92,F137,D$92-SUM(E$99:E137))</f>
        <v>45588.573643410746</v>
      </c>
      <c r="E138" s="160">
        <f>IF(+J96&lt;F137,J96,D138)</f>
        <v>9269.6666666666661</v>
      </c>
      <c r="F138" s="159">
        <f t="shared" si="29"/>
        <v>36318.906976744081</v>
      </c>
      <c r="G138" s="159">
        <f t="shared" si="30"/>
        <v>40953.74031007741</v>
      </c>
      <c r="H138" s="163">
        <f t="shared" si="27"/>
        <v>14244.377199743023</v>
      </c>
      <c r="I138" s="253">
        <f t="shared" si="28"/>
        <v>14244.377199743023</v>
      </c>
      <c r="J138" s="158">
        <f t="shared" si="31"/>
        <v>0</v>
      </c>
      <c r="K138" s="158"/>
      <c r="L138" s="334"/>
      <c r="M138" s="158">
        <f t="shared" si="32"/>
        <v>0</v>
      </c>
      <c r="N138" s="334"/>
      <c r="O138" s="158">
        <f t="shared" si="33"/>
        <v>0</v>
      </c>
      <c r="P138" s="158">
        <f t="shared" si="34"/>
        <v>0</v>
      </c>
      <c r="Q138" s="1"/>
    </row>
    <row r="139" spans="2:17">
      <c r="B139" s="9" t="str">
        <f t="shared" si="24"/>
        <v/>
      </c>
      <c r="C139" s="153">
        <f>IF(D93="","-",+C138+1)</f>
        <v>2048</v>
      </c>
      <c r="D139" s="154">
        <f>IF(F138+SUM(E$99:E138)=D$92,F138,D$92-SUM(E$99:E138))</f>
        <v>36318.906976744081</v>
      </c>
      <c r="E139" s="160">
        <f>IF(+J96&lt;F138,J96,D139)</f>
        <v>9269.6666666666661</v>
      </c>
      <c r="F139" s="159">
        <f t="shared" si="29"/>
        <v>27049.240310077417</v>
      </c>
      <c r="G139" s="159">
        <f t="shared" si="30"/>
        <v>31684.073643410749</v>
      </c>
      <c r="H139" s="163">
        <f t="shared" si="27"/>
        <v>13118.377277498406</v>
      </c>
      <c r="I139" s="253">
        <f t="shared" si="28"/>
        <v>13118.377277498406</v>
      </c>
      <c r="J139" s="158">
        <f t="shared" si="31"/>
        <v>0</v>
      </c>
      <c r="K139" s="158"/>
      <c r="L139" s="334"/>
      <c r="M139" s="158">
        <f t="shared" si="32"/>
        <v>0</v>
      </c>
      <c r="N139" s="334"/>
      <c r="O139" s="158">
        <f t="shared" si="33"/>
        <v>0</v>
      </c>
      <c r="P139" s="158">
        <f t="shared" si="34"/>
        <v>0</v>
      </c>
      <c r="Q139" s="1"/>
    </row>
    <row r="140" spans="2:17">
      <c r="B140" s="9" t="str">
        <f t="shared" si="24"/>
        <v/>
      </c>
      <c r="C140" s="153">
        <f>IF(D93="","-",+C139+1)</f>
        <v>2049</v>
      </c>
      <c r="D140" s="154">
        <f>IF(F139+SUM(E$99:E139)=D$92,F139,D$92-SUM(E$99:E139))</f>
        <v>27049.240310077417</v>
      </c>
      <c r="E140" s="160">
        <f>IF(+J96&lt;F139,J96,D140)</f>
        <v>9269.6666666666661</v>
      </c>
      <c r="F140" s="159">
        <f t="shared" si="29"/>
        <v>17779.573643410753</v>
      </c>
      <c r="G140" s="159">
        <f t="shared" si="30"/>
        <v>22414.406976744085</v>
      </c>
      <c r="H140" s="163">
        <f t="shared" si="27"/>
        <v>11992.377355253788</v>
      </c>
      <c r="I140" s="253">
        <f t="shared" si="28"/>
        <v>11992.377355253788</v>
      </c>
      <c r="J140" s="158">
        <f t="shared" si="31"/>
        <v>0</v>
      </c>
      <c r="K140" s="158"/>
      <c r="L140" s="334"/>
      <c r="M140" s="158">
        <f t="shared" si="32"/>
        <v>0</v>
      </c>
      <c r="N140" s="334"/>
      <c r="O140" s="158">
        <f t="shared" si="33"/>
        <v>0</v>
      </c>
      <c r="P140" s="158">
        <f t="shared" si="34"/>
        <v>0</v>
      </c>
      <c r="Q140" s="1"/>
    </row>
    <row r="141" spans="2:17">
      <c r="B141" s="9" t="str">
        <f t="shared" si="24"/>
        <v/>
      </c>
      <c r="C141" s="153">
        <f>IF(D93="","-",+C140+1)</f>
        <v>2050</v>
      </c>
      <c r="D141" s="154">
        <f>IF(F140+SUM(E$99:E140)=D$92,F140,D$92-SUM(E$99:E140))</f>
        <v>17779.573643410753</v>
      </c>
      <c r="E141" s="160">
        <f>IF(+J96&lt;F140,J96,D141)</f>
        <v>9269.6666666666661</v>
      </c>
      <c r="F141" s="159">
        <f t="shared" si="29"/>
        <v>8509.9069767440869</v>
      </c>
      <c r="G141" s="159">
        <f t="shared" si="30"/>
        <v>13144.740310077421</v>
      </c>
      <c r="H141" s="163">
        <f t="shared" si="27"/>
        <v>10866.377433009169</v>
      </c>
      <c r="I141" s="253">
        <f t="shared" si="28"/>
        <v>10866.377433009169</v>
      </c>
      <c r="J141" s="158">
        <f t="shared" si="31"/>
        <v>0</v>
      </c>
      <c r="K141" s="158"/>
      <c r="L141" s="334"/>
      <c r="M141" s="158">
        <f t="shared" si="32"/>
        <v>0</v>
      </c>
      <c r="N141" s="334"/>
      <c r="O141" s="158">
        <f t="shared" si="33"/>
        <v>0</v>
      </c>
      <c r="P141" s="158">
        <f t="shared" si="34"/>
        <v>0</v>
      </c>
      <c r="Q141" s="1"/>
    </row>
    <row r="142" spans="2:17">
      <c r="B142" s="9" t="str">
        <f t="shared" si="24"/>
        <v/>
      </c>
      <c r="C142" s="153">
        <f>IF(D93="","-",+C141+1)</f>
        <v>2051</v>
      </c>
      <c r="D142" s="154">
        <f>IF(F141+SUM(E$99:E141)=D$92,F141,D$92-SUM(E$99:E141))</f>
        <v>8509.9069767440869</v>
      </c>
      <c r="E142" s="160">
        <f>IF(+J96&lt;F141,J96,D142)</f>
        <v>8509.9069767440869</v>
      </c>
      <c r="F142" s="159">
        <f t="shared" si="29"/>
        <v>0</v>
      </c>
      <c r="G142" s="159">
        <f t="shared" si="30"/>
        <v>4254.9534883720435</v>
      </c>
      <c r="H142" s="163">
        <f t="shared" si="27"/>
        <v>9026.7623793541825</v>
      </c>
      <c r="I142" s="253">
        <f t="shared" si="28"/>
        <v>9026.7623793541825</v>
      </c>
      <c r="J142" s="158">
        <f t="shared" si="31"/>
        <v>0</v>
      </c>
      <c r="K142" s="158"/>
      <c r="L142" s="334"/>
      <c r="M142" s="158">
        <f t="shared" si="32"/>
        <v>0</v>
      </c>
      <c r="N142" s="334"/>
      <c r="O142" s="158">
        <f t="shared" si="33"/>
        <v>0</v>
      </c>
      <c r="P142" s="158">
        <f t="shared" si="34"/>
        <v>0</v>
      </c>
      <c r="Q142" s="1"/>
    </row>
    <row r="143" spans="2:17">
      <c r="B143" s="9" t="str">
        <f t="shared" si="24"/>
        <v/>
      </c>
      <c r="C143" s="153">
        <f>IF(D93="","-",+C142+1)</f>
        <v>2052</v>
      </c>
      <c r="D143" s="154">
        <f>IF(F142+SUM(E$99:E142)=D$92,F142,D$92-SUM(E$99:E142))</f>
        <v>0</v>
      </c>
      <c r="E143" s="160">
        <f>IF(+J96&lt;F142,J96,D143)</f>
        <v>0</v>
      </c>
      <c r="F143" s="159">
        <f t="shared" si="29"/>
        <v>0</v>
      </c>
      <c r="G143" s="159">
        <f t="shared" si="30"/>
        <v>0</v>
      </c>
      <c r="H143" s="163">
        <f t="shared" si="27"/>
        <v>0</v>
      </c>
      <c r="I143" s="253">
        <f t="shared" si="28"/>
        <v>0</v>
      </c>
      <c r="J143" s="158">
        <f t="shared" si="31"/>
        <v>0</v>
      </c>
      <c r="K143" s="158"/>
      <c r="L143" s="334"/>
      <c r="M143" s="158">
        <f t="shared" si="32"/>
        <v>0</v>
      </c>
      <c r="N143" s="334"/>
      <c r="O143" s="158">
        <f t="shared" si="33"/>
        <v>0</v>
      </c>
      <c r="P143" s="158">
        <f t="shared" si="34"/>
        <v>0</v>
      </c>
      <c r="Q143" s="1"/>
    </row>
    <row r="144" spans="2:17">
      <c r="B144" s="9" t="str">
        <f t="shared" si="24"/>
        <v/>
      </c>
      <c r="C144" s="153">
        <f>IF(D93="","-",+C143+1)</f>
        <v>2053</v>
      </c>
      <c r="D144" s="154">
        <f>IF(F143+SUM(E$99:E143)=D$92,F143,D$92-SUM(E$99:E143))</f>
        <v>0</v>
      </c>
      <c r="E144" s="160">
        <f>IF(+J96&lt;F143,J96,D144)</f>
        <v>0</v>
      </c>
      <c r="F144" s="159">
        <f t="shared" si="29"/>
        <v>0</v>
      </c>
      <c r="G144" s="159">
        <f t="shared" si="30"/>
        <v>0</v>
      </c>
      <c r="H144" s="163">
        <f t="shared" si="27"/>
        <v>0</v>
      </c>
      <c r="I144" s="253">
        <f t="shared" si="28"/>
        <v>0</v>
      </c>
      <c r="J144" s="158">
        <f t="shared" si="31"/>
        <v>0</v>
      </c>
      <c r="K144" s="158"/>
      <c r="L144" s="334"/>
      <c r="M144" s="158">
        <f t="shared" si="32"/>
        <v>0</v>
      </c>
      <c r="N144" s="334"/>
      <c r="O144" s="158">
        <f t="shared" si="33"/>
        <v>0</v>
      </c>
      <c r="P144" s="158">
        <f t="shared" si="34"/>
        <v>0</v>
      </c>
      <c r="Q144" s="1"/>
    </row>
    <row r="145" spans="2:17">
      <c r="B145" s="9" t="str">
        <f t="shared" si="24"/>
        <v/>
      </c>
      <c r="C145" s="153">
        <f>IF(D93="","-",+C144+1)</f>
        <v>2054</v>
      </c>
      <c r="D145" s="154">
        <f>IF(F144+SUM(E$99:E144)=D$92,F144,D$92-SUM(E$99:E144))</f>
        <v>0</v>
      </c>
      <c r="E145" s="160">
        <f>IF(+J96&lt;F144,J96,D145)</f>
        <v>0</v>
      </c>
      <c r="F145" s="159">
        <f t="shared" si="29"/>
        <v>0</v>
      </c>
      <c r="G145" s="159">
        <f t="shared" si="30"/>
        <v>0</v>
      </c>
      <c r="H145" s="163">
        <f t="shared" si="27"/>
        <v>0</v>
      </c>
      <c r="I145" s="253">
        <f t="shared" si="28"/>
        <v>0</v>
      </c>
      <c r="J145" s="158">
        <f t="shared" si="31"/>
        <v>0</v>
      </c>
      <c r="K145" s="158"/>
      <c r="L145" s="334"/>
      <c r="M145" s="158">
        <f t="shared" si="32"/>
        <v>0</v>
      </c>
      <c r="N145" s="334"/>
      <c r="O145" s="158">
        <f t="shared" si="33"/>
        <v>0</v>
      </c>
      <c r="P145" s="158">
        <f t="shared" si="34"/>
        <v>0</v>
      </c>
      <c r="Q145" s="1"/>
    </row>
    <row r="146" spans="2:17">
      <c r="B146" s="9" t="str">
        <f t="shared" si="24"/>
        <v/>
      </c>
      <c r="C146" s="153">
        <f>IF(D93="","-",+C145+1)</f>
        <v>2055</v>
      </c>
      <c r="D146" s="154">
        <f>IF(F145+SUM(E$99:E145)=D$92,F145,D$92-SUM(E$99:E145))</f>
        <v>0</v>
      </c>
      <c r="E146" s="160">
        <f>IF(+J96&lt;F145,J96,D146)</f>
        <v>0</v>
      </c>
      <c r="F146" s="159">
        <f t="shared" si="29"/>
        <v>0</v>
      </c>
      <c r="G146" s="159">
        <f t="shared" si="30"/>
        <v>0</v>
      </c>
      <c r="H146" s="163">
        <f t="shared" si="27"/>
        <v>0</v>
      </c>
      <c r="I146" s="253">
        <f t="shared" si="28"/>
        <v>0</v>
      </c>
      <c r="J146" s="158">
        <f t="shared" si="31"/>
        <v>0</v>
      </c>
      <c r="K146" s="158"/>
      <c r="L146" s="334"/>
      <c r="M146" s="158">
        <f t="shared" si="32"/>
        <v>0</v>
      </c>
      <c r="N146" s="334"/>
      <c r="O146" s="158">
        <f t="shared" si="33"/>
        <v>0</v>
      </c>
      <c r="P146" s="158">
        <f t="shared" si="34"/>
        <v>0</v>
      </c>
      <c r="Q146" s="1"/>
    </row>
    <row r="147" spans="2:17">
      <c r="B147" s="9" t="str">
        <f t="shared" si="24"/>
        <v/>
      </c>
      <c r="C147" s="153">
        <f>IF(D93="","-",+C146+1)</f>
        <v>2056</v>
      </c>
      <c r="D147" s="154">
        <f>IF(F146+SUM(E$99:E146)=D$92,F146,D$92-SUM(E$99:E146))</f>
        <v>0</v>
      </c>
      <c r="E147" s="160">
        <f>IF(+J96&lt;F146,J96,D147)</f>
        <v>0</v>
      </c>
      <c r="F147" s="159">
        <f t="shared" si="29"/>
        <v>0</v>
      </c>
      <c r="G147" s="159">
        <f t="shared" si="30"/>
        <v>0</v>
      </c>
      <c r="H147" s="163">
        <f t="shared" si="27"/>
        <v>0</v>
      </c>
      <c r="I147" s="253">
        <f t="shared" si="28"/>
        <v>0</v>
      </c>
      <c r="J147" s="158">
        <f t="shared" si="31"/>
        <v>0</v>
      </c>
      <c r="K147" s="158"/>
      <c r="L147" s="334"/>
      <c r="M147" s="158">
        <f t="shared" si="32"/>
        <v>0</v>
      </c>
      <c r="N147" s="334"/>
      <c r="O147" s="158">
        <f t="shared" si="33"/>
        <v>0</v>
      </c>
      <c r="P147" s="158">
        <f t="shared" si="34"/>
        <v>0</v>
      </c>
      <c r="Q147" s="1"/>
    </row>
    <row r="148" spans="2:17">
      <c r="B148" s="9" t="str">
        <f t="shared" si="24"/>
        <v/>
      </c>
      <c r="C148" s="153">
        <f>IF(D93="","-",+C147+1)</f>
        <v>2057</v>
      </c>
      <c r="D148" s="154">
        <f>IF(F147+SUM(E$99:E147)=D$92,F147,D$92-SUM(E$99:E147))</f>
        <v>0</v>
      </c>
      <c r="E148" s="160">
        <f>IF(+J96&lt;F147,J96,D148)</f>
        <v>0</v>
      </c>
      <c r="F148" s="159">
        <f t="shared" si="29"/>
        <v>0</v>
      </c>
      <c r="G148" s="159">
        <f t="shared" si="30"/>
        <v>0</v>
      </c>
      <c r="H148" s="163">
        <f t="shared" si="27"/>
        <v>0</v>
      </c>
      <c r="I148" s="253">
        <f t="shared" si="28"/>
        <v>0</v>
      </c>
      <c r="J148" s="158">
        <f t="shared" si="31"/>
        <v>0</v>
      </c>
      <c r="K148" s="158"/>
      <c r="L148" s="334"/>
      <c r="M148" s="158">
        <f t="shared" si="32"/>
        <v>0</v>
      </c>
      <c r="N148" s="334"/>
      <c r="O148" s="158">
        <f t="shared" si="33"/>
        <v>0</v>
      </c>
      <c r="P148" s="158">
        <f t="shared" si="34"/>
        <v>0</v>
      </c>
      <c r="Q148" s="1"/>
    </row>
    <row r="149" spans="2:17">
      <c r="B149" s="9" t="str">
        <f t="shared" si="24"/>
        <v/>
      </c>
      <c r="C149" s="153">
        <f>IF(D93="","-",+C148+1)</f>
        <v>2058</v>
      </c>
      <c r="D149" s="154">
        <f>IF(F148+SUM(E$99:E148)=D$92,F148,D$92-SUM(E$99:E148))</f>
        <v>0</v>
      </c>
      <c r="E149" s="160">
        <f>IF(+J96&lt;F148,J96,D149)</f>
        <v>0</v>
      </c>
      <c r="F149" s="159">
        <f t="shared" si="29"/>
        <v>0</v>
      </c>
      <c r="G149" s="159">
        <f t="shared" si="30"/>
        <v>0</v>
      </c>
      <c r="H149" s="163">
        <f t="shared" si="27"/>
        <v>0</v>
      </c>
      <c r="I149" s="253">
        <f t="shared" si="28"/>
        <v>0</v>
      </c>
      <c r="J149" s="158">
        <f t="shared" si="31"/>
        <v>0</v>
      </c>
      <c r="K149" s="158"/>
      <c r="L149" s="334"/>
      <c r="M149" s="158">
        <f t="shared" si="32"/>
        <v>0</v>
      </c>
      <c r="N149" s="334"/>
      <c r="O149" s="158">
        <f t="shared" si="33"/>
        <v>0</v>
      </c>
      <c r="P149" s="158">
        <f t="shared" si="34"/>
        <v>0</v>
      </c>
      <c r="Q149" s="1"/>
    </row>
    <row r="150" spans="2:17">
      <c r="B150" s="9" t="str">
        <f t="shared" si="24"/>
        <v/>
      </c>
      <c r="C150" s="153">
        <f>IF(D93="","-",+C149+1)</f>
        <v>2059</v>
      </c>
      <c r="D150" s="154">
        <f>IF(F149+SUM(E$99:E149)=D$92,F149,D$92-SUM(E$99:E149))</f>
        <v>0</v>
      </c>
      <c r="E150" s="160">
        <f>IF(+J96&lt;F149,J96,D150)</f>
        <v>0</v>
      </c>
      <c r="F150" s="159">
        <f t="shared" si="29"/>
        <v>0</v>
      </c>
      <c r="G150" s="159">
        <f t="shared" si="30"/>
        <v>0</v>
      </c>
      <c r="H150" s="163">
        <f t="shared" si="27"/>
        <v>0</v>
      </c>
      <c r="I150" s="253">
        <f t="shared" si="28"/>
        <v>0</v>
      </c>
      <c r="J150" s="158">
        <f t="shared" si="31"/>
        <v>0</v>
      </c>
      <c r="K150" s="158"/>
      <c r="L150" s="334"/>
      <c r="M150" s="158">
        <f t="shared" si="32"/>
        <v>0</v>
      </c>
      <c r="N150" s="334"/>
      <c r="O150" s="158">
        <f t="shared" si="33"/>
        <v>0</v>
      </c>
      <c r="P150" s="158">
        <f t="shared" si="34"/>
        <v>0</v>
      </c>
      <c r="Q150" s="1"/>
    </row>
    <row r="151" spans="2:17">
      <c r="B151" s="9" t="str">
        <f t="shared" si="24"/>
        <v/>
      </c>
      <c r="C151" s="153">
        <f>IF(D93="","-",+C150+1)</f>
        <v>2060</v>
      </c>
      <c r="D151" s="154">
        <f>IF(F150+SUM(E$99:E150)=D$92,F150,D$92-SUM(E$99:E150))</f>
        <v>0</v>
      </c>
      <c r="E151" s="160">
        <f>IF(+J96&lt;F150,J96,D151)</f>
        <v>0</v>
      </c>
      <c r="F151" s="159">
        <f t="shared" si="29"/>
        <v>0</v>
      </c>
      <c r="G151" s="159">
        <f t="shared" si="30"/>
        <v>0</v>
      </c>
      <c r="H151" s="163">
        <f t="shared" si="27"/>
        <v>0</v>
      </c>
      <c r="I151" s="253">
        <f t="shared" si="28"/>
        <v>0</v>
      </c>
      <c r="J151" s="158">
        <f t="shared" si="31"/>
        <v>0</v>
      </c>
      <c r="K151" s="158"/>
      <c r="L151" s="334"/>
      <c r="M151" s="158">
        <f t="shared" si="32"/>
        <v>0</v>
      </c>
      <c r="N151" s="334"/>
      <c r="O151" s="158">
        <f t="shared" si="33"/>
        <v>0</v>
      </c>
      <c r="P151" s="158">
        <f t="shared" si="34"/>
        <v>0</v>
      </c>
      <c r="Q151" s="1"/>
    </row>
    <row r="152" spans="2:17">
      <c r="B152" s="9" t="str">
        <f t="shared" si="24"/>
        <v/>
      </c>
      <c r="C152" s="153">
        <f>IF(D93="","-",+C151+1)</f>
        <v>2061</v>
      </c>
      <c r="D152" s="154">
        <f>IF(F151+SUM(E$99:E151)=D$92,F151,D$92-SUM(E$99:E151))</f>
        <v>0</v>
      </c>
      <c r="E152" s="160">
        <f>IF(+J96&lt;F151,J96,D152)</f>
        <v>0</v>
      </c>
      <c r="F152" s="159">
        <f t="shared" si="29"/>
        <v>0</v>
      </c>
      <c r="G152" s="159">
        <f t="shared" si="30"/>
        <v>0</v>
      </c>
      <c r="H152" s="163">
        <f t="shared" si="27"/>
        <v>0</v>
      </c>
      <c r="I152" s="253">
        <f t="shared" si="28"/>
        <v>0</v>
      </c>
      <c r="J152" s="158">
        <f t="shared" si="31"/>
        <v>0</v>
      </c>
      <c r="K152" s="158"/>
      <c r="L152" s="334"/>
      <c r="M152" s="158">
        <f t="shared" si="32"/>
        <v>0</v>
      </c>
      <c r="N152" s="334"/>
      <c r="O152" s="158">
        <f t="shared" si="33"/>
        <v>0</v>
      </c>
      <c r="P152" s="158">
        <f t="shared" si="34"/>
        <v>0</v>
      </c>
      <c r="Q152" s="1"/>
    </row>
    <row r="153" spans="2:17">
      <c r="B153" s="9" t="str">
        <f t="shared" si="24"/>
        <v/>
      </c>
      <c r="C153" s="153">
        <f>IF(D93="","-",+C152+1)</f>
        <v>2062</v>
      </c>
      <c r="D153" s="154">
        <f>IF(F152+SUM(E$99:E152)=D$92,F152,D$92-SUM(E$99:E152))</f>
        <v>0</v>
      </c>
      <c r="E153" s="160">
        <f>IF(+J96&lt;F152,J96,D153)</f>
        <v>0</v>
      </c>
      <c r="F153" s="159">
        <f t="shared" si="29"/>
        <v>0</v>
      </c>
      <c r="G153" s="159">
        <f t="shared" si="30"/>
        <v>0</v>
      </c>
      <c r="H153" s="163">
        <f t="shared" si="27"/>
        <v>0</v>
      </c>
      <c r="I153" s="253">
        <f t="shared" si="28"/>
        <v>0</v>
      </c>
      <c r="J153" s="158">
        <f t="shared" si="31"/>
        <v>0</v>
      </c>
      <c r="K153" s="158"/>
      <c r="L153" s="334"/>
      <c r="M153" s="158">
        <f t="shared" si="32"/>
        <v>0</v>
      </c>
      <c r="N153" s="334"/>
      <c r="O153" s="158">
        <f t="shared" si="33"/>
        <v>0</v>
      </c>
      <c r="P153" s="158">
        <f t="shared" si="34"/>
        <v>0</v>
      </c>
      <c r="Q153" s="1"/>
    </row>
    <row r="154" spans="2:17" ht="13.5" thickBot="1">
      <c r="B154" s="9" t="str">
        <f t="shared" si="24"/>
        <v/>
      </c>
      <c r="C154" s="164">
        <f>IF(D93="","-",+C153+1)</f>
        <v>2063</v>
      </c>
      <c r="D154" s="215">
        <f>IF(F153+SUM(E$99:E153)=D$92,F153,D$92-SUM(E$99:E153))</f>
        <v>0</v>
      </c>
      <c r="E154" s="166">
        <f>IF(+J96&lt;F153,J96,D154)</f>
        <v>0</v>
      </c>
      <c r="F154" s="165">
        <f t="shared" si="29"/>
        <v>0</v>
      </c>
      <c r="G154" s="165">
        <f t="shared" si="30"/>
        <v>0</v>
      </c>
      <c r="H154" s="167">
        <f t="shared" si="27"/>
        <v>0</v>
      </c>
      <c r="I154" s="254">
        <f t="shared" si="28"/>
        <v>0</v>
      </c>
      <c r="J154" s="169">
        <f t="shared" si="31"/>
        <v>0</v>
      </c>
      <c r="K154" s="158"/>
      <c r="L154" s="335"/>
      <c r="M154" s="169">
        <f t="shared" si="32"/>
        <v>0</v>
      </c>
      <c r="N154" s="335"/>
      <c r="O154" s="169">
        <f t="shared" si="33"/>
        <v>0</v>
      </c>
      <c r="P154" s="169">
        <f t="shared" si="34"/>
        <v>0</v>
      </c>
      <c r="Q154" s="1"/>
    </row>
    <row r="155" spans="2:17">
      <c r="C155" s="154" t="s">
        <v>73</v>
      </c>
      <c r="D155" s="111"/>
      <c r="E155" s="111">
        <f>SUM(E99:E154)</f>
        <v>389326</v>
      </c>
      <c r="F155" s="111"/>
      <c r="G155" s="111"/>
      <c r="H155" s="111">
        <f>SUM(H99:H154)</f>
        <v>1430677.5645973033</v>
      </c>
      <c r="I155" s="111">
        <f>SUM(I99:I154)</f>
        <v>1430677.5645973033</v>
      </c>
      <c r="J155" s="111">
        <f>SUM(J99:J154)</f>
        <v>0</v>
      </c>
      <c r="K155" s="111"/>
      <c r="L155" s="111"/>
      <c r="M155" s="111"/>
      <c r="N155" s="111"/>
      <c r="O155" s="111"/>
      <c r="P155" s="1"/>
      <c r="Q155" s="1"/>
    </row>
    <row r="156" spans="2:17">
      <c r="D156" s="2"/>
      <c r="E156" s="1"/>
      <c r="F156" s="1"/>
      <c r="G156" s="1"/>
      <c r="H156" s="1"/>
      <c r="I156" s="3"/>
      <c r="J156" s="3"/>
      <c r="K156" s="111"/>
      <c r="L156" s="3"/>
      <c r="M156" s="3"/>
      <c r="N156" s="3"/>
      <c r="O156" s="3"/>
      <c r="P156" s="1"/>
      <c r="Q156" s="1"/>
    </row>
    <row r="157" spans="2:17">
      <c r="C157" s="216" t="s">
        <v>87</v>
      </c>
      <c r="D157" s="2"/>
      <c r="E157" s="1"/>
      <c r="F157" s="1"/>
      <c r="G157" s="1"/>
      <c r="H157" s="1"/>
      <c r="I157" s="3"/>
      <c r="J157" s="3"/>
      <c r="K157" s="111"/>
      <c r="L157" s="3"/>
      <c r="M157" s="3"/>
      <c r="N157" s="3"/>
      <c r="O157" s="3"/>
      <c r="P157" s="1"/>
      <c r="Q157" s="1"/>
    </row>
    <row r="158" spans="2:17">
      <c r="D158" s="2"/>
      <c r="E158" s="1"/>
      <c r="F158" s="1"/>
      <c r="G158" s="1"/>
      <c r="H158" s="1"/>
      <c r="I158" s="3"/>
      <c r="J158" s="3"/>
      <c r="K158" s="111"/>
      <c r="L158" s="3"/>
      <c r="M158" s="3"/>
      <c r="N158" s="3"/>
      <c r="O158" s="3"/>
      <c r="P158" s="1"/>
      <c r="Q158" s="1"/>
    </row>
    <row r="159" spans="2:17">
      <c r="C159" s="170" t="s">
        <v>92</v>
      </c>
      <c r="D159" s="154"/>
      <c r="E159" s="154"/>
      <c r="F159" s="154"/>
      <c r="G159" s="154"/>
      <c r="H159" s="111"/>
      <c r="I159" s="111"/>
      <c r="J159" s="171"/>
      <c r="K159" s="171"/>
      <c r="L159" s="171"/>
      <c r="M159" s="171"/>
      <c r="N159" s="171"/>
      <c r="O159" s="171"/>
      <c r="P159" s="1"/>
      <c r="Q159" s="1"/>
    </row>
    <row r="160" spans="2:17">
      <c r="C160" s="217" t="s">
        <v>74</v>
      </c>
      <c r="D160" s="154"/>
      <c r="E160" s="154"/>
      <c r="F160" s="154"/>
      <c r="G160" s="154"/>
      <c r="H160" s="111"/>
      <c r="I160" s="111"/>
      <c r="J160" s="171"/>
      <c r="K160" s="171"/>
      <c r="L160" s="171"/>
      <c r="M160" s="171"/>
      <c r="N160" s="171"/>
      <c r="O160" s="171"/>
      <c r="P160" s="1"/>
      <c r="Q160" s="1"/>
    </row>
    <row r="161" spans="3:17">
      <c r="C161" s="217" t="s">
        <v>75</v>
      </c>
      <c r="D161" s="154"/>
      <c r="E161" s="154"/>
      <c r="F161" s="154"/>
      <c r="G161" s="154"/>
      <c r="H161" s="111"/>
      <c r="I161" s="111"/>
      <c r="J161" s="171"/>
      <c r="K161" s="171"/>
      <c r="L161" s="171"/>
      <c r="M161" s="171"/>
      <c r="N161" s="171"/>
      <c r="O161" s="171"/>
      <c r="P161" s="1"/>
      <c r="Q161" s="1"/>
    </row>
    <row r="162" spans="3:17" ht="18">
      <c r="C162" s="217"/>
      <c r="D162" s="154"/>
      <c r="E162" s="154"/>
      <c r="F162" s="154"/>
      <c r="G162" s="154"/>
      <c r="H162" s="111"/>
      <c r="I162" s="111"/>
      <c r="J162" s="171"/>
      <c r="K162" s="171"/>
      <c r="L162" s="171"/>
      <c r="M162" s="171"/>
      <c r="N162" s="171"/>
      <c r="P162" s="237" t="s">
        <v>126</v>
      </c>
      <c r="Q162" s="1"/>
    </row>
  </sheetData>
  <phoneticPr fontId="0" type="noConversion"/>
  <conditionalFormatting sqref="C17:C72">
    <cfRule type="cellIs" dxfId="133" priority="1" stopIfTrue="1" operator="equal">
      <formula>$I$10</formula>
    </cfRule>
  </conditionalFormatting>
  <conditionalFormatting sqref="C99:C154">
    <cfRule type="cellIs" dxfId="132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8"/>
  <dimension ref="A1:R131"/>
  <sheetViews>
    <sheetView zoomScale="80" zoomScaleNormal="80" zoomScaleSheetLayoutView="75" workbookViewId="0">
      <selection sqref="A1:I1"/>
    </sheetView>
  </sheetViews>
  <sheetFormatPr defaultRowHeight="12.75" customHeight="1"/>
  <cols>
    <col min="1" max="1" width="11.85546875" customWidth="1"/>
    <col min="2" max="2" width="6.7109375" customWidth="1"/>
    <col min="3" max="3" width="23.28515625" customWidth="1"/>
    <col min="4" max="4" width="17.7109375" customWidth="1"/>
    <col min="5" max="5" width="22" customWidth="1"/>
    <col min="6" max="8" width="17.7109375" customWidth="1"/>
    <col min="9" max="9" width="16.140625" customWidth="1"/>
    <col min="10" max="10" width="17.7109375" customWidth="1"/>
    <col min="11" max="11" width="16.140625" customWidth="1"/>
    <col min="12" max="12" width="17.7109375" customWidth="1"/>
    <col min="13" max="13" width="16.7109375" customWidth="1"/>
    <col min="14" max="14" width="16.85546875" customWidth="1"/>
    <col min="15" max="15" width="3.5703125" bestFit="1" customWidth="1"/>
    <col min="16" max="16" width="14.28515625" customWidth="1"/>
    <col min="17" max="17" width="15.42578125" customWidth="1"/>
    <col min="18" max="18" width="81.85546875" bestFit="1" customWidth="1"/>
    <col min="22" max="22" width="9.140625" customWidth="1"/>
  </cols>
  <sheetData>
    <row r="1" spans="1:17" ht="18">
      <c r="A1" s="485" t="s">
        <v>105</v>
      </c>
      <c r="B1" s="486"/>
      <c r="C1" s="486"/>
      <c r="D1" s="486"/>
      <c r="E1" s="486"/>
      <c r="F1" s="486"/>
      <c r="G1" s="486"/>
      <c r="H1" s="486"/>
      <c r="I1" s="486"/>
    </row>
    <row r="2" spans="1:17" ht="18">
      <c r="A2" s="487" t="str">
        <f>"Actual/Projected "&amp;K17&amp;" Rate Year Cost of Service Formula Rate"</f>
        <v>Actual/Projected 2019 Rate Year Cost of Service Formula Rate</v>
      </c>
      <c r="B2" s="487"/>
      <c r="C2" s="487"/>
      <c r="D2" s="487"/>
      <c r="E2" s="487"/>
      <c r="F2" s="487"/>
      <c r="G2" s="487"/>
      <c r="H2" s="487"/>
      <c r="I2" s="487"/>
    </row>
    <row r="3" spans="1:17" ht="18">
      <c r="A3" s="488" t="s">
        <v>120</v>
      </c>
      <c r="B3" s="487"/>
      <c r="C3" s="487"/>
      <c r="D3" s="487"/>
      <c r="E3" s="487"/>
      <c r="F3" s="487"/>
      <c r="G3" s="487"/>
      <c r="H3" s="487"/>
      <c r="I3" s="487"/>
      <c r="P3" s="459" t="s">
        <v>478</v>
      </c>
    </row>
    <row r="4" spans="1:17" ht="18">
      <c r="A4" s="489" t="str">
        <f>+SWE.Sch.11.Rates!H7</f>
        <v>SOUTHWESTERN ELECTRIC POWER COMPANY</v>
      </c>
      <c r="B4" s="490"/>
      <c r="C4" s="490"/>
      <c r="D4" s="490"/>
      <c r="E4" s="490"/>
      <c r="F4" s="490"/>
      <c r="G4" s="490"/>
      <c r="H4" s="490"/>
      <c r="I4" s="490"/>
      <c r="Q4" s="336"/>
    </row>
    <row r="5" spans="1:17">
      <c r="D5" s="9"/>
      <c r="H5" s="10"/>
    </row>
    <row r="6" spans="1:17" ht="37.5" customHeight="1">
      <c r="A6" s="464" t="s">
        <v>480</v>
      </c>
      <c r="B6" s="5" t="s">
        <v>0</v>
      </c>
      <c r="C6" s="483" t="str">
        <f>"Calculate Return and Income Taxes with "&amp;F11&amp;" basis point ROE increase for Projects Qualified for Incentive."</f>
        <v>Calculate Return and Income Taxes with 0 basis point ROE increase for Projects Qualified for Incentive.</v>
      </c>
      <c r="D6" s="484"/>
      <c r="E6" s="484"/>
      <c r="F6" s="484"/>
      <c r="G6" s="484"/>
      <c r="H6" s="484"/>
      <c r="J6" s="491" t="s">
        <v>477</v>
      </c>
      <c r="K6" s="491"/>
      <c r="L6" s="491"/>
      <c r="M6" s="491"/>
      <c r="N6" s="491"/>
    </row>
    <row r="7" spans="1:17">
      <c r="A7" s="464" t="s">
        <v>481</v>
      </c>
      <c r="D7" s="9"/>
      <c r="H7" s="10"/>
      <c r="J7" s="491"/>
      <c r="K7" s="491"/>
      <c r="L7" s="491"/>
      <c r="M7" s="491"/>
      <c r="N7" s="491"/>
    </row>
    <row r="8" spans="1:17" ht="15.75">
      <c r="A8" s="18"/>
      <c r="C8" s="8" t="str">
        <f>"A.   Determine 'R' with hypothetical "&amp;F11&amp;" basis point increase in ROE for Identified Projects"</f>
        <v>A.   Determine 'R' with hypothetical 0 basis point increase in ROE for Identified Projects</v>
      </c>
      <c r="D8" s="9"/>
      <c r="H8" s="10"/>
      <c r="J8" s="491"/>
      <c r="K8" s="491"/>
      <c r="L8" s="491"/>
      <c r="M8" s="491"/>
      <c r="N8" s="491"/>
    </row>
    <row r="9" spans="1:17">
      <c r="A9" s="18"/>
      <c r="D9" s="9"/>
      <c r="H9" s="10"/>
    </row>
    <row r="10" spans="1:17">
      <c r="A10" s="59">
        <v>1</v>
      </c>
      <c r="C10" s="11" t="str">
        <f>R99</f>
        <v xml:space="preserve">   ROE w/o incentives  (TCOS, ln 141)</v>
      </c>
      <c r="D10" s="9"/>
      <c r="E10" s="12"/>
      <c r="F10" s="13">
        <f>+Q99</f>
        <v>0.105</v>
      </c>
      <c r="G10" s="14"/>
      <c r="H10" s="15"/>
      <c r="I10" s="16"/>
      <c r="J10" s="16"/>
      <c r="K10" s="16"/>
      <c r="L10" s="16"/>
      <c r="M10" s="16"/>
      <c r="N10" s="12"/>
      <c r="O10" s="16"/>
      <c r="P10" s="1"/>
    </row>
    <row r="11" spans="1:17" ht="14.25">
      <c r="A11" s="59">
        <f>+A10+1</f>
        <v>2</v>
      </c>
      <c r="C11" s="11" t="s">
        <v>1</v>
      </c>
      <c r="D11" s="9"/>
      <c r="E11" s="12"/>
      <c r="F11" s="460">
        <f>+Q100</f>
        <v>0</v>
      </c>
      <c r="G11" t="s">
        <v>150</v>
      </c>
      <c r="J11" s="16"/>
      <c r="K11" s="16"/>
      <c r="L11" s="16"/>
      <c r="M11" s="16"/>
      <c r="N11" s="12"/>
      <c r="O11" s="16"/>
      <c r="P11" s="1"/>
    </row>
    <row r="12" spans="1:17" ht="13.5" thickBot="1">
      <c r="A12" s="59">
        <f>+A11+1</f>
        <v>3</v>
      </c>
      <c r="C12" s="11" t="str">
        <f>"   ROE with additional "&amp;F11&amp;" basis point incentive"</f>
        <v xml:space="preserve">   ROE with additional 0 basis point incentive</v>
      </c>
      <c r="D12" s="12"/>
      <c r="E12" s="12"/>
      <c r="F12" s="19">
        <f>IF((F10+(F11/10000)&gt;0.1245),"ERROR",F10+(F11/10000))</f>
        <v>0.105</v>
      </c>
      <c r="G12" s="20" t="s">
        <v>476</v>
      </c>
      <c r="H12" s="16"/>
      <c r="I12" s="16"/>
      <c r="J12" s="16"/>
      <c r="K12" s="16"/>
      <c r="L12" s="16"/>
      <c r="M12" s="16"/>
      <c r="N12" s="12"/>
      <c r="O12" s="16"/>
      <c r="P12" s="1"/>
    </row>
    <row r="13" spans="1:17">
      <c r="A13" s="59">
        <f t="shared" ref="A13:A18" si="0">+A12+1</f>
        <v>4</v>
      </c>
      <c r="C13" s="11" t="s">
        <v>479</v>
      </c>
      <c r="D13" s="9"/>
      <c r="E13" s="12"/>
      <c r="F13" s="19"/>
      <c r="G13" s="12"/>
      <c r="H13" s="16"/>
      <c r="I13" s="16"/>
      <c r="J13" s="477" t="s">
        <v>2</v>
      </c>
      <c r="K13" s="478"/>
      <c r="L13" s="478"/>
      <c r="M13" s="478"/>
      <c r="N13" s="479"/>
      <c r="O13" s="16"/>
      <c r="P13" s="1"/>
    </row>
    <row r="14" spans="1:17">
      <c r="A14" s="59">
        <f t="shared" si="0"/>
        <v>5</v>
      </c>
      <c r="C14" s="17"/>
      <c r="D14" s="22" t="s">
        <v>3</v>
      </c>
      <c r="E14" s="22" t="s">
        <v>4</v>
      </c>
      <c r="F14" s="23" t="s">
        <v>5</v>
      </c>
      <c r="G14" s="12"/>
      <c r="H14" s="16"/>
      <c r="I14" s="16"/>
      <c r="J14" s="480"/>
      <c r="K14" s="481"/>
      <c r="L14" s="481"/>
      <c r="M14" s="481"/>
      <c r="N14" s="482"/>
      <c r="O14" s="16"/>
      <c r="P14" s="1"/>
    </row>
    <row r="15" spans="1:17">
      <c r="A15" s="59">
        <f t="shared" si="0"/>
        <v>6</v>
      </c>
      <c r="C15" s="24" t="s">
        <v>6</v>
      </c>
      <c r="D15" s="25">
        <f>+Q101</f>
        <v>0.53322994680523572</v>
      </c>
      <c r="E15" s="463">
        <f>+Q102</f>
        <v>4.5858083034810274E-2</v>
      </c>
      <c r="F15" s="461">
        <f>E15*D15</f>
        <v>2.4452903177241966E-2</v>
      </c>
      <c r="G15" s="12"/>
      <c r="H15" s="16"/>
      <c r="I15" s="27"/>
      <c r="J15" s="29"/>
      <c r="K15" s="30"/>
      <c r="L15" s="17" t="s">
        <v>7</v>
      </c>
      <c r="M15" s="17" t="s">
        <v>8</v>
      </c>
      <c r="N15" s="31" t="s">
        <v>9</v>
      </c>
      <c r="O15" s="16"/>
      <c r="P15" s="1"/>
    </row>
    <row r="16" spans="1:17">
      <c r="A16" s="59">
        <f t="shared" si="0"/>
        <v>7</v>
      </c>
      <c r="C16" s="24" t="s">
        <v>10</v>
      </c>
      <c r="D16" s="25">
        <f>+Q103</f>
        <v>0</v>
      </c>
      <c r="E16" s="463">
        <f>+Q104</f>
        <v>0</v>
      </c>
      <c r="F16" s="461">
        <f>E16*D16</f>
        <v>0</v>
      </c>
      <c r="G16" s="33"/>
      <c r="H16" s="33"/>
      <c r="I16" s="34"/>
      <c r="J16" s="36"/>
      <c r="K16" s="7"/>
      <c r="L16" s="7"/>
      <c r="M16" s="7"/>
      <c r="N16" s="37"/>
      <c r="O16" s="33"/>
      <c r="P16" s="1"/>
    </row>
    <row r="17" spans="1:16" ht="13.5" thickBot="1">
      <c r="A17" s="59">
        <f t="shared" si="0"/>
        <v>8</v>
      </c>
      <c r="C17" s="38" t="s">
        <v>11</v>
      </c>
      <c r="D17" s="25">
        <f>+Q105</f>
        <v>0.46677005319476422</v>
      </c>
      <c r="E17" s="463">
        <f>+F12</f>
        <v>0.105</v>
      </c>
      <c r="F17" s="462">
        <f>E17*D17</f>
        <v>4.9010855585450243E-2</v>
      </c>
      <c r="G17" s="33"/>
      <c r="H17" s="33"/>
      <c r="I17" s="19"/>
      <c r="J17" s="39" t="s">
        <v>12</v>
      </c>
      <c r="K17" s="221">
        <f>Q98</f>
        <v>2019</v>
      </c>
      <c r="L17" s="41">
        <f>SUM('S.001:S.xyz - blank'!N5)</f>
        <v>77320357.685329109</v>
      </c>
      <c r="M17" s="41">
        <f>SUM('S.001:S.xyz - blank'!N6)</f>
        <v>77320357.685329109</v>
      </c>
      <c r="N17" s="42">
        <f>+M17-L17</f>
        <v>0</v>
      </c>
      <c r="O17" s="34"/>
      <c r="P17" s="1"/>
    </row>
    <row r="18" spans="1:16">
      <c r="A18" s="59">
        <f t="shared" si="0"/>
        <v>9</v>
      </c>
      <c r="C18" s="11"/>
      <c r="D18" s="12"/>
      <c r="E18" s="43" t="s">
        <v>13</v>
      </c>
      <c r="F18" s="461">
        <f>SUM(F15:F17)</f>
        <v>7.3463758762692205E-2</v>
      </c>
      <c r="G18" s="33"/>
      <c r="H18" s="33"/>
      <c r="I18" s="34"/>
      <c r="L18" s="226" t="str">
        <f>IF(L17=SUM('S.001:S.xyz - blank'!N5),"","ERROR")</f>
        <v/>
      </c>
      <c r="M18" s="226" t="str">
        <f>IF(M17=SUM('S.001:S.xyz - blank'!N6),"","ERROR")</f>
        <v/>
      </c>
      <c r="N18" s="226" t="str">
        <f>IF(N17=SUM('S.001:S.xyz - blank'!N7),"","ERROR")</f>
        <v/>
      </c>
      <c r="O18" s="33"/>
      <c r="P18" s="1"/>
    </row>
    <row r="19" spans="1:16">
      <c r="D19" s="44"/>
      <c r="E19" s="44"/>
      <c r="F19" s="33"/>
      <c r="G19" s="33"/>
      <c r="H19" s="33"/>
      <c r="I19" s="33"/>
      <c r="J19" s="46" t="s">
        <v>14</v>
      </c>
      <c r="O19" s="33"/>
      <c r="P19" s="1"/>
    </row>
    <row r="20" spans="1:16" ht="15.75">
      <c r="C20" s="8" t="str">
        <f>"B.   Determine Return using 'R' with hypothetical "&amp;F11&amp;" basis point ROE increase for Identified Projects."</f>
        <v>B.   Determine Return using 'R' with hypothetical 0 basis point ROE increase for Identified Projects.</v>
      </c>
      <c r="D20" s="44"/>
      <c r="E20" s="44"/>
      <c r="F20" s="47"/>
      <c r="G20" s="33"/>
      <c r="H20" s="12"/>
      <c r="I20" s="33"/>
      <c r="J20" t="s">
        <v>15</v>
      </c>
      <c r="O20" s="33"/>
      <c r="P20" s="1"/>
    </row>
    <row r="21" spans="1:16">
      <c r="C21" s="17"/>
      <c r="D21" s="44"/>
      <c r="E21" s="44"/>
      <c r="F21" s="45"/>
      <c r="G21" s="45"/>
      <c r="H21" s="45"/>
      <c r="I21" s="45"/>
      <c r="J21" s="34"/>
      <c r="K21" s="32"/>
      <c r="L21" s="48"/>
      <c r="M21" s="34"/>
      <c r="N21" s="33"/>
      <c r="O21" s="45"/>
      <c r="P21" s="4"/>
    </row>
    <row r="22" spans="1:16">
      <c r="A22" s="59">
        <f>+A18+1</f>
        <v>10</v>
      </c>
      <c r="C22" s="11" t="str">
        <f>+R106</f>
        <v xml:space="preserve">   Rate Base  (TCOS, ln 62)</v>
      </c>
      <c r="D22" s="12"/>
      <c r="E22" s="49">
        <f>+Q106</f>
        <v>1053463227.933851</v>
      </c>
      <c r="F22" s="50"/>
      <c r="G22" s="45"/>
      <c r="H22" s="45"/>
      <c r="I22" s="45"/>
      <c r="J22" s="45"/>
      <c r="K22" s="45"/>
      <c r="L22" s="45"/>
      <c r="M22" s="45"/>
      <c r="N22" s="45"/>
      <c r="O22" s="50"/>
      <c r="P22" s="4"/>
    </row>
    <row r="23" spans="1:16">
      <c r="A23" s="59">
        <f t="shared" ref="A23:A35" si="1">+A22+1</f>
        <v>11</v>
      </c>
      <c r="C23" s="17" t="s">
        <v>16</v>
      </c>
      <c r="D23" s="14"/>
      <c r="E23" s="51">
        <f>F18</f>
        <v>7.3463758762692205E-2</v>
      </c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"/>
    </row>
    <row r="24" spans="1:16">
      <c r="A24" s="59">
        <f t="shared" si="1"/>
        <v>12</v>
      </c>
      <c r="C24" s="52" t="s">
        <v>17</v>
      </c>
      <c r="D24" s="52"/>
      <c r="E24" s="34">
        <f>E22*E23</f>
        <v>77391368.442299455</v>
      </c>
      <c r="F24" s="45"/>
      <c r="G24" s="45"/>
      <c r="H24" s="45"/>
      <c r="I24" s="35"/>
      <c r="J24" s="35"/>
      <c r="K24" s="35"/>
      <c r="L24" s="35"/>
      <c r="M24" s="35"/>
      <c r="N24" s="45"/>
      <c r="O24" s="45"/>
      <c r="P24" s="4"/>
    </row>
    <row r="25" spans="1:16">
      <c r="A25" s="59"/>
      <c r="C25" s="53"/>
      <c r="D25" s="16"/>
      <c r="E25" s="16"/>
      <c r="F25" s="45"/>
      <c r="G25" s="45"/>
      <c r="H25" s="45"/>
      <c r="I25" s="35"/>
      <c r="J25" s="35"/>
      <c r="K25" s="35"/>
      <c r="L25" s="35"/>
      <c r="M25" s="35"/>
      <c r="N25" s="45"/>
      <c r="O25" s="45"/>
      <c r="P25" s="4"/>
    </row>
    <row r="26" spans="1:16" ht="15.75">
      <c r="A26" s="59"/>
      <c r="C26" s="8" t="str">
        <f>"C.   Determine Income Taxes using Return with hypothetical "&amp;F11&amp;" basis point ROE increase for Identified Projects."</f>
        <v>C.   Determine Income Taxes using Return with hypothetical 0 basis point ROE increase for Identified Projects.</v>
      </c>
      <c r="D26" s="54"/>
      <c r="E26" s="54"/>
      <c r="F26" s="55"/>
      <c r="G26" s="55"/>
      <c r="H26" s="55"/>
      <c r="I26" s="56"/>
      <c r="J26" s="56"/>
      <c r="K26" s="56"/>
      <c r="L26" s="56"/>
      <c r="M26" s="56"/>
      <c r="N26" s="55"/>
      <c r="O26" s="55"/>
      <c r="P26" s="4"/>
    </row>
    <row r="27" spans="1:16">
      <c r="A27" s="59"/>
      <c r="C27" s="11"/>
      <c r="D27" s="16"/>
      <c r="E27" s="16"/>
      <c r="F27" s="45"/>
      <c r="G27" s="45"/>
      <c r="H27" s="45"/>
      <c r="I27" s="35"/>
      <c r="J27" s="35"/>
      <c r="K27" s="35"/>
      <c r="L27" s="35"/>
      <c r="M27" s="35"/>
      <c r="N27" s="45"/>
      <c r="O27" s="45"/>
      <c r="P27" s="4"/>
    </row>
    <row r="28" spans="1:16">
      <c r="A28" s="59">
        <f>+A24+1</f>
        <v>13</v>
      </c>
      <c r="C28" s="17" t="s">
        <v>18</v>
      </c>
      <c r="D28" s="43"/>
      <c r="E28" s="57">
        <f>E24</f>
        <v>77391368.442299455</v>
      </c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"/>
    </row>
    <row r="29" spans="1:16">
      <c r="A29" s="59">
        <f t="shared" si="1"/>
        <v>14</v>
      </c>
      <c r="C29" s="11" t="str">
        <f>+R107</f>
        <v xml:space="preserve">   Tax Rate  (TCOS, ln 97)</v>
      </c>
      <c r="D29" s="43"/>
      <c r="E29" s="58">
        <f>+Q107</f>
        <v>0.24720900000000001</v>
      </c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"/>
    </row>
    <row r="30" spans="1:16">
      <c r="A30" s="59">
        <f t="shared" si="1"/>
        <v>15</v>
      </c>
      <c r="C30" s="17" t="s">
        <v>19</v>
      </c>
      <c r="D30" s="2"/>
      <c r="E30" s="19">
        <f>IF(F15&gt;0,($E29/(1-$E29))*(1-$F15/$F18),0)</f>
        <v>0.21908316101814809</v>
      </c>
      <c r="F30" s="1"/>
      <c r="G30" s="19"/>
      <c r="H30" s="3"/>
      <c r="I30" s="1"/>
      <c r="J30" s="1"/>
      <c r="K30" s="1"/>
      <c r="L30" s="1"/>
      <c r="M30" s="1"/>
      <c r="N30" s="1"/>
      <c r="O30" s="1"/>
      <c r="P30" s="1"/>
    </row>
    <row r="31" spans="1:16">
      <c r="A31" s="59">
        <f t="shared" si="1"/>
        <v>16</v>
      </c>
      <c r="C31" s="52" t="s">
        <v>20</v>
      </c>
      <c r="D31" s="59"/>
      <c r="E31" s="60">
        <f>E28*E30</f>
        <v>16955145.633859117</v>
      </c>
      <c r="F31" s="60"/>
      <c r="G31" s="1"/>
      <c r="H31" s="3"/>
      <c r="I31" s="1"/>
      <c r="J31" s="1"/>
      <c r="K31" s="1"/>
      <c r="L31" s="1"/>
      <c r="M31" s="1"/>
      <c r="N31" s="1"/>
      <c r="O31" s="1"/>
      <c r="P31" s="1"/>
    </row>
    <row r="32" spans="1:16" ht="15">
      <c r="A32" s="59">
        <f t="shared" si="1"/>
        <v>17</v>
      </c>
      <c r="C32" s="11" t="str">
        <f>+R108</f>
        <v xml:space="preserve">   ITC Adjustment  (TCOS, ln 106)</v>
      </c>
      <c r="D32" s="62"/>
      <c r="E32" s="65">
        <f>+Q108</f>
        <v>-264343.23117449007</v>
      </c>
      <c r="F32" s="62"/>
      <c r="G32" s="62"/>
      <c r="H32" s="62"/>
      <c r="I32" s="62"/>
      <c r="J32" s="62"/>
      <c r="K32" s="62"/>
      <c r="L32" s="62"/>
      <c r="M32" s="62"/>
      <c r="N32" s="62"/>
      <c r="O32" s="64"/>
      <c r="P32" s="62"/>
    </row>
    <row r="33" spans="1:18" ht="15">
      <c r="A33" s="59">
        <f t="shared" si="1"/>
        <v>18</v>
      </c>
      <c r="C33" s="11" t="str">
        <f>+R109</f>
        <v xml:space="preserve">   Excess DFIT Adjustment  (TCOS, ln 107)</v>
      </c>
      <c r="D33" s="62"/>
      <c r="E33" s="65">
        <f>+Q109</f>
        <v>-6875438.2026352603</v>
      </c>
      <c r="F33" s="62"/>
      <c r="G33" s="62"/>
      <c r="H33" s="62"/>
      <c r="I33" s="62"/>
      <c r="J33" s="62"/>
      <c r="K33" s="62"/>
      <c r="L33" s="62"/>
      <c r="M33" s="62"/>
      <c r="N33" s="62"/>
      <c r="O33" s="64"/>
      <c r="P33" s="62"/>
    </row>
    <row r="34" spans="1:18" ht="15">
      <c r="A34" s="59">
        <f t="shared" si="1"/>
        <v>19</v>
      </c>
      <c r="C34" s="11" t="str">
        <f>+R110</f>
        <v xml:space="preserve">   Tax Effect of Permanent and Flow Through Differences  (TCOS, ln 108)</v>
      </c>
      <c r="D34" s="62"/>
      <c r="E34" s="63">
        <f>+Q110</f>
        <v>324711.63975127228</v>
      </c>
      <c r="F34" s="62"/>
      <c r="G34" s="62"/>
      <c r="H34" s="62"/>
      <c r="I34" s="62"/>
      <c r="J34" s="62"/>
      <c r="K34" s="62"/>
      <c r="L34" s="62"/>
      <c r="M34" s="62"/>
      <c r="N34" s="62"/>
      <c r="O34" s="64"/>
      <c r="P34" s="62"/>
    </row>
    <row r="35" spans="1:18" ht="15">
      <c r="A35" s="59">
        <f t="shared" si="1"/>
        <v>20</v>
      </c>
      <c r="C35" s="53" t="s">
        <v>21</v>
      </c>
      <c r="D35" s="62"/>
      <c r="E35" s="65">
        <f>E31+E32+E33+E34</f>
        <v>10140075.839800639</v>
      </c>
      <c r="F35" s="62"/>
      <c r="G35" s="62"/>
      <c r="H35" s="62"/>
      <c r="I35" s="62"/>
      <c r="J35" s="62"/>
      <c r="K35" s="62"/>
      <c r="L35" s="62"/>
      <c r="M35" s="62"/>
      <c r="N35" s="62"/>
      <c r="O35" s="66"/>
      <c r="P35" s="62"/>
    </row>
    <row r="36" spans="1:18" ht="12.75" customHeight="1">
      <c r="C36" s="67"/>
      <c r="D36" s="62"/>
      <c r="E36" s="62"/>
      <c r="F36" s="62"/>
      <c r="G36" s="62"/>
      <c r="H36" s="62"/>
      <c r="I36" s="62"/>
      <c r="J36" s="62"/>
      <c r="K36" s="62"/>
      <c r="L36" s="62"/>
      <c r="M36" s="62"/>
      <c r="N36" s="62"/>
      <c r="O36" s="66"/>
      <c r="P36" s="62"/>
      <c r="Q36" s="1"/>
      <c r="R36" s="1"/>
    </row>
    <row r="37" spans="1:18" ht="18.75">
      <c r="B37" s="5" t="s">
        <v>22</v>
      </c>
      <c r="C37" s="68" t="str">
        <f>"Calculate Net Plant Carrying Charge Rate (Fixed Charge Rate or FCR) with hypothetical "&amp;F11&amp;" basis point"</f>
        <v>Calculate Net Plant Carrying Charge Rate (Fixed Charge Rate or FCR) with hypothetical 0 basis point</v>
      </c>
      <c r="D37" s="62"/>
      <c r="E37" s="62"/>
      <c r="F37" s="62"/>
      <c r="G37" s="62"/>
      <c r="H37" s="62"/>
      <c r="I37" s="62"/>
      <c r="J37" s="62"/>
      <c r="K37" s="62"/>
      <c r="L37" s="62"/>
      <c r="M37" s="62"/>
      <c r="N37" s="62"/>
      <c r="O37" s="66"/>
      <c r="P37" s="62"/>
      <c r="Q37" s="1"/>
      <c r="R37" s="1"/>
    </row>
    <row r="38" spans="1:18" ht="15.75" customHeight="1">
      <c r="B38" s="5"/>
      <c r="C38" s="68" t="str">
        <f>"ROE increase."</f>
        <v>ROE increase.</v>
      </c>
      <c r="D38" s="62"/>
      <c r="E38" s="62"/>
      <c r="F38" s="62"/>
      <c r="G38" s="62"/>
      <c r="H38" s="62"/>
      <c r="I38" s="62"/>
      <c r="J38" s="62"/>
      <c r="K38" s="62"/>
      <c r="L38" s="62"/>
      <c r="M38" s="62"/>
      <c r="N38" s="62"/>
      <c r="O38" s="66"/>
      <c r="P38" s="62"/>
      <c r="Q38" s="1"/>
      <c r="R38" s="1"/>
    </row>
    <row r="39" spans="1:18" ht="12.75" customHeight="1">
      <c r="C39" s="67"/>
      <c r="D39" s="62"/>
      <c r="E39" s="62"/>
      <c r="F39" s="62"/>
      <c r="G39" s="62"/>
      <c r="H39" s="62"/>
      <c r="I39" s="62"/>
      <c r="J39" s="62"/>
      <c r="K39" s="62"/>
      <c r="L39" s="62"/>
      <c r="M39" s="62"/>
      <c r="N39" s="62"/>
      <c r="O39" s="66"/>
      <c r="P39" s="62"/>
      <c r="Q39" s="1"/>
      <c r="R39" s="1"/>
    </row>
    <row r="40" spans="1:18" ht="15.75">
      <c r="C40" s="8" t="s">
        <v>23</v>
      </c>
      <c r="D40" s="62"/>
      <c r="E40" s="62"/>
      <c r="F40" s="69"/>
      <c r="G40" s="62"/>
      <c r="H40" s="62"/>
      <c r="I40" s="62"/>
      <c r="J40" s="62"/>
      <c r="K40" s="62"/>
      <c r="L40" s="62"/>
      <c r="M40" s="62"/>
      <c r="N40" s="62"/>
      <c r="O40" s="66"/>
      <c r="P40" s="62"/>
      <c r="Q40" s="1"/>
      <c r="R40" s="1"/>
    </row>
    <row r="41" spans="1:18" ht="12.75" customHeight="1">
      <c r="A41" s="59">
        <f>+A35+1</f>
        <v>21</v>
      </c>
      <c r="B41" s="1"/>
      <c r="C41" s="11" t="str">
        <f>+R111</f>
        <v xml:space="preserve">   Net Revenue Requirement  (TCOS, ln 115)</v>
      </c>
      <c r="D41" s="71"/>
      <c r="E41" s="71"/>
      <c r="F41" s="65">
        <f>+Q111</f>
        <v>174756782.22512847</v>
      </c>
      <c r="G41" s="71"/>
      <c r="H41" s="71"/>
      <c r="I41" s="71"/>
      <c r="J41" s="71"/>
      <c r="K41" s="71"/>
      <c r="L41" s="71"/>
      <c r="M41" s="71"/>
      <c r="N41" s="71"/>
      <c r="O41" s="65"/>
      <c r="P41" s="71"/>
      <c r="Q41" s="1"/>
      <c r="R41" s="1"/>
    </row>
    <row r="42" spans="1:18">
      <c r="A42" s="59">
        <f t="shared" ref="A42:A67" si="2">+A41+1</f>
        <v>22</v>
      </c>
      <c r="B42" s="1"/>
      <c r="C42" s="11" t="str">
        <f>+R112</f>
        <v xml:space="preserve">   Return  (TCOS, ln 110)</v>
      </c>
      <c r="D42" s="71"/>
      <c r="E42" s="71"/>
      <c r="F42" s="72">
        <f>+Q112</f>
        <v>77391368.442299455</v>
      </c>
      <c r="G42" s="73"/>
      <c r="H42" s="73"/>
      <c r="I42" s="73"/>
      <c r="J42" s="73"/>
      <c r="K42" s="73"/>
      <c r="L42" s="73"/>
      <c r="M42" s="73"/>
      <c r="N42" s="73"/>
      <c r="O42" s="65"/>
      <c r="P42" s="71"/>
      <c r="Q42" s="1"/>
      <c r="R42" s="1"/>
    </row>
    <row r="43" spans="1:18">
      <c r="A43" s="59">
        <f t="shared" si="2"/>
        <v>23</v>
      </c>
      <c r="B43" s="1"/>
      <c r="C43" s="11" t="str">
        <f>+R113</f>
        <v xml:space="preserve">   Income Taxes  (TCOS, ln 109)</v>
      </c>
      <c r="D43" s="71"/>
      <c r="E43" s="71"/>
      <c r="F43" s="65">
        <f>+Q113</f>
        <v>10140075.839800639</v>
      </c>
      <c r="G43" s="71"/>
      <c r="H43" s="71"/>
      <c r="I43" s="74"/>
      <c r="J43" s="74"/>
      <c r="K43" s="74"/>
      <c r="L43" s="74"/>
      <c r="M43" s="74"/>
      <c r="N43" s="71"/>
      <c r="O43" s="71"/>
      <c r="P43" s="71"/>
      <c r="Q43" s="1"/>
      <c r="R43" s="1"/>
    </row>
    <row r="44" spans="1:18">
      <c r="A44" s="59">
        <f t="shared" si="2"/>
        <v>24</v>
      </c>
      <c r="B44" s="1"/>
      <c r="C44" s="70" t="str">
        <f>+R114</f>
        <v xml:space="preserve">  Gross Margin Taxes  (TCOS, ln 114)</v>
      </c>
      <c r="D44" s="71"/>
      <c r="E44" s="71"/>
      <c r="F44" s="63">
        <f>+Q114</f>
        <v>151704.34013006487</v>
      </c>
      <c r="G44" s="71"/>
      <c r="H44" s="71"/>
      <c r="I44" s="74"/>
      <c r="J44" s="74"/>
      <c r="K44" s="74"/>
      <c r="L44" s="74"/>
      <c r="M44" s="74"/>
      <c r="N44" s="71"/>
      <c r="O44" s="71"/>
      <c r="P44" s="71"/>
      <c r="Q44" s="1"/>
      <c r="R44" s="1"/>
    </row>
    <row r="45" spans="1:18">
      <c r="A45" s="59">
        <f t="shared" si="2"/>
        <v>25</v>
      </c>
      <c r="B45" s="1"/>
      <c r="C45" s="21" t="s">
        <v>24</v>
      </c>
      <c r="D45" s="71"/>
      <c r="E45" s="71"/>
      <c r="F45" s="72">
        <f>F41-F42-F43-F44</f>
        <v>87073633.602898315</v>
      </c>
      <c r="G45" s="75"/>
      <c r="H45" s="71"/>
      <c r="I45" s="75"/>
      <c r="J45" s="75"/>
      <c r="K45" s="75"/>
      <c r="L45" s="75"/>
      <c r="M45" s="75"/>
      <c r="N45" s="71"/>
      <c r="O45" s="75"/>
      <c r="P45" s="71"/>
      <c r="Q45" s="1"/>
      <c r="R45" s="1"/>
    </row>
    <row r="46" spans="1:18">
      <c r="A46" s="59"/>
      <c r="B46" s="1"/>
      <c r="C46" s="70"/>
      <c r="D46" s="71"/>
      <c r="E46" s="71"/>
      <c r="F46" s="65"/>
      <c r="G46" s="76"/>
      <c r="H46" s="77"/>
      <c r="I46" s="77"/>
      <c r="J46" s="77"/>
      <c r="K46" s="77"/>
      <c r="L46" s="77"/>
      <c r="M46" s="77"/>
      <c r="N46" s="78"/>
      <c r="O46" s="77"/>
      <c r="P46" s="79"/>
      <c r="Q46" s="1"/>
      <c r="R46" s="1"/>
    </row>
    <row r="47" spans="1:18" ht="15.75">
      <c r="A47" s="59"/>
      <c r="B47" s="1"/>
      <c r="C47" s="8" t="str">
        <f>"B.   Determine Net Revenue Requirement with hypothetical "&amp;F11&amp;" basis point increase in ROE."</f>
        <v>B.   Determine Net Revenue Requirement with hypothetical 0 basis point increase in ROE.</v>
      </c>
      <c r="D47" s="78"/>
      <c r="E47" s="78"/>
      <c r="F47" s="65"/>
      <c r="G47" s="76"/>
      <c r="H47" s="77"/>
      <c r="I47" s="77"/>
      <c r="J47" s="77"/>
      <c r="K47" s="77"/>
      <c r="L47" s="77"/>
      <c r="M47" s="77"/>
      <c r="N47" s="78"/>
      <c r="O47" s="77"/>
      <c r="P47" s="71"/>
    </row>
    <row r="48" spans="1:18">
      <c r="A48" s="59">
        <f>+A45+1</f>
        <v>26</v>
      </c>
      <c r="B48" s="1"/>
      <c r="C48" s="70" t="str">
        <f>C45</f>
        <v xml:space="preserve">   Net Revenue Requirement, Less Return and Taxes</v>
      </c>
      <c r="D48" s="78"/>
      <c r="E48" s="78"/>
      <c r="F48" s="65">
        <f>F45</f>
        <v>87073633.602898315</v>
      </c>
      <c r="G48" s="71"/>
      <c r="H48" s="71"/>
      <c r="I48" s="71"/>
      <c r="J48" s="71"/>
      <c r="K48" s="71"/>
      <c r="L48" s="71"/>
      <c r="M48" s="71"/>
      <c r="N48" s="80"/>
      <c r="O48" s="81"/>
      <c r="P48" s="82"/>
    </row>
    <row r="49" spans="1:18">
      <c r="A49" s="59">
        <f t="shared" si="2"/>
        <v>27</v>
      </c>
      <c r="B49" s="1"/>
      <c r="C49" s="17" t="s">
        <v>88</v>
      </c>
      <c r="D49" s="83"/>
      <c r="E49" s="21"/>
      <c r="F49" s="84">
        <f>E24</f>
        <v>77391368.442299455</v>
      </c>
      <c r="G49" s="21"/>
      <c r="H49" s="85"/>
      <c r="I49" s="21"/>
      <c r="J49" s="21"/>
      <c r="K49" s="21"/>
      <c r="L49" s="21"/>
      <c r="M49" s="21"/>
      <c r="N49" s="21"/>
      <c r="O49" s="21"/>
      <c r="P49" s="21"/>
    </row>
    <row r="50" spans="1:18" ht="12.75" customHeight="1">
      <c r="A50" s="59">
        <f t="shared" si="2"/>
        <v>28</v>
      </c>
      <c r="B50" s="1"/>
      <c r="C50" s="11" t="s">
        <v>25</v>
      </c>
      <c r="D50" s="71"/>
      <c r="E50" s="71"/>
      <c r="F50" s="86">
        <f>E35</f>
        <v>10140075.839800639</v>
      </c>
      <c r="G50" s="1"/>
      <c r="H50" s="3"/>
      <c r="I50" s="1"/>
      <c r="J50" s="1"/>
      <c r="K50" s="1"/>
      <c r="L50" s="1"/>
      <c r="M50" s="1"/>
      <c r="N50" s="1"/>
      <c r="O50" s="1"/>
      <c r="P50" s="1"/>
    </row>
    <row r="51" spans="1:18">
      <c r="A51" s="59">
        <f t="shared" si="2"/>
        <v>29</v>
      </c>
      <c r="B51" s="1"/>
      <c r="C51" s="21" t="str">
        <f>"   Net Revenue Requirement, with "&amp;F11&amp;" Basis Point ROE increase"</f>
        <v xml:space="preserve">   Net Revenue Requirement, with 0 Basis Point ROE increase</v>
      </c>
      <c r="D51" s="2"/>
      <c r="E51" s="1"/>
      <c r="F51" s="60">
        <f>SUM(F48:F50)</f>
        <v>174605077.88499841</v>
      </c>
      <c r="G51" s="1"/>
      <c r="H51" s="3"/>
      <c r="I51" s="1"/>
      <c r="J51" s="1"/>
      <c r="K51" s="1"/>
      <c r="L51" s="1"/>
      <c r="M51" s="1"/>
      <c r="N51" s="1"/>
      <c r="O51" s="1"/>
      <c r="P51" s="1"/>
      <c r="Q51" s="1"/>
      <c r="R51" s="1"/>
    </row>
    <row r="52" spans="1:18">
      <c r="A52" s="59">
        <f t="shared" si="2"/>
        <v>30</v>
      </c>
      <c r="B52" s="1"/>
      <c r="C52" s="61" t="str">
        <f>"   Gross Margin Tax with "&amp;F11&amp;" Basis Point ROE Increase (II C. below)"</f>
        <v xml:space="preserve">   Gross Margin Tax with 0 Basis Point ROE Increase (II C. below)</v>
      </c>
      <c r="D52" s="87"/>
      <c r="E52" s="87"/>
      <c r="F52" s="88">
        <f>+F67</f>
        <v>151704.34013006487</v>
      </c>
      <c r="G52" s="1"/>
      <c r="H52" s="3"/>
      <c r="I52" s="1"/>
      <c r="J52" s="1"/>
      <c r="K52" s="1"/>
      <c r="L52" s="1"/>
      <c r="M52" s="1"/>
      <c r="N52" s="1"/>
      <c r="O52" s="1"/>
      <c r="P52" s="1"/>
      <c r="Q52" s="1"/>
      <c r="R52" s="1"/>
    </row>
    <row r="53" spans="1:18">
      <c r="A53" s="59">
        <f t="shared" si="2"/>
        <v>31</v>
      </c>
      <c r="B53" s="1"/>
      <c r="C53" s="21" t="s">
        <v>26</v>
      </c>
      <c r="D53" s="2"/>
      <c r="E53" s="1"/>
      <c r="F53" s="89">
        <f>+F51+F52</f>
        <v>174756782.22512847</v>
      </c>
      <c r="G53" s="1"/>
      <c r="H53" s="3"/>
      <c r="I53" s="1"/>
      <c r="J53" s="1"/>
      <c r="K53" s="1"/>
      <c r="L53" s="1"/>
      <c r="M53" s="1"/>
      <c r="N53" s="1"/>
      <c r="O53" s="1"/>
      <c r="P53" s="1"/>
      <c r="Q53" s="1"/>
      <c r="R53" s="1"/>
    </row>
    <row r="54" spans="1:18">
      <c r="A54" s="59">
        <f t="shared" si="2"/>
        <v>32</v>
      </c>
      <c r="B54" s="1"/>
      <c r="C54" s="11" t="str">
        <f>+R115</f>
        <v xml:space="preserve">   Less: Depreciation  (TCOS, ln 84)</v>
      </c>
      <c r="D54" s="2"/>
      <c r="E54" s="1"/>
      <c r="F54" s="90">
        <f>+Q115</f>
        <v>43069259.700736292</v>
      </c>
      <c r="G54" s="1"/>
      <c r="H54" s="3"/>
      <c r="I54" s="1"/>
      <c r="J54" s="1"/>
      <c r="K54" s="1"/>
      <c r="L54" s="1"/>
      <c r="M54" s="1"/>
      <c r="N54" s="1"/>
      <c r="O54" s="1"/>
      <c r="P54" s="1"/>
      <c r="Q54" s="1"/>
      <c r="R54" s="1"/>
    </row>
    <row r="55" spans="1:18">
      <c r="A55" s="59">
        <f t="shared" si="2"/>
        <v>33</v>
      </c>
      <c r="B55" s="1"/>
      <c r="C55" s="21" t="str">
        <f>"   Net Rev. Req, w/"&amp;F11&amp;" Basis Point ROE increase, less Depreciation"</f>
        <v xml:space="preserve">   Net Rev. Req, w/0 Basis Point ROE increase, less Depreciation</v>
      </c>
      <c r="D55" s="2"/>
      <c r="E55" s="1"/>
      <c r="F55" s="60">
        <f>F53-F54</f>
        <v>131687522.52439219</v>
      </c>
      <c r="G55" s="1"/>
      <c r="H55" s="3"/>
      <c r="I55" s="1"/>
      <c r="J55" s="1"/>
      <c r="K55" s="1"/>
      <c r="L55" s="1"/>
      <c r="M55" s="1"/>
      <c r="N55" s="1"/>
      <c r="O55" s="1"/>
      <c r="P55" s="1"/>
      <c r="Q55" s="1"/>
      <c r="R55" s="1"/>
    </row>
    <row r="56" spans="1:18">
      <c r="A56" s="59"/>
      <c r="B56" s="1"/>
      <c r="C56" s="1"/>
      <c r="D56" s="2"/>
      <c r="E56" s="1"/>
      <c r="F56" s="1"/>
      <c r="G56" s="1"/>
      <c r="H56" s="3"/>
      <c r="I56" s="1"/>
      <c r="J56" s="1"/>
      <c r="K56" s="1"/>
      <c r="L56" s="1"/>
      <c r="M56" s="1"/>
      <c r="N56" s="1"/>
      <c r="O56" s="1"/>
      <c r="P56" s="1" t="str">
        <f>IF(ROUND(P55,0)=ROUND(SUM(P16:P54),0),"","Error -- check allocations above).")</f>
        <v/>
      </c>
      <c r="Q56" s="1"/>
      <c r="R56" s="1"/>
    </row>
    <row r="57" spans="1:18" ht="15.75">
      <c r="A57" s="59"/>
      <c r="B57" s="18"/>
      <c r="C57" s="91" t="str">
        <f>"C.   Determine Gross Margin Tax with hypothetical "&amp;F11&amp;" basis point increase in ROE."</f>
        <v>C.   Determine Gross Margin Tax with hypothetical 0 basis point increase in ROE.</v>
      </c>
      <c r="D57" s="92"/>
      <c r="E57" s="92"/>
      <c r="F57" s="93"/>
      <c r="G57" s="18"/>
      <c r="H57" s="94"/>
      <c r="I57" s="18"/>
      <c r="J57" s="1"/>
      <c r="K57" s="1"/>
      <c r="L57" s="1"/>
      <c r="M57" s="1"/>
      <c r="N57" s="1"/>
      <c r="O57" s="1"/>
      <c r="P57" s="1"/>
      <c r="Q57" s="1"/>
      <c r="R57" s="1"/>
    </row>
    <row r="58" spans="1:18">
      <c r="A58" s="59">
        <f>+A55+1</f>
        <v>34</v>
      </c>
      <c r="B58" s="18"/>
      <c r="C58" s="61" t="str">
        <f>"   Net Revenue Requirement before Gross Margin Taxes, with "&amp;F11&amp;" "</f>
        <v xml:space="preserve">   Net Revenue Requirement before Gross Margin Taxes, with 0 </v>
      </c>
      <c r="D58" s="92"/>
      <c r="E58" s="92"/>
      <c r="F58" s="93">
        <f>+F51</f>
        <v>174605077.88499841</v>
      </c>
      <c r="G58" s="18"/>
      <c r="H58" s="94"/>
      <c r="I58" s="18"/>
      <c r="J58" s="1"/>
      <c r="K58" s="1"/>
      <c r="L58" s="1"/>
      <c r="M58" s="1"/>
      <c r="N58" s="1"/>
      <c r="O58" s="1"/>
      <c r="P58" s="1"/>
      <c r="Q58" s="1"/>
      <c r="R58" s="1"/>
    </row>
    <row r="59" spans="1:18">
      <c r="A59" s="59">
        <f t="shared" si="2"/>
        <v>35</v>
      </c>
      <c r="B59" s="18"/>
      <c r="C59" s="61" t="s">
        <v>27</v>
      </c>
      <c r="D59" s="92"/>
      <c r="E59" s="92"/>
      <c r="F59" s="93"/>
      <c r="G59" s="18"/>
      <c r="H59" s="94"/>
      <c r="I59" s="18"/>
      <c r="J59" s="1"/>
      <c r="K59" s="1"/>
      <c r="L59" s="1"/>
      <c r="M59" s="1"/>
      <c r="N59" s="1"/>
      <c r="O59" s="1"/>
      <c r="P59" s="1"/>
      <c r="Q59" s="1"/>
      <c r="R59" s="1"/>
    </row>
    <row r="60" spans="1:18">
      <c r="A60" s="59">
        <f t="shared" si="2"/>
        <v>36</v>
      </c>
      <c r="B60" s="18"/>
      <c r="C60" s="21" t="str">
        <f>+R116</f>
        <v xml:space="preserve">       Apportionment Factor to Texas (Worksheet K, ln 12)</v>
      </c>
      <c r="D60" s="59"/>
      <c r="E60" s="18"/>
      <c r="F60" s="95">
        <f>+Q116</f>
        <v>0.39458224543080939</v>
      </c>
      <c r="G60" s="18"/>
      <c r="H60" s="94"/>
      <c r="I60" s="18"/>
      <c r="J60" s="1"/>
      <c r="K60" s="1"/>
      <c r="L60" s="1"/>
      <c r="M60" s="1"/>
      <c r="N60" s="1"/>
      <c r="O60" s="1"/>
      <c r="P60" s="1"/>
      <c r="Q60" s="1"/>
      <c r="R60" s="1"/>
    </row>
    <row r="61" spans="1:18">
      <c r="A61" s="59">
        <f t="shared" si="2"/>
        <v>37</v>
      </c>
      <c r="B61" s="18"/>
      <c r="C61" s="21" t="s">
        <v>28</v>
      </c>
      <c r="D61" s="59"/>
      <c r="E61" s="18"/>
      <c r="F61" s="93">
        <f>+F58*F60</f>
        <v>68896063.695484027</v>
      </c>
      <c r="G61" s="18"/>
      <c r="H61" s="94"/>
      <c r="I61" s="18"/>
      <c r="J61" s="1"/>
      <c r="K61" s="1"/>
      <c r="L61" s="1"/>
      <c r="M61" s="1"/>
      <c r="N61" s="1"/>
      <c r="O61" s="1"/>
      <c r="P61" s="1"/>
      <c r="Q61" s="1"/>
      <c r="R61" s="1"/>
    </row>
    <row r="62" spans="1:18">
      <c r="A62" s="59">
        <f t="shared" si="2"/>
        <v>38</v>
      </c>
      <c r="B62" s="18"/>
      <c r="C62" s="21" t="s">
        <v>475</v>
      </c>
      <c r="D62" s="59"/>
      <c r="E62" s="18"/>
      <c r="F62" s="465">
        <v>0.22</v>
      </c>
      <c r="G62" s="18"/>
      <c r="H62" s="94"/>
      <c r="I62" s="18"/>
      <c r="J62" s="1"/>
      <c r="K62" s="1"/>
      <c r="L62" s="1"/>
      <c r="M62" s="1"/>
      <c r="N62" s="1"/>
      <c r="O62" s="1"/>
      <c r="P62" s="1"/>
      <c r="Q62" s="1"/>
      <c r="R62" s="1"/>
    </row>
    <row r="63" spans="1:18">
      <c r="A63" s="59">
        <f t="shared" si="2"/>
        <v>39</v>
      </c>
      <c r="B63" s="18"/>
      <c r="C63" s="21" t="s">
        <v>29</v>
      </c>
      <c r="D63" s="59"/>
      <c r="E63" s="18"/>
      <c r="F63" s="93">
        <f>+F61*F62</f>
        <v>15157134.013006486</v>
      </c>
      <c r="G63" s="18"/>
      <c r="H63" s="94"/>
      <c r="I63" s="18"/>
      <c r="J63" s="1"/>
      <c r="K63" s="1"/>
      <c r="L63" s="1"/>
      <c r="M63" s="1"/>
      <c r="N63" s="1"/>
      <c r="O63" s="1"/>
      <c r="P63" s="1"/>
      <c r="Q63" s="1"/>
      <c r="R63" s="1"/>
    </row>
    <row r="64" spans="1:18">
      <c r="A64" s="59">
        <f t="shared" si="2"/>
        <v>40</v>
      </c>
      <c r="B64" s="18"/>
      <c r="C64" s="21" t="s">
        <v>30</v>
      </c>
      <c r="D64" s="59"/>
      <c r="E64" s="18"/>
      <c r="F64" s="465">
        <v>0.01</v>
      </c>
      <c r="G64" s="18"/>
      <c r="H64" s="94"/>
      <c r="I64" s="18"/>
      <c r="J64" s="1"/>
      <c r="K64" s="1"/>
      <c r="L64" s="1"/>
      <c r="M64" s="1"/>
      <c r="N64" s="1"/>
      <c r="O64" s="1"/>
      <c r="P64" s="1"/>
      <c r="Q64" s="1"/>
      <c r="R64" s="1"/>
    </row>
    <row r="65" spans="1:18">
      <c r="A65" s="59">
        <f t="shared" si="2"/>
        <v>41</v>
      </c>
      <c r="B65" s="18"/>
      <c r="C65" s="21" t="s">
        <v>31</v>
      </c>
      <c r="D65" s="59"/>
      <c r="E65" s="18"/>
      <c r="F65" s="93">
        <f>+F63*F64</f>
        <v>151571.34013006487</v>
      </c>
      <c r="G65" s="18"/>
      <c r="H65" s="94"/>
      <c r="I65" s="18"/>
      <c r="J65" s="1"/>
      <c r="K65" s="1"/>
      <c r="L65" s="1"/>
      <c r="M65" s="1"/>
      <c r="N65" s="1"/>
      <c r="O65" s="1"/>
      <c r="P65" s="1"/>
      <c r="Q65" s="1"/>
      <c r="R65" s="1"/>
    </row>
    <row r="66" spans="1:18">
      <c r="A66" s="59">
        <f t="shared" si="2"/>
        <v>42</v>
      </c>
      <c r="B66" s="18"/>
      <c r="C66" s="21" t="s">
        <v>32</v>
      </c>
      <c r="D66" s="59"/>
      <c r="E66" s="18"/>
      <c r="F66" s="96">
        <f>+ROUND((F65*F62*F60)/(1-F64)*F64,0)</f>
        <v>133</v>
      </c>
      <c r="G66" s="18"/>
      <c r="H66" s="94"/>
      <c r="I66" s="18"/>
      <c r="J66" s="1"/>
      <c r="K66" s="1"/>
      <c r="L66" s="1"/>
      <c r="M66" s="1"/>
      <c r="N66" s="1"/>
      <c r="O66" s="1"/>
      <c r="P66" s="1"/>
      <c r="Q66" s="1"/>
      <c r="R66" s="1"/>
    </row>
    <row r="67" spans="1:18">
      <c r="A67" s="59">
        <f t="shared" si="2"/>
        <v>43</v>
      </c>
      <c r="B67" s="18"/>
      <c r="C67" s="21" t="s">
        <v>33</v>
      </c>
      <c r="D67" s="59"/>
      <c r="E67" s="18"/>
      <c r="F67" s="93">
        <f>+F65+F66</f>
        <v>151704.34013006487</v>
      </c>
      <c r="G67" s="18"/>
      <c r="H67" s="94"/>
      <c r="I67" s="18"/>
      <c r="J67" s="1"/>
      <c r="K67" s="1"/>
      <c r="L67" s="1"/>
      <c r="M67" s="1"/>
      <c r="N67" s="1"/>
      <c r="O67" s="1"/>
      <c r="P67" s="1"/>
      <c r="Q67" s="1"/>
      <c r="R67" s="1"/>
    </row>
    <row r="68" spans="1:18">
      <c r="A68" s="59"/>
      <c r="B68" s="1"/>
      <c r="C68" s="1"/>
      <c r="D68" s="2"/>
      <c r="E68" s="1"/>
      <c r="F68" s="1"/>
      <c r="G68" s="1"/>
      <c r="H68" s="3"/>
      <c r="I68" s="1"/>
      <c r="J68" s="1"/>
      <c r="K68" s="1"/>
      <c r="L68" s="1"/>
      <c r="M68" s="1"/>
      <c r="N68" s="1"/>
      <c r="O68" s="1"/>
      <c r="P68" s="1"/>
      <c r="Q68" s="1"/>
      <c r="R68" s="1"/>
    </row>
    <row r="69" spans="1:18" ht="15.75">
      <c r="B69" s="1"/>
      <c r="C69" s="8" t="str">
        <f>"D.   Determine FCR with hypothetical "&amp;F11&amp;" basis point ROE increase."</f>
        <v>D.   Determine FCR with hypothetical 0 basis point ROE increase.</v>
      </c>
      <c r="D69" s="2"/>
      <c r="E69" s="1"/>
      <c r="F69" s="1"/>
      <c r="G69" s="1"/>
      <c r="H69" s="3"/>
      <c r="I69" s="1"/>
      <c r="J69" s="1"/>
      <c r="K69" s="1"/>
      <c r="L69" s="1"/>
      <c r="M69" s="1"/>
      <c r="N69" s="1"/>
      <c r="O69" s="1"/>
      <c r="P69" s="1"/>
      <c r="Q69" s="1"/>
      <c r="R69" s="1"/>
    </row>
    <row r="70" spans="1:18">
      <c r="A70" s="59">
        <f>+A67+1</f>
        <v>44</v>
      </c>
      <c r="B70" s="1"/>
      <c r="C70" s="11" t="str">
        <f>+R117</f>
        <v xml:space="preserve">   Net Transmission Plant  (TCOS, ln 37)</v>
      </c>
      <c r="D70" s="2"/>
      <c r="E70" s="1"/>
      <c r="F70" s="60">
        <f>+Q117</f>
        <v>1322752579.2518764</v>
      </c>
      <c r="G70" s="97"/>
      <c r="H70" s="10"/>
      <c r="O70" s="1"/>
      <c r="P70" s="1"/>
      <c r="Q70" s="1"/>
      <c r="R70" s="1"/>
    </row>
    <row r="71" spans="1:18">
      <c r="A71" s="59">
        <f>+A70+1</f>
        <v>45</v>
      </c>
      <c r="B71" s="1"/>
      <c r="C71" s="21" t="str">
        <f>"   Net Revenue Requirement, with "&amp;F11&amp;" Basis Point ROE increase"</f>
        <v xml:space="preserve">   Net Revenue Requirement, with 0 Basis Point ROE increase</v>
      </c>
      <c r="D71" s="2"/>
      <c r="E71" s="1"/>
      <c r="F71" s="98">
        <f>F51</f>
        <v>174605077.88499841</v>
      </c>
      <c r="H71" s="10"/>
      <c r="O71" s="1"/>
      <c r="P71" s="1"/>
      <c r="Q71" s="1"/>
      <c r="R71" s="1"/>
    </row>
    <row r="72" spans="1:18">
      <c r="A72" s="59">
        <f>+A71+1</f>
        <v>46</v>
      </c>
      <c r="B72" s="1"/>
      <c r="C72" s="21" t="str">
        <f>"   FCR with "&amp;F11&amp;" Basis Point increase in ROE"</f>
        <v xml:space="preserve">   FCR with 0 Basis Point increase in ROE</v>
      </c>
      <c r="D72" s="2"/>
      <c r="E72" s="1"/>
      <c r="F72" s="99">
        <f>IF(F70=0,0,F71/F70)</f>
        <v>0.13200131349110786</v>
      </c>
      <c r="H72" s="10"/>
      <c r="O72" s="1"/>
      <c r="P72" s="1"/>
      <c r="Q72" s="1"/>
      <c r="R72" s="1"/>
    </row>
    <row r="73" spans="1:18">
      <c r="A73" s="59"/>
      <c r="B73" s="1"/>
      <c r="D73" s="2"/>
      <c r="E73" s="1"/>
      <c r="F73" s="18"/>
      <c r="H73" s="10"/>
      <c r="O73" s="1"/>
      <c r="P73" s="1"/>
      <c r="Q73" s="1"/>
      <c r="R73" s="1"/>
    </row>
    <row r="74" spans="1:18">
      <c r="A74" s="59">
        <f>+A72+1</f>
        <v>47</v>
      </c>
      <c r="B74" s="1"/>
      <c r="C74" s="21" t="str">
        <f>"   Net Rev. Req, w / "&amp;F11&amp;" Basis Point ROE increase, less Dep."</f>
        <v xml:space="preserve">   Net Rev. Req, w / 0 Basis Point ROE increase, less Dep.</v>
      </c>
      <c r="D74" s="2"/>
      <c r="E74" s="1"/>
      <c r="F74" s="60">
        <f>F55</f>
        <v>131687522.52439219</v>
      </c>
      <c r="G74" s="97"/>
      <c r="H74" s="10"/>
      <c r="O74" s="1"/>
      <c r="P74" s="1"/>
      <c r="Q74" s="1"/>
      <c r="R74" s="1"/>
    </row>
    <row r="75" spans="1:18">
      <c r="A75" s="59">
        <f>+A74+1</f>
        <v>48</v>
      </c>
      <c r="B75" s="1"/>
      <c r="C75" s="21" t="str">
        <f>"   FCR with "&amp;F11&amp;" Basis Point ROE increase, less Depreciation"</f>
        <v xml:space="preserve">   FCR with 0 Basis Point ROE increase, less Depreciation</v>
      </c>
      <c r="D75" s="2"/>
      <c r="E75" s="1"/>
      <c r="F75" s="99">
        <f>IF(F70=0,0,F74/F70)</f>
        <v>9.9555672459071778E-2</v>
      </c>
      <c r="G75" s="99"/>
      <c r="H75" s="10"/>
      <c r="O75" s="1"/>
      <c r="P75" s="1"/>
      <c r="Q75" s="1"/>
      <c r="R75" s="1"/>
    </row>
    <row r="76" spans="1:18">
      <c r="A76" s="59">
        <f>+A75+1</f>
        <v>49</v>
      </c>
      <c r="B76" s="1"/>
      <c r="C76" s="11" t="str">
        <f>+R118</f>
        <v xml:space="preserve">   FCR less Depreciation  (TCOS, ln 10)</v>
      </c>
      <c r="D76" s="2"/>
      <c r="E76" s="1"/>
      <c r="F76" s="100">
        <f>+Q118</f>
        <v>9.9555672459071778E-2</v>
      </c>
      <c r="H76" s="10"/>
      <c r="O76" s="1"/>
      <c r="P76" s="1"/>
      <c r="Q76" s="1"/>
      <c r="R76" s="1"/>
    </row>
    <row r="77" spans="1:18" ht="12.75" customHeight="1">
      <c r="A77" s="59">
        <f>+A76+1</f>
        <v>50</v>
      </c>
      <c r="B77" s="1"/>
      <c r="C77" s="476" t="str">
        <f>"   Incremental FCR with "&amp;F11&amp;" Basis Point ROE increase, less Depreciation"</f>
        <v xml:space="preserve">   Incremental FCR with 0 Basis Point ROE increase, less Depreciation</v>
      </c>
      <c r="D77" s="476"/>
      <c r="E77" s="476"/>
      <c r="F77" s="99">
        <f>F75-F76</f>
        <v>0</v>
      </c>
      <c r="H77" s="10"/>
      <c r="O77" s="1"/>
      <c r="P77" s="1"/>
      <c r="Q77" s="1"/>
      <c r="R77" s="1"/>
    </row>
    <row r="78" spans="1:18">
      <c r="A78" s="59"/>
      <c r="B78" s="1"/>
      <c r="C78" s="6"/>
      <c r="D78" s="6"/>
      <c r="E78" s="6"/>
      <c r="F78" s="99"/>
      <c r="G78" s="1"/>
      <c r="H78" s="3"/>
      <c r="I78" s="1"/>
      <c r="J78" s="1"/>
      <c r="K78" s="1"/>
      <c r="L78" s="1"/>
      <c r="M78" s="1"/>
      <c r="N78" s="1"/>
      <c r="O78" s="1"/>
      <c r="P78" s="1"/>
      <c r="Q78" s="1"/>
      <c r="R78" s="1"/>
    </row>
    <row r="79" spans="1:18" ht="18.75">
      <c r="A79" s="59"/>
      <c r="B79" s="5" t="s">
        <v>34</v>
      </c>
      <c r="C79" s="68" t="s">
        <v>35</v>
      </c>
      <c r="D79" s="2"/>
      <c r="E79" s="1"/>
      <c r="F79" s="99"/>
      <c r="G79" s="1"/>
      <c r="H79" s="3"/>
      <c r="I79" s="1"/>
      <c r="J79" s="1"/>
      <c r="K79" s="1"/>
      <c r="L79" s="1"/>
      <c r="M79" s="1"/>
      <c r="N79" s="1"/>
      <c r="O79" s="1"/>
      <c r="P79" s="1"/>
      <c r="Q79" s="1"/>
      <c r="R79" s="1"/>
    </row>
    <row r="80" spans="1:18" ht="12.75" customHeight="1">
      <c r="A80" s="59">
        <f>+A77+1</f>
        <v>51</v>
      </c>
      <c r="B80" s="5"/>
      <c r="C80" s="21" t="str">
        <f>+R119</f>
        <v>Transmission Plant @ Beginning of Period (Worksheet A ln 9 col. ((D))</v>
      </c>
      <c r="D80" s="2"/>
      <c r="F80" s="94">
        <f>+Q119</f>
        <v>1845274304.95191</v>
      </c>
      <c r="G80" s="1" t="s">
        <v>36</v>
      </c>
      <c r="H80" s="3"/>
      <c r="I80" s="1"/>
      <c r="J80" s="1"/>
      <c r="K80" s="1"/>
      <c r="L80" s="1"/>
      <c r="M80" s="1"/>
      <c r="N80" s="1"/>
      <c r="O80" s="1"/>
      <c r="P80" s="1"/>
      <c r="Q80" s="1"/>
      <c r="R80" s="1"/>
    </row>
    <row r="81" spans="1:18" ht="12.75" customHeight="1">
      <c r="A81" s="59">
        <f t="shared" ref="A81:A87" si="3">+A80+1</f>
        <v>52</v>
      </c>
      <c r="B81" s="5"/>
      <c r="C81" s="21" t="str">
        <f>+R120</f>
        <v>Transmission Plant @ End of Period (Worksheet A ln 9 col. ((C))</v>
      </c>
      <c r="D81" s="2"/>
      <c r="F81" s="102">
        <f>Q120</f>
        <v>2008632153.7638299</v>
      </c>
      <c r="G81" s="1" t="s">
        <v>36</v>
      </c>
      <c r="H81" s="3"/>
      <c r="I81" s="1"/>
      <c r="J81" s="1"/>
      <c r="K81" s="1"/>
      <c r="L81" s="1"/>
      <c r="M81" s="1"/>
      <c r="N81" s="1"/>
      <c r="O81" s="1"/>
      <c r="P81" s="1"/>
      <c r="Q81" s="1"/>
      <c r="R81" s="1"/>
    </row>
    <row r="82" spans="1:18">
      <c r="A82" s="59"/>
      <c r="B82" s="1"/>
      <c r="C82" s="21"/>
      <c r="D82" s="2"/>
      <c r="F82" s="3">
        <f>+F81+F80</f>
        <v>3853906458.7157402</v>
      </c>
      <c r="G82" s="60"/>
      <c r="H82" s="3"/>
      <c r="I82" s="1"/>
      <c r="J82" s="1"/>
      <c r="K82" s="1"/>
      <c r="L82" s="1"/>
      <c r="M82" s="1"/>
      <c r="N82" s="1"/>
      <c r="O82" s="1"/>
      <c r="P82" s="1"/>
      <c r="Q82" s="1"/>
      <c r="R82" s="1"/>
    </row>
    <row r="83" spans="1:18">
      <c r="A83" s="59">
        <f>+A81+1</f>
        <v>53</v>
      </c>
      <c r="B83" s="1"/>
      <c r="C83" s="21" t="str">
        <f>R121</f>
        <v xml:space="preserve">Transmission Plant Average Balance for 2018 </v>
      </c>
      <c r="D83" s="59"/>
      <c r="E83" s="103"/>
      <c r="F83" s="85">
        <f>+F82/2</f>
        <v>1926953229.3578701</v>
      </c>
      <c r="G83" s="104"/>
      <c r="H83" s="3"/>
      <c r="I83" s="1"/>
      <c r="J83" s="1"/>
      <c r="K83" s="1"/>
      <c r="L83" s="1"/>
      <c r="M83" s="1"/>
      <c r="N83" s="1"/>
      <c r="O83" s="1"/>
      <c r="P83" s="1"/>
      <c r="Q83" s="1"/>
      <c r="R83" s="1"/>
    </row>
    <row r="84" spans="1:18">
      <c r="A84" s="59">
        <f t="shared" si="3"/>
        <v>54</v>
      </c>
      <c r="B84" s="1"/>
      <c r="C84" s="11" t="str">
        <f>R122</f>
        <v>Annual Depreciation Expense  (TCOS, ln 84)</v>
      </c>
      <c r="D84" s="59"/>
      <c r="E84" s="18"/>
      <c r="F84" s="85">
        <f>Q122</f>
        <v>45165575.882299401</v>
      </c>
      <c r="G84" s="1"/>
      <c r="H84" s="3"/>
      <c r="I84" s="1"/>
      <c r="J84" s="1"/>
      <c r="K84" s="1"/>
      <c r="L84" s="1"/>
      <c r="M84" s="1"/>
      <c r="N84" s="1"/>
      <c r="O84" s="1"/>
      <c r="P84" s="1"/>
      <c r="Q84" s="1"/>
      <c r="R84" s="1"/>
    </row>
    <row r="85" spans="1:18">
      <c r="A85" s="59">
        <f t="shared" si="3"/>
        <v>55</v>
      </c>
      <c r="B85" s="1"/>
      <c r="C85" s="21" t="s">
        <v>37</v>
      </c>
      <c r="D85" s="2"/>
      <c r="E85" s="1"/>
      <c r="F85" s="99">
        <f>IF(F83=0,0,F84/F83)</f>
        <v>2.3438854246270516E-2</v>
      </c>
      <c r="G85" s="1"/>
      <c r="H85" s="105"/>
      <c r="I85" s="1"/>
      <c r="J85" s="1"/>
      <c r="K85" s="1"/>
      <c r="L85" s="1"/>
      <c r="M85" s="1"/>
      <c r="N85" s="1"/>
      <c r="O85" s="1"/>
      <c r="P85" s="1"/>
      <c r="Q85" s="1"/>
      <c r="R85" s="1"/>
    </row>
    <row r="86" spans="1:18">
      <c r="A86" s="59">
        <f t="shared" si="3"/>
        <v>56</v>
      </c>
      <c r="B86" s="1"/>
      <c r="C86" s="21" t="s">
        <v>38</v>
      </c>
      <c r="D86" s="2"/>
      <c r="E86" s="1"/>
      <c r="F86" s="106">
        <f>IF(F85=0,0,1/F85)</f>
        <v>42.664201479008533</v>
      </c>
      <c r="H86" s="3"/>
      <c r="I86" s="1"/>
      <c r="J86" s="1"/>
      <c r="K86" s="1"/>
      <c r="L86" s="1"/>
      <c r="M86" s="1"/>
      <c r="N86" s="1"/>
      <c r="O86" s="1"/>
      <c r="P86" s="1"/>
      <c r="Q86" s="1"/>
      <c r="R86" s="1"/>
    </row>
    <row r="87" spans="1:18">
      <c r="A87" s="59">
        <f t="shared" si="3"/>
        <v>57</v>
      </c>
      <c r="B87" s="1"/>
      <c r="C87" s="21" t="s">
        <v>39</v>
      </c>
      <c r="D87" s="2"/>
      <c r="E87" s="1"/>
      <c r="F87" s="107">
        <f>ROUND(F86,0)</f>
        <v>43</v>
      </c>
      <c r="G87" s="1"/>
      <c r="H87" s="3"/>
      <c r="I87" s="1"/>
      <c r="J87" s="1"/>
      <c r="K87" s="1"/>
      <c r="L87" s="1"/>
      <c r="M87" s="1"/>
      <c r="N87" s="1"/>
      <c r="O87" s="1"/>
      <c r="P87" s="1"/>
      <c r="Q87" s="1"/>
      <c r="R87" s="1"/>
    </row>
    <row r="88" spans="1:18">
      <c r="C88" s="174"/>
      <c r="D88" s="154"/>
      <c r="E88" s="154"/>
      <c r="F88" s="154"/>
      <c r="G88" s="111"/>
      <c r="H88" s="111"/>
      <c r="I88" s="171"/>
      <c r="J88" s="171"/>
      <c r="K88" s="171"/>
      <c r="L88" s="171"/>
      <c r="M88" s="171"/>
      <c r="N88" s="4"/>
      <c r="O88" s="4"/>
      <c r="P88" s="1"/>
      <c r="Q88" s="1"/>
      <c r="R88" s="1"/>
    </row>
    <row r="89" spans="1:18">
      <c r="C89" s="174"/>
      <c r="D89" s="154"/>
      <c r="E89" s="154"/>
      <c r="F89" s="154"/>
      <c r="G89" s="111"/>
      <c r="H89" s="111"/>
      <c r="I89" s="171"/>
      <c r="J89" s="171"/>
      <c r="K89" s="171"/>
      <c r="L89" s="171"/>
      <c r="M89" s="171"/>
      <c r="N89" s="4"/>
      <c r="O89" s="4"/>
      <c r="P89" s="1"/>
      <c r="Q89" s="1"/>
      <c r="R89" s="1"/>
    </row>
    <row r="90" spans="1:18">
      <c r="O90" s="1"/>
      <c r="P90" s="1"/>
      <c r="Q90" s="1"/>
      <c r="R90" s="1"/>
    </row>
    <row r="91" spans="1:18">
      <c r="O91" s="1"/>
      <c r="P91" s="1"/>
      <c r="Q91" s="228" t="s">
        <v>107</v>
      </c>
      <c r="R91" t="s">
        <v>108</v>
      </c>
    </row>
    <row r="92" spans="1:18">
      <c r="O92" s="1"/>
      <c r="P92" s="1"/>
    </row>
    <row r="93" spans="1:18">
      <c r="C93" s="235" t="s">
        <v>104</v>
      </c>
      <c r="K93" s="235" t="s">
        <v>103</v>
      </c>
      <c r="O93" s="1"/>
      <c r="P93" s="1"/>
    </row>
    <row r="94" spans="1:18">
      <c r="O94" s="1"/>
      <c r="P94" s="1"/>
      <c r="R94" s="227" t="s">
        <v>101</v>
      </c>
    </row>
    <row r="95" spans="1:18">
      <c r="O95" s="1"/>
      <c r="P95" s="1"/>
      <c r="Q95" s="228" t="s">
        <v>98</v>
      </c>
      <c r="R95" s="231" t="s">
        <v>102</v>
      </c>
    </row>
    <row r="96" spans="1:18" ht="13.5" thickBot="1">
      <c r="O96" s="1"/>
      <c r="P96" s="1"/>
      <c r="Q96" s="230" t="s">
        <v>132</v>
      </c>
    </row>
    <row r="97" spans="15:18">
      <c r="O97" s="1"/>
      <c r="P97" s="1"/>
      <c r="Q97" s="432" t="s">
        <v>125</v>
      </c>
      <c r="R97" s="433" t="s">
        <v>122</v>
      </c>
    </row>
    <row r="98" spans="15:18">
      <c r="O98" s="1"/>
      <c r="P98" s="1"/>
      <c r="Q98" s="376">
        <v>2019</v>
      </c>
      <c r="R98" s="443" t="s">
        <v>459</v>
      </c>
    </row>
    <row r="99" spans="15:18">
      <c r="O99" s="1"/>
      <c r="P99" s="1"/>
      <c r="Q99" s="437">
        <v>0.105</v>
      </c>
      <c r="R99" s="18" t="s">
        <v>460</v>
      </c>
    </row>
    <row r="100" spans="15:18">
      <c r="O100" s="1"/>
      <c r="P100" s="1"/>
      <c r="Q100" s="454">
        <v>0</v>
      </c>
      <c r="R100" s="443" t="s">
        <v>1</v>
      </c>
    </row>
    <row r="101" spans="15:18">
      <c r="O101" s="1"/>
      <c r="P101" s="1"/>
      <c r="Q101" s="470">
        <v>0.53322994680523572</v>
      </c>
      <c r="R101" s="444" t="s">
        <v>93</v>
      </c>
    </row>
    <row r="102" spans="15:18">
      <c r="O102" s="1"/>
      <c r="P102" s="1"/>
      <c r="Q102" s="470">
        <v>4.5858083034810274E-2</v>
      </c>
      <c r="R102" s="444" t="s">
        <v>94</v>
      </c>
    </row>
    <row r="103" spans="15:18">
      <c r="O103" s="1"/>
      <c r="P103" s="1"/>
      <c r="Q103" s="470">
        <v>0</v>
      </c>
      <c r="R103" s="444" t="s">
        <v>95</v>
      </c>
    </row>
    <row r="104" spans="15:18">
      <c r="O104" s="1"/>
      <c r="P104" s="1"/>
      <c r="Q104" s="470">
        <v>0</v>
      </c>
      <c r="R104" s="444" t="s">
        <v>96</v>
      </c>
    </row>
    <row r="105" spans="15:18">
      <c r="O105" s="1"/>
      <c r="P105" s="1"/>
      <c r="Q105" s="470">
        <v>0.46677005319476422</v>
      </c>
      <c r="R105" s="445" t="s">
        <v>97</v>
      </c>
    </row>
    <row r="106" spans="15:18">
      <c r="O106" s="1"/>
      <c r="P106" s="1"/>
      <c r="Q106" s="442">
        <v>1053463227.933851</v>
      </c>
      <c r="R106" s="446" t="s">
        <v>461</v>
      </c>
    </row>
    <row r="107" spans="15:18">
      <c r="O107" s="1"/>
      <c r="P107" s="1"/>
      <c r="Q107" s="439">
        <v>0.24720900000000001</v>
      </c>
      <c r="R107" s="443" t="s">
        <v>462</v>
      </c>
    </row>
    <row r="108" spans="15:18">
      <c r="O108" s="1"/>
      <c r="P108" s="1"/>
      <c r="Q108" s="438">
        <v>-264343.23117449007</v>
      </c>
      <c r="R108" s="443" t="s">
        <v>463</v>
      </c>
    </row>
    <row r="109" spans="15:18">
      <c r="O109" s="1"/>
      <c r="P109" s="1"/>
      <c r="Q109" s="438">
        <v>-6875438.2026352603</v>
      </c>
      <c r="R109" s="443" t="s">
        <v>383</v>
      </c>
    </row>
    <row r="110" spans="15:18">
      <c r="O110" s="1"/>
      <c r="P110" s="1"/>
      <c r="Q110" s="438">
        <v>324711.63975127228</v>
      </c>
      <c r="R110" s="443" t="s">
        <v>384</v>
      </c>
    </row>
    <row r="111" spans="15:18">
      <c r="O111" s="1"/>
      <c r="P111" s="1"/>
      <c r="Q111" s="438">
        <v>174756782.22512847</v>
      </c>
      <c r="R111" s="443" t="s">
        <v>464</v>
      </c>
    </row>
    <row r="112" spans="15:18">
      <c r="O112" s="1"/>
      <c r="P112" s="1"/>
      <c r="Q112" s="438">
        <v>77391368.442299455</v>
      </c>
      <c r="R112" s="443" t="s">
        <v>465</v>
      </c>
    </row>
    <row r="113" spans="3:18">
      <c r="C113" s="1"/>
      <c r="D113" s="2"/>
      <c r="E113" s="1"/>
      <c r="F113" s="1"/>
      <c r="G113" s="1"/>
      <c r="H113" s="3"/>
      <c r="I113" s="1"/>
      <c r="J113" s="1"/>
      <c r="K113" s="1"/>
      <c r="O113" s="1"/>
      <c r="P113" s="1"/>
      <c r="Q113" s="438">
        <v>10140075.839800639</v>
      </c>
      <c r="R113" s="443" t="s">
        <v>466</v>
      </c>
    </row>
    <row r="114" spans="3:18">
      <c r="C114" s="1"/>
      <c r="D114" s="2"/>
      <c r="E114" s="1"/>
      <c r="F114" s="1"/>
      <c r="G114" s="1"/>
      <c r="H114" s="3"/>
      <c r="I114" s="1"/>
      <c r="J114" s="1"/>
      <c r="K114" s="1"/>
      <c r="O114" s="1"/>
      <c r="P114" s="1"/>
      <c r="Q114" s="438">
        <v>151704.34013006487</v>
      </c>
      <c r="R114" s="443" t="s">
        <v>467</v>
      </c>
    </row>
    <row r="115" spans="3:18">
      <c r="C115" s="1"/>
      <c r="D115" s="2"/>
      <c r="E115" s="1"/>
      <c r="F115" s="1"/>
      <c r="G115" s="1"/>
      <c r="H115" s="3"/>
      <c r="I115" s="1"/>
      <c r="J115" s="1"/>
      <c r="K115" s="1"/>
      <c r="O115" s="1"/>
      <c r="P115" s="1"/>
      <c r="Q115" s="438">
        <v>43069259.700736292</v>
      </c>
      <c r="R115" s="443" t="s">
        <v>468</v>
      </c>
    </row>
    <row r="116" spans="3:18">
      <c r="C116" s="1"/>
      <c r="D116" s="2"/>
      <c r="E116" s="1"/>
      <c r="F116" s="1"/>
      <c r="G116" s="1"/>
      <c r="H116" s="3"/>
      <c r="I116" s="1"/>
      <c r="J116" s="1"/>
      <c r="K116" s="1"/>
      <c r="O116" s="1"/>
      <c r="P116" s="1"/>
      <c r="Q116" s="439">
        <v>0.39458224543080939</v>
      </c>
      <c r="R116" s="443" t="s">
        <v>100</v>
      </c>
    </row>
    <row r="117" spans="3:18">
      <c r="C117" s="1"/>
      <c r="D117" s="2"/>
      <c r="E117" s="1"/>
      <c r="F117" s="1"/>
      <c r="G117" s="1"/>
      <c r="H117" s="3"/>
      <c r="I117" s="1"/>
      <c r="J117" s="1"/>
      <c r="K117" s="1"/>
      <c r="O117" s="1"/>
      <c r="P117" s="1"/>
      <c r="Q117" s="438">
        <v>1322752579.2518764</v>
      </c>
      <c r="R117" s="443" t="s">
        <v>469</v>
      </c>
    </row>
    <row r="118" spans="3:18">
      <c r="C118" s="1"/>
      <c r="D118" s="2"/>
      <c r="E118" s="1"/>
      <c r="F118" s="1"/>
      <c r="G118" s="1"/>
      <c r="H118" s="3"/>
      <c r="I118" s="1"/>
      <c r="J118" s="1"/>
      <c r="K118" s="1"/>
      <c r="O118" s="1"/>
      <c r="P118" s="1"/>
      <c r="Q118" s="440">
        <v>9.9555672459071778E-2</v>
      </c>
      <c r="R118" s="447" t="s">
        <v>470</v>
      </c>
    </row>
    <row r="119" spans="3:18">
      <c r="C119" s="1"/>
      <c r="D119" s="2"/>
      <c r="E119" s="1"/>
      <c r="F119" s="1"/>
      <c r="G119" s="1"/>
      <c r="H119" s="3"/>
      <c r="I119" s="1"/>
      <c r="J119" s="1"/>
      <c r="K119" s="1"/>
      <c r="O119" s="1"/>
      <c r="P119" s="1"/>
      <c r="Q119" s="441">
        <v>1845274304.95191</v>
      </c>
      <c r="R119" s="444" t="s">
        <v>471</v>
      </c>
    </row>
    <row r="120" spans="3:18">
      <c r="C120" s="1"/>
      <c r="D120" s="2"/>
      <c r="E120" s="1"/>
      <c r="F120" s="1"/>
      <c r="G120" s="1"/>
      <c r="H120" s="3"/>
      <c r="I120" s="1"/>
      <c r="J120" s="1"/>
      <c r="K120" s="1"/>
      <c r="O120" s="1"/>
      <c r="P120" s="1"/>
      <c r="Q120" s="441">
        <v>2008632153.7638299</v>
      </c>
      <c r="R120" s="445" t="s">
        <v>472</v>
      </c>
    </row>
    <row r="121" spans="3:18">
      <c r="C121" s="1"/>
      <c r="D121" s="2"/>
      <c r="E121" s="1"/>
      <c r="F121" s="1"/>
      <c r="G121" s="1"/>
      <c r="H121" s="3"/>
      <c r="I121" s="1"/>
      <c r="J121" s="1"/>
      <c r="K121" s="1"/>
      <c r="O121" s="1"/>
      <c r="P121" s="1"/>
      <c r="Q121" s="441">
        <v>1926953229.3578701</v>
      </c>
      <c r="R121" s="448" t="s">
        <v>473</v>
      </c>
    </row>
    <row r="122" spans="3:18" ht="13.5" thickBot="1">
      <c r="C122" s="1"/>
      <c r="D122" s="2"/>
      <c r="E122" s="1"/>
      <c r="F122" s="1"/>
      <c r="G122" s="1"/>
      <c r="H122" s="3"/>
      <c r="I122" s="1"/>
      <c r="J122" s="1"/>
      <c r="K122" s="1"/>
      <c r="O122" s="1"/>
      <c r="P122" s="1"/>
      <c r="Q122" s="441">
        <v>45165575.882299401</v>
      </c>
      <c r="R122" s="449" t="s">
        <v>474</v>
      </c>
    </row>
    <row r="123" spans="3:18">
      <c r="C123" s="1"/>
      <c r="D123" s="2"/>
      <c r="E123" s="1"/>
      <c r="F123" s="1"/>
      <c r="G123" s="1"/>
      <c r="H123" s="3"/>
      <c r="I123" s="1"/>
      <c r="J123" s="1"/>
      <c r="K123" s="1"/>
      <c r="L123" s="1"/>
      <c r="M123" s="1"/>
      <c r="O123" s="1"/>
      <c r="P123" s="1"/>
      <c r="Q123" s="1"/>
      <c r="R123" s="1"/>
    </row>
    <row r="124" spans="3:18">
      <c r="C124" s="1"/>
      <c r="D124" s="2"/>
      <c r="E124" s="1"/>
      <c r="F124" s="1"/>
      <c r="G124" s="1"/>
      <c r="H124" s="3"/>
      <c r="I124" s="1"/>
      <c r="J124" s="1"/>
      <c r="K124" s="1"/>
      <c r="L124" s="1"/>
      <c r="M124" s="1"/>
      <c r="O124" s="1"/>
      <c r="P124" s="1"/>
      <c r="Q124" s="228" t="s">
        <v>99</v>
      </c>
      <c r="R124" s="1" t="s">
        <v>111</v>
      </c>
    </row>
    <row r="125" spans="3:18" ht="13.5" thickBot="1">
      <c r="C125" s="1"/>
      <c r="D125" s="2"/>
      <c r="E125" s="1"/>
      <c r="F125" s="1"/>
      <c r="G125" s="1"/>
      <c r="H125" s="3"/>
      <c r="I125" s="1"/>
      <c r="J125" s="1"/>
      <c r="K125" s="1"/>
      <c r="L125" s="1"/>
      <c r="M125" s="1"/>
      <c r="O125" s="1"/>
      <c r="P125" s="1"/>
      <c r="Q125" s="230" t="s">
        <v>131</v>
      </c>
      <c r="R125" s="1"/>
    </row>
    <row r="126" spans="3:18">
      <c r="C126" s="1"/>
      <c r="D126" s="2"/>
      <c r="E126" s="1"/>
      <c r="F126" s="1"/>
      <c r="G126" s="1"/>
      <c r="H126" s="3"/>
      <c r="I126" s="1"/>
      <c r="J126" s="1"/>
      <c r="K126" s="1"/>
      <c r="L126" s="1"/>
      <c r="M126" s="1"/>
      <c r="O126" s="1"/>
      <c r="P126" s="1"/>
      <c r="Q126" s="232">
        <f>+L17</f>
        <v>77320357.685329109</v>
      </c>
      <c r="R126" s="1" t="str">
        <f>+J17&amp;" "&amp;L15</f>
        <v>PROJECTED YEAR Rev Require</v>
      </c>
    </row>
    <row r="127" spans="3:18">
      <c r="C127" s="21"/>
      <c r="D127" s="83"/>
      <c r="E127" s="21"/>
      <c r="F127" s="21"/>
      <c r="G127" s="21"/>
      <c r="H127" s="85"/>
      <c r="I127" s="1"/>
      <c r="J127" s="1"/>
      <c r="K127" s="1"/>
      <c r="L127" s="1"/>
      <c r="M127" s="1"/>
      <c r="O127" s="1"/>
      <c r="P127" s="1"/>
      <c r="Q127" s="233">
        <f>+M17</f>
        <v>77320357.685329109</v>
      </c>
      <c r="R127" s="1" t="str">
        <f>J17&amp;" "&amp;M15</f>
        <v>PROJECTED YEAR  W Incentives</v>
      </c>
    </row>
    <row r="128" spans="3:18" ht="13.5" thickBot="1">
      <c r="C128" s="21"/>
      <c r="D128" s="83"/>
      <c r="E128" s="21"/>
      <c r="F128" s="21"/>
      <c r="G128" s="21"/>
      <c r="H128" s="85"/>
      <c r="I128" s="1"/>
      <c r="J128" s="1"/>
      <c r="K128" s="1"/>
      <c r="L128" s="1"/>
      <c r="M128" s="1"/>
      <c r="O128" s="1"/>
      <c r="P128" s="1"/>
      <c r="Q128" s="234">
        <f>+N17</f>
        <v>0</v>
      </c>
      <c r="R128" s="1" t="str">
        <f>J17&amp;" "&amp;N15</f>
        <v>PROJECTED YEAR Incentive Amounts</v>
      </c>
    </row>
    <row r="129" spans="3:18">
      <c r="C129" s="21"/>
      <c r="D129" s="83"/>
      <c r="E129" s="21"/>
      <c r="F129" s="21"/>
      <c r="G129" s="21"/>
      <c r="H129" s="85"/>
      <c r="I129" s="1"/>
      <c r="J129" s="1"/>
      <c r="K129" s="1"/>
      <c r="L129" s="1"/>
      <c r="M129" s="1"/>
      <c r="N129" s="1"/>
      <c r="O129" s="1"/>
      <c r="P129" s="1"/>
      <c r="Q129" s="1"/>
      <c r="R129" s="1"/>
    </row>
    <row r="130" spans="3:18">
      <c r="C130" s="21"/>
      <c r="D130" s="83"/>
      <c r="E130" s="21"/>
      <c r="F130" s="21"/>
      <c r="G130" s="21"/>
      <c r="H130" s="85"/>
      <c r="I130" s="1"/>
      <c r="J130" s="1"/>
      <c r="K130" s="1"/>
      <c r="L130" s="1"/>
      <c r="M130" s="1"/>
      <c r="N130" s="1"/>
      <c r="O130" s="1"/>
      <c r="P130" s="1"/>
      <c r="Q130" s="1"/>
      <c r="R130" s="1"/>
    </row>
    <row r="131" spans="3:18">
      <c r="C131" s="21"/>
      <c r="D131" s="83"/>
      <c r="E131" s="21"/>
      <c r="F131" s="21"/>
      <c r="G131" s="21"/>
      <c r="H131" s="85"/>
      <c r="I131" s="1"/>
      <c r="J131" s="1"/>
      <c r="K131" s="1"/>
      <c r="L131" s="1"/>
      <c r="M131" s="1"/>
      <c r="N131" s="1"/>
      <c r="O131" s="1"/>
      <c r="P131" s="1"/>
      <c r="Q131" s="228" t="s">
        <v>109</v>
      </c>
      <c r="R131" s="227" t="s">
        <v>110</v>
      </c>
    </row>
  </sheetData>
  <mergeCells count="8">
    <mergeCell ref="C77:E77"/>
    <mergeCell ref="J13:N14"/>
    <mergeCell ref="C6:H6"/>
    <mergeCell ref="A1:I1"/>
    <mergeCell ref="A2:I2"/>
    <mergeCell ref="A3:I3"/>
    <mergeCell ref="A4:I4"/>
    <mergeCell ref="J6:N8"/>
  </mergeCells>
  <phoneticPr fontId="0" type="noConversion"/>
  <printOptions horizontalCentered="1"/>
  <pageMargins left="0.25" right="0.25" top="0.75" bottom="0.25" header="0.25" footer="0.5"/>
  <pageSetup scale="41" fitToHeight="2" orientation="landscape" horizontalDpi="1200" verticalDpi="1200" r:id="rId1"/>
  <headerFooter alignWithMargins="0">
    <oddHeader xml:space="preserve">&amp;R&amp;16AEP - SPP Formula Rate
SWEPCO TCOS - WS F
Page: &amp;P of &amp;N
</oddHeader>
    <oddFooter>&amp;L&amp;A</oddFooter>
  </headerFooter>
  <drawing r:id="rId2"/>
  <legacyDrawing r:id="rId3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66"/>
  <dimension ref="A1:Q162"/>
  <sheetViews>
    <sheetView view="pageBreakPreview" zoomScale="75" zoomScaleNormal="100" zoomScaleSheetLayoutView="75" workbookViewId="0">
      <selection activeCell="C19" sqref="C19"/>
    </sheetView>
  </sheetViews>
  <sheetFormatPr defaultRowHeight="12.75" customHeight="1"/>
  <cols>
    <col min="1" max="1" width="4.7109375" customWidth="1"/>
    <col min="2" max="2" width="6.7109375" customWidth="1"/>
    <col min="3" max="3" width="23.28515625" customWidth="1"/>
    <col min="4" max="8" width="17.7109375" customWidth="1"/>
    <col min="9" max="9" width="20.42578125" customWidth="1"/>
    <col min="10" max="10" width="16.42578125" customWidth="1"/>
    <col min="11" max="11" width="17.7109375" customWidth="1"/>
    <col min="12" max="12" width="16.140625" customWidth="1"/>
    <col min="13" max="13" width="17.7109375" customWidth="1"/>
    <col min="14" max="14" width="16.140625" customWidth="1"/>
    <col min="15" max="15" width="16.85546875" customWidth="1"/>
    <col min="16" max="16" width="24.42578125" customWidth="1"/>
    <col min="17" max="17" width="4.7109375" customWidth="1"/>
    <col min="23" max="23" width="9.140625" customWidth="1"/>
  </cols>
  <sheetData>
    <row r="1" spans="1:17" ht="20.25">
      <c r="A1" s="243" t="s">
        <v>128</v>
      </c>
      <c r="B1" s="1"/>
      <c r="C1" s="21"/>
      <c r="D1" s="2"/>
      <c r="E1" s="1"/>
      <c r="F1" s="99"/>
      <c r="G1" s="1"/>
      <c r="H1" s="3"/>
      <c r="J1" s="7"/>
      <c r="K1" s="109"/>
      <c r="L1" s="109"/>
      <c r="M1" s="109"/>
      <c r="P1" s="249" t="str">
        <f ca="1">"SWEPCO Project "&amp;RIGHT(MID(CELL("filename",$A$1),FIND("]",CELL("filename",$A$1))+1,256),2)&amp;" of "&amp;COUNT('S.001:S.xyz - blank'!$P$3)-1</f>
        <v>SWEPCO Project 17 of 73</v>
      </c>
      <c r="Q1" s="108"/>
    </row>
    <row r="2" spans="1:17" ht="18">
      <c r="B2" s="1"/>
      <c r="C2" s="1"/>
      <c r="D2" s="2"/>
      <c r="E2" s="1"/>
      <c r="F2" s="1"/>
      <c r="G2" s="1"/>
      <c r="H2" s="3"/>
      <c r="I2" s="1"/>
      <c r="J2" s="4"/>
      <c r="K2" s="1"/>
      <c r="L2" s="1"/>
      <c r="M2" s="1"/>
      <c r="N2" s="1"/>
      <c r="P2" s="237" t="s">
        <v>124</v>
      </c>
    </row>
    <row r="3" spans="1:17" ht="18.75">
      <c r="B3" s="5" t="s">
        <v>40</v>
      </c>
      <c r="C3" s="68" t="s">
        <v>41</v>
      </c>
      <c r="D3" s="2"/>
      <c r="E3" s="1"/>
      <c r="F3" s="1"/>
      <c r="G3" s="1"/>
      <c r="H3" s="3"/>
      <c r="I3" s="3"/>
      <c r="J3" s="111"/>
      <c r="K3" s="3"/>
      <c r="L3" s="3"/>
      <c r="M3" s="3"/>
      <c r="N3" s="3"/>
      <c r="O3" s="1" t="str">
        <f>RIGHT(N3,3)</f>
        <v/>
      </c>
      <c r="P3" s="239">
        <v>1</v>
      </c>
    </row>
    <row r="4" spans="1:17" ht="15.75" thickBot="1">
      <c r="C4" s="67"/>
      <c r="D4" s="2"/>
      <c r="E4" s="1"/>
      <c r="F4" s="1"/>
      <c r="G4" s="1"/>
      <c r="H4" s="3"/>
      <c r="I4" s="3"/>
      <c r="J4" s="111"/>
      <c r="K4" s="3"/>
      <c r="L4" s="3"/>
      <c r="M4" s="3"/>
      <c r="N4" s="3"/>
      <c r="O4" s="1"/>
      <c r="P4" s="1"/>
    </row>
    <row r="5" spans="1:17" ht="15">
      <c r="C5" s="112" t="s">
        <v>42</v>
      </c>
      <c r="D5" s="2"/>
      <c r="E5" s="1"/>
      <c r="F5" s="1"/>
      <c r="G5" s="113"/>
      <c r="H5" s="1" t="s">
        <v>43</v>
      </c>
      <c r="I5" s="1"/>
      <c r="J5" s="4"/>
      <c r="K5" s="268" t="s">
        <v>152</v>
      </c>
      <c r="L5" s="114"/>
      <c r="M5" s="115"/>
      <c r="N5" s="116">
        <f>VLOOKUP(I10,C17:I72,5)</f>
        <v>189755.62532050579</v>
      </c>
      <c r="P5" s="1"/>
    </row>
    <row r="6" spans="1:17" ht="15.75">
      <c r="C6" s="8"/>
      <c r="D6" s="2"/>
      <c r="E6" s="1"/>
      <c r="F6" s="1"/>
      <c r="G6" s="1"/>
      <c r="H6" s="117"/>
      <c r="I6" s="117"/>
      <c r="J6" s="118"/>
      <c r="K6" s="269" t="s">
        <v>153</v>
      </c>
      <c r="L6" s="119"/>
      <c r="M6" s="4"/>
      <c r="N6" s="120">
        <f>VLOOKUP(I10,C17:I72,6)</f>
        <v>189755.62532050579</v>
      </c>
      <c r="O6" s="1"/>
      <c r="P6" s="1"/>
    </row>
    <row r="7" spans="1:17" ht="13.5" thickBot="1">
      <c r="C7" s="121" t="s">
        <v>44</v>
      </c>
      <c r="D7" s="273" t="s">
        <v>229</v>
      </c>
      <c r="E7" s="1"/>
      <c r="F7" s="1"/>
      <c r="G7" s="1"/>
      <c r="H7" s="3"/>
      <c r="I7" s="3"/>
      <c r="J7" s="111"/>
      <c r="K7" s="122" t="s">
        <v>45</v>
      </c>
      <c r="L7" s="123"/>
      <c r="M7" s="123"/>
      <c r="N7" s="124">
        <f>+N6-N5</f>
        <v>0</v>
      </c>
      <c r="O7" s="1"/>
      <c r="P7" s="1"/>
    </row>
    <row r="8" spans="1:17" ht="13.5" thickBot="1">
      <c r="C8" s="125"/>
      <c r="D8" s="250" t="str">
        <f>IF(D10&lt;100000,"DOES NOT MEET SPP $100,000 MINIMUM INVESTMENT FOR REGIONAL BPU SHARING.","")</f>
        <v/>
      </c>
      <c r="E8" s="126"/>
      <c r="F8" s="126"/>
      <c r="G8" s="126"/>
      <c r="H8" s="126"/>
      <c r="I8" s="126"/>
      <c r="J8" s="101"/>
      <c r="K8" s="126"/>
      <c r="L8" s="126"/>
      <c r="M8" s="126"/>
      <c r="N8" s="126"/>
      <c r="O8" s="101"/>
      <c r="P8" s="21"/>
    </row>
    <row r="9" spans="1:17" ht="13.5" thickBot="1">
      <c r="A9" s="103"/>
      <c r="C9" s="127" t="s">
        <v>46</v>
      </c>
      <c r="D9" s="225" t="s">
        <v>158</v>
      </c>
      <c r="E9" s="401" t="s">
        <v>411</v>
      </c>
      <c r="F9" s="128"/>
      <c r="G9" s="128"/>
      <c r="H9" s="128"/>
      <c r="I9" s="129"/>
      <c r="J9" s="130"/>
      <c r="O9" s="131"/>
      <c r="P9" s="4"/>
    </row>
    <row r="10" spans="1:17">
      <c r="C10" s="132" t="s">
        <v>47</v>
      </c>
      <c r="D10" s="133">
        <v>1949836.51</v>
      </c>
      <c r="E10" s="61" t="s">
        <v>459</v>
      </c>
      <c r="F10" s="131"/>
      <c r="G10" s="134"/>
      <c r="H10" s="134"/>
      <c r="I10" s="135">
        <f>+SWE.WS.F.BPU.ATRR.Projected!K17</f>
        <v>2019</v>
      </c>
      <c r="J10" s="130"/>
      <c r="K10" s="111" t="s">
        <v>48</v>
      </c>
      <c r="O10" s="4"/>
      <c r="P10" s="4"/>
    </row>
    <row r="11" spans="1:17">
      <c r="C11" s="136" t="s">
        <v>49</v>
      </c>
      <c r="D11" s="137">
        <v>2008</v>
      </c>
      <c r="E11" s="136" t="s">
        <v>50</v>
      </c>
      <c r="F11" s="134"/>
      <c r="G11" s="7"/>
      <c r="H11" s="7"/>
      <c r="I11" s="138">
        <v>0</v>
      </c>
      <c r="J11" s="139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4"/>
      <c r="P11" s="4"/>
    </row>
    <row r="12" spans="1:17">
      <c r="C12" s="136" t="s">
        <v>51</v>
      </c>
      <c r="D12" s="133">
        <v>6</v>
      </c>
      <c r="E12" s="136" t="s">
        <v>52</v>
      </c>
      <c r="F12" s="134"/>
      <c r="G12" s="7"/>
      <c r="H12" s="7"/>
      <c r="I12" s="140">
        <f>SWE.WS.F.BPU.ATRR.Projected!$F$76</f>
        <v>9.9555672459071778E-2</v>
      </c>
      <c r="J12" s="141"/>
      <c r="K12" t="s">
        <v>53</v>
      </c>
      <c r="O12" s="4"/>
      <c r="P12" s="4"/>
    </row>
    <row r="13" spans="1:17">
      <c r="C13" s="136" t="s">
        <v>54</v>
      </c>
      <c r="D13" s="138">
        <f>+SWE.WS.F.BPU.ATRR.Projected!F$87</f>
        <v>43</v>
      </c>
      <c r="E13" s="136" t="s">
        <v>55</v>
      </c>
      <c r="F13" s="134"/>
      <c r="G13" s="7"/>
      <c r="H13" s="7"/>
      <c r="I13" s="140">
        <f>IF(G5="",I12,SWE.WS.F.BPU.ATRR.Projected!$F$75)</f>
        <v>9.9555672459071778E-2</v>
      </c>
      <c r="J13" s="141"/>
      <c r="K13" s="111" t="s">
        <v>56</v>
      </c>
      <c r="L13" s="58"/>
      <c r="M13" s="58"/>
      <c r="N13" s="58"/>
      <c r="O13" s="4"/>
      <c r="P13" s="4"/>
    </row>
    <row r="14" spans="1:17" ht="13.5" thickBot="1">
      <c r="C14" s="136" t="s">
        <v>57</v>
      </c>
      <c r="D14" s="137" t="s">
        <v>58</v>
      </c>
      <c r="E14" s="4" t="s">
        <v>59</v>
      </c>
      <c r="F14" s="134"/>
      <c r="G14" s="7"/>
      <c r="H14" s="7"/>
      <c r="I14" s="142">
        <f>IF(D10=0,0,D10/D13)</f>
        <v>45345.035116279068</v>
      </c>
      <c r="J14" s="111"/>
      <c r="K14" s="111"/>
      <c r="L14" s="111"/>
      <c r="M14" s="111"/>
      <c r="N14" s="111"/>
      <c r="O14" s="4"/>
      <c r="P14" s="4"/>
    </row>
    <row r="15" spans="1:17" ht="38.25">
      <c r="C15" s="143" t="s">
        <v>47</v>
      </c>
      <c r="D15" s="144" t="s">
        <v>60</v>
      </c>
      <c r="E15" s="144" t="s">
        <v>61</v>
      </c>
      <c r="F15" s="144" t="s">
        <v>62</v>
      </c>
      <c r="G15" s="434" t="s">
        <v>378</v>
      </c>
      <c r="H15" s="435" t="s">
        <v>379</v>
      </c>
      <c r="I15" s="351" t="s">
        <v>249</v>
      </c>
      <c r="J15" s="145"/>
      <c r="K15" s="271" t="s">
        <v>219</v>
      </c>
      <c r="L15" s="146" t="s">
        <v>64</v>
      </c>
      <c r="M15" s="271" t="s">
        <v>219</v>
      </c>
      <c r="N15" s="146" t="s">
        <v>64</v>
      </c>
      <c r="O15" s="146" t="s">
        <v>65</v>
      </c>
      <c r="P15" s="4"/>
    </row>
    <row r="16" spans="1:17" ht="13.5" thickBot="1">
      <c r="C16" s="147" t="s">
        <v>66</v>
      </c>
      <c r="D16" s="147" t="s">
        <v>67</v>
      </c>
      <c r="E16" s="147" t="s">
        <v>68</v>
      </c>
      <c r="F16" s="147" t="s">
        <v>67</v>
      </c>
      <c r="G16" s="408" t="s">
        <v>69</v>
      </c>
      <c r="H16" s="148" t="s">
        <v>70</v>
      </c>
      <c r="I16" s="149" t="s">
        <v>89</v>
      </c>
      <c r="J16" s="150" t="s">
        <v>71</v>
      </c>
      <c r="K16" s="151" t="s">
        <v>72</v>
      </c>
      <c r="L16" s="151" t="s">
        <v>72</v>
      </c>
      <c r="M16" s="151" t="s">
        <v>90</v>
      </c>
      <c r="N16" s="152" t="s">
        <v>90</v>
      </c>
      <c r="O16" s="151" t="s">
        <v>90</v>
      </c>
      <c r="P16" s="4"/>
    </row>
    <row r="17" spans="2:16">
      <c r="C17" s="153">
        <f>IF(D11= "","-",D11)</f>
        <v>2008</v>
      </c>
      <c r="D17" s="357">
        <v>1300389</v>
      </c>
      <c r="E17" s="358">
        <v>17573</v>
      </c>
      <c r="F17" s="357">
        <v>1282816</v>
      </c>
      <c r="G17" s="358">
        <v>132261</v>
      </c>
      <c r="H17" s="359">
        <v>132261</v>
      </c>
      <c r="I17" s="156">
        <f t="shared" ref="I17:I48" si="0">H17-G17</f>
        <v>0</v>
      </c>
      <c r="J17" s="156"/>
      <c r="K17" s="256">
        <v>0</v>
      </c>
      <c r="L17" s="172">
        <f t="shared" ref="L17:L48" si="1">IF(K17&lt;&gt;0,+G17-K17,0)</f>
        <v>0</v>
      </c>
      <c r="M17" s="256">
        <v>0</v>
      </c>
      <c r="N17" s="157">
        <f t="shared" ref="N17:N48" si="2">IF(M17&lt;&gt;0,+H17-M17,0)</f>
        <v>0</v>
      </c>
      <c r="O17" s="158">
        <f t="shared" ref="O17:O48" si="3">+N17-L17</f>
        <v>0</v>
      </c>
      <c r="P17" s="4"/>
    </row>
    <row r="18" spans="2:16">
      <c r="B18" s="9" t="str">
        <f>IF(D18=F17,"","IU")</f>
        <v/>
      </c>
      <c r="C18" s="153">
        <f>IF(D11="","-",+C17+1)</f>
        <v>2009</v>
      </c>
      <c r="D18" s="361">
        <v>1282816</v>
      </c>
      <c r="E18" s="360">
        <v>35146</v>
      </c>
      <c r="F18" s="361">
        <v>1247671</v>
      </c>
      <c r="G18" s="360">
        <v>226367</v>
      </c>
      <c r="H18" s="359">
        <v>226367</v>
      </c>
      <c r="I18" s="156">
        <f t="shared" si="0"/>
        <v>0</v>
      </c>
      <c r="J18" s="156"/>
      <c r="K18" s="258">
        <v>226367</v>
      </c>
      <c r="L18" s="158">
        <f t="shared" si="1"/>
        <v>0</v>
      </c>
      <c r="M18" s="258">
        <v>226367</v>
      </c>
      <c r="N18" s="158">
        <f t="shared" si="2"/>
        <v>0</v>
      </c>
      <c r="O18" s="158">
        <f t="shared" si="3"/>
        <v>0</v>
      </c>
      <c r="P18" s="4"/>
    </row>
    <row r="19" spans="2:16">
      <c r="B19" s="9" t="str">
        <f>IF(D19=F18,"","IU")</f>
        <v>IU</v>
      </c>
      <c r="C19" s="153">
        <f>IF(D11="","-",+C18+1)</f>
        <v>2010</v>
      </c>
      <c r="D19" s="361">
        <v>1897117.51</v>
      </c>
      <c r="E19" s="360">
        <v>51311.487105263157</v>
      </c>
      <c r="F19" s="361">
        <v>1845806.0228947368</v>
      </c>
      <c r="G19" s="360">
        <v>316673.78856446606</v>
      </c>
      <c r="H19" s="359">
        <v>316673.78856446606</v>
      </c>
      <c r="I19" s="368">
        <v>0</v>
      </c>
      <c r="J19" s="156"/>
      <c r="K19" s="258">
        <f t="shared" ref="K19:K24" si="4">G19</f>
        <v>316673.78856446606</v>
      </c>
      <c r="L19" s="257">
        <f t="shared" si="1"/>
        <v>0</v>
      </c>
      <c r="M19" s="258">
        <f t="shared" ref="M19:M24" si="5">H19</f>
        <v>316673.78856446606</v>
      </c>
      <c r="N19" s="158">
        <f t="shared" si="2"/>
        <v>0</v>
      </c>
      <c r="O19" s="158">
        <f t="shared" si="3"/>
        <v>0</v>
      </c>
      <c r="P19" s="4"/>
    </row>
    <row r="20" spans="2:16">
      <c r="B20" s="9" t="str">
        <f t="shared" ref="B20:B72" si="6">IF(D20=F19,"","IU")</f>
        <v/>
      </c>
      <c r="C20" s="153">
        <f>IF(D11="","-",+C19+1)</f>
        <v>2011</v>
      </c>
      <c r="D20" s="361">
        <v>1845806.0228947368</v>
      </c>
      <c r="E20" s="360">
        <v>47556.988048780491</v>
      </c>
      <c r="F20" s="361">
        <v>1798249.0348459564</v>
      </c>
      <c r="G20" s="360">
        <v>328429.43288363499</v>
      </c>
      <c r="H20" s="359">
        <v>328429.43288363499</v>
      </c>
      <c r="I20" s="368">
        <v>0</v>
      </c>
      <c r="J20" s="156"/>
      <c r="K20" s="258">
        <f t="shared" si="4"/>
        <v>328429.43288363499</v>
      </c>
      <c r="L20" s="257">
        <f t="shared" si="1"/>
        <v>0</v>
      </c>
      <c r="M20" s="258">
        <f t="shared" si="5"/>
        <v>328429.43288363499</v>
      </c>
      <c r="N20" s="158">
        <f t="shared" si="2"/>
        <v>0</v>
      </c>
      <c r="O20" s="158">
        <f t="shared" si="3"/>
        <v>0</v>
      </c>
      <c r="P20" s="4"/>
    </row>
    <row r="21" spans="2:16">
      <c r="B21" s="9" t="str">
        <f t="shared" si="6"/>
        <v/>
      </c>
      <c r="C21" s="153">
        <f>IF(D12="","-",+C20+1)</f>
        <v>2012</v>
      </c>
      <c r="D21" s="361">
        <v>1798249.0348459564</v>
      </c>
      <c r="E21" s="377">
        <v>46424.678809523808</v>
      </c>
      <c r="F21" s="361">
        <v>1751824.3560364326</v>
      </c>
      <c r="G21" s="360">
        <v>306956.24241271312</v>
      </c>
      <c r="H21" s="359">
        <v>306956.24241271312</v>
      </c>
      <c r="I21" s="368">
        <v>0</v>
      </c>
      <c r="J21" s="156"/>
      <c r="K21" s="258">
        <f t="shared" si="4"/>
        <v>306956.24241271312</v>
      </c>
      <c r="L21" s="257">
        <f t="shared" si="1"/>
        <v>0</v>
      </c>
      <c r="M21" s="258">
        <f t="shared" si="5"/>
        <v>306956.24241271312</v>
      </c>
      <c r="N21" s="158">
        <f t="shared" si="2"/>
        <v>0</v>
      </c>
      <c r="O21" s="158">
        <f t="shared" si="3"/>
        <v>0</v>
      </c>
      <c r="P21" s="4"/>
    </row>
    <row r="22" spans="2:16">
      <c r="B22" s="9" t="str">
        <f t="shared" si="6"/>
        <v/>
      </c>
      <c r="C22" s="153">
        <f>IF(D11="","-",+C21+1)</f>
        <v>2013</v>
      </c>
      <c r="D22" s="396">
        <v>1751824.3560364326</v>
      </c>
      <c r="E22" s="397">
        <v>46424.678809523808</v>
      </c>
      <c r="F22" s="396">
        <v>1705399.6772269087</v>
      </c>
      <c r="G22" s="397">
        <v>285158.60339753365</v>
      </c>
      <c r="H22" s="395">
        <v>285158.60339753365</v>
      </c>
      <c r="I22" s="398">
        <v>0</v>
      </c>
      <c r="J22" s="156"/>
      <c r="K22" s="258">
        <f t="shared" si="4"/>
        <v>285158.60339753365</v>
      </c>
      <c r="L22" s="257">
        <f t="shared" ref="L22:L27" si="7">IF(K22&lt;&gt;0,+G22-K22,0)</f>
        <v>0</v>
      </c>
      <c r="M22" s="258">
        <f t="shared" si="5"/>
        <v>285158.60339753365</v>
      </c>
      <c r="N22" s="158">
        <f t="shared" ref="N22:N27" si="8">IF(M22&lt;&gt;0,+H22-M22,0)</f>
        <v>0</v>
      </c>
      <c r="O22" s="158">
        <f t="shared" ref="O22:O27" si="9">+N22-L22</f>
        <v>0</v>
      </c>
      <c r="P22" s="4"/>
    </row>
    <row r="23" spans="2:16">
      <c r="B23" s="9" t="str">
        <f t="shared" si="6"/>
        <v/>
      </c>
      <c r="C23" s="153">
        <f>IF(D11="","-",+C22+1)</f>
        <v>2014</v>
      </c>
      <c r="D23" s="396">
        <v>1705399.6772269087</v>
      </c>
      <c r="E23" s="397">
        <v>46424.678809523808</v>
      </c>
      <c r="F23" s="396">
        <v>1658974.9984173849</v>
      </c>
      <c r="G23" s="397">
        <v>270237.83902004722</v>
      </c>
      <c r="H23" s="395">
        <v>270237.83902004722</v>
      </c>
      <c r="I23" s="398">
        <v>0</v>
      </c>
      <c r="J23" s="156"/>
      <c r="K23" s="258">
        <f t="shared" si="4"/>
        <v>270237.83902004722</v>
      </c>
      <c r="L23" s="257">
        <f t="shared" si="7"/>
        <v>0</v>
      </c>
      <c r="M23" s="258">
        <f t="shared" si="5"/>
        <v>270237.83902004722</v>
      </c>
      <c r="N23" s="158">
        <f t="shared" si="8"/>
        <v>0</v>
      </c>
      <c r="O23" s="158">
        <f t="shared" si="9"/>
        <v>0</v>
      </c>
      <c r="P23" s="4"/>
    </row>
    <row r="24" spans="2:16">
      <c r="B24" s="9" t="str">
        <f t="shared" si="6"/>
        <v/>
      </c>
      <c r="C24" s="153">
        <f>IF(D11="","-",+C23+1)</f>
        <v>2015</v>
      </c>
      <c r="D24" s="396">
        <v>1658974.9984173849</v>
      </c>
      <c r="E24" s="397">
        <v>46424.678809523808</v>
      </c>
      <c r="F24" s="396">
        <v>1612550.3196078611</v>
      </c>
      <c r="G24" s="397">
        <v>258805.29771582928</v>
      </c>
      <c r="H24" s="395">
        <v>258805.29771582928</v>
      </c>
      <c r="I24" s="156">
        <v>0</v>
      </c>
      <c r="J24" s="156"/>
      <c r="K24" s="258">
        <f t="shared" si="4"/>
        <v>258805.29771582928</v>
      </c>
      <c r="L24" s="257">
        <f t="shared" si="7"/>
        <v>0</v>
      </c>
      <c r="M24" s="258">
        <f t="shared" si="5"/>
        <v>258805.29771582928</v>
      </c>
      <c r="N24" s="158">
        <f t="shared" si="8"/>
        <v>0</v>
      </c>
      <c r="O24" s="158">
        <f t="shared" si="9"/>
        <v>0</v>
      </c>
      <c r="P24" s="4"/>
    </row>
    <row r="25" spans="2:16">
      <c r="B25" s="9" t="str">
        <f t="shared" si="6"/>
        <v/>
      </c>
      <c r="C25" s="153">
        <f>IF(D11="","-",+C24+1)</f>
        <v>2016</v>
      </c>
      <c r="D25" s="396">
        <v>1612550.3196078611</v>
      </c>
      <c r="E25" s="397">
        <v>46424.678809523808</v>
      </c>
      <c r="F25" s="396">
        <v>1566125.6407983373</v>
      </c>
      <c r="G25" s="397">
        <v>250146.26304105911</v>
      </c>
      <c r="H25" s="395">
        <v>250146.26304105911</v>
      </c>
      <c r="I25" s="156">
        <f t="shared" si="0"/>
        <v>0</v>
      </c>
      <c r="J25" s="156"/>
      <c r="K25" s="258">
        <f>G25</f>
        <v>250146.26304105911</v>
      </c>
      <c r="L25" s="257">
        <f t="shared" si="7"/>
        <v>0</v>
      </c>
      <c r="M25" s="258">
        <f>H25</f>
        <v>250146.26304105911</v>
      </c>
      <c r="N25" s="158">
        <f t="shared" si="8"/>
        <v>0</v>
      </c>
      <c r="O25" s="158">
        <f t="shared" si="9"/>
        <v>0</v>
      </c>
      <c r="P25" s="4"/>
    </row>
    <row r="26" spans="2:16">
      <c r="B26" s="9" t="str">
        <f t="shared" si="6"/>
        <v/>
      </c>
      <c r="C26" s="153">
        <f>IF(D11="","-",+C25+1)</f>
        <v>2017</v>
      </c>
      <c r="D26" s="396">
        <v>1566125.6407983373</v>
      </c>
      <c r="E26" s="397">
        <v>45345.035116279068</v>
      </c>
      <c r="F26" s="396">
        <v>1520780.6056820583</v>
      </c>
      <c r="G26" s="397">
        <v>236567.35307267582</v>
      </c>
      <c r="H26" s="395">
        <v>236567.35307267582</v>
      </c>
      <c r="I26" s="156">
        <f t="shared" si="0"/>
        <v>0</v>
      </c>
      <c r="J26" s="156"/>
      <c r="K26" s="258">
        <f>G26</f>
        <v>236567.35307267582</v>
      </c>
      <c r="L26" s="257">
        <f t="shared" si="7"/>
        <v>0</v>
      </c>
      <c r="M26" s="258">
        <f>H26</f>
        <v>236567.35307267582</v>
      </c>
      <c r="N26" s="158">
        <f t="shared" si="8"/>
        <v>0</v>
      </c>
      <c r="O26" s="158">
        <f t="shared" si="9"/>
        <v>0</v>
      </c>
      <c r="P26" s="4"/>
    </row>
    <row r="27" spans="2:16">
      <c r="B27" s="9" t="str">
        <f t="shared" si="6"/>
        <v/>
      </c>
      <c r="C27" s="153">
        <f>IF(D11="","-",+C26+1)</f>
        <v>2018</v>
      </c>
      <c r="D27" s="396">
        <v>1520780.6056820583</v>
      </c>
      <c r="E27" s="397">
        <v>47556.988048780491</v>
      </c>
      <c r="F27" s="396">
        <v>1473223.6176332778</v>
      </c>
      <c r="G27" s="397">
        <v>215047.88673784363</v>
      </c>
      <c r="H27" s="395">
        <v>215047.88673784363</v>
      </c>
      <c r="I27" s="156">
        <f t="shared" si="0"/>
        <v>0</v>
      </c>
      <c r="J27" s="156"/>
      <c r="K27" s="258">
        <f>G27</f>
        <v>215047.88673784363</v>
      </c>
      <c r="L27" s="257">
        <f t="shared" si="7"/>
        <v>0</v>
      </c>
      <c r="M27" s="258">
        <f>H27</f>
        <v>215047.88673784363</v>
      </c>
      <c r="N27" s="158">
        <f t="shared" si="8"/>
        <v>0</v>
      </c>
      <c r="O27" s="158">
        <f t="shared" si="9"/>
        <v>0</v>
      </c>
      <c r="P27" s="4"/>
    </row>
    <row r="28" spans="2:16">
      <c r="B28" s="9" t="str">
        <f t="shared" si="6"/>
        <v/>
      </c>
      <c r="C28" s="153">
        <f>IF(D11="","-",+C27+1)</f>
        <v>2019</v>
      </c>
      <c r="D28" s="159">
        <f>IF(F27+SUM(E$17:E27)=D$10,F27,D$10-SUM(E$17:E27))</f>
        <v>1473223.6176332778</v>
      </c>
      <c r="E28" s="160">
        <f>IF(+I14&lt;F27,I14,D28)</f>
        <v>45345.035116279068</v>
      </c>
      <c r="F28" s="159">
        <f t="shared" ref="F28:F48" si="10">+D28-E28</f>
        <v>1427878.5825169988</v>
      </c>
      <c r="G28" s="161">
        <f t="shared" ref="G28:G72" si="11">+I$12*((D28+F28)/2)+E28</f>
        <v>189755.62532050579</v>
      </c>
      <c r="H28" s="142">
        <f t="shared" ref="H28:H72" si="12">+I$13*((D28+F28)/2)+E28</f>
        <v>189755.62532050579</v>
      </c>
      <c r="I28" s="156">
        <f t="shared" si="0"/>
        <v>0</v>
      </c>
      <c r="J28" s="156"/>
      <c r="K28" s="334"/>
      <c r="L28" s="158">
        <f t="shared" si="1"/>
        <v>0</v>
      </c>
      <c r="M28" s="334"/>
      <c r="N28" s="158">
        <f t="shared" si="2"/>
        <v>0</v>
      </c>
      <c r="O28" s="158">
        <f t="shared" si="3"/>
        <v>0</v>
      </c>
      <c r="P28" s="4"/>
    </row>
    <row r="29" spans="2:16">
      <c r="B29" s="9" t="str">
        <f t="shared" si="6"/>
        <v/>
      </c>
      <c r="C29" s="153">
        <f>IF(D11="","-",+C28+1)</f>
        <v>2020</v>
      </c>
      <c r="D29" s="159">
        <f>IF(F28+SUM(E$17:E28)=D$10,F28,D$10-SUM(E$17:E28))</f>
        <v>1427878.5825169988</v>
      </c>
      <c r="E29" s="160">
        <f>IF(+I14&lt;F28,I14,D29)</f>
        <v>45345.035116279068</v>
      </c>
      <c r="F29" s="159">
        <f t="shared" si="10"/>
        <v>1382533.5474007197</v>
      </c>
      <c r="G29" s="161">
        <f t="shared" si="11"/>
        <v>185241.26985682439</v>
      </c>
      <c r="H29" s="142">
        <f t="shared" si="12"/>
        <v>185241.26985682439</v>
      </c>
      <c r="I29" s="156">
        <f t="shared" si="0"/>
        <v>0</v>
      </c>
      <c r="J29" s="156"/>
      <c r="K29" s="334"/>
      <c r="L29" s="158">
        <f t="shared" si="1"/>
        <v>0</v>
      </c>
      <c r="M29" s="334"/>
      <c r="N29" s="158">
        <f t="shared" si="2"/>
        <v>0</v>
      </c>
      <c r="O29" s="158">
        <f t="shared" si="3"/>
        <v>0</v>
      </c>
      <c r="P29" s="4"/>
    </row>
    <row r="30" spans="2:16">
      <c r="B30" s="9" t="str">
        <f t="shared" si="6"/>
        <v/>
      </c>
      <c r="C30" s="153">
        <f>IF(D11="","-",+C29+1)</f>
        <v>2021</v>
      </c>
      <c r="D30" s="159">
        <f>IF(F29+SUM(E$17:E29)=D$10,F29,D$10-SUM(E$17:E29))</f>
        <v>1382533.5474007197</v>
      </c>
      <c r="E30" s="160">
        <f>IF(+I14&lt;F29,I14,D30)</f>
        <v>45345.035116279068</v>
      </c>
      <c r="F30" s="159">
        <f t="shared" si="10"/>
        <v>1337188.5122844407</v>
      </c>
      <c r="G30" s="161">
        <f t="shared" si="11"/>
        <v>180726.914393143</v>
      </c>
      <c r="H30" s="142">
        <f t="shared" si="12"/>
        <v>180726.914393143</v>
      </c>
      <c r="I30" s="156">
        <f t="shared" si="0"/>
        <v>0</v>
      </c>
      <c r="J30" s="156"/>
      <c r="K30" s="334"/>
      <c r="L30" s="158">
        <f t="shared" si="1"/>
        <v>0</v>
      </c>
      <c r="M30" s="334"/>
      <c r="N30" s="158">
        <f t="shared" si="2"/>
        <v>0</v>
      </c>
      <c r="O30" s="158">
        <f t="shared" si="3"/>
        <v>0</v>
      </c>
      <c r="P30" s="4"/>
    </row>
    <row r="31" spans="2:16">
      <c r="B31" s="9" t="str">
        <f t="shared" si="6"/>
        <v/>
      </c>
      <c r="C31" s="153">
        <f>IF(D11="","-",+C30+1)</f>
        <v>2022</v>
      </c>
      <c r="D31" s="159">
        <f>IF(F30+SUM(E$17:E30)=D$10,F30,D$10-SUM(E$17:E30))</f>
        <v>1337188.5122844407</v>
      </c>
      <c r="E31" s="160">
        <f>IF(+I14&lt;F30,I14,D31)</f>
        <v>45345.035116279068</v>
      </c>
      <c r="F31" s="159">
        <f t="shared" si="10"/>
        <v>1291843.4771681617</v>
      </c>
      <c r="G31" s="161">
        <f t="shared" si="11"/>
        <v>176212.55892946164</v>
      </c>
      <c r="H31" s="142">
        <f t="shared" si="12"/>
        <v>176212.55892946164</v>
      </c>
      <c r="I31" s="156">
        <f t="shared" si="0"/>
        <v>0</v>
      </c>
      <c r="J31" s="156"/>
      <c r="K31" s="334"/>
      <c r="L31" s="158">
        <f t="shared" si="1"/>
        <v>0</v>
      </c>
      <c r="M31" s="334"/>
      <c r="N31" s="158">
        <f t="shared" si="2"/>
        <v>0</v>
      </c>
      <c r="O31" s="158">
        <f t="shared" si="3"/>
        <v>0</v>
      </c>
      <c r="P31" s="4"/>
    </row>
    <row r="32" spans="2:16">
      <c r="B32" s="9" t="str">
        <f t="shared" si="6"/>
        <v/>
      </c>
      <c r="C32" s="153">
        <f>IF(D11="","-",+C31+1)</f>
        <v>2023</v>
      </c>
      <c r="D32" s="159">
        <f>IF(F31+SUM(E$17:E31)=D$10,F31,D$10-SUM(E$17:E31))</f>
        <v>1291843.4771681617</v>
      </c>
      <c r="E32" s="160">
        <f>IF(+I14&lt;F31,I14,D32)</f>
        <v>45345.035116279068</v>
      </c>
      <c r="F32" s="159">
        <f t="shared" si="10"/>
        <v>1246498.4420518826</v>
      </c>
      <c r="G32" s="161">
        <f t="shared" si="11"/>
        <v>171698.20346578024</v>
      </c>
      <c r="H32" s="142">
        <f t="shared" si="12"/>
        <v>171698.20346578024</v>
      </c>
      <c r="I32" s="156">
        <f t="shared" si="0"/>
        <v>0</v>
      </c>
      <c r="J32" s="156"/>
      <c r="K32" s="334"/>
      <c r="L32" s="158">
        <f t="shared" si="1"/>
        <v>0</v>
      </c>
      <c r="M32" s="334"/>
      <c r="N32" s="158">
        <f t="shared" si="2"/>
        <v>0</v>
      </c>
      <c r="O32" s="158">
        <f t="shared" si="3"/>
        <v>0</v>
      </c>
      <c r="P32" s="4"/>
    </row>
    <row r="33" spans="2:16">
      <c r="B33" s="9" t="str">
        <f t="shared" si="6"/>
        <v/>
      </c>
      <c r="C33" s="153">
        <f>IF(D11="","-",+C32+1)</f>
        <v>2024</v>
      </c>
      <c r="D33" s="159">
        <f>IF(F32+SUM(E$17:E32)=D$10,F32,D$10-SUM(E$17:E32))</f>
        <v>1246498.4420518826</v>
      </c>
      <c r="E33" s="160">
        <f>IF(+I14&lt;F32,I14,D33)</f>
        <v>45345.035116279068</v>
      </c>
      <c r="F33" s="159">
        <f t="shared" si="10"/>
        <v>1201153.4069356036</v>
      </c>
      <c r="G33" s="161">
        <f t="shared" si="11"/>
        <v>167183.84800209888</v>
      </c>
      <c r="H33" s="142">
        <f t="shared" si="12"/>
        <v>167183.84800209888</v>
      </c>
      <c r="I33" s="156">
        <f t="shared" si="0"/>
        <v>0</v>
      </c>
      <c r="J33" s="156"/>
      <c r="K33" s="334"/>
      <c r="L33" s="158">
        <f t="shared" si="1"/>
        <v>0</v>
      </c>
      <c r="M33" s="334"/>
      <c r="N33" s="158">
        <f t="shared" si="2"/>
        <v>0</v>
      </c>
      <c r="O33" s="158">
        <f t="shared" si="3"/>
        <v>0</v>
      </c>
      <c r="P33" s="4"/>
    </row>
    <row r="34" spans="2:16">
      <c r="B34" s="9" t="str">
        <f t="shared" si="6"/>
        <v/>
      </c>
      <c r="C34" s="153">
        <f>IF(D11="","-",+C33+1)</f>
        <v>2025</v>
      </c>
      <c r="D34" s="159">
        <f>IF(F33+SUM(E$17:E33)=D$10,F33,D$10-SUM(E$17:E33))</f>
        <v>1201153.4069356036</v>
      </c>
      <c r="E34" s="160">
        <f>IF(+I14&lt;F33,I14,D34)</f>
        <v>45345.035116279068</v>
      </c>
      <c r="F34" s="159">
        <f t="shared" si="10"/>
        <v>1155808.3718193246</v>
      </c>
      <c r="G34" s="161">
        <f t="shared" si="11"/>
        <v>162669.49253841749</v>
      </c>
      <c r="H34" s="142">
        <f t="shared" si="12"/>
        <v>162669.49253841749</v>
      </c>
      <c r="I34" s="156">
        <f t="shared" si="0"/>
        <v>0</v>
      </c>
      <c r="J34" s="156"/>
      <c r="K34" s="334"/>
      <c r="L34" s="158">
        <f t="shared" si="1"/>
        <v>0</v>
      </c>
      <c r="M34" s="334"/>
      <c r="N34" s="158">
        <f t="shared" si="2"/>
        <v>0</v>
      </c>
      <c r="O34" s="158">
        <f t="shared" si="3"/>
        <v>0</v>
      </c>
      <c r="P34" s="4"/>
    </row>
    <row r="35" spans="2:16">
      <c r="B35" s="9" t="str">
        <f t="shared" si="6"/>
        <v/>
      </c>
      <c r="C35" s="153">
        <f>IF(D11="","-",+C34+1)</f>
        <v>2026</v>
      </c>
      <c r="D35" s="159">
        <f>IF(F34+SUM(E$17:E34)=D$10,F34,D$10-SUM(E$17:E34))</f>
        <v>1155808.3718193246</v>
      </c>
      <c r="E35" s="160">
        <f>IF(+I14&lt;F34,I14,D35)</f>
        <v>45345.035116279068</v>
      </c>
      <c r="F35" s="159">
        <f t="shared" si="10"/>
        <v>1110463.3367030455</v>
      </c>
      <c r="G35" s="161">
        <f t="shared" si="11"/>
        <v>158155.13707473609</v>
      </c>
      <c r="H35" s="142">
        <f t="shared" si="12"/>
        <v>158155.13707473609</v>
      </c>
      <c r="I35" s="156">
        <f t="shared" si="0"/>
        <v>0</v>
      </c>
      <c r="J35" s="156"/>
      <c r="K35" s="334"/>
      <c r="L35" s="158">
        <f t="shared" si="1"/>
        <v>0</v>
      </c>
      <c r="M35" s="334"/>
      <c r="N35" s="158">
        <f t="shared" si="2"/>
        <v>0</v>
      </c>
      <c r="O35" s="158">
        <f t="shared" si="3"/>
        <v>0</v>
      </c>
      <c r="P35" s="4"/>
    </row>
    <row r="36" spans="2:16">
      <c r="B36" s="9" t="str">
        <f t="shared" si="6"/>
        <v/>
      </c>
      <c r="C36" s="153">
        <f>IF(D11="","-",+C35+1)</f>
        <v>2027</v>
      </c>
      <c r="D36" s="159">
        <f>IF(F35+SUM(E$17:E35)=D$10,F35,D$10-SUM(E$17:E35))</f>
        <v>1110463.3367030455</v>
      </c>
      <c r="E36" s="160">
        <f>IF(+I14&lt;F35,I14,D36)</f>
        <v>45345.035116279068</v>
      </c>
      <c r="F36" s="159">
        <f t="shared" si="10"/>
        <v>1065118.3015867665</v>
      </c>
      <c r="G36" s="161">
        <f t="shared" si="11"/>
        <v>153640.78161105473</v>
      </c>
      <c r="H36" s="142">
        <f t="shared" si="12"/>
        <v>153640.78161105473</v>
      </c>
      <c r="I36" s="156">
        <f t="shared" si="0"/>
        <v>0</v>
      </c>
      <c r="J36" s="156"/>
      <c r="K36" s="334"/>
      <c r="L36" s="158">
        <f t="shared" si="1"/>
        <v>0</v>
      </c>
      <c r="M36" s="334"/>
      <c r="N36" s="158">
        <f t="shared" si="2"/>
        <v>0</v>
      </c>
      <c r="O36" s="158">
        <f t="shared" si="3"/>
        <v>0</v>
      </c>
      <c r="P36" s="4"/>
    </row>
    <row r="37" spans="2:16">
      <c r="B37" s="9" t="str">
        <f t="shared" si="6"/>
        <v/>
      </c>
      <c r="C37" s="153">
        <f>IF(D11="","-",+C36+1)</f>
        <v>2028</v>
      </c>
      <c r="D37" s="159">
        <f>IF(F36+SUM(E$17:E36)=D$10,F36,D$10-SUM(E$17:E36))</f>
        <v>1065118.3015867665</v>
      </c>
      <c r="E37" s="160">
        <f>IF(+I14&lt;F36,I14,D37)</f>
        <v>45345.035116279068</v>
      </c>
      <c r="F37" s="159">
        <f t="shared" si="10"/>
        <v>1019773.2664704875</v>
      </c>
      <c r="G37" s="161">
        <f t="shared" si="11"/>
        <v>149126.42614737333</v>
      </c>
      <c r="H37" s="142">
        <f t="shared" si="12"/>
        <v>149126.42614737333</v>
      </c>
      <c r="I37" s="156">
        <f t="shared" si="0"/>
        <v>0</v>
      </c>
      <c r="J37" s="156"/>
      <c r="K37" s="334"/>
      <c r="L37" s="158">
        <f t="shared" si="1"/>
        <v>0</v>
      </c>
      <c r="M37" s="334"/>
      <c r="N37" s="158">
        <f t="shared" si="2"/>
        <v>0</v>
      </c>
      <c r="O37" s="158">
        <f t="shared" si="3"/>
        <v>0</v>
      </c>
      <c r="P37" s="4"/>
    </row>
    <row r="38" spans="2:16">
      <c r="B38" s="9" t="str">
        <f t="shared" si="6"/>
        <v/>
      </c>
      <c r="C38" s="153">
        <f>IF(D11="","-",+C37+1)</f>
        <v>2029</v>
      </c>
      <c r="D38" s="159">
        <f>IF(F37+SUM(E$17:E37)=D$10,F37,D$10-SUM(E$17:E37))</f>
        <v>1019773.2664704875</v>
      </c>
      <c r="E38" s="160">
        <f>IF(+I14&lt;F37,I14,D38)</f>
        <v>45345.035116279068</v>
      </c>
      <c r="F38" s="159">
        <f t="shared" si="10"/>
        <v>974428.23135420843</v>
      </c>
      <c r="G38" s="161">
        <f t="shared" si="11"/>
        <v>144612.07068369194</v>
      </c>
      <c r="H38" s="142">
        <f t="shared" si="12"/>
        <v>144612.07068369194</v>
      </c>
      <c r="I38" s="156">
        <f t="shared" si="0"/>
        <v>0</v>
      </c>
      <c r="J38" s="156"/>
      <c r="K38" s="334"/>
      <c r="L38" s="158">
        <f t="shared" si="1"/>
        <v>0</v>
      </c>
      <c r="M38" s="334"/>
      <c r="N38" s="158">
        <f t="shared" si="2"/>
        <v>0</v>
      </c>
      <c r="O38" s="158">
        <f t="shared" si="3"/>
        <v>0</v>
      </c>
      <c r="P38" s="4"/>
    </row>
    <row r="39" spans="2:16">
      <c r="B39" s="9" t="str">
        <f t="shared" si="6"/>
        <v/>
      </c>
      <c r="C39" s="153">
        <f>IF(D11="","-",+C38+1)</f>
        <v>2030</v>
      </c>
      <c r="D39" s="159">
        <f>IF(F38+SUM(E$17:E38)=D$10,F38,D$10-SUM(E$17:E38))</f>
        <v>974428.23135420843</v>
      </c>
      <c r="E39" s="160">
        <f>IF(+I14&lt;F38,I14,D39)</f>
        <v>45345.035116279068</v>
      </c>
      <c r="F39" s="159">
        <f t="shared" si="10"/>
        <v>929083.1962379294</v>
      </c>
      <c r="G39" s="161">
        <f t="shared" si="11"/>
        <v>140097.71522001058</v>
      </c>
      <c r="H39" s="142">
        <f t="shared" si="12"/>
        <v>140097.71522001058</v>
      </c>
      <c r="I39" s="156">
        <f t="shared" si="0"/>
        <v>0</v>
      </c>
      <c r="J39" s="156"/>
      <c r="K39" s="334"/>
      <c r="L39" s="158">
        <f t="shared" si="1"/>
        <v>0</v>
      </c>
      <c r="M39" s="334"/>
      <c r="N39" s="158">
        <f t="shared" si="2"/>
        <v>0</v>
      </c>
      <c r="O39" s="158">
        <f t="shared" si="3"/>
        <v>0</v>
      </c>
      <c r="P39" s="4"/>
    </row>
    <row r="40" spans="2:16">
      <c r="B40" s="9" t="str">
        <f t="shared" si="6"/>
        <v/>
      </c>
      <c r="C40" s="153">
        <f>IF(D11="","-",+C39+1)</f>
        <v>2031</v>
      </c>
      <c r="D40" s="159">
        <f>IF(F39+SUM(E$17:E39)=D$10,F39,D$10-SUM(E$17:E39))</f>
        <v>929083.1962379294</v>
      </c>
      <c r="E40" s="160">
        <f>IF(+I14&lt;F39,I14,D40)</f>
        <v>45345.035116279068</v>
      </c>
      <c r="F40" s="159">
        <f t="shared" si="10"/>
        <v>883738.16112165037</v>
      </c>
      <c r="G40" s="161">
        <f t="shared" si="11"/>
        <v>135583.35975632918</v>
      </c>
      <c r="H40" s="142">
        <f t="shared" si="12"/>
        <v>135583.35975632918</v>
      </c>
      <c r="I40" s="156">
        <f t="shared" si="0"/>
        <v>0</v>
      </c>
      <c r="J40" s="156"/>
      <c r="K40" s="334"/>
      <c r="L40" s="158">
        <f t="shared" si="1"/>
        <v>0</v>
      </c>
      <c r="M40" s="334"/>
      <c r="N40" s="158">
        <f t="shared" si="2"/>
        <v>0</v>
      </c>
      <c r="O40" s="158">
        <f t="shared" si="3"/>
        <v>0</v>
      </c>
      <c r="P40" s="4"/>
    </row>
    <row r="41" spans="2:16">
      <c r="B41" s="9" t="str">
        <f t="shared" si="6"/>
        <v/>
      </c>
      <c r="C41" s="153">
        <f>IF(D11="","-",+C40+1)</f>
        <v>2032</v>
      </c>
      <c r="D41" s="159">
        <f>IF(F40+SUM(E$17:E40)=D$10,F40,D$10-SUM(E$17:E40))</f>
        <v>883738.16112165037</v>
      </c>
      <c r="E41" s="160">
        <f>IF(+I14&lt;F40,I14,D41)</f>
        <v>45345.035116279068</v>
      </c>
      <c r="F41" s="159">
        <f t="shared" si="10"/>
        <v>838393.12600537133</v>
      </c>
      <c r="G41" s="161">
        <f t="shared" si="11"/>
        <v>131069.00429264779</v>
      </c>
      <c r="H41" s="142">
        <f t="shared" si="12"/>
        <v>131069.00429264779</v>
      </c>
      <c r="I41" s="156">
        <f t="shared" si="0"/>
        <v>0</v>
      </c>
      <c r="J41" s="156"/>
      <c r="K41" s="334"/>
      <c r="L41" s="158">
        <f t="shared" si="1"/>
        <v>0</v>
      </c>
      <c r="M41" s="334"/>
      <c r="N41" s="158">
        <f t="shared" si="2"/>
        <v>0</v>
      </c>
      <c r="O41" s="158">
        <f t="shared" si="3"/>
        <v>0</v>
      </c>
      <c r="P41" s="4"/>
    </row>
    <row r="42" spans="2:16">
      <c r="B42" s="9" t="str">
        <f t="shared" si="6"/>
        <v/>
      </c>
      <c r="C42" s="153">
        <f>IF(D11="","-",+C41+1)</f>
        <v>2033</v>
      </c>
      <c r="D42" s="159">
        <f>IF(F41+SUM(E$17:E41)=D$10,F41,D$10-SUM(E$17:E41))</f>
        <v>838393.12600537133</v>
      </c>
      <c r="E42" s="160">
        <f>IF(+I14&lt;F41,I14,D42)</f>
        <v>45345.035116279068</v>
      </c>
      <c r="F42" s="159">
        <f t="shared" si="10"/>
        <v>793048.0908890923</v>
      </c>
      <c r="G42" s="161">
        <f t="shared" si="11"/>
        <v>126554.64882896643</v>
      </c>
      <c r="H42" s="142">
        <f t="shared" si="12"/>
        <v>126554.64882896643</v>
      </c>
      <c r="I42" s="156">
        <f t="shared" si="0"/>
        <v>0</v>
      </c>
      <c r="J42" s="156"/>
      <c r="K42" s="334"/>
      <c r="L42" s="158">
        <f t="shared" si="1"/>
        <v>0</v>
      </c>
      <c r="M42" s="334"/>
      <c r="N42" s="158">
        <f t="shared" si="2"/>
        <v>0</v>
      </c>
      <c r="O42" s="158">
        <f t="shared" si="3"/>
        <v>0</v>
      </c>
      <c r="P42" s="4"/>
    </row>
    <row r="43" spans="2:16">
      <c r="B43" s="9" t="str">
        <f t="shared" si="6"/>
        <v/>
      </c>
      <c r="C43" s="153">
        <f>IF(D11="","-",+C42+1)</f>
        <v>2034</v>
      </c>
      <c r="D43" s="159">
        <f>IF(F42+SUM(E$17:E42)=D$10,F42,D$10-SUM(E$17:E42))</f>
        <v>793048.0908890923</v>
      </c>
      <c r="E43" s="160">
        <f>IF(+I14&lt;F42,I14,D43)</f>
        <v>45345.035116279068</v>
      </c>
      <c r="F43" s="159">
        <f t="shared" si="10"/>
        <v>747703.05577281327</v>
      </c>
      <c r="G43" s="161">
        <f t="shared" si="11"/>
        <v>122040.29336528503</v>
      </c>
      <c r="H43" s="142">
        <f t="shared" si="12"/>
        <v>122040.29336528503</v>
      </c>
      <c r="I43" s="156">
        <f t="shared" si="0"/>
        <v>0</v>
      </c>
      <c r="J43" s="156"/>
      <c r="K43" s="334"/>
      <c r="L43" s="158">
        <f t="shared" si="1"/>
        <v>0</v>
      </c>
      <c r="M43" s="334"/>
      <c r="N43" s="158">
        <f t="shared" si="2"/>
        <v>0</v>
      </c>
      <c r="O43" s="158">
        <f t="shared" si="3"/>
        <v>0</v>
      </c>
      <c r="P43" s="4"/>
    </row>
    <row r="44" spans="2:16">
      <c r="B44" s="9" t="str">
        <f t="shared" si="6"/>
        <v/>
      </c>
      <c r="C44" s="153">
        <f>IF(D11="","-",+C43+1)</f>
        <v>2035</v>
      </c>
      <c r="D44" s="159">
        <f>IF(F43+SUM(E$17:E43)=D$10,F43,D$10-SUM(E$17:E43))</f>
        <v>747703.05577281327</v>
      </c>
      <c r="E44" s="160">
        <f>IF(+I14&lt;F43,I14,D44)</f>
        <v>45345.035116279068</v>
      </c>
      <c r="F44" s="159">
        <f t="shared" si="10"/>
        <v>702358.02065653424</v>
      </c>
      <c r="G44" s="161">
        <f t="shared" si="11"/>
        <v>117525.93790160364</v>
      </c>
      <c r="H44" s="142">
        <f t="shared" si="12"/>
        <v>117525.93790160364</v>
      </c>
      <c r="I44" s="156">
        <f t="shared" si="0"/>
        <v>0</v>
      </c>
      <c r="J44" s="156"/>
      <c r="K44" s="334"/>
      <c r="L44" s="158">
        <f t="shared" si="1"/>
        <v>0</v>
      </c>
      <c r="M44" s="334"/>
      <c r="N44" s="158">
        <f t="shared" si="2"/>
        <v>0</v>
      </c>
      <c r="O44" s="158">
        <f t="shared" si="3"/>
        <v>0</v>
      </c>
      <c r="P44" s="4"/>
    </row>
    <row r="45" spans="2:16">
      <c r="B45" s="9" t="str">
        <f t="shared" si="6"/>
        <v/>
      </c>
      <c r="C45" s="153">
        <f>IF(D11="","-",+C44+1)</f>
        <v>2036</v>
      </c>
      <c r="D45" s="159">
        <f>IF(F44+SUM(E$17:E44)=D$10,F44,D$10-SUM(E$17:E44))</f>
        <v>702358.02065653424</v>
      </c>
      <c r="E45" s="160">
        <f>IF(+I14&lt;F44,I14,D45)</f>
        <v>45345.035116279068</v>
      </c>
      <c r="F45" s="159">
        <f t="shared" si="10"/>
        <v>657012.98554025521</v>
      </c>
      <c r="G45" s="161">
        <f t="shared" si="11"/>
        <v>113011.58243792228</v>
      </c>
      <c r="H45" s="142">
        <f t="shared" si="12"/>
        <v>113011.58243792228</v>
      </c>
      <c r="I45" s="156">
        <f t="shared" si="0"/>
        <v>0</v>
      </c>
      <c r="J45" s="156"/>
      <c r="K45" s="334"/>
      <c r="L45" s="158">
        <f t="shared" si="1"/>
        <v>0</v>
      </c>
      <c r="M45" s="334"/>
      <c r="N45" s="158">
        <f t="shared" si="2"/>
        <v>0</v>
      </c>
      <c r="O45" s="158">
        <f t="shared" si="3"/>
        <v>0</v>
      </c>
      <c r="P45" s="4"/>
    </row>
    <row r="46" spans="2:16">
      <c r="B46" s="9" t="str">
        <f t="shared" si="6"/>
        <v/>
      </c>
      <c r="C46" s="153">
        <f>IF(D11="","-",+C45+1)</f>
        <v>2037</v>
      </c>
      <c r="D46" s="159">
        <f>IF(F45+SUM(E$17:E45)=D$10,F45,D$10-SUM(E$17:E45))</f>
        <v>657012.98554025521</v>
      </c>
      <c r="E46" s="160">
        <f>IF(+I14&lt;F45,I14,D46)</f>
        <v>45345.035116279068</v>
      </c>
      <c r="F46" s="159">
        <f t="shared" si="10"/>
        <v>611667.95042397617</v>
      </c>
      <c r="G46" s="161">
        <f t="shared" si="11"/>
        <v>108497.22697424088</v>
      </c>
      <c r="H46" s="142">
        <f t="shared" si="12"/>
        <v>108497.22697424088</v>
      </c>
      <c r="I46" s="156">
        <f t="shared" si="0"/>
        <v>0</v>
      </c>
      <c r="J46" s="156"/>
      <c r="K46" s="334"/>
      <c r="L46" s="158">
        <f t="shared" si="1"/>
        <v>0</v>
      </c>
      <c r="M46" s="334"/>
      <c r="N46" s="158">
        <f t="shared" si="2"/>
        <v>0</v>
      </c>
      <c r="O46" s="158">
        <f t="shared" si="3"/>
        <v>0</v>
      </c>
      <c r="P46" s="4"/>
    </row>
    <row r="47" spans="2:16">
      <c r="B47" s="9" t="str">
        <f t="shared" si="6"/>
        <v/>
      </c>
      <c r="C47" s="153">
        <f>IF(D11="","-",+C46+1)</f>
        <v>2038</v>
      </c>
      <c r="D47" s="159">
        <f>IF(F46+SUM(E$17:E46)=D$10,F46,D$10-SUM(E$17:E46))</f>
        <v>611667.95042397617</v>
      </c>
      <c r="E47" s="160">
        <f>IF(+I14&lt;F46,I14,D47)</f>
        <v>45345.035116279068</v>
      </c>
      <c r="F47" s="159">
        <f t="shared" si="10"/>
        <v>566322.91530769714</v>
      </c>
      <c r="G47" s="161">
        <f t="shared" si="11"/>
        <v>103982.8715105595</v>
      </c>
      <c r="H47" s="142">
        <f t="shared" si="12"/>
        <v>103982.8715105595</v>
      </c>
      <c r="I47" s="156">
        <f t="shared" si="0"/>
        <v>0</v>
      </c>
      <c r="J47" s="156"/>
      <c r="K47" s="334"/>
      <c r="L47" s="158">
        <f t="shared" si="1"/>
        <v>0</v>
      </c>
      <c r="M47" s="334"/>
      <c r="N47" s="158">
        <f t="shared" si="2"/>
        <v>0</v>
      </c>
      <c r="O47" s="158">
        <f t="shared" si="3"/>
        <v>0</v>
      </c>
      <c r="P47" s="4"/>
    </row>
    <row r="48" spans="2:16">
      <c r="B48" s="9" t="str">
        <f t="shared" si="6"/>
        <v/>
      </c>
      <c r="C48" s="153">
        <f>IF(D11="","-",+C47+1)</f>
        <v>2039</v>
      </c>
      <c r="D48" s="159">
        <f>IF(F47+SUM(E$17:E47)=D$10,F47,D$10-SUM(E$17:E47))</f>
        <v>566322.91530769714</v>
      </c>
      <c r="E48" s="160">
        <f>IF(+I14&lt;F47,I14,D48)</f>
        <v>45345.035116279068</v>
      </c>
      <c r="F48" s="159">
        <f t="shared" si="10"/>
        <v>520977.88019141805</v>
      </c>
      <c r="G48" s="161">
        <f t="shared" si="11"/>
        <v>99468.516046878125</v>
      </c>
      <c r="H48" s="142">
        <f t="shared" si="12"/>
        <v>99468.516046878125</v>
      </c>
      <c r="I48" s="156">
        <f t="shared" si="0"/>
        <v>0</v>
      </c>
      <c r="J48" s="156"/>
      <c r="K48" s="334"/>
      <c r="L48" s="158">
        <f t="shared" si="1"/>
        <v>0</v>
      </c>
      <c r="M48" s="334"/>
      <c r="N48" s="158">
        <f t="shared" si="2"/>
        <v>0</v>
      </c>
      <c r="O48" s="158">
        <f t="shared" si="3"/>
        <v>0</v>
      </c>
      <c r="P48" s="4"/>
    </row>
    <row r="49" spans="2:17">
      <c r="B49" s="9" t="str">
        <f t="shared" si="6"/>
        <v/>
      </c>
      <c r="C49" s="153">
        <f>IF(D11="","-",+C48+1)</f>
        <v>2040</v>
      </c>
      <c r="D49" s="159">
        <f>IF(F48+SUM(E$17:E48)=D$10,F48,D$10-SUM(E$17:E48))</f>
        <v>520977.88019141805</v>
      </c>
      <c r="E49" s="160">
        <f>IF(+I14&lt;F48,I14,D49)</f>
        <v>45345.035116279068</v>
      </c>
      <c r="F49" s="159">
        <f t="shared" ref="F49:F72" si="13">+D49-E49</f>
        <v>475632.84507513896</v>
      </c>
      <c r="G49" s="161">
        <f t="shared" si="11"/>
        <v>94954.160583196732</v>
      </c>
      <c r="H49" s="142">
        <f t="shared" si="12"/>
        <v>94954.160583196732</v>
      </c>
      <c r="I49" s="156">
        <f t="shared" ref="I49:I72" si="14">H49-G49</f>
        <v>0</v>
      </c>
      <c r="J49" s="156"/>
      <c r="K49" s="334"/>
      <c r="L49" s="158">
        <f t="shared" ref="L49:L72" si="15">IF(K49&lt;&gt;0,+G49-K49,0)</f>
        <v>0</v>
      </c>
      <c r="M49" s="334"/>
      <c r="N49" s="158">
        <f t="shared" ref="N49:N72" si="16">IF(M49&lt;&gt;0,+H49-M49,0)</f>
        <v>0</v>
      </c>
      <c r="O49" s="158">
        <f t="shared" ref="O49:O72" si="17">+N49-L49</f>
        <v>0</v>
      </c>
      <c r="P49" s="4"/>
    </row>
    <row r="50" spans="2:17">
      <c r="B50" s="9" t="str">
        <f t="shared" si="6"/>
        <v/>
      </c>
      <c r="C50" s="153">
        <f>IF(D11="","-",+C49+1)</f>
        <v>2041</v>
      </c>
      <c r="D50" s="159">
        <f>IF(F49+SUM(E$17:E49)=D$10,F49,D$10-SUM(E$17:E49))</f>
        <v>475632.84507513896</v>
      </c>
      <c r="E50" s="160">
        <f>IF(+I14&lt;F49,I14,D50)</f>
        <v>45345.035116279068</v>
      </c>
      <c r="F50" s="159">
        <f t="shared" si="13"/>
        <v>430287.80995885987</v>
      </c>
      <c r="G50" s="161">
        <f t="shared" si="11"/>
        <v>90439.805119515338</v>
      </c>
      <c r="H50" s="142">
        <f t="shared" si="12"/>
        <v>90439.805119515338</v>
      </c>
      <c r="I50" s="156">
        <f t="shared" si="14"/>
        <v>0</v>
      </c>
      <c r="J50" s="156"/>
      <c r="K50" s="334"/>
      <c r="L50" s="158">
        <f t="shared" si="15"/>
        <v>0</v>
      </c>
      <c r="M50" s="334"/>
      <c r="N50" s="158">
        <f t="shared" si="16"/>
        <v>0</v>
      </c>
      <c r="O50" s="158">
        <f t="shared" si="17"/>
        <v>0</v>
      </c>
      <c r="P50" s="4"/>
    </row>
    <row r="51" spans="2:17">
      <c r="B51" s="9" t="str">
        <f t="shared" si="6"/>
        <v/>
      </c>
      <c r="C51" s="153">
        <f>IF(D11="","-",+C50+1)</f>
        <v>2042</v>
      </c>
      <c r="D51" s="159">
        <f>IF(F50+SUM(E$17:E50)=D$10,F50,D$10-SUM(E$17:E50))</f>
        <v>430287.80995885987</v>
      </c>
      <c r="E51" s="160">
        <f>IF(+I14&lt;F50,I14,D51)</f>
        <v>45345.035116279068</v>
      </c>
      <c r="F51" s="159">
        <f t="shared" si="13"/>
        <v>384942.77484258078</v>
      </c>
      <c r="G51" s="161">
        <f t="shared" si="11"/>
        <v>85925.449655833945</v>
      </c>
      <c r="H51" s="142">
        <f t="shared" si="12"/>
        <v>85925.449655833945</v>
      </c>
      <c r="I51" s="156">
        <f t="shared" si="14"/>
        <v>0</v>
      </c>
      <c r="J51" s="156"/>
      <c r="K51" s="334"/>
      <c r="L51" s="158">
        <f t="shared" si="15"/>
        <v>0</v>
      </c>
      <c r="M51" s="334"/>
      <c r="N51" s="158">
        <f t="shared" si="16"/>
        <v>0</v>
      </c>
      <c r="O51" s="158">
        <f t="shared" si="17"/>
        <v>0</v>
      </c>
      <c r="P51" s="4"/>
    </row>
    <row r="52" spans="2:17">
      <c r="B52" s="9" t="str">
        <f t="shared" si="6"/>
        <v/>
      </c>
      <c r="C52" s="153">
        <f>IF(D11="","-",+C51+1)</f>
        <v>2043</v>
      </c>
      <c r="D52" s="159">
        <f>IF(F51+SUM(E$17:E51)=D$10,F51,D$10-SUM(E$17:E51))</f>
        <v>384942.77484258078</v>
      </c>
      <c r="E52" s="160">
        <f>IF(+I14&lt;F51,I14,D52)</f>
        <v>45345.035116279068</v>
      </c>
      <c r="F52" s="159">
        <f t="shared" si="13"/>
        <v>339597.73972630169</v>
      </c>
      <c r="G52" s="161">
        <f t="shared" si="11"/>
        <v>81411.094192152566</v>
      </c>
      <c r="H52" s="142">
        <f t="shared" si="12"/>
        <v>81411.094192152566</v>
      </c>
      <c r="I52" s="156">
        <f t="shared" si="14"/>
        <v>0</v>
      </c>
      <c r="J52" s="156"/>
      <c r="K52" s="334"/>
      <c r="L52" s="158">
        <f t="shared" si="15"/>
        <v>0</v>
      </c>
      <c r="M52" s="334"/>
      <c r="N52" s="158">
        <f t="shared" si="16"/>
        <v>0</v>
      </c>
      <c r="O52" s="158">
        <f t="shared" si="17"/>
        <v>0</v>
      </c>
      <c r="P52" s="4"/>
    </row>
    <row r="53" spans="2:17">
      <c r="B53" s="9" t="str">
        <f t="shared" si="6"/>
        <v/>
      </c>
      <c r="C53" s="153">
        <f>IF(D11="","-",+C52+1)</f>
        <v>2044</v>
      </c>
      <c r="D53" s="159">
        <f>IF(F52+SUM(E$17:E52)=D$10,F52,D$10-SUM(E$17:E52))</f>
        <v>339597.73972630169</v>
      </c>
      <c r="E53" s="160">
        <f>IF(+I14&lt;F52,I14,D53)</f>
        <v>45345.035116279068</v>
      </c>
      <c r="F53" s="159">
        <f t="shared" si="13"/>
        <v>294252.7046100226</v>
      </c>
      <c r="G53" s="161">
        <f t="shared" si="11"/>
        <v>76896.738728471173</v>
      </c>
      <c r="H53" s="142">
        <f t="shared" si="12"/>
        <v>76896.738728471173</v>
      </c>
      <c r="I53" s="156">
        <f t="shared" si="14"/>
        <v>0</v>
      </c>
      <c r="J53" s="156"/>
      <c r="K53" s="334"/>
      <c r="L53" s="158">
        <f t="shared" si="15"/>
        <v>0</v>
      </c>
      <c r="M53" s="334"/>
      <c r="N53" s="158">
        <f t="shared" si="16"/>
        <v>0</v>
      </c>
      <c r="O53" s="158">
        <f t="shared" si="17"/>
        <v>0</v>
      </c>
      <c r="P53" s="4"/>
    </row>
    <row r="54" spans="2:17">
      <c r="B54" s="9" t="str">
        <f t="shared" si="6"/>
        <v/>
      </c>
      <c r="C54" s="153">
        <f>IF(D11="","-",+C53+1)</f>
        <v>2045</v>
      </c>
      <c r="D54" s="159">
        <f>IF(F53+SUM(E$17:E53)=D$10,F53,D$10-SUM(E$17:E53))</f>
        <v>294252.7046100226</v>
      </c>
      <c r="E54" s="160">
        <f>IF(+I14&lt;F53,I14,D54)</f>
        <v>45345.035116279068</v>
      </c>
      <c r="F54" s="159">
        <f t="shared" si="13"/>
        <v>248907.66949374354</v>
      </c>
      <c r="G54" s="161">
        <f t="shared" si="11"/>
        <v>72382.383264789794</v>
      </c>
      <c r="H54" s="142">
        <f t="shared" si="12"/>
        <v>72382.383264789794</v>
      </c>
      <c r="I54" s="156">
        <f t="shared" si="14"/>
        <v>0</v>
      </c>
      <c r="J54" s="156"/>
      <c r="K54" s="334"/>
      <c r="L54" s="158">
        <f t="shared" si="15"/>
        <v>0</v>
      </c>
      <c r="M54" s="334"/>
      <c r="N54" s="158">
        <f t="shared" si="16"/>
        <v>0</v>
      </c>
      <c r="O54" s="158">
        <f t="shared" si="17"/>
        <v>0</v>
      </c>
      <c r="P54" s="4"/>
    </row>
    <row r="55" spans="2:17">
      <c r="B55" s="9" t="str">
        <f t="shared" si="6"/>
        <v/>
      </c>
      <c r="C55" s="153">
        <f>IF(D11="","-",+C54+1)</f>
        <v>2046</v>
      </c>
      <c r="D55" s="159">
        <f>IF(F54+SUM(E$17:E54)=D$10,F54,D$10-SUM(E$17:E54))</f>
        <v>248907.66949374354</v>
      </c>
      <c r="E55" s="160">
        <f>IF(+I14&lt;F54,I14,D55)</f>
        <v>45345.035116279068</v>
      </c>
      <c r="F55" s="159">
        <f t="shared" si="13"/>
        <v>203562.63437746448</v>
      </c>
      <c r="G55" s="161">
        <f t="shared" si="11"/>
        <v>67868.027801108401</v>
      </c>
      <c r="H55" s="142">
        <f t="shared" si="12"/>
        <v>67868.027801108401</v>
      </c>
      <c r="I55" s="156">
        <f t="shared" si="14"/>
        <v>0</v>
      </c>
      <c r="J55" s="156"/>
      <c r="K55" s="334"/>
      <c r="L55" s="158">
        <f t="shared" si="15"/>
        <v>0</v>
      </c>
      <c r="M55" s="334"/>
      <c r="N55" s="158">
        <f t="shared" si="16"/>
        <v>0</v>
      </c>
      <c r="O55" s="158">
        <f t="shared" si="17"/>
        <v>0</v>
      </c>
      <c r="P55" s="4"/>
    </row>
    <row r="56" spans="2:17">
      <c r="B56" s="9" t="str">
        <f t="shared" si="6"/>
        <v/>
      </c>
      <c r="C56" s="153">
        <f>IF(D11="","-",+C55+1)</f>
        <v>2047</v>
      </c>
      <c r="D56" s="159">
        <f>IF(F55+SUM(E$17:E55)=D$10,F55,D$10-SUM(E$17:E55))</f>
        <v>203562.63437746448</v>
      </c>
      <c r="E56" s="160">
        <f>IF(+I14&lt;F55,I14,D56)</f>
        <v>45345.035116279068</v>
      </c>
      <c r="F56" s="159">
        <f t="shared" si="13"/>
        <v>158217.59926118542</v>
      </c>
      <c r="G56" s="161">
        <f t="shared" si="11"/>
        <v>63353.672337427015</v>
      </c>
      <c r="H56" s="142">
        <f t="shared" si="12"/>
        <v>63353.672337427015</v>
      </c>
      <c r="I56" s="156">
        <f t="shared" si="14"/>
        <v>0</v>
      </c>
      <c r="J56" s="156"/>
      <c r="K56" s="334"/>
      <c r="L56" s="158">
        <f t="shared" si="15"/>
        <v>0</v>
      </c>
      <c r="M56" s="334"/>
      <c r="N56" s="158">
        <f t="shared" si="16"/>
        <v>0</v>
      </c>
      <c r="O56" s="158">
        <f t="shared" si="17"/>
        <v>0</v>
      </c>
      <c r="P56" s="4"/>
    </row>
    <row r="57" spans="2:17">
      <c r="B57" s="9" t="str">
        <f t="shared" si="6"/>
        <v/>
      </c>
      <c r="C57" s="153">
        <f>IF(D11="","-",+C56+1)</f>
        <v>2048</v>
      </c>
      <c r="D57" s="159">
        <f>IF(F56+SUM(E$17:E56)=D$10,F56,D$10-SUM(E$17:E56))</f>
        <v>158217.59926118542</v>
      </c>
      <c r="E57" s="160">
        <f>IF(+I14&lt;F56,I14,D57)</f>
        <v>45345.035116279068</v>
      </c>
      <c r="F57" s="159">
        <f t="shared" si="13"/>
        <v>112872.56414490636</v>
      </c>
      <c r="G57" s="161">
        <f t="shared" si="11"/>
        <v>58839.316873745629</v>
      </c>
      <c r="H57" s="142">
        <f t="shared" si="12"/>
        <v>58839.316873745629</v>
      </c>
      <c r="I57" s="156">
        <f t="shared" si="14"/>
        <v>0</v>
      </c>
      <c r="J57" s="156"/>
      <c r="K57" s="334"/>
      <c r="L57" s="158">
        <f t="shared" si="15"/>
        <v>0</v>
      </c>
      <c r="M57" s="334"/>
      <c r="N57" s="158">
        <f t="shared" si="16"/>
        <v>0</v>
      </c>
      <c r="O57" s="158">
        <f t="shared" si="17"/>
        <v>0</v>
      </c>
      <c r="P57" s="4"/>
    </row>
    <row r="58" spans="2:17">
      <c r="B58" s="9" t="str">
        <f t="shared" si="6"/>
        <v/>
      </c>
      <c r="C58" s="153">
        <f>IF(D11="","-",+C57+1)</f>
        <v>2049</v>
      </c>
      <c r="D58" s="159">
        <f>IF(F57+SUM(E$17:E57)=D$10,F57,D$10-SUM(E$17:E57))</f>
        <v>112872.56414490636</v>
      </c>
      <c r="E58" s="160">
        <f>IF(+I14&lt;F57,I14,D58)</f>
        <v>45345.035116279068</v>
      </c>
      <c r="F58" s="159">
        <f t="shared" si="13"/>
        <v>67527.529028627294</v>
      </c>
      <c r="G58" s="161">
        <f t="shared" si="11"/>
        <v>54324.961410064243</v>
      </c>
      <c r="H58" s="142">
        <f t="shared" si="12"/>
        <v>54324.961410064243</v>
      </c>
      <c r="I58" s="156">
        <f t="shared" si="14"/>
        <v>0</v>
      </c>
      <c r="J58" s="156"/>
      <c r="K58" s="334"/>
      <c r="L58" s="158">
        <f t="shared" si="15"/>
        <v>0</v>
      </c>
      <c r="M58" s="334"/>
      <c r="N58" s="158">
        <f t="shared" si="16"/>
        <v>0</v>
      </c>
      <c r="O58" s="158">
        <f t="shared" si="17"/>
        <v>0</v>
      </c>
      <c r="P58" s="4"/>
      <c r="Q58" t="str">
        <f>IF(ROUND(Q57,0)=ROUND(SUM(Q18:Q56),0),"","Error -- check allocations above).")</f>
        <v/>
      </c>
    </row>
    <row r="59" spans="2:17">
      <c r="B59" s="9" t="str">
        <f t="shared" si="6"/>
        <v/>
      </c>
      <c r="C59" s="153">
        <f>IF(D11="","-",+C58+1)</f>
        <v>2050</v>
      </c>
      <c r="D59" s="159">
        <f>IF(F58+SUM(E$17:E58)=D$10,F58,D$10-SUM(E$17:E58))</f>
        <v>67527.529028627294</v>
      </c>
      <c r="E59" s="160">
        <f>IF(+I14&lt;F58,I14,D59)</f>
        <v>45345.035116279068</v>
      </c>
      <c r="F59" s="159">
        <f t="shared" si="13"/>
        <v>22182.493912348225</v>
      </c>
      <c r="G59" s="161">
        <f t="shared" si="11"/>
        <v>49810.605946382857</v>
      </c>
      <c r="H59" s="142">
        <f t="shared" si="12"/>
        <v>49810.605946382857</v>
      </c>
      <c r="I59" s="156">
        <f t="shared" si="14"/>
        <v>0</v>
      </c>
      <c r="J59" s="156"/>
      <c r="K59" s="334"/>
      <c r="L59" s="158">
        <f t="shared" si="15"/>
        <v>0</v>
      </c>
      <c r="M59" s="334"/>
      <c r="N59" s="158">
        <f t="shared" si="16"/>
        <v>0</v>
      </c>
      <c r="O59" s="158">
        <f t="shared" si="17"/>
        <v>0</v>
      </c>
      <c r="P59" s="4"/>
    </row>
    <row r="60" spans="2:17">
      <c r="B60" s="9" t="str">
        <f t="shared" si="6"/>
        <v/>
      </c>
      <c r="C60" s="153">
        <f>IF(D11="","-",+C59+1)</f>
        <v>2051</v>
      </c>
      <c r="D60" s="159">
        <f>IF(F59+SUM(E$17:E59)=D$10,F59,D$10-SUM(E$17:E59))</f>
        <v>22182.493912348225</v>
      </c>
      <c r="E60" s="160">
        <f>IF(+I14&lt;F59,I14,D60)</f>
        <v>22182.493912348225</v>
      </c>
      <c r="F60" s="159">
        <f t="shared" si="13"/>
        <v>0</v>
      </c>
      <c r="G60" s="161">
        <f t="shared" si="11"/>
        <v>23286.690461479771</v>
      </c>
      <c r="H60" s="142">
        <f t="shared" si="12"/>
        <v>23286.690461479771</v>
      </c>
      <c r="I60" s="156">
        <f t="shared" si="14"/>
        <v>0</v>
      </c>
      <c r="J60" s="156"/>
      <c r="K60" s="334"/>
      <c r="L60" s="158">
        <f t="shared" si="15"/>
        <v>0</v>
      </c>
      <c r="M60" s="334"/>
      <c r="N60" s="158">
        <f t="shared" si="16"/>
        <v>0</v>
      </c>
      <c r="O60" s="158">
        <f t="shared" si="17"/>
        <v>0</v>
      </c>
      <c r="P60" s="4"/>
    </row>
    <row r="61" spans="2:17">
      <c r="B61" s="9" t="str">
        <f t="shared" si="6"/>
        <v/>
      </c>
      <c r="C61" s="153">
        <f>IF(D11="","-",+C60+1)</f>
        <v>2052</v>
      </c>
      <c r="D61" s="159">
        <f>IF(F60+SUM(E$17:E60)=D$10,F60,D$10-SUM(E$17:E60))</f>
        <v>0</v>
      </c>
      <c r="E61" s="160">
        <f>IF(+I14&lt;F60,I14,D61)</f>
        <v>0</v>
      </c>
      <c r="F61" s="159">
        <f t="shared" si="13"/>
        <v>0</v>
      </c>
      <c r="G61" s="163">
        <f t="shared" si="11"/>
        <v>0</v>
      </c>
      <c r="H61" s="142">
        <f t="shared" si="12"/>
        <v>0</v>
      </c>
      <c r="I61" s="156">
        <f t="shared" si="14"/>
        <v>0</v>
      </c>
      <c r="J61" s="156"/>
      <c r="K61" s="334"/>
      <c r="L61" s="158">
        <f t="shared" si="15"/>
        <v>0</v>
      </c>
      <c r="M61" s="334"/>
      <c r="N61" s="158">
        <f t="shared" si="16"/>
        <v>0</v>
      </c>
      <c r="O61" s="158">
        <f t="shared" si="17"/>
        <v>0</v>
      </c>
      <c r="P61" s="4"/>
    </row>
    <row r="62" spans="2:17">
      <c r="B62" s="9" t="str">
        <f t="shared" si="6"/>
        <v/>
      </c>
      <c r="C62" s="153">
        <f>IF(D11="","-",+C61+1)</f>
        <v>2053</v>
      </c>
      <c r="D62" s="159">
        <f>IF(F61+SUM(E$17:E61)=D$10,F61,D$10-SUM(E$17:E61))</f>
        <v>0</v>
      </c>
      <c r="E62" s="160">
        <f>IF(+I14&lt;F61,I14,D62)</f>
        <v>0</v>
      </c>
      <c r="F62" s="159">
        <f t="shared" si="13"/>
        <v>0</v>
      </c>
      <c r="G62" s="163">
        <f t="shared" si="11"/>
        <v>0</v>
      </c>
      <c r="H62" s="142">
        <f t="shared" si="12"/>
        <v>0</v>
      </c>
      <c r="I62" s="156">
        <f t="shared" si="14"/>
        <v>0</v>
      </c>
      <c r="J62" s="156"/>
      <c r="K62" s="334"/>
      <c r="L62" s="158">
        <f t="shared" si="15"/>
        <v>0</v>
      </c>
      <c r="M62" s="334"/>
      <c r="N62" s="158">
        <f t="shared" si="16"/>
        <v>0</v>
      </c>
      <c r="O62" s="158">
        <f t="shared" si="17"/>
        <v>0</v>
      </c>
      <c r="P62" s="4"/>
    </row>
    <row r="63" spans="2:17">
      <c r="B63" s="9" t="str">
        <f t="shared" si="6"/>
        <v/>
      </c>
      <c r="C63" s="153">
        <f>IF(D11="","-",+C62+1)</f>
        <v>2054</v>
      </c>
      <c r="D63" s="159">
        <f>IF(F62+SUM(E$17:E62)=D$10,F62,D$10-SUM(E$17:E62))</f>
        <v>0</v>
      </c>
      <c r="E63" s="160">
        <f>IF(+I14&lt;F62,I14,D63)</f>
        <v>0</v>
      </c>
      <c r="F63" s="159">
        <f t="shared" si="13"/>
        <v>0</v>
      </c>
      <c r="G63" s="163">
        <f t="shared" si="11"/>
        <v>0</v>
      </c>
      <c r="H63" s="142">
        <f t="shared" si="12"/>
        <v>0</v>
      </c>
      <c r="I63" s="156">
        <f t="shared" si="14"/>
        <v>0</v>
      </c>
      <c r="J63" s="156"/>
      <c r="K63" s="334"/>
      <c r="L63" s="158">
        <f t="shared" si="15"/>
        <v>0</v>
      </c>
      <c r="M63" s="334"/>
      <c r="N63" s="158">
        <f t="shared" si="16"/>
        <v>0</v>
      </c>
      <c r="O63" s="158">
        <f t="shared" si="17"/>
        <v>0</v>
      </c>
      <c r="P63" s="4"/>
    </row>
    <row r="64" spans="2:17">
      <c r="B64" s="9" t="str">
        <f t="shared" si="6"/>
        <v/>
      </c>
      <c r="C64" s="153">
        <f>IF(D11="","-",+C63+1)</f>
        <v>2055</v>
      </c>
      <c r="D64" s="159">
        <f>IF(F63+SUM(E$17:E63)=D$10,F63,D$10-SUM(E$17:E63))</f>
        <v>0</v>
      </c>
      <c r="E64" s="160">
        <f>IF(+I14&lt;F63,I14,D64)</f>
        <v>0</v>
      </c>
      <c r="F64" s="159">
        <f t="shared" si="13"/>
        <v>0</v>
      </c>
      <c r="G64" s="163">
        <f t="shared" si="11"/>
        <v>0</v>
      </c>
      <c r="H64" s="142">
        <f t="shared" si="12"/>
        <v>0</v>
      </c>
      <c r="I64" s="156">
        <f t="shared" si="14"/>
        <v>0</v>
      </c>
      <c r="J64" s="156"/>
      <c r="K64" s="334"/>
      <c r="L64" s="158">
        <f t="shared" si="15"/>
        <v>0</v>
      </c>
      <c r="M64" s="334"/>
      <c r="N64" s="158">
        <f t="shared" si="16"/>
        <v>0</v>
      </c>
      <c r="O64" s="158">
        <f t="shared" si="17"/>
        <v>0</v>
      </c>
      <c r="P64" s="4"/>
    </row>
    <row r="65" spans="1:16">
      <c r="B65" s="9" t="str">
        <f t="shared" si="6"/>
        <v/>
      </c>
      <c r="C65" s="153">
        <f>IF(D11="","-",+C64+1)</f>
        <v>2056</v>
      </c>
      <c r="D65" s="159">
        <f>IF(F64+SUM(E$17:E64)=D$10,F64,D$10-SUM(E$17:E64))</f>
        <v>0</v>
      </c>
      <c r="E65" s="160">
        <f>IF(+I14&lt;F64,I14,D65)</f>
        <v>0</v>
      </c>
      <c r="F65" s="159">
        <f t="shared" si="13"/>
        <v>0</v>
      </c>
      <c r="G65" s="163">
        <f t="shared" si="11"/>
        <v>0</v>
      </c>
      <c r="H65" s="142">
        <f t="shared" si="12"/>
        <v>0</v>
      </c>
      <c r="I65" s="156">
        <f t="shared" si="14"/>
        <v>0</v>
      </c>
      <c r="J65" s="156"/>
      <c r="K65" s="334"/>
      <c r="L65" s="158">
        <f t="shared" si="15"/>
        <v>0</v>
      </c>
      <c r="M65" s="334"/>
      <c r="N65" s="158">
        <f t="shared" si="16"/>
        <v>0</v>
      </c>
      <c r="O65" s="158">
        <f t="shared" si="17"/>
        <v>0</v>
      </c>
      <c r="P65" s="4"/>
    </row>
    <row r="66" spans="1:16">
      <c r="B66" s="9" t="str">
        <f t="shared" si="6"/>
        <v/>
      </c>
      <c r="C66" s="153">
        <f>IF(D11="","-",+C65+1)</f>
        <v>2057</v>
      </c>
      <c r="D66" s="159">
        <f>IF(F65+SUM(E$17:E65)=D$10,F65,D$10-SUM(E$17:E65))</f>
        <v>0</v>
      </c>
      <c r="E66" s="160">
        <f>IF(+I14&lt;F65,I14,D66)</f>
        <v>0</v>
      </c>
      <c r="F66" s="159">
        <f t="shared" si="13"/>
        <v>0</v>
      </c>
      <c r="G66" s="163">
        <f t="shared" si="11"/>
        <v>0</v>
      </c>
      <c r="H66" s="142">
        <f t="shared" si="12"/>
        <v>0</v>
      </c>
      <c r="I66" s="156">
        <f t="shared" si="14"/>
        <v>0</v>
      </c>
      <c r="J66" s="156"/>
      <c r="K66" s="334"/>
      <c r="L66" s="158">
        <f t="shared" si="15"/>
        <v>0</v>
      </c>
      <c r="M66" s="334"/>
      <c r="N66" s="158">
        <f t="shared" si="16"/>
        <v>0</v>
      </c>
      <c r="O66" s="158">
        <f t="shared" si="17"/>
        <v>0</v>
      </c>
      <c r="P66" s="4"/>
    </row>
    <row r="67" spans="1:16">
      <c r="B67" s="9" t="str">
        <f t="shared" si="6"/>
        <v/>
      </c>
      <c r="C67" s="153">
        <f>IF(D11="","-",+C66+1)</f>
        <v>2058</v>
      </c>
      <c r="D67" s="159">
        <f>IF(F66+SUM(E$17:E66)=D$10,F66,D$10-SUM(E$17:E66))</f>
        <v>0</v>
      </c>
      <c r="E67" s="160">
        <f>IF(+I14&lt;F66,I14,D67)</f>
        <v>0</v>
      </c>
      <c r="F67" s="159">
        <f t="shared" si="13"/>
        <v>0</v>
      </c>
      <c r="G67" s="163">
        <f t="shared" si="11"/>
        <v>0</v>
      </c>
      <c r="H67" s="142">
        <f t="shared" si="12"/>
        <v>0</v>
      </c>
      <c r="I67" s="156">
        <f t="shared" si="14"/>
        <v>0</v>
      </c>
      <c r="J67" s="156"/>
      <c r="K67" s="334"/>
      <c r="L67" s="158">
        <f t="shared" si="15"/>
        <v>0</v>
      </c>
      <c r="M67" s="334"/>
      <c r="N67" s="158">
        <f t="shared" si="16"/>
        <v>0</v>
      </c>
      <c r="O67" s="158">
        <f t="shared" si="17"/>
        <v>0</v>
      </c>
      <c r="P67" s="4"/>
    </row>
    <row r="68" spans="1:16">
      <c r="B68" s="9" t="str">
        <f t="shared" si="6"/>
        <v/>
      </c>
      <c r="C68" s="153">
        <f>IF(D11="","-",+C67+1)</f>
        <v>2059</v>
      </c>
      <c r="D68" s="159">
        <f>IF(F67+SUM(E$17:E67)=D$10,F67,D$10-SUM(E$17:E67))</f>
        <v>0</v>
      </c>
      <c r="E68" s="160">
        <f>IF(+I14&lt;F67,I14,D68)</f>
        <v>0</v>
      </c>
      <c r="F68" s="159">
        <f t="shared" si="13"/>
        <v>0</v>
      </c>
      <c r="G68" s="163">
        <f t="shared" si="11"/>
        <v>0</v>
      </c>
      <c r="H68" s="142">
        <f t="shared" si="12"/>
        <v>0</v>
      </c>
      <c r="I68" s="156">
        <f t="shared" si="14"/>
        <v>0</v>
      </c>
      <c r="J68" s="156"/>
      <c r="K68" s="334"/>
      <c r="L68" s="158">
        <f t="shared" si="15"/>
        <v>0</v>
      </c>
      <c r="M68" s="334"/>
      <c r="N68" s="158">
        <f t="shared" si="16"/>
        <v>0</v>
      </c>
      <c r="O68" s="158">
        <f t="shared" si="17"/>
        <v>0</v>
      </c>
      <c r="P68" s="4"/>
    </row>
    <row r="69" spans="1:16">
      <c r="B69" s="9" t="str">
        <f t="shared" si="6"/>
        <v/>
      </c>
      <c r="C69" s="153">
        <f>IF(D11="","-",+C68+1)</f>
        <v>2060</v>
      </c>
      <c r="D69" s="159">
        <f>IF(F68+SUM(E$17:E68)=D$10,F68,D$10-SUM(E$17:E68))</f>
        <v>0</v>
      </c>
      <c r="E69" s="160">
        <f>IF(+I14&lt;F68,I14,D69)</f>
        <v>0</v>
      </c>
      <c r="F69" s="159">
        <f t="shared" si="13"/>
        <v>0</v>
      </c>
      <c r="G69" s="163">
        <f t="shared" si="11"/>
        <v>0</v>
      </c>
      <c r="H69" s="142">
        <f t="shared" si="12"/>
        <v>0</v>
      </c>
      <c r="I69" s="156">
        <f t="shared" si="14"/>
        <v>0</v>
      </c>
      <c r="J69" s="156"/>
      <c r="K69" s="334"/>
      <c r="L69" s="158">
        <f t="shared" si="15"/>
        <v>0</v>
      </c>
      <c r="M69" s="334"/>
      <c r="N69" s="158">
        <f t="shared" si="16"/>
        <v>0</v>
      </c>
      <c r="O69" s="158">
        <f t="shared" si="17"/>
        <v>0</v>
      </c>
      <c r="P69" s="4"/>
    </row>
    <row r="70" spans="1:16">
      <c r="B70" s="9" t="str">
        <f t="shared" si="6"/>
        <v/>
      </c>
      <c r="C70" s="153">
        <f>IF(D11="","-",+C69+1)</f>
        <v>2061</v>
      </c>
      <c r="D70" s="159">
        <f>IF(F69+SUM(E$17:E69)=D$10,F69,D$10-SUM(E$17:E69))</f>
        <v>0</v>
      </c>
      <c r="E70" s="160">
        <f>IF(+I14&lt;F69,I14,D70)</f>
        <v>0</v>
      </c>
      <c r="F70" s="159">
        <f t="shared" si="13"/>
        <v>0</v>
      </c>
      <c r="G70" s="163">
        <f t="shared" si="11"/>
        <v>0</v>
      </c>
      <c r="H70" s="142">
        <f t="shared" si="12"/>
        <v>0</v>
      </c>
      <c r="I70" s="156">
        <f t="shared" si="14"/>
        <v>0</v>
      </c>
      <c r="J70" s="156"/>
      <c r="K70" s="334"/>
      <c r="L70" s="158">
        <f t="shared" si="15"/>
        <v>0</v>
      </c>
      <c r="M70" s="334"/>
      <c r="N70" s="158">
        <f t="shared" si="16"/>
        <v>0</v>
      </c>
      <c r="O70" s="158">
        <f t="shared" si="17"/>
        <v>0</v>
      </c>
      <c r="P70" s="4"/>
    </row>
    <row r="71" spans="1:16">
      <c r="B71" s="9" t="str">
        <f t="shared" si="6"/>
        <v/>
      </c>
      <c r="C71" s="153">
        <f>IF(D11="","-",+C70+1)</f>
        <v>2062</v>
      </c>
      <c r="D71" s="159">
        <f>IF(F70+SUM(E$17:E70)=D$10,F70,D$10-SUM(E$17:E70))</f>
        <v>0</v>
      </c>
      <c r="E71" s="160">
        <f>IF(+I14&lt;F70,I14,D71)</f>
        <v>0</v>
      </c>
      <c r="F71" s="159">
        <f t="shared" si="13"/>
        <v>0</v>
      </c>
      <c r="G71" s="163">
        <f t="shared" si="11"/>
        <v>0</v>
      </c>
      <c r="H71" s="142">
        <f t="shared" si="12"/>
        <v>0</v>
      </c>
      <c r="I71" s="156">
        <f t="shared" si="14"/>
        <v>0</v>
      </c>
      <c r="J71" s="156"/>
      <c r="K71" s="334"/>
      <c r="L71" s="158">
        <f t="shared" si="15"/>
        <v>0</v>
      </c>
      <c r="M71" s="334"/>
      <c r="N71" s="158">
        <f t="shared" si="16"/>
        <v>0</v>
      </c>
      <c r="O71" s="158">
        <f t="shared" si="17"/>
        <v>0</v>
      </c>
      <c r="P71" s="4"/>
    </row>
    <row r="72" spans="1:16" ht="13.5" thickBot="1">
      <c r="B72" s="9" t="str">
        <f t="shared" si="6"/>
        <v/>
      </c>
      <c r="C72" s="164">
        <f>IF(D11="","-",+C71+1)</f>
        <v>2063</v>
      </c>
      <c r="D72" s="165">
        <f>IF(F71+SUM(E$17:E71)=D$10,F71,D$10-SUM(E$17:E71))</f>
        <v>0</v>
      </c>
      <c r="E72" s="166">
        <f>IF(+I14&lt;F71,I14,D72)</f>
        <v>0</v>
      </c>
      <c r="F72" s="165">
        <f t="shared" si="13"/>
        <v>0</v>
      </c>
      <c r="G72" s="167">
        <f t="shared" si="11"/>
        <v>0</v>
      </c>
      <c r="H72" s="124">
        <f t="shared" si="12"/>
        <v>0</v>
      </c>
      <c r="I72" s="168">
        <f t="shared" si="14"/>
        <v>0</v>
      </c>
      <c r="J72" s="156"/>
      <c r="K72" s="335"/>
      <c r="L72" s="169">
        <f t="shared" si="15"/>
        <v>0</v>
      </c>
      <c r="M72" s="335"/>
      <c r="N72" s="169">
        <f t="shared" si="16"/>
        <v>0</v>
      </c>
      <c r="O72" s="169">
        <f t="shared" si="17"/>
        <v>0</v>
      </c>
      <c r="P72" s="4"/>
    </row>
    <row r="73" spans="1:16">
      <c r="C73" s="154" t="s">
        <v>73</v>
      </c>
      <c r="D73" s="111"/>
      <c r="E73" s="111">
        <f>SUM(E17:E72)</f>
        <v>1949836.5099999998</v>
      </c>
      <c r="F73" s="111"/>
      <c r="G73" s="111">
        <f>SUM(G17:G72)</f>
        <v>6682997.0975775011</v>
      </c>
      <c r="H73" s="111">
        <f>SUM(H17:H72)</f>
        <v>6682997.0975775011</v>
      </c>
      <c r="I73" s="111">
        <f>SUM(I17:I72)</f>
        <v>0</v>
      </c>
      <c r="J73" s="111"/>
      <c r="K73" s="111"/>
      <c r="L73" s="111"/>
      <c r="M73" s="111"/>
      <c r="N73" s="111"/>
      <c r="O73" s="4"/>
      <c r="P73" s="4"/>
    </row>
    <row r="74" spans="1:16">
      <c r="D74" s="2"/>
      <c r="E74" s="1"/>
      <c r="F74" s="1"/>
      <c r="G74" s="1"/>
      <c r="H74" s="3"/>
      <c r="I74" s="3"/>
      <c r="J74" s="111"/>
      <c r="K74" s="3"/>
      <c r="L74" s="3"/>
      <c r="M74" s="3"/>
      <c r="N74" s="3"/>
      <c r="O74" s="1"/>
      <c r="P74" s="1"/>
    </row>
    <row r="75" spans="1:16">
      <c r="C75" s="170" t="s">
        <v>91</v>
      </c>
      <c r="D75" s="2"/>
      <c r="E75" s="1"/>
      <c r="F75" s="1"/>
      <c r="G75" s="1"/>
      <c r="H75" s="3"/>
      <c r="I75" s="3"/>
      <c r="J75" s="111"/>
      <c r="K75" s="3"/>
      <c r="L75" s="3"/>
      <c r="M75" s="3"/>
      <c r="N75" s="3"/>
      <c r="O75" s="1"/>
      <c r="P75" s="1"/>
    </row>
    <row r="76" spans="1:16">
      <c r="C76" s="121" t="s">
        <v>74</v>
      </c>
      <c r="D76" s="2"/>
      <c r="E76" s="1"/>
      <c r="F76" s="1"/>
      <c r="G76" s="1"/>
      <c r="H76" s="3"/>
      <c r="I76" s="3"/>
      <c r="J76" s="111"/>
      <c r="K76" s="3"/>
      <c r="L76" s="3"/>
      <c r="M76" s="3"/>
      <c r="N76" s="3"/>
      <c r="O76" s="4"/>
      <c r="P76" s="4"/>
    </row>
    <row r="77" spans="1:16" ht="18">
      <c r="C77" s="121" t="s">
        <v>75</v>
      </c>
      <c r="D77" s="154"/>
      <c r="E77" s="154"/>
      <c r="F77" s="154"/>
      <c r="G77" s="111"/>
      <c r="H77" s="111"/>
      <c r="I77" s="171"/>
      <c r="J77" s="171"/>
      <c r="K77" s="171"/>
      <c r="L77" s="171"/>
      <c r="M77" s="171"/>
      <c r="N77" s="171"/>
      <c r="O77" s="110"/>
      <c r="P77" s="4"/>
    </row>
    <row r="78" spans="1:16">
      <c r="C78" s="121"/>
      <c r="D78" s="154"/>
      <c r="E78" s="154"/>
      <c r="F78" s="154"/>
      <c r="G78" s="111"/>
      <c r="H78" s="111"/>
      <c r="I78" s="171"/>
      <c r="J78" s="171"/>
      <c r="K78" s="171"/>
      <c r="L78" s="171"/>
      <c r="M78" s="171"/>
      <c r="N78" s="171"/>
      <c r="O78" s="4"/>
      <c r="P78" s="1"/>
    </row>
    <row r="79" spans="1:16" ht="15">
      <c r="A79" s="241"/>
      <c r="B79" s="1"/>
      <c r="C79" s="21"/>
      <c r="D79" s="2"/>
      <c r="E79" s="1"/>
      <c r="F79" s="107"/>
      <c r="G79" s="1"/>
      <c r="H79" s="3"/>
      <c r="I79" s="1"/>
      <c r="J79" s="4"/>
      <c r="K79" s="1"/>
      <c r="L79" s="1"/>
      <c r="M79" s="1"/>
      <c r="N79" s="1"/>
    </row>
    <row r="80" spans="1:16" ht="18">
      <c r="B80" s="1"/>
      <c r="C80" s="242"/>
      <c r="D80" s="2"/>
      <c r="E80" s="1"/>
      <c r="F80" s="107"/>
      <c r="G80" s="1"/>
      <c r="H80" s="3"/>
      <c r="I80" s="1"/>
      <c r="J80" s="4"/>
      <c r="K80" s="1"/>
      <c r="L80" s="1"/>
      <c r="M80" s="1"/>
      <c r="N80" s="1"/>
      <c r="P80" s="244" t="s">
        <v>125</v>
      </c>
    </row>
    <row r="81" spans="1:17">
      <c r="B81" s="1"/>
      <c r="C81" s="242"/>
      <c r="D81" s="2"/>
      <c r="E81" s="1"/>
      <c r="F81" s="107"/>
      <c r="G81" s="1"/>
      <c r="H81" s="3"/>
      <c r="I81" s="1"/>
      <c r="J81" s="4"/>
      <c r="K81" s="1"/>
      <c r="L81" s="1"/>
      <c r="M81" s="1"/>
      <c r="N81" s="1"/>
      <c r="O81" s="1"/>
      <c r="P81" s="1"/>
    </row>
    <row r="82" spans="1:17">
      <c r="B82" s="1"/>
      <c r="C82" s="21"/>
      <c r="D82" s="2"/>
      <c r="E82" s="1"/>
      <c r="F82" s="107"/>
      <c r="G82" s="1"/>
      <c r="H82" s="3"/>
      <c r="I82" s="1"/>
      <c r="J82" s="4"/>
      <c r="K82" s="1"/>
      <c r="L82" s="1"/>
      <c r="M82" s="1"/>
      <c r="N82" s="1"/>
      <c r="O82" s="1"/>
      <c r="P82" s="1"/>
      <c r="Q82" s="1"/>
    </row>
    <row r="83" spans="1:17" ht="20.25">
      <c r="A83" s="243" t="s">
        <v>129</v>
      </c>
      <c r="B83" s="1"/>
      <c r="C83" s="21"/>
      <c r="D83" s="2"/>
      <c r="E83" s="1"/>
      <c r="F83" s="99"/>
      <c r="G83" s="99"/>
      <c r="H83" s="1"/>
      <c r="I83" s="3"/>
      <c r="K83" s="7"/>
      <c r="L83" s="109"/>
      <c r="M83" s="109"/>
      <c r="P83" s="110" t="str">
        <f ca="1">P1</f>
        <v>SWEPCO Project 17 of 73</v>
      </c>
      <c r="Q83" s="1"/>
    </row>
    <row r="84" spans="1:17" ht="18">
      <c r="B84" s="1"/>
      <c r="C84" s="1"/>
      <c r="D84" s="2"/>
      <c r="E84" s="1"/>
      <c r="F84" s="1"/>
      <c r="G84" s="1"/>
      <c r="H84" s="1"/>
      <c r="I84" s="3"/>
      <c r="J84" s="1"/>
      <c r="K84" s="4"/>
      <c r="L84" s="1"/>
      <c r="M84" s="1"/>
      <c r="P84" s="237" t="s">
        <v>123</v>
      </c>
      <c r="Q84" s="1"/>
    </row>
    <row r="85" spans="1:17" ht="18.75" thickBot="1">
      <c r="B85" s="5" t="s">
        <v>40</v>
      </c>
      <c r="C85" s="197" t="s">
        <v>78</v>
      </c>
      <c r="D85" s="2"/>
      <c r="E85" s="1"/>
      <c r="F85" s="1"/>
      <c r="G85" s="1"/>
      <c r="H85" s="1"/>
      <c r="I85" s="3"/>
      <c r="J85" s="3"/>
      <c r="K85" s="111"/>
      <c r="L85" s="3"/>
      <c r="M85" s="3"/>
      <c r="N85" s="3"/>
      <c r="O85" s="111"/>
      <c r="P85" s="1"/>
      <c r="Q85" s="1"/>
    </row>
    <row r="86" spans="1:17" ht="15.75" thickBot="1">
      <c r="C86" s="67"/>
      <c r="D86" s="2"/>
      <c r="E86" s="1"/>
      <c r="F86" s="1"/>
      <c r="G86" s="1"/>
      <c r="H86" s="1"/>
      <c r="I86" s="3"/>
      <c r="J86" s="3"/>
      <c r="K86" s="111"/>
      <c r="L86" s="265">
        <f>+J92</f>
        <v>2017</v>
      </c>
      <c r="M86" s="266" t="s">
        <v>7</v>
      </c>
      <c r="N86" s="270" t="s">
        <v>154</v>
      </c>
      <c r="O86" s="267" t="s">
        <v>9</v>
      </c>
      <c r="P86" s="1"/>
      <c r="Q86" s="1"/>
    </row>
    <row r="87" spans="1:17" ht="15">
      <c r="C87" s="235" t="s">
        <v>42</v>
      </c>
      <c r="D87" s="2"/>
      <c r="E87" s="1"/>
      <c r="F87" s="1"/>
      <c r="G87" s="1"/>
      <c r="H87" s="113"/>
      <c r="I87" s="1" t="s">
        <v>43</v>
      </c>
      <c r="J87" s="1"/>
      <c r="K87" s="261"/>
      <c r="L87" s="259" t="s">
        <v>381</v>
      </c>
      <c r="M87" s="198">
        <f>IF(J92&lt;D11,0,VLOOKUP(J92,C17:O72,9))</f>
        <v>236567.35307267582</v>
      </c>
      <c r="N87" s="198">
        <f>IF(J92&lt;D11,0,VLOOKUP(J92,C17:O72,11))</f>
        <v>236567.35307267582</v>
      </c>
      <c r="O87" s="199">
        <f>+N87-M87</f>
        <v>0</v>
      </c>
      <c r="P87" s="1"/>
      <c r="Q87" s="1"/>
    </row>
    <row r="88" spans="1:17" ht="15.75">
      <c r="C88" s="8"/>
      <c r="D88" s="2"/>
      <c r="E88" s="1"/>
      <c r="F88" s="1"/>
      <c r="G88" s="1"/>
      <c r="H88" s="1"/>
      <c r="I88" s="117"/>
      <c r="J88" s="117"/>
      <c r="K88" s="263"/>
      <c r="L88" s="264" t="s">
        <v>382</v>
      </c>
      <c r="M88" s="200">
        <f>IF(J92&lt;D11,0,VLOOKUP(J92,C99:P154,6))</f>
        <v>232605.71494726205</v>
      </c>
      <c r="N88" s="200">
        <f>IF(J92&lt;D11,0,VLOOKUP(J92,C99:P154,7))</f>
        <v>232605.71494726205</v>
      </c>
      <c r="O88" s="201">
        <f>+N88-M88</f>
        <v>0</v>
      </c>
      <c r="P88" s="1"/>
      <c r="Q88" s="1"/>
    </row>
    <row r="89" spans="1:17" ht="13.5" thickBot="1">
      <c r="C89" s="121" t="s">
        <v>79</v>
      </c>
      <c r="D89" s="246" t="str">
        <f>+D7</f>
        <v>Linwood-McWillie 138 kV Rebuild</v>
      </c>
      <c r="E89" s="1"/>
      <c r="F89" s="1"/>
      <c r="G89" s="1"/>
      <c r="H89" s="1"/>
      <c r="I89" s="3"/>
      <c r="J89" s="3"/>
      <c r="K89" s="262"/>
      <c r="L89" s="260" t="s">
        <v>151</v>
      </c>
      <c r="M89" s="203">
        <f>+M88-M87</f>
        <v>-3961.6381254137668</v>
      </c>
      <c r="N89" s="203">
        <f>+N88-N87</f>
        <v>-3961.6381254137668</v>
      </c>
      <c r="O89" s="204">
        <f>+O88-O87</f>
        <v>0</v>
      </c>
      <c r="P89" s="1"/>
      <c r="Q89" s="1"/>
    </row>
    <row r="90" spans="1:17" ht="13.5" thickBot="1">
      <c r="C90" s="170"/>
      <c r="D90" s="173" t="str">
        <f>D8</f>
        <v/>
      </c>
      <c r="E90" s="107"/>
      <c r="F90" s="107"/>
      <c r="G90" s="107"/>
      <c r="H90" s="126"/>
      <c r="I90" s="3"/>
      <c r="J90" s="3"/>
      <c r="K90" s="111"/>
      <c r="L90" s="3"/>
      <c r="M90" s="3"/>
      <c r="N90" s="3"/>
      <c r="O90" s="111"/>
      <c r="P90" s="1"/>
      <c r="Q90" s="1"/>
    </row>
    <row r="91" spans="1:17" ht="13.5" thickBot="1">
      <c r="A91" s="103"/>
      <c r="C91" s="205" t="s">
        <v>80</v>
      </c>
      <c r="D91" s="224" t="str">
        <f>+D9</f>
        <v>TP2007019</v>
      </c>
      <c r="E91" s="206"/>
      <c r="F91" s="206"/>
      <c r="G91" s="206"/>
      <c r="H91" s="206"/>
      <c r="I91" s="206"/>
      <c r="J91" s="238"/>
      <c r="K91" s="207"/>
      <c r="P91" s="131"/>
      <c r="Q91" s="1"/>
    </row>
    <row r="92" spans="1:17">
      <c r="C92" s="136" t="s">
        <v>47</v>
      </c>
      <c r="D92" s="133">
        <v>1949836.51</v>
      </c>
      <c r="E92" s="21" t="s">
        <v>81</v>
      </c>
      <c r="H92" s="134"/>
      <c r="I92" s="134"/>
      <c r="J92" s="135">
        <f>+'SWE.WS.G.BPU.ATRR.True-up'!M15</f>
        <v>2017</v>
      </c>
      <c r="K92" s="130"/>
      <c r="L92" s="111" t="s">
        <v>82</v>
      </c>
      <c r="P92" s="4"/>
      <c r="Q92" s="1"/>
    </row>
    <row r="93" spans="1:17">
      <c r="C93" s="136" t="s">
        <v>49</v>
      </c>
      <c r="D93" s="219">
        <f>IF(D11=I10,"",D11)</f>
        <v>2008</v>
      </c>
      <c r="E93" s="136" t="s">
        <v>50</v>
      </c>
      <c r="F93" s="134"/>
      <c r="G93" s="134"/>
      <c r="J93" s="138">
        <f>IF(H87="",0,'SWE.WS.G.BPU.ATRR.True-up'!$F$12)</f>
        <v>0</v>
      </c>
      <c r="K93" s="139"/>
      <c r="L93" t="str">
        <f>"          INPUT TRUE-UP ARR (WITH &amp; WITHOUT INCENTIVES) FROM EACH PRIOR YEAR"</f>
        <v xml:space="preserve">          INPUT TRUE-UP ARR (WITH &amp; WITHOUT INCENTIVES) FROM EACH PRIOR YEAR</v>
      </c>
      <c r="P93" s="4"/>
      <c r="Q93" s="1"/>
    </row>
    <row r="94" spans="1:17">
      <c r="C94" s="136" t="s">
        <v>51</v>
      </c>
      <c r="D94" s="218">
        <f>IF(D11=I10,"",D12)</f>
        <v>6</v>
      </c>
      <c r="E94" s="136" t="s">
        <v>52</v>
      </c>
      <c r="F94" s="134"/>
      <c r="G94" s="134"/>
      <c r="J94" s="140">
        <f>'SWE.WS.G.BPU.ATRR.True-up'!$F$80</f>
        <v>0.12147145768398206</v>
      </c>
      <c r="K94" s="141"/>
      <c r="L94" t="s">
        <v>83</v>
      </c>
      <c r="P94" s="4"/>
      <c r="Q94" s="1"/>
    </row>
    <row r="95" spans="1:17">
      <c r="C95" s="136" t="s">
        <v>54</v>
      </c>
      <c r="D95" s="138">
        <f>'SWE.WS.G.BPU.ATRR.True-up'!F$92</f>
        <v>42</v>
      </c>
      <c r="E95" s="136" t="s">
        <v>55</v>
      </c>
      <c r="F95" s="134"/>
      <c r="G95" s="134"/>
      <c r="J95" s="140">
        <f>IF(H87="",J94,'SWE.WS.G.BPU.ATRR.True-up'!$F$79)</f>
        <v>0.12147145768398206</v>
      </c>
      <c r="K95" s="58"/>
      <c r="L95" s="111" t="s">
        <v>56</v>
      </c>
      <c r="M95" s="58"/>
      <c r="N95" s="58"/>
      <c r="O95" s="58"/>
      <c r="P95" s="4"/>
      <c r="Q95" s="1"/>
    </row>
    <row r="96" spans="1:17" ht="13.5" thickBot="1">
      <c r="C96" s="136" t="s">
        <v>57</v>
      </c>
      <c r="D96" s="220" t="str">
        <f>+D14</f>
        <v>No</v>
      </c>
      <c r="E96" s="202" t="s">
        <v>59</v>
      </c>
      <c r="F96" s="208"/>
      <c r="G96" s="208"/>
      <c r="H96" s="209"/>
      <c r="I96" s="209"/>
      <c r="J96" s="124">
        <f>IF(D92=0,0,D92/D95)</f>
        <v>46424.678809523808</v>
      </c>
      <c r="K96" s="111"/>
      <c r="L96" s="111"/>
      <c r="M96" s="111"/>
      <c r="N96" s="111"/>
      <c r="O96" s="111"/>
      <c r="P96" s="4"/>
      <c r="Q96" s="1"/>
    </row>
    <row r="97" spans="1:17" ht="38.25">
      <c r="A97" s="6"/>
      <c r="B97" s="6"/>
      <c r="C97" s="210" t="s">
        <v>47</v>
      </c>
      <c r="D97" s="211" t="s">
        <v>60</v>
      </c>
      <c r="E97" s="146" t="s">
        <v>61</v>
      </c>
      <c r="F97" s="146" t="s">
        <v>62</v>
      </c>
      <c r="G97" s="144" t="s">
        <v>84</v>
      </c>
      <c r="H97" s="434" t="s">
        <v>378</v>
      </c>
      <c r="I97" s="435" t="s">
        <v>379</v>
      </c>
      <c r="J97" s="210" t="s">
        <v>85</v>
      </c>
      <c r="K97" s="212"/>
      <c r="L97" s="271" t="s">
        <v>220</v>
      </c>
      <c r="M97" s="146" t="s">
        <v>86</v>
      </c>
      <c r="N97" s="271" t="s">
        <v>220</v>
      </c>
      <c r="O97" s="146" t="s">
        <v>86</v>
      </c>
      <c r="P97" s="146" t="s">
        <v>65</v>
      </c>
      <c r="Q97" s="1"/>
    </row>
    <row r="98" spans="1:17" ht="13.5" thickBot="1">
      <c r="C98" s="147" t="s">
        <v>66</v>
      </c>
      <c r="D98" s="213" t="s">
        <v>67</v>
      </c>
      <c r="E98" s="147" t="s">
        <v>68</v>
      </c>
      <c r="F98" s="147" t="s">
        <v>67</v>
      </c>
      <c r="G98" s="147" t="s">
        <v>67</v>
      </c>
      <c r="H98" s="407" t="s">
        <v>69</v>
      </c>
      <c r="I98" s="148" t="s">
        <v>70</v>
      </c>
      <c r="J98" s="149" t="s">
        <v>89</v>
      </c>
      <c r="K98" s="150"/>
      <c r="L98" s="151" t="s">
        <v>72</v>
      </c>
      <c r="M98" s="151" t="s">
        <v>72</v>
      </c>
      <c r="N98" s="151" t="s">
        <v>90</v>
      </c>
      <c r="O98" s="151" t="s">
        <v>90</v>
      </c>
      <c r="P98" s="151" t="s">
        <v>90</v>
      </c>
      <c r="Q98" s="1"/>
    </row>
    <row r="99" spans="1:17">
      <c r="C99" s="153">
        <f>IF(D93= "","-",D93)</f>
        <v>2008</v>
      </c>
      <c r="D99" s="357">
        <v>0</v>
      </c>
      <c r="E99" s="360">
        <v>17573</v>
      </c>
      <c r="F99" s="361">
        <v>1282816</v>
      </c>
      <c r="G99" s="365">
        <v>641408</v>
      </c>
      <c r="H99" s="362">
        <v>119814</v>
      </c>
      <c r="I99" s="363">
        <v>119814</v>
      </c>
      <c r="J99" s="403">
        <f t="shared" ref="J99:J130" si="18">+I99-H99</f>
        <v>0</v>
      </c>
      <c r="K99" s="158"/>
      <c r="L99" s="256">
        <v>119814</v>
      </c>
      <c r="M99" s="157">
        <f t="shared" ref="M99:M130" si="19">IF(L99&lt;&gt;0,+H99-L99,0)</f>
        <v>0</v>
      </c>
      <c r="N99" s="256">
        <v>119814</v>
      </c>
      <c r="O99" s="157">
        <f t="shared" ref="O99:O130" si="20">IF(N99&lt;&gt;0,+I99-N99,0)</f>
        <v>0</v>
      </c>
      <c r="P99" s="157">
        <f t="shared" ref="P99:P130" si="21">+O99-M99</f>
        <v>0</v>
      </c>
      <c r="Q99" s="1"/>
    </row>
    <row r="100" spans="1:17">
      <c r="B100" s="9" t="str">
        <f>IF(D100=F99,"","IU")</f>
        <v>IU</v>
      </c>
      <c r="C100" s="153">
        <f>IF(D93="","-",+C99+1)</f>
        <v>2009</v>
      </c>
      <c r="D100" s="357">
        <v>1932263.51</v>
      </c>
      <c r="E100" s="360">
        <v>51311.487105263157</v>
      </c>
      <c r="F100" s="361">
        <v>1880952.0228947368</v>
      </c>
      <c r="G100" s="361">
        <v>1906607.7664473685</v>
      </c>
      <c r="H100" s="360">
        <v>327269.44030165928</v>
      </c>
      <c r="I100" s="359">
        <v>327269.44030165928</v>
      </c>
      <c r="J100" s="403">
        <f t="shared" si="18"/>
        <v>0</v>
      </c>
      <c r="K100" s="158"/>
      <c r="L100" s="258">
        <f t="shared" ref="L100:L105" si="22">H100</f>
        <v>327269.44030165928</v>
      </c>
      <c r="M100" s="257">
        <f t="shared" si="19"/>
        <v>0</v>
      </c>
      <c r="N100" s="258">
        <f t="shared" ref="N100:N105" si="23">I100</f>
        <v>327269.44030165928</v>
      </c>
      <c r="O100" s="158">
        <f t="shared" si="20"/>
        <v>0</v>
      </c>
      <c r="P100" s="158">
        <f t="shared" si="21"/>
        <v>0</v>
      </c>
      <c r="Q100" s="1"/>
    </row>
    <row r="101" spans="1:17">
      <c r="B101" s="9" t="str">
        <f t="shared" ref="B101:B154" si="24">IF(D101=F100,"","IU")</f>
        <v/>
      </c>
      <c r="C101" s="153">
        <f>IF(D93="","-",+C100+1)</f>
        <v>2010</v>
      </c>
      <c r="D101" s="357">
        <v>1880952.0228947368</v>
      </c>
      <c r="E101" s="360">
        <v>47556.988048780491</v>
      </c>
      <c r="F101" s="361">
        <v>1833395.0348459564</v>
      </c>
      <c r="G101" s="361">
        <v>1857173.5288703465</v>
      </c>
      <c r="H101" s="360">
        <v>354150.48973333737</v>
      </c>
      <c r="I101" s="359">
        <v>354150.48973333737</v>
      </c>
      <c r="J101" s="403">
        <f t="shared" si="18"/>
        <v>0</v>
      </c>
      <c r="K101" s="158"/>
      <c r="L101" s="258">
        <f t="shared" si="22"/>
        <v>354150.48973333737</v>
      </c>
      <c r="M101" s="257">
        <f t="shared" si="19"/>
        <v>0</v>
      </c>
      <c r="N101" s="258">
        <f t="shared" si="23"/>
        <v>354150.48973333737</v>
      </c>
      <c r="O101" s="158">
        <f t="shared" si="20"/>
        <v>0</v>
      </c>
      <c r="P101" s="158">
        <f t="shared" si="21"/>
        <v>0</v>
      </c>
      <c r="Q101" s="1"/>
    </row>
    <row r="102" spans="1:17">
      <c r="B102" s="9" t="str">
        <f t="shared" si="24"/>
        <v/>
      </c>
      <c r="C102" s="153">
        <f>IF(D93="","-",+C101+1)</f>
        <v>2011</v>
      </c>
      <c r="D102" s="357">
        <v>1833395.0348459564</v>
      </c>
      <c r="E102" s="377">
        <v>46424.678809523808</v>
      </c>
      <c r="F102" s="361">
        <v>1786970.3560364326</v>
      </c>
      <c r="G102" s="361">
        <v>1810182.6954411943</v>
      </c>
      <c r="H102" s="360">
        <v>318639.77382654941</v>
      </c>
      <c r="I102" s="359">
        <v>318639.77382654941</v>
      </c>
      <c r="J102" s="403">
        <f t="shared" si="18"/>
        <v>0</v>
      </c>
      <c r="K102" s="158"/>
      <c r="L102" s="258">
        <f t="shared" si="22"/>
        <v>318639.77382654941</v>
      </c>
      <c r="M102" s="257">
        <f t="shared" si="19"/>
        <v>0</v>
      </c>
      <c r="N102" s="258">
        <f t="shared" si="23"/>
        <v>318639.77382654941</v>
      </c>
      <c r="O102" s="158">
        <f t="shared" si="20"/>
        <v>0</v>
      </c>
      <c r="P102" s="158">
        <f t="shared" si="21"/>
        <v>0</v>
      </c>
      <c r="Q102" s="1"/>
    </row>
    <row r="103" spans="1:17">
      <c r="B103" s="9" t="str">
        <f t="shared" si="24"/>
        <v/>
      </c>
      <c r="C103" s="153">
        <f>IF(D93="","-",+C102+1)</f>
        <v>2012</v>
      </c>
      <c r="D103" s="357">
        <v>1786970.3560364326</v>
      </c>
      <c r="E103" s="360">
        <v>46424.678809523808</v>
      </c>
      <c r="F103" s="361">
        <v>1740545.6772269087</v>
      </c>
      <c r="G103" s="361">
        <v>1763758.0166316708</v>
      </c>
      <c r="H103" s="360">
        <v>305968.60569385614</v>
      </c>
      <c r="I103" s="359">
        <v>305968.60569385614</v>
      </c>
      <c r="J103" s="403">
        <f t="shared" si="18"/>
        <v>0</v>
      </c>
      <c r="K103" s="158"/>
      <c r="L103" s="258">
        <f t="shared" si="22"/>
        <v>305968.60569385614</v>
      </c>
      <c r="M103" s="257">
        <f t="shared" si="19"/>
        <v>0</v>
      </c>
      <c r="N103" s="258">
        <f t="shared" si="23"/>
        <v>305968.60569385614</v>
      </c>
      <c r="O103" s="158">
        <f t="shared" si="20"/>
        <v>0</v>
      </c>
      <c r="P103" s="158">
        <f t="shared" si="21"/>
        <v>0</v>
      </c>
      <c r="Q103" s="1"/>
    </row>
    <row r="104" spans="1:17">
      <c r="B104" s="9" t="str">
        <f t="shared" si="24"/>
        <v/>
      </c>
      <c r="C104" s="153">
        <f>IF(D93="","-",+C103+1)</f>
        <v>2013</v>
      </c>
      <c r="D104" s="357">
        <v>1740545.6772269087</v>
      </c>
      <c r="E104" s="360">
        <v>46424.678809523808</v>
      </c>
      <c r="F104" s="361">
        <v>1694120.9984173849</v>
      </c>
      <c r="G104" s="361">
        <v>1717333.3378221467</v>
      </c>
      <c r="H104" s="360">
        <v>278765.62951624766</v>
      </c>
      <c r="I104" s="359">
        <v>278765.62951624766</v>
      </c>
      <c r="J104" s="403">
        <v>0</v>
      </c>
      <c r="K104" s="158"/>
      <c r="L104" s="258">
        <f t="shared" si="22"/>
        <v>278765.62951624766</v>
      </c>
      <c r="M104" s="257">
        <f>IF(L104&lt;&gt;0,+H104-L104,0)</f>
        <v>0</v>
      </c>
      <c r="N104" s="258">
        <f t="shared" si="23"/>
        <v>278765.62951624766</v>
      </c>
      <c r="O104" s="158">
        <f>IF(N104&lt;&gt;0,+I104-N104,0)</f>
        <v>0</v>
      </c>
      <c r="P104" s="158">
        <f>+O104-M104</f>
        <v>0</v>
      </c>
      <c r="Q104" s="1"/>
    </row>
    <row r="105" spans="1:17">
      <c r="B105" s="9" t="str">
        <f t="shared" si="24"/>
        <v/>
      </c>
      <c r="C105" s="153">
        <f>IF(D93="","-",+C104+1)</f>
        <v>2014</v>
      </c>
      <c r="D105" s="357">
        <v>1694120.9984173849</v>
      </c>
      <c r="E105" s="360">
        <v>46424.678809523808</v>
      </c>
      <c r="F105" s="361">
        <v>1647696.3196078611</v>
      </c>
      <c r="G105" s="361">
        <v>1670908.6590126231</v>
      </c>
      <c r="H105" s="360">
        <v>273540.36469294201</v>
      </c>
      <c r="I105" s="359">
        <v>273540.36469294201</v>
      </c>
      <c r="J105" s="158">
        <v>0</v>
      </c>
      <c r="K105" s="158"/>
      <c r="L105" s="258">
        <f t="shared" si="22"/>
        <v>273540.36469294201</v>
      </c>
      <c r="M105" s="257">
        <f>IF(L105&lt;&gt;0,+H105-L105,0)</f>
        <v>0</v>
      </c>
      <c r="N105" s="258">
        <f t="shared" si="23"/>
        <v>273540.36469294201</v>
      </c>
      <c r="O105" s="158">
        <f>IF(N105&lt;&gt;0,+I105-N105,0)</f>
        <v>0</v>
      </c>
      <c r="P105" s="158">
        <f>+O105-M105</f>
        <v>0</v>
      </c>
      <c r="Q105" s="1"/>
    </row>
    <row r="106" spans="1:17">
      <c r="B106" s="9" t="str">
        <f t="shared" si="24"/>
        <v/>
      </c>
      <c r="C106" s="153">
        <f>IF(D93="","-",+C105+1)</f>
        <v>2015</v>
      </c>
      <c r="D106" s="357">
        <v>1647696.3196078611</v>
      </c>
      <c r="E106" s="360">
        <v>46424.678809523808</v>
      </c>
      <c r="F106" s="361">
        <v>1601271.6407983373</v>
      </c>
      <c r="G106" s="361">
        <v>1624483.9802030991</v>
      </c>
      <c r="H106" s="360">
        <v>260481.11000678584</v>
      </c>
      <c r="I106" s="359">
        <v>260481.11000678584</v>
      </c>
      <c r="J106" s="158">
        <f t="shared" si="18"/>
        <v>0</v>
      </c>
      <c r="K106" s="158"/>
      <c r="L106" s="258">
        <f>H106</f>
        <v>260481.11000678584</v>
      </c>
      <c r="M106" s="257">
        <f>IF(L106&lt;&gt;0,+H106-L106,0)</f>
        <v>0</v>
      </c>
      <c r="N106" s="258">
        <f>I106</f>
        <v>260481.11000678584</v>
      </c>
      <c r="O106" s="158">
        <f>IF(N106&lt;&gt;0,+I106-N106,0)</f>
        <v>0</v>
      </c>
      <c r="P106" s="158">
        <f>+O106-M106</f>
        <v>0</v>
      </c>
      <c r="Q106" s="1"/>
    </row>
    <row r="107" spans="1:17">
      <c r="B107" s="9" t="str">
        <f t="shared" si="24"/>
        <v/>
      </c>
      <c r="C107" s="153">
        <f>IF(D93="","-",+C106+1)</f>
        <v>2016</v>
      </c>
      <c r="D107" s="357">
        <v>1601271.6407983373</v>
      </c>
      <c r="E107" s="360">
        <v>45345.035116279068</v>
      </c>
      <c r="F107" s="361">
        <v>1555926.6056820583</v>
      </c>
      <c r="G107" s="361">
        <v>1578599.1232401978</v>
      </c>
      <c r="H107" s="360">
        <v>245748.17532364058</v>
      </c>
      <c r="I107" s="359">
        <v>245748.17532364058</v>
      </c>
      <c r="J107" s="158">
        <v>0</v>
      </c>
      <c r="K107" s="158"/>
      <c r="L107" s="258">
        <f>H107</f>
        <v>245748.17532364058</v>
      </c>
      <c r="M107" s="257">
        <f>IF(L107&lt;&gt;0,+H107-L107,0)</f>
        <v>0</v>
      </c>
      <c r="N107" s="258">
        <f>I107</f>
        <v>245748.17532364058</v>
      </c>
      <c r="O107" s="158">
        <f>IF(N107&lt;&gt;0,+I107-N107,0)</f>
        <v>0</v>
      </c>
      <c r="P107" s="158">
        <f>+O107-M107</f>
        <v>0</v>
      </c>
      <c r="Q107" s="1"/>
    </row>
    <row r="108" spans="1:17">
      <c r="B108" s="9" t="str">
        <f t="shared" si="24"/>
        <v/>
      </c>
      <c r="C108" s="153">
        <f>IF(D93="","-",+C107+1)</f>
        <v>2017</v>
      </c>
      <c r="D108" s="154">
        <f>IF(F107+SUM(E$99:E107)=D$92,F107,D$92-SUM(E$99:E107))</f>
        <v>1555926.6056820583</v>
      </c>
      <c r="E108" s="160">
        <f>IF(+J96&lt;F107,J96,D108)</f>
        <v>46424.678809523808</v>
      </c>
      <c r="F108" s="159">
        <f t="shared" ref="F108:F130" si="25">+D108-E108</f>
        <v>1509501.9268725344</v>
      </c>
      <c r="G108" s="159">
        <f t="shared" ref="G108:G130" si="26">+(F108+D108)/2</f>
        <v>1532714.2662772965</v>
      </c>
      <c r="H108" s="163">
        <f>+J$94*G108+E108</f>
        <v>232605.71494726205</v>
      </c>
      <c r="I108" s="253">
        <f>+J$95*G108+E108</f>
        <v>232605.71494726205</v>
      </c>
      <c r="J108" s="158">
        <f t="shared" si="18"/>
        <v>0</v>
      </c>
      <c r="K108" s="158"/>
      <c r="L108" s="334"/>
      <c r="M108" s="158">
        <f t="shared" si="19"/>
        <v>0</v>
      </c>
      <c r="N108" s="334"/>
      <c r="O108" s="158">
        <f t="shared" si="20"/>
        <v>0</v>
      </c>
      <c r="P108" s="158">
        <f t="shared" si="21"/>
        <v>0</v>
      </c>
      <c r="Q108" s="1"/>
    </row>
    <row r="109" spans="1:17">
      <c r="B109" s="9" t="str">
        <f t="shared" si="24"/>
        <v/>
      </c>
      <c r="C109" s="153">
        <f>IF(D93="","-",+C108+1)</f>
        <v>2018</v>
      </c>
      <c r="D109" s="154">
        <f>IF(F108+SUM(E$99:E108)=D$92,F108,D$92-SUM(E$99:E108))</f>
        <v>1509501.9268725344</v>
      </c>
      <c r="E109" s="160">
        <f>IF(+J96&lt;F108,J96,D109)</f>
        <v>46424.678809523808</v>
      </c>
      <c r="F109" s="159">
        <f t="shared" si="25"/>
        <v>1463077.2480630106</v>
      </c>
      <c r="G109" s="159">
        <f t="shared" si="26"/>
        <v>1486289.5874677724</v>
      </c>
      <c r="H109" s="163">
        <f>+J$94*G109+E109</f>
        <v>226966.44153975847</v>
      </c>
      <c r="I109" s="253">
        <f>+J$95*G109+E109</f>
        <v>226966.44153975847</v>
      </c>
      <c r="J109" s="158">
        <f t="shared" si="18"/>
        <v>0</v>
      </c>
      <c r="K109" s="158"/>
      <c r="L109" s="334"/>
      <c r="M109" s="158">
        <f t="shared" si="19"/>
        <v>0</v>
      </c>
      <c r="N109" s="334"/>
      <c r="O109" s="158">
        <f t="shared" si="20"/>
        <v>0</v>
      </c>
      <c r="P109" s="158">
        <f t="shared" si="21"/>
        <v>0</v>
      </c>
      <c r="Q109" s="1"/>
    </row>
    <row r="110" spans="1:17">
      <c r="B110" s="9" t="str">
        <f t="shared" si="24"/>
        <v/>
      </c>
      <c r="C110" s="153">
        <f>IF(D93="","-",+C109+1)</f>
        <v>2019</v>
      </c>
      <c r="D110" s="154">
        <f>IF(F109+SUM(E$99:E109)=D$92,F109,D$92-SUM(E$99:E109))</f>
        <v>1463077.2480630106</v>
      </c>
      <c r="E110" s="160">
        <f>IF(+J96&lt;F109,J96,D110)</f>
        <v>46424.678809523808</v>
      </c>
      <c r="F110" s="159">
        <f t="shared" si="25"/>
        <v>1416652.5692534868</v>
      </c>
      <c r="G110" s="159">
        <f t="shared" si="26"/>
        <v>1439864.9086582488</v>
      </c>
      <c r="H110" s="163">
        <f>+J$94*G110+E110</f>
        <v>221327.16813225497</v>
      </c>
      <c r="I110" s="253">
        <f>+J$95*G110+E110</f>
        <v>221327.16813225497</v>
      </c>
      <c r="J110" s="158">
        <f t="shared" si="18"/>
        <v>0</v>
      </c>
      <c r="K110" s="158"/>
      <c r="L110" s="334"/>
      <c r="M110" s="158">
        <f t="shared" si="19"/>
        <v>0</v>
      </c>
      <c r="N110" s="334"/>
      <c r="O110" s="158">
        <f t="shared" si="20"/>
        <v>0</v>
      </c>
      <c r="P110" s="158">
        <f t="shared" si="21"/>
        <v>0</v>
      </c>
      <c r="Q110" s="1"/>
    </row>
    <row r="111" spans="1:17">
      <c r="B111" s="9" t="str">
        <f t="shared" si="24"/>
        <v/>
      </c>
      <c r="C111" s="153">
        <f>IF(D93="","-",+C110+1)</f>
        <v>2020</v>
      </c>
      <c r="D111" s="154">
        <f>IF(F110+SUM(E$99:E110)=D$92,F110,D$92-SUM(E$99:E110))</f>
        <v>1416652.5692534868</v>
      </c>
      <c r="E111" s="160">
        <f>IF(+J96&lt;F110,J96,D111)</f>
        <v>46424.678809523808</v>
      </c>
      <c r="F111" s="159">
        <f t="shared" si="25"/>
        <v>1370227.890443963</v>
      </c>
      <c r="G111" s="159">
        <f t="shared" si="26"/>
        <v>1393440.2298487248</v>
      </c>
      <c r="H111" s="163">
        <f>+J$94*G111+E111</f>
        <v>215687.89472475142</v>
      </c>
      <c r="I111" s="253">
        <f>+J$95*G111+E111</f>
        <v>215687.89472475142</v>
      </c>
      <c r="J111" s="158">
        <f t="shared" si="18"/>
        <v>0</v>
      </c>
      <c r="K111" s="158"/>
      <c r="L111" s="334"/>
      <c r="M111" s="158">
        <f t="shared" si="19"/>
        <v>0</v>
      </c>
      <c r="N111" s="334"/>
      <c r="O111" s="158">
        <f t="shared" si="20"/>
        <v>0</v>
      </c>
      <c r="P111" s="158">
        <f t="shared" si="21"/>
        <v>0</v>
      </c>
      <c r="Q111" s="1"/>
    </row>
    <row r="112" spans="1:17">
      <c r="B112" s="9" t="str">
        <f t="shared" si="24"/>
        <v/>
      </c>
      <c r="C112" s="153">
        <f>IF(D93="","-",+C111+1)</f>
        <v>2021</v>
      </c>
      <c r="D112" s="154">
        <f>IF(F111+SUM(E$99:E111)=D$92,F111,D$92-SUM(E$99:E111))</f>
        <v>1370227.890443963</v>
      </c>
      <c r="E112" s="160">
        <f>IF(+J96&lt;F111,J96,D112)</f>
        <v>46424.678809523808</v>
      </c>
      <c r="F112" s="159">
        <f t="shared" si="25"/>
        <v>1323803.2116344392</v>
      </c>
      <c r="G112" s="159">
        <f t="shared" si="26"/>
        <v>1347015.5510392012</v>
      </c>
      <c r="H112" s="163">
        <f>+J$94*G112+E112</f>
        <v>210048.62131724792</v>
      </c>
      <c r="I112" s="253">
        <f>+J$95*G112+E112</f>
        <v>210048.62131724792</v>
      </c>
      <c r="J112" s="158">
        <f t="shared" si="18"/>
        <v>0</v>
      </c>
      <c r="K112" s="158"/>
      <c r="L112" s="334"/>
      <c r="M112" s="158">
        <f t="shared" si="19"/>
        <v>0</v>
      </c>
      <c r="N112" s="334"/>
      <c r="O112" s="158">
        <f t="shared" si="20"/>
        <v>0</v>
      </c>
      <c r="P112" s="158">
        <f t="shared" si="21"/>
        <v>0</v>
      </c>
      <c r="Q112" s="1"/>
    </row>
    <row r="113" spans="2:17">
      <c r="B113" s="9" t="str">
        <f t="shared" si="24"/>
        <v/>
      </c>
      <c r="C113" s="153">
        <f>IF(D93="","-",+C112+1)</f>
        <v>2022</v>
      </c>
      <c r="D113" s="154">
        <f>IF(F112+SUM(E$99:E112)=D$92,F112,D$92-SUM(E$99:E112))</f>
        <v>1323803.2116344392</v>
      </c>
      <c r="E113" s="160">
        <f>IF(+J96&lt;F112,J96,D113)</f>
        <v>46424.678809523808</v>
      </c>
      <c r="F113" s="159">
        <f t="shared" si="25"/>
        <v>1277378.5328249154</v>
      </c>
      <c r="G113" s="159">
        <f t="shared" si="26"/>
        <v>1300590.8722296772</v>
      </c>
      <c r="H113" s="163">
        <f t="shared" ref="H113:H154" si="27">+J$94*G113+E113</f>
        <v>204409.34790974436</v>
      </c>
      <c r="I113" s="253">
        <f t="shared" ref="I113:I154" si="28">+J$95*G113+E113</f>
        <v>204409.34790974436</v>
      </c>
      <c r="J113" s="158">
        <f t="shared" si="18"/>
        <v>0</v>
      </c>
      <c r="K113" s="158"/>
      <c r="L113" s="334"/>
      <c r="M113" s="158">
        <f t="shared" si="19"/>
        <v>0</v>
      </c>
      <c r="N113" s="334"/>
      <c r="O113" s="158">
        <f t="shared" si="20"/>
        <v>0</v>
      </c>
      <c r="P113" s="158">
        <f t="shared" si="21"/>
        <v>0</v>
      </c>
      <c r="Q113" s="1"/>
    </row>
    <row r="114" spans="2:17">
      <c r="B114" s="9" t="str">
        <f t="shared" si="24"/>
        <v/>
      </c>
      <c r="C114" s="153">
        <f>IF(D93="","-",+C113+1)</f>
        <v>2023</v>
      </c>
      <c r="D114" s="154">
        <f>IF(F113+SUM(E$99:E113)=D$92,F113,D$92-SUM(E$99:E113))</f>
        <v>1277378.5328249154</v>
      </c>
      <c r="E114" s="160">
        <f>IF(+J96&lt;F113,J96,D114)</f>
        <v>46424.678809523808</v>
      </c>
      <c r="F114" s="159">
        <f t="shared" si="25"/>
        <v>1230953.8540153916</v>
      </c>
      <c r="G114" s="159">
        <f t="shared" si="26"/>
        <v>1254166.1934201536</v>
      </c>
      <c r="H114" s="163">
        <f t="shared" si="27"/>
        <v>198770.07450224087</v>
      </c>
      <c r="I114" s="253">
        <f t="shared" si="28"/>
        <v>198770.07450224087</v>
      </c>
      <c r="J114" s="158">
        <f t="shared" si="18"/>
        <v>0</v>
      </c>
      <c r="K114" s="158"/>
      <c r="L114" s="334"/>
      <c r="M114" s="158">
        <f t="shared" si="19"/>
        <v>0</v>
      </c>
      <c r="N114" s="334"/>
      <c r="O114" s="158">
        <f t="shared" si="20"/>
        <v>0</v>
      </c>
      <c r="P114" s="158">
        <f t="shared" si="21"/>
        <v>0</v>
      </c>
      <c r="Q114" s="1"/>
    </row>
    <row r="115" spans="2:17">
      <c r="B115" s="9" t="str">
        <f t="shared" si="24"/>
        <v/>
      </c>
      <c r="C115" s="153">
        <f>IF(D93="","-",+C114+1)</f>
        <v>2024</v>
      </c>
      <c r="D115" s="154">
        <f>IF(F114+SUM(E$99:E114)=D$92,F114,D$92-SUM(E$99:E114))</f>
        <v>1230953.8540153916</v>
      </c>
      <c r="E115" s="160">
        <f>IF(+J96&lt;F114,J96,D115)</f>
        <v>46424.678809523808</v>
      </c>
      <c r="F115" s="159">
        <f t="shared" si="25"/>
        <v>1184529.1752058677</v>
      </c>
      <c r="G115" s="159">
        <f t="shared" si="26"/>
        <v>1207741.5146106295</v>
      </c>
      <c r="H115" s="163">
        <f t="shared" si="27"/>
        <v>193130.80109473728</v>
      </c>
      <c r="I115" s="253">
        <f t="shared" si="28"/>
        <v>193130.80109473728</v>
      </c>
      <c r="J115" s="158">
        <f t="shared" si="18"/>
        <v>0</v>
      </c>
      <c r="K115" s="158"/>
      <c r="L115" s="334"/>
      <c r="M115" s="158">
        <f t="shared" si="19"/>
        <v>0</v>
      </c>
      <c r="N115" s="334"/>
      <c r="O115" s="158">
        <f t="shared" si="20"/>
        <v>0</v>
      </c>
      <c r="P115" s="158">
        <f t="shared" si="21"/>
        <v>0</v>
      </c>
      <c r="Q115" s="1"/>
    </row>
    <row r="116" spans="2:17">
      <c r="B116" s="9" t="str">
        <f t="shared" si="24"/>
        <v/>
      </c>
      <c r="C116" s="153">
        <f>IF(D93="","-",+C115+1)</f>
        <v>2025</v>
      </c>
      <c r="D116" s="154">
        <f>IF(F115+SUM(E$99:E115)=D$92,F115,D$92-SUM(E$99:E115))</f>
        <v>1184529.1752058677</v>
      </c>
      <c r="E116" s="160">
        <f>IF(+J96&lt;F115,J96,D116)</f>
        <v>46424.678809523808</v>
      </c>
      <c r="F116" s="159">
        <f t="shared" si="25"/>
        <v>1138104.4963963439</v>
      </c>
      <c r="G116" s="159">
        <f t="shared" si="26"/>
        <v>1161316.8358011059</v>
      </c>
      <c r="H116" s="163">
        <f t="shared" si="27"/>
        <v>187491.52768723379</v>
      </c>
      <c r="I116" s="253">
        <f t="shared" si="28"/>
        <v>187491.52768723379</v>
      </c>
      <c r="J116" s="158">
        <f t="shared" si="18"/>
        <v>0</v>
      </c>
      <c r="K116" s="158"/>
      <c r="L116" s="334"/>
      <c r="M116" s="158">
        <f t="shared" si="19"/>
        <v>0</v>
      </c>
      <c r="N116" s="334"/>
      <c r="O116" s="158">
        <f t="shared" si="20"/>
        <v>0</v>
      </c>
      <c r="P116" s="158">
        <f t="shared" si="21"/>
        <v>0</v>
      </c>
      <c r="Q116" s="1"/>
    </row>
    <row r="117" spans="2:17">
      <c r="B117" s="9" t="str">
        <f t="shared" si="24"/>
        <v/>
      </c>
      <c r="C117" s="153">
        <f>IF(D93="","-",+C116+1)</f>
        <v>2026</v>
      </c>
      <c r="D117" s="154">
        <f>IF(F116+SUM(E$99:E116)=D$92,F116,D$92-SUM(E$99:E116))</f>
        <v>1138104.4963963439</v>
      </c>
      <c r="E117" s="160">
        <f>IF(+J96&lt;F116,J96,D117)</f>
        <v>46424.678809523808</v>
      </c>
      <c r="F117" s="159">
        <f t="shared" si="25"/>
        <v>1091679.8175868201</v>
      </c>
      <c r="G117" s="159">
        <f t="shared" si="26"/>
        <v>1114892.1569915819</v>
      </c>
      <c r="H117" s="163">
        <f t="shared" si="27"/>
        <v>181852.25427973023</v>
      </c>
      <c r="I117" s="253">
        <f t="shared" si="28"/>
        <v>181852.25427973023</v>
      </c>
      <c r="J117" s="158">
        <f t="shared" si="18"/>
        <v>0</v>
      </c>
      <c r="K117" s="158"/>
      <c r="L117" s="334"/>
      <c r="M117" s="158">
        <f t="shared" si="19"/>
        <v>0</v>
      </c>
      <c r="N117" s="334"/>
      <c r="O117" s="158">
        <f t="shared" si="20"/>
        <v>0</v>
      </c>
      <c r="P117" s="158">
        <f t="shared" si="21"/>
        <v>0</v>
      </c>
      <c r="Q117" s="1"/>
    </row>
    <row r="118" spans="2:17">
      <c r="B118" s="9" t="str">
        <f t="shared" si="24"/>
        <v/>
      </c>
      <c r="C118" s="153">
        <f>IF(D93="","-",+C117+1)</f>
        <v>2027</v>
      </c>
      <c r="D118" s="154">
        <f>IF(F117+SUM(E$99:E117)=D$92,F117,D$92-SUM(E$99:E117))</f>
        <v>1091679.8175868201</v>
      </c>
      <c r="E118" s="160">
        <f>IF(+J96&lt;F117,J96,D118)</f>
        <v>46424.678809523808</v>
      </c>
      <c r="F118" s="159">
        <f t="shared" si="25"/>
        <v>1045255.1387772963</v>
      </c>
      <c r="G118" s="159">
        <f t="shared" si="26"/>
        <v>1068467.4781820583</v>
      </c>
      <c r="H118" s="163">
        <f t="shared" si="27"/>
        <v>176212.98087222673</v>
      </c>
      <c r="I118" s="253">
        <f t="shared" si="28"/>
        <v>176212.98087222673</v>
      </c>
      <c r="J118" s="158">
        <f t="shared" si="18"/>
        <v>0</v>
      </c>
      <c r="K118" s="158"/>
      <c r="L118" s="334"/>
      <c r="M118" s="158">
        <f t="shared" si="19"/>
        <v>0</v>
      </c>
      <c r="N118" s="334"/>
      <c r="O118" s="158">
        <f t="shared" si="20"/>
        <v>0</v>
      </c>
      <c r="P118" s="158">
        <f t="shared" si="21"/>
        <v>0</v>
      </c>
      <c r="Q118" s="1"/>
    </row>
    <row r="119" spans="2:17">
      <c r="B119" s="9" t="str">
        <f t="shared" si="24"/>
        <v/>
      </c>
      <c r="C119" s="153">
        <f>IF(D93="","-",+C118+1)</f>
        <v>2028</v>
      </c>
      <c r="D119" s="154">
        <f>IF(F118+SUM(E$99:E118)=D$92,F118,D$92-SUM(E$99:E118))</f>
        <v>1045255.1387772963</v>
      </c>
      <c r="E119" s="160">
        <f>IF(+J96&lt;F118,J96,D119)</f>
        <v>46424.678809523808</v>
      </c>
      <c r="F119" s="159">
        <f t="shared" si="25"/>
        <v>998830.45996777248</v>
      </c>
      <c r="G119" s="159">
        <f t="shared" si="26"/>
        <v>1022042.7993725344</v>
      </c>
      <c r="H119" s="163">
        <f t="shared" si="27"/>
        <v>170573.70746472318</v>
      </c>
      <c r="I119" s="253">
        <f t="shared" si="28"/>
        <v>170573.70746472318</v>
      </c>
      <c r="J119" s="158">
        <f t="shared" si="18"/>
        <v>0</v>
      </c>
      <c r="K119" s="158"/>
      <c r="L119" s="334"/>
      <c r="M119" s="158">
        <f t="shared" si="19"/>
        <v>0</v>
      </c>
      <c r="N119" s="334"/>
      <c r="O119" s="158">
        <f t="shared" si="20"/>
        <v>0</v>
      </c>
      <c r="P119" s="158">
        <f t="shared" si="21"/>
        <v>0</v>
      </c>
      <c r="Q119" s="1"/>
    </row>
    <row r="120" spans="2:17">
      <c r="B120" s="9" t="str">
        <f t="shared" si="24"/>
        <v/>
      </c>
      <c r="C120" s="153">
        <f>IF(D93="","-",+C119+1)</f>
        <v>2029</v>
      </c>
      <c r="D120" s="154">
        <f>IF(F119+SUM(E$99:E119)=D$92,F119,D$92-SUM(E$99:E119))</f>
        <v>998830.45996777248</v>
      </c>
      <c r="E120" s="160">
        <f>IF(+J96&lt;F119,J96,D120)</f>
        <v>46424.678809523808</v>
      </c>
      <c r="F120" s="159">
        <f t="shared" si="25"/>
        <v>952405.78115824866</v>
      </c>
      <c r="G120" s="159">
        <f t="shared" si="26"/>
        <v>975618.12056301057</v>
      </c>
      <c r="H120" s="163">
        <f t="shared" si="27"/>
        <v>164934.43405721965</v>
      </c>
      <c r="I120" s="253">
        <f t="shared" si="28"/>
        <v>164934.43405721965</v>
      </c>
      <c r="J120" s="158">
        <f t="shared" si="18"/>
        <v>0</v>
      </c>
      <c r="K120" s="158"/>
      <c r="L120" s="334"/>
      <c r="M120" s="158">
        <f t="shared" si="19"/>
        <v>0</v>
      </c>
      <c r="N120" s="334"/>
      <c r="O120" s="158">
        <f t="shared" si="20"/>
        <v>0</v>
      </c>
      <c r="P120" s="158">
        <f t="shared" si="21"/>
        <v>0</v>
      </c>
      <c r="Q120" s="1"/>
    </row>
    <row r="121" spans="2:17">
      <c r="B121" s="9" t="str">
        <f t="shared" si="24"/>
        <v/>
      </c>
      <c r="C121" s="153">
        <f>IF(D93="","-",+C120+1)</f>
        <v>2030</v>
      </c>
      <c r="D121" s="154">
        <f>IF(F120+SUM(E$99:E120)=D$92,F120,D$92-SUM(E$99:E120))</f>
        <v>952405.78115824866</v>
      </c>
      <c r="E121" s="160">
        <f>IF(+J96&lt;F120,J96,D121)</f>
        <v>46424.678809523808</v>
      </c>
      <c r="F121" s="159">
        <f t="shared" si="25"/>
        <v>905981.10234872485</v>
      </c>
      <c r="G121" s="159">
        <f t="shared" si="26"/>
        <v>929193.44175348675</v>
      </c>
      <c r="H121" s="163">
        <f t="shared" si="27"/>
        <v>159295.16064971613</v>
      </c>
      <c r="I121" s="253">
        <f t="shared" si="28"/>
        <v>159295.16064971613</v>
      </c>
      <c r="J121" s="158">
        <f t="shared" si="18"/>
        <v>0</v>
      </c>
      <c r="K121" s="158"/>
      <c r="L121" s="334"/>
      <c r="M121" s="158">
        <f t="shared" si="19"/>
        <v>0</v>
      </c>
      <c r="N121" s="334"/>
      <c r="O121" s="158">
        <f t="shared" si="20"/>
        <v>0</v>
      </c>
      <c r="P121" s="158">
        <f t="shared" si="21"/>
        <v>0</v>
      </c>
      <c r="Q121" s="1"/>
    </row>
    <row r="122" spans="2:17">
      <c r="B122" s="9" t="str">
        <f t="shared" si="24"/>
        <v/>
      </c>
      <c r="C122" s="153">
        <f>IF(D93="","-",+C121+1)</f>
        <v>2031</v>
      </c>
      <c r="D122" s="154">
        <f>IF(F121+SUM(E$99:E121)=D$92,F121,D$92-SUM(E$99:E121))</f>
        <v>905981.10234872485</v>
      </c>
      <c r="E122" s="160">
        <f>IF(+J96&lt;F121,J96,D122)</f>
        <v>46424.678809523808</v>
      </c>
      <c r="F122" s="159">
        <f t="shared" si="25"/>
        <v>859556.42353920103</v>
      </c>
      <c r="G122" s="159">
        <f t="shared" si="26"/>
        <v>882768.76294396294</v>
      </c>
      <c r="H122" s="163">
        <f t="shared" si="27"/>
        <v>153655.8872422126</v>
      </c>
      <c r="I122" s="253">
        <f t="shared" si="28"/>
        <v>153655.8872422126</v>
      </c>
      <c r="J122" s="158">
        <f t="shared" si="18"/>
        <v>0</v>
      </c>
      <c r="K122" s="158"/>
      <c r="L122" s="334"/>
      <c r="M122" s="158">
        <f t="shared" si="19"/>
        <v>0</v>
      </c>
      <c r="N122" s="334"/>
      <c r="O122" s="158">
        <f t="shared" si="20"/>
        <v>0</v>
      </c>
      <c r="P122" s="158">
        <f t="shared" si="21"/>
        <v>0</v>
      </c>
      <c r="Q122" s="1"/>
    </row>
    <row r="123" spans="2:17">
      <c r="B123" s="9" t="str">
        <f t="shared" si="24"/>
        <v/>
      </c>
      <c r="C123" s="153">
        <f>IF(D93="","-",+C122+1)</f>
        <v>2032</v>
      </c>
      <c r="D123" s="154">
        <f>IF(F122+SUM(E$99:E122)=D$92,F122,D$92-SUM(E$99:E122))</f>
        <v>859556.42353920103</v>
      </c>
      <c r="E123" s="160">
        <f>IF(+J96&lt;F122,J96,D123)</f>
        <v>46424.678809523808</v>
      </c>
      <c r="F123" s="159">
        <f t="shared" si="25"/>
        <v>813131.74472967722</v>
      </c>
      <c r="G123" s="159">
        <f t="shared" si="26"/>
        <v>836344.08413443912</v>
      </c>
      <c r="H123" s="163">
        <f t="shared" si="27"/>
        <v>148016.61383470905</v>
      </c>
      <c r="I123" s="253">
        <f t="shared" si="28"/>
        <v>148016.61383470905</v>
      </c>
      <c r="J123" s="158">
        <f t="shared" si="18"/>
        <v>0</v>
      </c>
      <c r="K123" s="158"/>
      <c r="L123" s="334"/>
      <c r="M123" s="158">
        <f t="shared" si="19"/>
        <v>0</v>
      </c>
      <c r="N123" s="334"/>
      <c r="O123" s="158">
        <f t="shared" si="20"/>
        <v>0</v>
      </c>
      <c r="P123" s="158">
        <f t="shared" si="21"/>
        <v>0</v>
      </c>
      <c r="Q123" s="1"/>
    </row>
    <row r="124" spans="2:17">
      <c r="B124" s="9" t="str">
        <f t="shared" si="24"/>
        <v/>
      </c>
      <c r="C124" s="153">
        <f>IF(D93="","-",+C123+1)</f>
        <v>2033</v>
      </c>
      <c r="D124" s="154">
        <f>IF(F123+SUM(E$99:E123)=D$92,F123,D$92-SUM(E$99:E123))</f>
        <v>813131.74472967722</v>
      </c>
      <c r="E124" s="160">
        <f>IF(+J96&lt;F123,J96,D124)</f>
        <v>46424.678809523808</v>
      </c>
      <c r="F124" s="159">
        <f t="shared" si="25"/>
        <v>766707.0659201534</v>
      </c>
      <c r="G124" s="159">
        <f t="shared" si="26"/>
        <v>789919.40532491531</v>
      </c>
      <c r="H124" s="163">
        <f t="shared" si="27"/>
        <v>142377.34042720552</v>
      </c>
      <c r="I124" s="253">
        <f t="shared" si="28"/>
        <v>142377.34042720552</v>
      </c>
      <c r="J124" s="158">
        <f t="shared" si="18"/>
        <v>0</v>
      </c>
      <c r="K124" s="158"/>
      <c r="L124" s="334"/>
      <c r="M124" s="158">
        <f t="shared" si="19"/>
        <v>0</v>
      </c>
      <c r="N124" s="334"/>
      <c r="O124" s="158">
        <f t="shared" si="20"/>
        <v>0</v>
      </c>
      <c r="P124" s="158">
        <f t="shared" si="21"/>
        <v>0</v>
      </c>
      <c r="Q124" s="1"/>
    </row>
    <row r="125" spans="2:17">
      <c r="B125" s="9" t="str">
        <f t="shared" si="24"/>
        <v/>
      </c>
      <c r="C125" s="153">
        <f>IF(D93="","-",+C124+1)</f>
        <v>2034</v>
      </c>
      <c r="D125" s="154">
        <f>IF(F124+SUM(E$99:E124)=D$92,F124,D$92-SUM(E$99:E124))</f>
        <v>766707.0659201534</v>
      </c>
      <c r="E125" s="160">
        <f>IF(+J96&lt;F124,J96,D125)</f>
        <v>46424.678809523808</v>
      </c>
      <c r="F125" s="159">
        <f t="shared" si="25"/>
        <v>720282.38711062958</v>
      </c>
      <c r="G125" s="159">
        <f t="shared" si="26"/>
        <v>743494.72651539149</v>
      </c>
      <c r="H125" s="163">
        <f t="shared" si="27"/>
        <v>136738.06701970199</v>
      </c>
      <c r="I125" s="253">
        <f t="shared" si="28"/>
        <v>136738.06701970199</v>
      </c>
      <c r="J125" s="158">
        <f t="shared" si="18"/>
        <v>0</v>
      </c>
      <c r="K125" s="158"/>
      <c r="L125" s="334"/>
      <c r="M125" s="158">
        <f t="shared" si="19"/>
        <v>0</v>
      </c>
      <c r="N125" s="334"/>
      <c r="O125" s="158">
        <f t="shared" si="20"/>
        <v>0</v>
      </c>
      <c r="P125" s="158">
        <f t="shared" si="21"/>
        <v>0</v>
      </c>
      <c r="Q125" s="1"/>
    </row>
    <row r="126" spans="2:17">
      <c r="B126" s="9" t="str">
        <f t="shared" si="24"/>
        <v/>
      </c>
      <c r="C126" s="153">
        <f>IF(D93="","-",+C125+1)</f>
        <v>2035</v>
      </c>
      <c r="D126" s="154">
        <f>IF(F125+SUM(E$99:E125)=D$92,F125,D$92-SUM(E$99:E125))</f>
        <v>720282.38711062958</v>
      </c>
      <c r="E126" s="160">
        <f>IF(+J96&lt;F125,J96,D126)</f>
        <v>46424.678809523808</v>
      </c>
      <c r="F126" s="159">
        <f t="shared" si="25"/>
        <v>673857.70830110577</v>
      </c>
      <c r="G126" s="159">
        <f t="shared" si="26"/>
        <v>697070.04770586768</v>
      </c>
      <c r="H126" s="163">
        <f t="shared" si="27"/>
        <v>131098.79361219847</v>
      </c>
      <c r="I126" s="253">
        <f t="shared" si="28"/>
        <v>131098.79361219847</v>
      </c>
      <c r="J126" s="158">
        <f t="shared" si="18"/>
        <v>0</v>
      </c>
      <c r="K126" s="158"/>
      <c r="L126" s="334"/>
      <c r="M126" s="158">
        <f t="shared" si="19"/>
        <v>0</v>
      </c>
      <c r="N126" s="334"/>
      <c r="O126" s="158">
        <f t="shared" si="20"/>
        <v>0</v>
      </c>
      <c r="P126" s="158">
        <f t="shared" si="21"/>
        <v>0</v>
      </c>
      <c r="Q126" s="1"/>
    </row>
    <row r="127" spans="2:17">
      <c r="B127" s="9" t="str">
        <f t="shared" si="24"/>
        <v/>
      </c>
      <c r="C127" s="153">
        <f>IF(D93="","-",+C126+1)</f>
        <v>2036</v>
      </c>
      <c r="D127" s="154">
        <f>IF(F126+SUM(E$99:E126)=D$92,F126,D$92-SUM(E$99:E126))</f>
        <v>673857.70830110577</v>
      </c>
      <c r="E127" s="160">
        <f>IF(+J96&lt;F126,J96,D127)</f>
        <v>46424.678809523808</v>
      </c>
      <c r="F127" s="159">
        <f t="shared" si="25"/>
        <v>627433.02949158195</v>
      </c>
      <c r="G127" s="159">
        <f t="shared" si="26"/>
        <v>650645.36889634386</v>
      </c>
      <c r="H127" s="163">
        <f t="shared" si="27"/>
        <v>125459.52020469494</v>
      </c>
      <c r="I127" s="253">
        <f t="shared" si="28"/>
        <v>125459.52020469494</v>
      </c>
      <c r="J127" s="158">
        <f t="shared" si="18"/>
        <v>0</v>
      </c>
      <c r="K127" s="158"/>
      <c r="L127" s="334"/>
      <c r="M127" s="158">
        <f t="shared" si="19"/>
        <v>0</v>
      </c>
      <c r="N127" s="334"/>
      <c r="O127" s="158">
        <f t="shared" si="20"/>
        <v>0</v>
      </c>
      <c r="P127" s="158">
        <f t="shared" si="21"/>
        <v>0</v>
      </c>
      <c r="Q127" s="1"/>
    </row>
    <row r="128" spans="2:17">
      <c r="B128" s="9" t="str">
        <f t="shared" si="24"/>
        <v/>
      </c>
      <c r="C128" s="153">
        <f>IF(D93="","-",+C127+1)</f>
        <v>2037</v>
      </c>
      <c r="D128" s="154">
        <f>IF(F127+SUM(E$99:E127)=D$92,F127,D$92-SUM(E$99:E127))</f>
        <v>627433.02949158195</v>
      </c>
      <c r="E128" s="160">
        <f>IF(+J96&lt;F127,J96,D128)</f>
        <v>46424.678809523808</v>
      </c>
      <c r="F128" s="159">
        <f t="shared" si="25"/>
        <v>581008.35068205814</v>
      </c>
      <c r="G128" s="159">
        <f t="shared" si="26"/>
        <v>604220.69008682005</v>
      </c>
      <c r="H128" s="163">
        <f t="shared" si="27"/>
        <v>119820.24679719142</v>
      </c>
      <c r="I128" s="253">
        <f t="shared" si="28"/>
        <v>119820.24679719142</v>
      </c>
      <c r="J128" s="158">
        <f t="shared" si="18"/>
        <v>0</v>
      </c>
      <c r="K128" s="158"/>
      <c r="L128" s="334"/>
      <c r="M128" s="158">
        <f t="shared" si="19"/>
        <v>0</v>
      </c>
      <c r="N128" s="334"/>
      <c r="O128" s="158">
        <f t="shared" si="20"/>
        <v>0</v>
      </c>
      <c r="P128" s="158">
        <f t="shared" si="21"/>
        <v>0</v>
      </c>
      <c r="Q128" s="1"/>
    </row>
    <row r="129" spans="2:17">
      <c r="B129" s="9" t="str">
        <f t="shared" si="24"/>
        <v/>
      </c>
      <c r="C129" s="153">
        <f>IF(D93="","-",+C128+1)</f>
        <v>2038</v>
      </c>
      <c r="D129" s="154">
        <f>IF(F128+SUM(E$99:E128)=D$92,F128,D$92-SUM(E$99:E128))</f>
        <v>581008.35068205814</v>
      </c>
      <c r="E129" s="160">
        <f>IF(+J96&lt;F128,J96,D129)</f>
        <v>46424.678809523808</v>
      </c>
      <c r="F129" s="159">
        <f t="shared" si="25"/>
        <v>534583.67187253432</v>
      </c>
      <c r="G129" s="159">
        <f t="shared" si="26"/>
        <v>557796.01127729623</v>
      </c>
      <c r="H129" s="163">
        <f t="shared" si="27"/>
        <v>114180.97338968786</v>
      </c>
      <c r="I129" s="253">
        <f t="shared" si="28"/>
        <v>114180.97338968786</v>
      </c>
      <c r="J129" s="158">
        <f t="shared" si="18"/>
        <v>0</v>
      </c>
      <c r="K129" s="158"/>
      <c r="L129" s="334"/>
      <c r="M129" s="158">
        <f t="shared" si="19"/>
        <v>0</v>
      </c>
      <c r="N129" s="334"/>
      <c r="O129" s="158">
        <f t="shared" si="20"/>
        <v>0</v>
      </c>
      <c r="P129" s="158">
        <f t="shared" si="21"/>
        <v>0</v>
      </c>
      <c r="Q129" s="1"/>
    </row>
    <row r="130" spans="2:17">
      <c r="B130" s="9" t="str">
        <f t="shared" si="24"/>
        <v/>
      </c>
      <c r="C130" s="153">
        <f>IF(D93="","-",+C129+1)</f>
        <v>2039</v>
      </c>
      <c r="D130" s="154">
        <f>IF(F129+SUM(E$99:E129)=D$92,F129,D$92-SUM(E$99:E129))</f>
        <v>534583.67187253432</v>
      </c>
      <c r="E130" s="160">
        <f>IF(+J96&lt;F129,J96,D130)</f>
        <v>46424.678809523808</v>
      </c>
      <c r="F130" s="159">
        <f t="shared" si="25"/>
        <v>488158.99306301051</v>
      </c>
      <c r="G130" s="159">
        <f t="shared" si="26"/>
        <v>511371.33246777242</v>
      </c>
      <c r="H130" s="163">
        <f t="shared" si="27"/>
        <v>108541.69998218433</v>
      </c>
      <c r="I130" s="253">
        <f t="shared" si="28"/>
        <v>108541.69998218433</v>
      </c>
      <c r="J130" s="158">
        <f t="shared" si="18"/>
        <v>0</v>
      </c>
      <c r="K130" s="158"/>
      <c r="L130" s="334"/>
      <c r="M130" s="158">
        <f t="shared" si="19"/>
        <v>0</v>
      </c>
      <c r="N130" s="334"/>
      <c r="O130" s="158">
        <f t="shared" si="20"/>
        <v>0</v>
      </c>
      <c r="P130" s="158">
        <f t="shared" si="21"/>
        <v>0</v>
      </c>
      <c r="Q130" s="1"/>
    </row>
    <row r="131" spans="2:17">
      <c r="B131" s="9" t="str">
        <f t="shared" si="24"/>
        <v/>
      </c>
      <c r="C131" s="153">
        <f>IF(D93="","-",+C130+1)</f>
        <v>2040</v>
      </c>
      <c r="D131" s="154">
        <f>IF(F130+SUM(E$99:E130)=D$92,F130,D$92-SUM(E$99:E130))</f>
        <v>488158.99306301051</v>
      </c>
      <c r="E131" s="160">
        <f>IF(+J96&lt;F130,J96,D131)</f>
        <v>46424.678809523808</v>
      </c>
      <c r="F131" s="159">
        <f t="shared" ref="F131:F154" si="29">+D131-E131</f>
        <v>441734.31425348669</v>
      </c>
      <c r="G131" s="159">
        <f t="shared" ref="G131:G154" si="30">+(F131+D131)/2</f>
        <v>464946.6536582486</v>
      </c>
      <c r="H131" s="163">
        <f t="shared" si="27"/>
        <v>102902.42657468081</v>
      </c>
      <c r="I131" s="253">
        <f t="shared" si="28"/>
        <v>102902.42657468081</v>
      </c>
      <c r="J131" s="158">
        <f t="shared" ref="J131:J154" si="31">+I131-H131</f>
        <v>0</v>
      </c>
      <c r="K131" s="158"/>
      <c r="L131" s="334"/>
      <c r="M131" s="158">
        <f t="shared" ref="M131:M154" si="32">IF(L131&lt;&gt;0,+H131-L131,0)</f>
        <v>0</v>
      </c>
      <c r="N131" s="334"/>
      <c r="O131" s="158">
        <f t="shared" ref="O131:O154" si="33">IF(N131&lt;&gt;0,+I131-N131,0)</f>
        <v>0</v>
      </c>
      <c r="P131" s="158">
        <f t="shared" ref="P131:P154" si="34">+O131-M131</f>
        <v>0</v>
      </c>
      <c r="Q131" s="1"/>
    </row>
    <row r="132" spans="2:17">
      <c r="B132" s="9" t="str">
        <f t="shared" si="24"/>
        <v/>
      </c>
      <c r="C132" s="153">
        <f>IF(D93="","-",+C131+1)</f>
        <v>2041</v>
      </c>
      <c r="D132" s="154">
        <f>IF(F131+SUM(E$99:E131)=D$92,F131,D$92-SUM(E$99:E131))</f>
        <v>441734.31425348669</v>
      </c>
      <c r="E132" s="160">
        <f>IF(+J96&lt;F131,J96,D132)</f>
        <v>46424.678809523808</v>
      </c>
      <c r="F132" s="159">
        <f t="shared" si="29"/>
        <v>395309.63544396288</v>
      </c>
      <c r="G132" s="159">
        <f t="shared" si="30"/>
        <v>418521.97484872479</v>
      </c>
      <c r="H132" s="163">
        <f t="shared" si="27"/>
        <v>97263.153167177283</v>
      </c>
      <c r="I132" s="253">
        <f t="shared" si="28"/>
        <v>97263.153167177283</v>
      </c>
      <c r="J132" s="158">
        <f t="shared" si="31"/>
        <v>0</v>
      </c>
      <c r="K132" s="158"/>
      <c r="L132" s="334"/>
      <c r="M132" s="158">
        <f t="shared" si="32"/>
        <v>0</v>
      </c>
      <c r="N132" s="334"/>
      <c r="O132" s="158">
        <f t="shared" si="33"/>
        <v>0</v>
      </c>
      <c r="P132" s="158">
        <f t="shared" si="34"/>
        <v>0</v>
      </c>
      <c r="Q132" s="1"/>
    </row>
    <row r="133" spans="2:17">
      <c r="B133" s="9" t="str">
        <f t="shared" si="24"/>
        <v/>
      </c>
      <c r="C133" s="153">
        <f>IF(D93="","-",+C132+1)</f>
        <v>2042</v>
      </c>
      <c r="D133" s="154">
        <f>IF(F132+SUM(E$99:E132)=D$92,F132,D$92-SUM(E$99:E132))</f>
        <v>395309.63544396288</v>
      </c>
      <c r="E133" s="160">
        <f>IF(+J96&lt;F132,J96,D133)</f>
        <v>46424.678809523808</v>
      </c>
      <c r="F133" s="159">
        <f t="shared" si="29"/>
        <v>348884.95663443906</v>
      </c>
      <c r="G133" s="159">
        <f t="shared" si="30"/>
        <v>372097.29603920097</v>
      </c>
      <c r="H133" s="163">
        <f t="shared" si="27"/>
        <v>91623.879759673757</v>
      </c>
      <c r="I133" s="253">
        <f t="shared" si="28"/>
        <v>91623.879759673757</v>
      </c>
      <c r="J133" s="158">
        <f t="shared" si="31"/>
        <v>0</v>
      </c>
      <c r="K133" s="158"/>
      <c r="L133" s="334"/>
      <c r="M133" s="158">
        <f t="shared" si="32"/>
        <v>0</v>
      </c>
      <c r="N133" s="334"/>
      <c r="O133" s="158">
        <f t="shared" si="33"/>
        <v>0</v>
      </c>
      <c r="P133" s="158">
        <f t="shared" si="34"/>
        <v>0</v>
      </c>
      <c r="Q133" s="1"/>
    </row>
    <row r="134" spans="2:17">
      <c r="B134" s="9" t="str">
        <f t="shared" si="24"/>
        <v/>
      </c>
      <c r="C134" s="153">
        <f>IF(D93="","-",+C133+1)</f>
        <v>2043</v>
      </c>
      <c r="D134" s="154">
        <f>IF(F133+SUM(E$99:E133)=D$92,F133,D$92-SUM(E$99:E133))</f>
        <v>348884.95663443906</v>
      </c>
      <c r="E134" s="160">
        <f>IF(+J96&lt;F133,J96,D134)</f>
        <v>46424.678809523808</v>
      </c>
      <c r="F134" s="159">
        <f t="shared" si="29"/>
        <v>302460.27782491525</v>
      </c>
      <c r="G134" s="159">
        <f t="shared" si="30"/>
        <v>325672.61722967715</v>
      </c>
      <c r="H134" s="163">
        <f t="shared" si="27"/>
        <v>85984.606352170231</v>
      </c>
      <c r="I134" s="253">
        <f t="shared" si="28"/>
        <v>85984.606352170231</v>
      </c>
      <c r="J134" s="158">
        <f t="shared" si="31"/>
        <v>0</v>
      </c>
      <c r="K134" s="158"/>
      <c r="L134" s="334"/>
      <c r="M134" s="158">
        <f t="shared" si="32"/>
        <v>0</v>
      </c>
      <c r="N134" s="334"/>
      <c r="O134" s="158">
        <f t="shared" si="33"/>
        <v>0</v>
      </c>
      <c r="P134" s="158">
        <f t="shared" si="34"/>
        <v>0</v>
      </c>
      <c r="Q134" s="1"/>
    </row>
    <row r="135" spans="2:17">
      <c r="B135" s="9" t="str">
        <f t="shared" si="24"/>
        <v/>
      </c>
      <c r="C135" s="153">
        <f>IF(D93="","-",+C134+1)</f>
        <v>2044</v>
      </c>
      <c r="D135" s="154">
        <f>IF(F134+SUM(E$99:E134)=D$92,F134,D$92-SUM(E$99:E134))</f>
        <v>302460.27782491525</v>
      </c>
      <c r="E135" s="160">
        <f>IF(+J96&lt;F134,J96,D135)</f>
        <v>46424.678809523808</v>
      </c>
      <c r="F135" s="159">
        <f t="shared" si="29"/>
        <v>256035.59901539143</v>
      </c>
      <c r="G135" s="159">
        <f t="shared" si="30"/>
        <v>279247.93842015334</v>
      </c>
      <c r="H135" s="163">
        <f t="shared" si="27"/>
        <v>80345.33294466669</v>
      </c>
      <c r="I135" s="253">
        <f t="shared" si="28"/>
        <v>80345.33294466669</v>
      </c>
      <c r="J135" s="158">
        <f t="shared" si="31"/>
        <v>0</v>
      </c>
      <c r="K135" s="158"/>
      <c r="L135" s="334"/>
      <c r="M135" s="158">
        <f t="shared" si="32"/>
        <v>0</v>
      </c>
      <c r="N135" s="334"/>
      <c r="O135" s="158">
        <f t="shared" si="33"/>
        <v>0</v>
      </c>
      <c r="P135" s="158">
        <f t="shared" si="34"/>
        <v>0</v>
      </c>
      <c r="Q135" s="1"/>
    </row>
    <row r="136" spans="2:17">
      <c r="B136" s="9" t="str">
        <f t="shared" si="24"/>
        <v/>
      </c>
      <c r="C136" s="153">
        <f>IF(D93="","-",+C135+1)</f>
        <v>2045</v>
      </c>
      <c r="D136" s="154">
        <f>IF(F135+SUM(E$99:E135)=D$92,F135,D$92-SUM(E$99:E135))</f>
        <v>256035.59901539143</v>
      </c>
      <c r="E136" s="160">
        <f>IF(+J96&lt;F135,J96,D136)</f>
        <v>46424.678809523808</v>
      </c>
      <c r="F136" s="159">
        <f t="shared" si="29"/>
        <v>209610.92020586762</v>
      </c>
      <c r="G136" s="159">
        <f t="shared" si="30"/>
        <v>232823.25961062952</v>
      </c>
      <c r="H136" s="163">
        <f t="shared" si="27"/>
        <v>74706.059537163164</v>
      </c>
      <c r="I136" s="253">
        <f t="shared" si="28"/>
        <v>74706.059537163164</v>
      </c>
      <c r="J136" s="158">
        <f t="shared" si="31"/>
        <v>0</v>
      </c>
      <c r="K136" s="158"/>
      <c r="L136" s="334"/>
      <c r="M136" s="158">
        <f t="shared" si="32"/>
        <v>0</v>
      </c>
      <c r="N136" s="334"/>
      <c r="O136" s="158">
        <f t="shared" si="33"/>
        <v>0</v>
      </c>
      <c r="P136" s="158">
        <f t="shared" si="34"/>
        <v>0</v>
      </c>
      <c r="Q136" s="1"/>
    </row>
    <row r="137" spans="2:17">
      <c r="B137" s="9" t="str">
        <f t="shared" si="24"/>
        <v/>
      </c>
      <c r="C137" s="153">
        <f>IF(D93="","-",+C136+1)</f>
        <v>2046</v>
      </c>
      <c r="D137" s="154">
        <f>IF(F136+SUM(E$99:E136)=D$92,F136,D$92-SUM(E$99:E136))</f>
        <v>209610.92020586762</v>
      </c>
      <c r="E137" s="160">
        <f>IF(+J96&lt;F136,J96,D137)</f>
        <v>46424.678809523808</v>
      </c>
      <c r="F137" s="159">
        <f t="shared" si="29"/>
        <v>163186.2413963438</v>
      </c>
      <c r="G137" s="159">
        <f t="shared" si="30"/>
        <v>186398.58080110571</v>
      </c>
      <c r="H137" s="163">
        <f t="shared" si="27"/>
        <v>69066.786129659624</v>
      </c>
      <c r="I137" s="253">
        <f t="shared" si="28"/>
        <v>69066.786129659624</v>
      </c>
      <c r="J137" s="158">
        <f t="shared" si="31"/>
        <v>0</v>
      </c>
      <c r="K137" s="158"/>
      <c r="L137" s="334"/>
      <c r="M137" s="158">
        <f t="shared" si="32"/>
        <v>0</v>
      </c>
      <c r="N137" s="334"/>
      <c r="O137" s="158">
        <f t="shared" si="33"/>
        <v>0</v>
      </c>
      <c r="P137" s="158">
        <f t="shared" si="34"/>
        <v>0</v>
      </c>
      <c r="Q137" s="1"/>
    </row>
    <row r="138" spans="2:17">
      <c r="B138" s="9" t="str">
        <f t="shared" si="24"/>
        <v/>
      </c>
      <c r="C138" s="153">
        <f>IF(D93="","-",+C137+1)</f>
        <v>2047</v>
      </c>
      <c r="D138" s="154">
        <f>IF(F137+SUM(E$99:E137)=D$92,F137,D$92-SUM(E$99:E137))</f>
        <v>163186.2413963438</v>
      </c>
      <c r="E138" s="160">
        <f>IF(+J96&lt;F137,J96,D138)</f>
        <v>46424.678809523808</v>
      </c>
      <c r="F138" s="159">
        <f t="shared" si="29"/>
        <v>116761.56258681999</v>
      </c>
      <c r="G138" s="159">
        <f t="shared" si="30"/>
        <v>139973.90199158189</v>
      </c>
      <c r="H138" s="163">
        <f t="shared" si="27"/>
        <v>63427.512722156098</v>
      </c>
      <c r="I138" s="253">
        <f t="shared" si="28"/>
        <v>63427.512722156098</v>
      </c>
      <c r="J138" s="158">
        <f t="shared" si="31"/>
        <v>0</v>
      </c>
      <c r="K138" s="158"/>
      <c r="L138" s="334"/>
      <c r="M138" s="158">
        <f t="shared" si="32"/>
        <v>0</v>
      </c>
      <c r="N138" s="334"/>
      <c r="O138" s="158">
        <f t="shared" si="33"/>
        <v>0</v>
      </c>
      <c r="P138" s="158">
        <f t="shared" si="34"/>
        <v>0</v>
      </c>
      <c r="Q138" s="1"/>
    </row>
    <row r="139" spans="2:17">
      <c r="B139" s="9" t="str">
        <f t="shared" si="24"/>
        <v/>
      </c>
      <c r="C139" s="153">
        <f>IF(D93="","-",+C138+1)</f>
        <v>2048</v>
      </c>
      <c r="D139" s="154">
        <f>IF(F138+SUM(E$99:E138)=D$92,F138,D$92-SUM(E$99:E138))</f>
        <v>116761.56258681999</v>
      </c>
      <c r="E139" s="160">
        <f>IF(+J96&lt;F138,J96,D139)</f>
        <v>46424.678809523808</v>
      </c>
      <c r="F139" s="159">
        <f t="shared" si="29"/>
        <v>70336.883777296171</v>
      </c>
      <c r="G139" s="159">
        <f t="shared" si="30"/>
        <v>93549.223182058078</v>
      </c>
      <c r="H139" s="163">
        <f t="shared" si="27"/>
        <v>57788.239314652572</v>
      </c>
      <c r="I139" s="253">
        <f t="shared" si="28"/>
        <v>57788.239314652572</v>
      </c>
      <c r="J139" s="158">
        <f t="shared" si="31"/>
        <v>0</v>
      </c>
      <c r="K139" s="158"/>
      <c r="L139" s="334"/>
      <c r="M139" s="158">
        <f t="shared" si="32"/>
        <v>0</v>
      </c>
      <c r="N139" s="334"/>
      <c r="O139" s="158">
        <f t="shared" si="33"/>
        <v>0</v>
      </c>
      <c r="P139" s="158">
        <f t="shared" si="34"/>
        <v>0</v>
      </c>
      <c r="Q139" s="1"/>
    </row>
    <row r="140" spans="2:17">
      <c r="B140" s="9" t="str">
        <f t="shared" si="24"/>
        <v/>
      </c>
      <c r="C140" s="153">
        <f>IF(D93="","-",+C139+1)</f>
        <v>2049</v>
      </c>
      <c r="D140" s="154">
        <f>IF(F139+SUM(E$99:E139)=D$92,F139,D$92-SUM(E$99:E139))</f>
        <v>70336.883777296171</v>
      </c>
      <c r="E140" s="160">
        <f>IF(+J96&lt;F139,J96,D140)</f>
        <v>46424.678809523808</v>
      </c>
      <c r="F140" s="159">
        <f t="shared" si="29"/>
        <v>23912.204967772363</v>
      </c>
      <c r="G140" s="159">
        <f t="shared" si="30"/>
        <v>47124.544372534263</v>
      </c>
      <c r="H140" s="163">
        <f t="shared" si="27"/>
        <v>52148.965907149039</v>
      </c>
      <c r="I140" s="253">
        <f t="shared" si="28"/>
        <v>52148.965907149039</v>
      </c>
      <c r="J140" s="158">
        <f t="shared" si="31"/>
        <v>0</v>
      </c>
      <c r="K140" s="158"/>
      <c r="L140" s="334"/>
      <c r="M140" s="158">
        <f t="shared" si="32"/>
        <v>0</v>
      </c>
      <c r="N140" s="334"/>
      <c r="O140" s="158">
        <f t="shared" si="33"/>
        <v>0</v>
      </c>
      <c r="P140" s="158">
        <f t="shared" si="34"/>
        <v>0</v>
      </c>
      <c r="Q140" s="1"/>
    </row>
    <row r="141" spans="2:17">
      <c r="B141" s="9" t="str">
        <f t="shared" si="24"/>
        <v/>
      </c>
      <c r="C141" s="153">
        <f>IF(D93="","-",+C140+1)</f>
        <v>2050</v>
      </c>
      <c r="D141" s="154">
        <f>IF(F140+SUM(E$99:E140)=D$92,F140,D$92-SUM(E$99:E140))</f>
        <v>23912.204967772363</v>
      </c>
      <c r="E141" s="160">
        <f>IF(+J96&lt;F140,J96,D141)</f>
        <v>23912.204967772363</v>
      </c>
      <c r="F141" s="159">
        <f t="shared" si="29"/>
        <v>0</v>
      </c>
      <c r="G141" s="159">
        <f t="shared" si="30"/>
        <v>11956.102483886181</v>
      </c>
      <c r="H141" s="163">
        <f t="shared" si="27"/>
        <v>25364.530164709096</v>
      </c>
      <c r="I141" s="253">
        <f t="shared" si="28"/>
        <v>25364.530164709096</v>
      </c>
      <c r="J141" s="158">
        <f t="shared" si="31"/>
        <v>0</v>
      </c>
      <c r="K141" s="158"/>
      <c r="L141" s="334"/>
      <c r="M141" s="158">
        <f t="shared" si="32"/>
        <v>0</v>
      </c>
      <c r="N141" s="334"/>
      <c r="O141" s="158">
        <f t="shared" si="33"/>
        <v>0</v>
      </c>
      <c r="P141" s="158">
        <f t="shared" si="34"/>
        <v>0</v>
      </c>
      <c r="Q141" s="1"/>
    </row>
    <row r="142" spans="2:17">
      <c r="B142" s="9" t="str">
        <f t="shared" si="24"/>
        <v/>
      </c>
      <c r="C142" s="153">
        <f>IF(D93="","-",+C141+1)</f>
        <v>2051</v>
      </c>
      <c r="D142" s="154">
        <f>IF(F141+SUM(E$99:E141)=D$92,F141,D$92-SUM(E$99:E141))</f>
        <v>0</v>
      </c>
      <c r="E142" s="160">
        <f>IF(+J96&lt;F141,J96,D142)</f>
        <v>0</v>
      </c>
      <c r="F142" s="159">
        <f t="shared" si="29"/>
        <v>0</v>
      </c>
      <c r="G142" s="159">
        <f t="shared" si="30"/>
        <v>0</v>
      </c>
      <c r="H142" s="163">
        <f t="shared" si="27"/>
        <v>0</v>
      </c>
      <c r="I142" s="253">
        <f t="shared" si="28"/>
        <v>0</v>
      </c>
      <c r="J142" s="158">
        <f t="shared" si="31"/>
        <v>0</v>
      </c>
      <c r="K142" s="158"/>
      <c r="L142" s="334"/>
      <c r="M142" s="158">
        <f t="shared" si="32"/>
        <v>0</v>
      </c>
      <c r="N142" s="334"/>
      <c r="O142" s="158">
        <f t="shared" si="33"/>
        <v>0</v>
      </c>
      <c r="P142" s="158">
        <f t="shared" si="34"/>
        <v>0</v>
      </c>
      <c r="Q142" s="1"/>
    </row>
    <row r="143" spans="2:17">
      <c r="B143" s="9" t="str">
        <f t="shared" si="24"/>
        <v/>
      </c>
      <c r="C143" s="153">
        <f>IF(D93="","-",+C142+1)</f>
        <v>2052</v>
      </c>
      <c r="D143" s="154">
        <f>IF(F142+SUM(E$99:E142)=D$92,F142,D$92-SUM(E$99:E142))</f>
        <v>0</v>
      </c>
      <c r="E143" s="160">
        <f>IF(+J96&lt;F142,J96,D143)</f>
        <v>0</v>
      </c>
      <c r="F143" s="159">
        <f t="shared" si="29"/>
        <v>0</v>
      </c>
      <c r="G143" s="159">
        <f t="shared" si="30"/>
        <v>0</v>
      </c>
      <c r="H143" s="163">
        <f t="shared" si="27"/>
        <v>0</v>
      </c>
      <c r="I143" s="253">
        <f t="shared" si="28"/>
        <v>0</v>
      </c>
      <c r="J143" s="158">
        <f t="shared" si="31"/>
        <v>0</v>
      </c>
      <c r="K143" s="158"/>
      <c r="L143" s="334"/>
      <c r="M143" s="158">
        <f t="shared" si="32"/>
        <v>0</v>
      </c>
      <c r="N143" s="334"/>
      <c r="O143" s="158">
        <f t="shared" si="33"/>
        <v>0</v>
      </c>
      <c r="P143" s="158">
        <f t="shared" si="34"/>
        <v>0</v>
      </c>
      <c r="Q143" s="1"/>
    </row>
    <row r="144" spans="2:17">
      <c r="B144" s="9" t="str">
        <f t="shared" si="24"/>
        <v/>
      </c>
      <c r="C144" s="153">
        <f>IF(D93="","-",+C143+1)</f>
        <v>2053</v>
      </c>
      <c r="D144" s="154">
        <f>IF(F143+SUM(E$99:E143)=D$92,F143,D$92-SUM(E$99:E143))</f>
        <v>0</v>
      </c>
      <c r="E144" s="160">
        <f>IF(+J96&lt;F143,J96,D144)</f>
        <v>0</v>
      </c>
      <c r="F144" s="159">
        <f t="shared" si="29"/>
        <v>0</v>
      </c>
      <c r="G144" s="159">
        <f t="shared" si="30"/>
        <v>0</v>
      </c>
      <c r="H144" s="163">
        <f t="shared" si="27"/>
        <v>0</v>
      </c>
      <c r="I144" s="253">
        <f t="shared" si="28"/>
        <v>0</v>
      </c>
      <c r="J144" s="158">
        <f t="shared" si="31"/>
        <v>0</v>
      </c>
      <c r="K144" s="158"/>
      <c r="L144" s="334"/>
      <c r="M144" s="158">
        <f t="shared" si="32"/>
        <v>0</v>
      </c>
      <c r="N144" s="334"/>
      <c r="O144" s="158">
        <f t="shared" si="33"/>
        <v>0</v>
      </c>
      <c r="P144" s="158">
        <f t="shared" si="34"/>
        <v>0</v>
      </c>
      <c r="Q144" s="1"/>
    </row>
    <row r="145" spans="2:17">
      <c r="B145" s="9" t="str">
        <f t="shared" si="24"/>
        <v/>
      </c>
      <c r="C145" s="153">
        <f>IF(D93="","-",+C144+1)</f>
        <v>2054</v>
      </c>
      <c r="D145" s="154">
        <f>IF(F144+SUM(E$99:E144)=D$92,F144,D$92-SUM(E$99:E144))</f>
        <v>0</v>
      </c>
      <c r="E145" s="160">
        <f>IF(+J96&lt;F144,J96,D145)</f>
        <v>0</v>
      </c>
      <c r="F145" s="159">
        <f t="shared" si="29"/>
        <v>0</v>
      </c>
      <c r="G145" s="159">
        <f t="shared" si="30"/>
        <v>0</v>
      </c>
      <c r="H145" s="163">
        <f t="shared" si="27"/>
        <v>0</v>
      </c>
      <c r="I145" s="253">
        <f t="shared" si="28"/>
        <v>0</v>
      </c>
      <c r="J145" s="158">
        <f t="shared" si="31"/>
        <v>0</v>
      </c>
      <c r="K145" s="158"/>
      <c r="L145" s="334"/>
      <c r="M145" s="158">
        <f t="shared" si="32"/>
        <v>0</v>
      </c>
      <c r="N145" s="334"/>
      <c r="O145" s="158">
        <f t="shared" si="33"/>
        <v>0</v>
      </c>
      <c r="P145" s="158">
        <f t="shared" si="34"/>
        <v>0</v>
      </c>
      <c r="Q145" s="1"/>
    </row>
    <row r="146" spans="2:17">
      <c r="B146" s="9" t="str">
        <f t="shared" si="24"/>
        <v/>
      </c>
      <c r="C146" s="153">
        <f>IF(D93="","-",+C145+1)</f>
        <v>2055</v>
      </c>
      <c r="D146" s="154">
        <f>IF(F145+SUM(E$99:E145)=D$92,F145,D$92-SUM(E$99:E145))</f>
        <v>0</v>
      </c>
      <c r="E146" s="160">
        <f>IF(+J96&lt;F145,J96,D146)</f>
        <v>0</v>
      </c>
      <c r="F146" s="159">
        <f t="shared" si="29"/>
        <v>0</v>
      </c>
      <c r="G146" s="159">
        <f t="shared" si="30"/>
        <v>0</v>
      </c>
      <c r="H146" s="163">
        <f t="shared" si="27"/>
        <v>0</v>
      </c>
      <c r="I146" s="253">
        <f t="shared" si="28"/>
        <v>0</v>
      </c>
      <c r="J146" s="158">
        <f t="shared" si="31"/>
        <v>0</v>
      </c>
      <c r="K146" s="158"/>
      <c r="L146" s="334"/>
      <c r="M146" s="158">
        <f t="shared" si="32"/>
        <v>0</v>
      </c>
      <c r="N146" s="334"/>
      <c r="O146" s="158">
        <f t="shared" si="33"/>
        <v>0</v>
      </c>
      <c r="P146" s="158">
        <f t="shared" si="34"/>
        <v>0</v>
      </c>
      <c r="Q146" s="1"/>
    </row>
    <row r="147" spans="2:17">
      <c r="B147" s="9" t="str">
        <f t="shared" si="24"/>
        <v/>
      </c>
      <c r="C147" s="153">
        <f>IF(D93="","-",+C146+1)</f>
        <v>2056</v>
      </c>
      <c r="D147" s="154">
        <f>IF(F146+SUM(E$99:E146)=D$92,F146,D$92-SUM(E$99:E146))</f>
        <v>0</v>
      </c>
      <c r="E147" s="160">
        <f>IF(+J96&lt;F146,J96,D147)</f>
        <v>0</v>
      </c>
      <c r="F147" s="159">
        <f t="shared" si="29"/>
        <v>0</v>
      </c>
      <c r="G147" s="159">
        <f t="shared" si="30"/>
        <v>0</v>
      </c>
      <c r="H147" s="163">
        <f t="shared" si="27"/>
        <v>0</v>
      </c>
      <c r="I147" s="253">
        <f t="shared" si="28"/>
        <v>0</v>
      </c>
      <c r="J147" s="158">
        <f t="shared" si="31"/>
        <v>0</v>
      </c>
      <c r="K147" s="158"/>
      <c r="L147" s="334"/>
      <c r="M147" s="158">
        <f t="shared" si="32"/>
        <v>0</v>
      </c>
      <c r="N147" s="334"/>
      <c r="O147" s="158">
        <f t="shared" si="33"/>
        <v>0</v>
      </c>
      <c r="P147" s="158">
        <f t="shared" si="34"/>
        <v>0</v>
      </c>
      <c r="Q147" s="1"/>
    </row>
    <row r="148" spans="2:17">
      <c r="B148" s="9" t="str">
        <f t="shared" si="24"/>
        <v/>
      </c>
      <c r="C148" s="153">
        <f>IF(D93="","-",+C147+1)</f>
        <v>2057</v>
      </c>
      <c r="D148" s="154">
        <f>IF(F147+SUM(E$99:E147)=D$92,F147,D$92-SUM(E$99:E147))</f>
        <v>0</v>
      </c>
      <c r="E148" s="160">
        <f>IF(+J96&lt;F147,J96,D148)</f>
        <v>0</v>
      </c>
      <c r="F148" s="159">
        <f t="shared" si="29"/>
        <v>0</v>
      </c>
      <c r="G148" s="159">
        <f t="shared" si="30"/>
        <v>0</v>
      </c>
      <c r="H148" s="163">
        <f t="shared" si="27"/>
        <v>0</v>
      </c>
      <c r="I148" s="253">
        <f t="shared" si="28"/>
        <v>0</v>
      </c>
      <c r="J148" s="158">
        <f t="shared" si="31"/>
        <v>0</v>
      </c>
      <c r="K148" s="158"/>
      <c r="L148" s="334"/>
      <c r="M148" s="158">
        <f t="shared" si="32"/>
        <v>0</v>
      </c>
      <c r="N148" s="334"/>
      <c r="O148" s="158">
        <f t="shared" si="33"/>
        <v>0</v>
      </c>
      <c r="P148" s="158">
        <f t="shared" si="34"/>
        <v>0</v>
      </c>
      <c r="Q148" s="1"/>
    </row>
    <row r="149" spans="2:17">
      <c r="B149" s="9" t="str">
        <f t="shared" si="24"/>
        <v/>
      </c>
      <c r="C149" s="153">
        <f>IF(D93="","-",+C148+1)</f>
        <v>2058</v>
      </c>
      <c r="D149" s="154">
        <f>IF(F148+SUM(E$99:E148)=D$92,F148,D$92-SUM(E$99:E148))</f>
        <v>0</v>
      </c>
      <c r="E149" s="160">
        <f>IF(+J96&lt;F148,J96,D149)</f>
        <v>0</v>
      </c>
      <c r="F149" s="159">
        <f t="shared" si="29"/>
        <v>0</v>
      </c>
      <c r="G149" s="159">
        <f t="shared" si="30"/>
        <v>0</v>
      </c>
      <c r="H149" s="163">
        <f t="shared" si="27"/>
        <v>0</v>
      </c>
      <c r="I149" s="253">
        <f t="shared" si="28"/>
        <v>0</v>
      </c>
      <c r="J149" s="158">
        <f t="shared" si="31"/>
        <v>0</v>
      </c>
      <c r="K149" s="158"/>
      <c r="L149" s="334"/>
      <c r="M149" s="158">
        <f t="shared" si="32"/>
        <v>0</v>
      </c>
      <c r="N149" s="334"/>
      <c r="O149" s="158">
        <f t="shared" si="33"/>
        <v>0</v>
      </c>
      <c r="P149" s="158">
        <f t="shared" si="34"/>
        <v>0</v>
      </c>
      <c r="Q149" s="1"/>
    </row>
    <row r="150" spans="2:17">
      <c r="B150" s="9" t="str">
        <f t="shared" si="24"/>
        <v/>
      </c>
      <c r="C150" s="153">
        <f>IF(D93="","-",+C149+1)</f>
        <v>2059</v>
      </c>
      <c r="D150" s="154">
        <f>IF(F149+SUM(E$99:E149)=D$92,F149,D$92-SUM(E$99:E149))</f>
        <v>0</v>
      </c>
      <c r="E150" s="160">
        <f>IF(+J96&lt;F149,J96,D150)</f>
        <v>0</v>
      </c>
      <c r="F150" s="159">
        <f t="shared" si="29"/>
        <v>0</v>
      </c>
      <c r="G150" s="159">
        <f t="shared" si="30"/>
        <v>0</v>
      </c>
      <c r="H150" s="163">
        <f t="shared" si="27"/>
        <v>0</v>
      </c>
      <c r="I150" s="253">
        <f t="shared" si="28"/>
        <v>0</v>
      </c>
      <c r="J150" s="158">
        <f t="shared" si="31"/>
        <v>0</v>
      </c>
      <c r="K150" s="158"/>
      <c r="L150" s="334"/>
      <c r="M150" s="158">
        <f t="shared" si="32"/>
        <v>0</v>
      </c>
      <c r="N150" s="334"/>
      <c r="O150" s="158">
        <f t="shared" si="33"/>
        <v>0</v>
      </c>
      <c r="P150" s="158">
        <f t="shared" si="34"/>
        <v>0</v>
      </c>
      <c r="Q150" s="1"/>
    </row>
    <row r="151" spans="2:17">
      <c r="B151" s="9" t="str">
        <f t="shared" si="24"/>
        <v/>
      </c>
      <c r="C151" s="153">
        <f>IF(D93="","-",+C150+1)</f>
        <v>2060</v>
      </c>
      <c r="D151" s="154">
        <f>IF(F150+SUM(E$99:E150)=D$92,F150,D$92-SUM(E$99:E150))</f>
        <v>0</v>
      </c>
      <c r="E151" s="160">
        <f>IF(+J96&lt;F150,J96,D151)</f>
        <v>0</v>
      </c>
      <c r="F151" s="159">
        <f t="shared" si="29"/>
        <v>0</v>
      </c>
      <c r="G151" s="159">
        <f t="shared" si="30"/>
        <v>0</v>
      </c>
      <c r="H151" s="163">
        <f t="shared" si="27"/>
        <v>0</v>
      </c>
      <c r="I151" s="253">
        <f t="shared" si="28"/>
        <v>0</v>
      </c>
      <c r="J151" s="158">
        <f t="shared" si="31"/>
        <v>0</v>
      </c>
      <c r="K151" s="158"/>
      <c r="L151" s="334"/>
      <c r="M151" s="158">
        <f t="shared" si="32"/>
        <v>0</v>
      </c>
      <c r="N151" s="334"/>
      <c r="O151" s="158">
        <f t="shared" si="33"/>
        <v>0</v>
      </c>
      <c r="P151" s="158">
        <f t="shared" si="34"/>
        <v>0</v>
      </c>
      <c r="Q151" s="1"/>
    </row>
    <row r="152" spans="2:17">
      <c r="B152" s="9" t="str">
        <f t="shared" si="24"/>
        <v/>
      </c>
      <c r="C152" s="153">
        <f>IF(D93="","-",+C151+1)</f>
        <v>2061</v>
      </c>
      <c r="D152" s="154">
        <f>IF(F151+SUM(E$99:E151)=D$92,F151,D$92-SUM(E$99:E151))</f>
        <v>0</v>
      </c>
      <c r="E152" s="160">
        <f>IF(+J96&lt;F151,J96,D152)</f>
        <v>0</v>
      </c>
      <c r="F152" s="159">
        <f t="shared" si="29"/>
        <v>0</v>
      </c>
      <c r="G152" s="159">
        <f t="shared" si="30"/>
        <v>0</v>
      </c>
      <c r="H152" s="163">
        <f t="shared" si="27"/>
        <v>0</v>
      </c>
      <c r="I152" s="253">
        <f t="shared" si="28"/>
        <v>0</v>
      </c>
      <c r="J152" s="158">
        <f t="shared" si="31"/>
        <v>0</v>
      </c>
      <c r="K152" s="158"/>
      <c r="L152" s="334"/>
      <c r="M152" s="158">
        <f t="shared" si="32"/>
        <v>0</v>
      </c>
      <c r="N152" s="334"/>
      <c r="O152" s="158">
        <f t="shared" si="33"/>
        <v>0</v>
      </c>
      <c r="P152" s="158">
        <f t="shared" si="34"/>
        <v>0</v>
      </c>
      <c r="Q152" s="1"/>
    </row>
    <row r="153" spans="2:17">
      <c r="B153" s="9" t="str">
        <f t="shared" si="24"/>
        <v/>
      </c>
      <c r="C153" s="153">
        <f>IF(D93="","-",+C152+1)</f>
        <v>2062</v>
      </c>
      <c r="D153" s="154">
        <f>IF(F152+SUM(E$99:E152)=D$92,F152,D$92-SUM(E$99:E152))</f>
        <v>0</v>
      </c>
      <c r="E153" s="160">
        <f>IF(+J96&lt;F152,J96,D153)</f>
        <v>0</v>
      </c>
      <c r="F153" s="159">
        <f t="shared" si="29"/>
        <v>0</v>
      </c>
      <c r="G153" s="159">
        <f t="shared" si="30"/>
        <v>0</v>
      </c>
      <c r="H153" s="163">
        <f t="shared" si="27"/>
        <v>0</v>
      </c>
      <c r="I153" s="253">
        <f t="shared" si="28"/>
        <v>0</v>
      </c>
      <c r="J153" s="158">
        <f t="shared" si="31"/>
        <v>0</v>
      </c>
      <c r="K153" s="158"/>
      <c r="L153" s="334"/>
      <c r="M153" s="158">
        <f t="shared" si="32"/>
        <v>0</v>
      </c>
      <c r="N153" s="334"/>
      <c r="O153" s="158">
        <f t="shared" si="33"/>
        <v>0</v>
      </c>
      <c r="P153" s="158">
        <f t="shared" si="34"/>
        <v>0</v>
      </c>
      <c r="Q153" s="1"/>
    </row>
    <row r="154" spans="2:17" ht="13.5" thickBot="1">
      <c r="B154" s="9" t="str">
        <f t="shared" si="24"/>
        <v/>
      </c>
      <c r="C154" s="164">
        <f>IF(D93="","-",+C153+1)</f>
        <v>2063</v>
      </c>
      <c r="D154" s="215">
        <f>IF(F153+SUM(E$99:E153)=D$92,F153,D$92-SUM(E$99:E153))</f>
        <v>0</v>
      </c>
      <c r="E154" s="166">
        <f>IF(+J96&lt;F153,J96,D154)</f>
        <v>0</v>
      </c>
      <c r="F154" s="165">
        <f t="shared" si="29"/>
        <v>0</v>
      </c>
      <c r="G154" s="165">
        <f t="shared" si="30"/>
        <v>0</v>
      </c>
      <c r="H154" s="167">
        <f t="shared" si="27"/>
        <v>0</v>
      </c>
      <c r="I154" s="254">
        <f t="shared" si="28"/>
        <v>0</v>
      </c>
      <c r="J154" s="169">
        <f t="shared" si="31"/>
        <v>0</v>
      </c>
      <c r="K154" s="158"/>
      <c r="L154" s="335"/>
      <c r="M154" s="169">
        <f t="shared" si="32"/>
        <v>0</v>
      </c>
      <c r="N154" s="335"/>
      <c r="O154" s="169">
        <f t="shared" si="33"/>
        <v>0</v>
      </c>
      <c r="P154" s="169">
        <f t="shared" si="34"/>
        <v>0</v>
      </c>
      <c r="Q154" s="1"/>
    </row>
    <row r="155" spans="2:17">
      <c r="C155" s="154" t="s">
        <v>73</v>
      </c>
      <c r="D155" s="111"/>
      <c r="E155" s="111">
        <f>SUM(E99:E154)</f>
        <v>1949836.51</v>
      </c>
      <c r="F155" s="111"/>
      <c r="G155" s="111"/>
      <c r="H155" s="111">
        <f>SUM(H99:H154)</f>
        <v>7208194.3533575097</v>
      </c>
      <c r="I155" s="111">
        <f>SUM(I99:I154)</f>
        <v>7208194.3533575097</v>
      </c>
      <c r="J155" s="111">
        <f>SUM(J99:J154)</f>
        <v>0</v>
      </c>
      <c r="K155" s="111"/>
      <c r="L155" s="111"/>
      <c r="M155" s="111"/>
      <c r="N155" s="111"/>
      <c r="O155" s="111"/>
      <c r="P155" s="1"/>
      <c r="Q155" s="1"/>
    </row>
    <row r="156" spans="2:17">
      <c r="D156" s="2"/>
      <c r="E156" s="1"/>
      <c r="F156" s="1"/>
      <c r="G156" s="1"/>
      <c r="H156" s="1"/>
      <c r="I156" s="3"/>
      <c r="J156" s="3"/>
      <c r="K156" s="111"/>
      <c r="L156" s="3"/>
      <c r="M156" s="3"/>
      <c r="N156" s="3"/>
      <c r="O156" s="3"/>
      <c r="P156" s="1"/>
      <c r="Q156" s="1"/>
    </row>
    <row r="157" spans="2:17">
      <c r="C157" s="216" t="s">
        <v>87</v>
      </c>
      <c r="D157" s="2"/>
      <c r="E157" s="1"/>
      <c r="F157" s="1"/>
      <c r="G157" s="1"/>
      <c r="H157" s="1"/>
      <c r="I157" s="3"/>
      <c r="J157" s="3"/>
      <c r="K157" s="111"/>
      <c r="L157" s="3"/>
      <c r="M157" s="3"/>
      <c r="N157" s="3"/>
      <c r="O157" s="3"/>
      <c r="P157" s="1"/>
      <c r="Q157" s="1"/>
    </row>
    <row r="158" spans="2:17">
      <c r="D158" s="2"/>
      <c r="E158" s="1"/>
      <c r="F158" s="1"/>
      <c r="G158" s="1"/>
      <c r="H158" s="1"/>
      <c r="I158" s="3"/>
      <c r="J158" s="3"/>
      <c r="K158" s="111"/>
      <c r="L158" s="3"/>
      <c r="M158" s="3"/>
      <c r="N158" s="3"/>
      <c r="O158" s="3"/>
      <c r="P158" s="1"/>
      <c r="Q158" s="1"/>
    </row>
    <row r="159" spans="2:17">
      <c r="C159" s="170" t="s">
        <v>92</v>
      </c>
      <c r="D159" s="154"/>
      <c r="E159" s="154"/>
      <c r="F159" s="154"/>
      <c r="G159" s="154"/>
      <c r="H159" s="111"/>
      <c r="I159" s="111"/>
      <c r="J159" s="171"/>
      <c r="K159" s="171"/>
      <c r="L159" s="171"/>
      <c r="M159" s="171"/>
      <c r="N159" s="171"/>
      <c r="O159" s="171"/>
      <c r="P159" s="1"/>
      <c r="Q159" s="1"/>
    </row>
    <row r="160" spans="2:17">
      <c r="C160" s="217" t="s">
        <v>74</v>
      </c>
      <c r="D160" s="154"/>
      <c r="E160" s="154"/>
      <c r="F160" s="154"/>
      <c r="G160" s="154"/>
      <c r="H160" s="111"/>
      <c r="I160" s="111"/>
      <c r="J160" s="171"/>
      <c r="K160" s="171"/>
      <c r="L160" s="171"/>
      <c r="M160" s="171"/>
      <c r="N160" s="171"/>
      <c r="O160" s="171"/>
      <c r="P160" s="1"/>
      <c r="Q160" s="1"/>
    </row>
    <row r="161" spans="3:17">
      <c r="C161" s="217" t="s">
        <v>75</v>
      </c>
      <c r="D161" s="154"/>
      <c r="E161" s="154"/>
      <c r="F161" s="154"/>
      <c r="G161" s="154"/>
      <c r="H161" s="111"/>
      <c r="I161" s="111"/>
      <c r="J161" s="171"/>
      <c r="K161" s="171"/>
      <c r="L161" s="171"/>
      <c r="M161" s="171"/>
      <c r="N161" s="171"/>
      <c r="O161" s="171"/>
      <c r="P161" s="1"/>
      <c r="Q161" s="1"/>
    </row>
    <row r="162" spans="3:17" ht="18">
      <c r="C162" s="217"/>
      <c r="D162" s="154"/>
      <c r="E162" s="154"/>
      <c r="F162" s="154"/>
      <c r="G162" s="154"/>
      <c r="H162" s="111"/>
      <c r="I162" s="111"/>
      <c r="J162" s="171"/>
      <c r="K162" s="171"/>
      <c r="L162" s="171"/>
      <c r="M162" s="171"/>
      <c r="N162" s="171"/>
      <c r="P162" s="237" t="s">
        <v>126</v>
      </c>
      <c r="Q162" s="1"/>
    </row>
  </sheetData>
  <phoneticPr fontId="0" type="noConversion"/>
  <conditionalFormatting sqref="C17:C72">
    <cfRule type="cellIs" dxfId="131" priority="1" stopIfTrue="1" operator="equal">
      <formula>$I$10</formula>
    </cfRule>
  </conditionalFormatting>
  <conditionalFormatting sqref="C99:C154">
    <cfRule type="cellIs" dxfId="130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  <legacyDrawing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>
    <tabColor indexed="8"/>
  </sheetPr>
  <dimension ref="A1:Q162"/>
  <sheetViews>
    <sheetView view="pageBreakPreview" zoomScale="72" zoomScaleNormal="100" zoomScaleSheetLayoutView="72" workbookViewId="0">
      <selection activeCell="C19" sqref="C19"/>
    </sheetView>
  </sheetViews>
  <sheetFormatPr defaultRowHeight="12.75" customHeight="1"/>
  <cols>
    <col min="1" max="1" width="4.7109375" customWidth="1"/>
    <col min="2" max="2" width="6.7109375" customWidth="1"/>
    <col min="3" max="3" width="23.28515625" customWidth="1"/>
    <col min="4" max="8" width="17.7109375" customWidth="1"/>
    <col min="9" max="9" width="20.42578125" customWidth="1"/>
    <col min="10" max="10" width="16.42578125" customWidth="1"/>
    <col min="11" max="11" width="17.7109375" customWidth="1"/>
    <col min="12" max="12" width="16.140625" customWidth="1"/>
    <col min="13" max="13" width="17.7109375" customWidth="1"/>
    <col min="14" max="14" width="16.140625" customWidth="1"/>
    <col min="15" max="15" width="16.85546875" customWidth="1"/>
    <col min="16" max="16" width="24.42578125" customWidth="1"/>
    <col min="17" max="17" width="4.7109375" customWidth="1"/>
    <col min="23" max="23" width="9.140625" customWidth="1"/>
  </cols>
  <sheetData>
    <row r="1" spans="1:17" ht="20.25">
      <c r="A1" s="243" t="s">
        <v>128</v>
      </c>
      <c r="B1" s="1"/>
      <c r="C1" s="21"/>
      <c r="D1" s="2"/>
      <c r="E1" s="1"/>
      <c r="F1" s="99"/>
      <c r="G1" s="1"/>
      <c r="H1" s="3"/>
      <c r="J1" s="7"/>
      <c r="K1" s="109"/>
      <c r="L1" s="109"/>
      <c r="M1" s="109"/>
      <c r="P1" s="249" t="str">
        <f ca="1">"SWEPCO Project "&amp;RIGHT(MID(CELL("filename",$A$1),FIND("]",CELL("filename",$A$1))+1,256),2)&amp;" of "&amp;COUNT('S.001:S.xyz - blank'!$P$3)-1</f>
        <v>SWEPCO Project 18 of 73</v>
      </c>
      <c r="Q1" s="108"/>
    </row>
    <row r="2" spans="1:17" ht="18">
      <c r="B2" s="1"/>
      <c r="C2" s="1"/>
      <c r="D2" s="2"/>
      <c r="E2" s="1"/>
      <c r="F2" s="1"/>
      <c r="G2" s="1"/>
      <c r="H2" s="3"/>
      <c r="I2" s="1"/>
      <c r="J2" s="4"/>
      <c r="K2" s="1"/>
      <c r="L2" s="1"/>
      <c r="M2" s="1"/>
      <c r="N2" s="1"/>
      <c r="P2" s="237" t="s">
        <v>124</v>
      </c>
    </row>
    <row r="3" spans="1:17" ht="18.75">
      <c r="B3" s="5" t="s">
        <v>40</v>
      </c>
      <c r="C3" s="68" t="s">
        <v>41</v>
      </c>
      <c r="D3" s="2"/>
      <c r="E3" s="1"/>
      <c r="F3" s="1"/>
      <c r="G3" s="1"/>
      <c r="H3" s="3"/>
      <c r="I3" s="3"/>
      <c r="J3" s="111"/>
      <c r="K3" s="3"/>
      <c r="L3" s="3"/>
      <c r="M3" s="3"/>
      <c r="N3" s="3"/>
      <c r="O3" s="1" t="str">
        <f>RIGHT(N3,3)</f>
        <v/>
      </c>
      <c r="P3" s="239">
        <v>1</v>
      </c>
    </row>
    <row r="4" spans="1:17" ht="15.75" thickBot="1">
      <c r="C4" s="67"/>
      <c r="D4" s="2"/>
      <c r="E4" s="1"/>
      <c r="F4" s="1"/>
      <c r="G4" s="1"/>
      <c r="H4" s="3"/>
      <c r="I4" s="3"/>
      <c r="J4" s="111"/>
      <c r="K4" s="3"/>
      <c r="L4" s="3"/>
      <c r="M4" s="3"/>
      <c r="N4" s="3"/>
      <c r="O4" s="1"/>
      <c r="P4" s="1"/>
    </row>
    <row r="5" spans="1:17" ht="15">
      <c r="C5" s="112" t="s">
        <v>42</v>
      </c>
      <c r="D5" s="2"/>
      <c r="E5" s="1"/>
      <c r="F5" s="1"/>
      <c r="G5" s="113"/>
      <c r="H5" s="1" t="s">
        <v>43</v>
      </c>
      <c r="I5" s="1"/>
      <c r="J5" s="4"/>
      <c r="K5" s="268" t="s">
        <v>152</v>
      </c>
      <c r="L5" s="114"/>
      <c r="M5" s="115"/>
      <c r="N5" s="116">
        <f>VLOOKUP(I10,C17:I72,5)</f>
        <v>0</v>
      </c>
      <c r="P5" s="1"/>
    </row>
    <row r="6" spans="1:17" ht="15.75">
      <c r="C6" s="8"/>
      <c r="D6" s="356" t="s">
        <v>257</v>
      </c>
      <c r="E6" s="1"/>
      <c r="F6" s="1"/>
      <c r="G6" s="1"/>
      <c r="H6" s="117"/>
      <c r="I6" s="117"/>
      <c r="J6" s="118"/>
      <c r="K6" s="269" t="s">
        <v>153</v>
      </c>
      <c r="L6" s="119"/>
      <c r="M6" s="4"/>
      <c r="N6" s="120">
        <f>VLOOKUP(I10,C17:I72,6)</f>
        <v>0</v>
      </c>
      <c r="O6" s="1"/>
      <c r="P6" s="1"/>
    </row>
    <row r="7" spans="1:17" ht="13.5" thickBot="1">
      <c r="C7" s="121" t="s">
        <v>44</v>
      </c>
      <c r="D7" s="273" t="s">
        <v>253</v>
      </c>
      <c r="E7" s="1"/>
      <c r="F7" s="1"/>
      <c r="G7" s="1"/>
      <c r="H7" s="3"/>
      <c r="I7" s="3"/>
      <c r="J7" s="111"/>
      <c r="K7" s="122" t="s">
        <v>45</v>
      </c>
      <c r="L7" s="123"/>
      <c r="M7" s="123"/>
      <c r="N7" s="124">
        <f>+N6-N5</f>
        <v>0</v>
      </c>
      <c r="O7" s="1"/>
      <c r="P7" s="1"/>
    </row>
    <row r="8" spans="1:17" ht="13.5" thickBot="1">
      <c r="C8" s="125"/>
      <c r="D8" s="250" t="str">
        <f>IF(D10&lt;100000,"DOES NOT MEET SPP $100,000 MINIMUM INVESTMENT FOR REGIONAL BPU SHARING.","")</f>
        <v>DOES NOT MEET SPP $100,000 MINIMUM INVESTMENT FOR REGIONAL BPU SHARING.</v>
      </c>
      <c r="E8" s="126"/>
      <c r="F8" s="126"/>
      <c r="G8" s="126"/>
      <c r="H8" s="126"/>
      <c r="I8" s="126"/>
      <c r="J8" s="101"/>
      <c r="K8" s="126"/>
      <c r="L8" s="126"/>
      <c r="M8" s="126"/>
      <c r="N8" s="126"/>
      <c r="O8" s="101"/>
      <c r="P8" s="21"/>
    </row>
    <row r="9" spans="1:17" ht="13.5" thickBot="1">
      <c r="A9" s="103"/>
      <c r="C9" s="127" t="s">
        <v>46</v>
      </c>
      <c r="D9" s="225" t="s">
        <v>140</v>
      </c>
      <c r="E9" s="128"/>
      <c r="F9" s="128"/>
      <c r="G9" s="128"/>
      <c r="H9" s="128"/>
      <c r="I9" s="129"/>
      <c r="J9" s="130"/>
      <c r="O9" s="131"/>
      <c r="P9" s="4"/>
    </row>
    <row r="10" spans="1:17">
      <c r="C10" s="132" t="s">
        <v>47</v>
      </c>
      <c r="D10" s="133">
        <v>0</v>
      </c>
      <c r="E10" s="61" t="s">
        <v>459</v>
      </c>
      <c r="F10" s="131"/>
      <c r="G10" s="134"/>
      <c r="H10" s="134"/>
      <c r="I10" s="135">
        <f>+SWE.WS.F.BPU.ATRR.Projected!K17</f>
        <v>2019</v>
      </c>
      <c r="J10" s="130"/>
      <c r="K10" s="111" t="s">
        <v>48</v>
      </c>
      <c r="O10" s="4"/>
      <c r="P10" s="4"/>
    </row>
    <row r="11" spans="1:17">
      <c r="C11" s="136" t="s">
        <v>49</v>
      </c>
      <c r="D11" s="137">
        <v>2009</v>
      </c>
      <c r="E11" s="136" t="s">
        <v>50</v>
      </c>
      <c r="F11" s="134"/>
      <c r="G11" s="7"/>
      <c r="H11" s="7"/>
      <c r="I11" s="138">
        <v>0</v>
      </c>
      <c r="J11" s="139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4"/>
      <c r="P11" s="4"/>
    </row>
    <row r="12" spans="1:17">
      <c r="C12" s="136" t="s">
        <v>51</v>
      </c>
      <c r="D12" s="133">
        <v>6</v>
      </c>
      <c r="E12" s="136" t="s">
        <v>52</v>
      </c>
      <c r="F12" s="134"/>
      <c r="G12" s="7"/>
      <c r="H12" s="7"/>
      <c r="I12" s="140">
        <f>SWE.WS.F.BPU.ATRR.Projected!$F$76</f>
        <v>9.9555672459071778E-2</v>
      </c>
      <c r="J12" s="141"/>
      <c r="K12" t="s">
        <v>53</v>
      </c>
      <c r="O12" s="4"/>
      <c r="P12" s="4"/>
    </row>
    <row r="13" spans="1:17">
      <c r="C13" s="136" t="s">
        <v>54</v>
      </c>
      <c r="D13" s="138">
        <f>+SWE.WS.F.BPU.ATRR.Projected!F$87</f>
        <v>43</v>
      </c>
      <c r="E13" s="136" t="s">
        <v>55</v>
      </c>
      <c r="F13" s="134"/>
      <c r="G13" s="7"/>
      <c r="H13" s="7"/>
      <c r="I13" s="140">
        <f>IF(G5="",I12,SWE.WS.F.BPU.ATRR.Projected!$F$75)</f>
        <v>9.9555672459071778E-2</v>
      </c>
      <c r="J13" s="141"/>
      <c r="K13" s="111" t="s">
        <v>56</v>
      </c>
      <c r="L13" s="58"/>
      <c r="M13" s="58"/>
      <c r="N13" s="58"/>
      <c r="O13" s="4"/>
      <c r="P13" s="4"/>
    </row>
    <row r="14" spans="1:17" ht="13.5" thickBot="1">
      <c r="C14" s="136" t="s">
        <v>57</v>
      </c>
      <c r="D14" s="137" t="s">
        <v>58</v>
      </c>
      <c r="E14" s="4" t="s">
        <v>59</v>
      </c>
      <c r="F14" s="134"/>
      <c r="G14" s="7"/>
      <c r="H14" s="7"/>
      <c r="I14" s="142">
        <f>IF(D10=0,0,D10/D13)</f>
        <v>0</v>
      </c>
      <c r="J14" s="111"/>
      <c r="K14" s="111"/>
      <c r="L14" s="111"/>
      <c r="M14" s="111"/>
      <c r="N14" s="111"/>
      <c r="O14" s="4"/>
      <c r="P14" s="4"/>
    </row>
    <row r="15" spans="1:17" ht="38.25">
      <c r="C15" s="143" t="s">
        <v>47</v>
      </c>
      <c r="D15" s="144" t="s">
        <v>60</v>
      </c>
      <c r="E15" s="144" t="s">
        <v>61</v>
      </c>
      <c r="F15" s="144" t="s">
        <v>62</v>
      </c>
      <c r="G15" s="434" t="s">
        <v>378</v>
      </c>
      <c r="H15" s="435" t="s">
        <v>379</v>
      </c>
      <c r="I15" s="351" t="s">
        <v>249</v>
      </c>
      <c r="J15" s="145"/>
      <c r="K15" s="271" t="s">
        <v>219</v>
      </c>
      <c r="L15" s="146" t="s">
        <v>64</v>
      </c>
      <c r="M15" s="271" t="s">
        <v>219</v>
      </c>
      <c r="N15" s="146" t="s">
        <v>64</v>
      </c>
      <c r="O15" s="146" t="s">
        <v>65</v>
      </c>
      <c r="P15" s="4"/>
    </row>
    <row r="16" spans="1:17" ht="13.5" thickBot="1">
      <c r="C16" s="147" t="s">
        <v>66</v>
      </c>
      <c r="D16" s="147" t="s">
        <v>67</v>
      </c>
      <c r="E16" s="147" t="s">
        <v>68</v>
      </c>
      <c r="F16" s="147" t="s">
        <v>67</v>
      </c>
      <c r="G16" s="408" t="s">
        <v>69</v>
      </c>
      <c r="H16" s="148" t="s">
        <v>70</v>
      </c>
      <c r="I16" s="149" t="s">
        <v>89</v>
      </c>
      <c r="J16" s="150" t="s">
        <v>71</v>
      </c>
      <c r="K16" s="151" t="s">
        <v>72</v>
      </c>
      <c r="L16" s="151" t="s">
        <v>72</v>
      </c>
      <c r="M16" s="151" t="s">
        <v>90</v>
      </c>
      <c r="N16" s="152" t="s">
        <v>90</v>
      </c>
      <c r="O16" s="151" t="s">
        <v>90</v>
      </c>
      <c r="P16" s="4"/>
    </row>
    <row r="17" spans="2:16">
      <c r="C17" s="153">
        <f>IF(D11= "","-",D11)</f>
        <v>2009</v>
      </c>
      <c r="D17" s="154">
        <f>D10</f>
        <v>0</v>
      </c>
      <c r="E17" s="155">
        <f>I14/12*(12-D12)</f>
        <v>0</v>
      </c>
      <c r="F17" s="154">
        <f t="shared" ref="F17:F48" si="0">+D17-E17</f>
        <v>0</v>
      </c>
      <c r="G17" s="155">
        <f t="shared" ref="G17:G48" si="1">+I$12*((D17+F17)/2)+E17</f>
        <v>0</v>
      </c>
      <c r="H17" s="142">
        <f t="shared" ref="H17:H48" si="2">+I$13*((D17+F17)/2)+E17</f>
        <v>0</v>
      </c>
      <c r="I17" s="156">
        <f t="shared" ref="I17:I48" si="3">H17-G17</f>
        <v>0</v>
      </c>
      <c r="J17" s="156"/>
      <c r="K17" s="256">
        <v>0</v>
      </c>
      <c r="L17" s="172">
        <f t="shared" ref="L17:L48" si="4">IF(K17&lt;&gt;0,+G17-K17,0)</f>
        <v>0</v>
      </c>
      <c r="M17" s="256">
        <v>0</v>
      </c>
      <c r="N17" s="157">
        <f t="shared" ref="N17:N48" si="5">IF(M17&lt;&gt;0,+H17-M17,0)</f>
        <v>0</v>
      </c>
      <c r="O17" s="158">
        <f t="shared" ref="O17:O48" si="6">+N17-L17</f>
        <v>0</v>
      </c>
      <c r="P17" s="4"/>
    </row>
    <row r="18" spans="2:16">
      <c r="B18" s="9" t="str">
        <f>IF(D18=F17,"","IU")</f>
        <v/>
      </c>
      <c r="C18" s="153">
        <f>IF(D11="","-",+C17+1)</f>
        <v>2010</v>
      </c>
      <c r="D18" s="159">
        <f t="shared" ref="D18:D24" si="7">F17</f>
        <v>0</v>
      </c>
      <c r="E18" s="160">
        <f>IF(+I14&lt;F17,I14,D18)</f>
        <v>0</v>
      </c>
      <c r="F18" s="159">
        <f t="shared" si="0"/>
        <v>0</v>
      </c>
      <c r="G18" s="161">
        <f t="shared" si="1"/>
        <v>0</v>
      </c>
      <c r="H18" s="142">
        <f t="shared" si="2"/>
        <v>0</v>
      </c>
      <c r="I18" s="156">
        <f t="shared" si="3"/>
        <v>0</v>
      </c>
      <c r="J18" s="156"/>
      <c r="K18" s="334"/>
      <c r="L18" s="158">
        <f t="shared" si="4"/>
        <v>0</v>
      </c>
      <c r="M18" s="334"/>
      <c r="N18" s="158">
        <f t="shared" si="5"/>
        <v>0</v>
      </c>
      <c r="O18" s="158">
        <f t="shared" si="6"/>
        <v>0</v>
      </c>
      <c r="P18" s="4"/>
    </row>
    <row r="19" spans="2:16">
      <c r="B19" s="9" t="str">
        <f>IF(D19=F18,"","IU")</f>
        <v/>
      </c>
      <c r="C19" s="153">
        <f>IF(D11="","-",+C18+1)</f>
        <v>2011</v>
      </c>
      <c r="D19" s="159">
        <f t="shared" si="7"/>
        <v>0</v>
      </c>
      <c r="E19" s="160">
        <f>IF(+I14&lt;F18,I14,D19)</f>
        <v>0</v>
      </c>
      <c r="F19" s="159">
        <f t="shared" si="0"/>
        <v>0</v>
      </c>
      <c r="G19" s="161">
        <f t="shared" si="1"/>
        <v>0</v>
      </c>
      <c r="H19" s="142">
        <f t="shared" si="2"/>
        <v>0</v>
      </c>
      <c r="I19" s="156">
        <f t="shared" si="3"/>
        <v>0</v>
      </c>
      <c r="J19" s="156"/>
      <c r="K19" s="334"/>
      <c r="L19" s="158">
        <f t="shared" si="4"/>
        <v>0</v>
      </c>
      <c r="M19" s="334"/>
      <c r="N19" s="158">
        <f t="shared" si="5"/>
        <v>0</v>
      </c>
      <c r="O19" s="158">
        <f t="shared" si="6"/>
        <v>0</v>
      </c>
      <c r="P19" s="4"/>
    </row>
    <row r="20" spans="2:16">
      <c r="B20" s="9" t="str">
        <f t="shared" ref="B20:B72" si="8">IF(D20=F19,"","IU")</f>
        <v/>
      </c>
      <c r="C20" s="153">
        <f>IF(D11="","-",+C19+1)</f>
        <v>2012</v>
      </c>
      <c r="D20" s="159">
        <f t="shared" si="7"/>
        <v>0</v>
      </c>
      <c r="E20" s="160">
        <f>IF(+I14&lt;F19,I14,D20)</f>
        <v>0</v>
      </c>
      <c r="F20" s="159">
        <f t="shared" si="0"/>
        <v>0</v>
      </c>
      <c r="G20" s="161">
        <f t="shared" si="1"/>
        <v>0</v>
      </c>
      <c r="H20" s="142">
        <f t="shared" si="2"/>
        <v>0</v>
      </c>
      <c r="I20" s="156">
        <f t="shared" si="3"/>
        <v>0</v>
      </c>
      <c r="J20" s="156"/>
      <c r="K20" s="334"/>
      <c r="L20" s="158">
        <f t="shared" si="4"/>
        <v>0</v>
      </c>
      <c r="M20" s="334"/>
      <c r="N20" s="158">
        <f t="shared" si="5"/>
        <v>0</v>
      </c>
      <c r="O20" s="158">
        <f t="shared" si="6"/>
        <v>0</v>
      </c>
      <c r="P20" s="4"/>
    </row>
    <row r="21" spans="2:16">
      <c r="B21" s="9" t="str">
        <f t="shared" si="8"/>
        <v/>
      </c>
      <c r="C21" s="153">
        <f>IF(D12="","-",+C20+1)</f>
        <v>2013</v>
      </c>
      <c r="D21" s="159">
        <f t="shared" si="7"/>
        <v>0</v>
      </c>
      <c r="E21" s="160">
        <f>IF(+I14&lt;F20,I14,D21)</f>
        <v>0</v>
      </c>
      <c r="F21" s="159">
        <f t="shared" si="0"/>
        <v>0</v>
      </c>
      <c r="G21" s="161">
        <f t="shared" si="1"/>
        <v>0</v>
      </c>
      <c r="H21" s="142">
        <f t="shared" si="2"/>
        <v>0</v>
      </c>
      <c r="I21" s="156">
        <f t="shared" si="3"/>
        <v>0</v>
      </c>
      <c r="J21" s="156"/>
      <c r="K21" s="334"/>
      <c r="L21" s="158">
        <f t="shared" si="4"/>
        <v>0</v>
      </c>
      <c r="M21" s="334"/>
      <c r="N21" s="158">
        <f t="shared" si="5"/>
        <v>0</v>
      </c>
      <c r="O21" s="158">
        <f t="shared" si="6"/>
        <v>0</v>
      </c>
      <c r="P21" s="4"/>
    </row>
    <row r="22" spans="2:16">
      <c r="B22" s="9" t="str">
        <f t="shared" si="8"/>
        <v/>
      </c>
      <c r="C22" s="153">
        <f>IF(D11="","-",+C21+1)</f>
        <v>2014</v>
      </c>
      <c r="D22" s="159">
        <f t="shared" si="7"/>
        <v>0</v>
      </c>
      <c r="E22" s="160">
        <f>IF(+I14&lt;F21,I14,D22)</f>
        <v>0</v>
      </c>
      <c r="F22" s="159">
        <f t="shared" si="0"/>
        <v>0</v>
      </c>
      <c r="G22" s="161">
        <f t="shared" si="1"/>
        <v>0</v>
      </c>
      <c r="H22" s="142">
        <f t="shared" si="2"/>
        <v>0</v>
      </c>
      <c r="I22" s="156">
        <f t="shared" si="3"/>
        <v>0</v>
      </c>
      <c r="J22" s="156"/>
      <c r="K22" s="334"/>
      <c r="L22" s="158">
        <f t="shared" si="4"/>
        <v>0</v>
      </c>
      <c r="M22" s="334"/>
      <c r="N22" s="158">
        <f t="shared" si="5"/>
        <v>0</v>
      </c>
      <c r="O22" s="158">
        <f t="shared" si="6"/>
        <v>0</v>
      </c>
      <c r="P22" s="4"/>
    </row>
    <row r="23" spans="2:16">
      <c r="B23" s="9" t="str">
        <f t="shared" si="8"/>
        <v/>
      </c>
      <c r="C23" s="153">
        <f>IF(D11="","-",+C22+1)</f>
        <v>2015</v>
      </c>
      <c r="D23" s="159">
        <f t="shared" si="7"/>
        <v>0</v>
      </c>
      <c r="E23" s="160">
        <f>IF(+I14&lt;F22,I14,D23)</f>
        <v>0</v>
      </c>
      <c r="F23" s="159">
        <f t="shared" si="0"/>
        <v>0</v>
      </c>
      <c r="G23" s="161">
        <f t="shared" si="1"/>
        <v>0</v>
      </c>
      <c r="H23" s="142">
        <f t="shared" si="2"/>
        <v>0</v>
      </c>
      <c r="I23" s="156">
        <f t="shared" si="3"/>
        <v>0</v>
      </c>
      <c r="J23" s="156"/>
      <c r="K23" s="334"/>
      <c r="L23" s="158">
        <f t="shared" si="4"/>
        <v>0</v>
      </c>
      <c r="M23" s="334"/>
      <c r="N23" s="158">
        <f t="shared" si="5"/>
        <v>0</v>
      </c>
      <c r="O23" s="158">
        <f t="shared" si="6"/>
        <v>0</v>
      </c>
      <c r="P23" s="4"/>
    </row>
    <row r="24" spans="2:16">
      <c r="B24" s="9" t="str">
        <f t="shared" si="8"/>
        <v/>
      </c>
      <c r="C24" s="153">
        <f>IF(D11="","-",+C23+1)</f>
        <v>2016</v>
      </c>
      <c r="D24" s="159">
        <f t="shared" si="7"/>
        <v>0</v>
      </c>
      <c r="E24" s="160">
        <f>IF(+I14&lt;F23,I14,D24)</f>
        <v>0</v>
      </c>
      <c r="F24" s="159">
        <f t="shared" si="0"/>
        <v>0</v>
      </c>
      <c r="G24" s="161">
        <f t="shared" si="1"/>
        <v>0</v>
      </c>
      <c r="H24" s="142">
        <f t="shared" si="2"/>
        <v>0</v>
      </c>
      <c r="I24" s="156">
        <f t="shared" si="3"/>
        <v>0</v>
      </c>
      <c r="J24" s="156"/>
      <c r="K24" s="334"/>
      <c r="L24" s="158">
        <f t="shared" si="4"/>
        <v>0</v>
      </c>
      <c r="M24" s="334"/>
      <c r="N24" s="158">
        <f t="shared" si="5"/>
        <v>0</v>
      </c>
      <c r="O24" s="158">
        <f t="shared" si="6"/>
        <v>0</v>
      </c>
      <c r="P24" s="4"/>
    </row>
    <row r="25" spans="2:16">
      <c r="B25" s="9" t="str">
        <f t="shared" si="8"/>
        <v/>
      </c>
      <c r="C25" s="153">
        <f>IF(D11="","-",+C24+1)</f>
        <v>2017</v>
      </c>
      <c r="D25" s="159">
        <f>IF(F24+SUM(E$17:E24)=D$10,F24,D$10-SUM(E$17:E24))</f>
        <v>0</v>
      </c>
      <c r="E25" s="160">
        <f>IF(+I14&lt;F24,I14,D25)</f>
        <v>0</v>
      </c>
      <c r="F25" s="159">
        <f t="shared" si="0"/>
        <v>0</v>
      </c>
      <c r="G25" s="161">
        <f t="shared" si="1"/>
        <v>0</v>
      </c>
      <c r="H25" s="142">
        <f t="shared" si="2"/>
        <v>0</v>
      </c>
      <c r="I25" s="156">
        <f t="shared" si="3"/>
        <v>0</v>
      </c>
      <c r="J25" s="156"/>
      <c r="K25" s="334"/>
      <c r="L25" s="158">
        <f t="shared" si="4"/>
        <v>0</v>
      </c>
      <c r="M25" s="334"/>
      <c r="N25" s="158">
        <f t="shared" si="5"/>
        <v>0</v>
      </c>
      <c r="O25" s="158">
        <f t="shared" si="6"/>
        <v>0</v>
      </c>
      <c r="P25" s="4"/>
    </row>
    <row r="26" spans="2:16">
      <c r="B26" s="9" t="str">
        <f t="shared" si="8"/>
        <v/>
      </c>
      <c r="C26" s="153">
        <f>IF(D11="","-",+C25+1)</f>
        <v>2018</v>
      </c>
      <c r="D26" s="159">
        <f>IF(F25+SUM(E$17:E25)=D$10,F25,D$10-SUM(E$17:E25))</f>
        <v>0</v>
      </c>
      <c r="E26" s="160">
        <f>IF(+I14&lt;F25,I14,D26)</f>
        <v>0</v>
      </c>
      <c r="F26" s="159">
        <f t="shared" si="0"/>
        <v>0</v>
      </c>
      <c r="G26" s="161">
        <f t="shared" si="1"/>
        <v>0</v>
      </c>
      <c r="H26" s="142">
        <f t="shared" si="2"/>
        <v>0</v>
      </c>
      <c r="I26" s="156">
        <f t="shared" si="3"/>
        <v>0</v>
      </c>
      <c r="J26" s="156"/>
      <c r="K26" s="334"/>
      <c r="L26" s="158">
        <f t="shared" si="4"/>
        <v>0</v>
      </c>
      <c r="M26" s="334"/>
      <c r="N26" s="158">
        <f t="shared" si="5"/>
        <v>0</v>
      </c>
      <c r="O26" s="158">
        <f t="shared" si="6"/>
        <v>0</v>
      </c>
      <c r="P26" s="4"/>
    </row>
    <row r="27" spans="2:16">
      <c r="B27" s="9" t="str">
        <f t="shared" si="8"/>
        <v/>
      </c>
      <c r="C27" s="153">
        <f>IF(D11="","-",+C26+1)</f>
        <v>2019</v>
      </c>
      <c r="D27" s="162">
        <f>IF(F26+SUM(E$17:E26)=D$10,F26,D$10-SUM(E$17:E26))</f>
        <v>0</v>
      </c>
      <c r="E27" s="160">
        <f>IF(+I14&lt;F26,I14,D27)</f>
        <v>0</v>
      </c>
      <c r="F27" s="159">
        <f t="shared" si="0"/>
        <v>0</v>
      </c>
      <c r="G27" s="161">
        <f t="shared" si="1"/>
        <v>0</v>
      </c>
      <c r="H27" s="142">
        <f t="shared" si="2"/>
        <v>0</v>
      </c>
      <c r="I27" s="156">
        <f t="shared" si="3"/>
        <v>0</v>
      </c>
      <c r="J27" s="156"/>
      <c r="K27" s="334"/>
      <c r="L27" s="158">
        <f t="shared" si="4"/>
        <v>0</v>
      </c>
      <c r="M27" s="334"/>
      <c r="N27" s="158">
        <f t="shared" si="5"/>
        <v>0</v>
      </c>
      <c r="O27" s="158">
        <f t="shared" si="6"/>
        <v>0</v>
      </c>
      <c r="P27" s="4"/>
    </row>
    <row r="28" spans="2:16">
      <c r="B28" s="9" t="str">
        <f t="shared" si="8"/>
        <v/>
      </c>
      <c r="C28" s="153">
        <f>IF(D11="","-",+C27+1)</f>
        <v>2020</v>
      </c>
      <c r="D28" s="159">
        <f>IF(F27+SUM(E$17:E27)=D$10,F27,D$10-SUM(E$17:E27))</f>
        <v>0</v>
      </c>
      <c r="E28" s="160">
        <f>IF(+I14&lt;F27,I14,D28)</f>
        <v>0</v>
      </c>
      <c r="F28" s="159">
        <f t="shared" si="0"/>
        <v>0</v>
      </c>
      <c r="G28" s="161">
        <f t="shared" si="1"/>
        <v>0</v>
      </c>
      <c r="H28" s="142">
        <f t="shared" si="2"/>
        <v>0</v>
      </c>
      <c r="I28" s="156">
        <f t="shared" si="3"/>
        <v>0</v>
      </c>
      <c r="J28" s="156"/>
      <c r="K28" s="334"/>
      <c r="L28" s="158">
        <f t="shared" si="4"/>
        <v>0</v>
      </c>
      <c r="M28" s="334"/>
      <c r="N28" s="158">
        <f t="shared" si="5"/>
        <v>0</v>
      </c>
      <c r="O28" s="158">
        <f t="shared" si="6"/>
        <v>0</v>
      </c>
      <c r="P28" s="4"/>
    </row>
    <row r="29" spans="2:16">
      <c r="B29" s="9" t="str">
        <f t="shared" si="8"/>
        <v/>
      </c>
      <c r="C29" s="153">
        <f>IF(D11="","-",+C28+1)</f>
        <v>2021</v>
      </c>
      <c r="D29" s="159">
        <f>IF(F28+SUM(E$17:E28)=D$10,F28,D$10-SUM(E$17:E28))</f>
        <v>0</v>
      </c>
      <c r="E29" s="160">
        <f>IF(+I14&lt;F28,I14,D29)</f>
        <v>0</v>
      </c>
      <c r="F29" s="159">
        <f t="shared" si="0"/>
        <v>0</v>
      </c>
      <c r="G29" s="161">
        <f t="shared" si="1"/>
        <v>0</v>
      </c>
      <c r="H29" s="142">
        <f t="shared" si="2"/>
        <v>0</v>
      </c>
      <c r="I29" s="156">
        <f t="shared" si="3"/>
        <v>0</v>
      </c>
      <c r="J29" s="156"/>
      <c r="K29" s="334"/>
      <c r="L29" s="158">
        <f t="shared" si="4"/>
        <v>0</v>
      </c>
      <c r="M29" s="334"/>
      <c r="N29" s="158">
        <f t="shared" si="5"/>
        <v>0</v>
      </c>
      <c r="O29" s="158">
        <f t="shared" si="6"/>
        <v>0</v>
      </c>
      <c r="P29" s="4"/>
    </row>
    <row r="30" spans="2:16">
      <c r="B30" s="9" t="str">
        <f t="shared" si="8"/>
        <v/>
      </c>
      <c r="C30" s="153">
        <f>IF(D11="","-",+C29+1)</f>
        <v>2022</v>
      </c>
      <c r="D30" s="159">
        <f>IF(F29+SUM(E$17:E29)=D$10,F29,D$10-SUM(E$17:E29))</f>
        <v>0</v>
      </c>
      <c r="E30" s="160">
        <f>IF(+I14&lt;F29,I14,D30)</f>
        <v>0</v>
      </c>
      <c r="F30" s="159">
        <f t="shared" si="0"/>
        <v>0</v>
      </c>
      <c r="G30" s="161">
        <f t="shared" si="1"/>
        <v>0</v>
      </c>
      <c r="H30" s="142">
        <f t="shared" si="2"/>
        <v>0</v>
      </c>
      <c r="I30" s="156">
        <f t="shared" si="3"/>
        <v>0</v>
      </c>
      <c r="J30" s="156"/>
      <c r="K30" s="334"/>
      <c r="L30" s="158">
        <f t="shared" si="4"/>
        <v>0</v>
      </c>
      <c r="M30" s="334"/>
      <c r="N30" s="158">
        <f t="shared" si="5"/>
        <v>0</v>
      </c>
      <c r="O30" s="158">
        <f t="shared" si="6"/>
        <v>0</v>
      </c>
      <c r="P30" s="4"/>
    </row>
    <row r="31" spans="2:16">
      <c r="B31" s="9" t="str">
        <f t="shared" si="8"/>
        <v/>
      </c>
      <c r="C31" s="153">
        <f>IF(D11="","-",+C30+1)</f>
        <v>2023</v>
      </c>
      <c r="D31" s="159">
        <f>IF(F30+SUM(E$17:E30)=D$10,F30,D$10-SUM(E$17:E30))</f>
        <v>0</v>
      </c>
      <c r="E31" s="160">
        <f>IF(+I14&lt;F30,I14,D31)</f>
        <v>0</v>
      </c>
      <c r="F31" s="159">
        <f t="shared" si="0"/>
        <v>0</v>
      </c>
      <c r="G31" s="161">
        <f t="shared" si="1"/>
        <v>0</v>
      </c>
      <c r="H31" s="142">
        <f t="shared" si="2"/>
        <v>0</v>
      </c>
      <c r="I31" s="156">
        <f t="shared" si="3"/>
        <v>0</v>
      </c>
      <c r="J31" s="156"/>
      <c r="K31" s="334"/>
      <c r="L31" s="158">
        <f t="shared" si="4"/>
        <v>0</v>
      </c>
      <c r="M31" s="334"/>
      <c r="N31" s="158">
        <f t="shared" si="5"/>
        <v>0</v>
      </c>
      <c r="O31" s="158">
        <f t="shared" si="6"/>
        <v>0</v>
      </c>
      <c r="P31" s="4"/>
    </row>
    <row r="32" spans="2:16">
      <c r="B32" s="9" t="str">
        <f t="shared" si="8"/>
        <v/>
      </c>
      <c r="C32" s="153">
        <f>IF(D11="","-",+C31+1)</f>
        <v>2024</v>
      </c>
      <c r="D32" s="159">
        <f>IF(F31+SUM(E$17:E31)=D$10,F31,D$10-SUM(E$17:E31))</f>
        <v>0</v>
      </c>
      <c r="E32" s="160">
        <f>IF(+I14&lt;F31,I14,D32)</f>
        <v>0</v>
      </c>
      <c r="F32" s="159">
        <f t="shared" si="0"/>
        <v>0</v>
      </c>
      <c r="G32" s="161">
        <f t="shared" si="1"/>
        <v>0</v>
      </c>
      <c r="H32" s="142">
        <f t="shared" si="2"/>
        <v>0</v>
      </c>
      <c r="I32" s="156">
        <f t="shared" si="3"/>
        <v>0</v>
      </c>
      <c r="J32" s="156"/>
      <c r="K32" s="334"/>
      <c r="L32" s="158">
        <f t="shared" si="4"/>
        <v>0</v>
      </c>
      <c r="M32" s="334"/>
      <c r="N32" s="158">
        <f t="shared" si="5"/>
        <v>0</v>
      </c>
      <c r="O32" s="158">
        <f t="shared" si="6"/>
        <v>0</v>
      </c>
      <c r="P32" s="4"/>
    </row>
    <row r="33" spans="2:16">
      <c r="B33" s="9" t="str">
        <f t="shared" si="8"/>
        <v/>
      </c>
      <c r="C33" s="153">
        <f>IF(D11="","-",+C32+1)</f>
        <v>2025</v>
      </c>
      <c r="D33" s="159">
        <f>IF(F32+SUM(E$17:E32)=D$10,F32,D$10-SUM(E$17:E32))</f>
        <v>0</v>
      </c>
      <c r="E33" s="160">
        <f>IF(+I14&lt;F32,I14,D33)</f>
        <v>0</v>
      </c>
      <c r="F33" s="159">
        <f t="shared" si="0"/>
        <v>0</v>
      </c>
      <c r="G33" s="161">
        <f t="shared" si="1"/>
        <v>0</v>
      </c>
      <c r="H33" s="142">
        <f t="shared" si="2"/>
        <v>0</v>
      </c>
      <c r="I33" s="156">
        <f t="shared" si="3"/>
        <v>0</v>
      </c>
      <c r="J33" s="156"/>
      <c r="K33" s="334"/>
      <c r="L33" s="158">
        <f t="shared" si="4"/>
        <v>0</v>
      </c>
      <c r="M33" s="334"/>
      <c r="N33" s="158">
        <f t="shared" si="5"/>
        <v>0</v>
      </c>
      <c r="O33" s="158">
        <f t="shared" si="6"/>
        <v>0</v>
      </c>
      <c r="P33" s="4"/>
    </row>
    <row r="34" spans="2:16">
      <c r="B34" s="9" t="str">
        <f t="shared" si="8"/>
        <v/>
      </c>
      <c r="C34" s="153">
        <f>IF(D11="","-",+C33+1)</f>
        <v>2026</v>
      </c>
      <c r="D34" s="159">
        <f>IF(F33+SUM(E$17:E33)=D$10,F33,D$10-SUM(E$17:E33))</f>
        <v>0</v>
      </c>
      <c r="E34" s="160">
        <f>IF(+I14&lt;F33,I14,D34)</f>
        <v>0</v>
      </c>
      <c r="F34" s="159">
        <f t="shared" si="0"/>
        <v>0</v>
      </c>
      <c r="G34" s="161">
        <f t="shared" si="1"/>
        <v>0</v>
      </c>
      <c r="H34" s="142">
        <f t="shared" si="2"/>
        <v>0</v>
      </c>
      <c r="I34" s="156">
        <f t="shared" si="3"/>
        <v>0</v>
      </c>
      <c r="J34" s="156"/>
      <c r="K34" s="334"/>
      <c r="L34" s="158">
        <f t="shared" si="4"/>
        <v>0</v>
      </c>
      <c r="M34" s="334"/>
      <c r="N34" s="158">
        <f t="shared" si="5"/>
        <v>0</v>
      </c>
      <c r="O34" s="158">
        <f t="shared" si="6"/>
        <v>0</v>
      </c>
      <c r="P34" s="4"/>
    </row>
    <row r="35" spans="2:16">
      <c r="B35" s="9" t="str">
        <f t="shared" si="8"/>
        <v/>
      </c>
      <c r="C35" s="153">
        <f>IF(D11="","-",+C34+1)</f>
        <v>2027</v>
      </c>
      <c r="D35" s="159">
        <f>IF(F34+SUM(E$17:E34)=D$10,F34,D$10-SUM(E$17:E34))</f>
        <v>0</v>
      </c>
      <c r="E35" s="160">
        <f>IF(+I14&lt;F34,I14,D35)</f>
        <v>0</v>
      </c>
      <c r="F35" s="159">
        <f t="shared" si="0"/>
        <v>0</v>
      </c>
      <c r="G35" s="161">
        <f t="shared" si="1"/>
        <v>0</v>
      </c>
      <c r="H35" s="142">
        <f t="shared" si="2"/>
        <v>0</v>
      </c>
      <c r="I35" s="156">
        <f t="shared" si="3"/>
        <v>0</v>
      </c>
      <c r="J35" s="156"/>
      <c r="K35" s="334"/>
      <c r="L35" s="158">
        <f t="shared" si="4"/>
        <v>0</v>
      </c>
      <c r="M35" s="334"/>
      <c r="N35" s="158">
        <f t="shared" si="5"/>
        <v>0</v>
      </c>
      <c r="O35" s="158">
        <f t="shared" si="6"/>
        <v>0</v>
      </c>
      <c r="P35" s="4"/>
    </row>
    <row r="36" spans="2:16">
      <c r="B36" s="9" t="str">
        <f t="shared" si="8"/>
        <v/>
      </c>
      <c r="C36" s="153">
        <f>IF(D11="","-",+C35+1)</f>
        <v>2028</v>
      </c>
      <c r="D36" s="159">
        <f>IF(F35+SUM(E$17:E35)=D$10,F35,D$10-SUM(E$17:E35))</f>
        <v>0</v>
      </c>
      <c r="E36" s="160">
        <f>IF(+I14&lt;F35,I14,D36)</f>
        <v>0</v>
      </c>
      <c r="F36" s="159">
        <f t="shared" si="0"/>
        <v>0</v>
      </c>
      <c r="G36" s="161">
        <f t="shared" si="1"/>
        <v>0</v>
      </c>
      <c r="H36" s="142">
        <f t="shared" si="2"/>
        <v>0</v>
      </c>
      <c r="I36" s="156">
        <f t="shared" si="3"/>
        <v>0</v>
      </c>
      <c r="J36" s="156"/>
      <c r="K36" s="334"/>
      <c r="L36" s="158">
        <f t="shared" si="4"/>
        <v>0</v>
      </c>
      <c r="M36" s="334"/>
      <c r="N36" s="158">
        <f t="shared" si="5"/>
        <v>0</v>
      </c>
      <c r="O36" s="158">
        <f t="shared" si="6"/>
        <v>0</v>
      </c>
      <c r="P36" s="4"/>
    </row>
    <row r="37" spans="2:16">
      <c r="B37" s="9" t="str">
        <f t="shared" si="8"/>
        <v/>
      </c>
      <c r="C37" s="153">
        <f>IF(D11="","-",+C36+1)</f>
        <v>2029</v>
      </c>
      <c r="D37" s="159">
        <f>IF(F36+SUM(E$17:E36)=D$10,F36,D$10-SUM(E$17:E36))</f>
        <v>0</v>
      </c>
      <c r="E37" s="160">
        <f>IF(+I14&lt;F36,I14,D37)</f>
        <v>0</v>
      </c>
      <c r="F37" s="159">
        <f t="shared" si="0"/>
        <v>0</v>
      </c>
      <c r="G37" s="161">
        <f t="shared" si="1"/>
        <v>0</v>
      </c>
      <c r="H37" s="142">
        <f t="shared" si="2"/>
        <v>0</v>
      </c>
      <c r="I37" s="156">
        <f t="shared" si="3"/>
        <v>0</v>
      </c>
      <c r="J37" s="156"/>
      <c r="K37" s="334"/>
      <c r="L37" s="158">
        <f t="shared" si="4"/>
        <v>0</v>
      </c>
      <c r="M37" s="334"/>
      <c r="N37" s="158">
        <f t="shared" si="5"/>
        <v>0</v>
      </c>
      <c r="O37" s="158">
        <f t="shared" si="6"/>
        <v>0</v>
      </c>
      <c r="P37" s="4"/>
    </row>
    <row r="38" spans="2:16">
      <c r="B38" s="9" t="str">
        <f t="shared" si="8"/>
        <v/>
      </c>
      <c r="C38" s="153">
        <f>IF(D11="","-",+C37+1)</f>
        <v>2030</v>
      </c>
      <c r="D38" s="159">
        <f>IF(F37+SUM(E$17:E37)=D$10,F37,D$10-SUM(E$17:E37))</f>
        <v>0</v>
      </c>
      <c r="E38" s="160">
        <f>IF(+I14&lt;F37,I14,D38)</f>
        <v>0</v>
      </c>
      <c r="F38" s="159">
        <f t="shared" si="0"/>
        <v>0</v>
      </c>
      <c r="G38" s="161">
        <f t="shared" si="1"/>
        <v>0</v>
      </c>
      <c r="H38" s="142">
        <f t="shared" si="2"/>
        <v>0</v>
      </c>
      <c r="I38" s="156">
        <f t="shared" si="3"/>
        <v>0</v>
      </c>
      <c r="J38" s="156"/>
      <c r="K38" s="334"/>
      <c r="L38" s="158">
        <f t="shared" si="4"/>
        <v>0</v>
      </c>
      <c r="M38" s="334"/>
      <c r="N38" s="158">
        <f t="shared" si="5"/>
        <v>0</v>
      </c>
      <c r="O38" s="158">
        <f t="shared" si="6"/>
        <v>0</v>
      </c>
      <c r="P38" s="4"/>
    </row>
    <row r="39" spans="2:16">
      <c r="B39" s="9" t="str">
        <f t="shared" si="8"/>
        <v/>
      </c>
      <c r="C39" s="153">
        <f>IF(D11="","-",+C38+1)</f>
        <v>2031</v>
      </c>
      <c r="D39" s="159">
        <f>IF(F38+SUM(E$17:E38)=D$10,F38,D$10-SUM(E$17:E38))</f>
        <v>0</v>
      </c>
      <c r="E39" s="160">
        <f>IF(+I14&lt;F38,I14,D39)</f>
        <v>0</v>
      </c>
      <c r="F39" s="159">
        <f t="shared" si="0"/>
        <v>0</v>
      </c>
      <c r="G39" s="161">
        <f t="shared" si="1"/>
        <v>0</v>
      </c>
      <c r="H39" s="142">
        <f t="shared" si="2"/>
        <v>0</v>
      </c>
      <c r="I39" s="156">
        <f t="shared" si="3"/>
        <v>0</v>
      </c>
      <c r="J39" s="156"/>
      <c r="K39" s="334"/>
      <c r="L39" s="158">
        <f t="shared" si="4"/>
        <v>0</v>
      </c>
      <c r="M39" s="334"/>
      <c r="N39" s="158">
        <f t="shared" si="5"/>
        <v>0</v>
      </c>
      <c r="O39" s="158">
        <f t="shared" si="6"/>
        <v>0</v>
      </c>
      <c r="P39" s="4"/>
    </row>
    <row r="40" spans="2:16">
      <c r="B40" s="9" t="str">
        <f t="shared" si="8"/>
        <v/>
      </c>
      <c r="C40" s="153">
        <f>IF(D11="","-",+C39+1)</f>
        <v>2032</v>
      </c>
      <c r="D40" s="159">
        <f>IF(F39+SUM(E$17:E39)=D$10,F39,D$10-SUM(E$17:E39))</f>
        <v>0</v>
      </c>
      <c r="E40" s="160">
        <f>IF(+I14&lt;F39,I14,D40)</f>
        <v>0</v>
      </c>
      <c r="F40" s="159">
        <f t="shared" si="0"/>
        <v>0</v>
      </c>
      <c r="G40" s="161">
        <f t="shared" si="1"/>
        <v>0</v>
      </c>
      <c r="H40" s="142">
        <f t="shared" si="2"/>
        <v>0</v>
      </c>
      <c r="I40" s="156">
        <f t="shared" si="3"/>
        <v>0</v>
      </c>
      <c r="J40" s="156"/>
      <c r="K40" s="334"/>
      <c r="L40" s="158">
        <f t="shared" si="4"/>
        <v>0</v>
      </c>
      <c r="M40" s="334"/>
      <c r="N40" s="158">
        <f t="shared" si="5"/>
        <v>0</v>
      </c>
      <c r="O40" s="158">
        <f t="shared" si="6"/>
        <v>0</v>
      </c>
      <c r="P40" s="4"/>
    </row>
    <row r="41" spans="2:16">
      <c r="B41" s="9" t="str">
        <f t="shared" si="8"/>
        <v/>
      </c>
      <c r="C41" s="153">
        <f>IF(D11="","-",+C40+1)</f>
        <v>2033</v>
      </c>
      <c r="D41" s="159">
        <f>IF(F40+SUM(E$17:E40)=D$10,F40,D$10-SUM(E$17:E40))</f>
        <v>0</v>
      </c>
      <c r="E41" s="160">
        <f>IF(+I14&lt;F40,I14,D41)</f>
        <v>0</v>
      </c>
      <c r="F41" s="159">
        <f t="shared" si="0"/>
        <v>0</v>
      </c>
      <c r="G41" s="161">
        <f t="shared" si="1"/>
        <v>0</v>
      </c>
      <c r="H41" s="142">
        <f t="shared" si="2"/>
        <v>0</v>
      </c>
      <c r="I41" s="156">
        <f t="shared" si="3"/>
        <v>0</v>
      </c>
      <c r="J41" s="156"/>
      <c r="K41" s="334"/>
      <c r="L41" s="158">
        <f t="shared" si="4"/>
        <v>0</v>
      </c>
      <c r="M41" s="334"/>
      <c r="N41" s="158">
        <f t="shared" si="5"/>
        <v>0</v>
      </c>
      <c r="O41" s="158">
        <f t="shared" si="6"/>
        <v>0</v>
      </c>
      <c r="P41" s="4"/>
    </row>
    <row r="42" spans="2:16">
      <c r="B42" s="9" t="str">
        <f t="shared" si="8"/>
        <v/>
      </c>
      <c r="C42" s="153">
        <f>IF(D11="","-",+C41+1)</f>
        <v>2034</v>
      </c>
      <c r="D42" s="159">
        <f>IF(F41+SUM(E$17:E41)=D$10,F41,D$10-SUM(E$17:E41))</f>
        <v>0</v>
      </c>
      <c r="E42" s="160">
        <f>IF(+I14&lt;F41,I14,D42)</f>
        <v>0</v>
      </c>
      <c r="F42" s="159">
        <f t="shared" si="0"/>
        <v>0</v>
      </c>
      <c r="G42" s="161">
        <f t="shared" si="1"/>
        <v>0</v>
      </c>
      <c r="H42" s="142">
        <f t="shared" si="2"/>
        <v>0</v>
      </c>
      <c r="I42" s="156">
        <f t="shared" si="3"/>
        <v>0</v>
      </c>
      <c r="J42" s="156"/>
      <c r="K42" s="334"/>
      <c r="L42" s="158">
        <f t="shared" si="4"/>
        <v>0</v>
      </c>
      <c r="M42" s="334"/>
      <c r="N42" s="158">
        <f t="shared" si="5"/>
        <v>0</v>
      </c>
      <c r="O42" s="158">
        <f t="shared" si="6"/>
        <v>0</v>
      </c>
      <c r="P42" s="4"/>
    </row>
    <row r="43" spans="2:16">
      <c r="B43" s="9" t="str">
        <f t="shared" si="8"/>
        <v/>
      </c>
      <c r="C43" s="153">
        <f>IF(D11="","-",+C42+1)</f>
        <v>2035</v>
      </c>
      <c r="D43" s="159">
        <f>IF(F42+SUM(E$17:E42)=D$10,F42,D$10-SUM(E$17:E42))</f>
        <v>0</v>
      </c>
      <c r="E43" s="160">
        <f>IF(+I14&lt;F42,I14,D43)</f>
        <v>0</v>
      </c>
      <c r="F43" s="159">
        <f t="shared" si="0"/>
        <v>0</v>
      </c>
      <c r="G43" s="161">
        <f t="shared" si="1"/>
        <v>0</v>
      </c>
      <c r="H43" s="142">
        <f t="shared" si="2"/>
        <v>0</v>
      </c>
      <c r="I43" s="156">
        <f t="shared" si="3"/>
        <v>0</v>
      </c>
      <c r="J43" s="156"/>
      <c r="K43" s="334"/>
      <c r="L43" s="158">
        <f t="shared" si="4"/>
        <v>0</v>
      </c>
      <c r="M43" s="334"/>
      <c r="N43" s="158">
        <f t="shared" si="5"/>
        <v>0</v>
      </c>
      <c r="O43" s="158">
        <f t="shared" si="6"/>
        <v>0</v>
      </c>
      <c r="P43" s="4"/>
    </row>
    <row r="44" spans="2:16">
      <c r="B44" s="9" t="str">
        <f t="shared" si="8"/>
        <v/>
      </c>
      <c r="C44" s="153">
        <f>IF(D11="","-",+C43+1)</f>
        <v>2036</v>
      </c>
      <c r="D44" s="159">
        <f>IF(F43+SUM(E$17:E43)=D$10,F43,D$10-SUM(E$17:E43))</f>
        <v>0</v>
      </c>
      <c r="E44" s="160">
        <f>IF(+I14&lt;F43,I14,D44)</f>
        <v>0</v>
      </c>
      <c r="F44" s="159">
        <f t="shared" si="0"/>
        <v>0</v>
      </c>
      <c r="G44" s="161">
        <f t="shared" si="1"/>
        <v>0</v>
      </c>
      <c r="H44" s="142">
        <f t="shared" si="2"/>
        <v>0</v>
      </c>
      <c r="I44" s="156">
        <f t="shared" si="3"/>
        <v>0</v>
      </c>
      <c r="J44" s="156"/>
      <c r="K44" s="334"/>
      <c r="L44" s="158">
        <f t="shared" si="4"/>
        <v>0</v>
      </c>
      <c r="M44" s="334"/>
      <c r="N44" s="158">
        <f t="shared" si="5"/>
        <v>0</v>
      </c>
      <c r="O44" s="158">
        <f t="shared" si="6"/>
        <v>0</v>
      </c>
      <c r="P44" s="4"/>
    </row>
    <row r="45" spans="2:16">
      <c r="B45" s="9" t="str">
        <f t="shared" si="8"/>
        <v/>
      </c>
      <c r="C45" s="153">
        <f>IF(D11="","-",+C44+1)</f>
        <v>2037</v>
      </c>
      <c r="D45" s="159">
        <f>IF(F44+SUM(E$17:E44)=D$10,F44,D$10-SUM(E$17:E44))</f>
        <v>0</v>
      </c>
      <c r="E45" s="160">
        <f>IF(+I14&lt;F44,I14,D45)</f>
        <v>0</v>
      </c>
      <c r="F45" s="159">
        <f t="shared" si="0"/>
        <v>0</v>
      </c>
      <c r="G45" s="161">
        <f t="shared" si="1"/>
        <v>0</v>
      </c>
      <c r="H45" s="142">
        <f t="shared" si="2"/>
        <v>0</v>
      </c>
      <c r="I45" s="156">
        <f t="shared" si="3"/>
        <v>0</v>
      </c>
      <c r="J45" s="156"/>
      <c r="K45" s="334"/>
      <c r="L45" s="158">
        <f t="shared" si="4"/>
        <v>0</v>
      </c>
      <c r="M45" s="334"/>
      <c r="N45" s="158">
        <f t="shared" si="5"/>
        <v>0</v>
      </c>
      <c r="O45" s="158">
        <f t="shared" si="6"/>
        <v>0</v>
      </c>
      <c r="P45" s="4"/>
    </row>
    <row r="46" spans="2:16">
      <c r="B46" s="9" t="str">
        <f t="shared" si="8"/>
        <v/>
      </c>
      <c r="C46" s="153">
        <f>IF(D11="","-",+C45+1)</f>
        <v>2038</v>
      </c>
      <c r="D46" s="159">
        <f>IF(F45+SUM(E$17:E45)=D$10,F45,D$10-SUM(E$17:E45))</f>
        <v>0</v>
      </c>
      <c r="E46" s="160">
        <f>IF(+I14&lt;F45,I14,D46)</f>
        <v>0</v>
      </c>
      <c r="F46" s="159">
        <f t="shared" si="0"/>
        <v>0</v>
      </c>
      <c r="G46" s="161">
        <f t="shared" si="1"/>
        <v>0</v>
      </c>
      <c r="H46" s="142">
        <f t="shared" si="2"/>
        <v>0</v>
      </c>
      <c r="I46" s="156">
        <f t="shared" si="3"/>
        <v>0</v>
      </c>
      <c r="J46" s="156"/>
      <c r="K46" s="334"/>
      <c r="L46" s="158">
        <f t="shared" si="4"/>
        <v>0</v>
      </c>
      <c r="M46" s="334"/>
      <c r="N46" s="158">
        <f t="shared" si="5"/>
        <v>0</v>
      </c>
      <c r="O46" s="158">
        <f t="shared" si="6"/>
        <v>0</v>
      </c>
      <c r="P46" s="4"/>
    </row>
    <row r="47" spans="2:16">
      <c r="B47" s="9" t="str">
        <f t="shared" si="8"/>
        <v/>
      </c>
      <c r="C47" s="153">
        <f>IF(D11="","-",+C46+1)</f>
        <v>2039</v>
      </c>
      <c r="D47" s="159">
        <f>IF(F46+SUM(E$17:E46)=D$10,F46,D$10-SUM(E$17:E46))</f>
        <v>0</v>
      </c>
      <c r="E47" s="160">
        <f>IF(+I14&lt;F46,I14,D47)</f>
        <v>0</v>
      </c>
      <c r="F47" s="159">
        <f t="shared" si="0"/>
        <v>0</v>
      </c>
      <c r="G47" s="161">
        <f t="shared" si="1"/>
        <v>0</v>
      </c>
      <c r="H47" s="142">
        <f t="shared" si="2"/>
        <v>0</v>
      </c>
      <c r="I47" s="156">
        <f t="shared" si="3"/>
        <v>0</v>
      </c>
      <c r="J47" s="156"/>
      <c r="K47" s="334"/>
      <c r="L47" s="158">
        <f t="shared" si="4"/>
        <v>0</v>
      </c>
      <c r="M47" s="334"/>
      <c r="N47" s="158">
        <f t="shared" si="5"/>
        <v>0</v>
      </c>
      <c r="O47" s="158">
        <f t="shared" si="6"/>
        <v>0</v>
      </c>
      <c r="P47" s="4"/>
    </row>
    <row r="48" spans="2:16">
      <c r="B48" s="9" t="str">
        <f t="shared" si="8"/>
        <v/>
      </c>
      <c r="C48" s="153">
        <f>IF(D11="","-",+C47+1)</f>
        <v>2040</v>
      </c>
      <c r="D48" s="159">
        <f>IF(F47+SUM(E$17:E47)=D$10,F47,D$10-SUM(E$17:E47))</f>
        <v>0</v>
      </c>
      <c r="E48" s="160">
        <f>IF(+I14&lt;F47,I14,D48)</f>
        <v>0</v>
      </c>
      <c r="F48" s="159">
        <f t="shared" si="0"/>
        <v>0</v>
      </c>
      <c r="G48" s="161">
        <f t="shared" si="1"/>
        <v>0</v>
      </c>
      <c r="H48" s="142">
        <f t="shared" si="2"/>
        <v>0</v>
      </c>
      <c r="I48" s="156">
        <f t="shared" si="3"/>
        <v>0</v>
      </c>
      <c r="J48" s="156"/>
      <c r="K48" s="334"/>
      <c r="L48" s="158">
        <f t="shared" si="4"/>
        <v>0</v>
      </c>
      <c r="M48" s="334"/>
      <c r="N48" s="158">
        <f t="shared" si="5"/>
        <v>0</v>
      </c>
      <c r="O48" s="158">
        <f t="shared" si="6"/>
        <v>0</v>
      </c>
      <c r="P48" s="4"/>
    </row>
    <row r="49" spans="2:17">
      <c r="B49" s="9" t="str">
        <f t="shared" si="8"/>
        <v/>
      </c>
      <c r="C49" s="153">
        <f>IF(D11="","-",+C48+1)</f>
        <v>2041</v>
      </c>
      <c r="D49" s="159">
        <f>IF(F48+SUM(E$17:E48)=D$10,F48,D$10-SUM(E$17:E48))</f>
        <v>0</v>
      </c>
      <c r="E49" s="160">
        <f>IF(+I14&lt;F48,I14,D49)</f>
        <v>0</v>
      </c>
      <c r="F49" s="159">
        <f t="shared" ref="F49:F72" si="9">+D49-E49</f>
        <v>0</v>
      </c>
      <c r="G49" s="161">
        <f t="shared" ref="G49:G72" si="10">+I$12*((D49+F49)/2)+E49</f>
        <v>0</v>
      </c>
      <c r="H49" s="142">
        <f t="shared" ref="H49:H72" si="11">+I$13*((D49+F49)/2)+E49</f>
        <v>0</v>
      </c>
      <c r="I49" s="156">
        <f t="shared" ref="I49:I72" si="12">H49-G49</f>
        <v>0</v>
      </c>
      <c r="J49" s="156"/>
      <c r="K49" s="334"/>
      <c r="L49" s="158">
        <f t="shared" ref="L49:L72" si="13">IF(K49&lt;&gt;0,+G49-K49,0)</f>
        <v>0</v>
      </c>
      <c r="M49" s="334"/>
      <c r="N49" s="158">
        <f t="shared" ref="N49:N72" si="14">IF(M49&lt;&gt;0,+H49-M49,0)</f>
        <v>0</v>
      </c>
      <c r="O49" s="158">
        <f t="shared" ref="O49:O72" si="15">+N49-L49</f>
        <v>0</v>
      </c>
      <c r="P49" s="4"/>
    </row>
    <row r="50" spans="2:17">
      <c r="B50" s="9" t="str">
        <f t="shared" si="8"/>
        <v/>
      </c>
      <c r="C50" s="153">
        <f>IF(D11="","-",+C49+1)</f>
        <v>2042</v>
      </c>
      <c r="D50" s="159">
        <f>IF(F49+SUM(E$17:E49)=D$10,F49,D$10-SUM(E$17:E49))</f>
        <v>0</v>
      </c>
      <c r="E50" s="160">
        <f>IF(+I14&lt;F49,I14,D50)</f>
        <v>0</v>
      </c>
      <c r="F50" s="159">
        <f t="shared" si="9"/>
        <v>0</v>
      </c>
      <c r="G50" s="161">
        <f t="shared" si="10"/>
        <v>0</v>
      </c>
      <c r="H50" s="142">
        <f t="shared" si="11"/>
        <v>0</v>
      </c>
      <c r="I50" s="156">
        <f t="shared" si="12"/>
        <v>0</v>
      </c>
      <c r="J50" s="156"/>
      <c r="K50" s="334"/>
      <c r="L50" s="158">
        <f t="shared" si="13"/>
        <v>0</v>
      </c>
      <c r="M50" s="334"/>
      <c r="N50" s="158">
        <f t="shared" si="14"/>
        <v>0</v>
      </c>
      <c r="O50" s="158">
        <f t="shared" si="15"/>
        <v>0</v>
      </c>
      <c r="P50" s="4"/>
    </row>
    <row r="51" spans="2:17">
      <c r="B51" s="9" t="str">
        <f t="shared" si="8"/>
        <v/>
      </c>
      <c r="C51" s="153">
        <f>IF(D11="","-",+C50+1)</f>
        <v>2043</v>
      </c>
      <c r="D51" s="159">
        <f>IF(F50+SUM(E$17:E50)=D$10,F50,D$10-SUM(E$17:E50))</f>
        <v>0</v>
      </c>
      <c r="E51" s="160">
        <f>IF(+I14&lt;F50,I14,D51)</f>
        <v>0</v>
      </c>
      <c r="F51" s="159">
        <f t="shared" si="9"/>
        <v>0</v>
      </c>
      <c r="G51" s="161">
        <f t="shared" si="10"/>
        <v>0</v>
      </c>
      <c r="H51" s="142">
        <f t="shared" si="11"/>
        <v>0</v>
      </c>
      <c r="I51" s="156">
        <f t="shared" si="12"/>
        <v>0</v>
      </c>
      <c r="J51" s="156"/>
      <c r="K51" s="334"/>
      <c r="L51" s="158">
        <f t="shared" si="13"/>
        <v>0</v>
      </c>
      <c r="M51" s="334"/>
      <c r="N51" s="158">
        <f t="shared" si="14"/>
        <v>0</v>
      </c>
      <c r="O51" s="158">
        <f t="shared" si="15"/>
        <v>0</v>
      </c>
      <c r="P51" s="4"/>
    </row>
    <row r="52" spans="2:17">
      <c r="B52" s="9" t="str">
        <f t="shared" si="8"/>
        <v/>
      </c>
      <c r="C52" s="153">
        <f>IF(D11="","-",+C51+1)</f>
        <v>2044</v>
      </c>
      <c r="D52" s="159">
        <f>IF(F51+SUM(E$17:E51)=D$10,F51,D$10-SUM(E$17:E51))</f>
        <v>0</v>
      </c>
      <c r="E52" s="160">
        <f>IF(+I14&lt;F51,I14,D52)</f>
        <v>0</v>
      </c>
      <c r="F52" s="159">
        <f t="shared" si="9"/>
        <v>0</v>
      </c>
      <c r="G52" s="161">
        <f t="shared" si="10"/>
        <v>0</v>
      </c>
      <c r="H52" s="142">
        <f t="shared" si="11"/>
        <v>0</v>
      </c>
      <c r="I52" s="156">
        <f t="shared" si="12"/>
        <v>0</v>
      </c>
      <c r="J52" s="156"/>
      <c r="K52" s="334"/>
      <c r="L52" s="158">
        <f t="shared" si="13"/>
        <v>0</v>
      </c>
      <c r="M52" s="334"/>
      <c r="N52" s="158">
        <f t="shared" si="14"/>
        <v>0</v>
      </c>
      <c r="O52" s="158">
        <f t="shared" si="15"/>
        <v>0</v>
      </c>
      <c r="P52" s="4"/>
    </row>
    <row r="53" spans="2:17">
      <c r="B53" s="9" t="str">
        <f t="shared" si="8"/>
        <v/>
      </c>
      <c r="C53" s="153">
        <f>IF(D11="","-",+C52+1)</f>
        <v>2045</v>
      </c>
      <c r="D53" s="159">
        <f>IF(F52+SUM(E$17:E52)=D$10,F52,D$10-SUM(E$17:E52))</f>
        <v>0</v>
      </c>
      <c r="E53" s="160">
        <f>IF(+I14&lt;F52,I14,D53)</f>
        <v>0</v>
      </c>
      <c r="F53" s="159">
        <f t="shared" si="9"/>
        <v>0</v>
      </c>
      <c r="G53" s="161">
        <f t="shared" si="10"/>
        <v>0</v>
      </c>
      <c r="H53" s="142">
        <f t="shared" si="11"/>
        <v>0</v>
      </c>
      <c r="I53" s="156">
        <f t="shared" si="12"/>
        <v>0</v>
      </c>
      <c r="J53" s="156"/>
      <c r="K53" s="334"/>
      <c r="L53" s="158">
        <f t="shared" si="13"/>
        <v>0</v>
      </c>
      <c r="M53" s="334"/>
      <c r="N53" s="158">
        <f t="shared" si="14"/>
        <v>0</v>
      </c>
      <c r="O53" s="158">
        <f t="shared" si="15"/>
        <v>0</v>
      </c>
      <c r="P53" s="4"/>
    </row>
    <row r="54" spans="2:17">
      <c r="B54" s="9" t="str">
        <f t="shared" si="8"/>
        <v/>
      </c>
      <c r="C54" s="153">
        <f>IF(D11="","-",+C53+1)</f>
        <v>2046</v>
      </c>
      <c r="D54" s="159">
        <f>IF(F53+SUM(E$17:E53)=D$10,F53,D$10-SUM(E$17:E53))</f>
        <v>0</v>
      </c>
      <c r="E54" s="160">
        <f>IF(+I14&lt;F53,I14,D54)</f>
        <v>0</v>
      </c>
      <c r="F54" s="159">
        <f t="shared" si="9"/>
        <v>0</v>
      </c>
      <c r="G54" s="161">
        <f t="shared" si="10"/>
        <v>0</v>
      </c>
      <c r="H54" s="142">
        <f t="shared" si="11"/>
        <v>0</v>
      </c>
      <c r="I54" s="156">
        <f t="shared" si="12"/>
        <v>0</v>
      </c>
      <c r="J54" s="156"/>
      <c r="K54" s="334"/>
      <c r="L54" s="158">
        <f t="shared" si="13"/>
        <v>0</v>
      </c>
      <c r="M54" s="334"/>
      <c r="N54" s="158">
        <f t="shared" si="14"/>
        <v>0</v>
      </c>
      <c r="O54" s="158">
        <f t="shared" si="15"/>
        <v>0</v>
      </c>
      <c r="P54" s="4"/>
    </row>
    <row r="55" spans="2:17">
      <c r="B55" s="9" t="str">
        <f t="shared" si="8"/>
        <v/>
      </c>
      <c r="C55" s="153">
        <f>IF(D11="","-",+C54+1)</f>
        <v>2047</v>
      </c>
      <c r="D55" s="159">
        <f>IF(F54+SUM(E$17:E54)=D$10,F54,D$10-SUM(E$17:E54))</f>
        <v>0</v>
      </c>
      <c r="E55" s="160">
        <f>IF(+I14&lt;F54,I14,D55)</f>
        <v>0</v>
      </c>
      <c r="F55" s="159">
        <f t="shared" si="9"/>
        <v>0</v>
      </c>
      <c r="G55" s="161">
        <f t="shared" si="10"/>
        <v>0</v>
      </c>
      <c r="H55" s="142">
        <f t="shared" si="11"/>
        <v>0</v>
      </c>
      <c r="I55" s="156">
        <f t="shared" si="12"/>
        <v>0</v>
      </c>
      <c r="J55" s="156"/>
      <c r="K55" s="334"/>
      <c r="L55" s="158">
        <f t="shared" si="13"/>
        <v>0</v>
      </c>
      <c r="M55" s="334"/>
      <c r="N55" s="158">
        <f t="shared" si="14"/>
        <v>0</v>
      </c>
      <c r="O55" s="158">
        <f t="shared" si="15"/>
        <v>0</v>
      </c>
      <c r="P55" s="4"/>
    </row>
    <row r="56" spans="2:17">
      <c r="B56" s="9" t="str">
        <f t="shared" si="8"/>
        <v/>
      </c>
      <c r="C56" s="153">
        <f>IF(D11="","-",+C55+1)</f>
        <v>2048</v>
      </c>
      <c r="D56" s="159">
        <f>IF(F55+SUM(E$17:E55)=D$10,F55,D$10-SUM(E$17:E55))</f>
        <v>0</v>
      </c>
      <c r="E56" s="160">
        <f>IF(+I14&lt;F55,I14,D56)</f>
        <v>0</v>
      </c>
      <c r="F56" s="159">
        <f t="shared" si="9"/>
        <v>0</v>
      </c>
      <c r="G56" s="161">
        <f t="shared" si="10"/>
        <v>0</v>
      </c>
      <c r="H56" s="142">
        <f t="shared" si="11"/>
        <v>0</v>
      </c>
      <c r="I56" s="156">
        <f t="shared" si="12"/>
        <v>0</v>
      </c>
      <c r="J56" s="156"/>
      <c r="K56" s="334"/>
      <c r="L56" s="158">
        <f t="shared" si="13"/>
        <v>0</v>
      </c>
      <c r="M56" s="334"/>
      <c r="N56" s="158">
        <f t="shared" si="14"/>
        <v>0</v>
      </c>
      <c r="O56" s="158">
        <f t="shared" si="15"/>
        <v>0</v>
      </c>
      <c r="P56" s="4"/>
    </row>
    <row r="57" spans="2:17">
      <c r="B57" s="9" t="str">
        <f t="shared" si="8"/>
        <v/>
      </c>
      <c r="C57" s="153">
        <f>IF(D11="","-",+C56+1)</f>
        <v>2049</v>
      </c>
      <c r="D57" s="159">
        <f>IF(F56+SUM(E$17:E56)=D$10,F56,D$10-SUM(E$17:E56))</f>
        <v>0</v>
      </c>
      <c r="E57" s="160">
        <f>IF(+I14&lt;F56,I14,D57)</f>
        <v>0</v>
      </c>
      <c r="F57" s="159">
        <f t="shared" si="9"/>
        <v>0</v>
      </c>
      <c r="G57" s="161">
        <f t="shared" si="10"/>
        <v>0</v>
      </c>
      <c r="H57" s="142">
        <f t="shared" si="11"/>
        <v>0</v>
      </c>
      <c r="I57" s="156">
        <f t="shared" si="12"/>
        <v>0</v>
      </c>
      <c r="J57" s="156"/>
      <c r="K57" s="334"/>
      <c r="L57" s="158">
        <f t="shared" si="13"/>
        <v>0</v>
      </c>
      <c r="M57" s="334"/>
      <c r="N57" s="158">
        <f t="shared" si="14"/>
        <v>0</v>
      </c>
      <c r="O57" s="158">
        <f t="shared" si="15"/>
        <v>0</v>
      </c>
      <c r="P57" s="4"/>
    </row>
    <row r="58" spans="2:17">
      <c r="B58" s="9" t="str">
        <f t="shared" si="8"/>
        <v/>
      </c>
      <c r="C58" s="153">
        <f>IF(D11="","-",+C57+1)</f>
        <v>2050</v>
      </c>
      <c r="D58" s="159">
        <f>IF(F57+SUM(E$17:E57)=D$10,F57,D$10-SUM(E$17:E57))</f>
        <v>0</v>
      </c>
      <c r="E58" s="160">
        <f>IF(+I14&lt;F57,I14,D58)</f>
        <v>0</v>
      </c>
      <c r="F58" s="159">
        <f t="shared" si="9"/>
        <v>0</v>
      </c>
      <c r="G58" s="161">
        <f t="shared" si="10"/>
        <v>0</v>
      </c>
      <c r="H58" s="142">
        <f t="shared" si="11"/>
        <v>0</v>
      </c>
      <c r="I58" s="156">
        <f t="shared" si="12"/>
        <v>0</v>
      </c>
      <c r="J58" s="156"/>
      <c r="K58" s="334"/>
      <c r="L58" s="158">
        <f t="shared" si="13"/>
        <v>0</v>
      </c>
      <c r="M58" s="334"/>
      <c r="N58" s="158">
        <f t="shared" si="14"/>
        <v>0</v>
      </c>
      <c r="O58" s="158">
        <f t="shared" si="15"/>
        <v>0</v>
      </c>
      <c r="P58" s="4"/>
      <c r="Q58" t="str">
        <f>IF(ROUND(Q57,0)=ROUND(SUM(Q18:Q56),0),"","Error -- check allocations above).")</f>
        <v/>
      </c>
    </row>
    <row r="59" spans="2:17">
      <c r="B59" s="9" t="str">
        <f t="shared" si="8"/>
        <v/>
      </c>
      <c r="C59" s="153">
        <f>IF(D11="","-",+C58+1)</f>
        <v>2051</v>
      </c>
      <c r="D59" s="159">
        <f>IF(F58+SUM(E$17:E58)=D$10,F58,D$10-SUM(E$17:E58))</f>
        <v>0</v>
      </c>
      <c r="E59" s="160">
        <f>IF(+I14&lt;F58,I14,D59)</f>
        <v>0</v>
      </c>
      <c r="F59" s="159">
        <f t="shared" si="9"/>
        <v>0</v>
      </c>
      <c r="G59" s="161">
        <f t="shared" si="10"/>
        <v>0</v>
      </c>
      <c r="H59" s="142">
        <f t="shared" si="11"/>
        <v>0</v>
      </c>
      <c r="I59" s="156">
        <f t="shared" si="12"/>
        <v>0</v>
      </c>
      <c r="J59" s="156"/>
      <c r="K59" s="334"/>
      <c r="L59" s="158">
        <f t="shared" si="13"/>
        <v>0</v>
      </c>
      <c r="M59" s="334"/>
      <c r="N59" s="158">
        <f t="shared" si="14"/>
        <v>0</v>
      </c>
      <c r="O59" s="158">
        <f t="shared" si="15"/>
        <v>0</v>
      </c>
      <c r="P59" s="4"/>
    </row>
    <row r="60" spans="2:17">
      <c r="B60" s="9" t="str">
        <f t="shared" si="8"/>
        <v/>
      </c>
      <c r="C60" s="153">
        <f>IF(D11="","-",+C59+1)</f>
        <v>2052</v>
      </c>
      <c r="D60" s="159">
        <f>IF(F59+SUM(E$17:E59)=D$10,F59,D$10-SUM(E$17:E59))</f>
        <v>0</v>
      </c>
      <c r="E60" s="160">
        <f>IF(+I14&lt;F59,I14,D60)</f>
        <v>0</v>
      </c>
      <c r="F60" s="159">
        <f t="shared" si="9"/>
        <v>0</v>
      </c>
      <c r="G60" s="161">
        <f t="shared" si="10"/>
        <v>0</v>
      </c>
      <c r="H60" s="142">
        <f t="shared" si="11"/>
        <v>0</v>
      </c>
      <c r="I60" s="156">
        <f t="shared" si="12"/>
        <v>0</v>
      </c>
      <c r="J60" s="156"/>
      <c r="K60" s="334"/>
      <c r="L60" s="158">
        <f t="shared" si="13"/>
        <v>0</v>
      </c>
      <c r="M60" s="334"/>
      <c r="N60" s="158">
        <f t="shared" si="14"/>
        <v>0</v>
      </c>
      <c r="O60" s="158">
        <f t="shared" si="15"/>
        <v>0</v>
      </c>
      <c r="P60" s="4"/>
    </row>
    <row r="61" spans="2:17">
      <c r="B61" s="9" t="str">
        <f t="shared" si="8"/>
        <v/>
      </c>
      <c r="C61" s="153">
        <f>IF(D11="","-",+C60+1)</f>
        <v>2053</v>
      </c>
      <c r="D61" s="159">
        <f>IF(F60+SUM(E$17:E60)=D$10,F60,D$10-SUM(E$17:E60))</f>
        <v>0</v>
      </c>
      <c r="E61" s="160">
        <f>IF(+I14&lt;F60,I14,D61)</f>
        <v>0</v>
      </c>
      <c r="F61" s="159">
        <f t="shared" si="9"/>
        <v>0</v>
      </c>
      <c r="G61" s="163">
        <f t="shared" si="10"/>
        <v>0</v>
      </c>
      <c r="H61" s="142">
        <f t="shared" si="11"/>
        <v>0</v>
      </c>
      <c r="I61" s="156">
        <f t="shared" si="12"/>
        <v>0</v>
      </c>
      <c r="J61" s="156"/>
      <c r="K61" s="334"/>
      <c r="L61" s="158">
        <f t="shared" si="13"/>
        <v>0</v>
      </c>
      <c r="M61" s="334"/>
      <c r="N61" s="158">
        <f t="shared" si="14"/>
        <v>0</v>
      </c>
      <c r="O61" s="158">
        <f t="shared" si="15"/>
        <v>0</v>
      </c>
      <c r="P61" s="4"/>
    </row>
    <row r="62" spans="2:17">
      <c r="B62" s="9" t="str">
        <f t="shared" si="8"/>
        <v/>
      </c>
      <c r="C62" s="153">
        <f>IF(D11="","-",+C61+1)</f>
        <v>2054</v>
      </c>
      <c r="D62" s="159">
        <f>IF(F61+SUM(E$17:E61)=D$10,F61,D$10-SUM(E$17:E61))</f>
        <v>0</v>
      </c>
      <c r="E62" s="160">
        <f>IF(+I14&lt;F61,I14,D62)</f>
        <v>0</v>
      </c>
      <c r="F62" s="159">
        <f t="shared" si="9"/>
        <v>0</v>
      </c>
      <c r="G62" s="163">
        <f t="shared" si="10"/>
        <v>0</v>
      </c>
      <c r="H62" s="142">
        <f t="shared" si="11"/>
        <v>0</v>
      </c>
      <c r="I62" s="156">
        <f t="shared" si="12"/>
        <v>0</v>
      </c>
      <c r="J62" s="156"/>
      <c r="K62" s="334"/>
      <c r="L62" s="158">
        <f t="shared" si="13"/>
        <v>0</v>
      </c>
      <c r="M62" s="334"/>
      <c r="N62" s="158">
        <f t="shared" si="14"/>
        <v>0</v>
      </c>
      <c r="O62" s="158">
        <f t="shared" si="15"/>
        <v>0</v>
      </c>
      <c r="P62" s="4"/>
    </row>
    <row r="63" spans="2:17">
      <c r="B63" s="9" t="str">
        <f t="shared" si="8"/>
        <v/>
      </c>
      <c r="C63" s="153">
        <f>IF(D11="","-",+C62+1)</f>
        <v>2055</v>
      </c>
      <c r="D63" s="159">
        <f>IF(F62+SUM(E$17:E62)=D$10,F62,D$10-SUM(E$17:E62))</f>
        <v>0</v>
      </c>
      <c r="E63" s="160">
        <f>IF(+I14&lt;F62,I14,D63)</f>
        <v>0</v>
      </c>
      <c r="F63" s="159">
        <f t="shared" si="9"/>
        <v>0</v>
      </c>
      <c r="G63" s="163">
        <f t="shared" si="10"/>
        <v>0</v>
      </c>
      <c r="H63" s="142">
        <f t="shared" si="11"/>
        <v>0</v>
      </c>
      <c r="I63" s="156">
        <f t="shared" si="12"/>
        <v>0</v>
      </c>
      <c r="J63" s="156"/>
      <c r="K63" s="334"/>
      <c r="L63" s="158">
        <f t="shared" si="13"/>
        <v>0</v>
      </c>
      <c r="M63" s="334"/>
      <c r="N63" s="158">
        <f t="shared" si="14"/>
        <v>0</v>
      </c>
      <c r="O63" s="158">
        <f t="shared" si="15"/>
        <v>0</v>
      </c>
      <c r="P63" s="4"/>
    </row>
    <row r="64" spans="2:17">
      <c r="B64" s="9" t="str">
        <f t="shared" si="8"/>
        <v/>
      </c>
      <c r="C64" s="153">
        <f>IF(D11="","-",+C63+1)</f>
        <v>2056</v>
      </c>
      <c r="D64" s="159">
        <f>IF(F63+SUM(E$17:E63)=D$10,F63,D$10-SUM(E$17:E63))</f>
        <v>0</v>
      </c>
      <c r="E64" s="160">
        <f>IF(+I14&lt;F63,I14,D64)</f>
        <v>0</v>
      </c>
      <c r="F64" s="159">
        <f t="shared" si="9"/>
        <v>0</v>
      </c>
      <c r="G64" s="163">
        <f t="shared" si="10"/>
        <v>0</v>
      </c>
      <c r="H64" s="142">
        <f t="shared" si="11"/>
        <v>0</v>
      </c>
      <c r="I64" s="156">
        <f t="shared" si="12"/>
        <v>0</v>
      </c>
      <c r="J64" s="156"/>
      <c r="K64" s="334"/>
      <c r="L64" s="158">
        <f t="shared" si="13"/>
        <v>0</v>
      </c>
      <c r="M64" s="334"/>
      <c r="N64" s="158">
        <f t="shared" si="14"/>
        <v>0</v>
      </c>
      <c r="O64" s="158">
        <f t="shared" si="15"/>
        <v>0</v>
      </c>
      <c r="P64" s="4"/>
    </row>
    <row r="65" spans="1:16">
      <c r="B65" s="9" t="str">
        <f t="shared" si="8"/>
        <v/>
      </c>
      <c r="C65" s="153">
        <f>IF(D11="","-",+C64+1)</f>
        <v>2057</v>
      </c>
      <c r="D65" s="159">
        <f>IF(F64+SUM(E$17:E64)=D$10,F64,D$10-SUM(E$17:E64))</f>
        <v>0</v>
      </c>
      <c r="E65" s="160">
        <f>IF(+I14&lt;F64,I14,D65)</f>
        <v>0</v>
      </c>
      <c r="F65" s="159">
        <f t="shared" si="9"/>
        <v>0</v>
      </c>
      <c r="G65" s="163">
        <f t="shared" si="10"/>
        <v>0</v>
      </c>
      <c r="H65" s="142">
        <f t="shared" si="11"/>
        <v>0</v>
      </c>
      <c r="I65" s="156">
        <f t="shared" si="12"/>
        <v>0</v>
      </c>
      <c r="J65" s="156"/>
      <c r="K65" s="334"/>
      <c r="L65" s="158">
        <f t="shared" si="13"/>
        <v>0</v>
      </c>
      <c r="M65" s="334"/>
      <c r="N65" s="158">
        <f t="shared" si="14"/>
        <v>0</v>
      </c>
      <c r="O65" s="158">
        <f t="shared" si="15"/>
        <v>0</v>
      </c>
      <c r="P65" s="4"/>
    </row>
    <row r="66" spans="1:16">
      <c r="B66" s="9" t="str">
        <f t="shared" si="8"/>
        <v/>
      </c>
      <c r="C66" s="153">
        <f>IF(D11="","-",+C65+1)</f>
        <v>2058</v>
      </c>
      <c r="D66" s="159">
        <f>IF(F65+SUM(E$17:E65)=D$10,F65,D$10-SUM(E$17:E65))</f>
        <v>0</v>
      </c>
      <c r="E66" s="160">
        <f>IF(+I14&lt;F65,I14,D66)</f>
        <v>0</v>
      </c>
      <c r="F66" s="159">
        <f t="shared" si="9"/>
        <v>0</v>
      </c>
      <c r="G66" s="163">
        <f t="shared" si="10"/>
        <v>0</v>
      </c>
      <c r="H66" s="142">
        <f t="shared" si="11"/>
        <v>0</v>
      </c>
      <c r="I66" s="156">
        <f t="shared" si="12"/>
        <v>0</v>
      </c>
      <c r="J66" s="156"/>
      <c r="K66" s="334"/>
      <c r="L66" s="158">
        <f t="shared" si="13"/>
        <v>0</v>
      </c>
      <c r="M66" s="334"/>
      <c r="N66" s="158">
        <f t="shared" si="14"/>
        <v>0</v>
      </c>
      <c r="O66" s="158">
        <f t="shared" si="15"/>
        <v>0</v>
      </c>
      <c r="P66" s="4"/>
    </row>
    <row r="67" spans="1:16">
      <c r="B67" s="9" t="str">
        <f t="shared" si="8"/>
        <v/>
      </c>
      <c r="C67" s="153">
        <f>IF(D11="","-",+C66+1)</f>
        <v>2059</v>
      </c>
      <c r="D67" s="159">
        <f>IF(F66+SUM(E$17:E66)=D$10,F66,D$10-SUM(E$17:E66))</f>
        <v>0</v>
      </c>
      <c r="E67" s="160">
        <f>IF(+I14&lt;F66,I14,D67)</f>
        <v>0</v>
      </c>
      <c r="F67" s="159">
        <f t="shared" si="9"/>
        <v>0</v>
      </c>
      <c r="G67" s="163">
        <f t="shared" si="10"/>
        <v>0</v>
      </c>
      <c r="H67" s="142">
        <f t="shared" si="11"/>
        <v>0</v>
      </c>
      <c r="I67" s="156">
        <f t="shared" si="12"/>
        <v>0</v>
      </c>
      <c r="J67" s="156"/>
      <c r="K67" s="334"/>
      <c r="L67" s="158">
        <f t="shared" si="13"/>
        <v>0</v>
      </c>
      <c r="M67" s="334"/>
      <c r="N67" s="158">
        <f t="shared" si="14"/>
        <v>0</v>
      </c>
      <c r="O67" s="158">
        <f t="shared" si="15"/>
        <v>0</v>
      </c>
      <c r="P67" s="4"/>
    </row>
    <row r="68" spans="1:16">
      <c r="B68" s="9" t="str">
        <f t="shared" si="8"/>
        <v/>
      </c>
      <c r="C68" s="153">
        <f>IF(D11="","-",+C67+1)</f>
        <v>2060</v>
      </c>
      <c r="D68" s="159">
        <f>IF(F67+SUM(E$17:E67)=D$10,F67,D$10-SUM(E$17:E67))</f>
        <v>0</v>
      </c>
      <c r="E68" s="160">
        <f>IF(+I14&lt;F67,I14,D68)</f>
        <v>0</v>
      </c>
      <c r="F68" s="159">
        <f t="shared" si="9"/>
        <v>0</v>
      </c>
      <c r="G68" s="163">
        <f t="shared" si="10"/>
        <v>0</v>
      </c>
      <c r="H68" s="142">
        <f t="shared" si="11"/>
        <v>0</v>
      </c>
      <c r="I68" s="156">
        <f t="shared" si="12"/>
        <v>0</v>
      </c>
      <c r="J68" s="156"/>
      <c r="K68" s="334"/>
      <c r="L68" s="158">
        <f t="shared" si="13"/>
        <v>0</v>
      </c>
      <c r="M68" s="334"/>
      <c r="N68" s="158">
        <f t="shared" si="14"/>
        <v>0</v>
      </c>
      <c r="O68" s="158">
        <f t="shared" si="15"/>
        <v>0</v>
      </c>
      <c r="P68" s="4"/>
    </row>
    <row r="69" spans="1:16">
      <c r="B69" s="9" t="str">
        <f t="shared" si="8"/>
        <v/>
      </c>
      <c r="C69" s="153">
        <f>IF(D11="","-",+C68+1)</f>
        <v>2061</v>
      </c>
      <c r="D69" s="159">
        <f>IF(F68+SUM(E$17:E68)=D$10,F68,D$10-SUM(E$17:E68))</f>
        <v>0</v>
      </c>
      <c r="E69" s="160">
        <f>IF(+I14&lt;F68,I14,D69)</f>
        <v>0</v>
      </c>
      <c r="F69" s="159">
        <f t="shared" si="9"/>
        <v>0</v>
      </c>
      <c r="G69" s="163">
        <f t="shared" si="10"/>
        <v>0</v>
      </c>
      <c r="H69" s="142">
        <f t="shared" si="11"/>
        <v>0</v>
      </c>
      <c r="I69" s="156">
        <f t="shared" si="12"/>
        <v>0</v>
      </c>
      <c r="J69" s="156"/>
      <c r="K69" s="334"/>
      <c r="L69" s="158">
        <f t="shared" si="13"/>
        <v>0</v>
      </c>
      <c r="M69" s="334"/>
      <c r="N69" s="158">
        <f t="shared" si="14"/>
        <v>0</v>
      </c>
      <c r="O69" s="158">
        <f t="shared" si="15"/>
        <v>0</v>
      </c>
      <c r="P69" s="4"/>
    </row>
    <row r="70" spans="1:16">
      <c r="B70" s="9" t="str">
        <f t="shared" si="8"/>
        <v/>
      </c>
      <c r="C70" s="153">
        <f>IF(D11="","-",+C69+1)</f>
        <v>2062</v>
      </c>
      <c r="D70" s="159">
        <f>IF(F69+SUM(E$17:E69)=D$10,F69,D$10-SUM(E$17:E69))</f>
        <v>0</v>
      </c>
      <c r="E70" s="160">
        <f>IF(+I14&lt;F69,I14,D70)</f>
        <v>0</v>
      </c>
      <c r="F70" s="159">
        <f t="shared" si="9"/>
        <v>0</v>
      </c>
      <c r="G70" s="163">
        <f t="shared" si="10"/>
        <v>0</v>
      </c>
      <c r="H70" s="142">
        <f t="shared" si="11"/>
        <v>0</v>
      </c>
      <c r="I70" s="156">
        <f t="shared" si="12"/>
        <v>0</v>
      </c>
      <c r="J70" s="156"/>
      <c r="K70" s="334"/>
      <c r="L70" s="158">
        <f t="shared" si="13"/>
        <v>0</v>
      </c>
      <c r="M70" s="334"/>
      <c r="N70" s="158">
        <f t="shared" si="14"/>
        <v>0</v>
      </c>
      <c r="O70" s="158">
        <f t="shared" si="15"/>
        <v>0</v>
      </c>
      <c r="P70" s="4"/>
    </row>
    <row r="71" spans="1:16">
      <c r="B71" s="9" t="str">
        <f t="shared" si="8"/>
        <v/>
      </c>
      <c r="C71" s="153">
        <f>IF(D11="","-",+C70+1)</f>
        <v>2063</v>
      </c>
      <c r="D71" s="159">
        <f>IF(F70+SUM(E$17:E70)=D$10,F70,D$10-SUM(E$17:E70))</f>
        <v>0</v>
      </c>
      <c r="E71" s="160">
        <f>IF(+I14&lt;F70,I14,D71)</f>
        <v>0</v>
      </c>
      <c r="F71" s="159">
        <f t="shared" si="9"/>
        <v>0</v>
      </c>
      <c r="G71" s="163">
        <f t="shared" si="10"/>
        <v>0</v>
      </c>
      <c r="H71" s="142">
        <f t="shared" si="11"/>
        <v>0</v>
      </c>
      <c r="I71" s="156">
        <f t="shared" si="12"/>
        <v>0</v>
      </c>
      <c r="J71" s="156"/>
      <c r="K71" s="334"/>
      <c r="L71" s="158">
        <f t="shared" si="13"/>
        <v>0</v>
      </c>
      <c r="M71" s="334"/>
      <c r="N71" s="158">
        <f t="shared" si="14"/>
        <v>0</v>
      </c>
      <c r="O71" s="158">
        <f t="shared" si="15"/>
        <v>0</v>
      </c>
      <c r="P71" s="4"/>
    </row>
    <row r="72" spans="1:16" ht="13.5" thickBot="1">
      <c r="B72" s="9" t="str">
        <f t="shared" si="8"/>
        <v/>
      </c>
      <c r="C72" s="164">
        <f>IF(D11="","-",+C71+1)</f>
        <v>2064</v>
      </c>
      <c r="D72" s="165">
        <f>IF(F71+SUM(E$17:E71)=D$10,F71,D$10-SUM(E$17:E71))</f>
        <v>0</v>
      </c>
      <c r="E72" s="166">
        <f>IF(+I14&lt;F71,I14,D72)</f>
        <v>0</v>
      </c>
      <c r="F72" s="165">
        <f t="shared" si="9"/>
        <v>0</v>
      </c>
      <c r="G72" s="167">
        <f t="shared" si="10"/>
        <v>0</v>
      </c>
      <c r="H72" s="124">
        <f t="shared" si="11"/>
        <v>0</v>
      </c>
      <c r="I72" s="168">
        <f t="shared" si="12"/>
        <v>0</v>
      </c>
      <c r="J72" s="156"/>
      <c r="K72" s="335"/>
      <c r="L72" s="169">
        <f t="shared" si="13"/>
        <v>0</v>
      </c>
      <c r="M72" s="335"/>
      <c r="N72" s="169">
        <f t="shared" si="14"/>
        <v>0</v>
      </c>
      <c r="O72" s="169">
        <f t="shared" si="15"/>
        <v>0</v>
      </c>
      <c r="P72" s="4"/>
    </row>
    <row r="73" spans="1:16">
      <c r="C73" s="154" t="s">
        <v>73</v>
      </c>
      <c r="D73" s="111"/>
      <c r="E73" s="111">
        <f>SUM(E17:E72)</f>
        <v>0</v>
      </c>
      <c r="F73" s="111"/>
      <c r="G73" s="111">
        <f>SUM(G17:G72)</f>
        <v>0</v>
      </c>
      <c r="H73" s="111">
        <f>SUM(H17:H72)</f>
        <v>0</v>
      </c>
      <c r="I73" s="111">
        <f>SUM(I17:I72)</f>
        <v>0</v>
      </c>
      <c r="J73" s="111"/>
      <c r="K73" s="111"/>
      <c r="L73" s="111"/>
      <c r="M73" s="111"/>
      <c r="N73" s="111"/>
      <c r="O73" s="4"/>
      <c r="P73" s="4"/>
    </row>
    <row r="74" spans="1:16">
      <c r="D74" s="2"/>
      <c r="E74" s="1"/>
      <c r="F74" s="1"/>
      <c r="G74" s="1"/>
      <c r="H74" s="3"/>
      <c r="I74" s="3"/>
      <c r="J74" s="111"/>
      <c r="K74" s="3"/>
      <c r="L74" s="3"/>
      <c r="M74" s="3"/>
      <c r="N74" s="3"/>
      <c r="O74" s="1"/>
      <c r="P74" s="1"/>
    </row>
    <row r="75" spans="1:16">
      <c r="C75" s="170" t="s">
        <v>91</v>
      </c>
      <c r="D75" s="2"/>
      <c r="E75" s="1"/>
      <c r="F75" s="1"/>
      <c r="G75" s="1"/>
      <c r="H75" s="3"/>
      <c r="I75" s="3"/>
      <c r="J75" s="111"/>
      <c r="K75" s="3"/>
      <c r="L75" s="3"/>
      <c r="M75" s="3"/>
      <c r="N75" s="3"/>
      <c r="O75" s="1"/>
      <c r="P75" s="1"/>
    </row>
    <row r="76" spans="1:16">
      <c r="C76" s="121" t="s">
        <v>74</v>
      </c>
      <c r="D76" s="2"/>
      <c r="E76" s="1"/>
      <c r="F76" s="1"/>
      <c r="G76" s="1"/>
      <c r="H76" s="3"/>
      <c r="I76" s="3"/>
      <c r="J76" s="111"/>
      <c r="K76" s="3"/>
      <c r="L76" s="3"/>
      <c r="M76" s="3"/>
      <c r="N76" s="3"/>
      <c r="O76" s="4"/>
      <c r="P76" s="4"/>
    </row>
    <row r="77" spans="1:16" ht="18">
      <c r="C77" s="121" t="s">
        <v>75</v>
      </c>
      <c r="D77" s="154"/>
      <c r="E77" s="154"/>
      <c r="F77" s="154"/>
      <c r="G77" s="111"/>
      <c r="H77" s="111"/>
      <c r="I77" s="171"/>
      <c r="J77" s="171"/>
      <c r="K77" s="171"/>
      <c r="L77" s="171"/>
      <c r="M77" s="171"/>
      <c r="N77" s="171"/>
      <c r="O77" s="110"/>
      <c r="P77" s="4"/>
    </row>
    <row r="78" spans="1:16">
      <c r="C78" s="121"/>
      <c r="D78" s="154"/>
      <c r="E78" s="154"/>
      <c r="F78" s="154"/>
      <c r="G78" s="111"/>
      <c r="H78" s="111"/>
      <c r="I78" s="171"/>
      <c r="J78" s="171"/>
      <c r="K78" s="171"/>
      <c r="L78" s="171"/>
      <c r="M78" s="171"/>
      <c r="N78" s="171"/>
      <c r="O78" s="4"/>
      <c r="P78" s="1"/>
    </row>
    <row r="79" spans="1:16" ht="15">
      <c r="A79" s="241"/>
      <c r="B79" s="1"/>
      <c r="C79" s="21"/>
      <c r="D79" s="2"/>
      <c r="E79" s="1"/>
      <c r="F79" s="107"/>
      <c r="G79" s="1"/>
      <c r="H79" s="3"/>
      <c r="I79" s="1"/>
      <c r="J79" s="4"/>
      <c r="K79" s="1"/>
      <c r="L79" s="1"/>
      <c r="M79" s="1"/>
      <c r="N79" s="1"/>
    </row>
    <row r="80" spans="1:16" ht="18">
      <c r="B80" s="1"/>
      <c r="C80" s="242"/>
      <c r="D80" s="2"/>
      <c r="E80" s="1"/>
      <c r="F80" s="107"/>
      <c r="G80" s="1"/>
      <c r="H80" s="3"/>
      <c r="I80" s="1"/>
      <c r="J80" s="4"/>
      <c r="K80" s="1"/>
      <c r="L80" s="1"/>
      <c r="M80" s="1"/>
      <c r="N80" s="1"/>
      <c r="P80" s="244" t="s">
        <v>125</v>
      </c>
    </row>
    <row r="81" spans="1:17">
      <c r="B81" s="1"/>
      <c r="C81" s="242"/>
      <c r="D81" s="2"/>
      <c r="E81" s="1"/>
      <c r="F81" s="107"/>
      <c r="G81" s="1"/>
      <c r="H81" s="3"/>
      <c r="I81" s="1"/>
      <c r="J81" s="4"/>
      <c r="K81" s="1"/>
      <c r="L81" s="1"/>
      <c r="M81" s="1"/>
      <c r="N81" s="1"/>
      <c r="O81" s="1"/>
      <c r="P81" s="1"/>
    </row>
    <row r="82" spans="1:17">
      <c r="B82" s="1"/>
      <c r="C82" s="21"/>
      <c r="D82" s="2"/>
      <c r="E82" s="1"/>
      <c r="F82" s="107"/>
      <c r="G82" s="1"/>
      <c r="H82" s="3"/>
      <c r="I82" s="1"/>
      <c r="J82" s="4"/>
      <c r="K82" s="1"/>
      <c r="L82" s="1"/>
      <c r="M82" s="1"/>
      <c r="N82" s="1"/>
      <c r="O82" s="1"/>
      <c r="P82" s="1"/>
      <c r="Q82" s="1"/>
    </row>
    <row r="83" spans="1:17" ht="20.25">
      <c r="A83" s="243" t="s">
        <v>129</v>
      </c>
      <c r="B83" s="1"/>
      <c r="C83" s="21"/>
      <c r="D83" s="2"/>
      <c r="E83" s="1"/>
      <c r="F83" s="99"/>
      <c r="G83" s="99"/>
      <c r="H83" s="1"/>
      <c r="I83" s="3"/>
      <c r="K83" s="7"/>
      <c r="L83" s="109"/>
      <c r="M83" s="109"/>
      <c r="P83" s="110" t="str">
        <f ca="1">P1</f>
        <v>SWEPCO Project 18 of 73</v>
      </c>
      <c r="Q83" s="1"/>
    </row>
    <row r="84" spans="1:17" ht="18">
      <c r="B84" s="1"/>
      <c r="C84" s="1"/>
      <c r="D84" s="2"/>
      <c r="E84" s="1"/>
      <c r="F84" s="1"/>
      <c r="G84" s="1"/>
      <c r="H84" s="1"/>
      <c r="I84" s="3"/>
      <c r="J84" s="1"/>
      <c r="K84" s="4"/>
      <c r="L84" s="1"/>
      <c r="M84" s="1"/>
      <c r="P84" s="237" t="s">
        <v>123</v>
      </c>
      <c r="Q84" s="1"/>
    </row>
    <row r="85" spans="1:17" ht="18.75" thickBot="1">
      <c r="B85" s="5" t="s">
        <v>40</v>
      </c>
      <c r="C85" s="197" t="s">
        <v>78</v>
      </c>
      <c r="D85" s="2"/>
      <c r="E85" s="1"/>
      <c r="F85" s="1"/>
      <c r="G85" s="1"/>
      <c r="H85" s="1"/>
      <c r="I85" s="3"/>
      <c r="J85" s="3"/>
      <c r="K85" s="111"/>
      <c r="L85" s="3"/>
      <c r="M85" s="3"/>
      <c r="N85" s="3"/>
      <c r="O85" s="111"/>
      <c r="P85" s="1"/>
      <c r="Q85" s="1"/>
    </row>
    <row r="86" spans="1:17" ht="15.75" thickBot="1">
      <c r="C86" s="67"/>
      <c r="D86" s="2"/>
      <c r="E86" s="1"/>
      <c r="F86" s="1"/>
      <c r="G86" s="1"/>
      <c r="H86" s="1"/>
      <c r="I86" s="3"/>
      <c r="J86" s="3"/>
      <c r="K86" s="111"/>
      <c r="L86" s="265">
        <f>+J92</f>
        <v>2017</v>
      </c>
      <c r="M86" s="266" t="s">
        <v>7</v>
      </c>
      <c r="N86" s="270" t="s">
        <v>154</v>
      </c>
      <c r="O86" s="267" t="s">
        <v>9</v>
      </c>
      <c r="P86" s="1"/>
      <c r="Q86" s="1"/>
    </row>
    <row r="87" spans="1:17" ht="15">
      <c r="C87" s="235" t="s">
        <v>42</v>
      </c>
      <c r="D87" s="2"/>
      <c r="E87" s="1"/>
      <c r="F87" s="1"/>
      <c r="G87" s="1"/>
      <c r="H87" s="113"/>
      <c r="I87" s="1" t="s">
        <v>43</v>
      </c>
      <c r="J87" s="1"/>
      <c r="K87" s="261"/>
      <c r="L87" s="259" t="s">
        <v>381</v>
      </c>
      <c r="M87" s="198">
        <f>IF(J92&lt;D11,0,VLOOKUP(J92,C17:O72,9))</f>
        <v>0</v>
      </c>
      <c r="N87" s="198">
        <f>IF(J92&lt;D11,0,VLOOKUP(J92,C17:O72,11))</f>
        <v>0</v>
      </c>
      <c r="O87" s="199">
        <f>+N87-M87</f>
        <v>0</v>
      </c>
      <c r="P87" s="1"/>
      <c r="Q87" s="1"/>
    </row>
    <row r="88" spans="1:17" ht="15.75">
      <c r="C88" s="8"/>
      <c r="D88" s="2"/>
      <c r="E88" s="1"/>
      <c r="F88" s="1"/>
      <c r="G88" s="1"/>
      <c r="H88" s="1"/>
      <c r="I88" s="117"/>
      <c r="J88" s="117"/>
      <c r="K88" s="263"/>
      <c r="L88" s="264" t="s">
        <v>382</v>
      </c>
      <c r="M88" s="200">
        <f>IF(J92&lt;D11,0,VLOOKUP(J92,C99:P154,6))</f>
        <v>0</v>
      </c>
      <c r="N88" s="200">
        <f>IF(J92&lt;D11,0,VLOOKUP(J92,C99:P154,7))</f>
        <v>0</v>
      </c>
      <c r="O88" s="201">
        <f>+N88-M88</f>
        <v>0</v>
      </c>
      <c r="P88" s="1"/>
      <c r="Q88" s="1"/>
    </row>
    <row r="89" spans="1:17" ht="13.5" thickBot="1">
      <c r="C89" s="121" t="s">
        <v>79</v>
      </c>
      <c r="D89" s="246" t="str">
        <f>+D7</f>
        <v>Port Robson (SW 138 kV Loop -- 2008)</v>
      </c>
      <c r="E89" s="1"/>
      <c r="F89" s="1"/>
      <c r="G89" s="1"/>
      <c r="H89" s="1"/>
      <c r="I89" s="3"/>
      <c r="J89" s="3"/>
      <c r="K89" s="262"/>
      <c r="L89" s="260" t="s">
        <v>151</v>
      </c>
      <c r="M89" s="203">
        <f>+M88-M87</f>
        <v>0</v>
      </c>
      <c r="N89" s="203">
        <f>+N88-N87</f>
        <v>0</v>
      </c>
      <c r="O89" s="204">
        <f>+O88-O87</f>
        <v>0</v>
      </c>
      <c r="P89" s="1"/>
      <c r="Q89" s="1"/>
    </row>
    <row r="90" spans="1:17" ht="13.5" thickBot="1">
      <c r="C90" s="170"/>
      <c r="D90" s="173" t="str">
        <f>D8</f>
        <v>DOES NOT MEET SPP $100,000 MINIMUM INVESTMENT FOR REGIONAL BPU SHARING.</v>
      </c>
      <c r="E90" s="107"/>
      <c r="F90" s="107"/>
      <c r="G90" s="107"/>
      <c r="H90" s="126"/>
      <c r="I90" s="3"/>
      <c r="J90" s="3"/>
      <c r="K90" s="111"/>
      <c r="L90" s="3"/>
      <c r="M90" s="3"/>
      <c r="N90" s="3"/>
      <c r="O90" s="111"/>
      <c r="P90" s="1"/>
      <c r="Q90" s="1"/>
    </row>
    <row r="91" spans="1:17" ht="13.5" thickBot="1">
      <c r="A91" s="103"/>
      <c r="C91" s="205" t="s">
        <v>80</v>
      </c>
      <c r="D91" s="224" t="str">
        <f>+D9</f>
        <v>TP2007165</v>
      </c>
      <c r="E91" s="206"/>
      <c r="F91" s="206"/>
      <c r="G91" s="206"/>
      <c r="H91" s="206"/>
      <c r="I91" s="206"/>
      <c r="J91" s="238"/>
      <c r="K91" s="207"/>
      <c r="P91" s="131"/>
      <c r="Q91" s="1"/>
    </row>
    <row r="92" spans="1:17">
      <c r="C92" s="136" t="s">
        <v>47</v>
      </c>
      <c r="D92" s="218">
        <f>IF(D11=I10,0,D10)</f>
        <v>0</v>
      </c>
      <c r="E92" s="21" t="s">
        <v>81</v>
      </c>
      <c r="H92" s="134"/>
      <c r="I92" s="134"/>
      <c r="J92" s="135">
        <f>+'SWE.WS.G.BPU.ATRR.True-up'!M15</f>
        <v>2017</v>
      </c>
      <c r="K92" s="130"/>
      <c r="L92" s="111" t="s">
        <v>82</v>
      </c>
      <c r="P92" s="4"/>
      <c r="Q92" s="1"/>
    </row>
    <row r="93" spans="1:17">
      <c r="C93" s="136" t="s">
        <v>49</v>
      </c>
      <c r="D93" s="219">
        <f>IF(D11=I10,"",D11)</f>
        <v>2009</v>
      </c>
      <c r="E93" s="136" t="s">
        <v>50</v>
      </c>
      <c r="F93" s="134"/>
      <c r="G93" s="134"/>
      <c r="J93" s="138">
        <f>IF(H87="",0,'SWE.WS.G.BPU.ATRR.True-up'!$F$12)</f>
        <v>0</v>
      </c>
      <c r="K93" s="139"/>
      <c r="L93" t="str">
        <f>"          INPUT TRUE-UP ARR (WITH &amp; WITHOUT INCENTIVES) FROM EACH PRIOR YEAR"</f>
        <v xml:space="preserve">          INPUT TRUE-UP ARR (WITH &amp; WITHOUT INCENTIVES) FROM EACH PRIOR YEAR</v>
      </c>
      <c r="P93" s="4"/>
      <c r="Q93" s="1"/>
    </row>
    <row r="94" spans="1:17">
      <c r="C94" s="136" t="s">
        <v>51</v>
      </c>
      <c r="D94" s="218">
        <f>IF(D11=I10,"",D12)</f>
        <v>6</v>
      </c>
      <c r="E94" s="136" t="s">
        <v>52</v>
      </c>
      <c r="F94" s="134"/>
      <c r="G94" s="134"/>
      <c r="J94" s="140">
        <f>'SWE.WS.G.BPU.ATRR.True-up'!$F$80</f>
        <v>0.12147145768398206</v>
      </c>
      <c r="K94" s="141"/>
      <c r="L94" t="s">
        <v>83</v>
      </c>
      <c r="P94" s="4"/>
      <c r="Q94" s="1"/>
    </row>
    <row r="95" spans="1:17">
      <c r="C95" s="136" t="s">
        <v>54</v>
      </c>
      <c r="D95" s="138">
        <f>'SWE.WS.G.BPU.ATRR.True-up'!F$92</f>
        <v>42</v>
      </c>
      <c r="E95" s="136" t="s">
        <v>55</v>
      </c>
      <c r="F95" s="134"/>
      <c r="G95" s="134"/>
      <c r="J95" s="140">
        <f>IF(H87="",J94,'SWE.WS.G.BPU.ATRR.True-up'!$F$79)</f>
        <v>0.12147145768398206</v>
      </c>
      <c r="K95" s="58"/>
      <c r="L95" s="111" t="s">
        <v>56</v>
      </c>
      <c r="M95" s="58"/>
      <c r="N95" s="58"/>
      <c r="O95" s="58"/>
      <c r="P95" s="4"/>
      <c r="Q95" s="1"/>
    </row>
    <row r="96" spans="1:17" ht="13.5" thickBot="1">
      <c r="C96" s="136" t="s">
        <v>57</v>
      </c>
      <c r="D96" s="220" t="str">
        <f>+D14</f>
        <v>No</v>
      </c>
      <c r="E96" s="202" t="s">
        <v>59</v>
      </c>
      <c r="F96" s="208"/>
      <c r="G96" s="208"/>
      <c r="H96" s="209"/>
      <c r="I96" s="209"/>
      <c r="J96" s="124">
        <f>IF(D92=0,0,D92/D95)</f>
        <v>0</v>
      </c>
      <c r="K96" s="111"/>
      <c r="L96" s="111"/>
      <c r="M96" s="111"/>
      <c r="N96" s="111"/>
      <c r="O96" s="111"/>
      <c r="P96" s="4"/>
      <c r="Q96" s="1"/>
    </row>
    <row r="97" spans="1:17" ht="38.25">
      <c r="A97" s="6"/>
      <c r="B97" s="6"/>
      <c r="C97" s="210" t="s">
        <v>47</v>
      </c>
      <c r="D97" s="211" t="s">
        <v>60</v>
      </c>
      <c r="E97" s="146" t="s">
        <v>61</v>
      </c>
      <c r="F97" s="146" t="s">
        <v>62</v>
      </c>
      <c r="G97" s="144" t="s">
        <v>84</v>
      </c>
      <c r="H97" s="434" t="s">
        <v>378</v>
      </c>
      <c r="I97" s="435" t="s">
        <v>379</v>
      </c>
      <c r="J97" s="210" t="s">
        <v>85</v>
      </c>
      <c r="K97" s="212"/>
      <c r="L97" s="271" t="s">
        <v>220</v>
      </c>
      <c r="M97" s="146" t="s">
        <v>86</v>
      </c>
      <c r="N97" s="271" t="s">
        <v>220</v>
      </c>
      <c r="O97" s="146" t="s">
        <v>86</v>
      </c>
      <c r="P97" s="146" t="s">
        <v>65</v>
      </c>
      <c r="Q97" s="1"/>
    </row>
    <row r="98" spans="1:17" ht="13.5" thickBot="1">
      <c r="C98" s="147" t="s">
        <v>66</v>
      </c>
      <c r="D98" s="213" t="s">
        <v>67</v>
      </c>
      <c r="E98" s="147" t="s">
        <v>68</v>
      </c>
      <c r="F98" s="147" t="s">
        <v>67</v>
      </c>
      <c r="G98" s="147" t="s">
        <v>67</v>
      </c>
      <c r="H98" s="255" t="s">
        <v>69</v>
      </c>
      <c r="I98" s="148" t="s">
        <v>70</v>
      </c>
      <c r="J98" s="149" t="s">
        <v>89</v>
      </c>
      <c r="K98" s="150"/>
      <c r="L98" s="151" t="s">
        <v>72</v>
      </c>
      <c r="M98" s="151" t="s">
        <v>72</v>
      </c>
      <c r="N98" s="151" t="s">
        <v>90</v>
      </c>
      <c r="O98" s="151" t="s">
        <v>90</v>
      </c>
      <c r="P98" s="151" t="s">
        <v>90</v>
      </c>
      <c r="Q98" s="1"/>
    </row>
    <row r="99" spans="1:17">
      <c r="C99" s="153">
        <f>IF(D93= "","-",D93)</f>
        <v>2009</v>
      </c>
      <c r="D99" s="154">
        <f>IF(D93=C99,0,D92)</f>
        <v>0</v>
      </c>
      <c r="E99" s="161">
        <f>IF(D11=I10,0,J96/12*(12-D94))</f>
        <v>0</v>
      </c>
      <c r="F99" s="159">
        <f>IF(D93=C99,+D92-E99,+D99-E99)</f>
        <v>0</v>
      </c>
      <c r="G99" s="214">
        <f t="shared" ref="G99:G130" si="16">+(F99+D99)/2</f>
        <v>0</v>
      </c>
      <c r="H99" s="251">
        <f t="shared" ref="H99:H112" si="17">+J$94*G99+E99</f>
        <v>0</v>
      </c>
      <c r="I99" s="252">
        <f t="shared" ref="I99:I112" si="18">+J$95*G99+E99</f>
        <v>0</v>
      </c>
      <c r="J99" s="158">
        <f t="shared" ref="J99:J130" si="19">+I99-H99</f>
        <v>0</v>
      </c>
      <c r="K99" s="158"/>
      <c r="L99" s="333"/>
      <c r="M99" s="157">
        <f t="shared" ref="M99:M130" si="20">IF(L99&lt;&gt;0,+H99-L99,0)</f>
        <v>0</v>
      </c>
      <c r="N99" s="333"/>
      <c r="O99" s="157">
        <f t="shared" ref="O99:O130" si="21">IF(N99&lt;&gt;0,+I99-N99,0)</f>
        <v>0</v>
      </c>
      <c r="P99" s="157">
        <f t="shared" ref="P99:P130" si="22">+O99-M99</f>
        <v>0</v>
      </c>
      <c r="Q99" s="1"/>
    </row>
    <row r="100" spans="1:17">
      <c r="B100" s="9" t="str">
        <f>IF(D100=F99,"","IU")</f>
        <v/>
      </c>
      <c r="C100" s="153">
        <f>IF(D93="","-",+C99+1)</f>
        <v>2010</v>
      </c>
      <c r="D100" s="154">
        <f t="shared" ref="D100:D109" si="23">F99</f>
        <v>0</v>
      </c>
      <c r="E100" s="160">
        <f>IF(+J96&lt;F99,J96,D100)</f>
        <v>0</v>
      </c>
      <c r="F100" s="159">
        <f t="shared" ref="F100:F130" si="24">+D100-E100</f>
        <v>0</v>
      </c>
      <c r="G100" s="159">
        <f t="shared" si="16"/>
        <v>0</v>
      </c>
      <c r="H100" s="163">
        <f t="shared" si="17"/>
        <v>0</v>
      </c>
      <c r="I100" s="253">
        <f t="shared" si="18"/>
        <v>0</v>
      </c>
      <c r="J100" s="158">
        <f t="shared" si="19"/>
        <v>0</v>
      </c>
      <c r="K100" s="158"/>
      <c r="L100" s="334"/>
      <c r="M100" s="158">
        <f t="shared" si="20"/>
        <v>0</v>
      </c>
      <c r="N100" s="334"/>
      <c r="O100" s="158">
        <f t="shared" si="21"/>
        <v>0</v>
      </c>
      <c r="P100" s="158">
        <f t="shared" si="22"/>
        <v>0</v>
      </c>
      <c r="Q100" s="1"/>
    </row>
    <row r="101" spans="1:17">
      <c r="B101" s="9" t="str">
        <f t="shared" ref="B101:B154" si="25">IF(D101=F100,"","IU")</f>
        <v/>
      </c>
      <c r="C101" s="153">
        <f>IF(D93="","-",+C100+1)</f>
        <v>2011</v>
      </c>
      <c r="D101" s="154">
        <f t="shared" si="23"/>
        <v>0</v>
      </c>
      <c r="E101" s="160">
        <f>IF(+J96&lt;F100,J96,D101)</f>
        <v>0</v>
      </c>
      <c r="F101" s="159">
        <f t="shared" si="24"/>
        <v>0</v>
      </c>
      <c r="G101" s="159">
        <f t="shared" si="16"/>
        <v>0</v>
      </c>
      <c r="H101" s="163">
        <f t="shared" si="17"/>
        <v>0</v>
      </c>
      <c r="I101" s="253">
        <f t="shared" si="18"/>
        <v>0</v>
      </c>
      <c r="J101" s="158">
        <f t="shared" si="19"/>
        <v>0</v>
      </c>
      <c r="K101" s="158"/>
      <c r="L101" s="334"/>
      <c r="M101" s="158">
        <f t="shared" si="20"/>
        <v>0</v>
      </c>
      <c r="N101" s="334"/>
      <c r="O101" s="158">
        <f t="shared" si="21"/>
        <v>0</v>
      </c>
      <c r="P101" s="158">
        <f t="shared" si="22"/>
        <v>0</v>
      </c>
      <c r="Q101" s="1"/>
    </row>
    <row r="102" spans="1:17">
      <c r="B102" s="9" t="str">
        <f t="shared" si="25"/>
        <v/>
      </c>
      <c r="C102" s="153">
        <f>IF(D93="","-",+C101+1)</f>
        <v>2012</v>
      </c>
      <c r="D102" s="154">
        <f t="shared" si="23"/>
        <v>0</v>
      </c>
      <c r="E102" s="160">
        <f>IF(+J96&lt;F101,J96,D102)</f>
        <v>0</v>
      </c>
      <c r="F102" s="159">
        <f t="shared" si="24"/>
        <v>0</v>
      </c>
      <c r="G102" s="159">
        <f t="shared" si="16"/>
        <v>0</v>
      </c>
      <c r="H102" s="163">
        <f t="shared" si="17"/>
        <v>0</v>
      </c>
      <c r="I102" s="253">
        <f t="shared" si="18"/>
        <v>0</v>
      </c>
      <c r="J102" s="158">
        <f t="shared" si="19"/>
        <v>0</v>
      </c>
      <c r="K102" s="158"/>
      <c r="L102" s="334"/>
      <c r="M102" s="158">
        <f t="shared" si="20"/>
        <v>0</v>
      </c>
      <c r="N102" s="334"/>
      <c r="O102" s="158">
        <f t="shared" si="21"/>
        <v>0</v>
      </c>
      <c r="P102" s="158">
        <f t="shared" si="22"/>
        <v>0</v>
      </c>
      <c r="Q102" s="1"/>
    </row>
    <row r="103" spans="1:17">
      <c r="B103" s="9" t="str">
        <f t="shared" si="25"/>
        <v/>
      </c>
      <c r="C103" s="153">
        <f>IF(D93="","-",+C102+1)</f>
        <v>2013</v>
      </c>
      <c r="D103" s="154">
        <f t="shared" si="23"/>
        <v>0</v>
      </c>
      <c r="E103" s="160">
        <f>IF(+J96&lt;F102,J96,D103)</f>
        <v>0</v>
      </c>
      <c r="F103" s="159">
        <f t="shared" si="24"/>
        <v>0</v>
      </c>
      <c r="G103" s="159">
        <f t="shared" si="16"/>
        <v>0</v>
      </c>
      <c r="H103" s="163">
        <f t="shared" si="17"/>
        <v>0</v>
      </c>
      <c r="I103" s="253">
        <f t="shared" si="18"/>
        <v>0</v>
      </c>
      <c r="J103" s="158">
        <f t="shared" si="19"/>
        <v>0</v>
      </c>
      <c r="K103" s="158"/>
      <c r="L103" s="334"/>
      <c r="M103" s="158">
        <f t="shared" si="20"/>
        <v>0</v>
      </c>
      <c r="N103" s="334"/>
      <c r="O103" s="158">
        <f t="shared" si="21"/>
        <v>0</v>
      </c>
      <c r="P103" s="158">
        <f t="shared" si="22"/>
        <v>0</v>
      </c>
      <c r="Q103" s="1"/>
    </row>
    <row r="104" spans="1:17">
      <c r="B104" s="9" t="str">
        <f t="shared" si="25"/>
        <v/>
      </c>
      <c r="C104" s="153">
        <f>IF(D93="","-",+C103+1)</f>
        <v>2014</v>
      </c>
      <c r="D104" s="154">
        <f t="shared" si="23"/>
        <v>0</v>
      </c>
      <c r="E104" s="160">
        <f>IF(+J96&lt;F103,J96,D104)</f>
        <v>0</v>
      </c>
      <c r="F104" s="159">
        <f t="shared" si="24"/>
        <v>0</v>
      </c>
      <c r="G104" s="159">
        <f t="shared" si="16"/>
        <v>0</v>
      </c>
      <c r="H104" s="163">
        <f t="shared" si="17"/>
        <v>0</v>
      </c>
      <c r="I104" s="253">
        <f t="shared" si="18"/>
        <v>0</v>
      </c>
      <c r="J104" s="158">
        <f t="shared" si="19"/>
        <v>0</v>
      </c>
      <c r="K104" s="158"/>
      <c r="L104" s="334"/>
      <c r="M104" s="158">
        <f t="shared" si="20"/>
        <v>0</v>
      </c>
      <c r="N104" s="334"/>
      <c r="O104" s="158">
        <f t="shared" si="21"/>
        <v>0</v>
      </c>
      <c r="P104" s="158">
        <f t="shared" si="22"/>
        <v>0</v>
      </c>
      <c r="Q104" s="1"/>
    </row>
    <row r="105" spans="1:17">
      <c r="B105" s="9" t="str">
        <f t="shared" si="25"/>
        <v/>
      </c>
      <c r="C105" s="153">
        <f>IF(D93="","-",+C104+1)</f>
        <v>2015</v>
      </c>
      <c r="D105" s="154">
        <f t="shared" si="23"/>
        <v>0</v>
      </c>
      <c r="E105" s="160">
        <f>IF(+J96&lt;F104,J96,D105)</f>
        <v>0</v>
      </c>
      <c r="F105" s="159">
        <f t="shared" si="24"/>
        <v>0</v>
      </c>
      <c r="G105" s="159">
        <f t="shared" si="16"/>
        <v>0</v>
      </c>
      <c r="H105" s="163">
        <f t="shared" si="17"/>
        <v>0</v>
      </c>
      <c r="I105" s="253">
        <f t="shared" si="18"/>
        <v>0</v>
      </c>
      <c r="J105" s="158">
        <f t="shared" si="19"/>
        <v>0</v>
      </c>
      <c r="K105" s="158"/>
      <c r="L105" s="334"/>
      <c r="M105" s="158">
        <f t="shared" si="20"/>
        <v>0</v>
      </c>
      <c r="N105" s="334"/>
      <c r="O105" s="158">
        <f t="shared" si="21"/>
        <v>0</v>
      </c>
      <c r="P105" s="158">
        <f t="shared" si="22"/>
        <v>0</v>
      </c>
      <c r="Q105" s="1"/>
    </row>
    <row r="106" spans="1:17">
      <c r="B106" s="9" t="str">
        <f t="shared" si="25"/>
        <v/>
      </c>
      <c r="C106" s="153">
        <f>IF(D93="","-",+C105+1)</f>
        <v>2016</v>
      </c>
      <c r="D106" s="154">
        <f t="shared" si="23"/>
        <v>0</v>
      </c>
      <c r="E106" s="160">
        <f>IF(+J96&lt;F105,J96,D106)</f>
        <v>0</v>
      </c>
      <c r="F106" s="159">
        <f t="shared" si="24"/>
        <v>0</v>
      </c>
      <c r="G106" s="159">
        <f t="shared" si="16"/>
        <v>0</v>
      </c>
      <c r="H106" s="163">
        <f t="shared" si="17"/>
        <v>0</v>
      </c>
      <c r="I106" s="253">
        <f t="shared" si="18"/>
        <v>0</v>
      </c>
      <c r="J106" s="158">
        <f t="shared" si="19"/>
        <v>0</v>
      </c>
      <c r="K106" s="158"/>
      <c r="L106" s="334"/>
      <c r="M106" s="158">
        <f t="shared" si="20"/>
        <v>0</v>
      </c>
      <c r="N106" s="334"/>
      <c r="O106" s="158">
        <f t="shared" si="21"/>
        <v>0</v>
      </c>
      <c r="P106" s="158">
        <f t="shared" si="22"/>
        <v>0</v>
      </c>
      <c r="Q106" s="1"/>
    </row>
    <row r="107" spans="1:17">
      <c r="B107" s="9" t="str">
        <f t="shared" si="25"/>
        <v/>
      </c>
      <c r="C107" s="153">
        <f>IF(D93="","-",+C106+1)</f>
        <v>2017</v>
      </c>
      <c r="D107" s="154">
        <f t="shared" si="23"/>
        <v>0</v>
      </c>
      <c r="E107" s="160">
        <f>IF(+J96&lt;F106,J96,D107)</f>
        <v>0</v>
      </c>
      <c r="F107" s="159">
        <f t="shared" si="24"/>
        <v>0</v>
      </c>
      <c r="G107" s="159">
        <f t="shared" si="16"/>
        <v>0</v>
      </c>
      <c r="H107" s="163">
        <f t="shared" si="17"/>
        <v>0</v>
      </c>
      <c r="I107" s="253">
        <f t="shared" si="18"/>
        <v>0</v>
      </c>
      <c r="J107" s="158">
        <f t="shared" si="19"/>
        <v>0</v>
      </c>
      <c r="K107" s="158"/>
      <c r="L107" s="334"/>
      <c r="M107" s="158">
        <f t="shared" si="20"/>
        <v>0</v>
      </c>
      <c r="N107" s="334"/>
      <c r="O107" s="158">
        <f t="shared" si="21"/>
        <v>0</v>
      </c>
      <c r="P107" s="158">
        <f t="shared" si="22"/>
        <v>0</v>
      </c>
      <c r="Q107" s="1"/>
    </row>
    <row r="108" spans="1:17">
      <c r="B108" s="9" t="str">
        <f t="shared" si="25"/>
        <v/>
      </c>
      <c r="C108" s="153">
        <f>IF(D93="","-",+C107+1)</f>
        <v>2018</v>
      </c>
      <c r="D108" s="154">
        <f t="shared" si="23"/>
        <v>0</v>
      </c>
      <c r="E108" s="160">
        <f>IF(+J96&lt;F107,J96,D108)</f>
        <v>0</v>
      </c>
      <c r="F108" s="159">
        <f t="shared" si="24"/>
        <v>0</v>
      </c>
      <c r="G108" s="159">
        <f t="shared" si="16"/>
        <v>0</v>
      </c>
      <c r="H108" s="163">
        <f t="shared" si="17"/>
        <v>0</v>
      </c>
      <c r="I108" s="253">
        <f t="shared" si="18"/>
        <v>0</v>
      </c>
      <c r="J108" s="158">
        <f t="shared" si="19"/>
        <v>0</v>
      </c>
      <c r="K108" s="158"/>
      <c r="L108" s="334"/>
      <c r="M108" s="158">
        <f t="shared" si="20"/>
        <v>0</v>
      </c>
      <c r="N108" s="334"/>
      <c r="O108" s="158">
        <f t="shared" si="21"/>
        <v>0</v>
      </c>
      <c r="P108" s="158">
        <f t="shared" si="22"/>
        <v>0</v>
      </c>
      <c r="Q108" s="1"/>
    </row>
    <row r="109" spans="1:17">
      <c r="B109" s="9" t="str">
        <f t="shared" si="25"/>
        <v/>
      </c>
      <c r="C109" s="153">
        <f>IF(D93="","-",+C108+1)</f>
        <v>2019</v>
      </c>
      <c r="D109" s="154">
        <f t="shared" si="23"/>
        <v>0</v>
      </c>
      <c r="E109" s="160">
        <f>IF(+J96&lt;F108,J96,D109)</f>
        <v>0</v>
      </c>
      <c r="F109" s="159">
        <f t="shared" si="24"/>
        <v>0</v>
      </c>
      <c r="G109" s="159">
        <f t="shared" si="16"/>
        <v>0</v>
      </c>
      <c r="H109" s="163">
        <f t="shared" si="17"/>
        <v>0</v>
      </c>
      <c r="I109" s="253">
        <f t="shared" si="18"/>
        <v>0</v>
      </c>
      <c r="J109" s="158">
        <f t="shared" si="19"/>
        <v>0</v>
      </c>
      <c r="K109" s="158"/>
      <c r="L109" s="334"/>
      <c r="M109" s="158">
        <f t="shared" si="20"/>
        <v>0</v>
      </c>
      <c r="N109" s="334"/>
      <c r="O109" s="158">
        <f t="shared" si="21"/>
        <v>0</v>
      </c>
      <c r="P109" s="158">
        <f t="shared" si="22"/>
        <v>0</v>
      </c>
      <c r="Q109" s="1"/>
    </row>
    <row r="110" spans="1:17">
      <c r="B110" s="9" t="str">
        <f t="shared" si="25"/>
        <v/>
      </c>
      <c r="C110" s="153">
        <f>IF(D93="","-",+C109+1)</f>
        <v>2020</v>
      </c>
      <c r="D110" s="154">
        <f>IF(F109+SUM(E$99:E109)=D$92,F109,D$92-SUM(E$99:E109))</f>
        <v>0</v>
      </c>
      <c r="E110" s="160">
        <f>IF(+J96&lt;F109,J96,D110)</f>
        <v>0</v>
      </c>
      <c r="F110" s="159">
        <f t="shared" si="24"/>
        <v>0</v>
      </c>
      <c r="G110" s="159">
        <f t="shared" si="16"/>
        <v>0</v>
      </c>
      <c r="H110" s="163">
        <f t="shared" si="17"/>
        <v>0</v>
      </c>
      <c r="I110" s="253">
        <f t="shared" si="18"/>
        <v>0</v>
      </c>
      <c r="J110" s="158">
        <f t="shared" si="19"/>
        <v>0</v>
      </c>
      <c r="K110" s="158"/>
      <c r="L110" s="334"/>
      <c r="M110" s="158">
        <f t="shared" si="20"/>
        <v>0</v>
      </c>
      <c r="N110" s="334"/>
      <c r="O110" s="158">
        <f t="shared" si="21"/>
        <v>0</v>
      </c>
      <c r="P110" s="158">
        <f t="shared" si="22"/>
        <v>0</v>
      </c>
      <c r="Q110" s="1"/>
    </row>
    <row r="111" spans="1:17">
      <c r="B111" s="9" t="str">
        <f t="shared" si="25"/>
        <v/>
      </c>
      <c r="C111" s="153">
        <f>IF(D93="","-",+C110+1)</f>
        <v>2021</v>
      </c>
      <c r="D111" s="154">
        <f>IF(F110+SUM(E$99:E110)=D$92,F110,D$92-SUM(E$99:E110))</f>
        <v>0</v>
      </c>
      <c r="E111" s="160">
        <f>IF(+J96&lt;F110,J96,D111)</f>
        <v>0</v>
      </c>
      <c r="F111" s="159">
        <f t="shared" si="24"/>
        <v>0</v>
      </c>
      <c r="G111" s="159">
        <f t="shared" si="16"/>
        <v>0</v>
      </c>
      <c r="H111" s="163">
        <f t="shared" si="17"/>
        <v>0</v>
      </c>
      <c r="I111" s="253">
        <f t="shared" si="18"/>
        <v>0</v>
      </c>
      <c r="J111" s="158">
        <f t="shared" si="19"/>
        <v>0</v>
      </c>
      <c r="K111" s="158"/>
      <c r="L111" s="334"/>
      <c r="M111" s="158">
        <f t="shared" si="20"/>
        <v>0</v>
      </c>
      <c r="N111" s="334"/>
      <c r="O111" s="158">
        <f t="shared" si="21"/>
        <v>0</v>
      </c>
      <c r="P111" s="158">
        <f t="shared" si="22"/>
        <v>0</v>
      </c>
      <c r="Q111" s="1"/>
    </row>
    <row r="112" spans="1:17">
      <c r="B112" s="9" t="str">
        <f t="shared" si="25"/>
        <v/>
      </c>
      <c r="C112" s="153">
        <f>IF(D93="","-",+C111+1)</f>
        <v>2022</v>
      </c>
      <c r="D112" s="154">
        <f>IF(F111+SUM(E$99:E111)=D$92,F111,D$92-SUM(E$99:E111))</f>
        <v>0</v>
      </c>
      <c r="E112" s="160">
        <f>IF(+J96&lt;F111,J96,D112)</f>
        <v>0</v>
      </c>
      <c r="F112" s="159">
        <f t="shared" si="24"/>
        <v>0</v>
      </c>
      <c r="G112" s="159">
        <f t="shared" si="16"/>
        <v>0</v>
      </c>
      <c r="H112" s="163">
        <f t="shared" si="17"/>
        <v>0</v>
      </c>
      <c r="I112" s="253">
        <f t="shared" si="18"/>
        <v>0</v>
      </c>
      <c r="J112" s="158">
        <f t="shared" si="19"/>
        <v>0</v>
      </c>
      <c r="K112" s="158"/>
      <c r="L112" s="334"/>
      <c r="M112" s="158">
        <f t="shared" si="20"/>
        <v>0</v>
      </c>
      <c r="N112" s="334"/>
      <c r="O112" s="158">
        <f t="shared" si="21"/>
        <v>0</v>
      </c>
      <c r="P112" s="158">
        <f t="shared" si="22"/>
        <v>0</v>
      </c>
      <c r="Q112" s="1"/>
    </row>
    <row r="113" spans="2:17">
      <c r="B113" s="9" t="str">
        <f t="shared" si="25"/>
        <v/>
      </c>
      <c r="C113" s="153">
        <f>IF(D93="","-",+C112+1)</f>
        <v>2023</v>
      </c>
      <c r="D113" s="154">
        <f>IF(F112+SUM(E$99:E112)=D$92,F112,D$92-SUM(E$99:E112))</f>
        <v>0</v>
      </c>
      <c r="E113" s="160">
        <f>IF(+J96&lt;F112,J96,D113)</f>
        <v>0</v>
      </c>
      <c r="F113" s="159">
        <f t="shared" si="24"/>
        <v>0</v>
      </c>
      <c r="G113" s="159">
        <f t="shared" si="16"/>
        <v>0</v>
      </c>
      <c r="H113" s="163">
        <f t="shared" ref="H113:H154" si="26">+J$94*G113+E113</f>
        <v>0</v>
      </c>
      <c r="I113" s="253">
        <f t="shared" ref="I113:I154" si="27">+J$95*G113+E113</f>
        <v>0</v>
      </c>
      <c r="J113" s="158">
        <f t="shared" si="19"/>
        <v>0</v>
      </c>
      <c r="K113" s="158"/>
      <c r="L113" s="334"/>
      <c r="M113" s="158">
        <f t="shared" si="20"/>
        <v>0</v>
      </c>
      <c r="N113" s="334"/>
      <c r="O113" s="158">
        <f t="shared" si="21"/>
        <v>0</v>
      </c>
      <c r="P113" s="158">
        <f t="shared" si="22"/>
        <v>0</v>
      </c>
      <c r="Q113" s="1"/>
    </row>
    <row r="114" spans="2:17">
      <c r="B114" s="9" t="str">
        <f t="shared" si="25"/>
        <v/>
      </c>
      <c r="C114" s="153">
        <f>IF(D93="","-",+C113+1)</f>
        <v>2024</v>
      </c>
      <c r="D114" s="154">
        <f>IF(F113+SUM(E$99:E113)=D$92,F113,D$92-SUM(E$99:E113))</f>
        <v>0</v>
      </c>
      <c r="E114" s="160">
        <f>IF(+J96&lt;F113,J96,D114)</f>
        <v>0</v>
      </c>
      <c r="F114" s="159">
        <f t="shared" si="24"/>
        <v>0</v>
      </c>
      <c r="G114" s="159">
        <f t="shared" si="16"/>
        <v>0</v>
      </c>
      <c r="H114" s="163">
        <f t="shared" si="26"/>
        <v>0</v>
      </c>
      <c r="I114" s="253">
        <f t="shared" si="27"/>
        <v>0</v>
      </c>
      <c r="J114" s="158">
        <f t="shared" si="19"/>
        <v>0</v>
      </c>
      <c r="K114" s="158"/>
      <c r="L114" s="334"/>
      <c r="M114" s="158">
        <f t="shared" si="20"/>
        <v>0</v>
      </c>
      <c r="N114" s="334"/>
      <c r="O114" s="158">
        <f t="shared" si="21"/>
        <v>0</v>
      </c>
      <c r="P114" s="158">
        <f t="shared" si="22"/>
        <v>0</v>
      </c>
      <c r="Q114" s="1"/>
    </row>
    <row r="115" spans="2:17">
      <c r="B115" s="9" t="str">
        <f t="shared" si="25"/>
        <v/>
      </c>
      <c r="C115" s="153">
        <f>IF(D93="","-",+C114+1)</f>
        <v>2025</v>
      </c>
      <c r="D115" s="154">
        <f>IF(F114+SUM(E$99:E114)=D$92,F114,D$92-SUM(E$99:E114))</f>
        <v>0</v>
      </c>
      <c r="E115" s="160">
        <f>IF(+J96&lt;F114,J96,D115)</f>
        <v>0</v>
      </c>
      <c r="F115" s="159">
        <f t="shared" si="24"/>
        <v>0</v>
      </c>
      <c r="G115" s="159">
        <f t="shared" si="16"/>
        <v>0</v>
      </c>
      <c r="H115" s="163">
        <f t="shared" si="26"/>
        <v>0</v>
      </c>
      <c r="I115" s="253">
        <f t="shared" si="27"/>
        <v>0</v>
      </c>
      <c r="J115" s="158">
        <f t="shared" si="19"/>
        <v>0</v>
      </c>
      <c r="K115" s="158"/>
      <c r="L115" s="334"/>
      <c r="M115" s="158">
        <f t="shared" si="20"/>
        <v>0</v>
      </c>
      <c r="N115" s="334"/>
      <c r="O115" s="158">
        <f t="shared" si="21"/>
        <v>0</v>
      </c>
      <c r="P115" s="158">
        <f t="shared" si="22"/>
        <v>0</v>
      </c>
      <c r="Q115" s="1"/>
    </row>
    <row r="116" spans="2:17">
      <c r="B116" s="9" t="str">
        <f t="shared" si="25"/>
        <v/>
      </c>
      <c r="C116" s="153">
        <f>IF(D93="","-",+C115+1)</f>
        <v>2026</v>
      </c>
      <c r="D116" s="154">
        <f>IF(F115+SUM(E$99:E115)=D$92,F115,D$92-SUM(E$99:E115))</f>
        <v>0</v>
      </c>
      <c r="E116" s="160">
        <f>IF(+J96&lt;F115,J96,D116)</f>
        <v>0</v>
      </c>
      <c r="F116" s="159">
        <f t="shared" si="24"/>
        <v>0</v>
      </c>
      <c r="G116" s="159">
        <f t="shared" si="16"/>
        <v>0</v>
      </c>
      <c r="H116" s="163">
        <f t="shared" si="26"/>
        <v>0</v>
      </c>
      <c r="I116" s="253">
        <f t="shared" si="27"/>
        <v>0</v>
      </c>
      <c r="J116" s="158">
        <f t="shared" si="19"/>
        <v>0</v>
      </c>
      <c r="K116" s="158"/>
      <c r="L116" s="334"/>
      <c r="M116" s="158">
        <f t="shared" si="20"/>
        <v>0</v>
      </c>
      <c r="N116" s="334"/>
      <c r="O116" s="158">
        <f t="shared" si="21"/>
        <v>0</v>
      </c>
      <c r="P116" s="158">
        <f t="shared" si="22"/>
        <v>0</v>
      </c>
      <c r="Q116" s="1"/>
    </row>
    <row r="117" spans="2:17">
      <c r="B117" s="9" t="str">
        <f t="shared" si="25"/>
        <v/>
      </c>
      <c r="C117" s="153">
        <f>IF(D93="","-",+C116+1)</f>
        <v>2027</v>
      </c>
      <c r="D117" s="154">
        <f>IF(F116+SUM(E$99:E116)=D$92,F116,D$92-SUM(E$99:E116))</f>
        <v>0</v>
      </c>
      <c r="E117" s="160">
        <f>IF(+J96&lt;F116,J96,D117)</f>
        <v>0</v>
      </c>
      <c r="F117" s="159">
        <f t="shared" si="24"/>
        <v>0</v>
      </c>
      <c r="G117" s="159">
        <f t="shared" si="16"/>
        <v>0</v>
      </c>
      <c r="H117" s="163">
        <f t="shared" si="26"/>
        <v>0</v>
      </c>
      <c r="I117" s="253">
        <f t="shared" si="27"/>
        <v>0</v>
      </c>
      <c r="J117" s="158">
        <f t="shared" si="19"/>
        <v>0</v>
      </c>
      <c r="K117" s="158"/>
      <c r="L117" s="334"/>
      <c r="M117" s="158">
        <f t="shared" si="20"/>
        <v>0</v>
      </c>
      <c r="N117" s="334"/>
      <c r="O117" s="158">
        <f t="shared" si="21"/>
        <v>0</v>
      </c>
      <c r="P117" s="158">
        <f t="shared" si="22"/>
        <v>0</v>
      </c>
      <c r="Q117" s="1"/>
    </row>
    <row r="118" spans="2:17">
      <c r="B118" s="9" t="str">
        <f t="shared" si="25"/>
        <v/>
      </c>
      <c r="C118" s="153">
        <f>IF(D93="","-",+C117+1)</f>
        <v>2028</v>
      </c>
      <c r="D118" s="154">
        <f>IF(F117+SUM(E$99:E117)=D$92,F117,D$92-SUM(E$99:E117))</f>
        <v>0</v>
      </c>
      <c r="E118" s="160">
        <f>IF(+J96&lt;F117,J96,D118)</f>
        <v>0</v>
      </c>
      <c r="F118" s="159">
        <f t="shared" si="24"/>
        <v>0</v>
      </c>
      <c r="G118" s="159">
        <f t="shared" si="16"/>
        <v>0</v>
      </c>
      <c r="H118" s="163">
        <f t="shared" si="26"/>
        <v>0</v>
      </c>
      <c r="I118" s="253">
        <f t="shared" si="27"/>
        <v>0</v>
      </c>
      <c r="J118" s="158">
        <f t="shared" si="19"/>
        <v>0</v>
      </c>
      <c r="K118" s="158"/>
      <c r="L118" s="334"/>
      <c r="M118" s="158">
        <f t="shared" si="20"/>
        <v>0</v>
      </c>
      <c r="N118" s="334"/>
      <c r="O118" s="158">
        <f t="shared" si="21"/>
        <v>0</v>
      </c>
      <c r="P118" s="158">
        <f t="shared" si="22"/>
        <v>0</v>
      </c>
      <c r="Q118" s="1"/>
    </row>
    <row r="119" spans="2:17">
      <c r="B119" s="9" t="str">
        <f t="shared" si="25"/>
        <v/>
      </c>
      <c r="C119" s="153">
        <f>IF(D93="","-",+C118+1)</f>
        <v>2029</v>
      </c>
      <c r="D119" s="154">
        <f>IF(F118+SUM(E$99:E118)=D$92,F118,D$92-SUM(E$99:E118))</f>
        <v>0</v>
      </c>
      <c r="E119" s="160">
        <f>IF(+J96&lt;F118,J96,D119)</f>
        <v>0</v>
      </c>
      <c r="F119" s="159">
        <f t="shared" si="24"/>
        <v>0</v>
      </c>
      <c r="G119" s="159">
        <f t="shared" si="16"/>
        <v>0</v>
      </c>
      <c r="H119" s="163">
        <f t="shared" si="26"/>
        <v>0</v>
      </c>
      <c r="I119" s="253">
        <f t="shared" si="27"/>
        <v>0</v>
      </c>
      <c r="J119" s="158">
        <f t="shared" si="19"/>
        <v>0</v>
      </c>
      <c r="K119" s="158"/>
      <c r="L119" s="334"/>
      <c r="M119" s="158">
        <f t="shared" si="20"/>
        <v>0</v>
      </c>
      <c r="N119" s="334"/>
      <c r="O119" s="158">
        <f t="shared" si="21"/>
        <v>0</v>
      </c>
      <c r="P119" s="158">
        <f t="shared" si="22"/>
        <v>0</v>
      </c>
      <c r="Q119" s="1"/>
    </row>
    <row r="120" spans="2:17">
      <c r="B120" s="9" t="str">
        <f t="shared" si="25"/>
        <v/>
      </c>
      <c r="C120" s="153">
        <f>IF(D93="","-",+C119+1)</f>
        <v>2030</v>
      </c>
      <c r="D120" s="154">
        <f>IF(F119+SUM(E$99:E119)=D$92,F119,D$92-SUM(E$99:E119))</f>
        <v>0</v>
      </c>
      <c r="E120" s="160">
        <f>IF(+J96&lt;F119,J96,D120)</f>
        <v>0</v>
      </c>
      <c r="F120" s="159">
        <f t="shared" si="24"/>
        <v>0</v>
      </c>
      <c r="G120" s="159">
        <f t="shared" si="16"/>
        <v>0</v>
      </c>
      <c r="H120" s="163">
        <f t="shared" si="26"/>
        <v>0</v>
      </c>
      <c r="I120" s="253">
        <f t="shared" si="27"/>
        <v>0</v>
      </c>
      <c r="J120" s="158">
        <f t="shared" si="19"/>
        <v>0</v>
      </c>
      <c r="K120" s="158"/>
      <c r="L120" s="334"/>
      <c r="M120" s="158">
        <f t="shared" si="20"/>
        <v>0</v>
      </c>
      <c r="N120" s="334"/>
      <c r="O120" s="158">
        <f t="shared" si="21"/>
        <v>0</v>
      </c>
      <c r="P120" s="158">
        <f t="shared" si="22"/>
        <v>0</v>
      </c>
      <c r="Q120" s="1"/>
    </row>
    <row r="121" spans="2:17">
      <c r="B121" s="9" t="str">
        <f t="shared" si="25"/>
        <v/>
      </c>
      <c r="C121" s="153">
        <f>IF(D93="","-",+C120+1)</f>
        <v>2031</v>
      </c>
      <c r="D121" s="154">
        <f>IF(F120+SUM(E$99:E120)=D$92,F120,D$92-SUM(E$99:E120))</f>
        <v>0</v>
      </c>
      <c r="E121" s="160">
        <f>IF(+J96&lt;F120,J96,D121)</f>
        <v>0</v>
      </c>
      <c r="F121" s="159">
        <f t="shared" si="24"/>
        <v>0</v>
      </c>
      <c r="G121" s="159">
        <f t="shared" si="16"/>
        <v>0</v>
      </c>
      <c r="H121" s="163">
        <f t="shared" si="26"/>
        <v>0</v>
      </c>
      <c r="I121" s="253">
        <f t="shared" si="27"/>
        <v>0</v>
      </c>
      <c r="J121" s="158">
        <f t="shared" si="19"/>
        <v>0</v>
      </c>
      <c r="K121" s="158"/>
      <c r="L121" s="334"/>
      <c r="M121" s="158">
        <f t="shared" si="20"/>
        <v>0</v>
      </c>
      <c r="N121" s="334"/>
      <c r="O121" s="158">
        <f t="shared" si="21"/>
        <v>0</v>
      </c>
      <c r="P121" s="158">
        <f t="shared" si="22"/>
        <v>0</v>
      </c>
      <c r="Q121" s="1"/>
    </row>
    <row r="122" spans="2:17">
      <c r="B122" s="9" t="str">
        <f t="shared" si="25"/>
        <v/>
      </c>
      <c r="C122" s="153">
        <f>IF(D93="","-",+C121+1)</f>
        <v>2032</v>
      </c>
      <c r="D122" s="154">
        <f>IF(F121+SUM(E$99:E121)=D$92,F121,D$92-SUM(E$99:E121))</f>
        <v>0</v>
      </c>
      <c r="E122" s="160">
        <f>IF(+J96&lt;F121,J96,D122)</f>
        <v>0</v>
      </c>
      <c r="F122" s="159">
        <f t="shared" si="24"/>
        <v>0</v>
      </c>
      <c r="G122" s="159">
        <f t="shared" si="16"/>
        <v>0</v>
      </c>
      <c r="H122" s="163">
        <f t="shared" si="26"/>
        <v>0</v>
      </c>
      <c r="I122" s="253">
        <f t="shared" si="27"/>
        <v>0</v>
      </c>
      <c r="J122" s="158">
        <f t="shared" si="19"/>
        <v>0</v>
      </c>
      <c r="K122" s="158"/>
      <c r="L122" s="334"/>
      <c r="M122" s="158">
        <f t="shared" si="20"/>
        <v>0</v>
      </c>
      <c r="N122" s="334"/>
      <c r="O122" s="158">
        <f t="shared" si="21"/>
        <v>0</v>
      </c>
      <c r="P122" s="158">
        <f t="shared" si="22"/>
        <v>0</v>
      </c>
      <c r="Q122" s="1"/>
    </row>
    <row r="123" spans="2:17">
      <c r="B123" s="9" t="str">
        <f t="shared" si="25"/>
        <v/>
      </c>
      <c r="C123" s="153">
        <f>IF(D93="","-",+C122+1)</f>
        <v>2033</v>
      </c>
      <c r="D123" s="154">
        <f>IF(F122+SUM(E$99:E122)=D$92,F122,D$92-SUM(E$99:E122))</f>
        <v>0</v>
      </c>
      <c r="E123" s="160">
        <f>IF(+J96&lt;F122,J96,D123)</f>
        <v>0</v>
      </c>
      <c r="F123" s="159">
        <f t="shared" si="24"/>
        <v>0</v>
      </c>
      <c r="G123" s="159">
        <f t="shared" si="16"/>
        <v>0</v>
      </c>
      <c r="H123" s="163">
        <f t="shared" si="26"/>
        <v>0</v>
      </c>
      <c r="I123" s="253">
        <f t="shared" si="27"/>
        <v>0</v>
      </c>
      <c r="J123" s="158">
        <f t="shared" si="19"/>
        <v>0</v>
      </c>
      <c r="K123" s="158"/>
      <c r="L123" s="334"/>
      <c r="M123" s="158">
        <f t="shared" si="20"/>
        <v>0</v>
      </c>
      <c r="N123" s="334"/>
      <c r="O123" s="158">
        <f t="shared" si="21"/>
        <v>0</v>
      </c>
      <c r="P123" s="158">
        <f t="shared" si="22"/>
        <v>0</v>
      </c>
      <c r="Q123" s="1"/>
    </row>
    <row r="124" spans="2:17">
      <c r="B124" s="9" t="str">
        <f t="shared" si="25"/>
        <v/>
      </c>
      <c r="C124" s="153">
        <f>IF(D93="","-",+C123+1)</f>
        <v>2034</v>
      </c>
      <c r="D124" s="154">
        <f>IF(F123+SUM(E$99:E123)=D$92,F123,D$92-SUM(E$99:E123))</f>
        <v>0</v>
      </c>
      <c r="E124" s="160">
        <f>IF(+J96&lt;F123,J96,D124)</f>
        <v>0</v>
      </c>
      <c r="F124" s="159">
        <f t="shared" si="24"/>
        <v>0</v>
      </c>
      <c r="G124" s="159">
        <f t="shared" si="16"/>
        <v>0</v>
      </c>
      <c r="H124" s="163">
        <f t="shared" si="26"/>
        <v>0</v>
      </c>
      <c r="I124" s="253">
        <f t="shared" si="27"/>
        <v>0</v>
      </c>
      <c r="J124" s="158">
        <f t="shared" si="19"/>
        <v>0</v>
      </c>
      <c r="K124" s="158"/>
      <c r="L124" s="334"/>
      <c r="M124" s="158">
        <f t="shared" si="20"/>
        <v>0</v>
      </c>
      <c r="N124" s="334"/>
      <c r="O124" s="158">
        <f t="shared" si="21"/>
        <v>0</v>
      </c>
      <c r="P124" s="158">
        <f t="shared" si="22"/>
        <v>0</v>
      </c>
      <c r="Q124" s="1"/>
    </row>
    <row r="125" spans="2:17">
      <c r="B125" s="9" t="str">
        <f t="shared" si="25"/>
        <v/>
      </c>
      <c r="C125" s="153">
        <f>IF(D93="","-",+C124+1)</f>
        <v>2035</v>
      </c>
      <c r="D125" s="154">
        <f>IF(F124+SUM(E$99:E124)=D$92,F124,D$92-SUM(E$99:E124))</f>
        <v>0</v>
      </c>
      <c r="E125" s="160">
        <f>IF(+J96&lt;F124,J96,D125)</f>
        <v>0</v>
      </c>
      <c r="F125" s="159">
        <f t="shared" si="24"/>
        <v>0</v>
      </c>
      <c r="G125" s="159">
        <f t="shared" si="16"/>
        <v>0</v>
      </c>
      <c r="H125" s="163">
        <f t="shared" si="26"/>
        <v>0</v>
      </c>
      <c r="I125" s="253">
        <f t="shared" si="27"/>
        <v>0</v>
      </c>
      <c r="J125" s="158">
        <f t="shared" si="19"/>
        <v>0</v>
      </c>
      <c r="K125" s="158"/>
      <c r="L125" s="334"/>
      <c r="M125" s="158">
        <f t="shared" si="20"/>
        <v>0</v>
      </c>
      <c r="N125" s="334"/>
      <c r="O125" s="158">
        <f t="shared" si="21"/>
        <v>0</v>
      </c>
      <c r="P125" s="158">
        <f t="shared" si="22"/>
        <v>0</v>
      </c>
      <c r="Q125" s="1"/>
    </row>
    <row r="126" spans="2:17">
      <c r="B126" s="9" t="str">
        <f t="shared" si="25"/>
        <v/>
      </c>
      <c r="C126" s="153">
        <f>IF(D93="","-",+C125+1)</f>
        <v>2036</v>
      </c>
      <c r="D126" s="154">
        <f>IF(F125+SUM(E$99:E125)=D$92,F125,D$92-SUM(E$99:E125))</f>
        <v>0</v>
      </c>
      <c r="E126" s="160">
        <f>IF(+J96&lt;F125,J96,D126)</f>
        <v>0</v>
      </c>
      <c r="F126" s="159">
        <f t="shared" si="24"/>
        <v>0</v>
      </c>
      <c r="G126" s="159">
        <f t="shared" si="16"/>
        <v>0</v>
      </c>
      <c r="H126" s="163">
        <f t="shared" si="26"/>
        <v>0</v>
      </c>
      <c r="I126" s="253">
        <f t="shared" si="27"/>
        <v>0</v>
      </c>
      <c r="J126" s="158">
        <f t="shared" si="19"/>
        <v>0</v>
      </c>
      <c r="K126" s="158"/>
      <c r="L126" s="334"/>
      <c r="M126" s="158">
        <f t="shared" si="20"/>
        <v>0</v>
      </c>
      <c r="N126" s="334"/>
      <c r="O126" s="158">
        <f t="shared" si="21"/>
        <v>0</v>
      </c>
      <c r="P126" s="158">
        <f t="shared" si="22"/>
        <v>0</v>
      </c>
      <c r="Q126" s="1"/>
    </row>
    <row r="127" spans="2:17">
      <c r="B127" s="9" t="str">
        <f t="shared" si="25"/>
        <v/>
      </c>
      <c r="C127" s="153">
        <f>IF(D93="","-",+C126+1)</f>
        <v>2037</v>
      </c>
      <c r="D127" s="154">
        <f>IF(F126+SUM(E$99:E126)=D$92,F126,D$92-SUM(E$99:E126))</f>
        <v>0</v>
      </c>
      <c r="E127" s="160">
        <f>IF(+J96&lt;F126,J96,D127)</f>
        <v>0</v>
      </c>
      <c r="F127" s="159">
        <f t="shared" si="24"/>
        <v>0</v>
      </c>
      <c r="G127" s="159">
        <f t="shared" si="16"/>
        <v>0</v>
      </c>
      <c r="H127" s="163">
        <f t="shared" si="26"/>
        <v>0</v>
      </c>
      <c r="I127" s="253">
        <f t="shared" si="27"/>
        <v>0</v>
      </c>
      <c r="J127" s="158">
        <f t="shared" si="19"/>
        <v>0</v>
      </c>
      <c r="K127" s="158"/>
      <c r="L127" s="334"/>
      <c r="M127" s="158">
        <f t="shared" si="20"/>
        <v>0</v>
      </c>
      <c r="N127" s="334"/>
      <c r="O127" s="158">
        <f t="shared" si="21"/>
        <v>0</v>
      </c>
      <c r="P127" s="158">
        <f t="shared" si="22"/>
        <v>0</v>
      </c>
      <c r="Q127" s="1"/>
    </row>
    <row r="128" spans="2:17">
      <c r="B128" s="9" t="str">
        <f t="shared" si="25"/>
        <v/>
      </c>
      <c r="C128" s="153">
        <f>IF(D93="","-",+C127+1)</f>
        <v>2038</v>
      </c>
      <c r="D128" s="154">
        <f>IF(F127+SUM(E$99:E127)=D$92,F127,D$92-SUM(E$99:E127))</f>
        <v>0</v>
      </c>
      <c r="E128" s="160">
        <f>IF(+J96&lt;F127,J96,D128)</f>
        <v>0</v>
      </c>
      <c r="F128" s="159">
        <f t="shared" si="24"/>
        <v>0</v>
      </c>
      <c r="G128" s="159">
        <f t="shared" si="16"/>
        <v>0</v>
      </c>
      <c r="H128" s="163">
        <f t="shared" si="26"/>
        <v>0</v>
      </c>
      <c r="I128" s="253">
        <f t="shared" si="27"/>
        <v>0</v>
      </c>
      <c r="J128" s="158">
        <f t="shared" si="19"/>
        <v>0</v>
      </c>
      <c r="K128" s="158"/>
      <c r="L128" s="334"/>
      <c r="M128" s="158">
        <f t="shared" si="20"/>
        <v>0</v>
      </c>
      <c r="N128" s="334"/>
      <c r="O128" s="158">
        <f t="shared" si="21"/>
        <v>0</v>
      </c>
      <c r="P128" s="158">
        <f t="shared" si="22"/>
        <v>0</v>
      </c>
      <c r="Q128" s="1"/>
    </row>
    <row r="129" spans="2:17">
      <c r="B129" s="9" t="str">
        <f t="shared" si="25"/>
        <v/>
      </c>
      <c r="C129" s="153">
        <f>IF(D93="","-",+C128+1)</f>
        <v>2039</v>
      </c>
      <c r="D129" s="154">
        <f>IF(F128+SUM(E$99:E128)=D$92,F128,D$92-SUM(E$99:E128))</f>
        <v>0</v>
      </c>
      <c r="E129" s="160">
        <f>IF(+J96&lt;F128,J96,D129)</f>
        <v>0</v>
      </c>
      <c r="F129" s="159">
        <f t="shared" si="24"/>
        <v>0</v>
      </c>
      <c r="G129" s="159">
        <f t="shared" si="16"/>
        <v>0</v>
      </c>
      <c r="H129" s="163">
        <f t="shared" si="26"/>
        <v>0</v>
      </c>
      <c r="I129" s="253">
        <f t="shared" si="27"/>
        <v>0</v>
      </c>
      <c r="J129" s="158">
        <f t="shared" si="19"/>
        <v>0</v>
      </c>
      <c r="K129" s="158"/>
      <c r="L129" s="334"/>
      <c r="M129" s="158">
        <f t="shared" si="20"/>
        <v>0</v>
      </c>
      <c r="N129" s="334"/>
      <c r="O129" s="158">
        <f t="shared" si="21"/>
        <v>0</v>
      </c>
      <c r="P129" s="158">
        <f t="shared" si="22"/>
        <v>0</v>
      </c>
      <c r="Q129" s="1"/>
    </row>
    <row r="130" spans="2:17">
      <c r="B130" s="9" t="str">
        <f t="shared" si="25"/>
        <v/>
      </c>
      <c r="C130" s="153">
        <f>IF(D93="","-",+C129+1)</f>
        <v>2040</v>
      </c>
      <c r="D130" s="154">
        <f>IF(F129+SUM(E$99:E129)=D$92,F129,D$92-SUM(E$99:E129))</f>
        <v>0</v>
      </c>
      <c r="E130" s="160">
        <f>IF(+J96&lt;F129,J96,D130)</f>
        <v>0</v>
      </c>
      <c r="F130" s="159">
        <f t="shared" si="24"/>
        <v>0</v>
      </c>
      <c r="G130" s="159">
        <f t="shared" si="16"/>
        <v>0</v>
      </c>
      <c r="H130" s="163">
        <f t="shared" si="26"/>
        <v>0</v>
      </c>
      <c r="I130" s="253">
        <f t="shared" si="27"/>
        <v>0</v>
      </c>
      <c r="J130" s="158">
        <f t="shared" si="19"/>
        <v>0</v>
      </c>
      <c r="K130" s="158"/>
      <c r="L130" s="334"/>
      <c r="M130" s="158">
        <f t="shared" si="20"/>
        <v>0</v>
      </c>
      <c r="N130" s="334"/>
      <c r="O130" s="158">
        <f t="shared" si="21"/>
        <v>0</v>
      </c>
      <c r="P130" s="158">
        <f t="shared" si="22"/>
        <v>0</v>
      </c>
      <c r="Q130" s="1"/>
    </row>
    <row r="131" spans="2:17">
      <c r="B131" s="9" t="str">
        <f t="shared" si="25"/>
        <v/>
      </c>
      <c r="C131" s="153">
        <f>IF(D93="","-",+C130+1)</f>
        <v>2041</v>
      </c>
      <c r="D131" s="154">
        <f>IF(F130+SUM(E$99:E130)=D$92,F130,D$92-SUM(E$99:E130))</f>
        <v>0</v>
      </c>
      <c r="E131" s="160">
        <f>IF(+J96&lt;F130,J96,D131)</f>
        <v>0</v>
      </c>
      <c r="F131" s="159">
        <f t="shared" ref="F131:F154" si="28">+D131-E131</f>
        <v>0</v>
      </c>
      <c r="G131" s="159">
        <f t="shared" ref="G131:G154" si="29">+(F131+D131)/2</f>
        <v>0</v>
      </c>
      <c r="H131" s="163">
        <f t="shared" si="26"/>
        <v>0</v>
      </c>
      <c r="I131" s="253">
        <f t="shared" si="27"/>
        <v>0</v>
      </c>
      <c r="J131" s="158">
        <f t="shared" ref="J131:J154" si="30">+I131-H131</f>
        <v>0</v>
      </c>
      <c r="K131" s="158"/>
      <c r="L131" s="334"/>
      <c r="M131" s="158">
        <f t="shared" ref="M131:M154" si="31">IF(L131&lt;&gt;0,+H131-L131,0)</f>
        <v>0</v>
      </c>
      <c r="N131" s="334"/>
      <c r="O131" s="158">
        <f t="shared" ref="O131:O154" si="32">IF(N131&lt;&gt;0,+I131-N131,0)</f>
        <v>0</v>
      </c>
      <c r="P131" s="158">
        <f t="shared" ref="P131:P154" si="33">+O131-M131</f>
        <v>0</v>
      </c>
      <c r="Q131" s="1"/>
    </row>
    <row r="132" spans="2:17">
      <c r="B132" s="9" t="str">
        <f t="shared" si="25"/>
        <v/>
      </c>
      <c r="C132" s="153">
        <f>IF(D93="","-",+C131+1)</f>
        <v>2042</v>
      </c>
      <c r="D132" s="154">
        <f>IF(F131+SUM(E$99:E131)=D$92,F131,D$92-SUM(E$99:E131))</f>
        <v>0</v>
      </c>
      <c r="E132" s="160">
        <f>IF(+J96&lt;F131,J96,D132)</f>
        <v>0</v>
      </c>
      <c r="F132" s="159">
        <f t="shared" si="28"/>
        <v>0</v>
      </c>
      <c r="G132" s="159">
        <f t="shared" si="29"/>
        <v>0</v>
      </c>
      <c r="H132" s="163">
        <f t="shared" si="26"/>
        <v>0</v>
      </c>
      <c r="I132" s="253">
        <f t="shared" si="27"/>
        <v>0</v>
      </c>
      <c r="J132" s="158">
        <f t="shared" si="30"/>
        <v>0</v>
      </c>
      <c r="K132" s="158"/>
      <c r="L132" s="334"/>
      <c r="M132" s="158">
        <f t="shared" si="31"/>
        <v>0</v>
      </c>
      <c r="N132" s="334"/>
      <c r="O132" s="158">
        <f t="shared" si="32"/>
        <v>0</v>
      </c>
      <c r="P132" s="158">
        <f t="shared" si="33"/>
        <v>0</v>
      </c>
      <c r="Q132" s="1"/>
    </row>
    <row r="133" spans="2:17">
      <c r="B133" s="9" t="str">
        <f t="shared" si="25"/>
        <v/>
      </c>
      <c r="C133" s="153">
        <f>IF(D93="","-",+C132+1)</f>
        <v>2043</v>
      </c>
      <c r="D133" s="154">
        <f>IF(F132+SUM(E$99:E132)=D$92,F132,D$92-SUM(E$99:E132))</f>
        <v>0</v>
      </c>
      <c r="E133" s="160">
        <f>IF(+J96&lt;F132,J96,D133)</f>
        <v>0</v>
      </c>
      <c r="F133" s="159">
        <f t="shared" si="28"/>
        <v>0</v>
      </c>
      <c r="G133" s="159">
        <f t="shared" si="29"/>
        <v>0</v>
      </c>
      <c r="H133" s="163">
        <f t="shared" si="26"/>
        <v>0</v>
      </c>
      <c r="I133" s="253">
        <f t="shared" si="27"/>
        <v>0</v>
      </c>
      <c r="J133" s="158">
        <f t="shared" si="30"/>
        <v>0</v>
      </c>
      <c r="K133" s="158"/>
      <c r="L133" s="334"/>
      <c r="M133" s="158">
        <f t="shared" si="31"/>
        <v>0</v>
      </c>
      <c r="N133" s="334"/>
      <c r="O133" s="158">
        <f t="shared" si="32"/>
        <v>0</v>
      </c>
      <c r="P133" s="158">
        <f t="shared" si="33"/>
        <v>0</v>
      </c>
      <c r="Q133" s="1"/>
    </row>
    <row r="134" spans="2:17">
      <c r="B134" s="9" t="str">
        <f t="shared" si="25"/>
        <v/>
      </c>
      <c r="C134" s="153">
        <f>IF(D93="","-",+C133+1)</f>
        <v>2044</v>
      </c>
      <c r="D134" s="154">
        <f>IF(F133+SUM(E$99:E133)=D$92,F133,D$92-SUM(E$99:E133))</f>
        <v>0</v>
      </c>
      <c r="E134" s="160">
        <f>IF(+J96&lt;F133,J96,D134)</f>
        <v>0</v>
      </c>
      <c r="F134" s="159">
        <f t="shared" si="28"/>
        <v>0</v>
      </c>
      <c r="G134" s="159">
        <f t="shared" si="29"/>
        <v>0</v>
      </c>
      <c r="H134" s="163">
        <f t="shared" si="26"/>
        <v>0</v>
      </c>
      <c r="I134" s="253">
        <f t="shared" si="27"/>
        <v>0</v>
      </c>
      <c r="J134" s="158">
        <f t="shared" si="30"/>
        <v>0</v>
      </c>
      <c r="K134" s="158"/>
      <c r="L134" s="334"/>
      <c r="M134" s="158">
        <f t="shared" si="31"/>
        <v>0</v>
      </c>
      <c r="N134" s="334"/>
      <c r="O134" s="158">
        <f t="shared" si="32"/>
        <v>0</v>
      </c>
      <c r="P134" s="158">
        <f t="shared" si="33"/>
        <v>0</v>
      </c>
      <c r="Q134" s="1"/>
    </row>
    <row r="135" spans="2:17">
      <c r="B135" s="9" t="str">
        <f t="shared" si="25"/>
        <v/>
      </c>
      <c r="C135" s="153">
        <f>IF(D93="","-",+C134+1)</f>
        <v>2045</v>
      </c>
      <c r="D135" s="154">
        <f>IF(F134+SUM(E$99:E134)=D$92,F134,D$92-SUM(E$99:E134))</f>
        <v>0</v>
      </c>
      <c r="E135" s="160">
        <f>IF(+J96&lt;F134,J96,D135)</f>
        <v>0</v>
      </c>
      <c r="F135" s="159">
        <f t="shared" si="28"/>
        <v>0</v>
      </c>
      <c r="G135" s="159">
        <f t="shared" si="29"/>
        <v>0</v>
      </c>
      <c r="H135" s="163">
        <f t="shared" si="26"/>
        <v>0</v>
      </c>
      <c r="I135" s="253">
        <f t="shared" si="27"/>
        <v>0</v>
      </c>
      <c r="J135" s="158">
        <f t="shared" si="30"/>
        <v>0</v>
      </c>
      <c r="K135" s="158"/>
      <c r="L135" s="334"/>
      <c r="M135" s="158">
        <f t="shared" si="31"/>
        <v>0</v>
      </c>
      <c r="N135" s="334"/>
      <c r="O135" s="158">
        <f t="shared" si="32"/>
        <v>0</v>
      </c>
      <c r="P135" s="158">
        <f t="shared" si="33"/>
        <v>0</v>
      </c>
      <c r="Q135" s="1"/>
    </row>
    <row r="136" spans="2:17">
      <c r="B136" s="9" t="str">
        <f t="shared" si="25"/>
        <v/>
      </c>
      <c r="C136" s="153">
        <f>IF(D93="","-",+C135+1)</f>
        <v>2046</v>
      </c>
      <c r="D136" s="154">
        <f>IF(F135+SUM(E$99:E135)=D$92,F135,D$92-SUM(E$99:E135))</f>
        <v>0</v>
      </c>
      <c r="E136" s="160">
        <f>IF(+J96&lt;F135,J96,D136)</f>
        <v>0</v>
      </c>
      <c r="F136" s="159">
        <f t="shared" si="28"/>
        <v>0</v>
      </c>
      <c r="G136" s="159">
        <f t="shared" si="29"/>
        <v>0</v>
      </c>
      <c r="H136" s="163">
        <f t="shared" si="26"/>
        <v>0</v>
      </c>
      <c r="I136" s="253">
        <f t="shared" si="27"/>
        <v>0</v>
      </c>
      <c r="J136" s="158">
        <f t="shared" si="30"/>
        <v>0</v>
      </c>
      <c r="K136" s="158"/>
      <c r="L136" s="334"/>
      <c r="M136" s="158">
        <f t="shared" si="31"/>
        <v>0</v>
      </c>
      <c r="N136" s="334"/>
      <c r="O136" s="158">
        <f t="shared" si="32"/>
        <v>0</v>
      </c>
      <c r="P136" s="158">
        <f t="shared" si="33"/>
        <v>0</v>
      </c>
      <c r="Q136" s="1"/>
    </row>
    <row r="137" spans="2:17">
      <c r="B137" s="9" t="str">
        <f t="shared" si="25"/>
        <v/>
      </c>
      <c r="C137" s="153">
        <f>IF(D93="","-",+C136+1)</f>
        <v>2047</v>
      </c>
      <c r="D137" s="154">
        <f>IF(F136+SUM(E$99:E136)=D$92,F136,D$92-SUM(E$99:E136))</f>
        <v>0</v>
      </c>
      <c r="E137" s="160">
        <f>IF(+J96&lt;F136,J96,D137)</f>
        <v>0</v>
      </c>
      <c r="F137" s="159">
        <f t="shared" si="28"/>
        <v>0</v>
      </c>
      <c r="G137" s="159">
        <f t="shared" si="29"/>
        <v>0</v>
      </c>
      <c r="H137" s="163">
        <f t="shared" si="26"/>
        <v>0</v>
      </c>
      <c r="I137" s="253">
        <f t="shared" si="27"/>
        <v>0</v>
      </c>
      <c r="J137" s="158">
        <f t="shared" si="30"/>
        <v>0</v>
      </c>
      <c r="K137" s="158"/>
      <c r="L137" s="334"/>
      <c r="M137" s="158">
        <f t="shared" si="31"/>
        <v>0</v>
      </c>
      <c r="N137" s="334"/>
      <c r="O137" s="158">
        <f t="shared" si="32"/>
        <v>0</v>
      </c>
      <c r="P137" s="158">
        <f t="shared" si="33"/>
        <v>0</v>
      </c>
      <c r="Q137" s="1"/>
    </row>
    <row r="138" spans="2:17">
      <c r="B138" s="9" t="str">
        <f t="shared" si="25"/>
        <v/>
      </c>
      <c r="C138" s="153">
        <f>IF(D93="","-",+C137+1)</f>
        <v>2048</v>
      </c>
      <c r="D138" s="154">
        <f>IF(F137+SUM(E$99:E137)=D$92,F137,D$92-SUM(E$99:E137))</f>
        <v>0</v>
      </c>
      <c r="E138" s="160">
        <f>IF(+J96&lt;F137,J96,D138)</f>
        <v>0</v>
      </c>
      <c r="F138" s="159">
        <f t="shared" si="28"/>
        <v>0</v>
      </c>
      <c r="G138" s="159">
        <f t="shared" si="29"/>
        <v>0</v>
      </c>
      <c r="H138" s="163">
        <f t="shared" si="26"/>
        <v>0</v>
      </c>
      <c r="I138" s="253">
        <f t="shared" si="27"/>
        <v>0</v>
      </c>
      <c r="J138" s="158">
        <f t="shared" si="30"/>
        <v>0</v>
      </c>
      <c r="K138" s="158"/>
      <c r="L138" s="334"/>
      <c r="M138" s="158">
        <f t="shared" si="31"/>
        <v>0</v>
      </c>
      <c r="N138" s="334"/>
      <c r="O138" s="158">
        <f t="shared" si="32"/>
        <v>0</v>
      </c>
      <c r="P138" s="158">
        <f t="shared" si="33"/>
        <v>0</v>
      </c>
      <c r="Q138" s="1"/>
    </row>
    <row r="139" spans="2:17">
      <c r="B139" s="9" t="str">
        <f t="shared" si="25"/>
        <v/>
      </c>
      <c r="C139" s="153">
        <f>IF(D93="","-",+C138+1)</f>
        <v>2049</v>
      </c>
      <c r="D139" s="154">
        <f>IF(F138+SUM(E$99:E138)=D$92,F138,D$92-SUM(E$99:E138))</f>
        <v>0</v>
      </c>
      <c r="E139" s="160">
        <f>IF(+J96&lt;F138,J96,D139)</f>
        <v>0</v>
      </c>
      <c r="F139" s="159">
        <f t="shared" si="28"/>
        <v>0</v>
      </c>
      <c r="G139" s="159">
        <f t="shared" si="29"/>
        <v>0</v>
      </c>
      <c r="H139" s="163">
        <f t="shared" si="26"/>
        <v>0</v>
      </c>
      <c r="I139" s="253">
        <f t="shared" si="27"/>
        <v>0</v>
      </c>
      <c r="J139" s="158">
        <f t="shared" si="30"/>
        <v>0</v>
      </c>
      <c r="K139" s="158"/>
      <c r="L139" s="334"/>
      <c r="M139" s="158">
        <f t="shared" si="31"/>
        <v>0</v>
      </c>
      <c r="N139" s="334"/>
      <c r="O139" s="158">
        <f t="shared" si="32"/>
        <v>0</v>
      </c>
      <c r="P139" s="158">
        <f t="shared" si="33"/>
        <v>0</v>
      </c>
      <c r="Q139" s="1"/>
    </row>
    <row r="140" spans="2:17">
      <c r="B140" s="9" t="str">
        <f t="shared" si="25"/>
        <v/>
      </c>
      <c r="C140" s="153">
        <f>IF(D93="","-",+C139+1)</f>
        <v>2050</v>
      </c>
      <c r="D140" s="154">
        <f>IF(F139+SUM(E$99:E139)=D$92,F139,D$92-SUM(E$99:E139))</f>
        <v>0</v>
      </c>
      <c r="E140" s="160">
        <f>IF(+J96&lt;F139,J96,D140)</f>
        <v>0</v>
      </c>
      <c r="F140" s="159">
        <f t="shared" si="28"/>
        <v>0</v>
      </c>
      <c r="G140" s="159">
        <f t="shared" si="29"/>
        <v>0</v>
      </c>
      <c r="H140" s="163">
        <f t="shared" si="26"/>
        <v>0</v>
      </c>
      <c r="I140" s="253">
        <f t="shared" si="27"/>
        <v>0</v>
      </c>
      <c r="J140" s="158">
        <f t="shared" si="30"/>
        <v>0</v>
      </c>
      <c r="K140" s="158"/>
      <c r="L140" s="334"/>
      <c r="M140" s="158">
        <f t="shared" si="31"/>
        <v>0</v>
      </c>
      <c r="N140" s="334"/>
      <c r="O140" s="158">
        <f t="shared" si="32"/>
        <v>0</v>
      </c>
      <c r="P140" s="158">
        <f t="shared" si="33"/>
        <v>0</v>
      </c>
      <c r="Q140" s="1"/>
    </row>
    <row r="141" spans="2:17">
      <c r="B141" s="9" t="str">
        <f t="shared" si="25"/>
        <v/>
      </c>
      <c r="C141" s="153">
        <f>IF(D93="","-",+C140+1)</f>
        <v>2051</v>
      </c>
      <c r="D141" s="154">
        <f>IF(F140+SUM(E$99:E140)=D$92,F140,D$92-SUM(E$99:E140))</f>
        <v>0</v>
      </c>
      <c r="E141" s="160">
        <f>IF(+J96&lt;F140,J96,D141)</f>
        <v>0</v>
      </c>
      <c r="F141" s="159">
        <f t="shared" si="28"/>
        <v>0</v>
      </c>
      <c r="G141" s="159">
        <f t="shared" si="29"/>
        <v>0</v>
      </c>
      <c r="H141" s="163">
        <f t="shared" si="26"/>
        <v>0</v>
      </c>
      <c r="I141" s="253">
        <f t="shared" si="27"/>
        <v>0</v>
      </c>
      <c r="J141" s="158">
        <f t="shared" si="30"/>
        <v>0</v>
      </c>
      <c r="K141" s="158"/>
      <c r="L141" s="334"/>
      <c r="M141" s="158">
        <f t="shared" si="31"/>
        <v>0</v>
      </c>
      <c r="N141" s="334"/>
      <c r="O141" s="158">
        <f t="shared" si="32"/>
        <v>0</v>
      </c>
      <c r="P141" s="158">
        <f t="shared" si="33"/>
        <v>0</v>
      </c>
      <c r="Q141" s="1"/>
    </row>
    <row r="142" spans="2:17">
      <c r="B142" s="9" t="str">
        <f t="shared" si="25"/>
        <v/>
      </c>
      <c r="C142" s="153">
        <f>IF(D93="","-",+C141+1)</f>
        <v>2052</v>
      </c>
      <c r="D142" s="154">
        <f>IF(F141+SUM(E$99:E141)=D$92,F141,D$92-SUM(E$99:E141))</f>
        <v>0</v>
      </c>
      <c r="E142" s="160">
        <f>IF(+J96&lt;F141,J96,D142)</f>
        <v>0</v>
      </c>
      <c r="F142" s="159">
        <f t="shared" si="28"/>
        <v>0</v>
      </c>
      <c r="G142" s="159">
        <f t="shared" si="29"/>
        <v>0</v>
      </c>
      <c r="H142" s="163">
        <f t="shared" si="26"/>
        <v>0</v>
      </c>
      <c r="I142" s="253">
        <f t="shared" si="27"/>
        <v>0</v>
      </c>
      <c r="J142" s="158">
        <f t="shared" si="30"/>
        <v>0</v>
      </c>
      <c r="K142" s="158"/>
      <c r="L142" s="334"/>
      <c r="M142" s="158">
        <f t="shared" si="31"/>
        <v>0</v>
      </c>
      <c r="N142" s="334"/>
      <c r="O142" s="158">
        <f t="shared" si="32"/>
        <v>0</v>
      </c>
      <c r="P142" s="158">
        <f t="shared" si="33"/>
        <v>0</v>
      </c>
      <c r="Q142" s="1"/>
    </row>
    <row r="143" spans="2:17">
      <c r="B143" s="9" t="str">
        <f t="shared" si="25"/>
        <v/>
      </c>
      <c r="C143" s="153">
        <f>IF(D93="","-",+C142+1)</f>
        <v>2053</v>
      </c>
      <c r="D143" s="154">
        <f>IF(F142+SUM(E$99:E142)=D$92,F142,D$92-SUM(E$99:E142))</f>
        <v>0</v>
      </c>
      <c r="E143" s="160">
        <f>IF(+J96&lt;F142,J96,D143)</f>
        <v>0</v>
      </c>
      <c r="F143" s="159">
        <f t="shared" si="28"/>
        <v>0</v>
      </c>
      <c r="G143" s="159">
        <f t="shared" si="29"/>
        <v>0</v>
      </c>
      <c r="H143" s="163">
        <f t="shared" si="26"/>
        <v>0</v>
      </c>
      <c r="I143" s="253">
        <f t="shared" si="27"/>
        <v>0</v>
      </c>
      <c r="J143" s="158">
        <f t="shared" si="30"/>
        <v>0</v>
      </c>
      <c r="K143" s="158"/>
      <c r="L143" s="334"/>
      <c r="M143" s="158">
        <f t="shared" si="31"/>
        <v>0</v>
      </c>
      <c r="N143" s="334"/>
      <c r="O143" s="158">
        <f t="shared" si="32"/>
        <v>0</v>
      </c>
      <c r="P143" s="158">
        <f t="shared" si="33"/>
        <v>0</v>
      </c>
      <c r="Q143" s="1"/>
    </row>
    <row r="144" spans="2:17">
      <c r="B144" s="9" t="str">
        <f t="shared" si="25"/>
        <v/>
      </c>
      <c r="C144" s="153">
        <f>IF(D93="","-",+C143+1)</f>
        <v>2054</v>
      </c>
      <c r="D144" s="154">
        <f>IF(F143+SUM(E$99:E143)=D$92,F143,D$92-SUM(E$99:E143))</f>
        <v>0</v>
      </c>
      <c r="E144" s="160">
        <f>IF(+J96&lt;F143,J96,D144)</f>
        <v>0</v>
      </c>
      <c r="F144" s="159">
        <f t="shared" si="28"/>
        <v>0</v>
      </c>
      <c r="G144" s="159">
        <f t="shared" si="29"/>
        <v>0</v>
      </c>
      <c r="H144" s="163">
        <f t="shared" si="26"/>
        <v>0</v>
      </c>
      <c r="I144" s="253">
        <f t="shared" si="27"/>
        <v>0</v>
      </c>
      <c r="J144" s="158">
        <f t="shared" si="30"/>
        <v>0</v>
      </c>
      <c r="K144" s="158"/>
      <c r="L144" s="334"/>
      <c r="M144" s="158">
        <f t="shared" si="31"/>
        <v>0</v>
      </c>
      <c r="N144" s="334"/>
      <c r="O144" s="158">
        <f t="shared" si="32"/>
        <v>0</v>
      </c>
      <c r="P144" s="158">
        <f t="shared" si="33"/>
        <v>0</v>
      </c>
      <c r="Q144" s="1"/>
    </row>
    <row r="145" spans="2:17">
      <c r="B145" s="9" t="str">
        <f t="shared" si="25"/>
        <v/>
      </c>
      <c r="C145" s="153">
        <f>IF(D93="","-",+C144+1)</f>
        <v>2055</v>
      </c>
      <c r="D145" s="154">
        <f>IF(F144+SUM(E$99:E144)=D$92,F144,D$92-SUM(E$99:E144))</f>
        <v>0</v>
      </c>
      <c r="E145" s="160">
        <f>IF(+J96&lt;F144,J96,D145)</f>
        <v>0</v>
      </c>
      <c r="F145" s="159">
        <f t="shared" si="28"/>
        <v>0</v>
      </c>
      <c r="G145" s="159">
        <f t="shared" si="29"/>
        <v>0</v>
      </c>
      <c r="H145" s="163">
        <f t="shared" si="26"/>
        <v>0</v>
      </c>
      <c r="I145" s="253">
        <f t="shared" si="27"/>
        <v>0</v>
      </c>
      <c r="J145" s="158">
        <f t="shared" si="30"/>
        <v>0</v>
      </c>
      <c r="K145" s="158"/>
      <c r="L145" s="334"/>
      <c r="M145" s="158">
        <f t="shared" si="31"/>
        <v>0</v>
      </c>
      <c r="N145" s="334"/>
      <c r="O145" s="158">
        <f t="shared" si="32"/>
        <v>0</v>
      </c>
      <c r="P145" s="158">
        <f t="shared" si="33"/>
        <v>0</v>
      </c>
      <c r="Q145" s="1"/>
    </row>
    <row r="146" spans="2:17">
      <c r="B146" s="9" t="str">
        <f t="shared" si="25"/>
        <v/>
      </c>
      <c r="C146" s="153">
        <f>IF(D93="","-",+C145+1)</f>
        <v>2056</v>
      </c>
      <c r="D146" s="154">
        <f>IF(F145+SUM(E$99:E145)=D$92,F145,D$92-SUM(E$99:E145))</f>
        <v>0</v>
      </c>
      <c r="E146" s="160">
        <f>IF(+J96&lt;F145,J96,D146)</f>
        <v>0</v>
      </c>
      <c r="F146" s="159">
        <f t="shared" si="28"/>
        <v>0</v>
      </c>
      <c r="G146" s="159">
        <f t="shared" si="29"/>
        <v>0</v>
      </c>
      <c r="H146" s="163">
        <f t="shared" si="26"/>
        <v>0</v>
      </c>
      <c r="I146" s="253">
        <f t="shared" si="27"/>
        <v>0</v>
      </c>
      <c r="J146" s="158">
        <f t="shared" si="30"/>
        <v>0</v>
      </c>
      <c r="K146" s="158"/>
      <c r="L146" s="334"/>
      <c r="M146" s="158">
        <f t="shared" si="31"/>
        <v>0</v>
      </c>
      <c r="N146" s="334"/>
      <c r="O146" s="158">
        <f t="shared" si="32"/>
        <v>0</v>
      </c>
      <c r="P146" s="158">
        <f t="shared" si="33"/>
        <v>0</v>
      </c>
      <c r="Q146" s="1"/>
    </row>
    <row r="147" spans="2:17">
      <c r="B147" s="9" t="str">
        <f t="shared" si="25"/>
        <v/>
      </c>
      <c r="C147" s="153">
        <f>IF(D93="","-",+C146+1)</f>
        <v>2057</v>
      </c>
      <c r="D147" s="154">
        <f>IF(F146+SUM(E$99:E146)=D$92,F146,D$92-SUM(E$99:E146))</f>
        <v>0</v>
      </c>
      <c r="E147" s="160">
        <f>IF(+J96&lt;F146,J96,D147)</f>
        <v>0</v>
      </c>
      <c r="F147" s="159">
        <f t="shared" si="28"/>
        <v>0</v>
      </c>
      <c r="G147" s="159">
        <f t="shared" si="29"/>
        <v>0</v>
      </c>
      <c r="H147" s="163">
        <f t="shared" si="26"/>
        <v>0</v>
      </c>
      <c r="I147" s="253">
        <f t="shared" si="27"/>
        <v>0</v>
      </c>
      <c r="J147" s="158">
        <f t="shared" si="30"/>
        <v>0</v>
      </c>
      <c r="K147" s="158"/>
      <c r="L147" s="334"/>
      <c r="M147" s="158">
        <f t="shared" si="31"/>
        <v>0</v>
      </c>
      <c r="N147" s="334"/>
      <c r="O147" s="158">
        <f t="shared" si="32"/>
        <v>0</v>
      </c>
      <c r="P147" s="158">
        <f t="shared" si="33"/>
        <v>0</v>
      </c>
      <c r="Q147" s="1"/>
    </row>
    <row r="148" spans="2:17">
      <c r="B148" s="9" t="str">
        <f t="shared" si="25"/>
        <v/>
      </c>
      <c r="C148" s="153">
        <f>IF(D93="","-",+C147+1)</f>
        <v>2058</v>
      </c>
      <c r="D148" s="154">
        <f>IF(F147+SUM(E$99:E147)=D$92,F147,D$92-SUM(E$99:E147))</f>
        <v>0</v>
      </c>
      <c r="E148" s="160">
        <f>IF(+J96&lt;F147,J96,D148)</f>
        <v>0</v>
      </c>
      <c r="F148" s="159">
        <f t="shared" si="28"/>
        <v>0</v>
      </c>
      <c r="G148" s="159">
        <f t="shared" si="29"/>
        <v>0</v>
      </c>
      <c r="H148" s="163">
        <f t="shared" si="26"/>
        <v>0</v>
      </c>
      <c r="I148" s="253">
        <f t="shared" si="27"/>
        <v>0</v>
      </c>
      <c r="J148" s="158">
        <f t="shared" si="30"/>
        <v>0</v>
      </c>
      <c r="K148" s="158"/>
      <c r="L148" s="334"/>
      <c r="M148" s="158">
        <f t="shared" si="31"/>
        <v>0</v>
      </c>
      <c r="N148" s="334"/>
      <c r="O148" s="158">
        <f t="shared" si="32"/>
        <v>0</v>
      </c>
      <c r="P148" s="158">
        <f t="shared" si="33"/>
        <v>0</v>
      </c>
      <c r="Q148" s="1"/>
    </row>
    <row r="149" spans="2:17">
      <c r="B149" s="9" t="str">
        <f t="shared" si="25"/>
        <v/>
      </c>
      <c r="C149" s="153">
        <f>IF(D93="","-",+C148+1)</f>
        <v>2059</v>
      </c>
      <c r="D149" s="154">
        <f>IF(F148+SUM(E$99:E148)=D$92,F148,D$92-SUM(E$99:E148))</f>
        <v>0</v>
      </c>
      <c r="E149" s="160">
        <f>IF(+J96&lt;F148,J96,D149)</f>
        <v>0</v>
      </c>
      <c r="F149" s="159">
        <f t="shared" si="28"/>
        <v>0</v>
      </c>
      <c r="G149" s="159">
        <f t="shared" si="29"/>
        <v>0</v>
      </c>
      <c r="H149" s="163">
        <f t="shared" si="26"/>
        <v>0</v>
      </c>
      <c r="I149" s="253">
        <f t="shared" si="27"/>
        <v>0</v>
      </c>
      <c r="J149" s="158">
        <f t="shared" si="30"/>
        <v>0</v>
      </c>
      <c r="K149" s="158"/>
      <c r="L149" s="334"/>
      <c r="M149" s="158">
        <f t="shared" si="31"/>
        <v>0</v>
      </c>
      <c r="N149" s="334"/>
      <c r="O149" s="158">
        <f t="shared" si="32"/>
        <v>0</v>
      </c>
      <c r="P149" s="158">
        <f t="shared" si="33"/>
        <v>0</v>
      </c>
      <c r="Q149" s="1"/>
    </row>
    <row r="150" spans="2:17">
      <c r="B150" s="9" t="str">
        <f t="shared" si="25"/>
        <v/>
      </c>
      <c r="C150" s="153">
        <f>IF(D93="","-",+C149+1)</f>
        <v>2060</v>
      </c>
      <c r="D150" s="154">
        <f>IF(F149+SUM(E$99:E149)=D$92,F149,D$92-SUM(E$99:E149))</f>
        <v>0</v>
      </c>
      <c r="E150" s="160">
        <f>IF(+J96&lt;F149,J96,D150)</f>
        <v>0</v>
      </c>
      <c r="F150" s="159">
        <f t="shared" si="28"/>
        <v>0</v>
      </c>
      <c r="G150" s="159">
        <f t="shared" si="29"/>
        <v>0</v>
      </c>
      <c r="H150" s="163">
        <f t="shared" si="26"/>
        <v>0</v>
      </c>
      <c r="I150" s="253">
        <f t="shared" si="27"/>
        <v>0</v>
      </c>
      <c r="J150" s="158">
        <f t="shared" si="30"/>
        <v>0</v>
      </c>
      <c r="K150" s="158"/>
      <c r="L150" s="334"/>
      <c r="M150" s="158">
        <f t="shared" si="31"/>
        <v>0</v>
      </c>
      <c r="N150" s="334"/>
      <c r="O150" s="158">
        <f t="shared" si="32"/>
        <v>0</v>
      </c>
      <c r="P150" s="158">
        <f t="shared" si="33"/>
        <v>0</v>
      </c>
      <c r="Q150" s="1"/>
    </row>
    <row r="151" spans="2:17">
      <c r="B151" s="9" t="str">
        <f t="shared" si="25"/>
        <v/>
      </c>
      <c r="C151" s="153">
        <f>IF(D93="","-",+C150+1)</f>
        <v>2061</v>
      </c>
      <c r="D151" s="154">
        <f>IF(F150+SUM(E$99:E150)=D$92,F150,D$92-SUM(E$99:E150))</f>
        <v>0</v>
      </c>
      <c r="E151" s="160">
        <f>IF(+J96&lt;F150,J96,D151)</f>
        <v>0</v>
      </c>
      <c r="F151" s="159">
        <f t="shared" si="28"/>
        <v>0</v>
      </c>
      <c r="G151" s="159">
        <f t="shared" si="29"/>
        <v>0</v>
      </c>
      <c r="H151" s="163">
        <f t="shared" si="26"/>
        <v>0</v>
      </c>
      <c r="I151" s="253">
        <f t="shared" si="27"/>
        <v>0</v>
      </c>
      <c r="J151" s="158">
        <f t="shared" si="30"/>
        <v>0</v>
      </c>
      <c r="K151" s="158"/>
      <c r="L151" s="334"/>
      <c r="M151" s="158">
        <f t="shared" si="31"/>
        <v>0</v>
      </c>
      <c r="N151" s="334"/>
      <c r="O151" s="158">
        <f t="shared" si="32"/>
        <v>0</v>
      </c>
      <c r="P151" s="158">
        <f t="shared" si="33"/>
        <v>0</v>
      </c>
      <c r="Q151" s="1"/>
    </row>
    <row r="152" spans="2:17">
      <c r="B152" s="9" t="str">
        <f t="shared" si="25"/>
        <v/>
      </c>
      <c r="C152" s="153">
        <f>IF(D93="","-",+C151+1)</f>
        <v>2062</v>
      </c>
      <c r="D152" s="154">
        <f>IF(F151+SUM(E$99:E151)=D$92,F151,D$92-SUM(E$99:E151))</f>
        <v>0</v>
      </c>
      <c r="E152" s="160">
        <f>IF(+J96&lt;F151,J96,D152)</f>
        <v>0</v>
      </c>
      <c r="F152" s="159">
        <f t="shared" si="28"/>
        <v>0</v>
      </c>
      <c r="G152" s="159">
        <f t="shared" si="29"/>
        <v>0</v>
      </c>
      <c r="H152" s="163">
        <f t="shared" si="26"/>
        <v>0</v>
      </c>
      <c r="I152" s="253">
        <f t="shared" si="27"/>
        <v>0</v>
      </c>
      <c r="J152" s="158">
        <f t="shared" si="30"/>
        <v>0</v>
      </c>
      <c r="K152" s="158"/>
      <c r="L152" s="334"/>
      <c r="M152" s="158">
        <f t="shared" si="31"/>
        <v>0</v>
      </c>
      <c r="N152" s="334"/>
      <c r="O152" s="158">
        <f t="shared" si="32"/>
        <v>0</v>
      </c>
      <c r="P152" s="158">
        <f t="shared" si="33"/>
        <v>0</v>
      </c>
      <c r="Q152" s="1"/>
    </row>
    <row r="153" spans="2:17">
      <c r="B153" s="9" t="str">
        <f t="shared" si="25"/>
        <v/>
      </c>
      <c r="C153" s="153">
        <f>IF(D93="","-",+C152+1)</f>
        <v>2063</v>
      </c>
      <c r="D153" s="154">
        <f>IF(F152+SUM(E$99:E152)=D$92,F152,D$92-SUM(E$99:E152))</f>
        <v>0</v>
      </c>
      <c r="E153" s="160">
        <f>IF(+J96&lt;F152,J96,D153)</f>
        <v>0</v>
      </c>
      <c r="F153" s="159">
        <f t="shared" si="28"/>
        <v>0</v>
      </c>
      <c r="G153" s="159">
        <f t="shared" si="29"/>
        <v>0</v>
      </c>
      <c r="H153" s="163">
        <f t="shared" si="26"/>
        <v>0</v>
      </c>
      <c r="I153" s="253">
        <f t="shared" si="27"/>
        <v>0</v>
      </c>
      <c r="J153" s="158">
        <f t="shared" si="30"/>
        <v>0</v>
      </c>
      <c r="K153" s="158"/>
      <c r="L153" s="334"/>
      <c r="M153" s="158">
        <f t="shared" si="31"/>
        <v>0</v>
      </c>
      <c r="N153" s="334"/>
      <c r="O153" s="158">
        <f t="shared" si="32"/>
        <v>0</v>
      </c>
      <c r="P153" s="158">
        <f t="shared" si="33"/>
        <v>0</v>
      </c>
      <c r="Q153" s="1"/>
    </row>
    <row r="154" spans="2:17" ht="13.5" thickBot="1">
      <c r="B154" s="9" t="str">
        <f t="shared" si="25"/>
        <v/>
      </c>
      <c r="C154" s="164">
        <f>IF(D93="","-",+C153+1)</f>
        <v>2064</v>
      </c>
      <c r="D154" s="215">
        <f>IF(F153+SUM(E$99:E153)=D$92,F153,D$92-SUM(E$99:E153))</f>
        <v>0</v>
      </c>
      <c r="E154" s="166">
        <f>IF(+J96&lt;F153,J96,D154)</f>
        <v>0</v>
      </c>
      <c r="F154" s="165">
        <f t="shared" si="28"/>
        <v>0</v>
      </c>
      <c r="G154" s="165">
        <f t="shared" si="29"/>
        <v>0</v>
      </c>
      <c r="H154" s="167">
        <f t="shared" si="26"/>
        <v>0</v>
      </c>
      <c r="I154" s="254">
        <f t="shared" si="27"/>
        <v>0</v>
      </c>
      <c r="J154" s="169">
        <f t="shared" si="30"/>
        <v>0</v>
      </c>
      <c r="K154" s="158"/>
      <c r="L154" s="335"/>
      <c r="M154" s="169">
        <f t="shared" si="31"/>
        <v>0</v>
      </c>
      <c r="N154" s="335"/>
      <c r="O154" s="169">
        <f t="shared" si="32"/>
        <v>0</v>
      </c>
      <c r="P154" s="169">
        <f t="shared" si="33"/>
        <v>0</v>
      </c>
      <c r="Q154" s="1"/>
    </row>
    <row r="155" spans="2:17">
      <c r="C155" s="154" t="s">
        <v>73</v>
      </c>
      <c r="D155" s="111"/>
      <c r="E155" s="111">
        <f>SUM(E99:E154)</f>
        <v>0</v>
      </c>
      <c r="F155" s="111"/>
      <c r="G155" s="111"/>
      <c r="H155" s="111">
        <f>SUM(H99:H154)</f>
        <v>0</v>
      </c>
      <c r="I155" s="111">
        <f>SUM(I99:I154)</f>
        <v>0</v>
      </c>
      <c r="J155" s="111">
        <f>SUM(J99:J154)</f>
        <v>0</v>
      </c>
      <c r="K155" s="111"/>
      <c r="L155" s="111"/>
      <c r="M155" s="111"/>
      <c r="N155" s="111"/>
      <c r="O155" s="111"/>
      <c r="P155" s="1"/>
      <c r="Q155" s="1"/>
    </row>
    <row r="156" spans="2:17">
      <c r="D156" s="2"/>
      <c r="E156" s="1"/>
      <c r="F156" s="1"/>
      <c r="G156" s="1"/>
      <c r="H156" s="1"/>
      <c r="I156" s="3"/>
      <c r="J156" s="3"/>
      <c r="K156" s="111"/>
      <c r="L156" s="3"/>
      <c r="M156" s="3"/>
      <c r="N156" s="3"/>
      <c r="O156" s="3"/>
      <c r="P156" s="1"/>
      <c r="Q156" s="1"/>
    </row>
    <row r="157" spans="2:17">
      <c r="C157" s="216" t="s">
        <v>87</v>
      </c>
      <c r="D157" s="2"/>
      <c r="E157" s="1"/>
      <c r="F157" s="1"/>
      <c r="G157" s="1"/>
      <c r="H157" s="1"/>
      <c r="I157" s="3"/>
      <c r="J157" s="3"/>
      <c r="K157" s="111"/>
      <c r="L157" s="3"/>
      <c r="M157" s="3"/>
      <c r="N157" s="3"/>
      <c r="O157" s="3"/>
      <c r="P157" s="1"/>
      <c r="Q157" s="1"/>
    </row>
    <row r="158" spans="2:17">
      <c r="D158" s="2"/>
      <c r="E158" s="1"/>
      <c r="F158" s="1"/>
      <c r="G158" s="1"/>
      <c r="H158" s="1"/>
      <c r="I158" s="3"/>
      <c r="J158" s="3"/>
      <c r="K158" s="111"/>
      <c r="L158" s="3"/>
      <c r="M158" s="3"/>
      <c r="N158" s="3"/>
      <c r="O158" s="3"/>
      <c r="P158" s="1"/>
      <c r="Q158" s="1"/>
    </row>
    <row r="159" spans="2:17">
      <c r="C159" s="170" t="s">
        <v>92</v>
      </c>
      <c r="D159" s="154"/>
      <c r="E159" s="154"/>
      <c r="F159" s="154"/>
      <c r="G159" s="154"/>
      <c r="H159" s="111"/>
      <c r="I159" s="111"/>
      <c r="J159" s="171"/>
      <c r="K159" s="171"/>
      <c r="L159" s="171"/>
      <c r="M159" s="171"/>
      <c r="N159" s="171"/>
      <c r="O159" s="171"/>
      <c r="P159" s="1"/>
      <c r="Q159" s="1"/>
    </row>
    <row r="160" spans="2:17">
      <c r="C160" s="217" t="s">
        <v>74</v>
      </c>
      <c r="D160" s="154"/>
      <c r="E160" s="154"/>
      <c r="F160" s="154"/>
      <c r="G160" s="154"/>
      <c r="H160" s="111"/>
      <c r="I160" s="111"/>
      <c r="J160" s="171"/>
      <c r="K160" s="171"/>
      <c r="L160" s="171"/>
      <c r="M160" s="171"/>
      <c r="N160" s="171"/>
      <c r="O160" s="171"/>
      <c r="P160" s="1"/>
      <c r="Q160" s="1"/>
    </row>
    <row r="161" spans="3:17">
      <c r="C161" s="217" t="s">
        <v>75</v>
      </c>
      <c r="D161" s="154"/>
      <c r="E161" s="154"/>
      <c r="F161" s="154"/>
      <c r="G161" s="154"/>
      <c r="H161" s="111"/>
      <c r="I161" s="111"/>
      <c r="J161" s="171"/>
      <c r="K161" s="171"/>
      <c r="L161" s="171"/>
      <c r="M161" s="171"/>
      <c r="N161" s="171"/>
      <c r="O161" s="171"/>
      <c r="P161" s="1"/>
      <c r="Q161" s="1"/>
    </row>
    <row r="162" spans="3:17" ht="18">
      <c r="C162" s="217"/>
      <c r="D162" s="154"/>
      <c r="E162" s="154"/>
      <c r="F162" s="154"/>
      <c r="G162" s="154"/>
      <c r="H162" s="111"/>
      <c r="I162" s="111"/>
      <c r="J162" s="171"/>
      <c r="K162" s="171"/>
      <c r="L162" s="171"/>
      <c r="M162" s="171"/>
      <c r="N162" s="171"/>
      <c r="P162" s="237" t="s">
        <v>126</v>
      </c>
      <c r="Q162" s="1"/>
    </row>
  </sheetData>
  <phoneticPr fontId="0" type="noConversion"/>
  <conditionalFormatting sqref="C17:C72">
    <cfRule type="cellIs" dxfId="129" priority="1" stopIfTrue="1" operator="equal">
      <formula>$I$10</formula>
    </cfRule>
  </conditionalFormatting>
  <conditionalFormatting sqref="C99:C154">
    <cfRule type="cellIs" dxfId="128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8"/>
  <dimension ref="A1:Q162"/>
  <sheetViews>
    <sheetView view="pageBreakPreview" zoomScale="75" zoomScaleNormal="100" zoomScaleSheetLayoutView="75" workbookViewId="0">
      <selection activeCell="C19" sqref="C19"/>
    </sheetView>
  </sheetViews>
  <sheetFormatPr defaultRowHeight="12.75" customHeight="1"/>
  <cols>
    <col min="1" max="1" width="4.7109375" customWidth="1"/>
    <col min="2" max="2" width="6.7109375" customWidth="1"/>
    <col min="3" max="3" width="23.28515625" customWidth="1"/>
    <col min="4" max="8" width="17.7109375" customWidth="1"/>
    <col min="9" max="9" width="20.42578125" customWidth="1"/>
    <col min="10" max="10" width="16.42578125" customWidth="1"/>
    <col min="11" max="11" width="17.7109375" customWidth="1"/>
    <col min="12" max="12" width="16.140625" customWidth="1"/>
    <col min="13" max="13" width="17.7109375" customWidth="1"/>
    <col min="14" max="14" width="16.140625" customWidth="1"/>
    <col min="15" max="15" width="16.85546875" customWidth="1"/>
    <col min="16" max="16" width="24.42578125" customWidth="1"/>
    <col min="17" max="17" width="4.7109375" customWidth="1"/>
    <col min="18" max="18" width="9.140625" customWidth="1"/>
    <col min="23" max="23" width="9.140625" customWidth="1"/>
  </cols>
  <sheetData>
    <row r="1" spans="1:17" ht="20.25">
      <c r="A1" s="243" t="s">
        <v>128</v>
      </c>
      <c r="B1" s="1"/>
      <c r="C1" s="21"/>
      <c r="D1" s="2"/>
      <c r="E1" s="1"/>
      <c r="F1" s="99"/>
      <c r="G1" s="1"/>
      <c r="H1" s="3"/>
      <c r="J1" s="7"/>
      <c r="K1" s="109"/>
      <c r="L1" s="109"/>
      <c r="M1" s="109"/>
      <c r="P1" s="249" t="str">
        <f ca="1">"SWEPCO Project "&amp;RIGHT(MID(CELL("filename",$A$1),FIND("]",CELL("filename",$A$1))+1,256),2)&amp;" of "&amp;COUNT('S.001:S.xyz - blank'!$P$3)-1</f>
        <v>SWEPCO Project 19 of 73</v>
      </c>
      <c r="Q1" s="108"/>
    </row>
    <row r="2" spans="1:17" ht="18">
      <c r="B2" s="1"/>
      <c r="C2" s="1"/>
      <c r="D2" s="2"/>
      <c r="E2" s="1"/>
      <c r="F2" s="1"/>
      <c r="G2" s="1"/>
      <c r="H2" s="3"/>
      <c r="I2" s="1"/>
      <c r="J2" s="4"/>
      <c r="K2" s="1"/>
      <c r="L2" s="1"/>
      <c r="M2" s="1"/>
      <c r="N2" s="1"/>
      <c r="P2" s="237" t="s">
        <v>124</v>
      </c>
    </row>
    <row r="3" spans="1:17" ht="18.75">
      <c r="B3" s="5" t="s">
        <v>40</v>
      </c>
      <c r="C3" s="68" t="s">
        <v>41</v>
      </c>
      <c r="D3" s="2"/>
      <c r="E3" s="1"/>
      <c r="F3" s="1"/>
      <c r="G3" s="1"/>
      <c r="H3" s="3"/>
      <c r="I3" s="3"/>
      <c r="J3" s="111"/>
      <c r="K3" s="3"/>
      <c r="L3" s="3"/>
      <c r="M3" s="3"/>
      <c r="N3" s="3"/>
      <c r="O3" s="1" t="str">
        <f>RIGHT(N3,3)</f>
        <v/>
      </c>
      <c r="P3" s="239">
        <v>1</v>
      </c>
    </row>
    <row r="4" spans="1:17" ht="15.75" thickBot="1">
      <c r="C4" s="67"/>
      <c r="D4" s="2"/>
      <c r="E4" s="1"/>
      <c r="F4" s="1"/>
      <c r="G4" s="1"/>
      <c r="H4" s="3"/>
      <c r="I4" s="3"/>
      <c r="J4" s="111"/>
      <c r="K4" s="3"/>
      <c r="L4" s="3"/>
      <c r="M4" s="3"/>
      <c r="N4" s="3"/>
      <c r="O4" s="1"/>
      <c r="P4" s="1"/>
    </row>
    <row r="5" spans="1:17" ht="15">
      <c r="C5" s="112" t="s">
        <v>42</v>
      </c>
      <c r="D5" s="2"/>
      <c r="E5" s="1"/>
      <c r="F5" s="1"/>
      <c r="G5" s="113"/>
      <c r="H5" s="1" t="s">
        <v>43</v>
      </c>
      <c r="I5" s="1"/>
      <c r="J5" s="4"/>
      <c r="K5" s="268" t="s">
        <v>152</v>
      </c>
      <c r="L5" s="114"/>
      <c r="M5" s="115"/>
      <c r="N5" s="116">
        <f>VLOOKUP(I10,C17:I72,5)</f>
        <v>436084.01666239509</v>
      </c>
      <c r="P5" s="1"/>
    </row>
    <row r="6" spans="1:17" ht="15.75">
      <c r="C6" s="8"/>
      <c r="D6" s="2"/>
      <c r="E6" s="1"/>
      <c r="F6" s="1"/>
      <c r="G6" s="1"/>
      <c r="H6" s="117"/>
      <c r="I6" s="117"/>
      <c r="J6" s="118"/>
      <c r="K6" s="269" t="s">
        <v>153</v>
      </c>
      <c r="L6" s="119"/>
      <c r="M6" s="4"/>
      <c r="N6" s="120">
        <f>VLOOKUP(I10,C17:I72,6)</f>
        <v>436084.01666239509</v>
      </c>
      <c r="O6" s="1"/>
      <c r="P6" s="1"/>
    </row>
    <row r="7" spans="1:17" ht="13.5" thickBot="1">
      <c r="C7" s="121" t="s">
        <v>44</v>
      </c>
      <c r="D7" s="273" t="s">
        <v>231</v>
      </c>
      <c r="E7" s="1"/>
      <c r="F7" s="1"/>
      <c r="G7" s="1"/>
      <c r="H7" s="3"/>
      <c r="I7" s="3"/>
      <c r="J7" s="111"/>
      <c r="K7" s="122" t="s">
        <v>45</v>
      </c>
      <c r="L7" s="123"/>
      <c r="M7" s="123"/>
      <c r="N7" s="124">
        <f>+N6-N5</f>
        <v>0</v>
      </c>
      <c r="O7" s="1"/>
      <c r="P7" s="1"/>
    </row>
    <row r="8" spans="1:17" ht="13.5" thickBot="1">
      <c r="C8" s="125"/>
      <c r="D8" s="247" t="str">
        <f>IF(D10&lt;100000,"DOES NOT MEET SPP $100,000 MINIMUM INVESTMENT FOR REGIONAL BPU SHARING.","")</f>
        <v/>
      </c>
      <c r="E8" s="126"/>
      <c r="F8" s="126"/>
      <c r="G8" s="126"/>
      <c r="H8" s="126"/>
      <c r="I8" s="126"/>
      <c r="J8" s="101"/>
      <c r="K8" s="126"/>
      <c r="L8" s="126"/>
      <c r="M8" s="126"/>
      <c r="N8" s="126"/>
      <c r="O8" s="101"/>
      <c r="P8" s="21"/>
    </row>
    <row r="9" spans="1:17" ht="13.5" thickBot="1">
      <c r="A9" s="103"/>
      <c r="C9" s="127" t="s">
        <v>46</v>
      </c>
      <c r="D9" s="225" t="s">
        <v>149</v>
      </c>
      <c r="E9" s="401" t="s">
        <v>400</v>
      </c>
      <c r="F9" s="128"/>
      <c r="G9" s="128"/>
      <c r="H9" s="128"/>
      <c r="I9" s="129"/>
      <c r="J9" s="130"/>
      <c r="O9" s="131"/>
      <c r="P9" s="4"/>
    </row>
    <row r="10" spans="1:17">
      <c r="C10" s="132" t="s">
        <v>47</v>
      </c>
      <c r="D10" s="133">
        <v>4480167.62</v>
      </c>
      <c r="E10" s="61" t="s">
        <v>459</v>
      </c>
      <c r="F10" s="131"/>
      <c r="G10" s="134"/>
      <c r="H10" s="134"/>
      <c r="I10" s="135">
        <f>+SWE.WS.F.BPU.ATRR.Projected!K17</f>
        <v>2019</v>
      </c>
      <c r="J10" s="130"/>
      <c r="K10" s="111" t="s">
        <v>48</v>
      </c>
      <c r="O10" s="4"/>
      <c r="P10" s="4"/>
    </row>
    <row r="11" spans="1:17">
      <c r="C11" s="136" t="s">
        <v>49</v>
      </c>
      <c r="D11" s="137">
        <v>2008</v>
      </c>
      <c r="E11" s="136" t="s">
        <v>50</v>
      </c>
      <c r="F11" s="134"/>
      <c r="G11" s="7"/>
      <c r="H11" s="7"/>
      <c r="I11" s="138">
        <v>0</v>
      </c>
      <c r="J11" s="139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4"/>
      <c r="P11" s="4"/>
    </row>
    <row r="12" spans="1:17">
      <c r="C12" s="136" t="s">
        <v>51</v>
      </c>
      <c r="D12" s="133">
        <v>5</v>
      </c>
      <c r="E12" s="136" t="s">
        <v>52</v>
      </c>
      <c r="F12" s="134"/>
      <c r="G12" s="7"/>
      <c r="H12" s="7"/>
      <c r="I12" s="140">
        <f>SWE.WS.F.BPU.ATRR.Projected!$F$76</f>
        <v>9.9555672459071778E-2</v>
      </c>
      <c r="J12" s="141"/>
      <c r="K12" t="s">
        <v>53</v>
      </c>
      <c r="O12" s="4"/>
      <c r="P12" s="4"/>
    </row>
    <row r="13" spans="1:17">
      <c r="C13" s="136" t="s">
        <v>54</v>
      </c>
      <c r="D13" s="138">
        <f>+SWE.WS.F.BPU.ATRR.Projected!F$87</f>
        <v>43</v>
      </c>
      <c r="E13" s="136" t="s">
        <v>55</v>
      </c>
      <c r="F13" s="134"/>
      <c r="G13" s="7"/>
      <c r="H13" s="7"/>
      <c r="I13" s="140">
        <f>IF(G5="",I12,SWE.WS.F.BPU.ATRR.Projected!$F$75)</f>
        <v>9.9555672459071778E-2</v>
      </c>
      <c r="J13" s="141"/>
      <c r="K13" s="111" t="s">
        <v>56</v>
      </c>
      <c r="L13" s="58"/>
      <c r="M13" s="58"/>
      <c r="N13" s="58"/>
      <c r="O13" s="4"/>
      <c r="P13" s="4"/>
    </row>
    <row r="14" spans="1:17" ht="13.5" thickBot="1">
      <c r="C14" s="136" t="s">
        <v>57</v>
      </c>
      <c r="D14" s="137" t="s">
        <v>58</v>
      </c>
      <c r="E14" s="4" t="s">
        <v>59</v>
      </c>
      <c r="F14" s="134"/>
      <c r="G14" s="7"/>
      <c r="H14" s="7"/>
      <c r="I14" s="142">
        <f>IF(D10=0,0,D10/D13)</f>
        <v>104189.94465116279</v>
      </c>
      <c r="J14" s="111"/>
      <c r="K14" s="111"/>
      <c r="L14" s="111"/>
      <c r="M14" s="111"/>
      <c r="N14" s="111"/>
      <c r="O14" s="4"/>
      <c r="P14" s="4"/>
    </row>
    <row r="15" spans="1:17" ht="38.25">
      <c r="C15" s="143" t="s">
        <v>47</v>
      </c>
      <c r="D15" s="144" t="s">
        <v>60</v>
      </c>
      <c r="E15" s="144" t="s">
        <v>61</v>
      </c>
      <c r="F15" s="144" t="s">
        <v>62</v>
      </c>
      <c r="G15" s="434" t="s">
        <v>378</v>
      </c>
      <c r="H15" s="435" t="s">
        <v>379</v>
      </c>
      <c r="I15" s="351" t="s">
        <v>249</v>
      </c>
      <c r="J15" s="145"/>
      <c r="K15" s="271" t="s">
        <v>219</v>
      </c>
      <c r="L15" s="146" t="s">
        <v>64</v>
      </c>
      <c r="M15" s="271" t="s">
        <v>219</v>
      </c>
      <c r="N15" s="146" t="s">
        <v>64</v>
      </c>
      <c r="O15" s="146" t="s">
        <v>65</v>
      </c>
      <c r="P15" s="4"/>
    </row>
    <row r="16" spans="1:17" ht="13.5" thickBot="1">
      <c r="C16" s="147" t="s">
        <v>66</v>
      </c>
      <c r="D16" s="147" t="s">
        <v>67</v>
      </c>
      <c r="E16" s="147" t="s">
        <v>68</v>
      </c>
      <c r="F16" s="147" t="s">
        <v>67</v>
      </c>
      <c r="G16" s="408" t="s">
        <v>69</v>
      </c>
      <c r="H16" s="148" t="s">
        <v>70</v>
      </c>
      <c r="I16" s="149" t="s">
        <v>89</v>
      </c>
      <c r="J16" s="150" t="s">
        <v>71</v>
      </c>
      <c r="K16" s="151" t="s">
        <v>72</v>
      </c>
      <c r="L16" s="151" t="s">
        <v>72</v>
      </c>
      <c r="M16" s="151" t="s">
        <v>90</v>
      </c>
      <c r="N16" s="152" t="s">
        <v>90</v>
      </c>
      <c r="O16" s="151" t="s">
        <v>90</v>
      </c>
      <c r="P16" s="4"/>
    </row>
    <row r="17" spans="2:16">
      <c r="C17" s="153">
        <f>IF(D11= "","-",D11)</f>
        <v>2008</v>
      </c>
      <c r="D17" s="357">
        <v>2811966</v>
      </c>
      <c r="E17" s="358">
        <v>44333</v>
      </c>
      <c r="F17" s="357">
        <v>2767633</v>
      </c>
      <c r="G17" s="358">
        <v>327116</v>
      </c>
      <c r="H17" s="359">
        <v>327116</v>
      </c>
      <c r="I17" s="398">
        <f t="shared" ref="I17:I48" si="0">H17-G17</f>
        <v>0</v>
      </c>
      <c r="J17" s="156"/>
      <c r="K17" s="256">
        <v>0</v>
      </c>
      <c r="L17" s="172">
        <f t="shared" ref="L17:L48" si="1">IF(K17&lt;&gt;0,+G17-K17,0)</f>
        <v>0</v>
      </c>
      <c r="M17" s="256">
        <v>0</v>
      </c>
      <c r="N17" s="157">
        <f t="shared" ref="N17:N48" si="2">IF(M17&lt;&gt;0,+H17-M17,0)</f>
        <v>0</v>
      </c>
      <c r="O17" s="158">
        <f t="shared" ref="O17:O48" si="3">+N17-L17</f>
        <v>0</v>
      </c>
      <c r="P17" s="4"/>
    </row>
    <row r="18" spans="2:16">
      <c r="B18" s="9" t="str">
        <f>IF(D18=F17,"","IU")</f>
        <v/>
      </c>
      <c r="C18" s="153">
        <f>IF(D11="","-",+C17+1)</f>
        <v>2009</v>
      </c>
      <c r="D18" s="361">
        <v>2767633</v>
      </c>
      <c r="E18" s="360">
        <v>75999</v>
      </c>
      <c r="F18" s="361">
        <v>2691634</v>
      </c>
      <c r="G18" s="360">
        <v>488525</v>
      </c>
      <c r="H18" s="359">
        <v>488525</v>
      </c>
      <c r="I18" s="398">
        <f t="shared" si="0"/>
        <v>0</v>
      </c>
      <c r="J18" s="156"/>
      <c r="K18" s="258">
        <v>488525</v>
      </c>
      <c r="L18" s="158">
        <f t="shared" si="1"/>
        <v>0</v>
      </c>
      <c r="M18" s="258">
        <v>488525</v>
      </c>
      <c r="N18" s="158">
        <f t="shared" si="2"/>
        <v>0</v>
      </c>
      <c r="O18" s="158">
        <f t="shared" si="3"/>
        <v>0</v>
      </c>
      <c r="P18" s="4"/>
    </row>
    <row r="19" spans="2:16">
      <c r="B19" s="9" t="str">
        <f>IF(D19=F18,"","IU")</f>
        <v>IU</v>
      </c>
      <c r="C19" s="153">
        <f>IF(D11="","-",+C18+1)</f>
        <v>2010</v>
      </c>
      <c r="D19" s="361">
        <v>4359835.62</v>
      </c>
      <c r="E19" s="360">
        <v>117899.14789473685</v>
      </c>
      <c r="F19" s="361">
        <v>4241936.4721052628</v>
      </c>
      <c r="G19" s="360">
        <v>727741.14153838763</v>
      </c>
      <c r="H19" s="359">
        <v>727741.14153838763</v>
      </c>
      <c r="I19" s="399">
        <v>0</v>
      </c>
      <c r="J19" s="156"/>
      <c r="K19" s="258">
        <f t="shared" ref="K19:K24" si="4">G19</f>
        <v>727741.14153838763</v>
      </c>
      <c r="L19" s="257">
        <f t="shared" si="1"/>
        <v>0</v>
      </c>
      <c r="M19" s="258">
        <f t="shared" ref="M19:M24" si="5">H19</f>
        <v>727741.14153838763</v>
      </c>
      <c r="N19" s="158">
        <f t="shared" si="2"/>
        <v>0</v>
      </c>
      <c r="O19" s="158">
        <f t="shared" si="3"/>
        <v>0</v>
      </c>
      <c r="P19" s="4"/>
    </row>
    <row r="20" spans="2:16">
      <c r="B20" s="9" t="str">
        <f t="shared" ref="B20:B72" si="6">IF(D20=F19,"","IU")</f>
        <v/>
      </c>
      <c r="C20" s="153">
        <f>IF(D11="","-",+C19+1)</f>
        <v>2011</v>
      </c>
      <c r="D20" s="361">
        <v>4241936.4721052628</v>
      </c>
      <c r="E20" s="360">
        <v>109272.38097560976</v>
      </c>
      <c r="F20" s="361">
        <v>4132664.0911296532</v>
      </c>
      <c r="G20" s="360">
        <v>754762.21273088234</v>
      </c>
      <c r="H20" s="359">
        <v>754762.21273088234</v>
      </c>
      <c r="I20" s="399">
        <v>0</v>
      </c>
      <c r="J20" s="156"/>
      <c r="K20" s="258">
        <f t="shared" si="4"/>
        <v>754762.21273088234</v>
      </c>
      <c r="L20" s="257">
        <f t="shared" si="1"/>
        <v>0</v>
      </c>
      <c r="M20" s="258">
        <f t="shared" si="5"/>
        <v>754762.21273088234</v>
      </c>
      <c r="N20" s="158">
        <f t="shared" si="2"/>
        <v>0</v>
      </c>
      <c r="O20" s="158">
        <f t="shared" si="3"/>
        <v>0</v>
      </c>
      <c r="P20" s="4"/>
    </row>
    <row r="21" spans="2:16">
      <c r="B21" s="9" t="str">
        <f t="shared" si="6"/>
        <v/>
      </c>
      <c r="C21" s="153">
        <f>IF(D12="","-",+C20+1)</f>
        <v>2012</v>
      </c>
      <c r="D21" s="361">
        <v>4132664.0911296532</v>
      </c>
      <c r="E21" s="377">
        <v>106670.65761904762</v>
      </c>
      <c r="F21" s="361">
        <v>4025993.4335106057</v>
      </c>
      <c r="G21" s="360">
        <v>705416.96496110456</v>
      </c>
      <c r="H21" s="359">
        <v>705416.96496110456</v>
      </c>
      <c r="I21" s="399">
        <v>0</v>
      </c>
      <c r="J21" s="156"/>
      <c r="K21" s="258">
        <f t="shared" si="4"/>
        <v>705416.96496110456</v>
      </c>
      <c r="L21" s="257">
        <f t="shared" si="1"/>
        <v>0</v>
      </c>
      <c r="M21" s="258">
        <f t="shared" si="5"/>
        <v>705416.96496110456</v>
      </c>
      <c r="N21" s="158">
        <f t="shared" si="2"/>
        <v>0</v>
      </c>
      <c r="O21" s="158">
        <f t="shared" si="3"/>
        <v>0</v>
      </c>
      <c r="P21" s="4"/>
    </row>
    <row r="22" spans="2:16">
      <c r="B22" s="9" t="str">
        <f t="shared" si="6"/>
        <v/>
      </c>
      <c r="C22" s="153">
        <f>IF(D11="","-",+C21+1)</f>
        <v>2013</v>
      </c>
      <c r="D22" s="396">
        <v>4025993.4335106057</v>
      </c>
      <c r="E22" s="397">
        <v>106670.65761904762</v>
      </c>
      <c r="F22" s="396">
        <v>3919322.7758915583</v>
      </c>
      <c r="G22" s="397">
        <v>655325.21672934014</v>
      </c>
      <c r="H22" s="395">
        <v>655325.21672934014</v>
      </c>
      <c r="I22" s="398">
        <v>0</v>
      </c>
      <c r="J22" s="156"/>
      <c r="K22" s="258">
        <f t="shared" si="4"/>
        <v>655325.21672934014</v>
      </c>
      <c r="L22" s="257">
        <f t="shared" ref="L22:L27" si="7">IF(K22&lt;&gt;0,+G22-K22,0)</f>
        <v>0</v>
      </c>
      <c r="M22" s="258">
        <f t="shared" si="5"/>
        <v>655325.21672934014</v>
      </c>
      <c r="N22" s="158">
        <f t="shared" ref="N22:N27" si="8">IF(M22&lt;&gt;0,+H22-M22,0)</f>
        <v>0</v>
      </c>
      <c r="O22" s="158">
        <f t="shared" ref="O22:O27" si="9">+N22-L22</f>
        <v>0</v>
      </c>
      <c r="P22" s="4"/>
    </row>
    <row r="23" spans="2:16">
      <c r="B23" s="9" t="str">
        <f t="shared" si="6"/>
        <v/>
      </c>
      <c r="C23" s="153">
        <f>IF(D11="","-",+C22+1)</f>
        <v>2014</v>
      </c>
      <c r="D23" s="396">
        <v>3919322.7758915583</v>
      </c>
      <c r="E23" s="397">
        <v>106670.65761904762</v>
      </c>
      <c r="F23" s="396">
        <v>3812652.1182725108</v>
      </c>
      <c r="G23" s="397">
        <v>621037.49267561059</v>
      </c>
      <c r="H23" s="395">
        <v>621037.49267561059</v>
      </c>
      <c r="I23" s="398">
        <v>0</v>
      </c>
      <c r="J23" s="156"/>
      <c r="K23" s="258">
        <f t="shared" si="4"/>
        <v>621037.49267561059</v>
      </c>
      <c r="L23" s="257">
        <f t="shared" si="7"/>
        <v>0</v>
      </c>
      <c r="M23" s="258">
        <f t="shared" si="5"/>
        <v>621037.49267561059</v>
      </c>
      <c r="N23" s="158">
        <f t="shared" si="8"/>
        <v>0</v>
      </c>
      <c r="O23" s="158">
        <f t="shared" si="9"/>
        <v>0</v>
      </c>
      <c r="P23" s="4"/>
    </row>
    <row r="24" spans="2:16">
      <c r="B24" s="9" t="str">
        <f t="shared" si="6"/>
        <v/>
      </c>
      <c r="C24" s="153">
        <f>IF(D11="","-",+C23+1)</f>
        <v>2015</v>
      </c>
      <c r="D24" s="396">
        <v>3812652.1182725108</v>
      </c>
      <c r="E24" s="397">
        <v>106670.65761904762</v>
      </c>
      <c r="F24" s="396">
        <v>3705981.4606534634</v>
      </c>
      <c r="G24" s="397">
        <v>594766.20831186429</v>
      </c>
      <c r="H24" s="395">
        <v>594766.20831186429</v>
      </c>
      <c r="I24" s="156">
        <v>0</v>
      </c>
      <c r="J24" s="156"/>
      <c r="K24" s="258">
        <f t="shared" si="4"/>
        <v>594766.20831186429</v>
      </c>
      <c r="L24" s="257">
        <f t="shared" si="7"/>
        <v>0</v>
      </c>
      <c r="M24" s="258">
        <f t="shared" si="5"/>
        <v>594766.20831186429</v>
      </c>
      <c r="N24" s="158">
        <f t="shared" si="8"/>
        <v>0</v>
      </c>
      <c r="O24" s="158">
        <f t="shared" si="9"/>
        <v>0</v>
      </c>
      <c r="P24" s="4"/>
    </row>
    <row r="25" spans="2:16">
      <c r="B25" s="9" t="str">
        <f t="shared" si="6"/>
        <v/>
      </c>
      <c r="C25" s="153">
        <f>IF(D11="","-",+C24+1)</f>
        <v>2016</v>
      </c>
      <c r="D25" s="396">
        <v>3705981.4606534634</v>
      </c>
      <c r="E25" s="397">
        <v>106670.65761904762</v>
      </c>
      <c r="F25" s="396">
        <v>3599310.8030344159</v>
      </c>
      <c r="G25" s="397">
        <v>574868.91696308763</v>
      </c>
      <c r="H25" s="395">
        <v>574868.91696308763</v>
      </c>
      <c r="I25" s="156">
        <f t="shared" si="0"/>
        <v>0</v>
      </c>
      <c r="J25" s="156"/>
      <c r="K25" s="258">
        <f>G25</f>
        <v>574868.91696308763</v>
      </c>
      <c r="L25" s="257">
        <f t="shared" si="7"/>
        <v>0</v>
      </c>
      <c r="M25" s="258">
        <f>H25</f>
        <v>574868.91696308763</v>
      </c>
      <c r="N25" s="158">
        <f t="shared" si="8"/>
        <v>0</v>
      </c>
      <c r="O25" s="158">
        <f t="shared" si="9"/>
        <v>0</v>
      </c>
      <c r="P25" s="4"/>
    </row>
    <row r="26" spans="2:16">
      <c r="B26" s="9" t="str">
        <f t="shared" si="6"/>
        <v/>
      </c>
      <c r="C26" s="153">
        <f>IF(D11="","-",+C25+1)</f>
        <v>2017</v>
      </c>
      <c r="D26" s="396">
        <v>3599310.8030344159</v>
      </c>
      <c r="E26" s="397">
        <v>104189.94465116279</v>
      </c>
      <c r="F26" s="396">
        <v>3495120.8583832532</v>
      </c>
      <c r="G26" s="397">
        <v>543663.50120193616</v>
      </c>
      <c r="H26" s="395">
        <v>543663.50120193616</v>
      </c>
      <c r="I26" s="156">
        <v>0</v>
      </c>
      <c r="J26" s="156"/>
      <c r="K26" s="258">
        <f>G26</f>
        <v>543663.50120193616</v>
      </c>
      <c r="L26" s="257">
        <f t="shared" si="7"/>
        <v>0</v>
      </c>
      <c r="M26" s="258">
        <f>H26</f>
        <v>543663.50120193616</v>
      </c>
      <c r="N26" s="158">
        <f t="shared" si="8"/>
        <v>0</v>
      </c>
      <c r="O26" s="158">
        <f t="shared" si="9"/>
        <v>0</v>
      </c>
      <c r="P26" s="4"/>
    </row>
    <row r="27" spans="2:16">
      <c r="B27" s="9" t="str">
        <f t="shared" si="6"/>
        <v/>
      </c>
      <c r="C27" s="153">
        <f>IF(D11="","-",+C26+1)</f>
        <v>2018</v>
      </c>
      <c r="D27" s="396">
        <v>3495120.8583832532</v>
      </c>
      <c r="E27" s="397">
        <v>109272.38097560976</v>
      </c>
      <c r="F27" s="396">
        <v>3385848.4774076436</v>
      </c>
      <c r="G27" s="397">
        <v>494208.29019330326</v>
      </c>
      <c r="H27" s="395">
        <v>494208.29019330326</v>
      </c>
      <c r="I27" s="156">
        <f t="shared" si="0"/>
        <v>0</v>
      </c>
      <c r="J27" s="156"/>
      <c r="K27" s="258">
        <f>G27</f>
        <v>494208.29019330326</v>
      </c>
      <c r="L27" s="257">
        <f t="shared" si="7"/>
        <v>0</v>
      </c>
      <c r="M27" s="258">
        <f>H27</f>
        <v>494208.29019330326</v>
      </c>
      <c r="N27" s="158">
        <f t="shared" si="8"/>
        <v>0</v>
      </c>
      <c r="O27" s="158">
        <f t="shared" si="9"/>
        <v>0</v>
      </c>
      <c r="P27" s="4"/>
    </row>
    <row r="28" spans="2:16">
      <c r="B28" s="9" t="str">
        <f t="shared" si="6"/>
        <v/>
      </c>
      <c r="C28" s="153">
        <f>IF(D11="","-",+C27+1)</f>
        <v>2019</v>
      </c>
      <c r="D28" s="159">
        <f>IF(F27+SUM(E$17:E27)=D$10,F27,D$10-SUM(E$17:E27))</f>
        <v>3385848.4774076436</v>
      </c>
      <c r="E28" s="160">
        <f>IF(+I14&lt;F27,I14,D28)</f>
        <v>104189.94465116279</v>
      </c>
      <c r="F28" s="159">
        <f t="shared" ref="F28:F48" si="10">+D28-E28</f>
        <v>3281658.5327564809</v>
      </c>
      <c r="G28" s="161">
        <f t="shared" ref="G28:G72" si="11">+I$12*((D28+F28)/2)+E28</f>
        <v>436084.01666239509</v>
      </c>
      <c r="H28" s="142">
        <f t="shared" ref="H28:H72" si="12">+I$13*((D28+F28)/2)+E28</f>
        <v>436084.01666239509</v>
      </c>
      <c r="I28" s="156">
        <f t="shared" si="0"/>
        <v>0</v>
      </c>
      <c r="J28" s="156"/>
      <c r="K28" s="334"/>
      <c r="L28" s="158">
        <f t="shared" si="1"/>
        <v>0</v>
      </c>
      <c r="M28" s="334"/>
      <c r="N28" s="158">
        <f t="shared" si="2"/>
        <v>0</v>
      </c>
      <c r="O28" s="158">
        <f t="shared" si="3"/>
        <v>0</v>
      </c>
      <c r="P28" s="4"/>
    </row>
    <row r="29" spans="2:16">
      <c r="B29" s="9" t="str">
        <f t="shared" si="6"/>
        <v/>
      </c>
      <c r="C29" s="153">
        <f>IF(D11="","-",+C28+1)</f>
        <v>2020</v>
      </c>
      <c r="D29" s="159">
        <f>IF(F28+SUM(E$17:E28)=D$10,F28,D$10-SUM(E$17:E28))</f>
        <v>3281658.5327564809</v>
      </c>
      <c r="E29" s="160">
        <f>IF(+I14&lt;F28,I14,D29)</f>
        <v>104189.94465116279</v>
      </c>
      <c r="F29" s="159">
        <f t="shared" si="10"/>
        <v>3177468.5881053181</v>
      </c>
      <c r="G29" s="161">
        <f t="shared" si="11"/>
        <v>425711.31665917503</v>
      </c>
      <c r="H29" s="142">
        <f t="shared" si="12"/>
        <v>425711.31665917503</v>
      </c>
      <c r="I29" s="156">
        <f t="shared" si="0"/>
        <v>0</v>
      </c>
      <c r="J29" s="156"/>
      <c r="K29" s="334"/>
      <c r="L29" s="158">
        <f t="shared" si="1"/>
        <v>0</v>
      </c>
      <c r="M29" s="334"/>
      <c r="N29" s="158">
        <f t="shared" si="2"/>
        <v>0</v>
      </c>
      <c r="O29" s="158">
        <f t="shared" si="3"/>
        <v>0</v>
      </c>
      <c r="P29" s="4"/>
    </row>
    <row r="30" spans="2:16">
      <c r="B30" s="9" t="str">
        <f t="shared" si="6"/>
        <v/>
      </c>
      <c r="C30" s="153">
        <f>IF(D11="","-",+C29+1)</f>
        <v>2021</v>
      </c>
      <c r="D30" s="159">
        <f>IF(F29+SUM(E$17:E29)=D$10,F29,D$10-SUM(E$17:E29))</f>
        <v>3177468.5881053181</v>
      </c>
      <c r="E30" s="160">
        <f>IF(+I14&lt;F29,I14,D30)</f>
        <v>104189.94465116279</v>
      </c>
      <c r="F30" s="159">
        <f t="shared" si="10"/>
        <v>3073278.6434541554</v>
      </c>
      <c r="G30" s="161">
        <f t="shared" si="11"/>
        <v>415338.61665595515</v>
      </c>
      <c r="H30" s="142">
        <f t="shared" si="12"/>
        <v>415338.61665595515</v>
      </c>
      <c r="I30" s="156">
        <f t="shared" si="0"/>
        <v>0</v>
      </c>
      <c r="J30" s="156"/>
      <c r="K30" s="334"/>
      <c r="L30" s="158">
        <f t="shared" si="1"/>
        <v>0</v>
      </c>
      <c r="M30" s="334"/>
      <c r="N30" s="158">
        <f t="shared" si="2"/>
        <v>0</v>
      </c>
      <c r="O30" s="158">
        <f t="shared" si="3"/>
        <v>0</v>
      </c>
      <c r="P30" s="4"/>
    </row>
    <row r="31" spans="2:16">
      <c r="B31" s="9" t="str">
        <f t="shared" si="6"/>
        <v/>
      </c>
      <c r="C31" s="153">
        <f>IF(D11="","-",+C30+1)</f>
        <v>2022</v>
      </c>
      <c r="D31" s="159">
        <f>IF(F30+SUM(E$17:E30)=D$10,F30,D$10-SUM(E$17:E30))</f>
        <v>3073278.6434541554</v>
      </c>
      <c r="E31" s="160">
        <f>IF(+I14&lt;F30,I14,D31)</f>
        <v>104189.94465116279</v>
      </c>
      <c r="F31" s="159">
        <f t="shared" si="10"/>
        <v>2969088.6988029927</v>
      </c>
      <c r="G31" s="161">
        <f t="shared" si="11"/>
        <v>404965.91665273509</v>
      </c>
      <c r="H31" s="142">
        <f t="shared" si="12"/>
        <v>404965.91665273509</v>
      </c>
      <c r="I31" s="156">
        <f t="shared" si="0"/>
        <v>0</v>
      </c>
      <c r="J31" s="156"/>
      <c r="K31" s="334"/>
      <c r="L31" s="158">
        <f t="shared" si="1"/>
        <v>0</v>
      </c>
      <c r="M31" s="334"/>
      <c r="N31" s="158">
        <f t="shared" si="2"/>
        <v>0</v>
      </c>
      <c r="O31" s="158">
        <f t="shared" si="3"/>
        <v>0</v>
      </c>
      <c r="P31" s="4"/>
    </row>
    <row r="32" spans="2:16">
      <c r="B32" s="9" t="str">
        <f t="shared" si="6"/>
        <v/>
      </c>
      <c r="C32" s="153">
        <f>IF(D11="","-",+C31+1)</f>
        <v>2023</v>
      </c>
      <c r="D32" s="159">
        <f>IF(F31+SUM(E$17:E31)=D$10,F31,D$10-SUM(E$17:E31))</f>
        <v>2969088.6988029927</v>
      </c>
      <c r="E32" s="160">
        <f>IF(+I14&lt;F31,I14,D32)</f>
        <v>104189.94465116279</v>
      </c>
      <c r="F32" s="159">
        <f t="shared" si="10"/>
        <v>2864898.75415183</v>
      </c>
      <c r="G32" s="161">
        <f t="shared" si="11"/>
        <v>394593.21664951515</v>
      </c>
      <c r="H32" s="142">
        <f t="shared" si="12"/>
        <v>394593.21664951515</v>
      </c>
      <c r="I32" s="156">
        <f t="shared" si="0"/>
        <v>0</v>
      </c>
      <c r="J32" s="156"/>
      <c r="K32" s="334"/>
      <c r="L32" s="158">
        <f t="shared" si="1"/>
        <v>0</v>
      </c>
      <c r="M32" s="334"/>
      <c r="N32" s="158">
        <f t="shared" si="2"/>
        <v>0</v>
      </c>
      <c r="O32" s="158">
        <f t="shared" si="3"/>
        <v>0</v>
      </c>
      <c r="P32" s="4"/>
    </row>
    <row r="33" spans="2:16">
      <c r="B33" s="9" t="str">
        <f t="shared" si="6"/>
        <v/>
      </c>
      <c r="C33" s="153">
        <f>IF(D11="","-",+C32+1)</f>
        <v>2024</v>
      </c>
      <c r="D33" s="159">
        <f>IF(F32+SUM(E$17:E32)=D$10,F32,D$10-SUM(E$17:E32))</f>
        <v>2864898.75415183</v>
      </c>
      <c r="E33" s="160">
        <f>IF(+I14&lt;F32,I14,D33)</f>
        <v>104189.94465116279</v>
      </c>
      <c r="F33" s="159">
        <f t="shared" si="10"/>
        <v>2760708.8095006673</v>
      </c>
      <c r="G33" s="161">
        <f t="shared" si="11"/>
        <v>384220.51664629515</v>
      </c>
      <c r="H33" s="142">
        <f t="shared" si="12"/>
        <v>384220.51664629515</v>
      </c>
      <c r="I33" s="156">
        <f t="shared" si="0"/>
        <v>0</v>
      </c>
      <c r="J33" s="156"/>
      <c r="K33" s="334"/>
      <c r="L33" s="158">
        <f t="shared" si="1"/>
        <v>0</v>
      </c>
      <c r="M33" s="334"/>
      <c r="N33" s="158">
        <f t="shared" si="2"/>
        <v>0</v>
      </c>
      <c r="O33" s="158">
        <f t="shared" si="3"/>
        <v>0</v>
      </c>
      <c r="P33" s="4"/>
    </row>
    <row r="34" spans="2:16">
      <c r="B34" s="9" t="str">
        <f t="shared" si="6"/>
        <v/>
      </c>
      <c r="C34" s="153">
        <f>IF(D11="","-",+C33+1)</f>
        <v>2025</v>
      </c>
      <c r="D34" s="159">
        <f>IF(F33+SUM(E$17:E33)=D$10,F33,D$10-SUM(E$17:E33))</f>
        <v>2760708.8095006673</v>
      </c>
      <c r="E34" s="160">
        <f>IF(+I14&lt;F33,I14,D34)</f>
        <v>104189.94465116279</v>
      </c>
      <c r="F34" s="159">
        <f t="shared" si="10"/>
        <v>2656518.8648495045</v>
      </c>
      <c r="G34" s="161">
        <f t="shared" si="11"/>
        <v>373847.8166430752</v>
      </c>
      <c r="H34" s="142">
        <f t="shared" si="12"/>
        <v>373847.8166430752</v>
      </c>
      <c r="I34" s="156">
        <f t="shared" si="0"/>
        <v>0</v>
      </c>
      <c r="J34" s="156"/>
      <c r="K34" s="334"/>
      <c r="L34" s="158">
        <f t="shared" si="1"/>
        <v>0</v>
      </c>
      <c r="M34" s="334"/>
      <c r="N34" s="158">
        <f t="shared" si="2"/>
        <v>0</v>
      </c>
      <c r="O34" s="158">
        <f t="shared" si="3"/>
        <v>0</v>
      </c>
      <c r="P34" s="4"/>
    </row>
    <row r="35" spans="2:16">
      <c r="B35" s="9" t="str">
        <f t="shared" si="6"/>
        <v/>
      </c>
      <c r="C35" s="153">
        <f>IF(D11="","-",+C34+1)</f>
        <v>2026</v>
      </c>
      <c r="D35" s="159">
        <f>IF(F34+SUM(E$17:E34)=D$10,F34,D$10-SUM(E$17:E34))</f>
        <v>2656518.8648495045</v>
      </c>
      <c r="E35" s="160">
        <f>IF(+I14&lt;F34,I14,D35)</f>
        <v>104189.94465116279</v>
      </c>
      <c r="F35" s="159">
        <f t="shared" si="10"/>
        <v>2552328.9201983418</v>
      </c>
      <c r="G35" s="161">
        <f t="shared" si="11"/>
        <v>363475.1166398552</v>
      </c>
      <c r="H35" s="142">
        <f t="shared" si="12"/>
        <v>363475.1166398552</v>
      </c>
      <c r="I35" s="156">
        <f t="shared" si="0"/>
        <v>0</v>
      </c>
      <c r="J35" s="156"/>
      <c r="K35" s="334"/>
      <c r="L35" s="158">
        <f t="shared" si="1"/>
        <v>0</v>
      </c>
      <c r="M35" s="334"/>
      <c r="N35" s="158">
        <f t="shared" si="2"/>
        <v>0</v>
      </c>
      <c r="O35" s="158">
        <f t="shared" si="3"/>
        <v>0</v>
      </c>
      <c r="P35" s="4"/>
    </row>
    <row r="36" spans="2:16">
      <c r="B36" s="9" t="str">
        <f t="shared" si="6"/>
        <v/>
      </c>
      <c r="C36" s="153">
        <f>IF(D11="","-",+C35+1)</f>
        <v>2027</v>
      </c>
      <c r="D36" s="159">
        <f>IF(F35+SUM(E$17:E35)=D$10,F35,D$10-SUM(E$17:E35))</f>
        <v>2552328.9201983418</v>
      </c>
      <c r="E36" s="160">
        <f>IF(+I14&lt;F35,I14,D36)</f>
        <v>104189.94465116279</v>
      </c>
      <c r="F36" s="159">
        <f t="shared" si="10"/>
        <v>2448138.9755471791</v>
      </c>
      <c r="G36" s="161">
        <f t="shared" si="11"/>
        <v>353102.41663663532</v>
      </c>
      <c r="H36" s="142">
        <f t="shared" si="12"/>
        <v>353102.41663663532</v>
      </c>
      <c r="I36" s="156">
        <f t="shared" si="0"/>
        <v>0</v>
      </c>
      <c r="J36" s="156"/>
      <c r="K36" s="334"/>
      <c r="L36" s="158">
        <f t="shared" si="1"/>
        <v>0</v>
      </c>
      <c r="M36" s="334"/>
      <c r="N36" s="158">
        <f t="shared" si="2"/>
        <v>0</v>
      </c>
      <c r="O36" s="158">
        <f t="shared" si="3"/>
        <v>0</v>
      </c>
      <c r="P36" s="4"/>
    </row>
    <row r="37" spans="2:16">
      <c r="B37" s="9" t="str">
        <f t="shared" si="6"/>
        <v/>
      </c>
      <c r="C37" s="153">
        <f>IF(D11="","-",+C36+1)</f>
        <v>2028</v>
      </c>
      <c r="D37" s="159">
        <f>IF(F36+SUM(E$17:E36)=D$10,F36,D$10-SUM(E$17:E36))</f>
        <v>2448138.9755471791</v>
      </c>
      <c r="E37" s="160">
        <f>IF(+I14&lt;F36,I14,D37)</f>
        <v>104189.94465116279</v>
      </c>
      <c r="F37" s="159">
        <f t="shared" si="10"/>
        <v>2343949.0308960164</v>
      </c>
      <c r="G37" s="161">
        <f t="shared" si="11"/>
        <v>342729.71663341526</v>
      </c>
      <c r="H37" s="142">
        <f t="shared" si="12"/>
        <v>342729.71663341526</v>
      </c>
      <c r="I37" s="156">
        <f t="shared" si="0"/>
        <v>0</v>
      </c>
      <c r="J37" s="156"/>
      <c r="K37" s="334"/>
      <c r="L37" s="158">
        <f t="shared" si="1"/>
        <v>0</v>
      </c>
      <c r="M37" s="334"/>
      <c r="N37" s="158">
        <f t="shared" si="2"/>
        <v>0</v>
      </c>
      <c r="O37" s="158">
        <f t="shared" si="3"/>
        <v>0</v>
      </c>
      <c r="P37" s="4"/>
    </row>
    <row r="38" spans="2:16">
      <c r="B38" s="9" t="str">
        <f t="shared" si="6"/>
        <v/>
      </c>
      <c r="C38" s="153">
        <f>IF(D11="","-",+C37+1)</f>
        <v>2029</v>
      </c>
      <c r="D38" s="159">
        <f>IF(F37+SUM(E$17:E37)=D$10,F37,D$10-SUM(E$17:E37))</f>
        <v>2343949.0308960164</v>
      </c>
      <c r="E38" s="160">
        <f>IF(+I14&lt;F37,I14,D38)</f>
        <v>104189.94465116279</v>
      </c>
      <c r="F38" s="159">
        <f t="shared" si="10"/>
        <v>2239759.0862448537</v>
      </c>
      <c r="G38" s="161">
        <f t="shared" si="11"/>
        <v>332357.01663019537</v>
      </c>
      <c r="H38" s="142">
        <f t="shared" si="12"/>
        <v>332357.01663019537</v>
      </c>
      <c r="I38" s="156">
        <f t="shared" si="0"/>
        <v>0</v>
      </c>
      <c r="J38" s="156"/>
      <c r="K38" s="334"/>
      <c r="L38" s="158">
        <f t="shared" si="1"/>
        <v>0</v>
      </c>
      <c r="M38" s="334"/>
      <c r="N38" s="158">
        <f t="shared" si="2"/>
        <v>0</v>
      </c>
      <c r="O38" s="158">
        <f t="shared" si="3"/>
        <v>0</v>
      </c>
      <c r="P38" s="4"/>
    </row>
    <row r="39" spans="2:16">
      <c r="B39" s="9" t="str">
        <f t="shared" si="6"/>
        <v/>
      </c>
      <c r="C39" s="153">
        <f>IF(D11="","-",+C38+1)</f>
        <v>2030</v>
      </c>
      <c r="D39" s="159">
        <f>IF(F38+SUM(E$17:E38)=D$10,F38,D$10-SUM(E$17:E38))</f>
        <v>2239759.0862448537</v>
      </c>
      <c r="E39" s="160">
        <f>IF(+I14&lt;F38,I14,D39)</f>
        <v>104189.94465116279</v>
      </c>
      <c r="F39" s="159">
        <f t="shared" si="10"/>
        <v>2135569.141593691</v>
      </c>
      <c r="G39" s="161">
        <f t="shared" si="11"/>
        <v>321984.31662697531</v>
      </c>
      <c r="H39" s="142">
        <f t="shared" si="12"/>
        <v>321984.31662697531</v>
      </c>
      <c r="I39" s="156">
        <f t="shared" si="0"/>
        <v>0</v>
      </c>
      <c r="J39" s="156"/>
      <c r="K39" s="334"/>
      <c r="L39" s="158">
        <f t="shared" si="1"/>
        <v>0</v>
      </c>
      <c r="M39" s="334"/>
      <c r="N39" s="158">
        <f t="shared" si="2"/>
        <v>0</v>
      </c>
      <c r="O39" s="158">
        <f t="shared" si="3"/>
        <v>0</v>
      </c>
      <c r="P39" s="4"/>
    </row>
    <row r="40" spans="2:16">
      <c r="B40" s="9" t="str">
        <f t="shared" si="6"/>
        <v/>
      </c>
      <c r="C40" s="153">
        <f>IF(D11="","-",+C39+1)</f>
        <v>2031</v>
      </c>
      <c r="D40" s="159">
        <f>IF(F39+SUM(E$17:E39)=D$10,F39,D$10-SUM(E$17:E39))</f>
        <v>2135569.141593691</v>
      </c>
      <c r="E40" s="160">
        <f>IF(+I14&lt;F39,I14,D40)</f>
        <v>104189.94465116279</v>
      </c>
      <c r="F40" s="159">
        <f t="shared" si="10"/>
        <v>2031379.1969425282</v>
      </c>
      <c r="G40" s="161">
        <f t="shared" si="11"/>
        <v>311611.61662375537</v>
      </c>
      <c r="H40" s="142">
        <f t="shared" si="12"/>
        <v>311611.61662375537</v>
      </c>
      <c r="I40" s="156">
        <f t="shared" si="0"/>
        <v>0</v>
      </c>
      <c r="J40" s="156"/>
      <c r="K40" s="334"/>
      <c r="L40" s="158">
        <f t="shared" si="1"/>
        <v>0</v>
      </c>
      <c r="M40" s="334"/>
      <c r="N40" s="158">
        <f t="shared" si="2"/>
        <v>0</v>
      </c>
      <c r="O40" s="158">
        <f t="shared" si="3"/>
        <v>0</v>
      </c>
      <c r="P40" s="4"/>
    </row>
    <row r="41" spans="2:16">
      <c r="B41" s="9" t="str">
        <f t="shared" si="6"/>
        <v/>
      </c>
      <c r="C41" s="153">
        <f>IF(D11="","-",+C40+1)</f>
        <v>2032</v>
      </c>
      <c r="D41" s="159">
        <f>IF(F40+SUM(E$17:E40)=D$10,F40,D$10-SUM(E$17:E40))</f>
        <v>2031379.1969425282</v>
      </c>
      <c r="E41" s="160">
        <f>IF(+I14&lt;F40,I14,D41)</f>
        <v>104189.94465116279</v>
      </c>
      <c r="F41" s="159">
        <f t="shared" si="10"/>
        <v>1927189.2522913655</v>
      </c>
      <c r="G41" s="161">
        <f t="shared" si="11"/>
        <v>301238.91662053543</v>
      </c>
      <c r="H41" s="142">
        <f t="shared" si="12"/>
        <v>301238.91662053543</v>
      </c>
      <c r="I41" s="156">
        <f t="shared" si="0"/>
        <v>0</v>
      </c>
      <c r="J41" s="156"/>
      <c r="K41" s="334"/>
      <c r="L41" s="158">
        <f t="shared" si="1"/>
        <v>0</v>
      </c>
      <c r="M41" s="334"/>
      <c r="N41" s="158">
        <f t="shared" si="2"/>
        <v>0</v>
      </c>
      <c r="O41" s="158">
        <f t="shared" si="3"/>
        <v>0</v>
      </c>
      <c r="P41" s="4"/>
    </row>
    <row r="42" spans="2:16">
      <c r="B42" s="9" t="str">
        <f t="shared" si="6"/>
        <v/>
      </c>
      <c r="C42" s="153">
        <f>IF(D11="","-",+C41+1)</f>
        <v>2033</v>
      </c>
      <c r="D42" s="159">
        <f>IF(F41+SUM(E$17:E41)=D$10,F41,D$10-SUM(E$17:E41))</f>
        <v>1927189.2522913655</v>
      </c>
      <c r="E42" s="160">
        <f>IF(+I14&lt;F41,I14,D42)</f>
        <v>104189.94465116279</v>
      </c>
      <c r="F42" s="159">
        <f t="shared" si="10"/>
        <v>1822999.3076402028</v>
      </c>
      <c r="G42" s="161">
        <f t="shared" si="11"/>
        <v>290866.21661731543</v>
      </c>
      <c r="H42" s="142">
        <f t="shared" si="12"/>
        <v>290866.21661731543</v>
      </c>
      <c r="I42" s="156">
        <f t="shared" si="0"/>
        <v>0</v>
      </c>
      <c r="J42" s="156"/>
      <c r="K42" s="334"/>
      <c r="L42" s="158">
        <f t="shared" si="1"/>
        <v>0</v>
      </c>
      <c r="M42" s="334"/>
      <c r="N42" s="158">
        <f t="shared" si="2"/>
        <v>0</v>
      </c>
      <c r="O42" s="158">
        <f t="shared" si="3"/>
        <v>0</v>
      </c>
      <c r="P42" s="4"/>
    </row>
    <row r="43" spans="2:16">
      <c r="B43" s="9" t="str">
        <f t="shared" si="6"/>
        <v/>
      </c>
      <c r="C43" s="153">
        <f>IF(D11="","-",+C42+1)</f>
        <v>2034</v>
      </c>
      <c r="D43" s="159">
        <f>IF(F42+SUM(E$17:E42)=D$10,F42,D$10-SUM(E$17:E42))</f>
        <v>1822999.3076402028</v>
      </c>
      <c r="E43" s="160">
        <f>IF(+I14&lt;F42,I14,D43)</f>
        <v>104189.94465116279</v>
      </c>
      <c r="F43" s="159">
        <f t="shared" si="10"/>
        <v>1718809.3629890401</v>
      </c>
      <c r="G43" s="161">
        <f t="shared" si="11"/>
        <v>280493.51661409548</v>
      </c>
      <c r="H43" s="142">
        <f t="shared" si="12"/>
        <v>280493.51661409548</v>
      </c>
      <c r="I43" s="156">
        <f t="shared" si="0"/>
        <v>0</v>
      </c>
      <c r="J43" s="156"/>
      <c r="K43" s="334"/>
      <c r="L43" s="158">
        <f t="shared" si="1"/>
        <v>0</v>
      </c>
      <c r="M43" s="334"/>
      <c r="N43" s="158">
        <f t="shared" si="2"/>
        <v>0</v>
      </c>
      <c r="O43" s="158">
        <f t="shared" si="3"/>
        <v>0</v>
      </c>
      <c r="P43" s="4"/>
    </row>
    <row r="44" spans="2:16">
      <c r="B44" s="9" t="str">
        <f t="shared" si="6"/>
        <v/>
      </c>
      <c r="C44" s="153">
        <f>IF(D11="","-",+C43+1)</f>
        <v>2035</v>
      </c>
      <c r="D44" s="159">
        <f>IF(F43+SUM(E$17:E43)=D$10,F43,D$10-SUM(E$17:E43))</f>
        <v>1718809.3629890401</v>
      </c>
      <c r="E44" s="160">
        <f>IF(+I14&lt;F43,I14,D44)</f>
        <v>104189.94465116279</v>
      </c>
      <c r="F44" s="159">
        <f t="shared" si="10"/>
        <v>1614619.4183378774</v>
      </c>
      <c r="G44" s="161">
        <f t="shared" si="11"/>
        <v>270120.81661087548</v>
      </c>
      <c r="H44" s="142">
        <f t="shared" si="12"/>
        <v>270120.81661087548</v>
      </c>
      <c r="I44" s="156">
        <f t="shared" si="0"/>
        <v>0</v>
      </c>
      <c r="J44" s="156"/>
      <c r="K44" s="334"/>
      <c r="L44" s="158">
        <f t="shared" si="1"/>
        <v>0</v>
      </c>
      <c r="M44" s="334"/>
      <c r="N44" s="158">
        <f t="shared" si="2"/>
        <v>0</v>
      </c>
      <c r="O44" s="158">
        <f t="shared" si="3"/>
        <v>0</v>
      </c>
      <c r="P44" s="4"/>
    </row>
    <row r="45" spans="2:16">
      <c r="B45" s="9" t="str">
        <f t="shared" si="6"/>
        <v/>
      </c>
      <c r="C45" s="153">
        <f>IF(D11="","-",+C44+1)</f>
        <v>2036</v>
      </c>
      <c r="D45" s="159">
        <f>IF(F44+SUM(E$17:E44)=D$10,F44,D$10-SUM(E$17:E44))</f>
        <v>1614619.4183378774</v>
      </c>
      <c r="E45" s="160">
        <f>IF(+I14&lt;F44,I14,D45)</f>
        <v>104189.94465116279</v>
      </c>
      <c r="F45" s="159">
        <f t="shared" si="10"/>
        <v>1510429.4736867147</v>
      </c>
      <c r="G45" s="161">
        <f t="shared" si="11"/>
        <v>259748.11660765554</v>
      </c>
      <c r="H45" s="142">
        <f t="shared" si="12"/>
        <v>259748.11660765554</v>
      </c>
      <c r="I45" s="156">
        <f t="shared" si="0"/>
        <v>0</v>
      </c>
      <c r="J45" s="156"/>
      <c r="K45" s="334"/>
      <c r="L45" s="158">
        <f t="shared" si="1"/>
        <v>0</v>
      </c>
      <c r="M45" s="334"/>
      <c r="N45" s="158">
        <f t="shared" si="2"/>
        <v>0</v>
      </c>
      <c r="O45" s="158">
        <f t="shared" si="3"/>
        <v>0</v>
      </c>
      <c r="P45" s="4"/>
    </row>
    <row r="46" spans="2:16">
      <c r="B46" s="9" t="str">
        <f t="shared" si="6"/>
        <v/>
      </c>
      <c r="C46" s="153">
        <f>IF(D11="","-",+C45+1)</f>
        <v>2037</v>
      </c>
      <c r="D46" s="159">
        <f>IF(F45+SUM(E$17:E45)=D$10,F45,D$10-SUM(E$17:E45))</f>
        <v>1510429.4736867147</v>
      </c>
      <c r="E46" s="160">
        <f>IF(+I14&lt;F45,I14,D46)</f>
        <v>104189.94465116279</v>
      </c>
      <c r="F46" s="159">
        <f t="shared" si="10"/>
        <v>1406239.5290355519</v>
      </c>
      <c r="G46" s="161">
        <f t="shared" si="11"/>
        <v>249375.41660443554</v>
      </c>
      <c r="H46" s="142">
        <f t="shared" si="12"/>
        <v>249375.41660443554</v>
      </c>
      <c r="I46" s="156">
        <f t="shared" si="0"/>
        <v>0</v>
      </c>
      <c r="J46" s="156"/>
      <c r="K46" s="334"/>
      <c r="L46" s="158">
        <f t="shared" si="1"/>
        <v>0</v>
      </c>
      <c r="M46" s="334"/>
      <c r="N46" s="158">
        <f t="shared" si="2"/>
        <v>0</v>
      </c>
      <c r="O46" s="158">
        <f t="shared" si="3"/>
        <v>0</v>
      </c>
      <c r="P46" s="4"/>
    </row>
    <row r="47" spans="2:16">
      <c r="B47" s="9" t="str">
        <f t="shared" si="6"/>
        <v/>
      </c>
      <c r="C47" s="153">
        <f>IF(D11="","-",+C46+1)</f>
        <v>2038</v>
      </c>
      <c r="D47" s="159">
        <f>IF(F46+SUM(E$17:E46)=D$10,F46,D$10-SUM(E$17:E46))</f>
        <v>1406239.5290355519</v>
      </c>
      <c r="E47" s="160">
        <f>IF(+I14&lt;F46,I14,D47)</f>
        <v>104189.94465116279</v>
      </c>
      <c r="F47" s="159">
        <f t="shared" si="10"/>
        <v>1302049.5843843892</v>
      </c>
      <c r="G47" s="161">
        <f t="shared" si="11"/>
        <v>239002.71660121559</v>
      </c>
      <c r="H47" s="142">
        <f t="shared" si="12"/>
        <v>239002.71660121559</v>
      </c>
      <c r="I47" s="156">
        <f t="shared" si="0"/>
        <v>0</v>
      </c>
      <c r="J47" s="156"/>
      <c r="K47" s="334"/>
      <c r="L47" s="158">
        <f t="shared" si="1"/>
        <v>0</v>
      </c>
      <c r="M47" s="334"/>
      <c r="N47" s="158">
        <f t="shared" si="2"/>
        <v>0</v>
      </c>
      <c r="O47" s="158">
        <f t="shared" si="3"/>
        <v>0</v>
      </c>
      <c r="P47" s="4"/>
    </row>
    <row r="48" spans="2:16">
      <c r="B48" s="9" t="str">
        <f t="shared" si="6"/>
        <v/>
      </c>
      <c r="C48" s="153">
        <f>IF(D11="","-",+C47+1)</f>
        <v>2039</v>
      </c>
      <c r="D48" s="159">
        <f>IF(F47+SUM(E$17:E47)=D$10,F47,D$10-SUM(E$17:E47))</f>
        <v>1302049.5843843892</v>
      </c>
      <c r="E48" s="160">
        <f>IF(+I14&lt;F47,I14,D48)</f>
        <v>104189.94465116279</v>
      </c>
      <c r="F48" s="159">
        <f t="shared" si="10"/>
        <v>1197859.6397332265</v>
      </c>
      <c r="G48" s="161">
        <f t="shared" si="11"/>
        <v>228630.01659799559</v>
      </c>
      <c r="H48" s="142">
        <f t="shared" si="12"/>
        <v>228630.01659799559</v>
      </c>
      <c r="I48" s="156">
        <f t="shared" si="0"/>
        <v>0</v>
      </c>
      <c r="J48" s="156"/>
      <c r="K48" s="334"/>
      <c r="L48" s="158">
        <f t="shared" si="1"/>
        <v>0</v>
      </c>
      <c r="M48" s="334"/>
      <c r="N48" s="158">
        <f t="shared" si="2"/>
        <v>0</v>
      </c>
      <c r="O48" s="158">
        <f t="shared" si="3"/>
        <v>0</v>
      </c>
      <c r="P48" s="4"/>
    </row>
    <row r="49" spans="2:17">
      <c r="B49" s="9" t="str">
        <f t="shared" si="6"/>
        <v/>
      </c>
      <c r="C49" s="153">
        <f>IF(D11="","-",+C48+1)</f>
        <v>2040</v>
      </c>
      <c r="D49" s="159">
        <f>IF(F48+SUM(E$17:E48)=D$10,F48,D$10-SUM(E$17:E48))</f>
        <v>1197859.6397332265</v>
      </c>
      <c r="E49" s="160">
        <f>IF(+I14&lt;F48,I14,D49)</f>
        <v>104189.94465116279</v>
      </c>
      <c r="F49" s="159">
        <f t="shared" ref="F49:F72" si="13">+D49-E49</f>
        <v>1093669.6950820638</v>
      </c>
      <c r="G49" s="161">
        <f t="shared" si="11"/>
        <v>218257.31659477562</v>
      </c>
      <c r="H49" s="142">
        <f t="shared" si="12"/>
        <v>218257.31659477562</v>
      </c>
      <c r="I49" s="156">
        <f t="shared" ref="I49:I72" si="14">H49-G49</f>
        <v>0</v>
      </c>
      <c r="J49" s="156"/>
      <c r="K49" s="334"/>
      <c r="L49" s="158">
        <f t="shared" ref="L49:L72" si="15">IF(K49&lt;&gt;0,+G49-K49,0)</f>
        <v>0</v>
      </c>
      <c r="M49" s="334"/>
      <c r="N49" s="158">
        <f t="shared" ref="N49:N72" si="16">IF(M49&lt;&gt;0,+H49-M49,0)</f>
        <v>0</v>
      </c>
      <c r="O49" s="158">
        <f t="shared" ref="O49:O72" si="17">+N49-L49</f>
        <v>0</v>
      </c>
      <c r="P49" s="4"/>
    </row>
    <row r="50" spans="2:17">
      <c r="B50" s="9" t="str">
        <f t="shared" si="6"/>
        <v/>
      </c>
      <c r="C50" s="153">
        <f>IF(D11="","-",+C49+1)</f>
        <v>2041</v>
      </c>
      <c r="D50" s="159">
        <f>IF(F49+SUM(E$17:E49)=D$10,F49,D$10-SUM(E$17:E49))</f>
        <v>1093669.6950820638</v>
      </c>
      <c r="E50" s="160">
        <f>IF(+I14&lt;F49,I14,D50)</f>
        <v>104189.94465116279</v>
      </c>
      <c r="F50" s="159">
        <f t="shared" si="13"/>
        <v>989479.75043090095</v>
      </c>
      <c r="G50" s="161">
        <f t="shared" si="11"/>
        <v>207884.61659155565</v>
      </c>
      <c r="H50" s="142">
        <f t="shared" si="12"/>
        <v>207884.61659155565</v>
      </c>
      <c r="I50" s="156">
        <f t="shared" si="14"/>
        <v>0</v>
      </c>
      <c r="J50" s="156"/>
      <c r="K50" s="334"/>
      <c r="L50" s="158">
        <f t="shared" si="15"/>
        <v>0</v>
      </c>
      <c r="M50" s="334"/>
      <c r="N50" s="158">
        <f t="shared" si="16"/>
        <v>0</v>
      </c>
      <c r="O50" s="158">
        <f t="shared" si="17"/>
        <v>0</v>
      </c>
      <c r="P50" s="4"/>
    </row>
    <row r="51" spans="2:17">
      <c r="B51" s="9" t="str">
        <f t="shared" si="6"/>
        <v/>
      </c>
      <c r="C51" s="153">
        <f>IF(D11="","-",+C50+1)</f>
        <v>2042</v>
      </c>
      <c r="D51" s="159">
        <f>IF(F50+SUM(E$17:E50)=D$10,F50,D$10-SUM(E$17:E50))</f>
        <v>989479.75043090095</v>
      </c>
      <c r="E51" s="160">
        <f>IF(+I14&lt;F50,I14,D51)</f>
        <v>104189.94465116279</v>
      </c>
      <c r="F51" s="159">
        <f t="shared" si="13"/>
        <v>885289.80577973812</v>
      </c>
      <c r="G51" s="161">
        <f t="shared" si="11"/>
        <v>197511.91658833565</v>
      </c>
      <c r="H51" s="142">
        <f t="shared" si="12"/>
        <v>197511.91658833565</v>
      </c>
      <c r="I51" s="156">
        <f t="shared" si="14"/>
        <v>0</v>
      </c>
      <c r="J51" s="156"/>
      <c r="K51" s="334"/>
      <c r="L51" s="158">
        <f t="shared" si="15"/>
        <v>0</v>
      </c>
      <c r="M51" s="334"/>
      <c r="N51" s="158">
        <f t="shared" si="16"/>
        <v>0</v>
      </c>
      <c r="O51" s="158">
        <f t="shared" si="17"/>
        <v>0</v>
      </c>
      <c r="P51" s="4"/>
    </row>
    <row r="52" spans="2:17">
      <c r="B52" s="9" t="str">
        <f t="shared" si="6"/>
        <v/>
      </c>
      <c r="C52" s="153">
        <f>IF(D11="","-",+C51+1)</f>
        <v>2043</v>
      </c>
      <c r="D52" s="159">
        <f>IF(F51+SUM(E$17:E51)=D$10,F51,D$10-SUM(E$17:E51))</f>
        <v>885289.80577973812</v>
      </c>
      <c r="E52" s="160">
        <f>IF(+I14&lt;F51,I14,D52)</f>
        <v>104189.94465116279</v>
      </c>
      <c r="F52" s="159">
        <f t="shared" si="13"/>
        <v>781099.86112857528</v>
      </c>
      <c r="G52" s="161">
        <f t="shared" si="11"/>
        <v>187139.21658511568</v>
      </c>
      <c r="H52" s="142">
        <f t="shared" si="12"/>
        <v>187139.21658511568</v>
      </c>
      <c r="I52" s="156">
        <f t="shared" si="14"/>
        <v>0</v>
      </c>
      <c r="J52" s="156"/>
      <c r="K52" s="334"/>
      <c r="L52" s="158">
        <f t="shared" si="15"/>
        <v>0</v>
      </c>
      <c r="M52" s="334"/>
      <c r="N52" s="158">
        <f t="shared" si="16"/>
        <v>0</v>
      </c>
      <c r="O52" s="158">
        <f t="shared" si="17"/>
        <v>0</v>
      </c>
      <c r="P52" s="4"/>
    </row>
    <row r="53" spans="2:17">
      <c r="B53" s="9" t="str">
        <f t="shared" si="6"/>
        <v/>
      </c>
      <c r="C53" s="153">
        <f>IF(D11="","-",+C52+1)</f>
        <v>2044</v>
      </c>
      <c r="D53" s="159">
        <f>IF(F52+SUM(E$17:E52)=D$10,F52,D$10-SUM(E$17:E52))</f>
        <v>781099.86112857528</v>
      </c>
      <c r="E53" s="160">
        <f>IF(+I14&lt;F52,I14,D53)</f>
        <v>104189.94465116279</v>
      </c>
      <c r="F53" s="159">
        <f t="shared" si="13"/>
        <v>676909.91647741245</v>
      </c>
      <c r="G53" s="161">
        <f t="shared" si="11"/>
        <v>176766.5165818957</v>
      </c>
      <c r="H53" s="142">
        <f t="shared" si="12"/>
        <v>176766.5165818957</v>
      </c>
      <c r="I53" s="156">
        <f t="shared" si="14"/>
        <v>0</v>
      </c>
      <c r="J53" s="156"/>
      <c r="K53" s="334"/>
      <c r="L53" s="158">
        <f t="shared" si="15"/>
        <v>0</v>
      </c>
      <c r="M53" s="334"/>
      <c r="N53" s="158">
        <f t="shared" si="16"/>
        <v>0</v>
      </c>
      <c r="O53" s="158">
        <f t="shared" si="17"/>
        <v>0</v>
      </c>
      <c r="P53" s="4"/>
    </row>
    <row r="54" spans="2:17">
      <c r="B54" s="9" t="str">
        <f t="shared" si="6"/>
        <v/>
      </c>
      <c r="C54" s="153">
        <f>IF(D11="","-",+C53+1)</f>
        <v>2045</v>
      </c>
      <c r="D54" s="159">
        <f>IF(F53+SUM(E$17:E53)=D$10,F53,D$10-SUM(E$17:E53))</f>
        <v>676909.91647741245</v>
      </c>
      <c r="E54" s="160">
        <f>IF(+I14&lt;F53,I14,D54)</f>
        <v>104189.94465116279</v>
      </c>
      <c r="F54" s="159">
        <f t="shared" si="13"/>
        <v>572719.97182624962</v>
      </c>
      <c r="G54" s="161">
        <f t="shared" si="11"/>
        <v>166393.8165786757</v>
      </c>
      <c r="H54" s="142">
        <f t="shared" si="12"/>
        <v>166393.8165786757</v>
      </c>
      <c r="I54" s="156">
        <f t="shared" si="14"/>
        <v>0</v>
      </c>
      <c r="J54" s="156"/>
      <c r="K54" s="334"/>
      <c r="L54" s="158">
        <f t="shared" si="15"/>
        <v>0</v>
      </c>
      <c r="M54" s="334"/>
      <c r="N54" s="158">
        <f t="shared" si="16"/>
        <v>0</v>
      </c>
      <c r="O54" s="158">
        <f t="shared" si="17"/>
        <v>0</v>
      </c>
      <c r="P54" s="4"/>
    </row>
    <row r="55" spans="2:17">
      <c r="B55" s="9" t="str">
        <f t="shared" si="6"/>
        <v/>
      </c>
      <c r="C55" s="153">
        <f>IF(D11="","-",+C54+1)</f>
        <v>2046</v>
      </c>
      <c r="D55" s="159">
        <f>IF(F54+SUM(E$17:E54)=D$10,F54,D$10-SUM(E$17:E54))</f>
        <v>572719.97182624962</v>
      </c>
      <c r="E55" s="160">
        <f>IF(+I14&lt;F54,I14,D55)</f>
        <v>104189.94465116279</v>
      </c>
      <c r="F55" s="159">
        <f t="shared" si="13"/>
        <v>468530.02717508684</v>
      </c>
      <c r="G55" s="161">
        <f t="shared" si="11"/>
        <v>156021.11657545573</v>
      </c>
      <c r="H55" s="142">
        <f t="shared" si="12"/>
        <v>156021.11657545573</v>
      </c>
      <c r="I55" s="156">
        <f t="shared" si="14"/>
        <v>0</v>
      </c>
      <c r="J55" s="156"/>
      <c r="K55" s="334"/>
      <c r="L55" s="158">
        <f t="shared" si="15"/>
        <v>0</v>
      </c>
      <c r="M55" s="334"/>
      <c r="N55" s="158">
        <f t="shared" si="16"/>
        <v>0</v>
      </c>
      <c r="O55" s="158">
        <f t="shared" si="17"/>
        <v>0</v>
      </c>
      <c r="P55" s="4"/>
    </row>
    <row r="56" spans="2:17">
      <c r="B56" s="9" t="str">
        <f t="shared" si="6"/>
        <v/>
      </c>
      <c r="C56" s="153">
        <f>IF(D11="","-",+C55+1)</f>
        <v>2047</v>
      </c>
      <c r="D56" s="159">
        <f>IF(F55+SUM(E$17:E55)=D$10,F55,D$10-SUM(E$17:E55))</f>
        <v>468530.02717508684</v>
      </c>
      <c r="E56" s="160">
        <f>IF(+I14&lt;F55,I14,D56)</f>
        <v>104189.94465116279</v>
      </c>
      <c r="F56" s="159">
        <f t="shared" si="13"/>
        <v>364340.08252392407</v>
      </c>
      <c r="G56" s="161">
        <f t="shared" si="11"/>
        <v>145648.41657223576</v>
      </c>
      <c r="H56" s="142">
        <f t="shared" si="12"/>
        <v>145648.41657223576</v>
      </c>
      <c r="I56" s="156">
        <f t="shared" si="14"/>
        <v>0</v>
      </c>
      <c r="J56" s="156"/>
      <c r="K56" s="334"/>
      <c r="L56" s="158">
        <f t="shared" si="15"/>
        <v>0</v>
      </c>
      <c r="M56" s="334"/>
      <c r="N56" s="158">
        <f t="shared" si="16"/>
        <v>0</v>
      </c>
      <c r="O56" s="158">
        <f t="shared" si="17"/>
        <v>0</v>
      </c>
      <c r="P56" s="4"/>
    </row>
    <row r="57" spans="2:17">
      <c r="B57" s="9" t="str">
        <f t="shared" si="6"/>
        <v/>
      </c>
      <c r="C57" s="153">
        <f>IF(D11="","-",+C56+1)</f>
        <v>2048</v>
      </c>
      <c r="D57" s="159">
        <f>IF(F56+SUM(E$17:E56)=D$10,F56,D$10-SUM(E$17:E56))</f>
        <v>364340.08252392407</v>
      </c>
      <c r="E57" s="160">
        <f>IF(+I14&lt;F56,I14,D57)</f>
        <v>104189.94465116279</v>
      </c>
      <c r="F57" s="159">
        <f t="shared" si="13"/>
        <v>260150.13787276129</v>
      </c>
      <c r="G57" s="161">
        <f t="shared" si="11"/>
        <v>135275.71656901576</v>
      </c>
      <c r="H57" s="142">
        <f t="shared" si="12"/>
        <v>135275.71656901576</v>
      </c>
      <c r="I57" s="156">
        <f t="shared" si="14"/>
        <v>0</v>
      </c>
      <c r="J57" s="156"/>
      <c r="K57" s="334"/>
      <c r="L57" s="158">
        <f t="shared" si="15"/>
        <v>0</v>
      </c>
      <c r="M57" s="334"/>
      <c r="N57" s="158">
        <f t="shared" si="16"/>
        <v>0</v>
      </c>
      <c r="O57" s="158">
        <f t="shared" si="17"/>
        <v>0</v>
      </c>
      <c r="P57" s="4"/>
    </row>
    <row r="58" spans="2:17">
      <c r="B58" s="9" t="str">
        <f t="shared" si="6"/>
        <v/>
      </c>
      <c r="C58" s="153">
        <f>IF(D11="","-",+C57+1)</f>
        <v>2049</v>
      </c>
      <c r="D58" s="159">
        <f>IF(F57+SUM(E$17:E57)=D$10,F57,D$10-SUM(E$17:E57))</f>
        <v>260150.13787276129</v>
      </c>
      <c r="E58" s="160">
        <f>IF(+I14&lt;F57,I14,D58)</f>
        <v>104189.94465116279</v>
      </c>
      <c r="F58" s="159">
        <f t="shared" si="13"/>
        <v>155960.19322159851</v>
      </c>
      <c r="G58" s="161">
        <f t="shared" si="11"/>
        <v>124903.01656579578</v>
      </c>
      <c r="H58" s="142">
        <f t="shared" si="12"/>
        <v>124903.01656579578</v>
      </c>
      <c r="I58" s="156">
        <f t="shared" si="14"/>
        <v>0</v>
      </c>
      <c r="J58" s="156"/>
      <c r="K58" s="334"/>
      <c r="L58" s="158">
        <f t="shared" si="15"/>
        <v>0</v>
      </c>
      <c r="M58" s="334"/>
      <c r="N58" s="158">
        <f t="shared" si="16"/>
        <v>0</v>
      </c>
      <c r="O58" s="158">
        <f t="shared" si="17"/>
        <v>0</v>
      </c>
      <c r="P58" s="4"/>
      <c r="Q58" t="str">
        <f>IF(ROUND(Q57,0)=ROUND(SUM(Q18:Q56),0),"","Error -- check allocations above).")</f>
        <v/>
      </c>
    </row>
    <row r="59" spans="2:17">
      <c r="B59" s="9" t="str">
        <f t="shared" si="6"/>
        <v/>
      </c>
      <c r="C59" s="153">
        <f>IF(D11="","-",+C58+1)</f>
        <v>2050</v>
      </c>
      <c r="D59" s="159">
        <f>IF(F58+SUM(E$17:E58)=D$10,F58,D$10-SUM(E$17:E58))</f>
        <v>155960.19322159851</v>
      </c>
      <c r="E59" s="160">
        <f>IF(+I14&lt;F58,I14,D59)</f>
        <v>104189.94465116279</v>
      </c>
      <c r="F59" s="159">
        <f t="shared" si="13"/>
        <v>51770.248570435724</v>
      </c>
      <c r="G59" s="161">
        <f t="shared" si="11"/>
        <v>114530.31656257581</v>
      </c>
      <c r="H59" s="142">
        <f t="shared" si="12"/>
        <v>114530.31656257581</v>
      </c>
      <c r="I59" s="156">
        <f t="shared" si="14"/>
        <v>0</v>
      </c>
      <c r="J59" s="156"/>
      <c r="K59" s="334"/>
      <c r="L59" s="158">
        <f t="shared" si="15"/>
        <v>0</v>
      </c>
      <c r="M59" s="334"/>
      <c r="N59" s="158">
        <f t="shared" si="16"/>
        <v>0</v>
      </c>
      <c r="O59" s="158">
        <f t="shared" si="17"/>
        <v>0</v>
      </c>
      <c r="P59" s="4"/>
    </row>
    <row r="60" spans="2:17">
      <c r="B60" s="9" t="str">
        <f t="shared" si="6"/>
        <v/>
      </c>
      <c r="C60" s="153">
        <f>IF(D11="","-",+C59+1)</f>
        <v>2051</v>
      </c>
      <c r="D60" s="159">
        <f>IF(F59+SUM(E$17:E59)=D$10,F59,D$10-SUM(E$17:E59))</f>
        <v>51770.248570435724</v>
      </c>
      <c r="E60" s="160">
        <f>IF(+I14&lt;F59,I14,D60)</f>
        <v>51770.248570435724</v>
      </c>
      <c r="F60" s="159">
        <f t="shared" si="13"/>
        <v>0</v>
      </c>
      <c r="G60" s="161">
        <f t="shared" si="11"/>
        <v>54347.259525337235</v>
      </c>
      <c r="H60" s="142">
        <f t="shared" si="12"/>
        <v>54347.259525337235</v>
      </c>
      <c r="I60" s="156">
        <f t="shared" si="14"/>
        <v>0</v>
      </c>
      <c r="J60" s="156"/>
      <c r="K60" s="334"/>
      <c r="L60" s="158">
        <f t="shared" si="15"/>
        <v>0</v>
      </c>
      <c r="M60" s="334"/>
      <c r="N60" s="158">
        <f t="shared" si="16"/>
        <v>0</v>
      </c>
      <c r="O60" s="158">
        <f t="shared" si="17"/>
        <v>0</v>
      </c>
      <c r="P60" s="4"/>
    </row>
    <row r="61" spans="2:17">
      <c r="B61" s="9" t="str">
        <f t="shared" si="6"/>
        <v/>
      </c>
      <c r="C61" s="153">
        <f>IF(D11="","-",+C60+1)</f>
        <v>2052</v>
      </c>
      <c r="D61" s="159">
        <f>IF(F60+SUM(E$17:E60)=D$10,F60,D$10-SUM(E$17:E60))</f>
        <v>0</v>
      </c>
      <c r="E61" s="160">
        <f>IF(+I14&lt;F60,I14,D61)</f>
        <v>0</v>
      </c>
      <c r="F61" s="159">
        <f t="shared" si="13"/>
        <v>0</v>
      </c>
      <c r="G61" s="163">
        <f t="shared" si="11"/>
        <v>0</v>
      </c>
      <c r="H61" s="142">
        <f t="shared" si="12"/>
        <v>0</v>
      </c>
      <c r="I61" s="156">
        <f t="shared" si="14"/>
        <v>0</v>
      </c>
      <c r="J61" s="156"/>
      <c r="K61" s="334"/>
      <c r="L61" s="158">
        <f t="shared" si="15"/>
        <v>0</v>
      </c>
      <c r="M61" s="334"/>
      <c r="N61" s="158">
        <f t="shared" si="16"/>
        <v>0</v>
      </c>
      <c r="O61" s="158">
        <f t="shared" si="17"/>
        <v>0</v>
      </c>
      <c r="P61" s="4"/>
    </row>
    <row r="62" spans="2:17">
      <c r="B62" s="9" t="str">
        <f t="shared" si="6"/>
        <v/>
      </c>
      <c r="C62" s="153">
        <f>IF(D11="","-",+C61+1)</f>
        <v>2053</v>
      </c>
      <c r="D62" s="159">
        <f>IF(F61+SUM(E$17:E61)=D$10,F61,D$10-SUM(E$17:E61))</f>
        <v>0</v>
      </c>
      <c r="E62" s="160">
        <f>IF(+I14&lt;F61,I14,D62)</f>
        <v>0</v>
      </c>
      <c r="F62" s="159">
        <f t="shared" si="13"/>
        <v>0</v>
      </c>
      <c r="G62" s="163">
        <f t="shared" si="11"/>
        <v>0</v>
      </c>
      <c r="H62" s="142">
        <f t="shared" si="12"/>
        <v>0</v>
      </c>
      <c r="I62" s="156">
        <f t="shared" si="14"/>
        <v>0</v>
      </c>
      <c r="J62" s="156"/>
      <c r="K62" s="334"/>
      <c r="L62" s="158">
        <f t="shared" si="15"/>
        <v>0</v>
      </c>
      <c r="M62" s="334"/>
      <c r="N62" s="158">
        <f t="shared" si="16"/>
        <v>0</v>
      </c>
      <c r="O62" s="158">
        <f t="shared" si="17"/>
        <v>0</v>
      </c>
      <c r="P62" s="4"/>
    </row>
    <row r="63" spans="2:17">
      <c r="B63" s="9" t="str">
        <f t="shared" si="6"/>
        <v/>
      </c>
      <c r="C63" s="153">
        <f>IF(D11="","-",+C62+1)</f>
        <v>2054</v>
      </c>
      <c r="D63" s="159">
        <f>IF(F62+SUM(E$17:E62)=D$10,F62,D$10-SUM(E$17:E62))</f>
        <v>0</v>
      </c>
      <c r="E63" s="160">
        <f>IF(+I14&lt;F62,I14,D63)</f>
        <v>0</v>
      </c>
      <c r="F63" s="159">
        <f t="shared" si="13"/>
        <v>0</v>
      </c>
      <c r="G63" s="163">
        <f t="shared" si="11"/>
        <v>0</v>
      </c>
      <c r="H63" s="142">
        <f t="shared" si="12"/>
        <v>0</v>
      </c>
      <c r="I63" s="156">
        <f t="shared" si="14"/>
        <v>0</v>
      </c>
      <c r="J63" s="156"/>
      <c r="K63" s="334"/>
      <c r="L63" s="158">
        <f t="shared" si="15"/>
        <v>0</v>
      </c>
      <c r="M63" s="334"/>
      <c r="N63" s="158">
        <f t="shared" si="16"/>
        <v>0</v>
      </c>
      <c r="O63" s="158">
        <f t="shared" si="17"/>
        <v>0</v>
      </c>
      <c r="P63" s="4"/>
    </row>
    <row r="64" spans="2:17">
      <c r="B64" s="9" t="str">
        <f t="shared" si="6"/>
        <v/>
      </c>
      <c r="C64" s="153">
        <f>IF(D11="","-",+C63+1)</f>
        <v>2055</v>
      </c>
      <c r="D64" s="159">
        <f>IF(F63+SUM(E$17:E63)=D$10,F63,D$10-SUM(E$17:E63))</f>
        <v>0</v>
      </c>
      <c r="E64" s="160">
        <f>IF(+I14&lt;F63,I14,D64)</f>
        <v>0</v>
      </c>
      <c r="F64" s="159">
        <f t="shared" si="13"/>
        <v>0</v>
      </c>
      <c r="G64" s="163">
        <f t="shared" si="11"/>
        <v>0</v>
      </c>
      <c r="H64" s="142">
        <f t="shared" si="12"/>
        <v>0</v>
      </c>
      <c r="I64" s="156">
        <f t="shared" si="14"/>
        <v>0</v>
      </c>
      <c r="J64" s="156"/>
      <c r="K64" s="334"/>
      <c r="L64" s="158">
        <f t="shared" si="15"/>
        <v>0</v>
      </c>
      <c r="M64" s="334"/>
      <c r="N64" s="158">
        <f t="shared" si="16"/>
        <v>0</v>
      </c>
      <c r="O64" s="158">
        <f t="shared" si="17"/>
        <v>0</v>
      </c>
      <c r="P64" s="4"/>
    </row>
    <row r="65" spans="1:16">
      <c r="B65" s="9" t="str">
        <f t="shared" si="6"/>
        <v/>
      </c>
      <c r="C65" s="153">
        <f>IF(D11="","-",+C64+1)</f>
        <v>2056</v>
      </c>
      <c r="D65" s="159">
        <f>IF(F64+SUM(E$17:E64)=D$10,F64,D$10-SUM(E$17:E64))</f>
        <v>0</v>
      </c>
      <c r="E65" s="160">
        <f>IF(+I14&lt;F64,I14,D65)</f>
        <v>0</v>
      </c>
      <c r="F65" s="159">
        <f t="shared" si="13"/>
        <v>0</v>
      </c>
      <c r="G65" s="163">
        <f t="shared" si="11"/>
        <v>0</v>
      </c>
      <c r="H65" s="142">
        <f t="shared" si="12"/>
        <v>0</v>
      </c>
      <c r="I65" s="156">
        <f t="shared" si="14"/>
        <v>0</v>
      </c>
      <c r="J65" s="156"/>
      <c r="K65" s="334"/>
      <c r="L65" s="158">
        <f t="shared" si="15"/>
        <v>0</v>
      </c>
      <c r="M65" s="334"/>
      <c r="N65" s="158">
        <f t="shared" si="16"/>
        <v>0</v>
      </c>
      <c r="O65" s="158">
        <f t="shared" si="17"/>
        <v>0</v>
      </c>
      <c r="P65" s="4"/>
    </row>
    <row r="66" spans="1:16">
      <c r="B66" s="9" t="str">
        <f t="shared" si="6"/>
        <v/>
      </c>
      <c r="C66" s="153">
        <f>IF(D11="","-",+C65+1)</f>
        <v>2057</v>
      </c>
      <c r="D66" s="159">
        <f>IF(F65+SUM(E$17:E65)=D$10,F65,D$10-SUM(E$17:E65))</f>
        <v>0</v>
      </c>
      <c r="E66" s="160">
        <f>IF(+I14&lt;F65,I14,D66)</f>
        <v>0</v>
      </c>
      <c r="F66" s="159">
        <f t="shared" si="13"/>
        <v>0</v>
      </c>
      <c r="G66" s="163">
        <f t="shared" si="11"/>
        <v>0</v>
      </c>
      <c r="H66" s="142">
        <f t="shared" si="12"/>
        <v>0</v>
      </c>
      <c r="I66" s="156">
        <f t="shared" si="14"/>
        <v>0</v>
      </c>
      <c r="J66" s="156"/>
      <c r="K66" s="334"/>
      <c r="L66" s="158">
        <f t="shared" si="15"/>
        <v>0</v>
      </c>
      <c r="M66" s="334"/>
      <c r="N66" s="158">
        <f t="shared" si="16"/>
        <v>0</v>
      </c>
      <c r="O66" s="158">
        <f t="shared" si="17"/>
        <v>0</v>
      </c>
      <c r="P66" s="4"/>
    </row>
    <row r="67" spans="1:16">
      <c r="B67" s="9" t="str">
        <f t="shared" si="6"/>
        <v/>
      </c>
      <c r="C67" s="153">
        <f>IF(D11="","-",+C66+1)</f>
        <v>2058</v>
      </c>
      <c r="D67" s="159">
        <f>IF(F66+SUM(E$17:E66)=D$10,F66,D$10-SUM(E$17:E66))</f>
        <v>0</v>
      </c>
      <c r="E67" s="160">
        <f>IF(+I14&lt;F66,I14,D67)</f>
        <v>0</v>
      </c>
      <c r="F67" s="159">
        <f t="shared" si="13"/>
        <v>0</v>
      </c>
      <c r="G67" s="163">
        <f t="shared" si="11"/>
        <v>0</v>
      </c>
      <c r="H67" s="142">
        <f t="shared" si="12"/>
        <v>0</v>
      </c>
      <c r="I67" s="156">
        <f t="shared" si="14"/>
        <v>0</v>
      </c>
      <c r="J67" s="156"/>
      <c r="K67" s="334"/>
      <c r="L67" s="158">
        <f t="shared" si="15"/>
        <v>0</v>
      </c>
      <c r="M67" s="334"/>
      <c r="N67" s="158">
        <f t="shared" si="16"/>
        <v>0</v>
      </c>
      <c r="O67" s="158">
        <f t="shared" si="17"/>
        <v>0</v>
      </c>
      <c r="P67" s="4"/>
    </row>
    <row r="68" spans="1:16">
      <c r="B68" s="9" t="str">
        <f t="shared" si="6"/>
        <v/>
      </c>
      <c r="C68" s="153">
        <f>IF(D11="","-",+C67+1)</f>
        <v>2059</v>
      </c>
      <c r="D68" s="159">
        <f>IF(F67+SUM(E$17:E67)=D$10,F67,D$10-SUM(E$17:E67))</f>
        <v>0</v>
      </c>
      <c r="E68" s="160">
        <f>IF(+I14&lt;F67,I14,D68)</f>
        <v>0</v>
      </c>
      <c r="F68" s="159">
        <f t="shared" si="13"/>
        <v>0</v>
      </c>
      <c r="G68" s="163">
        <f t="shared" si="11"/>
        <v>0</v>
      </c>
      <c r="H68" s="142">
        <f t="shared" si="12"/>
        <v>0</v>
      </c>
      <c r="I68" s="156">
        <f t="shared" si="14"/>
        <v>0</v>
      </c>
      <c r="J68" s="156"/>
      <c r="K68" s="334"/>
      <c r="L68" s="158">
        <f t="shared" si="15"/>
        <v>0</v>
      </c>
      <c r="M68" s="334"/>
      <c r="N68" s="158">
        <f t="shared" si="16"/>
        <v>0</v>
      </c>
      <c r="O68" s="158">
        <f t="shared" si="17"/>
        <v>0</v>
      </c>
      <c r="P68" s="4"/>
    </row>
    <row r="69" spans="1:16">
      <c r="B69" s="9" t="str">
        <f t="shared" si="6"/>
        <v/>
      </c>
      <c r="C69" s="153">
        <f>IF(D11="","-",+C68+1)</f>
        <v>2060</v>
      </c>
      <c r="D69" s="159">
        <f>IF(F68+SUM(E$17:E68)=D$10,F68,D$10-SUM(E$17:E68))</f>
        <v>0</v>
      </c>
      <c r="E69" s="160">
        <f>IF(+I14&lt;F68,I14,D69)</f>
        <v>0</v>
      </c>
      <c r="F69" s="159">
        <f t="shared" si="13"/>
        <v>0</v>
      </c>
      <c r="G69" s="163">
        <f t="shared" si="11"/>
        <v>0</v>
      </c>
      <c r="H69" s="142">
        <f t="shared" si="12"/>
        <v>0</v>
      </c>
      <c r="I69" s="156">
        <f t="shared" si="14"/>
        <v>0</v>
      </c>
      <c r="J69" s="156"/>
      <c r="K69" s="334"/>
      <c r="L69" s="158">
        <f t="shared" si="15"/>
        <v>0</v>
      </c>
      <c r="M69" s="334"/>
      <c r="N69" s="158">
        <f t="shared" si="16"/>
        <v>0</v>
      </c>
      <c r="O69" s="158">
        <f t="shared" si="17"/>
        <v>0</v>
      </c>
      <c r="P69" s="4"/>
    </row>
    <row r="70" spans="1:16">
      <c r="B70" s="9" t="str">
        <f t="shared" si="6"/>
        <v/>
      </c>
      <c r="C70" s="153">
        <f>IF(D11="","-",+C69+1)</f>
        <v>2061</v>
      </c>
      <c r="D70" s="159">
        <f>IF(F69+SUM(E$17:E69)=D$10,F69,D$10-SUM(E$17:E69))</f>
        <v>0</v>
      </c>
      <c r="E70" s="160">
        <f>IF(+I14&lt;F69,I14,D70)</f>
        <v>0</v>
      </c>
      <c r="F70" s="159">
        <f t="shared" si="13"/>
        <v>0</v>
      </c>
      <c r="G70" s="163">
        <f t="shared" si="11"/>
        <v>0</v>
      </c>
      <c r="H70" s="142">
        <f t="shared" si="12"/>
        <v>0</v>
      </c>
      <c r="I70" s="156">
        <f t="shared" si="14"/>
        <v>0</v>
      </c>
      <c r="J70" s="156"/>
      <c r="K70" s="334"/>
      <c r="L70" s="158">
        <f t="shared" si="15"/>
        <v>0</v>
      </c>
      <c r="M70" s="334"/>
      <c r="N70" s="158">
        <f t="shared" si="16"/>
        <v>0</v>
      </c>
      <c r="O70" s="158">
        <f t="shared" si="17"/>
        <v>0</v>
      </c>
      <c r="P70" s="4"/>
    </row>
    <row r="71" spans="1:16">
      <c r="B71" s="9" t="str">
        <f t="shared" si="6"/>
        <v/>
      </c>
      <c r="C71" s="153">
        <f>IF(D11="","-",+C70+1)</f>
        <v>2062</v>
      </c>
      <c r="D71" s="159">
        <f>IF(F70+SUM(E$17:E70)=D$10,F70,D$10-SUM(E$17:E70))</f>
        <v>0</v>
      </c>
      <c r="E71" s="160">
        <f>IF(+I14&lt;F70,I14,D71)</f>
        <v>0</v>
      </c>
      <c r="F71" s="159">
        <f t="shared" si="13"/>
        <v>0</v>
      </c>
      <c r="G71" s="163">
        <f t="shared" si="11"/>
        <v>0</v>
      </c>
      <c r="H71" s="142">
        <f t="shared" si="12"/>
        <v>0</v>
      </c>
      <c r="I71" s="156">
        <f t="shared" si="14"/>
        <v>0</v>
      </c>
      <c r="J71" s="156"/>
      <c r="K71" s="334"/>
      <c r="L71" s="158">
        <f t="shared" si="15"/>
        <v>0</v>
      </c>
      <c r="M71" s="334"/>
      <c r="N71" s="158">
        <f t="shared" si="16"/>
        <v>0</v>
      </c>
      <c r="O71" s="158">
        <f t="shared" si="17"/>
        <v>0</v>
      </c>
      <c r="P71" s="4"/>
    </row>
    <row r="72" spans="1:16" ht="13.5" thickBot="1">
      <c r="B72" s="9" t="str">
        <f t="shared" si="6"/>
        <v/>
      </c>
      <c r="C72" s="164">
        <f>IF(D11="","-",+C71+1)</f>
        <v>2063</v>
      </c>
      <c r="D72" s="165">
        <f>IF(F71+SUM(E$17:E71)=D$10,F71,D$10-SUM(E$17:E71))</f>
        <v>0</v>
      </c>
      <c r="E72" s="166">
        <f>IF(+I14&lt;F71,I14,D72)</f>
        <v>0</v>
      </c>
      <c r="F72" s="165">
        <f t="shared" si="13"/>
        <v>0</v>
      </c>
      <c r="G72" s="167">
        <f t="shared" si="11"/>
        <v>0</v>
      </c>
      <c r="H72" s="124">
        <f t="shared" si="12"/>
        <v>0</v>
      </c>
      <c r="I72" s="168">
        <f t="shared" si="14"/>
        <v>0</v>
      </c>
      <c r="J72" s="156"/>
      <c r="K72" s="335"/>
      <c r="L72" s="169">
        <f t="shared" si="15"/>
        <v>0</v>
      </c>
      <c r="M72" s="335"/>
      <c r="N72" s="169">
        <f t="shared" si="16"/>
        <v>0</v>
      </c>
      <c r="O72" s="169">
        <f t="shared" si="17"/>
        <v>0</v>
      </c>
      <c r="P72" s="4"/>
    </row>
    <row r="73" spans="1:16">
      <c r="C73" s="154" t="s">
        <v>73</v>
      </c>
      <c r="D73" s="111"/>
      <c r="E73" s="111">
        <f>SUM(E17:E72)</f>
        <v>4480167.620000001</v>
      </c>
      <c r="F73" s="111"/>
      <c r="G73" s="111">
        <f>SUM(G17:G72)</f>
        <v>15351607.536430387</v>
      </c>
      <c r="H73" s="111">
        <f>SUM(H17:H72)</f>
        <v>15351607.536430387</v>
      </c>
      <c r="I73" s="111">
        <f>SUM(I17:I72)</f>
        <v>0</v>
      </c>
      <c r="J73" s="111"/>
      <c r="K73" s="111"/>
      <c r="L73" s="111"/>
      <c r="M73" s="111"/>
      <c r="N73" s="111"/>
      <c r="O73" s="4"/>
      <c r="P73" s="4"/>
    </row>
    <row r="74" spans="1:16">
      <c r="D74" s="2"/>
      <c r="E74" s="1"/>
      <c r="F74" s="1"/>
      <c r="G74" s="1"/>
      <c r="H74" s="3"/>
      <c r="I74" s="3"/>
      <c r="J74" s="111"/>
      <c r="K74" s="3"/>
      <c r="L74" s="3"/>
      <c r="M74" s="3"/>
      <c r="N74" s="3"/>
      <c r="O74" s="1"/>
      <c r="P74" s="1"/>
    </row>
    <row r="75" spans="1:16">
      <c r="C75" s="170" t="s">
        <v>91</v>
      </c>
      <c r="D75" s="2"/>
      <c r="E75" s="1"/>
      <c r="F75" s="1"/>
      <c r="G75" s="1"/>
      <c r="H75" s="3"/>
      <c r="I75" s="3"/>
      <c r="J75" s="111"/>
      <c r="K75" s="3"/>
      <c r="L75" s="3"/>
      <c r="M75" s="3"/>
      <c r="N75" s="3"/>
      <c r="O75" s="1"/>
      <c r="P75" s="1"/>
    </row>
    <row r="76" spans="1:16">
      <c r="C76" s="121" t="s">
        <v>74</v>
      </c>
      <c r="D76" s="2"/>
      <c r="E76" s="1"/>
      <c r="F76" s="1"/>
      <c r="G76" s="1"/>
      <c r="H76" s="3"/>
      <c r="I76" s="3"/>
      <c r="J76" s="111"/>
      <c r="K76" s="3"/>
      <c r="L76" s="3"/>
      <c r="M76" s="3"/>
      <c r="N76" s="3"/>
      <c r="O76" s="4"/>
      <c r="P76" s="4"/>
    </row>
    <row r="77" spans="1:16" ht="18">
      <c r="C77" s="121" t="s">
        <v>75</v>
      </c>
      <c r="D77" s="154"/>
      <c r="E77" s="154"/>
      <c r="F77" s="154"/>
      <c r="G77" s="111"/>
      <c r="H77" s="111"/>
      <c r="I77" s="171"/>
      <c r="J77" s="171"/>
      <c r="K77" s="171"/>
      <c r="L77" s="171"/>
      <c r="M77" s="171"/>
      <c r="N77" s="171"/>
      <c r="O77" s="110"/>
      <c r="P77" s="4"/>
    </row>
    <row r="78" spans="1:16">
      <c r="C78" s="121"/>
      <c r="D78" s="154"/>
      <c r="E78" s="154"/>
      <c r="F78" s="154"/>
      <c r="G78" s="111"/>
      <c r="H78" s="111"/>
      <c r="I78" s="171"/>
      <c r="J78" s="171"/>
      <c r="K78" s="171"/>
      <c r="L78" s="171"/>
      <c r="M78" s="171"/>
      <c r="N78" s="171"/>
      <c r="O78" s="4"/>
      <c r="P78" s="1"/>
    </row>
    <row r="79" spans="1:16" ht="15">
      <c r="A79" s="241"/>
      <c r="B79" s="1"/>
      <c r="C79" s="21"/>
      <c r="D79" s="2"/>
      <c r="E79" s="1"/>
      <c r="F79" s="107"/>
      <c r="G79" s="1"/>
      <c r="H79" s="3"/>
      <c r="I79" s="1"/>
      <c r="J79" s="4"/>
      <c r="K79" s="1"/>
      <c r="L79" s="1"/>
      <c r="M79" s="1"/>
      <c r="N79" s="1"/>
    </row>
    <row r="80" spans="1:16" ht="18">
      <c r="B80" s="1"/>
      <c r="C80" s="242"/>
      <c r="D80" s="2"/>
      <c r="E80" s="1"/>
      <c r="F80" s="107"/>
      <c r="G80" s="1"/>
      <c r="H80" s="3"/>
      <c r="I80" s="1"/>
      <c r="J80" s="4"/>
      <c r="K80" s="1"/>
      <c r="L80" s="1"/>
      <c r="M80" s="1"/>
      <c r="N80" s="1"/>
      <c r="P80" s="244" t="s">
        <v>125</v>
      </c>
    </row>
    <row r="81" spans="1:17">
      <c r="B81" s="1"/>
      <c r="C81" s="242"/>
      <c r="D81" s="2"/>
      <c r="E81" s="1"/>
      <c r="F81" s="107"/>
      <c r="G81" s="1"/>
      <c r="H81" s="3"/>
      <c r="I81" s="1"/>
      <c r="J81" s="4"/>
      <c r="K81" s="1"/>
      <c r="L81" s="1"/>
      <c r="M81" s="1"/>
      <c r="N81" s="1"/>
      <c r="O81" s="1"/>
      <c r="P81" s="1"/>
    </row>
    <row r="82" spans="1:17">
      <c r="B82" s="1"/>
      <c r="C82" s="21"/>
      <c r="D82" s="2"/>
      <c r="E82" s="1"/>
      <c r="F82" s="107"/>
      <c r="G82" s="1"/>
      <c r="H82" s="3"/>
      <c r="I82" s="1"/>
      <c r="J82" s="4"/>
      <c r="K82" s="1"/>
      <c r="L82" s="1"/>
      <c r="M82" s="1"/>
      <c r="N82" s="1"/>
      <c r="O82" s="1"/>
      <c r="P82" s="1"/>
      <c r="Q82" s="1"/>
    </row>
    <row r="83" spans="1:17" ht="20.25">
      <c r="A83" s="243" t="s">
        <v>129</v>
      </c>
      <c r="B83" s="1"/>
      <c r="C83" s="21"/>
      <c r="D83" s="2"/>
      <c r="E83" s="1"/>
      <c r="F83" s="99"/>
      <c r="G83" s="99"/>
      <c r="H83" s="1"/>
      <c r="I83" s="3"/>
      <c r="K83" s="7"/>
      <c r="L83" s="109"/>
      <c r="M83" s="109"/>
      <c r="P83" s="110" t="str">
        <f ca="1">P1</f>
        <v>SWEPCO Project 19 of 73</v>
      </c>
      <c r="Q83" s="1"/>
    </row>
    <row r="84" spans="1:17" ht="18">
      <c r="B84" s="1"/>
      <c r="C84" s="1"/>
      <c r="D84" s="2"/>
      <c r="E84" s="1"/>
      <c r="F84" s="1"/>
      <c r="G84" s="1"/>
      <c r="H84" s="1"/>
      <c r="I84" s="3"/>
      <c r="J84" s="1"/>
      <c r="K84" s="4"/>
      <c r="L84" s="1"/>
      <c r="M84" s="1"/>
      <c r="P84" s="237" t="s">
        <v>123</v>
      </c>
      <c r="Q84" s="1"/>
    </row>
    <row r="85" spans="1:17" ht="18.75" thickBot="1">
      <c r="B85" s="5" t="s">
        <v>40</v>
      </c>
      <c r="C85" s="197" t="s">
        <v>78</v>
      </c>
      <c r="D85" s="2"/>
      <c r="E85" s="1"/>
      <c r="F85" s="1"/>
      <c r="G85" s="1"/>
      <c r="H85" s="1"/>
      <c r="I85" s="3"/>
      <c r="J85" s="3"/>
      <c r="K85" s="111"/>
      <c r="L85" s="3"/>
      <c r="M85" s="3"/>
      <c r="N85" s="3"/>
      <c r="O85" s="111"/>
      <c r="P85" s="1"/>
      <c r="Q85" s="1"/>
    </row>
    <row r="86" spans="1:17" ht="15.75" thickBot="1">
      <c r="C86" s="67"/>
      <c r="D86" s="2"/>
      <c r="E86" s="1"/>
      <c r="F86" s="1"/>
      <c r="G86" s="1"/>
      <c r="H86" s="1"/>
      <c r="I86" s="3"/>
      <c r="J86" s="3"/>
      <c r="K86" s="111"/>
      <c r="L86" s="265">
        <f>+J92</f>
        <v>2017</v>
      </c>
      <c r="M86" s="266" t="s">
        <v>7</v>
      </c>
      <c r="N86" s="270" t="s">
        <v>154</v>
      </c>
      <c r="O86" s="267" t="s">
        <v>9</v>
      </c>
      <c r="P86" s="1"/>
      <c r="Q86" s="1"/>
    </row>
    <row r="87" spans="1:17" ht="15">
      <c r="C87" s="235" t="s">
        <v>42</v>
      </c>
      <c r="D87" s="2"/>
      <c r="E87" s="1"/>
      <c r="F87" s="1"/>
      <c r="G87" s="1"/>
      <c r="H87" s="113"/>
      <c r="I87" s="1" t="s">
        <v>43</v>
      </c>
      <c r="J87" s="1"/>
      <c r="K87" s="261"/>
      <c r="L87" s="259" t="s">
        <v>381</v>
      </c>
      <c r="M87" s="198">
        <f>IF(J92&lt;D11,0,VLOOKUP(J92,C17:O72,9))</f>
        <v>543663.50120193616</v>
      </c>
      <c r="N87" s="198">
        <f>IF(J92&lt;D11,0,VLOOKUP(J92,C17:O72,11))</f>
        <v>543663.50120193616</v>
      </c>
      <c r="O87" s="199">
        <f>+N87-M87</f>
        <v>0</v>
      </c>
      <c r="P87" s="1"/>
      <c r="Q87" s="1"/>
    </row>
    <row r="88" spans="1:17" ht="15.75">
      <c r="C88" s="8"/>
      <c r="D88" s="2"/>
      <c r="E88" s="1"/>
      <c r="F88" s="1"/>
      <c r="G88" s="1"/>
      <c r="H88" s="1"/>
      <c r="I88" s="117"/>
      <c r="J88" s="117"/>
      <c r="K88" s="263"/>
      <c r="L88" s="264" t="s">
        <v>382</v>
      </c>
      <c r="M88" s="200">
        <f>IF(J92&lt;D11,0,VLOOKUP(J92,C99:P154,6))</f>
        <v>533981.0722445295</v>
      </c>
      <c r="N88" s="200">
        <f>IF(J92&lt;D11,0,VLOOKUP(J92,C99:P154,7))</f>
        <v>533981.0722445295</v>
      </c>
      <c r="O88" s="201">
        <f>+N88-M88</f>
        <v>0</v>
      </c>
      <c r="P88" s="1"/>
      <c r="Q88" s="1"/>
    </row>
    <row r="89" spans="1:17" ht="13.5" thickBot="1">
      <c r="C89" s="121" t="s">
        <v>79</v>
      </c>
      <c r="D89" s="246" t="str">
        <f>+D7</f>
        <v>Wallace Lake-Prt Robson-Red Point 138 kV Loop</v>
      </c>
      <c r="E89" s="1"/>
      <c r="F89" s="1"/>
      <c r="G89" s="1"/>
      <c r="H89" s="1"/>
      <c r="I89" s="3"/>
      <c r="J89" s="3"/>
      <c r="K89" s="262"/>
      <c r="L89" s="260" t="s">
        <v>151</v>
      </c>
      <c r="M89" s="203">
        <f>+M88-M87</f>
        <v>-9682.4289574066643</v>
      </c>
      <c r="N89" s="203">
        <f>+N88-N87</f>
        <v>-9682.4289574066643</v>
      </c>
      <c r="O89" s="204">
        <f>+O88-O87</f>
        <v>0</v>
      </c>
      <c r="P89" s="1"/>
      <c r="Q89" s="1"/>
    </row>
    <row r="90" spans="1:17" ht="13.5" thickBot="1">
      <c r="C90" s="170"/>
      <c r="D90" s="173" t="str">
        <f>D8</f>
        <v/>
      </c>
      <c r="E90" s="107"/>
      <c r="F90" s="107"/>
      <c r="G90" s="107"/>
      <c r="H90" s="126"/>
      <c r="I90" s="3"/>
      <c r="J90" s="3"/>
      <c r="K90" s="111"/>
      <c r="L90" s="3"/>
      <c r="M90" s="3"/>
      <c r="N90" s="3"/>
      <c r="O90" s="111"/>
      <c r="P90" s="1"/>
      <c r="Q90" s="1"/>
    </row>
    <row r="91" spans="1:17" ht="13.5" thickBot="1">
      <c r="A91" s="103"/>
      <c r="C91" s="205" t="s">
        <v>80</v>
      </c>
      <c r="D91" s="224" t="str">
        <f>+D9</f>
        <v>TP2005142</v>
      </c>
      <c r="E91" s="206"/>
      <c r="F91" s="206"/>
      <c r="G91" s="206"/>
      <c r="H91" s="206"/>
      <c r="I91" s="206"/>
      <c r="J91" s="238"/>
      <c r="K91" s="207"/>
      <c r="P91" s="131"/>
      <c r="Q91" s="1"/>
    </row>
    <row r="92" spans="1:17">
      <c r="C92" s="136" t="s">
        <v>47</v>
      </c>
      <c r="D92" s="133">
        <v>4480167.62</v>
      </c>
      <c r="E92" s="21" t="s">
        <v>81</v>
      </c>
      <c r="H92" s="134"/>
      <c r="I92" s="134"/>
      <c r="J92" s="135">
        <f>+'SWE.WS.G.BPU.ATRR.True-up'!M15</f>
        <v>2017</v>
      </c>
      <c r="K92" s="130"/>
      <c r="L92" s="111" t="s">
        <v>82</v>
      </c>
      <c r="P92" s="4"/>
      <c r="Q92" s="1"/>
    </row>
    <row r="93" spans="1:17">
      <c r="C93" s="136" t="s">
        <v>49</v>
      </c>
      <c r="D93" s="219">
        <f>IF(D11=I10,"",D11)</f>
        <v>2008</v>
      </c>
      <c r="E93" s="136" t="s">
        <v>50</v>
      </c>
      <c r="F93" s="134"/>
      <c r="G93" s="134"/>
      <c r="J93" s="138">
        <f>IF(H87="",0,'SWE.WS.G.BPU.ATRR.True-up'!$F$12)</f>
        <v>0</v>
      </c>
      <c r="K93" s="139"/>
      <c r="L93" t="str">
        <f>"          INPUT TRUE-UP ARR (WITH &amp; WITHOUT INCENTIVES) FROM EACH PRIOR YEAR"</f>
        <v xml:space="preserve">          INPUT TRUE-UP ARR (WITH &amp; WITHOUT INCENTIVES) FROM EACH PRIOR YEAR</v>
      </c>
      <c r="P93" s="4"/>
      <c r="Q93" s="1"/>
    </row>
    <row r="94" spans="1:17">
      <c r="C94" s="136" t="s">
        <v>51</v>
      </c>
      <c r="D94" s="218">
        <f>IF(D11=I10,"",D12)</f>
        <v>5</v>
      </c>
      <c r="E94" s="136" t="s">
        <v>52</v>
      </c>
      <c r="F94" s="134"/>
      <c r="G94" s="134"/>
      <c r="J94" s="140">
        <f>'SWE.WS.G.BPU.ATRR.True-up'!$F$80</f>
        <v>0.12147145768398206</v>
      </c>
      <c r="K94" s="141"/>
      <c r="L94" t="s">
        <v>83</v>
      </c>
      <c r="P94" s="4"/>
      <c r="Q94" s="1"/>
    </row>
    <row r="95" spans="1:17">
      <c r="C95" s="136" t="s">
        <v>54</v>
      </c>
      <c r="D95" s="138">
        <f>'SWE.WS.G.BPU.ATRR.True-up'!F$92</f>
        <v>42</v>
      </c>
      <c r="E95" s="136" t="s">
        <v>55</v>
      </c>
      <c r="F95" s="134"/>
      <c r="G95" s="134"/>
      <c r="J95" s="140">
        <f>IF(H87="",J94,'SWE.WS.G.BPU.ATRR.True-up'!$F$79)</f>
        <v>0.12147145768398206</v>
      </c>
      <c r="K95" s="58"/>
      <c r="L95" s="111" t="s">
        <v>56</v>
      </c>
      <c r="M95" s="58"/>
      <c r="N95" s="58"/>
      <c r="O95" s="58"/>
      <c r="P95" s="4"/>
      <c r="Q95" s="1"/>
    </row>
    <row r="96" spans="1:17" ht="13.5" thickBot="1">
      <c r="C96" s="136" t="s">
        <v>57</v>
      </c>
      <c r="D96" s="220" t="str">
        <f>+D14</f>
        <v>No</v>
      </c>
      <c r="E96" s="202" t="s">
        <v>59</v>
      </c>
      <c r="F96" s="208"/>
      <c r="G96" s="208"/>
      <c r="H96" s="209"/>
      <c r="I96" s="209"/>
      <c r="J96" s="124">
        <f>IF(D92=0,0,D92/D95)</f>
        <v>106670.65761904762</v>
      </c>
      <c r="K96" s="111"/>
      <c r="L96" s="111"/>
      <c r="M96" s="111"/>
      <c r="N96" s="111"/>
      <c r="O96" s="111"/>
      <c r="P96" s="4"/>
      <c r="Q96" s="1"/>
    </row>
    <row r="97" spans="1:17" ht="38.25">
      <c r="A97" s="6"/>
      <c r="B97" s="6"/>
      <c r="C97" s="210" t="s">
        <v>47</v>
      </c>
      <c r="D97" s="211" t="s">
        <v>60</v>
      </c>
      <c r="E97" s="146" t="s">
        <v>61</v>
      </c>
      <c r="F97" s="146" t="s">
        <v>62</v>
      </c>
      <c r="G97" s="144" t="s">
        <v>84</v>
      </c>
      <c r="H97" s="434" t="s">
        <v>378</v>
      </c>
      <c r="I97" s="435" t="s">
        <v>379</v>
      </c>
      <c r="J97" s="210" t="s">
        <v>85</v>
      </c>
      <c r="K97" s="212"/>
      <c r="L97" s="271" t="s">
        <v>220</v>
      </c>
      <c r="M97" s="146" t="s">
        <v>86</v>
      </c>
      <c r="N97" s="271" t="s">
        <v>220</v>
      </c>
      <c r="O97" s="146" t="s">
        <v>86</v>
      </c>
      <c r="P97" s="146" t="s">
        <v>65</v>
      </c>
      <c r="Q97" s="1"/>
    </row>
    <row r="98" spans="1:17" ht="13.5" thickBot="1">
      <c r="C98" s="147" t="s">
        <v>66</v>
      </c>
      <c r="D98" s="213" t="s">
        <v>67</v>
      </c>
      <c r="E98" s="147" t="s">
        <v>68</v>
      </c>
      <c r="F98" s="147" t="s">
        <v>67</v>
      </c>
      <c r="G98" s="147" t="s">
        <v>67</v>
      </c>
      <c r="H98" s="407" t="s">
        <v>69</v>
      </c>
      <c r="I98" s="148" t="s">
        <v>70</v>
      </c>
      <c r="J98" s="149" t="s">
        <v>89</v>
      </c>
      <c r="K98" s="150"/>
      <c r="L98" s="151" t="s">
        <v>72</v>
      </c>
      <c r="M98" s="151" t="s">
        <v>72</v>
      </c>
      <c r="N98" s="151" t="s">
        <v>90</v>
      </c>
      <c r="O98" s="151" t="s">
        <v>90</v>
      </c>
      <c r="P98" s="151" t="s">
        <v>90</v>
      </c>
      <c r="Q98" s="1"/>
    </row>
    <row r="99" spans="1:17">
      <c r="C99" s="153">
        <f>IF(D93= "","-",D93)</f>
        <v>2008</v>
      </c>
      <c r="D99" s="357">
        <v>0</v>
      </c>
      <c r="E99" s="360">
        <v>44333</v>
      </c>
      <c r="F99" s="361">
        <v>2767633</v>
      </c>
      <c r="G99" s="365">
        <v>1383817</v>
      </c>
      <c r="H99" s="362">
        <v>264915</v>
      </c>
      <c r="I99" s="363">
        <v>264915</v>
      </c>
      <c r="J99" s="403">
        <f t="shared" ref="J99:J130" si="18">+I99-H99</f>
        <v>0</v>
      </c>
      <c r="K99" s="158"/>
      <c r="L99" s="256">
        <v>264915</v>
      </c>
      <c r="M99" s="157">
        <f t="shared" ref="M99:M130" si="19">IF(L99&lt;&gt;0,+H99-L99,0)</f>
        <v>0</v>
      </c>
      <c r="N99" s="256">
        <v>264915</v>
      </c>
      <c r="O99" s="157">
        <f t="shared" ref="O99:O130" si="20">IF(N99&lt;&gt;0,+I99-N99,0)</f>
        <v>0</v>
      </c>
      <c r="P99" s="157">
        <f t="shared" ref="P99:P130" si="21">+O99-M99</f>
        <v>0</v>
      </c>
      <c r="Q99" s="1"/>
    </row>
    <row r="100" spans="1:17">
      <c r="B100" s="9" t="str">
        <f>IF(D100=F99,"","IU")</f>
        <v>IU</v>
      </c>
      <c r="C100" s="153">
        <f>IF(D93="","-",+C99+1)</f>
        <v>2009</v>
      </c>
      <c r="D100" s="357">
        <v>4435834.62</v>
      </c>
      <c r="E100" s="360">
        <v>117899.14789473685</v>
      </c>
      <c r="F100" s="361">
        <v>4317935.4721052628</v>
      </c>
      <c r="G100" s="361">
        <v>4376885.046052631</v>
      </c>
      <c r="H100" s="360">
        <v>751399.2625697077</v>
      </c>
      <c r="I100" s="359">
        <v>751399.2625697077</v>
      </c>
      <c r="J100" s="403">
        <f t="shared" si="18"/>
        <v>0</v>
      </c>
      <c r="K100" s="158"/>
      <c r="L100" s="258">
        <f t="shared" ref="L100:L105" si="22">H100</f>
        <v>751399.2625697077</v>
      </c>
      <c r="M100" s="257">
        <f t="shared" si="19"/>
        <v>0</v>
      </c>
      <c r="N100" s="258">
        <f t="shared" ref="N100:N105" si="23">I100</f>
        <v>751399.2625697077</v>
      </c>
      <c r="O100" s="158">
        <f t="shared" si="20"/>
        <v>0</v>
      </c>
      <c r="P100" s="158">
        <f t="shared" si="21"/>
        <v>0</v>
      </c>
      <c r="Q100" s="1"/>
    </row>
    <row r="101" spans="1:17">
      <c r="B101" s="9" t="str">
        <f t="shared" ref="B101:B154" si="24">IF(D101=F100,"","IU")</f>
        <v/>
      </c>
      <c r="C101" s="153">
        <f>IF(D93="","-",+C100+1)</f>
        <v>2010</v>
      </c>
      <c r="D101" s="357">
        <v>4317935.4721052628</v>
      </c>
      <c r="E101" s="360">
        <v>109272.38097560976</v>
      </c>
      <c r="F101" s="361">
        <v>4208663.0911296532</v>
      </c>
      <c r="G101" s="361">
        <v>4263299.281617458</v>
      </c>
      <c r="H101" s="360">
        <v>813083.75625157298</v>
      </c>
      <c r="I101" s="359">
        <v>813083.75625157298</v>
      </c>
      <c r="J101" s="403">
        <f t="shared" si="18"/>
        <v>0</v>
      </c>
      <c r="K101" s="158"/>
      <c r="L101" s="258">
        <f t="shared" si="22"/>
        <v>813083.75625157298</v>
      </c>
      <c r="M101" s="257">
        <f t="shared" si="19"/>
        <v>0</v>
      </c>
      <c r="N101" s="258">
        <f t="shared" si="23"/>
        <v>813083.75625157298</v>
      </c>
      <c r="O101" s="158">
        <f t="shared" si="20"/>
        <v>0</v>
      </c>
      <c r="P101" s="158">
        <f t="shared" si="21"/>
        <v>0</v>
      </c>
      <c r="Q101" s="1"/>
    </row>
    <row r="102" spans="1:17">
      <c r="B102" s="9" t="str">
        <f t="shared" si="24"/>
        <v/>
      </c>
      <c r="C102" s="153">
        <f>IF(D93="","-",+C101+1)</f>
        <v>2011</v>
      </c>
      <c r="D102" s="357">
        <v>4208663.0911296532</v>
      </c>
      <c r="E102" s="377">
        <v>106670.65761904762</v>
      </c>
      <c r="F102" s="361">
        <v>4101992.4335106057</v>
      </c>
      <c r="G102" s="361">
        <v>4155327.7623201292</v>
      </c>
      <c r="H102" s="360">
        <v>731548.43625186454</v>
      </c>
      <c r="I102" s="359">
        <v>731548.43625186454</v>
      </c>
      <c r="J102" s="403">
        <f t="shared" si="18"/>
        <v>0</v>
      </c>
      <c r="K102" s="158"/>
      <c r="L102" s="258">
        <f t="shared" si="22"/>
        <v>731548.43625186454</v>
      </c>
      <c r="M102" s="257">
        <f t="shared" si="19"/>
        <v>0</v>
      </c>
      <c r="N102" s="258">
        <f t="shared" si="23"/>
        <v>731548.43625186454</v>
      </c>
      <c r="O102" s="158">
        <f t="shared" si="20"/>
        <v>0</v>
      </c>
      <c r="P102" s="158">
        <f t="shared" si="21"/>
        <v>0</v>
      </c>
      <c r="Q102" s="1"/>
    </row>
    <row r="103" spans="1:17">
      <c r="B103" s="9" t="str">
        <f t="shared" si="24"/>
        <v/>
      </c>
      <c r="C103" s="153">
        <f>IF(D93="","-",+C102+1)</f>
        <v>2012</v>
      </c>
      <c r="D103" s="357">
        <v>4101992.4335106057</v>
      </c>
      <c r="E103" s="360">
        <v>106670.65761904762</v>
      </c>
      <c r="F103" s="361">
        <v>3995321.7758915583</v>
      </c>
      <c r="G103" s="361">
        <v>4048657.1047010822</v>
      </c>
      <c r="H103" s="360">
        <v>702446.4690702348</v>
      </c>
      <c r="I103" s="359">
        <v>702446.4690702348</v>
      </c>
      <c r="J103" s="403">
        <f t="shared" si="18"/>
        <v>0</v>
      </c>
      <c r="K103" s="158"/>
      <c r="L103" s="258">
        <f t="shared" si="22"/>
        <v>702446.4690702348</v>
      </c>
      <c r="M103" s="257">
        <f t="shared" si="19"/>
        <v>0</v>
      </c>
      <c r="N103" s="258">
        <f t="shared" si="23"/>
        <v>702446.4690702348</v>
      </c>
      <c r="O103" s="158">
        <f t="shared" si="20"/>
        <v>0</v>
      </c>
      <c r="P103" s="158">
        <f t="shared" si="21"/>
        <v>0</v>
      </c>
      <c r="Q103" s="1"/>
    </row>
    <row r="104" spans="1:17">
      <c r="B104" s="9" t="str">
        <f t="shared" si="24"/>
        <v/>
      </c>
      <c r="C104" s="153">
        <f>IF(D93="","-",+C103+1)</f>
        <v>2013</v>
      </c>
      <c r="D104" s="357">
        <f>IF(F103+SUM(E$99:E103)=D$92,F103,D$92-SUM(E$99:E103))</f>
        <v>3995321.7758915583</v>
      </c>
      <c r="E104" s="360">
        <f>IF(+J96&lt;F103,J96,D104)</f>
        <v>106670.65761904762</v>
      </c>
      <c r="F104" s="361">
        <f t="shared" ref="F104:F130" si="25">+D104-E104</f>
        <v>3888651.1182725108</v>
      </c>
      <c r="G104" s="361">
        <f t="shared" ref="G104:G130" si="26">+(F104+D104)/2</f>
        <v>3941986.4470820343</v>
      </c>
      <c r="H104" s="360">
        <f t="shared" ref="H104:H112" si="27">+J$94*G104+E104</f>
        <v>585509.49751660367</v>
      </c>
      <c r="I104" s="359">
        <f t="shared" ref="I104:I112" si="28">+J$95*G104+E104</f>
        <v>585509.49751660367</v>
      </c>
      <c r="J104" s="403">
        <f t="shared" si="18"/>
        <v>0</v>
      </c>
      <c r="K104" s="158"/>
      <c r="L104" s="258">
        <f t="shared" si="22"/>
        <v>585509.49751660367</v>
      </c>
      <c r="M104" s="257">
        <f>IF(L104&lt;&gt;0,+H104-L104,0)</f>
        <v>0</v>
      </c>
      <c r="N104" s="258">
        <f t="shared" si="23"/>
        <v>585509.49751660367</v>
      </c>
      <c r="O104" s="158">
        <f>IF(N104&lt;&gt;0,+I104-N104,0)</f>
        <v>0</v>
      </c>
      <c r="P104" s="158">
        <f>+O104-M104</f>
        <v>0</v>
      </c>
      <c r="Q104" s="1"/>
    </row>
    <row r="105" spans="1:17">
      <c r="B105" s="9" t="str">
        <f t="shared" si="24"/>
        <v/>
      </c>
      <c r="C105" s="153">
        <f>IF(D93="","-",+C104+1)</f>
        <v>2014</v>
      </c>
      <c r="D105" s="357">
        <v>3888651.1182725108</v>
      </c>
      <c r="E105" s="360">
        <v>106670.65761904762</v>
      </c>
      <c r="F105" s="361">
        <v>3781980.4606534634</v>
      </c>
      <c r="G105" s="361">
        <v>3835315.7894629873</v>
      </c>
      <c r="H105" s="360">
        <v>627980.04901218251</v>
      </c>
      <c r="I105" s="359">
        <v>627980.04901218251</v>
      </c>
      <c r="J105" s="158">
        <v>0</v>
      </c>
      <c r="K105" s="158"/>
      <c r="L105" s="258">
        <f t="shared" si="22"/>
        <v>627980.04901218251</v>
      </c>
      <c r="M105" s="257">
        <f>IF(L105&lt;&gt;0,+H105-L105,0)</f>
        <v>0</v>
      </c>
      <c r="N105" s="258">
        <f t="shared" si="23"/>
        <v>627980.04901218251</v>
      </c>
      <c r="O105" s="158">
        <f>IF(N105&lt;&gt;0,+I105-N105,0)</f>
        <v>0</v>
      </c>
      <c r="P105" s="158">
        <f>+O105-M105</f>
        <v>0</v>
      </c>
      <c r="Q105" s="1"/>
    </row>
    <row r="106" spans="1:17">
      <c r="B106" s="9" t="str">
        <f t="shared" si="24"/>
        <v/>
      </c>
      <c r="C106" s="153">
        <f>IF(D93="","-",+C105+1)</f>
        <v>2015</v>
      </c>
      <c r="D106" s="357">
        <v>3781980.4606534634</v>
      </c>
      <c r="E106" s="360">
        <v>106670.65761904762</v>
      </c>
      <c r="F106" s="361">
        <v>3675309.8030344159</v>
      </c>
      <c r="G106" s="361">
        <v>3728645.1318439394</v>
      </c>
      <c r="H106" s="360">
        <v>597990.04263617261</v>
      </c>
      <c r="I106" s="359">
        <v>597990.04263617261</v>
      </c>
      <c r="J106" s="158">
        <f t="shared" si="18"/>
        <v>0</v>
      </c>
      <c r="K106" s="158"/>
      <c r="L106" s="258">
        <f>H106</f>
        <v>597990.04263617261</v>
      </c>
      <c r="M106" s="257">
        <f>IF(L106&lt;&gt;0,+H106-L106,0)</f>
        <v>0</v>
      </c>
      <c r="N106" s="258">
        <f>I106</f>
        <v>597990.04263617261</v>
      </c>
      <c r="O106" s="158">
        <f>IF(N106&lt;&gt;0,+I106-N106,0)</f>
        <v>0</v>
      </c>
      <c r="P106" s="158">
        <f>+O106-M106</f>
        <v>0</v>
      </c>
      <c r="Q106" s="1"/>
    </row>
    <row r="107" spans="1:17">
      <c r="B107" s="9" t="str">
        <f t="shared" si="24"/>
        <v>IU</v>
      </c>
      <c r="C107" s="153">
        <f>IF(D93="","-",+C106+1)</f>
        <v>2016</v>
      </c>
      <c r="D107" s="357">
        <v>3677790.5160023002</v>
      </c>
      <c r="E107" s="360">
        <v>104189.94465116279</v>
      </c>
      <c r="F107" s="361">
        <v>3573600.5713511375</v>
      </c>
      <c r="G107" s="361">
        <v>3625695.5436767191</v>
      </c>
      <c r="H107" s="360">
        <v>564471.95145808836</v>
      </c>
      <c r="I107" s="359">
        <v>564471.95145808836</v>
      </c>
      <c r="J107" s="158">
        <v>0</v>
      </c>
      <c r="K107" s="158"/>
      <c r="L107" s="258">
        <f>H107</f>
        <v>564471.95145808836</v>
      </c>
      <c r="M107" s="257">
        <f>IF(L107&lt;&gt;0,+H107-L107,0)</f>
        <v>0</v>
      </c>
      <c r="N107" s="258">
        <f>I107</f>
        <v>564471.95145808836</v>
      </c>
      <c r="O107" s="158">
        <f>IF(N107&lt;&gt;0,+I107-N107,0)</f>
        <v>0</v>
      </c>
      <c r="P107" s="158">
        <f>+O107-M107</f>
        <v>0</v>
      </c>
      <c r="Q107" s="1"/>
    </row>
    <row r="108" spans="1:17">
      <c r="B108" s="9" t="str">
        <f t="shared" si="24"/>
        <v>IU</v>
      </c>
      <c r="C108" s="153">
        <f>IF(D93="","-",+C107+1)</f>
        <v>2017</v>
      </c>
      <c r="D108" s="154">
        <f>IF(F107+SUM(E$99:E107)=D$92,F107,D$92-SUM(E$99:E107))</f>
        <v>3571119.8583832523</v>
      </c>
      <c r="E108" s="160">
        <f>IF(+J96&lt;F107,J96,D108)</f>
        <v>106670.65761904762</v>
      </c>
      <c r="F108" s="159">
        <f t="shared" si="25"/>
        <v>3464449.2007642048</v>
      </c>
      <c r="G108" s="159">
        <f t="shared" si="26"/>
        <v>3517784.5295737283</v>
      </c>
      <c r="H108" s="163">
        <f t="shared" si="27"/>
        <v>533981.0722445295</v>
      </c>
      <c r="I108" s="253">
        <f t="shared" si="28"/>
        <v>533981.0722445295</v>
      </c>
      <c r="J108" s="158">
        <f t="shared" si="18"/>
        <v>0</v>
      </c>
      <c r="K108" s="158"/>
      <c r="L108" s="334"/>
      <c r="M108" s="158">
        <f t="shared" si="19"/>
        <v>0</v>
      </c>
      <c r="N108" s="334"/>
      <c r="O108" s="158">
        <f t="shared" si="20"/>
        <v>0</v>
      </c>
      <c r="P108" s="158">
        <f t="shared" si="21"/>
        <v>0</v>
      </c>
      <c r="Q108" s="1"/>
    </row>
    <row r="109" spans="1:17">
      <c r="B109" s="9" t="str">
        <f t="shared" si="24"/>
        <v/>
      </c>
      <c r="C109" s="153">
        <f>IF(D93="","-",+C108+1)</f>
        <v>2018</v>
      </c>
      <c r="D109" s="154">
        <f>IF(F108+SUM(E$99:E108)=D$92,F108,D$92-SUM(E$99:E108))</f>
        <v>3464449.2007642048</v>
      </c>
      <c r="E109" s="160">
        <f>IF(+J96&lt;F108,J96,D109)</f>
        <v>106670.65761904762</v>
      </c>
      <c r="F109" s="159">
        <f t="shared" si="25"/>
        <v>3357778.5431451574</v>
      </c>
      <c r="G109" s="159">
        <f t="shared" si="26"/>
        <v>3411113.8719546814</v>
      </c>
      <c r="H109" s="163">
        <f t="shared" si="27"/>
        <v>521023.63197143486</v>
      </c>
      <c r="I109" s="253">
        <f t="shared" si="28"/>
        <v>521023.63197143486</v>
      </c>
      <c r="J109" s="158">
        <f t="shared" si="18"/>
        <v>0</v>
      </c>
      <c r="K109" s="158"/>
      <c r="L109" s="334"/>
      <c r="M109" s="158">
        <f t="shared" si="19"/>
        <v>0</v>
      </c>
      <c r="N109" s="334"/>
      <c r="O109" s="158">
        <f t="shared" si="20"/>
        <v>0</v>
      </c>
      <c r="P109" s="158">
        <f t="shared" si="21"/>
        <v>0</v>
      </c>
      <c r="Q109" s="1"/>
    </row>
    <row r="110" spans="1:17">
      <c r="B110" s="9" t="str">
        <f t="shared" si="24"/>
        <v/>
      </c>
      <c r="C110" s="153">
        <f>IF(D93="","-",+C109+1)</f>
        <v>2019</v>
      </c>
      <c r="D110" s="154">
        <f>IF(F109+SUM(E$99:E109)=D$92,F109,D$92-SUM(E$99:E109))</f>
        <v>3357778.5431451574</v>
      </c>
      <c r="E110" s="160">
        <f>IF(+J96&lt;F109,J96,D110)</f>
        <v>106670.65761904762</v>
      </c>
      <c r="F110" s="159">
        <f t="shared" si="25"/>
        <v>3251107.88552611</v>
      </c>
      <c r="G110" s="159">
        <f t="shared" si="26"/>
        <v>3304443.2143356334</v>
      </c>
      <c r="H110" s="163">
        <f t="shared" si="27"/>
        <v>508066.19169834018</v>
      </c>
      <c r="I110" s="253">
        <f t="shared" si="28"/>
        <v>508066.19169834018</v>
      </c>
      <c r="J110" s="158">
        <f t="shared" si="18"/>
        <v>0</v>
      </c>
      <c r="K110" s="158"/>
      <c r="L110" s="334"/>
      <c r="M110" s="158">
        <f t="shared" si="19"/>
        <v>0</v>
      </c>
      <c r="N110" s="334"/>
      <c r="O110" s="158">
        <f t="shared" si="20"/>
        <v>0</v>
      </c>
      <c r="P110" s="158">
        <f t="shared" si="21"/>
        <v>0</v>
      </c>
      <c r="Q110" s="1"/>
    </row>
    <row r="111" spans="1:17">
      <c r="B111" s="9" t="str">
        <f t="shared" si="24"/>
        <v/>
      </c>
      <c r="C111" s="153">
        <f>IF(D93="","-",+C110+1)</f>
        <v>2020</v>
      </c>
      <c r="D111" s="154">
        <f>IF(F110+SUM(E$99:E110)=D$92,F110,D$92-SUM(E$99:E110))</f>
        <v>3251107.88552611</v>
      </c>
      <c r="E111" s="160">
        <f>IF(+J96&lt;F110,J96,D111)</f>
        <v>106670.65761904762</v>
      </c>
      <c r="F111" s="159">
        <f t="shared" si="25"/>
        <v>3144437.2279070625</v>
      </c>
      <c r="G111" s="159">
        <f t="shared" si="26"/>
        <v>3197772.5567165865</v>
      </c>
      <c r="H111" s="163">
        <f t="shared" si="27"/>
        <v>495108.75142524554</v>
      </c>
      <c r="I111" s="253">
        <f t="shared" si="28"/>
        <v>495108.75142524554</v>
      </c>
      <c r="J111" s="158">
        <f t="shared" si="18"/>
        <v>0</v>
      </c>
      <c r="K111" s="158"/>
      <c r="L111" s="334"/>
      <c r="M111" s="158">
        <f t="shared" si="19"/>
        <v>0</v>
      </c>
      <c r="N111" s="334"/>
      <c r="O111" s="158">
        <f t="shared" si="20"/>
        <v>0</v>
      </c>
      <c r="P111" s="158">
        <f t="shared" si="21"/>
        <v>0</v>
      </c>
      <c r="Q111" s="1"/>
    </row>
    <row r="112" spans="1:17">
      <c r="B112" s="9" t="str">
        <f t="shared" si="24"/>
        <v/>
      </c>
      <c r="C112" s="153">
        <f>IF(D93="","-",+C111+1)</f>
        <v>2021</v>
      </c>
      <c r="D112" s="154">
        <f>IF(F111+SUM(E$99:E111)=D$92,F111,D$92-SUM(E$99:E111))</f>
        <v>3144437.2279070625</v>
      </c>
      <c r="E112" s="160">
        <f>IF(+J96&lt;F111,J96,D112)</f>
        <v>106670.65761904762</v>
      </c>
      <c r="F112" s="159">
        <f t="shared" si="25"/>
        <v>3037766.5702880151</v>
      </c>
      <c r="G112" s="159">
        <f t="shared" si="26"/>
        <v>3091101.8990975386</v>
      </c>
      <c r="H112" s="163">
        <f t="shared" si="27"/>
        <v>482151.31115215085</v>
      </c>
      <c r="I112" s="253">
        <f t="shared" si="28"/>
        <v>482151.31115215085</v>
      </c>
      <c r="J112" s="158">
        <f t="shared" si="18"/>
        <v>0</v>
      </c>
      <c r="K112" s="158"/>
      <c r="L112" s="334"/>
      <c r="M112" s="158">
        <f t="shared" si="19"/>
        <v>0</v>
      </c>
      <c r="N112" s="334"/>
      <c r="O112" s="158">
        <f t="shared" si="20"/>
        <v>0</v>
      </c>
      <c r="P112" s="158">
        <f t="shared" si="21"/>
        <v>0</v>
      </c>
      <c r="Q112" s="1"/>
    </row>
    <row r="113" spans="2:17">
      <c r="B113" s="9" t="str">
        <f t="shared" si="24"/>
        <v/>
      </c>
      <c r="C113" s="153">
        <f>IF(D93="","-",+C112+1)</f>
        <v>2022</v>
      </c>
      <c r="D113" s="154">
        <f>IF(F112+SUM(E$99:E112)=D$92,F112,D$92-SUM(E$99:E112))</f>
        <v>3037766.5702880151</v>
      </c>
      <c r="E113" s="160">
        <f>IF(+J96&lt;F112,J96,D113)</f>
        <v>106670.65761904762</v>
      </c>
      <c r="F113" s="159">
        <f t="shared" si="25"/>
        <v>2931095.9126689676</v>
      </c>
      <c r="G113" s="159">
        <f t="shared" si="26"/>
        <v>2984431.2414784916</v>
      </c>
      <c r="H113" s="163">
        <f t="shared" ref="H113:H154" si="29">+J$94*G113+E113</f>
        <v>469193.87087905622</v>
      </c>
      <c r="I113" s="253">
        <f t="shared" ref="I113:I154" si="30">+J$95*G113+E113</f>
        <v>469193.87087905622</v>
      </c>
      <c r="J113" s="158">
        <f t="shared" si="18"/>
        <v>0</v>
      </c>
      <c r="K113" s="158"/>
      <c r="L113" s="334"/>
      <c r="M113" s="158">
        <f t="shared" si="19"/>
        <v>0</v>
      </c>
      <c r="N113" s="334"/>
      <c r="O113" s="158">
        <f t="shared" si="20"/>
        <v>0</v>
      </c>
      <c r="P113" s="158">
        <f t="shared" si="21"/>
        <v>0</v>
      </c>
      <c r="Q113" s="1"/>
    </row>
    <row r="114" spans="2:17">
      <c r="B114" s="9" t="str">
        <f t="shared" si="24"/>
        <v/>
      </c>
      <c r="C114" s="153">
        <f>IF(D93="","-",+C113+1)</f>
        <v>2023</v>
      </c>
      <c r="D114" s="154">
        <f>IF(F113+SUM(E$99:E113)=D$92,F113,D$92-SUM(E$99:E113))</f>
        <v>2931095.9126689676</v>
      </c>
      <c r="E114" s="160">
        <f>IF(+J96&lt;F113,J96,D114)</f>
        <v>106670.65761904762</v>
      </c>
      <c r="F114" s="159">
        <f t="shared" si="25"/>
        <v>2824425.2550499202</v>
      </c>
      <c r="G114" s="159">
        <f t="shared" si="26"/>
        <v>2877760.5838594437</v>
      </c>
      <c r="H114" s="163">
        <f t="shared" si="29"/>
        <v>456236.43060596153</v>
      </c>
      <c r="I114" s="253">
        <f t="shared" si="30"/>
        <v>456236.43060596153</v>
      </c>
      <c r="J114" s="158">
        <f t="shared" si="18"/>
        <v>0</v>
      </c>
      <c r="K114" s="158"/>
      <c r="L114" s="334"/>
      <c r="M114" s="158">
        <f t="shared" si="19"/>
        <v>0</v>
      </c>
      <c r="N114" s="334"/>
      <c r="O114" s="158">
        <f t="shared" si="20"/>
        <v>0</v>
      </c>
      <c r="P114" s="158">
        <f t="shared" si="21"/>
        <v>0</v>
      </c>
      <c r="Q114" s="1"/>
    </row>
    <row r="115" spans="2:17">
      <c r="B115" s="9" t="str">
        <f t="shared" si="24"/>
        <v/>
      </c>
      <c r="C115" s="153">
        <f>IF(D93="","-",+C114+1)</f>
        <v>2024</v>
      </c>
      <c r="D115" s="154">
        <f>IF(F114+SUM(E$99:E114)=D$92,F114,D$92-SUM(E$99:E114))</f>
        <v>2824425.2550499202</v>
      </c>
      <c r="E115" s="160">
        <f>IF(+J96&lt;F114,J96,D115)</f>
        <v>106670.65761904762</v>
      </c>
      <c r="F115" s="159">
        <f t="shared" si="25"/>
        <v>2717754.5974308727</v>
      </c>
      <c r="G115" s="159">
        <f t="shared" si="26"/>
        <v>2771089.9262403967</v>
      </c>
      <c r="H115" s="163">
        <f t="shared" si="29"/>
        <v>443278.9903328669</v>
      </c>
      <c r="I115" s="253">
        <f t="shared" si="30"/>
        <v>443278.9903328669</v>
      </c>
      <c r="J115" s="158">
        <f t="shared" si="18"/>
        <v>0</v>
      </c>
      <c r="K115" s="158"/>
      <c r="L115" s="334"/>
      <c r="M115" s="158">
        <f t="shared" si="19"/>
        <v>0</v>
      </c>
      <c r="N115" s="334"/>
      <c r="O115" s="158">
        <f t="shared" si="20"/>
        <v>0</v>
      </c>
      <c r="P115" s="158">
        <f t="shared" si="21"/>
        <v>0</v>
      </c>
      <c r="Q115" s="1"/>
    </row>
    <row r="116" spans="2:17">
      <c r="B116" s="9" t="str">
        <f t="shared" si="24"/>
        <v/>
      </c>
      <c r="C116" s="153">
        <f>IF(D93="","-",+C115+1)</f>
        <v>2025</v>
      </c>
      <c r="D116" s="154">
        <f>IF(F115+SUM(E$99:E115)=D$92,F115,D$92-SUM(E$99:E115))</f>
        <v>2717754.5974308727</v>
      </c>
      <c r="E116" s="160">
        <f>IF(+J96&lt;F115,J96,D116)</f>
        <v>106670.65761904762</v>
      </c>
      <c r="F116" s="159">
        <f t="shared" si="25"/>
        <v>2611083.9398118253</v>
      </c>
      <c r="G116" s="159">
        <f t="shared" si="26"/>
        <v>2664419.2686213488</v>
      </c>
      <c r="H116" s="163">
        <f t="shared" si="29"/>
        <v>430321.55005977221</v>
      </c>
      <c r="I116" s="253">
        <f t="shared" si="30"/>
        <v>430321.55005977221</v>
      </c>
      <c r="J116" s="158">
        <f t="shared" si="18"/>
        <v>0</v>
      </c>
      <c r="K116" s="158"/>
      <c r="L116" s="334"/>
      <c r="M116" s="158">
        <f t="shared" si="19"/>
        <v>0</v>
      </c>
      <c r="N116" s="334"/>
      <c r="O116" s="158">
        <f t="shared" si="20"/>
        <v>0</v>
      </c>
      <c r="P116" s="158">
        <f t="shared" si="21"/>
        <v>0</v>
      </c>
      <c r="Q116" s="1"/>
    </row>
    <row r="117" spans="2:17">
      <c r="B117" s="9" t="str">
        <f t="shared" si="24"/>
        <v/>
      </c>
      <c r="C117" s="153">
        <f>IF(D93="","-",+C116+1)</f>
        <v>2026</v>
      </c>
      <c r="D117" s="154">
        <f>IF(F116+SUM(E$99:E116)=D$92,F116,D$92-SUM(E$99:E116))</f>
        <v>2611083.9398118253</v>
      </c>
      <c r="E117" s="160">
        <f>IF(+J96&lt;F116,J96,D117)</f>
        <v>106670.65761904762</v>
      </c>
      <c r="F117" s="159">
        <f t="shared" si="25"/>
        <v>2504413.2821927778</v>
      </c>
      <c r="G117" s="159">
        <f t="shared" si="26"/>
        <v>2557748.6110023018</v>
      </c>
      <c r="H117" s="163">
        <f t="shared" si="29"/>
        <v>417364.10978667758</v>
      </c>
      <c r="I117" s="253">
        <f t="shared" si="30"/>
        <v>417364.10978667758</v>
      </c>
      <c r="J117" s="158">
        <f t="shared" si="18"/>
        <v>0</v>
      </c>
      <c r="K117" s="158"/>
      <c r="L117" s="334"/>
      <c r="M117" s="158">
        <f t="shared" si="19"/>
        <v>0</v>
      </c>
      <c r="N117" s="334"/>
      <c r="O117" s="158">
        <f t="shared" si="20"/>
        <v>0</v>
      </c>
      <c r="P117" s="158">
        <f t="shared" si="21"/>
        <v>0</v>
      </c>
      <c r="Q117" s="1"/>
    </row>
    <row r="118" spans="2:17">
      <c r="B118" s="9" t="str">
        <f t="shared" si="24"/>
        <v/>
      </c>
      <c r="C118" s="153">
        <f>IF(D93="","-",+C117+1)</f>
        <v>2027</v>
      </c>
      <c r="D118" s="154">
        <f>IF(F117+SUM(E$99:E117)=D$92,F117,D$92-SUM(E$99:E117))</f>
        <v>2504413.2821927778</v>
      </c>
      <c r="E118" s="160">
        <f>IF(+J96&lt;F117,J96,D118)</f>
        <v>106670.65761904762</v>
      </c>
      <c r="F118" s="159">
        <f t="shared" si="25"/>
        <v>2397742.6245737304</v>
      </c>
      <c r="G118" s="159">
        <f t="shared" si="26"/>
        <v>2451077.9533832539</v>
      </c>
      <c r="H118" s="163">
        <f t="shared" si="29"/>
        <v>404406.66951358289</v>
      </c>
      <c r="I118" s="253">
        <f t="shared" si="30"/>
        <v>404406.66951358289</v>
      </c>
      <c r="J118" s="158">
        <f t="shared" si="18"/>
        <v>0</v>
      </c>
      <c r="K118" s="158"/>
      <c r="L118" s="334"/>
      <c r="M118" s="158">
        <f t="shared" si="19"/>
        <v>0</v>
      </c>
      <c r="N118" s="334"/>
      <c r="O118" s="158">
        <f t="shared" si="20"/>
        <v>0</v>
      </c>
      <c r="P118" s="158">
        <f t="shared" si="21"/>
        <v>0</v>
      </c>
      <c r="Q118" s="1"/>
    </row>
    <row r="119" spans="2:17">
      <c r="B119" s="9" t="str">
        <f t="shared" si="24"/>
        <v/>
      </c>
      <c r="C119" s="153">
        <f>IF(D93="","-",+C118+1)</f>
        <v>2028</v>
      </c>
      <c r="D119" s="154">
        <f>IF(F118+SUM(E$99:E118)=D$92,F118,D$92-SUM(E$99:E118))</f>
        <v>2397742.6245737304</v>
      </c>
      <c r="E119" s="160">
        <f>IF(+J96&lt;F118,J96,D119)</f>
        <v>106670.65761904762</v>
      </c>
      <c r="F119" s="159">
        <f t="shared" si="25"/>
        <v>2291071.966954683</v>
      </c>
      <c r="G119" s="159">
        <f t="shared" si="26"/>
        <v>2344407.2957642069</v>
      </c>
      <c r="H119" s="163">
        <f t="shared" si="29"/>
        <v>391449.22924048826</v>
      </c>
      <c r="I119" s="253">
        <f t="shared" si="30"/>
        <v>391449.22924048826</v>
      </c>
      <c r="J119" s="158">
        <f t="shared" si="18"/>
        <v>0</v>
      </c>
      <c r="K119" s="158"/>
      <c r="L119" s="334"/>
      <c r="M119" s="158">
        <f t="shared" si="19"/>
        <v>0</v>
      </c>
      <c r="N119" s="334"/>
      <c r="O119" s="158">
        <f t="shared" si="20"/>
        <v>0</v>
      </c>
      <c r="P119" s="158">
        <f t="shared" si="21"/>
        <v>0</v>
      </c>
      <c r="Q119" s="1"/>
    </row>
    <row r="120" spans="2:17">
      <c r="B120" s="9" t="str">
        <f t="shared" si="24"/>
        <v/>
      </c>
      <c r="C120" s="153">
        <f>IF(D93="","-",+C119+1)</f>
        <v>2029</v>
      </c>
      <c r="D120" s="154">
        <f>IF(F119+SUM(E$99:E119)=D$92,F119,D$92-SUM(E$99:E119))</f>
        <v>2291071.966954683</v>
      </c>
      <c r="E120" s="160">
        <f>IF(+J96&lt;F119,J96,D120)</f>
        <v>106670.65761904762</v>
      </c>
      <c r="F120" s="159">
        <f t="shared" si="25"/>
        <v>2184401.3093356355</v>
      </c>
      <c r="G120" s="159">
        <f t="shared" si="26"/>
        <v>2237736.638145159</v>
      </c>
      <c r="H120" s="163">
        <f t="shared" si="29"/>
        <v>378491.78896739357</v>
      </c>
      <c r="I120" s="253">
        <f t="shared" si="30"/>
        <v>378491.78896739357</v>
      </c>
      <c r="J120" s="158">
        <f t="shared" si="18"/>
        <v>0</v>
      </c>
      <c r="K120" s="158"/>
      <c r="L120" s="334"/>
      <c r="M120" s="158">
        <f t="shared" si="19"/>
        <v>0</v>
      </c>
      <c r="N120" s="334"/>
      <c r="O120" s="158">
        <f t="shared" si="20"/>
        <v>0</v>
      </c>
      <c r="P120" s="158">
        <f t="shared" si="21"/>
        <v>0</v>
      </c>
      <c r="Q120" s="1"/>
    </row>
    <row r="121" spans="2:17">
      <c r="B121" s="9" t="str">
        <f t="shared" si="24"/>
        <v/>
      </c>
      <c r="C121" s="153">
        <f>IF(D93="","-",+C120+1)</f>
        <v>2030</v>
      </c>
      <c r="D121" s="154">
        <f>IF(F120+SUM(E$99:E120)=D$92,F120,D$92-SUM(E$99:E120))</f>
        <v>2184401.3093356355</v>
      </c>
      <c r="E121" s="160">
        <f>IF(+J96&lt;F120,J96,D121)</f>
        <v>106670.65761904762</v>
      </c>
      <c r="F121" s="159">
        <f t="shared" si="25"/>
        <v>2077730.6517165878</v>
      </c>
      <c r="G121" s="159">
        <f t="shared" si="26"/>
        <v>2131065.9805261116</v>
      </c>
      <c r="H121" s="163">
        <f t="shared" si="29"/>
        <v>365534.34869429888</v>
      </c>
      <c r="I121" s="253">
        <f t="shared" si="30"/>
        <v>365534.34869429888</v>
      </c>
      <c r="J121" s="158">
        <f t="shared" si="18"/>
        <v>0</v>
      </c>
      <c r="K121" s="158"/>
      <c r="L121" s="334"/>
      <c r="M121" s="158">
        <f t="shared" si="19"/>
        <v>0</v>
      </c>
      <c r="N121" s="334"/>
      <c r="O121" s="158">
        <f t="shared" si="20"/>
        <v>0</v>
      </c>
      <c r="P121" s="158">
        <f t="shared" si="21"/>
        <v>0</v>
      </c>
      <c r="Q121" s="1"/>
    </row>
    <row r="122" spans="2:17">
      <c r="B122" s="9" t="str">
        <f t="shared" si="24"/>
        <v/>
      </c>
      <c r="C122" s="153">
        <f>IF(D93="","-",+C121+1)</f>
        <v>2031</v>
      </c>
      <c r="D122" s="154">
        <f>IF(F121+SUM(E$99:E121)=D$92,F121,D$92-SUM(E$99:E121))</f>
        <v>2077730.6517165878</v>
      </c>
      <c r="E122" s="160">
        <f>IF(+J96&lt;F121,J96,D122)</f>
        <v>106670.65761904762</v>
      </c>
      <c r="F122" s="159">
        <f t="shared" si="25"/>
        <v>1971059.9940975402</v>
      </c>
      <c r="G122" s="159">
        <f t="shared" si="26"/>
        <v>2024395.3229070641</v>
      </c>
      <c r="H122" s="163">
        <f t="shared" si="29"/>
        <v>352576.90842120425</v>
      </c>
      <c r="I122" s="253">
        <f t="shared" si="30"/>
        <v>352576.90842120425</v>
      </c>
      <c r="J122" s="158">
        <f t="shared" si="18"/>
        <v>0</v>
      </c>
      <c r="K122" s="158"/>
      <c r="L122" s="334"/>
      <c r="M122" s="158">
        <f t="shared" si="19"/>
        <v>0</v>
      </c>
      <c r="N122" s="334"/>
      <c r="O122" s="158">
        <f t="shared" si="20"/>
        <v>0</v>
      </c>
      <c r="P122" s="158">
        <f t="shared" si="21"/>
        <v>0</v>
      </c>
      <c r="Q122" s="1"/>
    </row>
    <row r="123" spans="2:17">
      <c r="B123" s="9" t="str">
        <f t="shared" si="24"/>
        <v/>
      </c>
      <c r="C123" s="153">
        <f>IF(D93="","-",+C122+1)</f>
        <v>2032</v>
      </c>
      <c r="D123" s="154">
        <f>IF(F122+SUM(E$99:E122)=D$92,F122,D$92-SUM(E$99:E122))</f>
        <v>1971059.9940975402</v>
      </c>
      <c r="E123" s="160">
        <f>IF(+J96&lt;F122,J96,D123)</f>
        <v>106670.65761904762</v>
      </c>
      <c r="F123" s="159">
        <f t="shared" si="25"/>
        <v>1864389.3364784925</v>
      </c>
      <c r="G123" s="159">
        <f t="shared" si="26"/>
        <v>1917724.6652880162</v>
      </c>
      <c r="H123" s="163">
        <f t="shared" si="29"/>
        <v>339619.4681481095</v>
      </c>
      <c r="I123" s="253">
        <f t="shared" si="30"/>
        <v>339619.4681481095</v>
      </c>
      <c r="J123" s="158">
        <f t="shared" si="18"/>
        <v>0</v>
      </c>
      <c r="K123" s="158"/>
      <c r="L123" s="334"/>
      <c r="M123" s="158">
        <f t="shared" si="19"/>
        <v>0</v>
      </c>
      <c r="N123" s="334"/>
      <c r="O123" s="158">
        <f t="shared" si="20"/>
        <v>0</v>
      </c>
      <c r="P123" s="158">
        <f t="shared" si="21"/>
        <v>0</v>
      </c>
      <c r="Q123" s="1"/>
    </row>
    <row r="124" spans="2:17">
      <c r="B124" s="9" t="str">
        <f t="shared" si="24"/>
        <v/>
      </c>
      <c r="C124" s="153">
        <f>IF(D93="","-",+C123+1)</f>
        <v>2033</v>
      </c>
      <c r="D124" s="154">
        <f>IF(F123+SUM(E$99:E123)=D$92,F123,D$92-SUM(E$99:E123))</f>
        <v>1864389.3364784925</v>
      </c>
      <c r="E124" s="160">
        <f>IF(+J96&lt;F123,J96,D124)</f>
        <v>106670.65761904762</v>
      </c>
      <c r="F124" s="159">
        <f t="shared" si="25"/>
        <v>1757718.6788594448</v>
      </c>
      <c r="G124" s="159">
        <f t="shared" si="26"/>
        <v>1811054.0076689688</v>
      </c>
      <c r="H124" s="163">
        <f t="shared" si="29"/>
        <v>326662.02787501487</v>
      </c>
      <c r="I124" s="253">
        <f t="shared" si="30"/>
        <v>326662.02787501487</v>
      </c>
      <c r="J124" s="158">
        <f t="shared" si="18"/>
        <v>0</v>
      </c>
      <c r="K124" s="158"/>
      <c r="L124" s="334"/>
      <c r="M124" s="158">
        <f t="shared" si="19"/>
        <v>0</v>
      </c>
      <c r="N124" s="334"/>
      <c r="O124" s="158">
        <f t="shared" si="20"/>
        <v>0</v>
      </c>
      <c r="P124" s="158">
        <f t="shared" si="21"/>
        <v>0</v>
      </c>
      <c r="Q124" s="1"/>
    </row>
    <row r="125" spans="2:17">
      <c r="B125" s="9" t="str">
        <f t="shared" si="24"/>
        <v/>
      </c>
      <c r="C125" s="153">
        <f>IF(D93="","-",+C124+1)</f>
        <v>2034</v>
      </c>
      <c r="D125" s="154">
        <f>IF(F124+SUM(E$99:E124)=D$92,F124,D$92-SUM(E$99:E124))</f>
        <v>1757718.6788594448</v>
      </c>
      <c r="E125" s="160">
        <f>IF(+J96&lt;F124,J96,D125)</f>
        <v>106670.65761904762</v>
      </c>
      <c r="F125" s="159">
        <f t="shared" si="25"/>
        <v>1651048.0212403971</v>
      </c>
      <c r="G125" s="159">
        <f t="shared" si="26"/>
        <v>1704383.3500499208</v>
      </c>
      <c r="H125" s="163">
        <f t="shared" si="29"/>
        <v>313704.58760192012</v>
      </c>
      <c r="I125" s="253">
        <f t="shared" si="30"/>
        <v>313704.58760192012</v>
      </c>
      <c r="J125" s="158">
        <f t="shared" si="18"/>
        <v>0</v>
      </c>
      <c r="K125" s="158"/>
      <c r="L125" s="334"/>
      <c r="M125" s="158">
        <f t="shared" si="19"/>
        <v>0</v>
      </c>
      <c r="N125" s="334"/>
      <c r="O125" s="158">
        <f t="shared" si="20"/>
        <v>0</v>
      </c>
      <c r="P125" s="158">
        <f t="shared" si="21"/>
        <v>0</v>
      </c>
      <c r="Q125" s="1"/>
    </row>
    <row r="126" spans="2:17">
      <c r="B126" s="9" t="str">
        <f t="shared" si="24"/>
        <v/>
      </c>
      <c r="C126" s="153">
        <f>IF(D93="","-",+C125+1)</f>
        <v>2035</v>
      </c>
      <c r="D126" s="154">
        <f>IF(F125+SUM(E$99:E125)=D$92,F125,D$92-SUM(E$99:E125))</f>
        <v>1651048.0212403971</v>
      </c>
      <c r="E126" s="160">
        <f>IF(+J96&lt;F125,J96,D126)</f>
        <v>106670.65761904762</v>
      </c>
      <c r="F126" s="159">
        <f t="shared" si="25"/>
        <v>1544377.3636213494</v>
      </c>
      <c r="G126" s="159">
        <f t="shared" si="26"/>
        <v>1597712.6924308734</v>
      </c>
      <c r="H126" s="163">
        <f t="shared" si="29"/>
        <v>300747.14732882549</v>
      </c>
      <c r="I126" s="253">
        <f t="shared" si="30"/>
        <v>300747.14732882549</v>
      </c>
      <c r="J126" s="158">
        <f t="shared" si="18"/>
        <v>0</v>
      </c>
      <c r="K126" s="158"/>
      <c r="L126" s="334"/>
      <c r="M126" s="158">
        <f t="shared" si="19"/>
        <v>0</v>
      </c>
      <c r="N126" s="334"/>
      <c r="O126" s="158">
        <f t="shared" si="20"/>
        <v>0</v>
      </c>
      <c r="P126" s="158">
        <f t="shared" si="21"/>
        <v>0</v>
      </c>
      <c r="Q126" s="1"/>
    </row>
    <row r="127" spans="2:17">
      <c r="B127" s="9" t="str">
        <f t="shared" si="24"/>
        <v/>
      </c>
      <c r="C127" s="153">
        <f>IF(D93="","-",+C126+1)</f>
        <v>2036</v>
      </c>
      <c r="D127" s="154">
        <f>IF(F126+SUM(E$99:E126)=D$92,F126,D$92-SUM(E$99:E126))</f>
        <v>1544377.3636213494</v>
      </c>
      <c r="E127" s="160">
        <f>IF(+J96&lt;F126,J96,D127)</f>
        <v>106670.65761904762</v>
      </c>
      <c r="F127" s="159">
        <f t="shared" si="25"/>
        <v>1437706.7060023018</v>
      </c>
      <c r="G127" s="159">
        <f t="shared" si="26"/>
        <v>1491042.0348118255</v>
      </c>
      <c r="H127" s="163">
        <f t="shared" si="29"/>
        <v>287789.70705573075</v>
      </c>
      <c r="I127" s="253">
        <f t="shared" si="30"/>
        <v>287789.70705573075</v>
      </c>
      <c r="J127" s="158">
        <f t="shared" si="18"/>
        <v>0</v>
      </c>
      <c r="K127" s="158"/>
      <c r="L127" s="334"/>
      <c r="M127" s="158">
        <f t="shared" si="19"/>
        <v>0</v>
      </c>
      <c r="N127" s="334"/>
      <c r="O127" s="158">
        <f t="shared" si="20"/>
        <v>0</v>
      </c>
      <c r="P127" s="158">
        <f t="shared" si="21"/>
        <v>0</v>
      </c>
      <c r="Q127" s="1"/>
    </row>
    <row r="128" spans="2:17">
      <c r="B128" s="9" t="str">
        <f t="shared" si="24"/>
        <v/>
      </c>
      <c r="C128" s="153">
        <f>IF(D93="","-",+C127+1)</f>
        <v>2037</v>
      </c>
      <c r="D128" s="154">
        <f>IF(F127+SUM(E$99:E127)=D$92,F127,D$92-SUM(E$99:E127))</f>
        <v>1437706.7060023018</v>
      </c>
      <c r="E128" s="160">
        <f>IF(+J96&lt;F127,J96,D128)</f>
        <v>106670.65761904762</v>
      </c>
      <c r="F128" s="159">
        <f t="shared" si="25"/>
        <v>1331036.0483832541</v>
      </c>
      <c r="G128" s="159">
        <f t="shared" si="26"/>
        <v>1384371.377192778</v>
      </c>
      <c r="H128" s="163">
        <f t="shared" si="29"/>
        <v>274832.26678263611</v>
      </c>
      <c r="I128" s="253">
        <f t="shared" si="30"/>
        <v>274832.26678263611</v>
      </c>
      <c r="J128" s="158">
        <f t="shared" si="18"/>
        <v>0</v>
      </c>
      <c r="K128" s="158"/>
      <c r="L128" s="334"/>
      <c r="M128" s="158">
        <f t="shared" si="19"/>
        <v>0</v>
      </c>
      <c r="N128" s="334"/>
      <c r="O128" s="158">
        <f t="shared" si="20"/>
        <v>0</v>
      </c>
      <c r="P128" s="158">
        <f t="shared" si="21"/>
        <v>0</v>
      </c>
      <c r="Q128" s="1"/>
    </row>
    <row r="129" spans="2:17">
      <c r="B129" s="9" t="str">
        <f t="shared" si="24"/>
        <v/>
      </c>
      <c r="C129" s="153">
        <f>IF(D93="","-",+C128+1)</f>
        <v>2038</v>
      </c>
      <c r="D129" s="154">
        <f>IF(F128+SUM(E$99:E128)=D$92,F128,D$92-SUM(E$99:E128))</f>
        <v>1331036.0483832541</v>
      </c>
      <c r="E129" s="160">
        <f>IF(+J96&lt;F128,J96,D129)</f>
        <v>106670.65761904762</v>
      </c>
      <c r="F129" s="159">
        <f t="shared" si="25"/>
        <v>1224365.3907642064</v>
      </c>
      <c r="G129" s="159">
        <f t="shared" si="26"/>
        <v>1277700.7195737301</v>
      </c>
      <c r="H129" s="163">
        <f t="shared" si="29"/>
        <v>261874.8265095414</v>
      </c>
      <c r="I129" s="253">
        <f t="shared" si="30"/>
        <v>261874.8265095414</v>
      </c>
      <c r="J129" s="158">
        <f t="shared" si="18"/>
        <v>0</v>
      </c>
      <c r="K129" s="158"/>
      <c r="L129" s="334"/>
      <c r="M129" s="158">
        <f t="shared" si="19"/>
        <v>0</v>
      </c>
      <c r="N129" s="334"/>
      <c r="O129" s="158">
        <f t="shared" si="20"/>
        <v>0</v>
      </c>
      <c r="P129" s="158">
        <f t="shared" si="21"/>
        <v>0</v>
      </c>
      <c r="Q129" s="1"/>
    </row>
    <row r="130" spans="2:17">
      <c r="B130" s="9" t="str">
        <f t="shared" si="24"/>
        <v/>
      </c>
      <c r="C130" s="153">
        <f>IF(D93="","-",+C129+1)</f>
        <v>2039</v>
      </c>
      <c r="D130" s="154">
        <f>IF(F129+SUM(E$99:E129)=D$92,F129,D$92-SUM(E$99:E129))</f>
        <v>1224365.3907642064</v>
      </c>
      <c r="E130" s="160">
        <f>IF(+J96&lt;F129,J96,D130)</f>
        <v>106670.65761904762</v>
      </c>
      <c r="F130" s="159">
        <f t="shared" si="25"/>
        <v>1117694.7331451587</v>
      </c>
      <c r="G130" s="159">
        <f t="shared" si="26"/>
        <v>1171030.0619546827</v>
      </c>
      <c r="H130" s="163">
        <f t="shared" si="29"/>
        <v>248917.38623644673</v>
      </c>
      <c r="I130" s="253">
        <f t="shared" si="30"/>
        <v>248917.38623644673</v>
      </c>
      <c r="J130" s="158">
        <f t="shared" si="18"/>
        <v>0</v>
      </c>
      <c r="K130" s="158"/>
      <c r="L130" s="334"/>
      <c r="M130" s="158">
        <f t="shared" si="19"/>
        <v>0</v>
      </c>
      <c r="N130" s="334"/>
      <c r="O130" s="158">
        <f t="shared" si="20"/>
        <v>0</v>
      </c>
      <c r="P130" s="158">
        <f t="shared" si="21"/>
        <v>0</v>
      </c>
      <c r="Q130" s="1"/>
    </row>
    <row r="131" spans="2:17">
      <c r="B131" s="9" t="str">
        <f t="shared" si="24"/>
        <v/>
      </c>
      <c r="C131" s="153">
        <f>IF(D93="","-",+C130+1)</f>
        <v>2040</v>
      </c>
      <c r="D131" s="154">
        <f>IF(F130+SUM(E$99:E130)=D$92,F130,D$92-SUM(E$99:E130))</f>
        <v>1117694.7331451587</v>
      </c>
      <c r="E131" s="160">
        <f>IF(+J96&lt;F130,J96,D131)</f>
        <v>106670.65761904762</v>
      </c>
      <c r="F131" s="159">
        <f t="shared" ref="F131:F154" si="31">+D131-E131</f>
        <v>1011024.0755261111</v>
      </c>
      <c r="G131" s="159">
        <f t="shared" ref="G131:G154" si="32">+(F131+D131)/2</f>
        <v>1064359.4043356348</v>
      </c>
      <c r="H131" s="163">
        <f t="shared" si="29"/>
        <v>235959.94596335205</v>
      </c>
      <c r="I131" s="253">
        <f t="shared" si="30"/>
        <v>235959.94596335205</v>
      </c>
      <c r="J131" s="158">
        <f t="shared" ref="J131:J154" si="33">+I131-H131</f>
        <v>0</v>
      </c>
      <c r="K131" s="158"/>
      <c r="L131" s="334"/>
      <c r="M131" s="158">
        <f t="shared" ref="M131:M154" si="34">IF(L131&lt;&gt;0,+H131-L131,0)</f>
        <v>0</v>
      </c>
      <c r="N131" s="334"/>
      <c r="O131" s="158">
        <f t="shared" ref="O131:O154" si="35">IF(N131&lt;&gt;0,+I131-N131,0)</f>
        <v>0</v>
      </c>
      <c r="P131" s="158">
        <f t="shared" ref="P131:P154" si="36">+O131-M131</f>
        <v>0</v>
      </c>
      <c r="Q131" s="1"/>
    </row>
    <row r="132" spans="2:17">
      <c r="B132" s="9" t="str">
        <f t="shared" si="24"/>
        <v/>
      </c>
      <c r="C132" s="153">
        <f>IF(D93="","-",+C131+1)</f>
        <v>2041</v>
      </c>
      <c r="D132" s="154">
        <f>IF(F131+SUM(E$99:E131)=D$92,F131,D$92-SUM(E$99:E131))</f>
        <v>1011024.0755261111</v>
      </c>
      <c r="E132" s="160">
        <f>IF(+J96&lt;F131,J96,D132)</f>
        <v>106670.65761904762</v>
      </c>
      <c r="F132" s="159">
        <f t="shared" si="31"/>
        <v>904353.41790706338</v>
      </c>
      <c r="G132" s="159">
        <f t="shared" si="32"/>
        <v>957688.74671658722</v>
      </c>
      <c r="H132" s="163">
        <f t="shared" si="29"/>
        <v>223002.50569025736</v>
      </c>
      <c r="I132" s="253">
        <f t="shared" si="30"/>
        <v>223002.50569025736</v>
      </c>
      <c r="J132" s="158">
        <f t="shared" si="33"/>
        <v>0</v>
      </c>
      <c r="K132" s="158"/>
      <c r="L132" s="334"/>
      <c r="M132" s="158">
        <f t="shared" si="34"/>
        <v>0</v>
      </c>
      <c r="N132" s="334"/>
      <c r="O132" s="158">
        <f t="shared" si="35"/>
        <v>0</v>
      </c>
      <c r="P132" s="158">
        <f t="shared" si="36"/>
        <v>0</v>
      </c>
      <c r="Q132" s="1"/>
    </row>
    <row r="133" spans="2:17">
      <c r="B133" s="9" t="str">
        <f t="shared" si="24"/>
        <v/>
      </c>
      <c r="C133" s="153">
        <f>IF(D93="","-",+C132+1)</f>
        <v>2042</v>
      </c>
      <c r="D133" s="154">
        <f>IF(F132+SUM(E$99:E132)=D$92,F132,D$92-SUM(E$99:E132))</f>
        <v>904353.41790706338</v>
      </c>
      <c r="E133" s="160">
        <f>IF(+J96&lt;F132,J96,D133)</f>
        <v>106670.65761904762</v>
      </c>
      <c r="F133" s="159">
        <f t="shared" si="31"/>
        <v>797682.76028801571</v>
      </c>
      <c r="G133" s="159">
        <f t="shared" si="32"/>
        <v>851018.08909753955</v>
      </c>
      <c r="H133" s="163">
        <f t="shared" si="29"/>
        <v>210045.06541716267</v>
      </c>
      <c r="I133" s="253">
        <f t="shared" si="30"/>
        <v>210045.06541716267</v>
      </c>
      <c r="J133" s="158">
        <f t="shared" si="33"/>
        <v>0</v>
      </c>
      <c r="K133" s="158"/>
      <c r="L133" s="334"/>
      <c r="M133" s="158">
        <f t="shared" si="34"/>
        <v>0</v>
      </c>
      <c r="N133" s="334"/>
      <c r="O133" s="158">
        <f t="shared" si="35"/>
        <v>0</v>
      </c>
      <c r="P133" s="158">
        <f t="shared" si="36"/>
        <v>0</v>
      </c>
      <c r="Q133" s="1"/>
    </row>
    <row r="134" spans="2:17">
      <c r="B134" s="9" t="str">
        <f t="shared" si="24"/>
        <v/>
      </c>
      <c r="C134" s="153">
        <f>IF(D93="","-",+C133+1)</f>
        <v>2043</v>
      </c>
      <c r="D134" s="154">
        <f>IF(F133+SUM(E$99:E133)=D$92,F133,D$92-SUM(E$99:E133))</f>
        <v>797682.76028801571</v>
      </c>
      <c r="E134" s="160">
        <f>IF(+J96&lt;F133,J96,D134)</f>
        <v>106670.65761904762</v>
      </c>
      <c r="F134" s="159">
        <f t="shared" si="31"/>
        <v>691012.10266896803</v>
      </c>
      <c r="G134" s="159">
        <f t="shared" si="32"/>
        <v>744347.43147849187</v>
      </c>
      <c r="H134" s="163">
        <f t="shared" si="29"/>
        <v>197087.62514406798</v>
      </c>
      <c r="I134" s="253">
        <f t="shared" si="30"/>
        <v>197087.62514406798</v>
      </c>
      <c r="J134" s="158">
        <f t="shared" si="33"/>
        <v>0</v>
      </c>
      <c r="K134" s="158"/>
      <c r="L134" s="334"/>
      <c r="M134" s="158">
        <f t="shared" si="34"/>
        <v>0</v>
      </c>
      <c r="N134" s="334"/>
      <c r="O134" s="158">
        <f t="shared" si="35"/>
        <v>0</v>
      </c>
      <c r="P134" s="158">
        <f t="shared" si="36"/>
        <v>0</v>
      </c>
      <c r="Q134" s="1"/>
    </row>
    <row r="135" spans="2:17">
      <c r="B135" s="9" t="str">
        <f t="shared" si="24"/>
        <v/>
      </c>
      <c r="C135" s="153">
        <f>IF(D93="","-",+C134+1)</f>
        <v>2044</v>
      </c>
      <c r="D135" s="154">
        <f>IF(F134+SUM(E$99:E134)=D$92,F134,D$92-SUM(E$99:E134))</f>
        <v>691012.10266896803</v>
      </c>
      <c r="E135" s="160">
        <f>IF(+J96&lt;F134,J96,D135)</f>
        <v>106670.65761904762</v>
      </c>
      <c r="F135" s="159">
        <f t="shared" si="31"/>
        <v>584341.44504992035</v>
      </c>
      <c r="G135" s="159">
        <f t="shared" si="32"/>
        <v>637676.77385944419</v>
      </c>
      <c r="H135" s="163">
        <f t="shared" si="29"/>
        <v>184130.18487097329</v>
      </c>
      <c r="I135" s="253">
        <f t="shared" si="30"/>
        <v>184130.18487097329</v>
      </c>
      <c r="J135" s="158">
        <f t="shared" si="33"/>
        <v>0</v>
      </c>
      <c r="K135" s="158"/>
      <c r="L135" s="334"/>
      <c r="M135" s="158">
        <f t="shared" si="34"/>
        <v>0</v>
      </c>
      <c r="N135" s="334"/>
      <c r="O135" s="158">
        <f t="shared" si="35"/>
        <v>0</v>
      </c>
      <c r="P135" s="158">
        <f t="shared" si="36"/>
        <v>0</v>
      </c>
      <c r="Q135" s="1"/>
    </row>
    <row r="136" spans="2:17">
      <c r="B136" s="9" t="str">
        <f t="shared" si="24"/>
        <v/>
      </c>
      <c r="C136" s="153">
        <f>IF(D93="","-",+C135+1)</f>
        <v>2045</v>
      </c>
      <c r="D136" s="154">
        <f>IF(F135+SUM(E$99:E135)=D$92,F135,D$92-SUM(E$99:E135))</f>
        <v>584341.44504992035</v>
      </c>
      <c r="E136" s="160">
        <f>IF(+J96&lt;F135,J96,D136)</f>
        <v>106670.65761904762</v>
      </c>
      <c r="F136" s="159">
        <f t="shared" si="31"/>
        <v>477670.78743087273</v>
      </c>
      <c r="G136" s="159">
        <f t="shared" si="32"/>
        <v>531006.11624039651</v>
      </c>
      <c r="H136" s="163">
        <f t="shared" si="29"/>
        <v>171172.7445978786</v>
      </c>
      <c r="I136" s="253">
        <f t="shared" si="30"/>
        <v>171172.7445978786</v>
      </c>
      <c r="J136" s="158">
        <f t="shared" si="33"/>
        <v>0</v>
      </c>
      <c r="K136" s="158"/>
      <c r="L136" s="334"/>
      <c r="M136" s="158">
        <f t="shared" si="34"/>
        <v>0</v>
      </c>
      <c r="N136" s="334"/>
      <c r="O136" s="158">
        <f t="shared" si="35"/>
        <v>0</v>
      </c>
      <c r="P136" s="158">
        <f t="shared" si="36"/>
        <v>0</v>
      </c>
      <c r="Q136" s="1"/>
    </row>
    <row r="137" spans="2:17">
      <c r="B137" s="9" t="str">
        <f t="shared" si="24"/>
        <v/>
      </c>
      <c r="C137" s="153">
        <f>IF(D93="","-",+C136+1)</f>
        <v>2046</v>
      </c>
      <c r="D137" s="154">
        <f>IF(F136+SUM(E$99:E136)=D$92,F136,D$92-SUM(E$99:E136))</f>
        <v>477670.78743087273</v>
      </c>
      <c r="E137" s="160">
        <f>IF(+J96&lt;F136,J96,D137)</f>
        <v>106670.65761904762</v>
      </c>
      <c r="F137" s="159">
        <f t="shared" si="31"/>
        <v>371000.12981182511</v>
      </c>
      <c r="G137" s="159">
        <f t="shared" si="32"/>
        <v>424335.45862134895</v>
      </c>
      <c r="H137" s="163">
        <f t="shared" si="29"/>
        <v>158215.30432478394</v>
      </c>
      <c r="I137" s="253">
        <f t="shared" si="30"/>
        <v>158215.30432478394</v>
      </c>
      <c r="J137" s="158">
        <f t="shared" si="33"/>
        <v>0</v>
      </c>
      <c r="K137" s="158"/>
      <c r="L137" s="334"/>
      <c r="M137" s="158">
        <f t="shared" si="34"/>
        <v>0</v>
      </c>
      <c r="N137" s="334"/>
      <c r="O137" s="158">
        <f t="shared" si="35"/>
        <v>0</v>
      </c>
      <c r="P137" s="158">
        <f t="shared" si="36"/>
        <v>0</v>
      </c>
      <c r="Q137" s="1"/>
    </row>
    <row r="138" spans="2:17">
      <c r="B138" s="9" t="str">
        <f t="shared" si="24"/>
        <v/>
      </c>
      <c r="C138" s="153">
        <f>IF(D93="","-",+C137+1)</f>
        <v>2047</v>
      </c>
      <c r="D138" s="154">
        <f>IF(F137+SUM(E$99:E137)=D$92,F137,D$92-SUM(E$99:E137))</f>
        <v>371000.12981182511</v>
      </c>
      <c r="E138" s="160">
        <f>IF(+J96&lt;F137,J96,D138)</f>
        <v>106670.65761904762</v>
      </c>
      <c r="F138" s="159">
        <f t="shared" si="31"/>
        <v>264329.4721927775</v>
      </c>
      <c r="G138" s="159">
        <f t="shared" si="32"/>
        <v>317664.80100230128</v>
      </c>
      <c r="H138" s="163">
        <f t="shared" si="29"/>
        <v>145257.86405168925</v>
      </c>
      <c r="I138" s="253">
        <f t="shared" si="30"/>
        <v>145257.86405168925</v>
      </c>
      <c r="J138" s="158">
        <f t="shared" si="33"/>
        <v>0</v>
      </c>
      <c r="K138" s="158"/>
      <c r="L138" s="334"/>
      <c r="M138" s="158">
        <f t="shared" si="34"/>
        <v>0</v>
      </c>
      <c r="N138" s="334"/>
      <c r="O138" s="158">
        <f t="shared" si="35"/>
        <v>0</v>
      </c>
      <c r="P138" s="158">
        <f t="shared" si="36"/>
        <v>0</v>
      </c>
      <c r="Q138" s="1"/>
    </row>
    <row r="139" spans="2:17">
      <c r="B139" s="9" t="str">
        <f t="shared" si="24"/>
        <v/>
      </c>
      <c r="C139" s="153">
        <f>IF(D93="","-",+C138+1)</f>
        <v>2048</v>
      </c>
      <c r="D139" s="154">
        <f>IF(F138+SUM(E$99:E138)=D$92,F138,D$92-SUM(E$99:E138))</f>
        <v>264329.4721927775</v>
      </c>
      <c r="E139" s="160">
        <f>IF(+J96&lt;F138,J96,D139)</f>
        <v>106670.65761904762</v>
      </c>
      <c r="F139" s="159">
        <f t="shared" si="31"/>
        <v>157658.81457372988</v>
      </c>
      <c r="G139" s="159">
        <f t="shared" si="32"/>
        <v>210994.14338325369</v>
      </c>
      <c r="H139" s="163">
        <f t="shared" si="29"/>
        <v>132300.42377859456</v>
      </c>
      <c r="I139" s="253">
        <f t="shared" si="30"/>
        <v>132300.42377859456</v>
      </c>
      <c r="J139" s="158">
        <f t="shared" si="33"/>
        <v>0</v>
      </c>
      <c r="K139" s="158"/>
      <c r="L139" s="334"/>
      <c r="M139" s="158">
        <f t="shared" si="34"/>
        <v>0</v>
      </c>
      <c r="N139" s="334"/>
      <c r="O139" s="158">
        <f t="shared" si="35"/>
        <v>0</v>
      </c>
      <c r="P139" s="158">
        <f t="shared" si="36"/>
        <v>0</v>
      </c>
      <c r="Q139" s="1"/>
    </row>
    <row r="140" spans="2:17">
      <c r="B140" s="9" t="str">
        <f t="shared" si="24"/>
        <v/>
      </c>
      <c r="C140" s="153">
        <f>IF(D93="","-",+C139+1)</f>
        <v>2049</v>
      </c>
      <c r="D140" s="154">
        <f>IF(F139+SUM(E$99:E139)=D$92,F139,D$92-SUM(E$99:E139))</f>
        <v>157658.81457372988</v>
      </c>
      <c r="E140" s="160">
        <f>IF(+J96&lt;F139,J96,D140)</f>
        <v>106670.65761904762</v>
      </c>
      <c r="F140" s="159">
        <f t="shared" si="31"/>
        <v>50988.156954682257</v>
      </c>
      <c r="G140" s="159">
        <f t="shared" si="32"/>
        <v>104323.48576420607</v>
      </c>
      <c r="H140" s="163">
        <f t="shared" si="29"/>
        <v>119342.98350549988</v>
      </c>
      <c r="I140" s="253">
        <f t="shared" si="30"/>
        <v>119342.98350549988</v>
      </c>
      <c r="J140" s="158">
        <f t="shared" si="33"/>
        <v>0</v>
      </c>
      <c r="K140" s="158"/>
      <c r="L140" s="334"/>
      <c r="M140" s="158">
        <f t="shared" si="34"/>
        <v>0</v>
      </c>
      <c r="N140" s="334"/>
      <c r="O140" s="158">
        <f t="shared" si="35"/>
        <v>0</v>
      </c>
      <c r="P140" s="158">
        <f t="shared" si="36"/>
        <v>0</v>
      </c>
      <c r="Q140" s="1"/>
    </row>
    <row r="141" spans="2:17">
      <c r="B141" s="9" t="str">
        <f t="shared" si="24"/>
        <v/>
      </c>
      <c r="C141" s="153">
        <f>IF(D93="","-",+C140+1)</f>
        <v>2050</v>
      </c>
      <c r="D141" s="154">
        <f>IF(F140+SUM(E$99:E140)=D$92,F140,D$92-SUM(E$99:E140))</f>
        <v>50988.156954682257</v>
      </c>
      <c r="E141" s="160">
        <f>IF(+J96&lt;F140,J96,D141)</f>
        <v>50988.156954682257</v>
      </c>
      <c r="F141" s="159">
        <f t="shared" si="31"/>
        <v>0</v>
      </c>
      <c r="G141" s="159">
        <f t="shared" si="32"/>
        <v>25494.078477341129</v>
      </c>
      <c r="H141" s="163">
        <f t="shared" si="29"/>
        <v>54084.959829634718</v>
      </c>
      <c r="I141" s="253">
        <f t="shared" si="30"/>
        <v>54084.959829634718</v>
      </c>
      <c r="J141" s="158">
        <f t="shared" si="33"/>
        <v>0</v>
      </c>
      <c r="K141" s="158"/>
      <c r="L141" s="334"/>
      <c r="M141" s="158">
        <f t="shared" si="34"/>
        <v>0</v>
      </c>
      <c r="N141" s="334"/>
      <c r="O141" s="158">
        <f t="shared" si="35"/>
        <v>0</v>
      </c>
      <c r="P141" s="158">
        <f t="shared" si="36"/>
        <v>0</v>
      </c>
      <c r="Q141" s="1"/>
    </row>
    <row r="142" spans="2:17">
      <c r="B142" s="9" t="str">
        <f t="shared" si="24"/>
        <v/>
      </c>
      <c r="C142" s="153">
        <f>IF(D93="","-",+C141+1)</f>
        <v>2051</v>
      </c>
      <c r="D142" s="154">
        <f>IF(F141+SUM(E$99:E141)=D$92,F141,D$92-SUM(E$99:E141))</f>
        <v>0</v>
      </c>
      <c r="E142" s="160">
        <f>IF(+J96&lt;F141,J96,D142)</f>
        <v>0</v>
      </c>
      <c r="F142" s="159">
        <f t="shared" si="31"/>
        <v>0</v>
      </c>
      <c r="G142" s="159">
        <f t="shared" si="32"/>
        <v>0</v>
      </c>
      <c r="H142" s="163">
        <f t="shared" si="29"/>
        <v>0</v>
      </c>
      <c r="I142" s="253">
        <f t="shared" si="30"/>
        <v>0</v>
      </c>
      <c r="J142" s="158">
        <f t="shared" si="33"/>
        <v>0</v>
      </c>
      <c r="K142" s="158"/>
      <c r="L142" s="334"/>
      <c r="M142" s="158">
        <f t="shared" si="34"/>
        <v>0</v>
      </c>
      <c r="N142" s="334"/>
      <c r="O142" s="158">
        <f t="shared" si="35"/>
        <v>0</v>
      </c>
      <c r="P142" s="158">
        <f t="shared" si="36"/>
        <v>0</v>
      </c>
      <c r="Q142" s="1"/>
    </row>
    <row r="143" spans="2:17">
      <c r="B143" s="9" t="str">
        <f t="shared" si="24"/>
        <v/>
      </c>
      <c r="C143" s="153">
        <f>IF(D93="","-",+C142+1)</f>
        <v>2052</v>
      </c>
      <c r="D143" s="154">
        <f>IF(F142+SUM(E$99:E142)=D$92,F142,D$92-SUM(E$99:E142))</f>
        <v>0</v>
      </c>
      <c r="E143" s="160">
        <f>IF(+J96&lt;F142,J96,D143)</f>
        <v>0</v>
      </c>
      <c r="F143" s="159">
        <f t="shared" si="31"/>
        <v>0</v>
      </c>
      <c r="G143" s="159">
        <f t="shared" si="32"/>
        <v>0</v>
      </c>
      <c r="H143" s="163">
        <f t="shared" si="29"/>
        <v>0</v>
      </c>
      <c r="I143" s="253">
        <f t="shared" si="30"/>
        <v>0</v>
      </c>
      <c r="J143" s="158">
        <f t="shared" si="33"/>
        <v>0</v>
      </c>
      <c r="K143" s="158"/>
      <c r="L143" s="334"/>
      <c r="M143" s="158">
        <f t="shared" si="34"/>
        <v>0</v>
      </c>
      <c r="N143" s="334"/>
      <c r="O143" s="158">
        <f t="shared" si="35"/>
        <v>0</v>
      </c>
      <c r="P143" s="158">
        <f t="shared" si="36"/>
        <v>0</v>
      </c>
      <c r="Q143" s="1"/>
    </row>
    <row r="144" spans="2:17">
      <c r="B144" s="9" t="str">
        <f t="shared" si="24"/>
        <v/>
      </c>
      <c r="C144" s="153">
        <f>IF(D93="","-",+C143+1)</f>
        <v>2053</v>
      </c>
      <c r="D144" s="154">
        <f>IF(F143+SUM(E$99:E143)=D$92,F143,D$92-SUM(E$99:E143))</f>
        <v>0</v>
      </c>
      <c r="E144" s="160">
        <f>IF(+J96&lt;F143,J96,D144)</f>
        <v>0</v>
      </c>
      <c r="F144" s="159">
        <f t="shared" si="31"/>
        <v>0</v>
      </c>
      <c r="G144" s="159">
        <f t="shared" si="32"/>
        <v>0</v>
      </c>
      <c r="H144" s="163">
        <f t="shared" si="29"/>
        <v>0</v>
      </c>
      <c r="I144" s="253">
        <f t="shared" si="30"/>
        <v>0</v>
      </c>
      <c r="J144" s="158">
        <f t="shared" si="33"/>
        <v>0</v>
      </c>
      <c r="K144" s="158"/>
      <c r="L144" s="334"/>
      <c r="M144" s="158">
        <f t="shared" si="34"/>
        <v>0</v>
      </c>
      <c r="N144" s="334"/>
      <c r="O144" s="158">
        <f t="shared" si="35"/>
        <v>0</v>
      </c>
      <c r="P144" s="158">
        <f t="shared" si="36"/>
        <v>0</v>
      </c>
      <c r="Q144" s="1"/>
    </row>
    <row r="145" spans="2:17">
      <c r="B145" s="9" t="str">
        <f t="shared" si="24"/>
        <v/>
      </c>
      <c r="C145" s="153">
        <f>IF(D93="","-",+C144+1)</f>
        <v>2054</v>
      </c>
      <c r="D145" s="154">
        <f>IF(F144+SUM(E$99:E144)=D$92,F144,D$92-SUM(E$99:E144))</f>
        <v>0</v>
      </c>
      <c r="E145" s="160">
        <f>IF(+J96&lt;F144,J96,D145)</f>
        <v>0</v>
      </c>
      <c r="F145" s="159">
        <f t="shared" si="31"/>
        <v>0</v>
      </c>
      <c r="G145" s="159">
        <f t="shared" si="32"/>
        <v>0</v>
      </c>
      <c r="H145" s="163">
        <f t="shared" si="29"/>
        <v>0</v>
      </c>
      <c r="I145" s="253">
        <f t="shared" si="30"/>
        <v>0</v>
      </c>
      <c r="J145" s="158">
        <f t="shared" si="33"/>
        <v>0</v>
      </c>
      <c r="K145" s="158"/>
      <c r="L145" s="334"/>
      <c r="M145" s="158">
        <f t="shared" si="34"/>
        <v>0</v>
      </c>
      <c r="N145" s="334"/>
      <c r="O145" s="158">
        <f t="shared" si="35"/>
        <v>0</v>
      </c>
      <c r="P145" s="158">
        <f t="shared" si="36"/>
        <v>0</v>
      </c>
      <c r="Q145" s="1"/>
    </row>
    <row r="146" spans="2:17">
      <c r="B146" s="9" t="str">
        <f t="shared" si="24"/>
        <v/>
      </c>
      <c r="C146" s="153">
        <f>IF(D93="","-",+C145+1)</f>
        <v>2055</v>
      </c>
      <c r="D146" s="154">
        <f>IF(F145+SUM(E$99:E145)=D$92,F145,D$92-SUM(E$99:E145))</f>
        <v>0</v>
      </c>
      <c r="E146" s="160">
        <f>IF(+J96&lt;F145,J96,D146)</f>
        <v>0</v>
      </c>
      <c r="F146" s="159">
        <f t="shared" si="31"/>
        <v>0</v>
      </c>
      <c r="G146" s="159">
        <f t="shared" si="32"/>
        <v>0</v>
      </c>
      <c r="H146" s="163">
        <f t="shared" si="29"/>
        <v>0</v>
      </c>
      <c r="I146" s="253">
        <f t="shared" si="30"/>
        <v>0</v>
      </c>
      <c r="J146" s="158">
        <f t="shared" si="33"/>
        <v>0</v>
      </c>
      <c r="K146" s="158"/>
      <c r="L146" s="334"/>
      <c r="M146" s="158">
        <f t="shared" si="34"/>
        <v>0</v>
      </c>
      <c r="N146" s="334"/>
      <c r="O146" s="158">
        <f t="shared" si="35"/>
        <v>0</v>
      </c>
      <c r="P146" s="158">
        <f t="shared" si="36"/>
        <v>0</v>
      </c>
      <c r="Q146" s="1"/>
    </row>
    <row r="147" spans="2:17">
      <c r="B147" s="9" t="str">
        <f t="shared" si="24"/>
        <v/>
      </c>
      <c r="C147" s="153">
        <f>IF(D93="","-",+C146+1)</f>
        <v>2056</v>
      </c>
      <c r="D147" s="154">
        <f>IF(F146+SUM(E$99:E146)=D$92,F146,D$92-SUM(E$99:E146))</f>
        <v>0</v>
      </c>
      <c r="E147" s="160">
        <f>IF(+J96&lt;F146,J96,D147)</f>
        <v>0</v>
      </c>
      <c r="F147" s="159">
        <f t="shared" si="31"/>
        <v>0</v>
      </c>
      <c r="G147" s="159">
        <f t="shared" si="32"/>
        <v>0</v>
      </c>
      <c r="H147" s="163">
        <f t="shared" si="29"/>
        <v>0</v>
      </c>
      <c r="I147" s="253">
        <f t="shared" si="30"/>
        <v>0</v>
      </c>
      <c r="J147" s="158">
        <f t="shared" si="33"/>
        <v>0</v>
      </c>
      <c r="K147" s="158"/>
      <c r="L147" s="334"/>
      <c r="M147" s="158">
        <f t="shared" si="34"/>
        <v>0</v>
      </c>
      <c r="N147" s="334"/>
      <c r="O147" s="158">
        <f t="shared" si="35"/>
        <v>0</v>
      </c>
      <c r="P147" s="158">
        <f t="shared" si="36"/>
        <v>0</v>
      </c>
      <c r="Q147" s="1"/>
    </row>
    <row r="148" spans="2:17">
      <c r="B148" s="9" t="str">
        <f t="shared" si="24"/>
        <v/>
      </c>
      <c r="C148" s="153">
        <f>IF(D93="","-",+C147+1)</f>
        <v>2057</v>
      </c>
      <c r="D148" s="154">
        <f>IF(F147+SUM(E$99:E147)=D$92,F147,D$92-SUM(E$99:E147))</f>
        <v>0</v>
      </c>
      <c r="E148" s="160">
        <f>IF(+J96&lt;F147,J96,D148)</f>
        <v>0</v>
      </c>
      <c r="F148" s="159">
        <f t="shared" si="31"/>
        <v>0</v>
      </c>
      <c r="G148" s="159">
        <f t="shared" si="32"/>
        <v>0</v>
      </c>
      <c r="H148" s="163">
        <f t="shared" si="29"/>
        <v>0</v>
      </c>
      <c r="I148" s="253">
        <f t="shared" si="30"/>
        <v>0</v>
      </c>
      <c r="J148" s="158">
        <f t="shared" si="33"/>
        <v>0</v>
      </c>
      <c r="K148" s="158"/>
      <c r="L148" s="334"/>
      <c r="M148" s="158">
        <f t="shared" si="34"/>
        <v>0</v>
      </c>
      <c r="N148" s="334"/>
      <c r="O148" s="158">
        <f t="shared" si="35"/>
        <v>0</v>
      </c>
      <c r="P148" s="158">
        <f t="shared" si="36"/>
        <v>0</v>
      </c>
      <c r="Q148" s="1"/>
    </row>
    <row r="149" spans="2:17">
      <c r="B149" s="9" t="str">
        <f t="shared" si="24"/>
        <v/>
      </c>
      <c r="C149" s="153">
        <f>IF(D93="","-",+C148+1)</f>
        <v>2058</v>
      </c>
      <c r="D149" s="154">
        <f>IF(F148+SUM(E$99:E148)=D$92,F148,D$92-SUM(E$99:E148))</f>
        <v>0</v>
      </c>
      <c r="E149" s="160">
        <f>IF(+J96&lt;F148,J96,D149)</f>
        <v>0</v>
      </c>
      <c r="F149" s="159">
        <f t="shared" si="31"/>
        <v>0</v>
      </c>
      <c r="G149" s="159">
        <f t="shared" si="32"/>
        <v>0</v>
      </c>
      <c r="H149" s="163">
        <f t="shared" si="29"/>
        <v>0</v>
      </c>
      <c r="I149" s="253">
        <f t="shared" si="30"/>
        <v>0</v>
      </c>
      <c r="J149" s="158">
        <f t="shared" si="33"/>
        <v>0</v>
      </c>
      <c r="K149" s="158"/>
      <c r="L149" s="334"/>
      <c r="M149" s="158">
        <f t="shared" si="34"/>
        <v>0</v>
      </c>
      <c r="N149" s="334"/>
      <c r="O149" s="158">
        <f t="shared" si="35"/>
        <v>0</v>
      </c>
      <c r="P149" s="158">
        <f t="shared" si="36"/>
        <v>0</v>
      </c>
      <c r="Q149" s="1"/>
    </row>
    <row r="150" spans="2:17">
      <c r="B150" s="9" t="str">
        <f t="shared" si="24"/>
        <v/>
      </c>
      <c r="C150" s="153">
        <f>IF(D93="","-",+C149+1)</f>
        <v>2059</v>
      </c>
      <c r="D150" s="154">
        <f>IF(F149+SUM(E$99:E149)=D$92,F149,D$92-SUM(E$99:E149))</f>
        <v>0</v>
      </c>
      <c r="E150" s="160">
        <f>IF(+J96&lt;F149,J96,D150)</f>
        <v>0</v>
      </c>
      <c r="F150" s="159">
        <f t="shared" si="31"/>
        <v>0</v>
      </c>
      <c r="G150" s="159">
        <f t="shared" si="32"/>
        <v>0</v>
      </c>
      <c r="H150" s="163">
        <f t="shared" si="29"/>
        <v>0</v>
      </c>
      <c r="I150" s="253">
        <f t="shared" si="30"/>
        <v>0</v>
      </c>
      <c r="J150" s="158">
        <f t="shared" si="33"/>
        <v>0</v>
      </c>
      <c r="K150" s="158"/>
      <c r="L150" s="334"/>
      <c r="M150" s="158">
        <f t="shared" si="34"/>
        <v>0</v>
      </c>
      <c r="N150" s="334"/>
      <c r="O150" s="158">
        <f t="shared" si="35"/>
        <v>0</v>
      </c>
      <c r="P150" s="158">
        <f t="shared" si="36"/>
        <v>0</v>
      </c>
      <c r="Q150" s="1"/>
    </row>
    <row r="151" spans="2:17">
      <c r="B151" s="9" t="str">
        <f t="shared" si="24"/>
        <v/>
      </c>
      <c r="C151" s="153">
        <f>IF(D93="","-",+C150+1)</f>
        <v>2060</v>
      </c>
      <c r="D151" s="154">
        <f>IF(F150+SUM(E$99:E150)=D$92,F150,D$92-SUM(E$99:E150))</f>
        <v>0</v>
      </c>
      <c r="E151" s="160">
        <f>IF(+J96&lt;F150,J96,D151)</f>
        <v>0</v>
      </c>
      <c r="F151" s="159">
        <f t="shared" si="31"/>
        <v>0</v>
      </c>
      <c r="G151" s="159">
        <f t="shared" si="32"/>
        <v>0</v>
      </c>
      <c r="H151" s="163">
        <f t="shared" si="29"/>
        <v>0</v>
      </c>
      <c r="I151" s="253">
        <f t="shared" si="30"/>
        <v>0</v>
      </c>
      <c r="J151" s="158">
        <f t="shared" si="33"/>
        <v>0</v>
      </c>
      <c r="K151" s="158"/>
      <c r="L151" s="334"/>
      <c r="M151" s="158">
        <f t="shared" si="34"/>
        <v>0</v>
      </c>
      <c r="N151" s="334"/>
      <c r="O151" s="158">
        <f t="shared" si="35"/>
        <v>0</v>
      </c>
      <c r="P151" s="158">
        <f t="shared" si="36"/>
        <v>0</v>
      </c>
      <c r="Q151" s="1"/>
    </row>
    <row r="152" spans="2:17">
      <c r="B152" s="9" t="str">
        <f t="shared" si="24"/>
        <v/>
      </c>
      <c r="C152" s="153">
        <f>IF(D93="","-",+C151+1)</f>
        <v>2061</v>
      </c>
      <c r="D152" s="154">
        <f>IF(F151+SUM(E$99:E151)=D$92,F151,D$92-SUM(E$99:E151))</f>
        <v>0</v>
      </c>
      <c r="E152" s="160">
        <f>IF(+J96&lt;F151,J96,D152)</f>
        <v>0</v>
      </c>
      <c r="F152" s="159">
        <f t="shared" si="31"/>
        <v>0</v>
      </c>
      <c r="G152" s="159">
        <f t="shared" si="32"/>
        <v>0</v>
      </c>
      <c r="H152" s="163">
        <f t="shared" si="29"/>
        <v>0</v>
      </c>
      <c r="I152" s="253">
        <f t="shared" si="30"/>
        <v>0</v>
      </c>
      <c r="J152" s="158">
        <f t="shared" si="33"/>
        <v>0</v>
      </c>
      <c r="K152" s="158"/>
      <c r="L152" s="334"/>
      <c r="M152" s="158">
        <f t="shared" si="34"/>
        <v>0</v>
      </c>
      <c r="N152" s="334"/>
      <c r="O152" s="158">
        <f t="shared" si="35"/>
        <v>0</v>
      </c>
      <c r="P152" s="158">
        <f t="shared" si="36"/>
        <v>0</v>
      </c>
      <c r="Q152" s="1"/>
    </row>
    <row r="153" spans="2:17">
      <c r="B153" s="9" t="str">
        <f t="shared" si="24"/>
        <v/>
      </c>
      <c r="C153" s="153">
        <f>IF(D93="","-",+C152+1)</f>
        <v>2062</v>
      </c>
      <c r="D153" s="154">
        <f>IF(F152+SUM(E$99:E152)=D$92,F152,D$92-SUM(E$99:E152))</f>
        <v>0</v>
      </c>
      <c r="E153" s="160">
        <f>IF(+J96&lt;F152,J96,D153)</f>
        <v>0</v>
      </c>
      <c r="F153" s="159">
        <f t="shared" si="31"/>
        <v>0</v>
      </c>
      <c r="G153" s="159">
        <f t="shared" si="32"/>
        <v>0</v>
      </c>
      <c r="H153" s="163">
        <f t="shared" si="29"/>
        <v>0</v>
      </c>
      <c r="I153" s="253">
        <f t="shared" si="30"/>
        <v>0</v>
      </c>
      <c r="J153" s="158">
        <f t="shared" si="33"/>
        <v>0</v>
      </c>
      <c r="K153" s="158"/>
      <c r="L153" s="334"/>
      <c r="M153" s="158">
        <f t="shared" si="34"/>
        <v>0</v>
      </c>
      <c r="N153" s="334"/>
      <c r="O153" s="158">
        <f t="shared" si="35"/>
        <v>0</v>
      </c>
      <c r="P153" s="158">
        <f t="shared" si="36"/>
        <v>0</v>
      </c>
      <c r="Q153" s="1"/>
    </row>
    <row r="154" spans="2:17" ht="13.5" thickBot="1">
      <c r="B154" s="9" t="str">
        <f t="shared" si="24"/>
        <v/>
      </c>
      <c r="C154" s="164">
        <f>IF(D93="","-",+C153+1)</f>
        <v>2063</v>
      </c>
      <c r="D154" s="215">
        <f>IF(F153+SUM(E$99:E153)=D$92,F153,D$92-SUM(E$99:E153))</f>
        <v>0</v>
      </c>
      <c r="E154" s="166">
        <f>IF(+J96&lt;F153,J96,D154)</f>
        <v>0</v>
      </c>
      <c r="F154" s="165">
        <f t="shared" si="31"/>
        <v>0</v>
      </c>
      <c r="G154" s="165">
        <f t="shared" si="32"/>
        <v>0</v>
      </c>
      <c r="H154" s="167">
        <f t="shared" si="29"/>
        <v>0</v>
      </c>
      <c r="I154" s="254">
        <f t="shared" si="30"/>
        <v>0</v>
      </c>
      <c r="J154" s="169">
        <f t="shared" si="33"/>
        <v>0</v>
      </c>
      <c r="K154" s="158"/>
      <c r="L154" s="335"/>
      <c r="M154" s="169">
        <f t="shared" si="34"/>
        <v>0</v>
      </c>
      <c r="N154" s="335"/>
      <c r="O154" s="169">
        <f t="shared" si="35"/>
        <v>0</v>
      </c>
      <c r="P154" s="169">
        <f t="shared" si="36"/>
        <v>0</v>
      </c>
      <c r="Q154" s="1"/>
    </row>
    <row r="155" spans="2:17">
      <c r="C155" s="154" t="s">
        <v>73</v>
      </c>
      <c r="D155" s="111"/>
      <c r="E155" s="111">
        <f>SUM(E99:E154)</f>
        <v>4480167.6199999992</v>
      </c>
      <c r="F155" s="111"/>
      <c r="G155" s="111"/>
      <c r="H155" s="111">
        <f>SUM(H99:H154)</f>
        <v>16473276.344471548</v>
      </c>
      <c r="I155" s="111">
        <f>SUM(I99:I154)</f>
        <v>16473276.344471548</v>
      </c>
      <c r="J155" s="111">
        <f>SUM(J99:J154)</f>
        <v>0</v>
      </c>
      <c r="K155" s="111"/>
      <c r="L155" s="111"/>
      <c r="M155" s="111"/>
      <c r="N155" s="111"/>
      <c r="O155" s="111"/>
      <c r="P155" s="1"/>
      <c r="Q155" s="1"/>
    </row>
    <row r="156" spans="2:17">
      <c r="D156" s="2"/>
      <c r="E156" s="1"/>
      <c r="F156" s="1"/>
      <c r="G156" s="1"/>
      <c r="H156" s="1"/>
      <c r="I156" s="3"/>
      <c r="J156" s="3"/>
      <c r="K156" s="111"/>
      <c r="L156" s="3"/>
      <c r="M156" s="3"/>
      <c r="N156" s="3"/>
      <c r="O156" s="3"/>
      <c r="P156" s="1"/>
      <c r="Q156" s="1"/>
    </row>
    <row r="157" spans="2:17">
      <c r="C157" s="216" t="s">
        <v>87</v>
      </c>
      <c r="D157" s="2"/>
      <c r="E157" s="1"/>
      <c r="F157" s="1"/>
      <c r="G157" s="1"/>
      <c r="H157" s="1"/>
      <c r="I157" s="3"/>
      <c r="J157" s="3"/>
      <c r="K157" s="111"/>
      <c r="L157" s="3"/>
      <c r="M157" s="3"/>
      <c r="N157" s="3"/>
      <c r="O157" s="3"/>
      <c r="P157" s="1"/>
      <c r="Q157" s="1"/>
    </row>
    <row r="158" spans="2:17">
      <c r="D158" s="2"/>
      <c r="E158" s="1"/>
      <c r="F158" s="1"/>
      <c r="G158" s="1"/>
      <c r="H158" s="1"/>
      <c r="I158" s="3"/>
      <c r="J158" s="3"/>
      <c r="K158" s="111"/>
      <c r="L158" s="3"/>
      <c r="M158" s="3"/>
      <c r="N158" s="3"/>
      <c r="O158" s="3"/>
      <c r="P158" s="1"/>
      <c r="Q158" s="1"/>
    </row>
    <row r="159" spans="2:17">
      <c r="C159" s="170" t="s">
        <v>92</v>
      </c>
      <c r="D159" s="154"/>
      <c r="E159" s="154"/>
      <c r="F159" s="154"/>
      <c r="G159" s="154"/>
      <c r="H159" s="111"/>
      <c r="I159" s="111"/>
      <c r="J159" s="171"/>
      <c r="K159" s="171"/>
      <c r="L159" s="171"/>
      <c r="M159" s="171"/>
      <c r="N159" s="171"/>
      <c r="O159" s="171"/>
      <c r="P159" s="1"/>
      <c r="Q159" s="1"/>
    </row>
    <row r="160" spans="2:17">
      <c r="C160" s="217" t="s">
        <v>74</v>
      </c>
      <c r="D160" s="154"/>
      <c r="E160" s="154"/>
      <c r="F160" s="154"/>
      <c r="G160" s="154"/>
      <c r="H160" s="111"/>
      <c r="I160" s="111"/>
      <c r="J160" s="171"/>
      <c r="K160" s="171"/>
      <c r="L160" s="171"/>
      <c r="M160" s="171"/>
      <c r="N160" s="171"/>
      <c r="O160" s="171"/>
      <c r="P160" s="1"/>
      <c r="Q160" s="1"/>
    </row>
    <row r="161" spans="3:17">
      <c r="C161" s="217" t="s">
        <v>75</v>
      </c>
      <c r="D161" s="154"/>
      <c r="E161" s="154"/>
      <c r="F161" s="154"/>
      <c r="G161" s="154"/>
      <c r="H161" s="111"/>
      <c r="I161" s="111"/>
      <c r="J161" s="171"/>
      <c r="K161" s="171"/>
      <c r="L161" s="171"/>
      <c r="M161" s="171"/>
      <c r="N161" s="171"/>
      <c r="O161" s="171"/>
      <c r="P161" s="1"/>
      <c r="Q161" s="1"/>
    </row>
    <row r="162" spans="3:17" ht="18">
      <c r="C162" s="217"/>
      <c r="D162" s="154"/>
      <c r="E162" s="154"/>
      <c r="F162" s="154"/>
      <c r="G162" s="154"/>
      <c r="H162" s="111"/>
      <c r="I162" s="111"/>
      <c r="J162" s="171"/>
      <c r="K162" s="171"/>
      <c r="L162" s="171"/>
      <c r="M162" s="171"/>
      <c r="N162" s="171"/>
      <c r="P162" s="237" t="s">
        <v>126</v>
      </c>
      <c r="Q162" s="1"/>
    </row>
  </sheetData>
  <phoneticPr fontId="0" type="noConversion"/>
  <conditionalFormatting sqref="C17:C72">
    <cfRule type="cellIs" dxfId="127" priority="1" stopIfTrue="1" operator="equal">
      <formula>$I$10</formula>
    </cfRule>
  </conditionalFormatting>
  <conditionalFormatting sqref="C99:C154">
    <cfRule type="cellIs" dxfId="126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69">
    <tabColor indexed="8"/>
  </sheetPr>
  <dimension ref="A1:Q162"/>
  <sheetViews>
    <sheetView view="pageBreakPreview" zoomScale="75" zoomScaleNormal="100" zoomScaleSheetLayoutView="75" workbookViewId="0">
      <selection activeCell="C19" sqref="C19"/>
    </sheetView>
  </sheetViews>
  <sheetFormatPr defaultRowHeight="12.75" customHeight="1"/>
  <cols>
    <col min="1" max="1" width="4.7109375" customWidth="1"/>
    <col min="2" max="2" width="6.7109375" customWidth="1"/>
    <col min="3" max="3" width="23.28515625" customWidth="1"/>
    <col min="4" max="8" width="17.7109375" customWidth="1"/>
    <col min="9" max="9" width="20.42578125" customWidth="1"/>
    <col min="10" max="10" width="16.42578125" customWidth="1"/>
    <col min="11" max="11" width="17.7109375" customWidth="1"/>
    <col min="12" max="12" width="16.140625" customWidth="1"/>
    <col min="13" max="13" width="17.7109375" customWidth="1"/>
    <col min="14" max="14" width="16.140625" customWidth="1"/>
    <col min="15" max="15" width="16.85546875" customWidth="1"/>
    <col min="16" max="16" width="24.42578125" customWidth="1"/>
    <col min="17" max="17" width="4.7109375" customWidth="1"/>
    <col min="23" max="23" width="9.140625" customWidth="1"/>
  </cols>
  <sheetData>
    <row r="1" spans="1:17" ht="20.25">
      <c r="A1" s="243" t="s">
        <v>128</v>
      </c>
      <c r="B1" s="1"/>
      <c r="C1" s="21"/>
      <c r="D1" s="2"/>
      <c r="E1" s="1"/>
      <c r="F1" s="99"/>
      <c r="G1" s="1"/>
      <c r="H1" s="3"/>
      <c r="J1" s="7"/>
      <c r="K1" s="109"/>
      <c r="L1" s="109"/>
      <c r="M1" s="109"/>
      <c r="P1" s="249" t="str">
        <f ca="1">"SWEPCO Project "&amp;RIGHT(MID(CELL("filename",$A$1),FIND("]",CELL("filename",$A$1))+1,256),2)&amp;" of "&amp;COUNT('S.001:S.xyz - blank'!$P$3)-1</f>
        <v>SWEPCO Project 20 of 73</v>
      </c>
      <c r="Q1" s="108"/>
    </row>
    <row r="2" spans="1:17" ht="18">
      <c r="B2" s="1"/>
      <c r="C2" s="1"/>
      <c r="D2" s="2"/>
      <c r="E2" s="1"/>
      <c r="F2" s="1"/>
      <c r="G2" s="1"/>
      <c r="H2" s="3"/>
      <c r="I2" s="1"/>
      <c r="J2" s="4"/>
      <c r="K2" s="1"/>
      <c r="L2" s="1"/>
      <c r="M2" s="1"/>
      <c r="N2" s="1"/>
      <c r="P2" s="237" t="s">
        <v>124</v>
      </c>
    </row>
    <row r="3" spans="1:17" ht="18.75">
      <c r="B3" s="5" t="s">
        <v>40</v>
      </c>
      <c r="C3" s="68" t="s">
        <v>41</v>
      </c>
      <c r="D3" s="2"/>
      <c r="E3" s="1"/>
      <c r="F3" s="1"/>
      <c r="G3" s="1"/>
      <c r="H3" s="3"/>
      <c r="I3" s="3"/>
      <c r="J3" s="111"/>
      <c r="K3" s="3"/>
      <c r="L3" s="3"/>
      <c r="M3" s="3"/>
      <c r="N3" s="3"/>
      <c r="O3" s="1" t="str">
        <f>RIGHT(N3,3)</f>
        <v/>
      </c>
      <c r="P3" s="239">
        <v>1</v>
      </c>
    </row>
    <row r="4" spans="1:17" ht="15.75" thickBot="1">
      <c r="C4" s="67"/>
      <c r="D4" s="2"/>
      <c r="E4" s="1"/>
      <c r="F4" s="1"/>
      <c r="G4" s="1"/>
      <c r="H4" s="3"/>
      <c r="I4" s="3"/>
      <c r="J4" s="111"/>
      <c r="K4" s="3"/>
      <c r="L4" s="3"/>
      <c r="M4" s="3"/>
      <c r="N4" s="3"/>
      <c r="O4" s="1"/>
      <c r="P4" s="1"/>
    </row>
    <row r="5" spans="1:17" ht="15">
      <c r="C5" s="112" t="s">
        <v>42</v>
      </c>
      <c r="D5" s="2"/>
      <c r="E5" s="1"/>
      <c r="F5" s="1"/>
      <c r="G5" s="113"/>
      <c r="H5" s="1" t="s">
        <v>43</v>
      </c>
      <c r="I5" s="1"/>
      <c r="J5" s="4"/>
      <c r="K5" s="268" t="s">
        <v>152</v>
      </c>
      <c r="L5" s="114"/>
      <c r="M5" s="115"/>
      <c r="N5" s="116">
        <f>VLOOKUP(I10,C17:I72,5)</f>
        <v>0</v>
      </c>
      <c r="P5" s="1"/>
    </row>
    <row r="6" spans="1:17" ht="15.75">
      <c r="C6" s="8"/>
      <c r="D6" s="356" t="s">
        <v>263</v>
      </c>
      <c r="E6" s="216"/>
      <c r="F6" s="216"/>
      <c r="G6" s="1"/>
      <c r="H6" s="117"/>
      <c r="I6" s="117"/>
      <c r="J6" s="118"/>
      <c r="K6" s="269" t="s">
        <v>153</v>
      </c>
      <c r="L6" s="119"/>
      <c r="M6" s="4"/>
      <c r="N6" s="120">
        <f>VLOOKUP(I10,C17:I72,6)</f>
        <v>0</v>
      </c>
      <c r="O6" s="1"/>
      <c r="P6" s="1"/>
    </row>
    <row r="7" spans="1:17" ht="13.5" thickBot="1">
      <c r="C7" s="121" t="s">
        <v>44</v>
      </c>
      <c r="D7" s="274" t="s">
        <v>232</v>
      </c>
      <c r="E7" s="1"/>
      <c r="F7" s="1"/>
      <c r="G7" s="170"/>
      <c r="H7" s="3"/>
      <c r="I7" s="3"/>
      <c r="J7" s="111"/>
      <c r="K7" s="122" t="s">
        <v>45</v>
      </c>
      <c r="L7" s="123"/>
      <c r="M7" s="123"/>
      <c r="N7" s="124">
        <f>+N6-N5</f>
        <v>0</v>
      </c>
      <c r="O7" s="1"/>
      <c r="P7" s="1"/>
    </row>
    <row r="8" spans="1:17" ht="13.5" thickBot="1">
      <c r="C8" s="125"/>
      <c r="D8" s="369" t="s">
        <v>262</v>
      </c>
      <c r="E8" s="126"/>
      <c r="F8" s="126"/>
      <c r="G8" s="126"/>
      <c r="H8" s="126"/>
      <c r="I8" s="126"/>
      <c r="J8" s="101"/>
      <c r="K8" s="126"/>
      <c r="L8" s="126"/>
      <c r="M8" s="126"/>
      <c r="N8" s="126"/>
      <c r="O8" s="101"/>
      <c r="P8" s="21"/>
    </row>
    <row r="9" spans="1:17" ht="13.5" thickBot="1">
      <c r="A9" s="103"/>
      <c r="C9" s="127" t="s">
        <v>46</v>
      </c>
      <c r="D9" s="225" t="s">
        <v>137</v>
      </c>
      <c r="E9" s="128"/>
      <c r="F9" s="128"/>
      <c r="G9" s="128"/>
      <c r="H9" s="128"/>
      <c r="I9" s="129"/>
      <c r="J9" s="130"/>
      <c r="O9" s="131"/>
      <c r="P9" s="4"/>
    </row>
    <row r="10" spans="1:17">
      <c r="C10" s="132" t="s">
        <v>47</v>
      </c>
      <c r="D10" s="133">
        <v>0</v>
      </c>
      <c r="E10" s="61" t="s">
        <v>459</v>
      </c>
      <c r="F10" s="131"/>
      <c r="G10" s="134"/>
      <c r="H10" s="134"/>
      <c r="I10" s="135">
        <f>+SWE.WS.F.BPU.ATRR.Projected!K17</f>
        <v>2019</v>
      </c>
      <c r="J10" s="130"/>
      <c r="K10" s="111" t="s">
        <v>48</v>
      </c>
      <c r="O10" s="4"/>
      <c r="P10" s="4"/>
    </row>
    <row r="11" spans="1:17">
      <c r="C11" s="136" t="s">
        <v>49</v>
      </c>
      <c r="D11" s="137">
        <v>2008</v>
      </c>
      <c r="E11" s="136" t="s">
        <v>50</v>
      </c>
      <c r="F11" s="134"/>
      <c r="G11" s="7"/>
      <c r="H11" s="7"/>
      <c r="I11" s="138">
        <v>0</v>
      </c>
      <c r="J11" s="139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4"/>
      <c r="P11" s="4"/>
    </row>
    <row r="12" spans="1:17">
      <c r="C12" s="136" t="s">
        <v>51</v>
      </c>
      <c r="D12" s="133">
        <v>11</v>
      </c>
      <c r="E12" s="136" t="s">
        <v>52</v>
      </c>
      <c r="F12" s="134"/>
      <c r="G12" s="7"/>
      <c r="H12" s="7"/>
      <c r="I12" s="140">
        <f>SWE.WS.F.BPU.ATRR.Projected!$F$76</f>
        <v>9.9555672459071778E-2</v>
      </c>
      <c r="J12" s="141"/>
      <c r="K12" t="s">
        <v>53</v>
      </c>
      <c r="O12" s="4"/>
      <c r="P12" s="4"/>
    </row>
    <row r="13" spans="1:17">
      <c r="C13" s="136" t="s">
        <v>54</v>
      </c>
      <c r="D13" s="138">
        <f>+SWE.WS.F.BPU.ATRR.Projected!F$87</f>
        <v>43</v>
      </c>
      <c r="E13" s="136" t="s">
        <v>55</v>
      </c>
      <c r="F13" s="134"/>
      <c r="G13" s="7"/>
      <c r="H13" s="7"/>
      <c r="I13" s="140">
        <f>IF(G5="",I12,SWE.WS.F.BPU.ATRR.Projected!$F$75)</f>
        <v>9.9555672459071778E-2</v>
      </c>
      <c r="J13" s="141"/>
      <c r="K13" s="111" t="s">
        <v>56</v>
      </c>
      <c r="L13" s="58"/>
      <c r="M13" s="58"/>
      <c r="N13" s="58"/>
      <c r="O13" s="4"/>
      <c r="P13" s="4"/>
    </row>
    <row r="14" spans="1:17" ht="13.5" thickBot="1">
      <c r="C14" s="136" t="s">
        <v>57</v>
      </c>
      <c r="D14" s="137" t="s">
        <v>58</v>
      </c>
      <c r="E14" s="4" t="s">
        <v>59</v>
      </c>
      <c r="F14" s="134"/>
      <c r="G14" s="7"/>
      <c r="H14" s="7"/>
      <c r="I14" s="142">
        <f>IF(D10=0,0,D10/D13)</f>
        <v>0</v>
      </c>
      <c r="J14" s="111"/>
      <c r="K14" s="111"/>
      <c r="L14" s="111"/>
      <c r="M14" s="111"/>
      <c r="N14" s="111"/>
      <c r="O14" s="4"/>
      <c r="P14" s="4"/>
    </row>
    <row r="15" spans="1:17" ht="38.25">
      <c r="C15" s="143" t="s">
        <v>47</v>
      </c>
      <c r="D15" s="144" t="s">
        <v>60</v>
      </c>
      <c r="E15" s="144" t="s">
        <v>61</v>
      </c>
      <c r="F15" s="144" t="s">
        <v>62</v>
      </c>
      <c r="G15" s="434" t="s">
        <v>378</v>
      </c>
      <c r="H15" s="435" t="s">
        <v>379</v>
      </c>
      <c r="I15" s="351" t="s">
        <v>249</v>
      </c>
      <c r="J15" s="145"/>
      <c r="K15" s="271" t="s">
        <v>219</v>
      </c>
      <c r="L15" s="146" t="s">
        <v>64</v>
      </c>
      <c r="M15" s="271" t="s">
        <v>219</v>
      </c>
      <c r="N15" s="146" t="s">
        <v>64</v>
      </c>
      <c r="O15" s="146" t="s">
        <v>65</v>
      </c>
      <c r="P15" s="4"/>
    </row>
    <row r="16" spans="1:17" ht="13.5" thickBot="1">
      <c r="C16" s="147" t="s">
        <v>66</v>
      </c>
      <c r="D16" s="147" t="s">
        <v>67</v>
      </c>
      <c r="E16" s="147" t="s">
        <v>68</v>
      </c>
      <c r="F16" s="147" t="s">
        <v>67</v>
      </c>
      <c r="G16" s="408" t="s">
        <v>69</v>
      </c>
      <c r="H16" s="148" t="s">
        <v>70</v>
      </c>
      <c r="I16" s="149" t="s">
        <v>89</v>
      </c>
      <c r="J16" s="150" t="s">
        <v>71</v>
      </c>
      <c r="K16" s="151" t="s">
        <v>72</v>
      </c>
      <c r="L16" s="151" t="s">
        <v>72</v>
      </c>
      <c r="M16" s="151" t="s">
        <v>90</v>
      </c>
      <c r="N16" s="152" t="s">
        <v>90</v>
      </c>
      <c r="O16" s="151" t="s">
        <v>90</v>
      </c>
      <c r="P16" s="4"/>
    </row>
    <row r="17" spans="2:16">
      <c r="C17" s="153">
        <f>IF(D11= "","-",D11)</f>
        <v>2008</v>
      </c>
      <c r="D17" s="365">
        <v>1165466</v>
      </c>
      <c r="E17" s="365">
        <v>2625</v>
      </c>
      <c r="F17" s="365">
        <v>1162841</v>
      </c>
      <c r="G17" s="365">
        <v>32328</v>
      </c>
      <c r="H17" s="365">
        <v>32328</v>
      </c>
      <c r="I17" s="156">
        <f t="shared" ref="I17:I48" si="0">H17-G17</f>
        <v>0</v>
      </c>
      <c r="J17" s="156"/>
      <c r="K17" s="256">
        <v>0</v>
      </c>
      <c r="L17" s="157">
        <f t="shared" ref="L17:L48" si="1">IF(K17&lt;&gt;0,+G17-K17,0)</f>
        <v>0</v>
      </c>
      <c r="M17" s="256">
        <v>0</v>
      </c>
      <c r="N17" s="157">
        <f t="shared" ref="N17:N48" si="2">IF(M17&lt;&gt;0,+H17-M17,0)</f>
        <v>0</v>
      </c>
      <c r="O17" s="158">
        <f t="shared" ref="O17:O48" si="3">+N17-L17</f>
        <v>0</v>
      </c>
      <c r="P17" s="4"/>
    </row>
    <row r="18" spans="2:16">
      <c r="B18" s="9" t="str">
        <f>IF(D18=F17,"","IU")</f>
        <v/>
      </c>
      <c r="C18" s="153">
        <f>IF(D11="","-",+C17+1)</f>
        <v>2009</v>
      </c>
      <c r="D18" s="361">
        <v>1162841</v>
      </c>
      <c r="E18" s="361">
        <v>31499</v>
      </c>
      <c r="F18" s="361">
        <v>1131342</v>
      </c>
      <c r="G18" s="361">
        <v>204891</v>
      </c>
      <c r="H18" s="361">
        <v>204891</v>
      </c>
      <c r="I18" s="156">
        <f t="shared" si="0"/>
        <v>0</v>
      </c>
      <c r="J18" s="156"/>
      <c r="K18" s="258">
        <v>204891</v>
      </c>
      <c r="L18" s="158">
        <f t="shared" si="1"/>
        <v>0</v>
      </c>
      <c r="M18" s="258">
        <v>204891</v>
      </c>
      <c r="N18" s="158">
        <f t="shared" si="2"/>
        <v>0</v>
      </c>
      <c r="O18" s="158">
        <f t="shared" si="3"/>
        <v>0</v>
      </c>
      <c r="P18" s="4"/>
    </row>
    <row r="19" spans="2:16">
      <c r="B19" s="9" t="str">
        <f>IF(D19=F18,"","IU")</f>
        <v/>
      </c>
      <c r="C19" s="153">
        <f>IF(D11="","-",+C18+1)</f>
        <v>2010</v>
      </c>
      <c r="D19" s="361">
        <v>1131342</v>
      </c>
      <c r="E19" s="360">
        <v>30670.157894736843</v>
      </c>
      <c r="F19" s="361">
        <v>1100671.8421052631</v>
      </c>
      <c r="G19" s="360">
        <v>188908.24442689336</v>
      </c>
      <c r="H19" s="359">
        <v>188908.24442689336</v>
      </c>
      <c r="I19" s="368">
        <v>0</v>
      </c>
      <c r="J19" s="156"/>
      <c r="K19" s="258">
        <f>G19</f>
        <v>188908.24442689336</v>
      </c>
      <c r="L19" s="257">
        <f t="shared" si="1"/>
        <v>0</v>
      </c>
      <c r="M19" s="258">
        <f>H19</f>
        <v>188908.24442689336</v>
      </c>
      <c r="N19" s="158">
        <f t="shared" si="2"/>
        <v>0</v>
      </c>
      <c r="O19" s="158">
        <f t="shared" si="3"/>
        <v>0</v>
      </c>
      <c r="P19" s="4"/>
    </row>
    <row r="20" spans="2:16">
      <c r="B20" s="9" t="str">
        <f t="shared" ref="B20:B72" si="4">IF(D20=F19,"","IU")</f>
        <v>IU</v>
      </c>
      <c r="C20" s="153">
        <f>IF(D11="","-",+C19+1)</f>
        <v>2011</v>
      </c>
      <c r="D20" s="361">
        <v>0</v>
      </c>
      <c r="E20" s="360">
        <v>0</v>
      </c>
      <c r="F20" s="361">
        <v>0</v>
      </c>
      <c r="G20" s="360">
        <v>0</v>
      </c>
      <c r="H20" s="359">
        <v>0</v>
      </c>
      <c r="I20" s="368">
        <v>0</v>
      </c>
      <c r="J20" s="156"/>
      <c r="K20" s="258">
        <f>G20</f>
        <v>0</v>
      </c>
      <c r="L20" s="257">
        <f t="shared" si="1"/>
        <v>0</v>
      </c>
      <c r="M20" s="258">
        <f>H20</f>
        <v>0</v>
      </c>
      <c r="N20" s="158">
        <f t="shared" si="2"/>
        <v>0</v>
      </c>
      <c r="O20" s="158">
        <f t="shared" si="3"/>
        <v>0</v>
      </c>
      <c r="P20" s="4"/>
    </row>
    <row r="21" spans="2:16">
      <c r="B21" s="9" t="str">
        <f t="shared" si="4"/>
        <v/>
      </c>
      <c r="C21" s="153">
        <f>IF(D12="","-",+C20+1)</f>
        <v>2012</v>
      </c>
      <c r="D21" s="389">
        <v>0</v>
      </c>
      <c r="E21" s="388">
        <f>IF(+I14&lt;F20,I14,D21)</f>
        <v>0</v>
      </c>
      <c r="F21" s="389">
        <f t="shared" ref="F21:F48" si="5">+D21-E21</f>
        <v>0</v>
      </c>
      <c r="G21" s="390">
        <f>+I12*F21+E21</f>
        <v>0</v>
      </c>
      <c r="H21" s="391">
        <f>+I13*F21+E21</f>
        <v>0</v>
      </c>
      <c r="I21" s="156">
        <f t="shared" si="0"/>
        <v>0</v>
      </c>
      <c r="J21" s="156"/>
      <c r="K21" s="258"/>
      <c r="L21" s="257">
        <f t="shared" si="1"/>
        <v>0</v>
      </c>
      <c r="M21" s="258"/>
      <c r="N21" s="158">
        <f t="shared" si="2"/>
        <v>0</v>
      </c>
      <c r="O21" s="158">
        <f t="shared" si="3"/>
        <v>0</v>
      </c>
      <c r="P21" s="4"/>
    </row>
    <row r="22" spans="2:16">
      <c r="B22" s="9" t="str">
        <f t="shared" si="4"/>
        <v/>
      </c>
      <c r="C22" s="153">
        <f>IF(D11="","-",+C21+1)</f>
        <v>2013</v>
      </c>
      <c r="D22" s="159">
        <v>0</v>
      </c>
      <c r="E22" s="160">
        <f>IF(+I14&lt;F21,I14,D22)</f>
        <v>0</v>
      </c>
      <c r="F22" s="159">
        <f t="shared" si="5"/>
        <v>0</v>
      </c>
      <c r="G22" s="161">
        <f t="shared" ref="G22:G53" si="6">+I$12*((D22+F22)/2)+E22</f>
        <v>0</v>
      </c>
      <c r="H22" s="142">
        <f t="shared" ref="H22:H53" si="7">+I$13*((D22+F22)/2)+E22</f>
        <v>0</v>
      </c>
      <c r="I22" s="156">
        <f t="shared" si="0"/>
        <v>0</v>
      </c>
      <c r="J22" s="156"/>
      <c r="K22" s="334"/>
      <c r="L22" s="158">
        <f t="shared" si="1"/>
        <v>0</v>
      </c>
      <c r="M22" s="334"/>
      <c r="N22" s="158">
        <f t="shared" si="2"/>
        <v>0</v>
      </c>
      <c r="O22" s="158">
        <f t="shared" si="3"/>
        <v>0</v>
      </c>
      <c r="P22" s="4"/>
    </row>
    <row r="23" spans="2:16">
      <c r="B23" s="9" t="str">
        <f t="shared" si="4"/>
        <v/>
      </c>
      <c r="C23" s="153">
        <f>IF(D11="","-",+C22+1)</f>
        <v>2014</v>
      </c>
      <c r="D23" s="159">
        <v>0</v>
      </c>
      <c r="E23" s="160">
        <f>IF(+I14&lt;F22,I14,D23)</f>
        <v>0</v>
      </c>
      <c r="F23" s="159">
        <f t="shared" si="5"/>
        <v>0</v>
      </c>
      <c r="G23" s="161">
        <f t="shared" si="6"/>
        <v>0</v>
      </c>
      <c r="H23" s="142">
        <f t="shared" si="7"/>
        <v>0</v>
      </c>
      <c r="I23" s="156">
        <f t="shared" si="0"/>
        <v>0</v>
      </c>
      <c r="J23" s="156"/>
      <c r="K23" s="334"/>
      <c r="L23" s="158">
        <f t="shared" si="1"/>
        <v>0</v>
      </c>
      <c r="M23" s="334"/>
      <c r="N23" s="158">
        <f t="shared" si="2"/>
        <v>0</v>
      </c>
      <c r="O23" s="158">
        <f t="shared" si="3"/>
        <v>0</v>
      </c>
      <c r="P23" s="4"/>
    </row>
    <row r="24" spans="2:16">
      <c r="B24" s="9" t="str">
        <f t="shared" si="4"/>
        <v/>
      </c>
      <c r="C24" s="153">
        <f>IF(D11="","-",+C23+1)</f>
        <v>2015</v>
      </c>
      <c r="D24" s="159">
        <v>0</v>
      </c>
      <c r="E24" s="160">
        <f>IF(+I14&lt;F23,I14,D24)</f>
        <v>0</v>
      </c>
      <c r="F24" s="159">
        <f t="shared" si="5"/>
        <v>0</v>
      </c>
      <c r="G24" s="161">
        <f t="shared" si="6"/>
        <v>0</v>
      </c>
      <c r="H24" s="142">
        <f t="shared" si="7"/>
        <v>0</v>
      </c>
      <c r="I24" s="156">
        <f t="shared" si="0"/>
        <v>0</v>
      </c>
      <c r="J24" s="156"/>
      <c r="K24" s="334"/>
      <c r="L24" s="158">
        <f t="shared" si="1"/>
        <v>0</v>
      </c>
      <c r="M24" s="334"/>
      <c r="N24" s="158">
        <f t="shared" si="2"/>
        <v>0</v>
      </c>
      <c r="O24" s="158">
        <f t="shared" si="3"/>
        <v>0</v>
      </c>
      <c r="P24" s="4"/>
    </row>
    <row r="25" spans="2:16">
      <c r="B25" s="9" t="str">
        <f t="shared" si="4"/>
        <v/>
      </c>
      <c r="C25" s="153">
        <f>IF(D11="","-",+C24+1)</f>
        <v>2016</v>
      </c>
      <c r="D25" s="159">
        <v>0</v>
      </c>
      <c r="E25" s="160">
        <f>IF(+I14&lt;F24,I14,D25)</f>
        <v>0</v>
      </c>
      <c r="F25" s="159">
        <f t="shared" si="5"/>
        <v>0</v>
      </c>
      <c r="G25" s="161">
        <f t="shared" si="6"/>
        <v>0</v>
      </c>
      <c r="H25" s="142">
        <f t="shared" si="7"/>
        <v>0</v>
      </c>
      <c r="I25" s="156">
        <f t="shared" si="0"/>
        <v>0</v>
      </c>
      <c r="J25" s="156"/>
      <c r="K25" s="334"/>
      <c r="L25" s="158">
        <f t="shared" si="1"/>
        <v>0</v>
      </c>
      <c r="M25" s="334"/>
      <c r="N25" s="158">
        <f t="shared" si="2"/>
        <v>0</v>
      </c>
      <c r="O25" s="158">
        <f t="shared" si="3"/>
        <v>0</v>
      </c>
      <c r="P25" s="4"/>
    </row>
    <row r="26" spans="2:16">
      <c r="B26" s="9" t="str">
        <f t="shared" si="4"/>
        <v/>
      </c>
      <c r="C26" s="153">
        <f>IF(D11="","-",+C25+1)</f>
        <v>2017</v>
      </c>
      <c r="D26" s="159">
        <v>0</v>
      </c>
      <c r="E26" s="160">
        <f>IF(+I14&lt;F25,I14,D26)</f>
        <v>0</v>
      </c>
      <c r="F26" s="159">
        <f t="shared" si="5"/>
        <v>0</v>
      </c>
      <c r="G26" s="161">
        <f t="shared" si="6"/>
        <v>0</v>
      </c>
      <c r="H26" s="142">
        <f t="shared" si="7"/>
        <v>0</v>
      </c>
      <c r="I26" s="156">
        <f t="shared" si="0"/>
        <v>0</v>
      </c>
      <c r="J26" s="156"/>
      <c r="K26" s="334"/>
      <c r="L26" s="158">
        <f t="shared" si="1"/>
        <v>0</v>
      </c>
      <c r="M26" s="334"/>
      <c r="N26" s="158">
        <f t="shared" si="2"/>
        <v>0</v>
      </c>
      <c r="O26" s="158">
        <f t="shared" si="3"/>
        <v>0</v>
      </c>
      <c r="P26" s="4"/>
    </row>
    <row r="27" spans="2:16">
      <c r="B27" s="9" t="str">
        <f t="shared" si="4"/>
        <v/>
      </c>
      <c r="C27" s="153">
        <f>IF(D11="","-",+C26+1)</f>
        <v>2018</v>
      </c>
      <c r="D27" s="159">
        <v>0</v>
      </c>
      <c r="E27" s="160">
        <f>IF(+I14&lt;F26,I14,D27)</f>
        <v>0</v>
      </c>
      <c r="F27" s="159">
        <f t="shared" si="5"/>
        <v>0</v>
      </c>
      <c r="G27" s="161">
        <f t="shared" si="6"/>
        <v>0</v>
      </c>
      <c r="H27" s="142">
        <f t="shared" si="7"/>
        <v>0</v>
      </c>
      <c r="I27" s="156">
        <f t="shared" si="0"/>
        <v>0</v>
      </c>
      <c r="J27" s="156"/>
      <c r="K27" s="334"/>
      <c r="L27" s="158">
        <f t="shared" si="1"/>
        <v>0</v>
      </c>
      <c r="M27" s="334"/>
      <c r="N27" s="158">
        <f t="shared" si="2"/>
        <v>0</v>
      </c>
      <c r="O27" s="158">
        <f t="shared" si="3"/>
        <v>0</v>
      </c>
      <c r="P27" s="4"/>
    </row>
    <row r="28" spans="2:16">
      <c r="B28" s="9" t="str">
        <f t="shared" si="4"/>
        <v/>
      </c>
      <c r="C28" s="153">
        <f>IF(D11="","-",+C27+1)</f>
        <v>2019</v>
      </c>
      <c r="D28" s="159">
        <v>0</v>
      </c>
      <c r="E28" s="160">
        <f>IF(+I14&lt;F27,I14,D28)</f>
        <v>0</v>
      </c>
      <c r="F28" s="159">
        <f t="shared" si="5"/>
        <v>0</v>
      </c>
      <c r="G28" s="161">
        <f t="shared" si="6"/>
        <v>0</v>
      </c>
      <c r="H28" s="142">
        <f t="shared" si="7"/>
        <v>0</v>
      </c>
      <c r="I28" s="156">
        <f t="shared" si="0"/>
        <v>0</v>
      </c>
      <c r="J28" s="156"/>
      <c r="K28" s="334"/>
      <c r="L28" s="158">
        <f t="shared" si="1"/>
        <v>0</v>
      </c>
      <c r="M28" s="334"/>
      <c r="N28" s="158">
        <f t="shared" si="2"/>
        <v>0</v>
      </c>
      <c r="O28" s="158">
        <f t="shared" si="3"/>
        <v>0</v>
      </c>
      <c r="P28" s="4"/>
    </row>
    <row r="29" spans="2:16">
      <c r="B29" s="9" t="str">
        <f t="shared" si="4"/>
        <v/>
      </c>
      <c r="C29" s="153">
        <f>IF(D11="","-",+C28+1)</f>
        <v>2020</v>
      </c>
      <c r="D29" s="159">
        <v>0</v>
      </c>
      <c r="E29" s="160">
        <f>IF(+I14&lt;F28,I14,D29)</f>
        <v>0</v>
      </c>
      <c r="F29" s="159">
        <f t="shared" si="5"/>
        <v>0</v>
      </c>
      <c r="G29" s="161">
        <f t="shared" si="6"/>
        <v>0</v>
      </c>
      <c r="H29" s="142">
        <f t="shared" si="7"/>
        <v>0</v>
      </c>
      <c r="I29" s="156">
        <f t="shared" si="0"/>
        <v>0</v>
      </c>
      <c r="J29" s="156"/>
      <c r="K29" s="334"/>
      <c r="L29" s="158">
        <f t="shared" si="1"/>
        <v>0</v>
      </c>
      <c r="M29" s="334"/>
      <c r="N29" s="158">
        <f t="shared" si="2"/>
        <v>0</v>
      </c>
      <c r="O29" s="158">
        <f t="shared" si="3"/>
        <v>0</v>
      </c>
      <c r="P29" s="4"/>
    </row>
    <row r="30" spans="2:16">
      <c r="B30" s="9" t="str">
        <f t="shared" si="4"/>
        <v/>
      </c>
      <c r="C30" s="153">
        <f>IF(D11="","-",+C29+1)</f>
        <v>2021</v>
      </c>
      <c r="D30" s="159">
        <v>0</v>
      </c>
      <c r="E30" s="160">
        <f>IF(+I14&lt;F29,I14,D30)</f>
        <v>0</v>
      </c>
      <c r="F30" s="159">
        <f t="shared" si="5"/>
        <v>0</v>
      </c>
      <c r="G30" s="161">
        <f t="shared" si="6"/>
        <v>0</v>
      </c>
      <c r="H30" s="142">
        <f t="shared" si="7"/>
        <v>0</v>
      </c>
      <c r="I30" s="156">
        <f t="shared" si="0"/>
        <v>0</v>
      </c>
      <c r="J30" s="156"/>
      <c r="K30" s="334"/>
      <c r="L30" s="158">
        <f t="shared" si="1"/>
        <v>0</v>
      </c>
      <c r="M30" s="334"/>
      <c r="N30" s="158">
        <f t="shared" si="2"/>
        <v>0</v>
      </c>
      <c r="O30" s="158">
        <f t="shared" si="3"/>
        <v>0</v>
      </c>
      <c r="P30" s="4"/>
    </row>
    <row r="31" spans="2:16">
      <c r="B31" s="9" t="str">
        <f t="shared" si="4"/>
        <v/>
      </c>
      <c r="C31" s="153">
        <f>IF(D11="","-",+C30+1)</f>
        <v>2022</v>
      </c>
      <c r="D31" s="159">
        <v>0</v>
      </c>
      <c r="E31" s="160">
        <f>IF(+I14&lt;F30,I14,D31)</f>
        <v>0</v>
      </c>
      <c r="F31" s="159">
        <f t="shared" si="5"/>
        <v>0</v>
      </c>
      <c r="G31" s="161">
        <f t="shared" si="6"/>
        <v>0</v>
      </c>
      <c r="H31" s="142">
        <f t="shared" si="7"/>
        <v>0</v>
      </c>
      <c r="I31" s="156">
        <f t="shared" si="0"/>
        <v>0</v>
      </c>
      <c r="J31" s="156"/>
      <c r="K31" s="334"/>
      <c r="L31" s="158">
        <f t="shared" si="1"/>
        <v>0</v>
      </c>
      <c r="M31" s="334"/>
      <c r="N31" s="158">
        <f t="shared" si="2"/>
        <v>0</v>
      </c>
      <c r="O31" s="158">
        <f t="shared" si="3"/>
        <v>0</v>
      </c>
      <c r="P31" s="4"/>
    </row>
    <row r="32" spans="2:16">
      <c r="B32" s="9" t="str">
        <f t="shared" si="4"/>
        <v/>
      </c>
      <c r="C32" s="153">
        <f>IF(D11="","-",+C31+1)</f>
        <v>2023</v>
      </c>
      <c r="D32" s="159">
        <v>0</v>
      </c>
      <c r="E32" s="160">
        <f>IF(+I14&lt;F31,I14,D32)</f>
        <v>0</v>
      </c>
      <c r="F32" s="159">
        <f t="shared" si="5"/>
        <v>0</v>
      </c>
      <c r="G32" s="161">
        <f t="shared" si="6"/>
        <v>0</v>
      </c>
      <c r="H32" s="142">
        <f t="shared" si="7"/>
        <v>0</v>
      </c>
      <c r="I32" s="156">
        <f t="shared" si="0"/>
        <v>0</v>
      </c>
      <c r="J32" s="156"/>
      <c r="K32" s="334"/>
      <c r="L32" s="158">
        <f t="shared" si="1"/>
        <v>0</v>
      </c>
      <c r="M32" s="334"/>
      <c r="N32" s="158">
        <f t="shared" si="2"/>
        <v>0</v>
      </c>
      <c r="O32" s="158">
        <f t="shared" si="3"/>
        <v>0</v>
      </c>
      <c r="P32" s="4"/>
    </row>
    <row r="33" spans="2:16">
      <c r="B33" s="9" t="str">
        <f t="shared" si="4"/>
        <v/>
      </c>
      <c r="C33" s="153">
        <f>IF(D11="","-",+C32+1)</f>
        <v>2024</v>
      </c>
      <c r="D33" s="159">
        <v>0</v>
      </c>
      <c r="E33" s="160">
        <f>IF(+I14&lt;F32,I14,D33)</f>
        <v>0</v>
      </c>
      <c r="F33" s="159">
        <f t="shared" si="5"/>
        <v>0</v>
      </c>
      <c r="G33" s="161">
        <f t="shared" si="6"/>
        <v>0</v>
      </c>
      <c r="H33" s="142">
        <f t="shared" si="7"/>
        <v>0</v>
      </c>
      <c r="I33" s="156">
        <f t="shared" si="0"/>
        <v>0</v>
      </c>
      <c r="J33" s="156"/>
      <c r="K33" s="334"/>
      <c r="L33" s="158">
        <f t="shared" si="1"/>
        <v>0</v>
      </c>
      <c r="M33" s="334"/>
      <c r="N33" s="158">
        <f t="shared" si="2"/>
        <v>0</v>
      </c>
      <c r="O33" s="158">
        <f t="shared" si="3"/>
        <v>0</v>
      </c>
      <c r="P33" s="4"/>
    </row>
    <row r="34" spans="2:16">
      <c r="B34" s="9" t="str">
        <f t="shared" si="4"/>
        <v/>
      </c>
      <c r="C34" s="153">
        <f>IF(D11="","-",+C33+1)</f>
        <v>2025</v>
      </c>
      <c r="D34" s="159">
        <v>0</v>
      </c>
      <c r="E34" s="160">
        <f>IF(+I14&lt;F33,I14,D34)</f>
        <v>0</v>
      </c>
      <c r="F34" s="159">
        <f t="shared" si="5"/>
        <v>0</v>
      </c>
      <c r="G34" s="161">
        <f t="shared" si="6"/>
        <v>0</v>
      </c>
      <c r="H34" s="142">
        <f t="shared" si="7"/>
        <v>0</v>
      </c>
      <c r="I34" s="156">
        <f t="shared" si="0"/>
        <v>0</v>
      </c>
      <c r="J34" s="156"/>
      <c r="K34" s="334"/>
      <c r="L34" s="158">
        <f t="shared" si="1"/>
        <v>0</v>
      </c>
      <c r="M34" s="334"/>
      <c r="N34" s="158">
        <f t="shared" si="2"/>
        <v>0</v>
      </c>
      <c r="O34" s="158">
        <f t="shared" si="3"/>
        <v>0</v>
      </c>
      <c r="P34" s="4"/>
    </row>
    <row r="35" spans="2:16">
      <c r="B35" s="9" t="str">
        <f t="shared" si="4"/>
        <v/>
      </c>
      <c r="C35" s="153">
        <f>IF(D11="","-",+C34+1)</f>
        <v>2026</v>
      </c>
      <c r="D35" s="159">
        <v>0</v>
      </c>
      <c r="E35" s="160">
        <f>IF(+I14&lt;F34,I14,D35)</f>
        <v>0</v>
      </c>
      <c r="F35" s="159">
        <f t="shared" si="5"/>
        <v>0</v>
      </c>
      <c r="G35" s="161">
        <f t="shared" si="6"/>
        <v>0</v>
      </c>
      <c r="H35" s="142">
        <f t="shared" si="7"/>
        <v>0</v>
      </c>
      <c r="I35" s="156">
        <f t="shared" si="0"/>
        <v>0</v>
      </c>
      <c r="J35" s="156"/>
      <c r="K35" s="334"/>
      <c r="L35" s="158">
        <f t="shared" si="1"/>
        <v>0</v>
      </c>
      <c r="M35" s="334"/>
      <c r="N35" s="158">
        <f t="shared" si="2"/>
        <v>0</v>
      </c>
      <c r="O35" s="158">
        <f t="shared" si="3"/>
        <v>0</v>
      </c>
      <c r="P35" s="4"/>
    </row>
    <row r="36" spans="2:16">
      <c r="B36" s="9" t="str">
        <f t="shared" si="4"/>
        <v/>
      </c>
      <c r="C36" s="153">
        <f>IF(D11="","-",+C35+1)</f>
        <v>2027</v>
      </c>
      <c r="D36" s="159">
        <v>0</v>
      </c>
      <c r="E36" s="160">
        <f>IF(+I14&lt;F35,I14,D36)</f>
        <v>0</v>
      </c>
      <c r="F36" s="159">
        <f t="shared" si="5"/>
        <v>0</v>
      </c>
      <c r="G36" s="161">
        <f t="shared" si="6"/>
        <v>0</v>
      </c>
      <c r="H36" s="142">
        <f t="shared" si="7"/>
        <v>0</v>
      </c>
      <c r="I36" s="156">
        <f t="shared" si="0"/>
        <v>0</v>
      </c>
      <c r="J36" s="156"/>
      <c r="K36" s="334"/>
      <c r="L36" s="158">
        <f t="shared" si="1"/>
        <v>0</v>
      </c>
      <c r="M36" s="334"/>
      <c r="N36" s="158">
        <f t="shared" si="2"/>
        <v>0</v>
      </c>
      <c r="O36" s="158">
        <f t="shared" si="3"/>
        <v>0</v>
      </c>
      <c r="P36" s="4"/>
    </row>
    <row r="37" spans="2:16">
      <c r="B37" s="9" t="str">
        <f t="shared" si="4"/>
        <v/>
      </c>
      <c r="C37" s="153">
        <f>IF(D11="","-",+C36+1)</f>
        <v>2028</v>
      </c>
      <c r="D37" s="159">
        <v>0</v>
      </c>
      <c r="E37" s="160">
        <f>IF(+I14&lt;F36,I14,D37)</f>
        <v>0</v>
      </c>
      <c r="F37" s="159">
        <f t="shared" si="5"/>
        <v>0</v>
      </c>
      <c r="G37" s="161">
        <f t="shared" si="6"/>
        <v>0</v>
      </c>
      <c r="H37" s="142">
        <f t="shared" si="7"/>
        <v>0</v>
      </c>
      <c r="I37" s="156">
        <f t="shared" si="0"/>
        <v>0</v>
      </c>
      <c r="J37" s="156"/>
      <c r="K37" s="334"/>
      <c r="L37" s="158">
        <f t="shared" si="1"/>
        <v>0</v>
      </c>
      <c r="M37" s="334"/>
      <c r="N37" s="158">
        <f t="shared" si="2"/>
        <v>0</v>
      </c>
      <c r="O37" s="158">
        <f t="shared" si="3"/>
        <v>0</v>
      </c>
      <c r="P37" s="4"/>
    </row>
    <row r="38" spans="2:16">
      <c r="B38" s="9" t="str">
        <f t="shared" si="4"/>
        <v/>
      </c>
      <c r="C38" s="153">
        <f>IF(D11="","-",+C37+1)</f>
        <v>2029</v>
      </c>
      <c r="D38" s="159">
        <v>0</v>
      </c>
      <c r="E38" s="160">
        <f>IF(+I14&lt;F37,I14,D38)</f>
        <v>0</v>
      </c>
      <c r="F38" s="159">
        <f t="shared" si="5"/>
        <v>0</v>
      </c>
      <c r="G38" s="161">
        <f t="shared" si="6"/>
        <v>0</v>
      </c>
      <c r="H38" s="142">
        <f t="shared" si="7"/>
        <v>0</v>
      </c>
      <c r="I38" s="156">
        <f t="shared" si="0"/>
        <v>0</v>
      </c>
      <c r="J38" s="156"/>
      <c r="K38" s="334"/>
      <c r="L38" s="158">
        <f t="shared" si="1"/>
        <v>0</v>
      </c>
      <c r="M38" s="334"/>
      <c r="N38" s="158">
        <f t="shared" si="2"/>
        <v>0</v>
      </c>
      <c r="O38" s="158">
        <f t="shared" si="3"/>
        <v>0</v>
      </c>
      <c r="P38" s="4"/>
    </row>
    <row r="39" spans="2:16">
      <c r="B39" s="9" t="str">
        <f t="shared" si="4"/>
        <v/>
      </c>
      <c r="C39" s="153">
        <f>IF(D11="","-",+C38+1)</f>
        <v>2030</v>
      </c>
      <c r="D39" s="159">
        <v>0</v>
      </c>
      <c r="E39" s="160">
        <f>IF(+I14&lt;F38,I14,D39)</f>
        <v>0</v>
      </c>
      <c r="F39" s="159">
        <f t="shared" si="5"/>
        <v>0</v>
      </c>
      <c r="G39" s="161">
        <f t="shared" si="6"/>
        <v>0</v>
      </c>
      <c r="H39" s="142">
        <f t="shared" si="7"/>
        <v>0</v>
      </c>
      <c r="I39" s="156">
        <f t="shared" si="0"/>
        <v>0</v>
      </c>
      <c r="J39" s="156"/>
      <c r="K39" s="334"/>
      <c r="L39" s="158">
        <f t="shared" si="1"/>
        <v>0</v>
      </c>
      <c r="M39" s="334"/>
      <c r="N39" s="158">
        <f t="shared" si="2"/>
        <v>0</v>
      </c>
      <c r="O39" s="158">
        <f t="shared" si="3"/>
        <v>0</v>
      </c>
      <c r="P39" s="4"/>
    </row>
    <row r="40" spans="2:16">
      <c r="B40" s="9" t="str">
        <f t="shared" si="4"/>
        <v/>
      </c>
      <c r="C40" s="153">
        <f>IF(D11="","-",+C39+1)</f>
        <v>2031</v>
      </c>
      <c r="D40" s="159">
        <v>0</v>
      </c>
      <c r="E40" s="160">
        <f>IF(+I14&lt;F39,I14,D40)</f>
        <v>0</v>
      </c>
      <c r="F40" s="159">
        <f t="shared" si="5"/>
        <v>0</v>
      </c>
      <c r="G40" s="161">
        <f t="shared" si="6"/>
        <v>0</v>
      </c>
      <c r="H40" s="142">
        <f t="shared" si="7"/>
        <v>0</v>
      </c>
      <c r="I40" s="156">
        <f t="shared" si="0"/>
        <v>0</v>
      </c>
      <c r="J40" s="156"/>
      <c r="K40" s="334"/>
      <c r="L40" s="158">
        <f t="shared" si="1"/>
        <v>0</v>
      </c>
      <c r="M40" s="334"/>
      <c r="N40" s="158">
        <f t="shared" si="2"/>
        <v>0</v>
      </c>
      <c r="O40" s="158">
        <f t="shared" si="3"/>
        <v>0</v>
      </c>
      <c r="P40" s="4"/>
    </row>
    <row r="41" spans="2:16">
      <c r="B41" s="9" t="str">
        <f t="shared" si="4"/>
        <v/>
      </c>
      <c r="C41" s="153">
        <f>IF(D11="","-",+C40+1)</f>
        <v>2032</v>
      </c>
      <c r="D41" s="159">
        <v>0</v>
      </c>
      <c r="E41" s="160">
        <f>IF(+I14&lt;F40,I14,D41)</f>
        <v>0</v>
      </c>
      <c r="F41" s="159">
        <f t="shared" si="5"/>
        <v>0</v>
      </c>
      <c r="G41" s="161">
        <f t="shared" si="6"/>
        <v>0</v>
      </c>
      <c r="H41" s="142">
        <f t="shared" si="7"/>
        <v>0</v>
      </c>
      <c r="I41" s="156">
        <f t="shared" si="0"/>
        <v>0</v>
      </c>
      <c r="J41" s="156"/>
      <c r="K41" s="334"/>
      <c r="L41" s="158">
        <f t="shared" si="1"/>
        <v>0</v>
      </c>
      <c r="M41" s="334"/>
      <c r="N41" s="158">
        <f t="shared" si="2"/>
        <v>0</v>
      </c>
      <c r="O41" s="158">
        <f t="shared" si="3"/>
        <v>0</v>
      </c>
      <c r="P41" s="4"/>
    </row>
    <row r="42" spans="2:16">
      <c r="B42" s="9" t="str">
        <f t="shared" si="4"/>
        <v/>
      </c>
      <c r="C42" s="153">
        <f>IF(D11="","-",+C41+1)</f>
        <v>2033</v>
      </c>
      <c r="D42" s="159">
        <v>0</v>
      </c>
      <c r="E42" s="160">
        <f>IF(+I14&lt;F41,I14,D42)</f>
        <v>0</v>
      </c>
      <c r="F42" s="159">
        <f t="shared" si="5"/>
        <v>0</v>
      </c>
      <c r="G42" s="161">
        <f t="shared" si="6"/>
        <v>0</v>
      </c>
      <c r="H42" s="142">
        <f t="shared" si="7"/>
        <v>0</v>
      </c>
      <c r="I42" s="156">
        <f t="shared" si="0"/>
        <v>0</v>
      </c>
      <c r="J42" s="156"/>
      <c r="K42" s="334"/>
      <c r="L42" s="158">
        <f t="shared" si="1"/>
        <v>0</v>
      </c>
      <c r="M42" s="334"/>
      <c r="N42" s="158">
        <f t="shared" si="2"/>
        <v>0</v>
      </c>
      <c r="O42" s="158">
        <f t="shared" si="3"/>
        <v>0</v>
      </c>
      <c r="P42" s="4"/>
    </row>
    <row r="43" spans="2:16">
      <c r="B43" s="9" t="str">
        <f t="shared" si="4"/>
        <v/>
      </c>
      <c r="C43" s="153">
        <f>IF(D11="","-",+C42+1)</f>
        <v>2034</v>
      </c>
      <c r="D43" s="159">
        <v>0</v>
      </c>
      <c r="E43" s="160">
        <f>IF(+I14&lt;F42,I14,D43)</f>
        <v>0</v>
      </c>
      <c r="F43" s="159">
        <f t="shared" si="5"/>
        <v>0</v>
      </c>
      <c r="G43" s="161">
        <f t="shared" si="6"/>
        <v>0</v>
      </c>
      <c r="H43" s="142">
        <f t="shared" si="7"/>
        <v>0</v>
      </c>
      <c r="I43" s="156">
        <f t="shared" si="0"/>
        <v>0</v>
      </c>
      <c r="J43" s="156"/>
      <c r="K43" s="334"/>
      <c r="L43" s="158">
        <f t="shared" si="1"/>
        <v>0</v>
      </c>
      <c r="M43" s="334"/>
      <c r="N43" s="158">
        <f t="shared" si="2"/>
        <v>0</v>
      </c>
      <c r="O43" s="158">
        <f t="shared" si="3"/>
        <v>0</v>
      </c>
      <c r="P43" s="4"/>
    </row>
    <row r="44" spans="2:16">
      <c r="B44" s="9" t="str">
        <f t="shared" si="4"/>
        <v/>
      </c>
      <c r="C44" s="153">
        <f>IF(D11="","-",+C43+1)</f>
        <v>2035</v>
      </c>
      <c r="D44" s="159">
        <v>0</v>
      </c>
      <c r="E44" s="160">
        <f>IF(+I14&lt;F43,I14,D44)</f>
        <v>0</v>
      </c>
      <c r="F44" s="159">
        <f t="shared" si="5"/>
        <v>0</v>
      </c>
      <c r="G44" s="161">
        <f t="shared" si="6"/>
        <v>0</v>
      </c>
      <c r="H44" s="142">
        <f t="shared" si="7"/>
        <v>0</v>
      </c>
      <c r="I44" s="156">
        <f t="shared" si="0"/>
        <v>0</v>
      </c>
      <c r="J44" s="156"/>
      <c r="K44" s="334"/>
      <c r="L44" s="158">
        <f t="shared" si="1"/>
        <v>0</v>
      </c>
      <c r="M44" s="334"/>
      <c r="N44" s="158">
        <f t="shared" si="2"/>
        <v>0</v>
      </c>
      <c r="O44" s="158">
        <f t="shared" si="3"/>
        <v>0</v>
      </c>
      <c r="P44" s="4"/>
    </row>
    <row r="45" spans="2:16">
      <c r="B45" s="9" t="str">
        <f t="shared" si="4"/>
        <v/>
      </c>
      <c r="C45" s="153">
        <f>IF(D11="","-",+C44+1)</f>
        <v>2036</v>
      </c>
      <c r="D45" s="159">
        <v>0</v>
      </c>
      <c r="E45" s="160">
        <f>IF(+I14&lt;F44,I14,D45)</f>
        <v>0</v>
      </c>
      <c r="F45" s="159">
        <f t="shared" si="5"/>
        <v>0</v>
      </c>
      <c r="G45" s="161">
        <f t="shared" si="6"/>
        <v>0</v>
      </c>
      <c r="H45" s="142">
        <f t="shared" si="7"/>
        <v>0</v>
      </c>
      <c r="I45" s="156">
        <f t="shared" si="0"/>
        <v>0</v>
      </c>
      <c r="J45" s="156"/>
      <c r="K45" s="334"/>
      <c r="L45" s="158">
        <f t="shared" si="1"/>
        <v>0</v>
      </c>
      <c r="M45" s="334"/>
      <c r="N45" s="158">
        <f t="shared" si="2"/>
        <v>0</v>
      </c>
      <c r="O45" s="158">
        <f t="shared" si="3"/>
        <v>0</v>
      </c>
      <c r="P45" s="4"/>
    </row>
    <row r="46" spans="2:16">
      <c r="B46" s="9" t="str">
        <f t="shared" si="4"/>
        <v/>
      </c>
      <c r="C46" s="153">
        <f>IF(D11="","-",+C45+1)</f>
        <v>2037</v>
      </c>
      <c r="D46" s="159">
        <v>0</v>
      </c>
      <c r="E46" s="160">
        <f>IF(+I14&lt;F45,I14,D46)</f>
        <v>0</v>
      </c>
      <c r="F46" s="159">
        <f t="shared" si="5"/>
        <v>0</v>
      </c>
      <c r="G46" s="161">
        <f t="shared" si="6"/>
        <v>0</v>
      </c>
      <c r="H46" s="142">
        <f t="shared" si="7"/>
        <v>0</v>
      </c>
      <c r="I46" s="156">
        <f t="shared" si="0"/>
        <v>0</v>
      </c>
      <c r="J46" s="156"/>
      <c r="K46" s="334"/>
      <c r="L46" s="158">
        <f t="shared" si="1"/>
        <v>0</v>
      </c>
      <c r="M46" s="334"/>
      <c r="N46" s="158">
        <f t="shared" si="2"/>
        <v>0</v>
      </c>
      <c r="O46" s="158">
        <f t="shared" si="3"/>
        <v>0</v>
      </c>
      <c r="P46" s="4"/>
    </row>
    <row r="47" spans="2:16">
      <c r="B47" s="9" t="str">
        <f t="shared" si="4"/>
        <v/>
      </c>
      <c r="C47" s="153">
        <f>IF(D11="","-",+C46+1)</f>
        <v>2038</v>
      </c>
      <c r="D47" s="159">
        <v>0</v>
      </c>
      <c r="E47" s="160">
        <f>IF(+I14&lt;F46,I14,D47)</f>
        <v>0</v>
      </c>
      <c r="F47" s="159">
        <f t="shared" si="5"/>
        <v>0</v>
      </c>
      <c r="G47" s="161">
        <f t="shared" si="6"/>
        <v>0</v>
      </c>
      <c r="H47" s="142">
        <f t="shared" si="7"/>
        <v>0</v>
      </c>
      <c r="I47" s="156">
        <f t="shared" si="0"/>
        <v>0</v>
      </c>
      <c r="J47" s="156"/>
      <c r="K47" s="334"/>
      <c r="L47" s="158">
        <f t="shared" si="1"/>
        <v>0</v>
      </c>
      <c r="M47" s="334"/>
      <c r="N47" s="158">
        <f t="shared" si="2"/>
        <v>0</v>
      </c>
      <c r="O47" s="158">
        <f t="shared" si="3"/>
        <v>0</v>
      </c>
      <c r="P47" s="4"/>
    </row>
    <row r="48" spans="2:16">
      <c r="B48" s="9" t="str">
        <f t="shared" si="4"/>
        <v/>
      </c>
      <c r="C48" s="153">
        <f>IF(D11="","-",+C47+1)</f>
        <v>2039</v>
      </c>
      <c r="D48" s="159">
        <v>0</v>
      </c>
      <c r="E48" s="160">
        <f>IF(+I14&lt;F47,I14,D48)</f>
        <v>0</v>
      </c>
      <c r="F48" s="159">
        <f t="shared" si="5"/>
        <v>0</v>
      </c>
      <c r="G48" s="161">
        <f t="shared" si="6"/>
        <v>0</v>
      </c>
      <c r="H48" s="142">
        <f t="shared" si="7"/>
        <v>0</v>
      </c>
      <c r="I48" s="156">
        <f t="shared" si="0"/>
        <v>0</v>
      </c>
      <c r="J48" s="156"/>
      <c r="K48" s="334"/>
      <c r="L48" s="158">
        <f t="shared" si="1"/>
        <v>0</v>
      </c>
      <c r="M48" s="334"/>
      <c r="N48" s="158">
        <f t="shared" si="2"/>
        <v>0</v>
      </c>
      <c r="O48" s="158">
        <f t="shared" si="3"/>
        <v>0</v>
      </c>
      <c r="P48" s="4"/>
    </row>
    <row r="49" spans="2:17">
      <c r="B49" s="9" t="str">
        <f t="shared" si="4"/>
        <v/>
      </c>
      <c r="C49" s="153">
        <f>IF(D11="","-",+C48+1)</f>
        <v>2040</v>
      </c>
      <c r="D49" s="159">
        <v>0</v>
      </c>
      <c r="E49" s="160">
        <f>IF(+I14&lt;F48,I14,D49)</f>
        <v>0</v>
      </c>
      <c r="F49" s="159">
        <f t="shared" ref="F49:F72" si="8">+D49-E49</f>
        <v>0</v>
      </c>
      <c r="G49" s="161">
        <f t="shared" si="6"/>
        <v>0</v>
      </c>
      <c r="H49" s="142">
        <f t="shared" si="7"/>
        <v>0</v>
      </c>
      <c r="I49" s="156">
        <f t="shared" ref="I49:I72" si="9">H49-G49</f>
        <v>0</v>
      </c>
      <c r="J49" s="156"/>
      <c r="K49" s="334"/>
      <c r="L49" s="158">
        <f t="shared" ref="L49:L72" si="10">IF(K49&lt;&gt;0,+G49-K49,0)</f>
        <v>0</v>
      </c>
      <c r="M49" s="334"/>
      <c r="N49" s="158">
        <f t="shared" ref="N49:N72" si="11">IF(M49&lt;&gt;0,+H49-M49,0)</f>
        <v>0</v>
      </c>
      <c r="O49" s="158">
        <f t="shared" ref="O49:O72" si="12">+N49-L49</f>
        <v>0</v>
      </c>
      <c r="P49" s="4"/>
    </row>
    <row r="50" spans="2:17">
      <c r="B50" s="9" t="str">
        <f t="shared" si="4"/>
        <v/>
      </c>
      <c r="C50" s="153">
        <f>IF(D11="","-",+C49+1)</f>
        <v>2041</v>
      </c>
      <c r="D50" s="159">
        <v>0</v>
      </c>
      <c r="E50" s="160">
        <f>IF(+I14&lt;F49,I14,D50)</f>
        <v>0</v>
      </c>
      <c r="F50" s="159">
        <f t="shared" si="8"/>
        <v>0</v>
      </c>
      <c r="G50" s="161">
        <f t="shared" si="6"/>
        <v>0</v>
      </c>
      <c r="H50" s="142">
        <f t="shared" si="7"/>
        <v>0</v>
      </c>
      <c r="I50" s="156">
        <f t="shared" si="9"/>
        <v>0</v>
      </c>
      <c r="J50" s="156"/>
      <c r="K50" s="334"/>
      <c r="L50" s="158">
        <f t="shared" si="10"/>
        <v>0</v>
      </c>
      <c r="M50" s="334"/>
      <c r="N50" s="158">
        <f t="shared" si="11"/>
        <v>0</v>
      </c>
      <c r="O50" s="158">
        <f t="shared" si="12"/>
        <v>0</v>
      </c>
      <c r="P50" s="4"/>
    </row>
    <row r="51" spans="2:17">
      <c r="B51" s="9" t="str">
        <f t="shared" si="4"/>
        <v/>
      </c>
      <c r="C51" s="153">
        <f>IF(D11="","-",+C50+1)</f>
        <v>2042</v>
      </c>
      <c r="D51" s="159">
        <v>0</v>
      </c>
      <c r="E51" s="160">
        <f>IF(+I14&lt;F50,I14,D51)</f>
        <v>0</v>
      </c>
      <c r="F51" s="159">
        <f t="shared" si="8"/>
        <v>0</v>
      </c>
      <c r="G51" s="161">
        <f t="shared" si="6"/>
        <v>0</v>
      </c>
      <c r="H51" s="142">
        <f t="shared" si="7"/>
        <v>0</v>
      </c>
      <c r="I51" s="156">
        <f t="shared" si="9"/>
        <v>0</v>
      </c>
      <c r="J51" s="156"/>
      <c r="K51" s="334"/>
      <c r="L51" s="158">
        <f t="shared" si="10"/>
        <v>0</v>
      </c>
      <c r="M51" s="334"/>
      <c r="N51" s="158">
        <f t="shared" si="11"/>
        <v>0</v>
      </c>
      <c r="O51" s="158">
        <f t="shared" si="12"/>
        <v>0</v>
      </c>
      <c r="P51" s="4"/>
    </row>
    <row r="52" spans="2:17">
      <c r="B52" s="9" t="str">
        <f t="shared" si="4"/>
        <v/>
      </c>
      <c r="C52" s="153">
        <f>IF(D11="","-",+C51+1)</f>
        <v>2043</v>
      </c>
      <c r="D52" s="159">
        <v>0</v>
      </c>
      <c r="E52" s="160">
        <f>IF(+I14&lt;F51,I14,D52)</f>
        <v>0</v>
      </c>
      <c r="F52" s="159">
        <f t="shared" si="8"/>
        <v>0</v>
      </c>
      <c r="G52" s="161">
        <f t="shared" si="6"/>
        <v>0</v>
      </c>
      <c r="H52" s="142">
        <f t="shared" si="7"/>
        <v>0</v>
      </c>
      <c r="I52" s="156">
        <f t="shared" si="9"/>
        <v>0</v>
      </c>
      <c r="J52" s="156"/>
      <c r="K52" s="334"/>
      <c r="L52" s="158">
        <f t="shared" si="10"/>
        <v>0</v>
      </c>
      <c r="M52" s="334"/>
      <c r="N52" s="158">
        <f t="shared" si="11"/>
        <v>0</v>
      </c>
      <c r="O52" s="158">
        <f t="shared" si="12"/>
        <v>0</v>
      </c>
      <c r="P52" s="4"/>
    </row>
    <row r="53" spans="2:17">
      <c r="B53" s="9" t="str">
        <f t="shared" si="4"/>
        <v/>
      </c>
      <c r="C53" s="153">
        <f>IF(D11="","-",+C52+1)</f>
        <v>2044</v>
      </c>
      <c r="D53" s="159">
        <v>0</v>
      </c>
      <c r="E53" s="160">
        <f>IF(+I14&lt;F52,I14,D53)</f>
        <v>0</v>
      </c>
      <c r="F53" s="159">
        <f t="shared" si="8"/>
        <v>0</v>
      </c>
      <c r="G53" s="161">
        <f t="shared" si="6"/>
        <v>0</v>
      </c>
      <c r="H53" s="142">
        <f t="shared" si="7"/>
        <v>0</v>
      </c>
      <c r="I53" s="156">
        <f t="shared" si="9"/>
        <v>0</v>
      </c>
      <c r="J53" s="156"/>
      <c r="K53" s="334"/>
      <c r="L53" s="158">
        <f t="shared" si="10"/>
        <v>0</v>
      </c>
      <c r="M53" s="334"/>
      <c r="N53" s="158">
        <f t="shared" si="11"/>
        <v>0</v>
      </c>
      <c r="O53" s="158">
        <f t="shared" si="12"/>
        <v>0</v>
      </c>
      <c r="P53" s="4"/>
    </row>
    <row r="54" spans="2:17">
      <c r="B54" s="9" t="str">
        <f t="shared" si="4"/>
        <v/>
      </c>
      <c r="C54" s="153">
        <f>IF(D11="","-",+C53+1)</f>
        <v>2045</v>
      </c>
      <c r="D54" s="159">
        <v>0</v>
      </c>
      <c r="E54" s="160">
        <f>IF(+I14&lt;F53,I14,D54)</f>
        <v>0</v>
      </c>
      <c r="F54" s="159">
        <f t="shared" si="8"/>
        <v>0</v>
      </c>
      <c r="G54" s="161">
        <f t="shared" ref="G54:G72" si="13">+I$12*((D54+F54)/2)+E54</f>
        <v>0</v>
      </c>
      <c r="H54" s="142">
        <f t="shared" ref="H54:H72" si="14">+I$13*((D54+F54)/2)+E54</f>
        <v>0</v>
      </c>
      <c r="I54" s="156">
        <f t="shared" si="9"/>
        <v>0</v>
      </c>
      <c r="J54" s="156"/>
      <c r="K54" s="334"/>
      <c r="L54" s="158">
        <f t="shared" si="10"/>
        <v>0</v>
      </c>
      <c r="M54" s="334"/>
      <c r="N54" s="158">
        <f t="shared" si="11"/>
        <v>0</v>
      </c>
      <c r="O54" s="158">
        <f t="shared" si="12"/>
        <v>0</v>
      </c>
      <c r="P54" s="4"/>
    </row>
    <row r="55" spans="2:17">
      <c r="B55" s="9" t="str">
        <f t="shared" si="4"/>
        <v/>
      </c>
      <c r="C55" s="153">
        <f>IF(D11="","-",+C54+1)</f>
        <v>2046</v>
      </c>
      <c r="D55" s="159">
        <v>0</v>
      </c>
      <c r="E55" s="160">
        <f>IF(+I14&lt;F54,I14,D55)</f>
        <v>0</v>
      </c>
      <c r="F55" s="159">
        <f t="shared" si="8"/>
        <v>0</v>
      </c>
      <c r="G55" s="161">
        <f t="shared" si="13"/>
        <v>0</v>
      </c>
      <c r="H55" s="142">
        <f t="shared" si="14"/>
        <v>0</v>
      </c>
      <c r="I55" s="156">
        <f t="shared" si="9"/>
        <v>0</v>
      </c>
      <c r="J55" s="156"/>
      <c r="K55" s="334"/>
      <c r="L55" s="158">
        <f t="shared" si="10"/>
        <v>0</v>
      </c>
      <c r="M55" s="334"/>
      <c r="N55" s="158">
        <f t="shared" si="11"/>
        <v>0</v>
      </c>
      <c r="O55" s="158">
        <f t="shared" si="12"/>
        <v>0</v>
      </c>
      <c r="P55" s="4"/>
    </row>
    <row r="56" spans="2:17">
      <c r="B56" s="9" t="str">
        <f t="shared" si="4"/>
        <v/>
      </c>
      <c r="C56" s="153">
        <f>IF(D11="","-",+C55+1)</f>
        <v>2047</v>
      </c>
      <c r="D56" s="159">
        <v>0</v>
      </c>
      <c r="E56" s="160">
        <f>IF(+I14&lt;F55,I14,D56)</f>
        <v>0</v>
      </c>
      <c r="F56" s="159">
        <f t="shared" si="8"/>
        <v>0</v>
      </c>
      <c r="G56" s="161">
        <f t="shared" si="13"/>
        <v>0</v>
      </c>
      <c r="H56" s="142">
        <f t="shared" si="14"/>
        <v>0</v>
      </c>
      <c r="I56" s="156">
        <f t="shared" si="9"/>
        <v>0</v>
      </c>
      <c r="J56" s="156"/>
      <c r="K56" s="334"/>
      <c r="L56" s="158">
        <f t="shared" si="10"/>
        <v>0</v>
      </c>
      <c r="M56" s="334"/>
      <c r="N56" s="158">
        <f t="shared" si="11"/>
        <v>0</v>
      </c>
      <c r="O56" s="158">
        <f t="shared" si="12"/>
        <v>0</v>
      </c>
      <c r="P56" s="4"/>
    </row>
    <row r="57" spans="2:17">
      <c r="B57" s="9" t="str">
        <f t="shared" si="4"/>
        <v/>
      </c>
      <c r="C57" s="153">
        <f>IF(D11="","-",+C56+1)</f>
        <v>2048</v>
      </c>
      <c r="D57" s="159">
        <v>0</v>
      </c>
      <c r="E57" s="160">
        <f>IF(+I14&lt;F56,I14,D57)</f>
        <v>0</v>
      </c>
      <c r="F57" s="159">
        <f t="shared" si="8"/>
        <v>0</v>
      </c>
      <c r="G57" s="161">
        <f t="shared" si="13"/>
        <v>0</v>
      </c>
      <c r="H57" s="142">
        <f t="shared" si="14"/>
        <v>0</v>
      </c>
      <c r="I57" s="156">
        <f t="shared" si="9"/>
        <v>0</v>
      </c>
      <c r="J57" s="156"/>
      <c r="K57" s="334"/>
      <c r="L57" s="158">
        <f t="shared" si="10"/>
        <v>0</v>
      </c>
      <c r="M57" s="334"/>
      <c r="N57" s="158">
        <f t="shared" si="11"/>
        <v>0</v>
      </c>
      <c r="O57" s="158">
        <f t="shared" si="12"/>
        <v>0</v>
      </c>
      <c r="P57" s="4"/>
    </row>
    <row r="58" spans="2:17">
      <c r="B58" s="9" t="str">
        <f t="shared" si="4"/>
        <v/>
      </c>
      <c r="C58" s="153">
        <f>IF(D11="","-",+C57+1)</f>
        <v>2049</v>
      </c>
      <c r="D58" s="159">
        <v>0</v>
      </c>
      <c r="E58" s="160">
        <f>IF(+I14&lt;F57,I14,D58)</f>
        <v>0</v>
      </c>
      <c r="F58" s="159">
        <f t="shared" si="8"/>
        <v>0</v>
      </c>
      <c r="G58" s="161">
        <f t="shared" si="13"/>
        <v>0</v>
      </c>
      <c r="H58" s="142">
        <f t="shared" si="14"/>
        <v>0</v>
      </c>
      <c r="I58" s="156">
        <f t="shared" si="9"/>
        <v>0</v>
      </c>
      <c r="J58" s="156"/>
      <c r="K58" s="334"/>
      <c r="L58" s="158">
        <f t="shared" si="10"/>
        <v>0</v>
      </c>
      <c r="M58" s="334"/>
      <c r="N58" s="158">
        <f t="shared" si="11"/>
        <v>0</v>
      </c>
      <c r="O58" s="158">
        <f t="shared" si="12"/>
        <v>0</v>
      </c>
      <c r="P58" s="4"/>
      <c r="Q58" t="str">
        <f>IF(ROUND(Q57,0)=ROUND(SUM(Q18:Q56),0),"","Error -- check allocations above).")</f>
        <v/>
      </c>
    </row>
    <row r="59" spans="2:17">
      <c r="B59" s="9" t="str">
        <f t="shared" si="4"/>
        <v/>
      </c>
      <c r="C59" s="153">
        <f>IF(D11="","-",+C58+1)</f>
        <v>2050</v>
      </c>
      <c r="D59" s="159">
        <v>0</v>
      </c>
      <c r="E59" s="160">
        <f>IF(+I14&lt;F58,I14,D59)</f>
        <v>0</v>
      </c>
      <c r="F59" s="159">
        <f t="shared" si="8"/>
        <v>0</v>
      </c>
      <c r="G59" s="161">
        <f t="shared" si="13"/>
        <v>0</v>
      </c>
      <c r="H59" s="142">
        <f t="shared" si="14"/>
        <v>0</v>
      </c>
      <c r="I59" s="156">
        <f t="shared" si="9"/>
        <v>0</v>
      </c>
      <c r="J59" s="156"/>
      <c r="K59" s="334"/>
      <c r="L59" s="158">
        <f t="shared" si="10"/>
        <v>0</v>
      </c>
      <c r="M59" s="334"/>
      <c r="N59" s="158">
        <f t="shared" si="11"/>
        <v>0</v>
      </c>
      <c r="O59" s="158">
        <f t="shared" si="12"/>
        <v>0</v>
      </c>
      <c r="P59" s="4"/>
    </row>
    <row r="60" spans="2:17">
      <c r="B60" s="9" t="str">
        <f t="shared" si="4"/>
        <v/>
      </c>
      <c r="C60" s="153">
        <f>IF(D11="","-",+C59+1)</f>
        <v>2051</v>
      </c>
      <c r="D60" s="159">
        <v>0</v>
      </c>
      <c r="E60" s="160">
        <f>IF(+I14&lt;F59,I14,D60)</f>
        <v>0</v>
      </c>
      <c r="F60" s="159">
        <f t="shared" si="8"/>
        <v>0</v>
      </c>
      <c r="G60" s="161">
        <f t="shared" si="13"/>
        <v>0</v>
      </c>
      <c r="H60" s="142">
        <f t="shared" si="14"/>
        <v>0</v>
      </c>
      <c r="I60" s="156">
        <f t="shared" si="9"/>
        <v>0</v>
      </c>
      <c r="J60" s="156"/>
      <c r="K60" s="334"/>
      <c r="L60" s="158">
        <f t="shared" si="10"/>
        <v>0</v>
      </c>
      <c r="M60" s="334"/>
      <c r="N60" s="158">
        <f t="shared" si="11"/>
        <v>0</v>
      </c>
      <c r="O60" s="158">
        <f t="shared" si="12"/>
        <v>0</v>
      </c>
      <c r="P60" s="4"/>
    </row>
    <row r="61" spans="2:17">
      <c r="B61" s="9" t="str">
        <f t="shared" si="4"/>
        <v/>
      </c>
      <c r="C61" s="153">
        <f>IF(D11="","-",+C60+1)</f>
        <v>2052</v>
      </c>
      <c r="D61" s="159">
        <v>0</v>
      </c>
      <c r="E61" s="160">
        <f>IF(+I14&lt;F60,I14,D61)</f>
        <v>0</v>
      </c>
      <c r="F61" s="159">
        <f t="shared" si="8"/>
        <v>0</v>
      </c>
      <c r="G61" s="163">
        <f t="shared" si="13"/>
        <v>0</v>
      </c>
      <c r="H61" s="142">
        <f t="shared" si="14"/>
        <v>0</v>
      </c>
      <c r="I61" s="156">
        <f t="shared" si="9"/>
        <v>0</v>
      </c>
      <c r="J61" s="156"/>
      <c r="K61" s="334"/>
      <c r="L61" s="158">
        <f t="shared" si="10"/>
        <v>0</v>
      </c>
      <c r="M61" s="334"/>
      <c r="N61" s="158">
        <f t="shared" si="11"/>
        <v>0</v>
      </c>
      <c r="O61" s="158">
        <f t="shared" si="12"/>
        <v>0</v>
      </c>
      <c r="P61" s="4"/>
    </row>
    <row r="62" spans="2:17">
      <c r="B62" s="9" t="str">
        <f t="shared" si="4"/>
        <v/>
      </c>
      <c r="C62" s="153">
        <f>IF(D11="","-",+C61+1)</f>
        <v>2053</v>
      </c>
      <c r="D62" s="159">
        <v>0</v>
      </c>
      <c r="E62" s="160">
        <f>IF(+I14&lt;F61,I14,D62)</f>
        <v>0</v>
      </c>
      <c r="F62" s="159">
        <f t="shared" si="8"/>
        <v>0</v>
      </c>
      <c r="G62" s="163">
        <f t="shared" si="13"/>
        <v>0</v>
      </c>
      <c r="H62" s="142">
        <f t="shared" si="14"/>
        <v>0</v>
      </c>
      <c r="I62" s="156">
        <f t="shared" si="9"/>
        <v>0</v>
      </c>
      <c r="J62" s="156"/>
      <c r="K62" s="334"/>
      <c r="L62" s="158">
        <f t="shared" si="10"/>
        <v>0</v>
      </c>
      <c r="M62" s="334"/>
      <c r="N62" s="158">
        <f t="shared" si="11"/>
        <v>0</v>
      </c>
      <c r="O62" s="158">
        <f t="shared" si="12"/>
        <v>0</v>
      </c>
      <c r="P62" s="4"/>
    </row>
    <row r="63" spans="2:17">
      <c r="B63" s="9" t="str">
        <f t="shared" si="4"/>
        <v/>
      </c>
      <c r="C63" s="153">
        <f>IF(D11="","-",+C62+1)</f>
        <v>2054</v>
      </c>
      <c r="D63" s="159">
        <v>0</v>
      </c>
      <c r="E63" s="160">
        <f>IF(+I14&lt;F62,I14,D63)</f>
        <v>0</v>
      </c>
      <c r="F63" s="159">
        <f t="shared" si="8"/>
        <v>0</v>
      </c>
      <c r="G63" s="163">
        <f t="shared" si="13"/>
        <v>0</v>
      </c>
      <c r="H63" s="142">
        <f t="shared" si="14"/>
        <v>0</v>
      </c>
      <c r="I63" s="156">
        <f t="shared" si="9"/>
        <v>0</v>
      </c>
      <c r="J63" s="156"/>
      <c r="K63" s="334"/>
      <c r="L63" s="158">
        <f t="shared" si="10"/>
        <v>0</v>
      </c>
      <c r="M63" s="334"/>
      <c r="N63" s="158">
        <f t="shared" si="11"/>
        <v>0</v>
      </c>
      <c r="O63" s="158">
        <f t="shared" si="12"/>
        <v>0</v>
      </c>
      <c r="P63" s="4"/>
    </row>
    <row r="64" spans="2:17">
      <c r="B64" s="9" t="str">
        <f t="shared" si="4"/>
        <v/>
      </c>
      <c r="C64" s="153">
        <f>IF(D11="","-",+C63+1)</f>
        <v>2055</v>
      </c>
      <c r="D64" s="159">
        <v>0</v>
      </c>
      <c r="E64" s="160">
        <f>IF(+I14&lt;F63,I14,D64)</f>
        <v>0</v>
      </c>
      <c r="F64" s="159">
        <f t="shared" si="8"/>
        <v>0</v>
      </c>
      <c r="G64" s="163">
        <f t="shared" si="13"/>
        <v>0</v>
      </c>
      <c r="H64" s="142">
        <f t="shared" si="14"/>
        <v>0</v>
      </c>
      <c r="I64" s="156">
        <f t="shared" si="9"/>
        <v>0</v>
      </c>
      <c r="J64" s="156"/>
      <c r="K64" s="334"/>
      <c r="L64" s="158">
        <f t="shared" si="10"/>
        <v>0</v>
      </c>
      <c r="M64" s="334"/>
      <c r="N64" s="158">
        <f t="shared" si="11"/>
        <v>0</v>
      </c>
      <c r="O64" s="158">
        <f t="shared" si="12"/>
        <v>0</v>
      </c>
      <c r="P64" s="4"/>
    </row>
    <row r="65" spans="1:16">
      <c r="B65" s="9" t="str">
        <f t="shared" si="4"/>
        <v/>
      </c>
      <c r="C65" s="153">
        <f>IF(D11="","-",+C64+1)</f>
        <v>2056</v>
      </c>
      <c r="D65" s="159">
        <v>0</v>
      </c>
      <c r="E65" s="160">
        <f>IF(+I14&lt;F64,I14,D65)</f>
        <v>0</v>
      </c>
      <c r="F65" s="159">
        <f t="shared" si="8"/>
        <v>0</v>
      </c>
      <c r="G65" s="163">
        <f t="shared" si="13"/>
        <v>0</v>
      </c>
      <c r="H65" s="142">
        <f t="shared" si="14"/>
        <v>0</v>
      </c>
      <c r="I65" s="156">
        <f t="shared" si="9"/>
        <v>0</v>
      </c>
      <c r="J65" s="156"/>
      <c r="K65" s="334"/>
      <c r="L65" s="158">
        <f t="shared" si="10"/>
        <v>0</v>
      </c>
      <c r="M65" s="334"/>
      <c r="N65" s="158">
        <f t="shared" si="11"/>
        <v>0</v>
      </c>
      <c r="O65" s="158">
        <f t="shared" si="12"/>
        <v>0</v>
      </c>
      <c r="P65" s="4"/>
    </row>
    <row r="66" spans="1:16">
      <c r="B66" s="9" t="str">
        <f t="shared" si="4"/>
        <v/>
      </c>
      <c r="C66" s="153">
        <f>IF(D11="","-",+C65+1)</f>
        <v>2057</v>
      </c>
      <c r="D66" s="159">
        <v>0</v>
      </c>
      <c r="E66" s="160">
        <f>IF(+I14&lt;F65,I14,D66)</f>
        <v>0</v>
      </c>
      <c r="F66" s="159">
        <f t="shared" si="8"/>
        <v>0</v>
      </c>
      <c r="G66" s="163">
        <f t="shared" si="13"/>
        <v>0</v>
      </c>
      <c r="H66" s="142">
        <f t="shared" si="14"/>
        <v>0</v>
      </c>
      <c r="I66" s="156">
        <f t="shared" si="9"/>
        <v>0</v>
      </c>
      <c r="J66" s="156"/>
      <c r="K66" s="334"/>
      <c r="L66" s="158">
        <f t="shared" si="10"/>
        <v>0</v>
      </c>
      <c r="M66" s="334"/>
      <c r="N66" s="158">
        <f t="shared" si="11"/>
        <v>0</v>
      </c>
      <c r="O66" s="158">
        <f t="shared" si="12"/>
        <v>0</v>
      </c>
      <c r="P66" s="4"/>
    </row>
    <row r="67" spans="1:16">
      <c r="B67" s="9" t="str">
        <f t="shared" si="4"/>
        <v/>
      </c>
      <c r="C67" s="153">
        <f>IF(D11="","-",+C66+1)</f>
        <v>2058</v>
      </c>
      <c r="D67" s="159">
        <v>0</v>
      </c>
      <c r="E67" s="160">
        <f>IF(+I14&lt;F66,I14,D67)</f>
        <v>0</v>
      </c>
      <c r="F67" s="159">
        <f t="shared" si="8"/>
        <v>0</v>
      </c>
      <c r="G67" s="163">
        <f t="shared" si="13"/>
        <v>0</v>
      </c>
      <c r="H67" s="142">
        <f t="shared" si="14"/>
        <v>0</v>
      </c>
      <c r="I67" s="156">
        <f t="shared" si="9"/>
        <v>0</v>
      </c>
      <c r="J67" s="156"/>
      <c r="K67" s="334"/>
      <c r="L67" s="158">
        <f t="shared" si="10"/>
        <v>0</v>
      </c>
      <c r="M67" s="334"/>
      <c r="N67" s="158">
        <f t="shared" si="11"/>
        <v>0</v>
      </c>
      <c r="O67" s="158">
        <f t="shared" si="12"/>
        <v>0</v>
      </c>
      <c r="P67" s="4"/>
    </row>
    <row r="68" spans="1:16">
      <c r="B68" s="9" t="str">
        <f t="shared" si="4"/>
        <v/>
      </c>
      <c r="C68" s="153">
        <f>IF(D11="","-",+C67+1)</f>
        <v>2059</v>
      </c>
      <c r="D68" s="159">
        <v>0</v>
      </c>
      <c r="E68" s="160">
        <f>IF(+I14&lt;F67,I14,D68)</f>
        <v>0</v>
      </c>
      <c r="F68" s="159">
        <f t="shared" si="8"/>
        <v>0</v>
      </c>
      <c r="G68" s="163">
        <f t="shared" si="13"/>
        <v>0</v>
      </c>
      <c r="H68" s="142">
        <f t="shared" si="14"/>
        <v>0</v>
      </c>
      <c r="I68" s="156">
        <f t="shared" si="9"/>
        <v>0</v>
      </c>
      <c r="J68" s="156"/>
      <c r="K68" s="334"/>
      <c r="L68" s="158">
        <f t="shared" si="10"/>
        <v>0</v>
      </c>
      <c r="M68" s="334"/>
      <c r="N68" s="158">
        <f t="shared" si="11"/>
        <v>0</v>
      </c>
      <c r="O68" s="158">
        <f t="shared" si="12"/>
        <v>0</v>
      </c>
      <c r="P68" s="4"/>
    </row>
    <row r="69" spans="1:16">
      <c r="B69" s="9" t="str">
        <f t="shared" si="4"/>
        <v/>
      </c>
      <c r="C69" s="153">
        <f>IF(D11="","-",+C68+1)</f>
        <v>2060</v>
      </c>
      <c r="D69" s="159">
        <v>0</v>
      </c>
      <c r="E69" s="160">
        <f>IF(+I14&lt;F68,I14,D69)</f>
        <v>0</v>
      </c>
      <c r="F69" s="159">
        <f t="shared" si="8"/>
        <v>0</v>
      </c>
      <c r="G69" s="163">
        <f t="shared" si="13"/>
        <v>0</v>
      </c>
      <c r="H69" s="142">
        <f t="shared" si="14"/>
        <v>0</v>
      </c>
      <c r="I69" s="156">
        <f t="shared" si="9"/>
        <v>0</v>
      </c>
      <c r="J69" s="156"/>
      <c r="K69" s="334"/>
      <c r="L69" s="158">
        <f t="shared" si="10"/>
        <v>0</v>
      </c>
      <c r="M69" s="334"/>
      <c r="N69" s="158">
        <f t="shared" si="11"/>
        <v>0</v>
      </c>
      <c r="O69" s="158">
        <f t="shared" si="12"/>
        <v>0</v>
      </c>
      <c r="P69" s="4"/>
    </row>
    <row r="70" spans="1:16">
      <c r="B70" s="9" t="str">
        <f t="shared" si="4"/>
        <v/>
      </c>
      <c r="C70" s="153">
        <f>IF(D11="","-",+C69+1)</f>
        <v>2061</v>
      </c>
      <c r="D70" s="159">
        <v>0</v>
      </c>
      <c r="E70" s="160">
        <f>IF(+I14&lt;F69,I14,D70)</f>
        <v>0</v>
      </c>
      <c r="F70" s="159">
        <f t="shared" si="8"/>
        <v>0</v>
      </c>
      <c r="G70" s="163">
        <f t="shared" si="13"/>
        <v>0</v>
      </c>
      <c r="H70" s="142">
        <f t="shared" si="14"/>
        <v>0</v>
      </c>
      <c r="I70" s="156">
        <f t="shared" si="9"/>
        <v>0</v>
      </c>
      <c r="J70" s="156"/>
      <c r="K70" s="334"/>
      <c r="L70" s="158">
        <f t="shared" si="10"/>
        <v>0</v>
      </c>
      <c r="M70" s="334"/>
      <c r="N70" s="158">
        <f t="shared" si="11"/>
        <v>0</v>
      </c>
      <c r="O70" s="158">
        <f t="shared" si="12"/>
        <v>0</v>
      </c>
      <c r="P70" s="4"/>
    </row>
    <row r="71" spans="1:16">
      <c r="B71" s="9" t="str">
        <f t="shared" si="4"/>
        <v/>
      </c>
      <c r="C71" s="153">
        <f>IF(D11="","-",+C70+1)</f>
        <v>2062</v>
      </c>
      <c r="D71" s="159">
        <v>0</v>
      </c>
      <c r="E71" s="160">
        <f>IF(+I14&lt;F70,I14,D71)</f>
        <v>0</v>
      </c>
      <c r="F71" s="159">
        <f t="shared" si="8"/>
        <v>0</v>
      </c>
      <c r="G71" s="163">
        <f t="shared" si="13"/>
        <v>0</v>
      </c>
      <c r="H71" s="142">
        <f t="shared" si="14"/>
        <v>0</v>
      </c>
      <c r="I71" s="156">
        <f t="shared" si="9"/>
        <v>0</v>
      </c>
      <c r="J71" s="156"/>
      <c r="K71" s="334"/>
      <c r="L71" s="158">
        <f t="shared" si="10"/>
        <v>0</v>
      </c>
      <c r="M71" s="334"/>
      <c r="N71" s="158">
        <f t="shared" si="11"/>
        <v>0</v>
      </c>
      <c r="O71" s="158">
        <f t="shared" si="12"/>
        <v>0</v>
      </c>
      <c r="P71" s="4"/>
    </row>
    <row r="72" spans="1:16" ht="13.5" thickBot="1">
      <c r="B72" s="9" t="str">
        <f t="shared" si="4"/>
        <v/>
      </c>
      <c r="C72" s="164">
        <f>IF(D11="","-",+C71+1)</f>
        <v>2063</v>
      </c>
      <c r="D72" s="165">
        <v>0</v>
      </c>
      <c r="E72" s="166">
        <f>IF(+I14&lt;F71,I14,D72)</f>
        <v>0</v>
      </c>
      <c r="F72" s="165">
        <f t="shared" si="8"/>
        <v>0</v>
      </c>
      <c r="G72" s="167">
        <f t="shared" si="13"/>
        <v>0</v>
      </c>
      <c r="H72" s="124">
        <f t="shared" si="14"/>
        <v>0</v>
      </c>
      <c r="I72" s="168">
        <f t="shared" si="9"/>
        <v>0</v>
      </c>
      <c r="J72" s="156"/>
      <c r="K72" s="335"/>
      <c r="L72" s="169">
        <f t="shared" si="10"/>
        <v>0</v>
      </c>
      <c r="M72" s="335"/>
      <c r="N72" s="169">
        <f t="shared" si="11"/>
        <v>0</v>
      </c>
      <c r="O72" s="169">
        <f t="shared" si="12"/>
        <v>0</v>
      </c>
      <c r="P72" s="4"/>
    </row>
    <row r="73" spans="1:16">
      <c r="C73" s="154" t="s">
        <v>73</v>
      </c>
      <c r="D73" s="111"/>
      <c r="E73" s="111"/>
      <c r="F73" s="111"/>
      <c r="G73" s="111"/>
      <c r="H73" s="111"/>
      <c r="I73" s="111">
        <f>SUM(I17:I72)</f>
        <v>0</v>
      </c>
      <c r="J73" s="111"/>
      <c r="K73" s="111"/>
      <c r="L73" s="111"/>
      <c r="M73" s="111"/>
      <c r="N73" s="111"/>
      <c r="O73" s="4"/>
      <c r="P73" s="4"/>
    </row>
    <row r="74" spans="1:16">
      <c r="D74" s="2"/>
      <c r="E74" s="1"/>
      <c r="F74" s="1"/>
      <c r="G74" s="1"/>
      <c r="H74" s="3"/>
      <c r="I74" s="3"/>
      <c r="J74" s="111"/>
      <c r="K74" s="3"/>
      <c r="L74" s="3"/>
      <c r="M74" s="3"/>
      <c r="N74" s="3"/>
      <c r="O74" s="1"/>
      <c r="P74" s="1"/>
    </row>
    <row r="75" spans="1:16">
      <c r="C75" s="170" t="s">
        <v>91</v>
      </c>
      <c r="D75" s="2"/>
      <c r="E75" s="1"/>
      <c r="F75" s="1"/>
      <c r="G75" s="1"/>
      <c r="H75" s="3"/>
      <c r="I75" s="3"/>
      <c r="J75" s="111"/>
      <c r="K75" s="3"/>
      <c r="L75" s="3"/>
      <c r="M75" s="3"/>
      <c r="N75" s="3"/>
      <c r="O75" s="1"/>
      <c r="P75" s="1"/>
    </row>
    <row r="76" spans="1:16">
      <c r="C76" s="121" t="s">
        <v>74</v>
      </c>
      <c r="D76" s="2"/>
      <c r="E76" s="1"/>
      <c r="F76" s="1"/>
      <c r="G76" s="1"/>
      <c r="H76" s="3"/>
      <c r="I76" s="3"/>
      <c r="J76" s="111"/>
      <c r="K76" s="3"/>
      <c r="L76" s="3"/>
      <c r="M76" s="3"/>
      <c r="N76" s="3"/>
      <c r="O76" s="4"/>
      <c r="P76" s="4"/>
    </row>
    <row r="77" spans="1:16" ht="18">
      <c r="C77" s="121" t="s">
        <v>75</v>
      </c>
      <c r="D77" s="154"/>
      <c r="E77" s="154"/>
      <c r="F77" s="154"/>
      <c r="G77" s="111"/>
      <c r="H77" s="111"/>
      <c r="I77" s="171"/>
      <c r="J77" s="171"/>
      <c r="K77" s="171"/>
      <c r="L77" s="171"/>
      <c r="M77" s="171"/>
      <c r="N77" s="171"/>
      <c r="O77" s="110"/>
      <c r="P77" s="4"/>
    </row>
    <row r="78" spans="1:16">
      <c r="C78" s="121"/>
      <c r="D78" s="154"/>
      <c r="E78" s="154"/>
      <c r="F78" s="154"/>
      <c r="G78" s="111"/>
      <c r="H78" s="111"/>
      <c r="I78" s="171"/>
      <c r="J78" s="171"/>
      <c r="K78" s="171"/>
      <c r="L78" s="171"/>
      <c r="M78" s="171"/>
      <c r="N78" s="171"/>
      <c r="O78" s="4"/>
      <c r="P78" s="1"/>
    </row>
    <row r="79" spans="1:16" ht="15">
      <c r="A79" s="241"/>
      <c r="B79" s="1"/>
      <c r="C79" s="21"/>
      <c r="D79" s="2"/>
      <c r="E79" s="1"/>
      <c r="F79" s="107"/>
      <c r="G79" s="1"/>
      <c r="H79" s="3"/>
      <c r="I79" s="1"/>
      <c r="J79" s="4"/>
      <c r="K79" s="1"/>
      <c r="L79" s="1"/>
      <c r="M79" s="1"/>
      <c r="N79" s="1"/>
    </row>
    <row r="80" spans="1:16" ht="18">
      <c r="B80" s="1"/>
      <c r="C80" s="242"/>
      <c r="D80" s="2"/>
      <c r="E80" s="1"/>
      <c r="F80" s="107"/>
      <c r="G80" s="1"/>
      <c r="H80" s="3"/>
      <c r="I80" s="1"/>
      <c r="J80" s="4"/>
      <c r="K80" s="1"/>
      <c r="L80" s="1"/>
      <c r="M80" s="1"/>
      <c r="N80" s="1"/>
      <c r="P80" s="244" t="s">
        <v>125</v>
      </c>
    </row>
    <row r="81" spans="1:17">
      <c r="B81" s="1"/>
      <c r="C81" s="242"/>
      <c r="D81" s="2"/>
      <c r="E81" s="1"/>
      <c r="F81" s="107"/>
      <c r="G81" s="1"/>
      <c r="H81" s="3"/>
      <c r="I81" s="1"/>
      <c r="J81" s="4"/>
      <c r="K81" s="1"/>
      <c r="L81" s="1"/>
      <c r="M81" s="1"/>
      <c r="N81" s="1"/>
      <c r="O81" s="1"/>
      <c r="P81" s="1"/>
    </row>
    <row r="82" spans="1:17">
      <c r="B82" s="1"/>
      <c r="C82" s="21"/>
      <c r="D82" s="2"/>
      <c r="E82" s="1"/>
      <c r="F82" s="107"/>
      <c r="G82" s="1"/>
      <c r="H82" s="3"/>
      <c r="I82" s="1"/>
      <c r="J82" s="4"/>
      <c r="K82" s="1"/>
      <c r="L82" s="1"/>
      <c r="M82" s="1"/>
      <c r="N82" s="1"/>
      <c r="O82" s="1"/>
      <c r="P82" s="1"/>
      <c r="Q82" s="1"/>
    </row>
    <row r="83" spans="1:17" ht="20.25">
      <c r="A83" s="243" t="s">
        <v>129</v>
      </c>
      <c r="B83" s="1"/>
      <c r="C83" s="21"/>
      <c r="D83" s="2"/>
      <c r="E83" s="1"/>
      <c r="F83" s="99"/>
      <c r="G83" s="99"/>
      <c r="H83" s="1"/>
      <c r="I83" s="3"/>
      <c r="K83" s="7"/>
      <c r="L83" s="109"/>
      <c r="M83" s="109"/>
      <c r="P83" s="110" t="str">
        <f ca="1">P1</f>
        <v>SWEPCO Project 20 of 73</v>
      </c>
      <c r="Q83" s="1"/>
    </row>
    <row r="84" spans="1:17" ht="18">
      <c r="B84" s="1"/>
      <c r="C84" s="1"/>
      <c r="D84" s="2"/>
      <c r="E84" s="1"/>
      <c r="F84" s="1"/>
      <c r="G84" s="1"/>
      <c r="H84" s="1"/>
      <c r="I84" s="3"/>
      <c r="J84" s="1"/>
      <c r="K84" s="4"/>
      <c r="L84" s="1"/>
      <c r="M84" s="1"/>
      <c r="P84" s="237" t="s">
        <v>123</v>
      </c>
      <c r="Q84" s="1"/>
    </row>
    <row r="85" spans="1:17" ht="18.75" thickBot="1">
      <c r="B85" s="5" t="s">
        <v>40</v>
      </c>
      <c r="C85" s="197" t="s">
        <v>78</v>
      </c>
      <c r="D85" s="2"/>
      <c r="E85" s="1"/>
      <c r="F85" s="1"/>
      <c r="G85" s="1"/>
      <c r="H85" s="1"/>
      <c r="I85" s="3"/>
      <c r="J85" s="3"/>
      <c r="K85" s="111"/>
      <c r="L85" s="3"/>
      <c r="M85" s="3"/>
      <c r="N85" s="3"/>
      <c r="O85" s="111"/>
      <c r="P85" s="1"/>
      <c r="Q85" s="1"/>
    </row>
    <row r="86" spans="1:17" ht="15.75" thickBot="1">
      <c r="C86" s="67"/>
      <c r="D86" s="2"/>
      <c r="E86" s="1"/>
      <c r="F86" s="1"/>
      <c r="G86" s="1"/>
      <c r="H86" s="1"/>
      <c r="I86" s="3"/>
      <c r="J86" s="3"/>
      <c r="K86" s="111"/>
      <c r="L86" s="265">
        <f>+J92</f>
        <v>2017</v>
      </c>
      <c r="M86" s="266" t="s">
        <v>7</v>
      </c>
      <c r="N86" s="270" t="s">
        <v>154</v>
      </c>
      <c r="O86" s="267" t="s">
        <v>9</v>
      </c>
      <c r="P86" s="1"/>
      <c r="Q86" s="1"/>
    </row>
    <row r="87" spans="1:17" ht="15">
      <c r="C87" s="235" t="s">
        <v>42</v>
      </c>
      <c r="D87" s="2"/>
      <c r="E87" s="1"/>
      <c r="F87" s="1"/>
      <c r="G87" s="1"/>
      <c r="H87" s="113"/>
      <c r="I87" s="1" t="s">
        <v>43</v>
      </c>
      <c r="J87" s="1"/>
      <c r="K87" s="261"/>
      <c r="L87" s="259" t="s">
        <v>381</v>
      </c>
      <c r="M87" s="198">
        <v>0</v>
      </c>
      <c r="N87" s="198">
        <v>0</v>
      </c>
      <c r="O87" s="199">
        <f>+N87-M87</f>
        <v>0</v>
      </c>
      <c r="P87" s="1"/>
      <c r="Q87" s="1"/>
    </row>
    <row r="88" spans="1:17" ht="15.75">
      <c r="C88" s="8"/>
      <c r="D88" s="2"/>
      <c r="E88" s="1"/>
      <c r="F88" s="1"/>
      <c r="G88" s="1"/>
      <c r="H88" s="1"/>
      <c r="I88" s="117"/>
      <c r="J88" s="117"/>
      <c r="K88" s="263"/>
      <c r="L88" s="264" t="s">
        <v>382</v>
      </c>
      <c r="M88" s="200">
        <f>IF(J92&lt;D11,0,VLOOKUP(J92,C99:P154,6))</f>
        <v>0</v>
      </c>
      <c r="N88" s="200">
        <f>IF(J92&lt;D11,0,VLOOKUP(J92,C99:P154,7))</f>
        <v>0</v>
      </c>
      <c r="O88" s="201">
        <f>+N88-M88</f>
        <v>0</v>
      </c>
      <c r="P88" s="1"/>
      <c r="Q88" s="1"/>
    </row>
    <row r="89" spans="1:17" ht="13.5" thickBot="1">
      <c r="C89" s="121" t="s">
        <v>79</v>
      </c>
      <c r="D89" s="274" t="str">
        <f>D7</f>
        <v>[NW Ark Area Improve - 2008]  Elm Springs, East Rogers, Shipe Road Stations</v>
      </c>
      <c r="E89" s="1"/>
      <c r="F89" s="1"/>
      <c r="G89" s="1"/>
      <c r="H89" s="1"/>
      <c r="I89" s="3"/>
      <c r="J89" s="3"/>
      <c r="K89" s="262"/>
      <c r="L89" s="260" t="s">
        <v>151</v>
      </c>
      <c r="M89" s="203">
        <f>+M88-M87</f>
        <v>0</v>
      </c>
      <c r="N89" s="203">
        <f>+N88-N87</f>
        <v>0</v>
      </c>
      <c r="O89" s="204">
        <f>+O88-O87</f>
        <v>0</v>
      </c>
      <c r="P89" s="1"/>
      <c r="Q89" s="1"/>
    </row>
    <row r="90" spans="1:17" ht="13.5" thickBot="1">
      <c r="C90" s="170"/>
      <c r="D90" s="370" t="str">
        <f>D8</f>
        <v>***2008 INVESTMENT NOW INCLUDED IN PROJECT S.003 ABOVE***</v>
      </c>
      <c r="E90" s="107"/>
      <c r="F90" s="107"/>
      <c r="G90" s="107"/>
      <c r="H90" s="126"/>
      <c r="I90" s="3"/>
      <c r="J90" s="3"/>
      <c r="K90" s="111"/>
      <c r="L90" s="3"/>
      <c r="M90" s="3"/>
      <c r="N90" s="3"/>
      <c r="O90" s="111"/>
      <c r="P90" s="1"/>
      <c r="Q90" s="1"/>
    </row>
    <row r="91" spans="1:17" ht="13.5" thickBot="1">
      <c r="A91" s="103"/>
      <c r="C91" s="205" t="s">
        <v>80</v>
      </c>
      <c r="D91" s="224" t="str">
        <f>+D9</f>
        <v>TP2007103</v>
      </c>
      <c r="E91" s="206"/>
      <c r="F91" s="206"/>
      <c r="G91" s="206"/>
      <c r="H91" s="206"/>
      <c r="I91" s="206"/>
      <c r="J91" s="238"/>
      <c r="K91" s="207"/>
      <c r="P91" s="131"/>
      <c r="Q91" s="1"/>
    </row>
    <row r="92" spans="1:17">
      <c r="C92" s="136" t="s">
        <v>47</v>
      </c>
      <c r="D92" s="133">
        <v>0</v>
      </c>
      <c r="E92" s="21" t="s">
        <v>81</v>
      </c>
      <c r="H92" s="134"/>
      <c r="I92" s="134"/>
      <c r="J92" s="135">
        <f>+'SWE.WS.G.BPU.ATRR.True-up'!M15</f>
        <v>2017</v>
      </c>
      <c r="K92" s="130"/>
      <c r="L92" s="111" t="s">
        <v>82</v>
      </c>
      <c r="P92" s="4"/>
      <c r="Q92" s="1"/>
    </row>
    <row r="93" spans="1:17">
      <c r="C93" s="136" t="s">
        <v>49</v>
      </c>
      <c r="D93" s="219">
        <f>IF(D11=I10,"",D11)</f>
        <v>2008</v>
      </c>
      <c r="E93" s="136" t="s">
        <v>50</v>
      </c>
      <c r="F93" s="134"/>
      <c r="G93" s="134"/>
      <c r="J93" s="138">
        <f>IF(H87="",0,'SWE.WS.G.BPU.ATRR.True-up'!$F$12)</f>
        <v>0</v>
      </c>
      <c r="K93" s="139"/>
      <c r="L93" t="str">
        <f>"          INPUT TRUE-UP ARR (WITH &amp; WITHOUT INCENTIVES) FROM EACH PRIOR YEAR"</f>
        <v xml:space="preserve">          INPUT TRUE-UP ARR (WITH &amp; WITHOUT INCENTIVES) FROM EACH PRIOR YEAR</v>
      </c>
      <c r="P93" s="4"/>
      <c r="Q93" s="1"/>
    </row>
    <row r="94" spans="1:17">
      <c r="C94" s="136" t="s">
        <v>51</v>
      </c>
      <c r="D94" s="218">
        <f>IF(D11=I10,"",D12)</f>
        <v>11</v>
      </c>
      <c r="E94" s="136" t="s">
        <v>52</v>
      </c>
      <c r="F94" s="134"/>
      <c r="G94" s="134"/>
      <c r="J94" s="140">
        <f>'SWE.WS.G.BPU.ATRR.True-up'!$F$80</f>
        <v>0.12147145768398206</v>
      </c>
      <c r="K94" s="141"/>
      <c r="L94" t="s">
        <v>83</v>
      </c>
      <c r="P94" s="4"/>
      <c r="Q94" s="1"/>
    </row>
    <row r="95" spans="1:17">
      <c r="C95" s="136" t="s">
        <v>54</v>
      </c>
      <c r="D95" s="138">
        <f>'SWE.WS.G.BPU.ATRR.True-up'!F$92</f>
        <v>42</v>
      </c>
      <c r="E95" s="136" t="s">
        <v>55</v>
      </c>
      <c r="F95" s="134"/>
      <c r="G95" s="134"/>
      <c r="J95" s="140">
        <f>IF(H87="",J94,'SWE.WS.G.BPU.ATRR.True-up'!$F$79)</f>
        <v>0.12147145768398206</v>
      </c>
      <c r="K95" s="58"/>
      <c r="L95" s="111" t="s">
        <v>56</v>
      </c>
      <c r="M95" s="58"/>
      <c r="N95" s="58"/>
      <c r="O95" s="58"/>
      <c r="P95" s="4"/>
      <c r="Q95" s="1"/>
    </row>
    <row r="96" spans="1:17" ht="13.5" thickBot="1">
      <c r="C96" s="136" t="s">
        <v>57</v>
      </c>
      <c r="D96" s="220" t="str">
        <f>+D14</f>
        <v>No</v>
      </c>
      <c r="E96" s="202" t="s">
        <v>59</v>
      </c>
      <c r="F96" s="208"/>
      <c r="G96" s="208"/>
      <c r="H96" s="209"/>
      <c r="I96" s="209"/>
      <c r="J96" s="124">
        <f>IF(D92=0,0,D92/D95)</f>
        <v>0</v>
      </c>
      <c r="K96" s="111"/>
      <c r="L96" s="111"/>
      <c r="M96" s="111"/>
      <c r="N96" s="111"/>
      <c r="O96" s="111"/>
      <c r="P96" s="4"/>
      <c r="Q96" s="1"/>
    </row>
    <row r="97" spans="1:17" ht="38.25">
      <c r="A97" s="6"/>
      <c r="B97" s="6"/>
      <c r="C97" s="210" t="s">
        <v>47</v>
      </c>
      <c r="D97" s="211" t="s">
        <v>60</v>
      </c>
      <c r="E97" s="146" t="s">
        <v>61</v>
      </c>
      <c r="F97" s="146" t="s">
        <v>62</v>
      </c>
      <c r="G97" s="144" t="s">
        <v>84</v>
      </c>
      <c r="H97" s="434" t="s">
        <v>378</v>
      </c>
      <c r="I97" s="435" t="s">
        <v>379</v>
      </c>
      <c r="J97" s="210" t="s">
        <v>85</v>
      </c>
      <c r="K97" s="212"/>
      <c r="L97" s="271" t="s">
        <v>220</v>
      </c>
      <c r="M97" s="146" t="s">
        <v>86</v>
      </c>
      <c r="N97" s="271" t="s">
        <v>220</v>
      </c>
      <c r="O97" s="146" t="s">
        <v>86</v>
      </c>
      <c r="P97" s="146" t="s">
        <v>65</v>
      </c>
      <c r="Q97" s="1"/>
    </row>
    <row r="98" spans="1:17" ht="13.5" thickBot="1">
      <c r="C98" s="147" t="s">
        <v>66</v>
      </c>
      <c r="D98" s="213" t="s">
        <v>67</v>
      </c>
      <c r="E98" s="147" t="s">
        <v>68</v>
      </c>
      <c r="F98" s="147" t="s">
        <v>67</v>
      </c>
      <c r="G98" s="147" t="s">
        <v>67</v>
      </c>
      <c r="H98" s="407" t="s">
        <v>69</v>
      </c>
      <c r="I98" s="148" t="s">
        <v>70</v>
      </c>
      <c r="J98" s="149" t="s">
        <v>89</v>
      </c>
      <c r="K98" s="150"/>
      <c r="L98" s="151" t="s">
        <v>72</v>
      </c>
      <c r="M98" s="151" t="s">
        <v>72</v>
      </c>
      <c r="N98" s="151" t="s">
        <v>90</v>
      </c>
      <c r="O98" s="151" t="s">
        <v>90</v>
      </c>
      <c r="P98" s="151" t="s">
        <v>90</v>
      </c>
      <c r="Q98" s="1"/>
    </row>
    <row r="99" spans="1:17">
      <c r="C99" s="153">
        <f>IF(D93= "","-",D93)</f>
        <v>2008</v>
      </c>
      <c r="D99" s="357">
        <v>0</v>
      </c>
      <c r="E99" s="360">
        <v>2625</v>
      </c>
      <c r="F99" s="361">
        <v>1162841</v>
      </c>
      <c r="G99" s="365">
        <v>581421</v>
      </c>
      <c r="H99" s="362">
        <v>95304</v>
      </c>
      <c r="I99" s="363">
        <v>95304</v>
      </c>
      <c r="J99" s="158">
        <f t="shared" ref="J99:J130" si="15">+I99-H99</f>
        <v>0</v>
      </c>
      <c r="K99" s="158"/>
      <c r="L99" s="256">
        <v>95304</v>
      </c>
      <c r="M99" s="172">
        <f t="shared" ref="M99:M130" si="16">IF(L99&lt;&gt;0,+H99-L99,0)</f>
        <v>0</v>
      </c>
      <c r="N99" s="256">
        <v>95304</v>
      </c>
      <c r="O99" s="157">
        <f t="shared" ref="O99:O130" si="17">IF(N99&lt;&gt;0,+I99-N99,0)</f>
        <v>0</v>
      </c>
      <c r="P99" s="157">
        <f t="shared" ref="P99:P130" si="18">+O99-M99</f>
        <v>0</v>
      </c>
      <c r="Q99" s="1"/>
    </row>
    <row r="100" spans="1:17">
      <c r="B100" s="9" t="str">
        <f>IF(D100=F99,"","IU")</f>
        <v/>
      </c>
      <c r="C100" s="153">
        <f>IF(D93="","-",+C99+1)</f>
        <v>2009</v>
      </c>
      <c r="D100" s="357">
        <v>1162841</v>
      </c>
      <c r="E100" s="360">
        <v>30670.157894736843</v>
      </c>
      <c r="F100" s="361">
        <v>1132170.8421052631</v>
      </c>
      <c r="G100" s="361">
        <v>1147505.9210526315</v>
      </c>
      <c r="H100" s="360">
        <v>196757.48368197863</v>
      </c>
      <c r="I100" s="359">
        <v>196757.48368197863</v>
      </c>
      <c r="J100" s="158">
        <f t="shared" si="15"/>
        <v>0</v>
      </c>
      <c r="K100" s="158"/>
      <c r="L100" s="258">
        <f>H100</f>
        <v>196757.48368197863</v>
      </c>
      <c r="M100" s="257">
        <f t="shared" si="16"/>
        <v>0</v>
      </c>
      <c r="N100" s="258">
        <f>I100</f>
        <v>196757.48368197863</v>
      </c>
      <c r="O100" s="158">
        <f t="shared" si="17"/>
        <v>0</v>
      </c>
      <c r="P100" s="158">
        <f t="shared" si="18"/>
        <v>0</v>
      </c>
      <c r="Q100" s="1"/>
    </row>
    <row r="101" spans="1:17">
      <c r="B101" s="9" t="str">
        <f t="shared" ref="B101:B154" si="19">IF(D101=F100,"","IU")</f>
        <v>IU</v>
      </c>
      <c r="C101" s="153">
        <f>IF(D93="","-",+C100+1)</f>
        <v>2010</v>
      </c>
      <c r="D101" s="387">
        <v>0</v>
      </c>
      <c r="E101" s="388">
        <f>IF(+J96&lt;F100,J96,D101)</f>
        <v>0</v>
      </c>
      <c r="F101" s="389">
        <f t="shared" ref="F101:F130" si="20">+D101-E101</f>
        <v>0</v>
      </c>
      <c r="G101" s="389">
        <f t="shared" ref="G101:G130" si="21">+(F101+D101)/2</f>
        <v>0</v>
      </c>
      <c r="H101" s="390">
        <f t="shared" ref="H101:H130" si="22">+J$94*G101+E101</f>
        <v>0</v>
      </c>
      <c r="I101" s="391">
        <f t="shared" ref="I101:I130" si="23">+J$95*G101+E101</f>
        <v>0</v>
      </c>
      <c r="J101" s="158">
        <f t="shared" si="15"/>
        <v>0</v>
      </c>
      <c r="K101" s="158"/>
      <c r="L101" s="258"/>
      <c r="M101" s="158">
        <f t="shared" si="16"/>
        <v>0</v>
      </c>
      <c r="N101" s="258"/>
      <c r="O101" s="158">
        <f t="shared" si="17"/>
        <v>0</v>
      </c>
      <c r="P101" s="158">
        <f t="shared" si="18"/>
        <v>0</v>
      </c>
      <c r="Q101" s="1"/>
    </row>
    <row r="102" spans="1:17">
      <c r="B102" s="9" t="str">
        <f t="shared" si="19"/>
        <v/>
      </c>
      <c r="C102" s="153">
        <f>IF(D93="","-",+C101+1)</f>
        <v>2011</v>
      </c>
      <c r="D102" s="387">
        <v>0</v>
      </c>
      <c r="E102" s="388">
        <f>IF(+J96&lt;F101,J96,D102)</f>
        <v>0</v>
      </c>
      <c r="F102" s="389">
        <f t="shared" si="20"/>
        <v>0</v>
      </c>
      <c r="G102" s="389">
        <f t="shared" si="21"/>
        <v>0</v>
      </c>
      <c r="H102" s="390">
        <f t="shared" si="22"/>
        <v>0</v>
      </c>
      <c r="I102" s="391">
        <f t="shared" si="23"/>
        <v>0</v>
      </c>
      <c r="J102" s="158">
        <f t="shared" si="15"/>
        <v>0</v>
      </c>
      <c r="K102" s="158"/>
      <c r="L102" s="258"/>
      <c r="M102" s="158">
        <f t="shared" si="16"/>
        <v>0</v>
      </c>
      <c r="N102" s="258"/>
      <c r="O102" s="158">
        <f t="shared" si="17"/>
        <v>0</v>
      </c>
      <c r="P102" s="158">
        <f t="shared" si="18"/>
        <v>0</v>
      </c>
      <c r="Q102" s="1"/>
    </row>
    <row r="103" spans="1:17">
      <c r="B103" s="9" t="str">
        <f t="shared" si="19"/>
        <v/>
      </c>
      <c r="C103" s="153">
        <f>IF(D93="","-",+C102+1)</f>
        <v>2012</v>
      </c>
      <c r="D103" s="357">
        <v>0</v>
      </c>
      <c r="E103" s="360">
        <v>0</v>
      </c>
      <c r="F103" s="361">
        <v>0</v>
      </c>
      <c r="G103" s="361">
        <v>0</v>
      </c>
      <c r="H103" s="360">
        <v>0</v>
      </c>
      <c r="I103" s="359">
        <v>0</v>
      </c>
      <c r="J103" s="158">
        <f t="shared" si="15"/>
        <v>0</v>
      </c>
      <c r="K103" s="158"/>
      <c r="L103" s="258">
        <f>H103</f>
        <v>0</v>
      </c>
      <c r="M103" s="257">
        <f t="shared" si="16"/>
        <v>0</v>
      </c>
      <c r="N103" s="258">
        <f>I103</f>
        <v>0</v>
      </c>
      <c r="O103" s="158">
        <f t="shared" si="17"/>
        <v>0</v>
      </c>
      <c r="P103" s="158">
        <f t="shared" si="18"/>
        <v>0</v>
      </c>
      <c r="Q103" s="1"/>
    </row>
    <row r="104" spans="1:17">
      <c r="B104" s="9" t="str">
        <f t="shared" si="19"/>
        <v/>
      </c>
      <c r="C104" s="153">
        <f>IF(D93="","-",+C103+1)</f>
        <v>2013</v>
      </c>
      <c r="D104" s="154">
        <v>0</v>
      </c>
      <c r="E104" s="160">
        <f>IF(+J96&lt;F103,J96,D104)</f>
        <v>0</v>
      </c>
      <c r="F104" s="159">
        <f t="shared" si="20"/>
        <v>0</v>
      </c>
      <c r="G104" s="159">
        <f t="shared" si="21"/>
        <v>0</v>
      </c>
      <c r="H104" s="163">
        <f t="shared" si="22"/>
        <v>0</v>
      </c>
      <c r="I104" s="253">
        <f t="shared" si="23"/>
        <v>0</v>
      </c>
      <c r="J104" s="158">
        <f t="shared" si="15"/>
        <v>0</v>
      </c>
      <c r="K104" s="158"/>
      <c r="L104" s="334"/>
      <c r="M104" s="158">
        <f t="shared" si="16"/>
        <v>0</v>
      </c>
      <c r="N104" s="334"/>
      <c r="O104" s="158">
        <f t="shared" si="17"/>
        <v>0</v>
      </c>
      <c r="P104" s="158">
        <f t="shared" si="18"/>
        <v>0</v>
      </c>
      <c r="Q104" s="1"/>
    </row>
    <row r="105" spans="1:17">
      <c r="B105" s="9" t="str">
        <f t="shared" si="19"/>
        <v/>
      </c>
      <c r="C105" s="153">
        <f>IF(D93="","-",+C104+1)</f>
        <v>2014</v>
      </c>
      <c r="D105" s="154">
        <v>0</v>
      </c>
      <c r="E105" s="160">
        <f>IF(+J96&lt;F104,J96,D105)</f>
        <v>0</v>
      </c>
      <c r="F105" s="159">
        <f t="shared" si="20"/>
        <v>0</v>
      </c>
      <c r="G105" s="159">
        <f t="shared" si="21"/>
        <v>0</v>
      </c>
      <c r="H105" s="163">
        <f t="shared" si="22"/>
        <v>0</v>
      </c>
      <c r="I105" s="253">
        <f t="shared" si="23"/>
        <v>0</v>
      </c>
      <c r="J105" s="158">
        <f t="shared" si="15"/>
        <v>0</v>
      </c>
      <c r="K105" s="158"/>
      <c r="L105" s="334"/>
      <c r="M105" s="158">
        <f t="shared" si="16"/>
        <v>0</v>
      </c>
      <c r="N105" s="334"/>
      <c r="O105" s="158">
        <f t="shared" si="17"/>
        <v>0</v>
      </c>
      <c r="P105" s="158">
        <f t="shared" si="18"/>
        <v>0</v>
      </c>
      <c r="Q105" s="1"/>
    </row>
    <row r="106" spans="1:17">
      <c r="B106" s="9" t="str">
        <f t="shared" si="19"/>
        <v/>
      </c>
      <c r="C106" s="153">
        <f>IF(D93="","-",+C105+1)</f>
        <v>2015</v>
      </c>
      <c r="D106" s="154">
        <v>0</v>
      </c>
      <c r="E106" s="160">
        <f>IF(+J96&lt;F105,J96,D106)</f>
        <v>0</v>
      </c>
      <c r="F106" s="159">
        <f t="shared" si="20"/>
        <v>0</v>
      </c>
      <c r="G106" s="159">
        <f t="shared" si="21"/>
        <v>0</v>
      </c>
      <c r="H106" s="163">
        <f t="shared" si="22"/>
        <v>0</v>
      </c>
      <c r="I106" s="253">
        <f t="shared" si="23"/>
        <v>0</v>
      </c>
      <c r="J106" s="158">
        <f t="shared" si="15"/>
        <v>0</v>
      </c>
      <c r="K106" s="158"/>
      <c r="L106" s="334"/>
      <c r="M106" s="158">
        <f t="shared" si="16"/>
        <v>0</v>
      </c>
      <c r="N106" s="334"/>
      <c r="O106" s="158">
        <f t="shared" si="17"/>
        <v>0</v>
      </c>
      <c r="P106" s="158">
        <f t="shared" si="18"/>
        <v>0</v>
      </c>
      <c r="Q106" s="1"/>
    </row>
    <row r="107" spans="1:17">
      <c r="B107" s="9" t="str">
        <f t="shared" si="19"/>
        <v/>
      </c>
      <c r="C107" s="153">
        <f>IF(D93="","-",+C106+1)</f>
        <v>2016</v>
      </c>
      <c r="D107" s="154">
        <v>0</v>
      </c>
      <c r="E107" s="160">
        <f>IF(+J96&lt;F106,J96,D107)</f>
        <v>0</v>
      </c>
      <c r="F107" s="159">
        <f t="shared" si="20"/>
        <v>0</v>
      </c>
      <c r="G107" s="159">
        <f t="shared" si="21"/>
        <v>0</v>
      </c>
      <c r="H107" s="163">
        <f t="shared" si="22"/>
        <v>0</v>
      </c>
      <c r="I107" s="253">
        <f t="shared" si="23"/>
        <v>0</v>
      </c>
      <c r="J107" s="158">
        <f t="shared" si="15"/>
        <v>0</v>
      </c>
      <c r="K107" s="158"/>
      <c r="L107" s="334"/>
      <c r="M107" s="158">
        <f t="shared" si="16"/>
        <v>0</v>
      </c>
      <c r="N107" s="334"/>
      <c r="O107" s="158">
        <f t="shared" si="17"/>
        <v>0</v>
      </c>
      <c r="P107" s="158">
        <f t="shared" si="18"/>
        <v>0</v>
      </c>
      <c r="Q107" s="1"/>
    </row>
    <row r="108" spans="1:17">
      <c r="B108" s="9" t="str">
        <f t="shared" si="19"/>
        <v/>
      </c>
      <c r="C108" s="153">
        <f>IF(D93="","-",+C107+1)</f>
        <v>2017</v>
      </c>
      <c r="D108" s="154">
        <v>0</v>
      </c>
      <c r="E108" s="160">
        <f>IF(+J96&lt;F107,J96,D108)</f>
        <v>0</v>
      </c>
      <c r="F108" s="159">
        <f t="shared" si="20"/>
        <v>0</v>
      </c>
      <c r="G108" s="159">
        <f t="shared" si="21"/>
        <v>0</v>
      </c>
      <c r="H108" s="163">
        <f t="shared" si="22"/>
        <v>0</v>
      </c>
      <c r="I108" s="253">
        <f t="shared" si="23"/>
        <v>0</v>
      </c>
      <c r="J108" s="158">
        <f t="shared" si="15"/>
        <v>0</v>
      </c>
      <c r="K108" s="158"/>
      <c r="L108" s="334"/>
      <c r="M108" s="158">
        <f t="shared" si="16"/>
        <v>0</v>
      </c>
      <c r="N108" s="334"/>
      <c r="O108" s="158">
        <f t="shared" si="17"/>
        <v>0</v>
      </c>
      <c r="P108" s="158">
        <f t="shared" si="18"/>
        <v>0</v>
      </c>
      <c r="Q108" s="1"/>
    </row>
    <row r="109" spans="1:17">
      <c r="B109" s="9" t="str">
        <f t="shared" si="19"/>
        <v/>
      </c>
      <c r="C109" s="153">
        <f>IF(D93="","-",+C108+1)</f>
        <v>2018</v>
      </c>
      <c r="D109" s="154">
        <v>0</v>
      </c>
      <c r="E109" s="160">
        <f>IF(+J96&lt;F108,J96,D109)</f>
        <v>0</v>
      </c>
      <c r="F109" s="159">
        <f t="shared" si="20"/>
        <v>0</v>
      </c>
      <c r="G109" s="159">
        <f t="shared" si="21"/>
        <v>0</v>
      </c>
      <c r="H109" s="163">
        <f t="shared" si="22"/>
        <v>0</v>
      </c>
      <c r="I109" s="253">
        <f t="shared" si="23"/>
        <v>0</v>
      </c>
      <c r="J109" s="158">
        <f t="shared" si="15"/>
        <v>0</v>
      </c>
      <c r="K109" s="158"/>
      <c r="L109" s="334"/>
      <c r="M109" s="158">
        <f t="shared" si="16"/>
        <v>0</v>
      </c>
      <c r="N109" s="334"/>
      <c r="O109" s="158">
        <f t="shared" si="17"/>
        <v>0</v>
      </c>
      <c r="P109" s="158">
        <f t="shared" si="18"/>
        <v>0</v>
      </c>
      <c r="Q109" s="1"/>
    </row>
    <row r="110" spans="1:17">
      <c r="B110" s="9" t="str">
        <f t="shared" si="19"/>
        <v/>
      </c>
      <c r="C110" s="153">
        <f>IF(D93="","-",+C109+1)</f>
        <v>2019</v>
      </c>
      <c r="D110" s="154">
        <v>0</v>
      </c>
      <c r="E110" s="160">
        <f>IF(+J96&lt;F109,J96,D110)</f>
        <v>0</v>
      </c>
      <c r="F110" s="159">
        <f t="shared" si="20"/>
        <v>0</v>
      </c>
      <c r="G110" s="159">
        <f t="shared" si="21"/>
        <v>0</v>
      </c>
      <c r="H110" s="163">
        <f t="shared" si="22"/>
        <v>0</v>
      </c>
      <c r="I110" s="253">
        <f t="shared" si="23"/>
        <v>0</v>
      </c>
      <c r="J110" s="158">
        <f t="shared" si="15"/>
        <v>0</v>
      </c>
      <c r="K110" s="158"/>
      <c r="L110" s="334"/>
      <c r="M110" s="158">
        <f t="shared" si="16"/>
        <v>0</v>
      </c>
      <c r="N110" s="334"/>
      <c r="O110" s="158">
        <f t="shared" si="17"/>
        <v>0</v>
      </c>
      <c r="P110" s="158">
        <f t="shared" si="18"/>
        <v>0</v>
      </c>
      <c r="Q110" s="1"/>
    </row>
    <row r="111" spans="1:17">
      <c r="B111" s="9" t="str">
        <f t="shared" si="19"/>
        <v/>
      </c>
      <c r="C111" s="153">
        <f>IF(D93="","-",+C110+1)</f>
        <v>2020</v>
      </c>
      <c r="D111" s="154">
        <v>0</v>
      </c>
      <c r="E111" s="160">
        <f>IF(+J96&lt;F110,J96,D111)</f>
        <v>0</v>
      </c>
      <c r="F111" s="159">
        <f t="shared" si="20"/>
        <v>0</v>
      </c>
      <c r="G111" s="159">
        <f t="shared" si="21"/>
        <v>0</v>
      </c>
      <c r="H111" s="163">
        <f t="shared" si="22"/>
        <v>0</v>
      </c>
      <c r="I111" s="253">
        <f t="shared" si="23"/>
        <v>0</v>
      </c>
      <c r="J111" s="158">
        <f t="shared" si="15"/>
        <v>0</v>
      </c>
      <c r="K111" s="158"/>
      <c r="L111" s="334"/>
      <c r="M111" s="158">
        <f t="shared" si="16"/>
        <v>0</v>
      </c>
      <c r="N111" s="334"/>
      <c r="O111" s="158">
        <f t="shared" si="17"/>
        <v>0</v>
      </c>
      <c r="P111" s="158">
        <f t="shared" si="18"/>
        <v>0</v>
      </c>
      <c r="Q111" s="1"/>
    </row>
    <row r="112" spans="1:17">
      <c r="B112" s="9" t="str">
        <f t="shared" si="19"/>
        <v/>
      </c>
      <c r="C112" s="153">
        <f>IF(D93="","-",+C111+1)</f>
        <v>2021</v>
      </c>
      <c r="D112" s="154">
        <v>0</v>
      </c>
      <c r="E112" s="160">
        <f>IF(+J96&lt;F111,J96,D112)</f>
        <v>0</v>
      </c>
      <c r="F112" s="159">
        <f t="shared" si="20"/>
        <v>0</v>
      </c>
      <c r="G112" s="159">
        <f t="shared" si="21"/>
        <v>0</v>
      </c>
      <c r="H112" s="163">
        <f t="shared" si="22"/>
        <v>0</v>
      </c>
      <c r="I112" s="253">
        <f t="shared" si="23"/>
        <v>0</v>
      </c>
      <c r="J112" s="158">
        <f t="shared" si="15"/>
        <v>0</v>
      </c>
      <c r="K112" s="158"/>
      <c r="L112" s="334"/>
      <c r="M112" s="158">
        <f t="shared" si="16"/>
        <v>0</v>
      </c>
      <c r="N112" s="334"/>
      <c r="O112" s="158">
        <f t="shared" si="17"/>
        <v>0</v>
      </c>
      <c r="P112" s="158">
        <f t="shared" si="18"/>
        <v>0</v>
      </c>
      <c r="Q112" s="1"/>
    </row>
    <row r="113" spans="2:17">
      <c r="B113" s="9" t="str">
        <f t="shared" si="19"/>
        <v/>
      </c>
      <c r="C113" s="153">
        <f>IF(D93="","-",+C112+1)</f>
        <v>2022</v>
      </c>
      <c r="D113" s="154">
        <v>0</v>
      </c>
      <c r="E113" s="160">
        <f>IF(+J96&lt;F112,J96,D113)</f>
        <v>0</v>
      </c>
      <c r="F113" s="159">
        <f t="shared" si="20"/>
        <v>0</v>
      </c>
      <c r="G113" s="159">
        <f t="shared" si="21"/>
        <v>0</v>
      </c>
      <c r="H113" s="163">
        <f t="shared" si="22"/>
        <v>0</v>
      </c>
      <c r="I113" s="253">
        <f t="shared" si="23"/>
        <v>0</v>
      </c>
      <c r="J113" s="158">
        <f t="shared" si="15"/>
        <v>0</v>
      </c>
      <c r="K113" s="158"/>
      <c r="L113" s="334"/>
      <c r="M113" s="158">
        <f t="shared" si="16"/>
        <v>0</v>
      </c>
      <c r="N113" s="334"/>
      <c r="O113" s="158">
        <f t="shared" si="17"/>
        <v>0</v>
      </c>
      <c r="P113" s="158">
        <f t="shared" si="18"/>
        <v>0</v>
      </c>
      <c r="Q113" s="1"/>
    </row>
    <row r="114" spans="2:17">
      <c r="B114" s="9" t="str">
        <f t="shared" si="19"/>
        <v/>
      </c>
      <c r="C114" s="153">
        <f>IF(D93="","-",+C113+1)</f>
        <v>2023</v>
      </c>
      <c r="D114" s="154">
        <v>0</v>
      </c>
      <c r="E114" s="160">
        <f>IF(+J96&lt;F113,J96,D114)</f>
        <v>0</v>
      </c>
      <c r="F114" s="159">
        <f t="shared" si="20"/>
        <v>0</v>
      </c>
      <c r="G114" s="159">
        <f t="shared" si="21"/>
        <v>0</v>
      </c>
      <c r="H114" s="163">
        <f t="shared" si="22"/>
        <v>0</v>
      </c>
      <c r="I114" s="253">
        <f t="shared" si="23"/>
        <v>0</v>
      </c>
      <c r="J114" s="158">
        <f t="shared" si="15"/>
        <v>0</v>
      </c>
      <c r="K114" s="158"/>
      <c r="L114" s="334"/>
      <c r="M114" s="158">
        <f t="shared" si="16"/>
        <v>0</v>
      </c>
      <c r="N114" s="334"/>
      <c r="O114" s="158">
        <f t="shared" si="17"/>
        <v>0</v>
      </c>
      <c r="P114" s="158">
        <f t="shared" si="18"/>
        <v>0</v>
      </c>
      <c r="Q114" s="1"/>
    </row>
    <row r="115" spans="2:17">
      <c r="B115" s="9" t="str">
        <f t="shared" si="19"/>
        <v/>
      </c>
      <c r="C115" s="153">
        <f>IF(D93="","-",+C114+1)</f>
        <v>2024</v>
      </c>
      <c r="D115" s="154">
        <v>0</v>
      </c>
      <c r="E115" s="160">
        <f>IF(+J96&lt;F114,J96,D115)</f>
        <v>0</v>
      </c>
      <c r="F115" s="159">
        <f t="shared" si="20"/>
        <v>0</v>
      </c>
      <c r="G115" s="159">
        <f t="shared" si="21"/>
        <v>0</v>
      </c>
      <c r="H115" s="163">
        <f t="shared" si="22"/>
        <v>0</v>
      </c>
      <c r="I115" s="253">
        <f t="shared" si="23"/>
        <v>0</v>
      </c>
      <c r="J115" s="158">
        <f t="shared" si="15"/>
        <v>0</v>
      </c>
      <c r="K115" s="158"/>
      <c r="L115" s="334"/>
      <c r="M115" s="158">
        <f t="shared" si="16"/>
        <v>0</v>
      </c>
      <c r="N115" s="334"/>
      <c r="O115" s="158">
        <f t="shared" si="17"/>
        <v>0</v>
      </c>
      <c r="P115" s="158">
        <f t="shared" si="18"/>
        <v>0</v>
      </c>
      <c r="Q115" s="1"/>
    </row>
    <row r="116" spans="2:17">
      <c r="B116" s="9" t="str">
        <f t="shared" si="19"/>
        <v/>
      </c>
      <c r="C116" s="153">
        <f>IF(D93="","-",+C115+1)</f>
        <v>2025</v>
      </c>
      <c r="D116" s="154">
        <v>0</v>
      </c>
      <c r="E116" s="160">
        <f>IF(+J96&lt;F115,J96,D116)</f>
        <v>0</v>
      </c>
      <c r="F116" s="159">
        <f t="shared" si="20"/>
        <v>0</v>
      </c>
      <c r="G116" s="159">
        <f t="shared" si="21"/>
        <v>0</v>
      </c>
      <c r="H116" s="163">
        <f t="shared" si="22"/>
        <v>0</v>
      </c>
      <c r="I116" s="253">
        <f t="shared" si="23"/>
        <v>0</v>
      </c>
      <c r="J116" s="158">
        <f t="shared" si="15"/>
        <v>0</v>
      </c>
      <c r="K116" s="158"/>
      <c r="L116" s="334"/>
      <c r="M116" s="158">
        <f t="shared" si="16"/>
        <v>0</v>
      </c>
      <c r="N116" s="334"/>
      <c r="O116" s="158">
        <f t="shared" si="17"/>
        <v>0</v>
      </c>
      <c r="P116" s="158">
        <f t="shared" si="18"/>
        <v>0</v>
      </c>
      <c r="Q116" s="1"/>
    </row>
    <row r="117" spans="2:17">
      <c r="B117" s="9" t="str">
        <f t="shared" si="19"/>
        <v/>
      </c>
      <c r="C117" s="153">
        <f>IF(D93="","-",+C116+1)</f>
        <v>2026</v>
      </c>
      <c r="D117" s="154">
        <v>0</v>
      </c>
      <c r="E117" s="160">
        <f>IF(+J96&lt;F116,J96,D117)</f>
        <v>0</v>
      </c>
      <c r="F117" s="159">
        <f t="shared" si="20"/>
        <v>0</v>
      </c>
      <c r="G117" s="159">
        <f t="shared" si="21"/>
        <v>0</v>
      </c>
      <c r="H117" s="163">
        <f t="shared" si="22"/>
        <v>0</v>
      </c>
      <c r="I117" s="253">
        <f t="shared" si="23"/>
        <v>0</v>
      </c>
      <c r="J117" s="158">
        <f t="shared" si="15"/>
        <v>0</v>
      </c>
      <c r="K117" s="158"/>
      <c r="L117" s="334"/>
      <c r="M117" s="158">
        <f t="shared" si="16"/>
        <v>0</v>
      </c>
      <c r="N117" s="334"/>
      <c r="O117" s="158">
        <f t="shared" si="17"/>
        <v>0</v>
      </c>
      <c r="P117" s="158">
        <f t="shared" si="18"/>
        <v>0</v>
      </c>
      <c r="Q117" s="1"/>
    </row>
    <row r="118" spans="2:17">
      <c r="B118" s="9" t="str">
        <f t="shared" si="19"/>
        <v/>
      </c>
      <c r="C118" s="153">
        <f>IF(D93="","-",+C117+1)</f>
        <v>2027</v>
      </c>
      <c r="D118" s="154">
        <v>0</v>
      </c>
      <c r="E118" s="160">
        <f>IF(+J96&lt;F117,J96,D118)</f>
        <v>0</v>
      </c>
      <c r="F118" s="159">
        <f t="shared" si="20"/>
        <v>0</v>
      </c>
      <c r="G118" s="159">
        <f t="shared" si="21"/>
        <v>0</v>
      </c>
      <c r="H118" s="163">
        <f t="shared" si="22"/>
        <v>0</v>
      </c>
      <c r="I118" s="253">
        <f t="shared" si="23"/>
        <v>0</v>
      </c>
      <c r="J118" s="158">
        <f t="shared" si="15"/>
        <v>0</v>
      </c>
      <c r="K118" s="158"/>
      <c r="L118" s="334"/>
      <c r="M118" s="158">
        <f t="shared" si="16"/>
        <v>0</v>
      </c>
      <c r="N118" s="334"/>
      <c r="O118" s="158">
        <f t="shared" si="17"/>
        <v>0</v>
      </c>
      <c r="P118" s="158">
        <f t="shared" si="18"/>
        <v>0</v>
      </c>
      <c r="Q118" s="1"/>
    </row>
    <row r="119" spans="2:17">
      <c r="B119" s="9" t="str">
        <f t="shared" si="19"/>
        <v/>
      </c>
      <c r="C119" s="153">
        <f>IF(D93="","-",+C118+1)</f>
        <v>2028</v>
      </c>
      <c r="D119" s="154">
        <v>0</v>
      </c>
      <c r="E119" s="160">
        <f>IF(+J96&lt;F118,J96,D119)</f>
        <v>0</v>
      </c>
      <c r="F119" s="159">
        <f t="shared" si="20"/>
        <v>0</v>
      </c>
      <c r="G119" s="159">
        <f t="shared" si="21"/>
        <v>0</v>
      </c>
      <c r="H119" s="163">
        <f t="shared" si="22"/>
        <v>0</v>
      </c>
      <c r="I119" s="253">
        <f t="shared" si="23"/>
        <v>0</v>
      </c>
      <c r="J119" s="158">
        <f t="shared" si="15"/>
        <v>0</v>
      </c>
      <c r="K119" s="158"/>
      <c r="L119" s="334"/>
      <c r="M119" s="158">
        <f t="shared" si="16"/>
        <v>0</v>
      </c>
      <c r="N119" s="334"/>
      <c r="O119" s="158">
        <f t="shared" si="17"/>
        <v>0</v>
      </c>
      <c r="P119" s="158">
        <f t="shared" si="18"/>
        <v>0</v>
      </c>
      <c r="Q119" s="1"/>
    </row>
    <row r="120" spans="2:17">
      <c r="B120" s="9" t="str">
        <f t="shared" si="19"/>
        <v/>
      </c>
      <c r="C120" s="153">
        <f>IF(D93="","-",+C119+1)</f>
        <v>2029</v>
      </c>
      <c r="D120" s="154">
        <v>0</v>
      </c>
      <c r="E120" s="160">
        <f>IF(+J96&lt;F119,J96,D120)</f>
        <v>0</v>
      </c>
      <c r="F120" s="159">
        <f t="shared" si="20"/>
        <v>0</v>
      </c>
      <c r="G120" s="159">
        <f t="shared" si="21"/>
        <v>0</v>
      </c>
      <c r="H120" s="163">
        <f t="shared" si="22"/>
        <v>0</v>
      </c>
      <c r="I120" s="253">
        <f t="shared" si="23"/>
        <v>0</v>
      </c>
      <c r="J120" s="158">
        <f t="shared" si="15"/>
        <v>0</v>
      </c>
      <c r="K120" s="158"/>
      <c r="L120" s="334"/>
      <c r="M120" s="158">
        <f t="shared" si="16"/>
        <v>0</v>
      </c>
      <c r="N120" s="334"/>
      <c r="O120" s="158">
        <f t="shared" si="17"/>
        <v>0</v>
      </c>
      <c r="P120" s="158">
        <f t="shared" si="18"/>
        <v>0</v>
      </c>
      <c r="Q120" s="1"/>
    </row>
    <row r="121" spans="2:17">
      <c r="B121" s="9" t="str">
        <f t="shared" si="19"/>
        <v/>
      </c>
      <c r="C121" s="153">
        <f>IF(D93="","-",+C120+1)</f>
        <v>2030</v>
      </c>
      <c r="D121" s="154">
        <v>0</v>
      </c>
      <c r="E121" s="160">
        <f>IF(+J96&lt;F120,J96,D121)</f>
        <v>0</v>
      </c>
      <c r="F121" s="159">
        <f t="shared" si="20"/>
        <v>0</v>
      </c>
      <c r="G121" s="159">
        <f t="shared" si="21"/>
        <v>0</v>
      </c>
      <c r="H121" s="163">
        <f t="shared" si="22"/>
        <v>0</v>
      </c>
      <c r="I121" s="253">
        <f t="shared" si="23"/>
        <v>0</v>
      </c>
      <c r="J121" s="158">
        <f t="shared" si="15"/>
        <v>0</v>
      </c>
      <c r="K121" s="158"/>
      <c r="L121" s="334"/>
      <c r="M121" s="158">
        <f t="shared" si="16"/>
        <v>0</v>
      </c>
      <c r="N121" s="334"/>
      <c r="O121" s="158">
        <f t="shared" si="17"/>
        <v>0</v>
      </c>
      <c r="P121" s="158">
        <f t="shared" si="18"/>
        <v>0</v>
      </c>
      <c r="Q121" s="1"/>
    </row>
    <row r="122" spans="2:17">
      <c r="B122" s="9" t="str">
        <f t="shared" si="19"/>
        <v/>
      </c>
      <c r="C122" s="153">
        <f>IF(D93="","-",+C121+1)</f>
        <v>2031</v>
      </c>
      <c r="D122" s="154">
        <v>0</v>
      </c>
      <c r="E122" s="160">
        <f>IF(+J96&lt;F121,J96,D122)</f>
        <v>0</v>
      </c>
      <c r="F122" s="159">
        <f t="shared" si="20"/>
        <v>0</v>
      </c>
      <c r="G122" s="159">
        <f t="shared" si="21"/>
        <v>0</v>
      </c>
      <c r="H122" s="163">
        <f t="shared" si="22"/>
        <v>0</v>
      </c>
      <c r="I122" s="253">
        <f t="shared" si="23"/>
        <v>0</v>
      </c>
      <c r="J122" s="158">
        <f t="shared" si="15"/>
        <v>0</v>
      </c>
      <c r="K122" s="158"/>
      <c r="L122" s="334"/>
      <c r="M122" s="158">
        <f t="shared" si="16"/>
        <v>0</v>
      </c>
      <c r="N122" s="334"/>
      <c r="O122" s="158">
        <f t="shared" si="17"/>
        <v>0</v>
      </c>
      <c r="P122" s="158">
        <f t="shared" si="18"/>
        <v>0</v>
      </c>
      <c r="Q122" s="1"/>
    </row>
    <row r="123" spans="2:17">
      <c r="B123" s="9" t="str">
        <f t="shared" si="19"/>
        <v/>
      </c>
      <c r="C123" s="153">
        <f>IF(D93="","-",+C122+1)</f>
        <v>2032</v>
      </c>
      <c r="D123" s="154">
        <v>0</v>
      </c>
      <c r="E123" s="160">
        <f>IF(+J96&lt;F122,J96,D123)</f>
        <v>0</v>
      </c>
      <c r="F123" s="159">
        <f t="shared" si="20"/>
        <v>0</v>
      </c>
      <c r="G123" s="159">
        <f t="shared" si="21"/>
        <v>0</v>
      </c>
      <c r="H123" s="163">
        <f t="shared" si="22"/>
        <v>0</v>
      </c>
      <c r="I123" s="253">
        <f t="shared" si="23"/>
        <v>0</v>
      </c>
      <c r="J123" s="158">
        <f t="shared" si="15"/>
        <v>0</v>
      </c>
      <c r="K123" s="158"/>
      <c r="L123" s="334"/>
      <c r="M123" s="158">
        <f t="shared" si="16"/>
        <v>0</v>
      </c>
      <c r="N123" s="334"/>
      <c r="O123" s="158">
        <f t="shared" si="17"/>
        <v>0</v>
      </c>
      <c r="P123" s="158">
        <f t="shared" si="18"/>
        <v>0</v>
      </c>
      <c r="Q123" s="1"/>
    </row>
    <row r="124" spans="2:17">
      <c r="B124" s="9" t="str">
        <f t="shared" si="19"/>
        <v/>
      </c>
      <c r="C124" s="153">
        <f>IF(D93="","-",+C123+1)</f>
        <v>2033</v>
      </c>
      <c r="D124" s="154">
        <v>0</v>
      </c>
      <c r="E124" s="160">
        <f>IF(+J96&lt;F123,J96,D124)</f>
        <v>0</v>
      </c>
      <c r="F124" s="159">
        <f t="shared" si="20"/>
        <v>0</v>
      </c>
      <c r="G124" s="159">
        <f t="shared" si="21"/>
        <v>0</v>
      </c>
      <c r="H124" s="163">
        <f t="shared" si="22"/>
        <v>0</v>
      </c>
      <c r="I124" s="253">
        <f t="shared" si="23"/>
        <v>0</v>
      </c>
      <c r="J124" s="158">
        <f t="shared" si="15"/>
        <v>0</v>
      </c>
      <c r="K124" s="158"/>
      <c r="L124" s="334"/>
      <c r="M124" s="158">
        <f t="shared" si="16"/>
        <v>0</v>
      </c>
      <c r="N124" s="334"/>
      <c r="O124" s="158">
        <f t="shared" si="17"/>
        <v>0</v>
      </c>
      <c r="P124" s="158">
        <f t="shared" si="18"/>
        <v>0</v>
      </c>
      <c r="Q124" s="1"/>
    </row>
    <row r="125" spans="2:17">
      <c r="B125" s="9" t="str">
        <f t="shared" si="19"/>
        <v/>
      </c>
      <c r="C125" s="153">
        <f>IF(D93="","-",+C124+1)</f>
        <v>2034</v>
      </c>
      <c r="D125" s="154">
        <v>0</v>
      </c>
      <c r="E125" s="160">
        <f>IF(+J96&lt;F124,J96,D125)</f>
        <v>0</v>
      </c>
      <c r="F125" s="159">
        <f t="shared" si="20"/>
        <v>0</v>
      </c>
      <c r="G125" s="159">
        <f t="shared" si="21"/>
        <v>0</v>
      </c>
      <c r="H125" s="163">
        <f t="shared" si="22"/>
        <v>0</v>
      </c>
      <c r="I125" s="253">
        <f t="shared" si="23"/>
        <v>0</v>
      </c>
      <c r="J125" s="158">
        <f t="shared" si="15"/>
        <v>0</v>
      </c>
      <c r="K125" s="158"/>
      <c r="L125" s="334"/>
      <c r="M125" s="158">
        <f t="shared" si="16"/>
        <v>0</v>
      </c>
      <c r="N125" s="334"/>
      <c r="O125" s="158">
        <f t="shared" si="17"/>
        <v>0</v>
      </c>
      <c r="P125" s="158">
        <f t="shared" si="18"/>
        <v>0</v>
      </c>
      <c r="Q125" s="1"/>
    </row>
    <row r="126" spans="2:17">
      <c r="B126" s="9" t="str">
        <f t="shared" si="19"/>
        <v/>
      </c>
      <c r="C126" s="153">
        <f>IF(D93="","-",+C125+1)</f>
        <v>2035</v>
      </c>
      <c r="D126" s="154">
        <v>0</v>
      </c>
      <c r="E126" s="160">
        <f>IF(+J96&lt;F125,J96,D126)</f>
        <v>0</v>
      </c>
      <c r="F126" s="159">
        <f t="shared" si="20"/>
        <v>0</v>
      </c>
      <c r="G126" s="159">
        <f t="shared" si="21"/>
        <v>0</v>
      </c>
      <c r="H126" s="163">
        <f t="shared" si="22"/>
        <v>0</v>
      </c>
      <c r="I126" s="253">
        <f t="shared" si="23"/>
        <v>0</v>
      </c>
      <c r="J126" s="158">
        <f t="shared" si="15"/>
        <v>0</v>
      </c>
      <c r="K126" s="158"/>
      <c r="L126" s="334"/>
      <c r="M126" s="158">
        <f t="shared" si="16"/>
        <v>0</v>
      </c>
      <c r="N126" s="334"/>
      <c r="O126" s="158">
        <f t="shared" si="17"/>
        <v>0</v>
      </c>
      <c r="P126" s="158">
        <f t="shared" si="18"/>
        <v>0</v>
      </c>
      <c r="Q126" s="1"/>
    </row>
    <row r="127" spans="2:17">
      <c r="B127" s="9" t="str">
        <f t="shared" si="19"/>
        <v/>
      </c>
      <c r="C127" s="153">
        <f>IF(D93="","-",+C126+1)</f>
        <v>2036</v>
      </c>
      <c r="D127" s="154">
        <v>0</v>
      </c>
      <c r="E127" s="160">
        <f>IF(+J96&lt;F126,J96,D127)</f>
        <v>0</v>
      </c>
      <c r="F127" s="159">
        <f t="shared" si="20"/>
        <v>0</v>
      </c>
      <c r="G127" s="159">
        <f t="shared" si="21"/>
        <v>0</v>
      </c>
      <c r="H127" s="163">
        <f t="shared" si="22"/>
        <v>0</v>
      </c>
      <c r="I127" s="253">
        <f t="shared" si="23"/>
        <v>0</v>
      </c>
      <c r="J127" s="158">
        <f t="shared" si="15"/>
        <v>0</v>
      </c>
      <c r="K127" s="158"/>
      <c r="L127" s="334"/>
      <c r="M127" s="158">
        <f t="shared" si="16"/>
        <v>0</v>
      </c>
      <c r="N127" s="334"/>
      <c r="O127" s="158">
        <f t="shared" si="17"/>
        <v>0</v>
      </c>
      <c r="P127" s="158">
        <f t="shared" si="18"/>
        <v>0</v>
      </c>
      <c r="Q127" s="1"/>
    </row>
    <row r="128" spans="2:17">
      <c r="B128" s="9" t="str">
        <f t="shared" si="19"/>
        <v/>
      </c>
      <c r="C128" s="153">
        <f>IF(D93="","-",+C127+1)</f>
        <v>2037</v>
      </c>
      <c r="D128" s="154">
        <v>0</v>
      </c>
      <c r="E128" s="160">
        <f>IF(+J96&lt;F127,J96,D128)</f>
        <v>0</v>
      </c>
      <c r="F128" s="159">
        <f t="shared" si="20"/>
        <v>0</v>
      </c>
      <c r="G128" s="159">
        <f t="shared" si="21"/>
        <v>0</v>
      </c>
      <c r="H128" s="163">
        <f t="shared" si="22"/>
        <v>0</v>
      </c>
      <c r="I128" s="253">
        <f t="shared" si="23"/>
        <v>0</v>
      </c>
      <c r="J128" s="158">
        <f t="shared" si="15"/>
        <v>0</v>
      </c>
      <c r="K128" s="158"/>
      <c r="L128" s="334"/>
      <c r="M128" s="158">
        <f t="shared" si="16"/>
        <v>0</v>
      </c>
      <c r="N128" s="334"/>
      <c r="O128" s="158">
        <f t="shared" si="17"/>
        <v>0</v>
      </c>
      <c r="P128" s="158">
        <f t="shared" si="18"/>
        <v>0</v>
      </c>
      <c r="Q128" s="1"/>
    </row>
    <row r="129" spans="2:17">
      <c r="B129" s="9" t="str">
        <f t="shared" si="19"/>
        <v/>
      </c>
      <c r="C129" s="153">
        <f>IF(D93="","-",+C128+1)</f>
        <v>2038</v>
      </c>
      <c r="D129" s="154">
        <v>0</v>
      </c>
      <c r="E129" s="160">
        <f>IF(+J96&lt;F128,J96,D129)</f>
        <v>0</v>
      </c>
      <c r="F129" s="159">
        <f t="shared" si="20"/>
        <v>0</v>
      </c>
      <c r="G129" s="159">
        <f t="shared" si="21"/>
        <v>0</v>
      </c>
      <c r="H129" s="163">
        <f t="shared" si="22"/>
        <v>0</v>
      </c>
      <c r="I129" s="253">
        <f t="shared" si="23"/>
        <v>0</v>
      </c>
      <c r="J129" s="158">
        <f t="shared" si="15"/>
        <v>0</v>
      </c>
      <c r="K129" s="158"/>
      <c r="L129" s="334"/>
      <c r="M129" s="158">
        <f t="shared" si="16"/>
        <v>0</v>
      </c>
      <c r="N129" s="334"/>
      <c r="O129" s="158">
        <f t="shared" si="17"/>
        <v>0</v>
      </c>
      <c r="P129" s="158">
        <f t="shared" si="18"/>
        <v>0</v>
      </c>
      <c r="Q129" s="1"/>
    </row>
    <row r="130" spans="2:17">
      <c r="B130" s="9" t="str">
        <f t="shared" si="19"/>
        <v/>
      </c>
      <c r="C130" s="153">
        <f>IF(D93="","-",+C129+1)</f>
        <v>2039</v>
      </c>
      <c r="D130" s="154">
        <v>0</v>
      </c>
      <c r="E130" s="160">
        <f>IF(+J96&lt;F129,J96,D130)</f>
        <v>0</v>
      </c>
      <c r="F130" s="159">
        <f t="shared" si="20"/>
        <v>0</v>
      </c>
      <c r="G130" s="159">
        <f t="shared" si="21"/>
        <v>0</v>
      </c>
      <c r="H130" s="163">
        <f t="shared" si="22"/>
        <v>0</v>
      </c>
      <c r="I130" s="253">
        <f t="shared" si="23"/>
        <v>0</v>
      </c>
      <c r="J130" s="158">
        <f t="shared" si="15"/>
        <v>0</v>
      </c>
      <c r="K130" s="158"/>
      <c r="L130" s="334"/>
      <c r="M130" s="158">
        <f t="shared" si="16"/>
        <v>0</v>
      </c>
      <c r="N130" s="334"/>
      <c r="O130" s="158">
        <f t="shared" si="17"/>
        <v>0</v>
      </c>
      <c r="P130" s="158">
        <f t="shared" si="18"/>
        <v>0</v>
      </c>
      <c r="Q130" s="1"/>
    </row>
    <row r="131" spans="2:17">
      <c r="B131" s="9" t="str">
        <f t="shared" si="19"/>
        <v/>
      </c>
      <c r="C131" s="153">
        <f>IF(D93="","-",+C130+1)</f>
        <v>2040</v>
      </c>
      <c r="D131" s="154">
        <v>0</v>
      </c>
      <c r="E131" s="160">
        <f>IF(+J96&lt;F130,J96,D131)</f>
        <v>0</v>
      </c>
      <c r="F131" s="159">
        <f t="shared" ref="F131:F154" si="24">+D131-E131</f>
        <v>0</v>
      </c>
      <c r="G131" s="159">
        <f t="shared" ref="G131:G154" si="25">+(F131+D131)/2</f>
        <v>0</v>
      </c>
      <c r="H131" s="163">
        <f t="shared" ref="H131:H154" si="26">+J$94*G131+E131</f>
        <v>0</v>
      </c>
      <c r="I131" s="253">
        <f t="shared" ref="I131:I154" si="27">+J$95*G131+E131</f>
        <v>0</v>
      </c>
      <c r="J131" s="158">
        <f t="shared" ref="J131:J154" si="28">+I131-H131</f>
        <v>0</v>
      </c>
      <c r="K131" s="158"/>
      <c r="L131" s="334"/>
      <c r="M131" s="158">
        <f t="shared" ref="M131:M154" si="29">IF(L131&lt;&gt;0,+H131-L131,0)</f>
        <v>0</v>
      </c>
      <c r="N131" s="334"/>
      <c r="O131" s="158">
        <f t="shared" ref="O131:O154" si="30">IF(N131&lt;&gt;0,+I131-N131,0)</f>
        <v>0</v>
      </c>
      <c r="P131" s="158">
        <f t="shared" ref="P131:P154" si="31">+O131-M131</f>
        <v>0</v>
      </c>
      <c r="Q131" s="1"/>
    </row>
    <row r="132" spans="2:17">
      <c r="B132" s="9" t="str">
        <f t="shared" si="19"/>
        <v/>
      </c>
      <c r="C132" s="153">
        <f>IF(D93="","-",+C131+1)</f>
        <v>2041</v>
      </c>
      <c r="D132" s="154">
        <v>0</v>
      </c>
      <c r="E132" s="160">
        <f>IF(+J96&lt;F131,J96,D132)</f>
        <v>0</v>
      </c>
      <c r="F132" s="159">
        <f t="shared" si="24"/>
        <v>0</v>
      </c>
      <c r="G132" s="159">
        <f t="shared" si="25"/>
        <v>0</v>
      </c>
      <c r="H132" s="163">
        <f t="shared" si="26"/>
        <v>0</v>
      </c>
      <c r="I132" s="253">
        <f t="shared" si="27"/>
        <v>0</v>
      </c>
      <c r="J132" s="158">
        <f t="shared" si="28"/>
        <v>0</v>
      </c>
      <c r="K132" s="158"/>
      <c r="L132" s="334"/>
      <c r="M132" s="158">
        <f t="shared" si="29"/>
        <v>0</v>
      </c>
      <c r="N132" s="334"/>
      <c r="O132" s="158">
        <f t="shared" si="30"/>
        <v>0</v>
      </c>
      <c r="P132" s="158">
        <f t="shared" si="31"/>
        <v>0</v>
      </c>
      <c r="Q132" s="1"/>
    </row>
    <row r="133" spans="2:17">
      <c r="B133" s="9" t="str">
        <f t="shared" si="19"/>
        <v/>
      </c>
      <c r="C133" s="153">
        <f>IF(D93="","-",+C132+1)</f>
        <v>2042</v>
      </c>
      <c r="D133" s="154">
        <v>0</v>
      </c>
      <c r="E133" s="160">
        <f>IF(+J96&lt;F132,J96,D133)</f>
        <v>0</v>
      </c>
      <c r="F133" s="159">
        <f t="shared" si="24"/>
        <v>0</v>
      </c>
      <c r="G133" s="159">
        <f t="shared" si="25"/>
        <v>0</v>
      </c>
      <c r="H133" s="163">
        <f t="shared" si="26"/>
        <v>0</v>
      </c>
      <c r="I133" s="253">
        <f t="shared" si="27"/>
        <v>0</v>
      </c>
      <c r="J133" s="158">
        <f t="shared" si="28"/>
        <v>0</v>
      </c>
      <c r="K133" s="158"/>
      <c r="L133" s="334"/>
      <c r="M133" s="158">
        <f t="shared" si="29"/>
        <v>0</v>
      </c>
      <c r="N133" s="334"/>
      <c r="O133" s="158">
        <f t="shared" si="30"/>
        <v>0</v>
      </c>
      <c r="P133" s="158">
        <f t="shared" si="31"/>
        <v>0</v>
      </c>
      <c r="Q133" s="1"/>
    </row>
    <row r="134" spans="2:17">
      <c r="B134" s="9" t="str">
        <f t="shared" si="19"/>
        <v/>
      </c>
      <c r="C134" s="153">
        <f>IF(D93="","-",+C133+1)</f>
        <v>2043</v>
      </c>
      <c r="D134" s="154">
        <v>0</v>
      </c>
      <c r="E134" s="160">
        <f>IF(+J96&lt;F133,J96,D134)</f>
        <v>0</v>
      </c>
      <c r="F134" s="159">
        <f t="shared" si="24"/>
        <v>0</v>
      </c>
      <c r="G134" s="159">
        <f t="shared" si="25"/>
        <v>0</v>
      </c>
      <c r="H134" s="163">
        <f t="shared" si="26"/>
        <v>0</v>
      </c>
      <c r="I134" s="253">
        <f t="shared" si="27"/>
        <v>0</v>
      </c>
      <c r="J134" s="158">
        <f t="shared" si="28"/>
        <v>0</v>
      </c>
      <c r="K134" s="158"/>
      <c r="L134" s="334"/>
      <c r="M134" s="158">
        <f t="shared" si="29"/>
        <v>0</v>
      </c>
      <c r="N134" s="334"/>
      <c r="O134" s="158">
        <f t="shared" si="30"/>
        <v>0</v>
      </c>
      <c r="P134" s="158">
        <f t="shared" si="31"/>
        <v>0</v>
      </c>
      <c r="Q134" s="1"/>
    </row>
    <row r="135" spans="2:17">
      <c r="B135" s="9" t="str">
        <f t="shared" si="19"/>
        <v/>
      </c>
      <c r="C135" s="153">
        <f>IF(D93="","-",+C134+1)</f>
        <v>2044</v>
      </c>
      <c r="D135" s="154">
        <v>0</v>
      </c>
      <c r="E135" s="160">
        <f>IF(+J96&lt;F134,J96,D135)</f>
        <v>0</v>
      </c>
      <c r="F135" s="159">
        <f t="shared" si="24"/>
        <v>0</v>
      </c>
      <c r="G135" s="159">
        <f t="shared" si="25"/>
        <v>0</v>
      </c>
      <c r="H135" s="163">
        <f t="shared" si="26"/>
        <v>0</v>
      </c>
      <c r="I135" s="253">
        <f t="shared" si="27"/>
        <v>0</v>
      </c>
      <c r="J135" s="158">
        <f t="shared" si="28"/>
        <v>0</v>
      </c>
      <c r="K135" s="158"/>
      <c r="L135" s="334"/>
      <c r="M135" s="158">
        <f t="shared" si="29"/>
        <v>0</v>
      </c>
      <c r="N135" s="334"/>
      <c r="O135" s="158">
        <f t="shared" si="30"/>
        <v>0</v>
      </c>
      <c r="P135" s="158">
        <f t="shared" si="31"/>
        <v>0</v>
      </c>
      <c r="Q135" s="1"/>
    </row>
    <row r="136" spans="2:17">
      <c r="B136" s="9" t="str">
        <f t="shared" si="19"/>
        <v/>
      </c>
      <c r="C136" s="153">
        <f>IF(D93="","-",+C135+1)</f>
        <v>2045</v>
      </c>
      <c r="D136" s="154">
        <v>0</v>
      </c>
      <c r="E136" s="160">
        <f>IF(+J96&lt;F135,J96,D136)</f>
        <v>0</v>
      </c>
      <c r="F136" s="159">
        <f t="shared" si="24"/>
        <v>0</v>
      </c>
      <c r="G136" s="159">
        <f t="shared" si="25"/>
        <v>0</v>
      </c>
      <c r="H136" s="163">
        <f t="shared" si="26"/>
        <v>0</v>
      </c>
      <c r="I136" s="253">
        <f t="shared" si="27"/>
        <v>0</v>
      </c>
      <c r="J136" s="158">
        <f t="shared" si="28"/>
        <v>0</v>
      </c>
      <c r="K136" s="158"/>
      <c r="L136" s="334"/>
      <c r="M136" s="158">
        <f t="shared" si="29"/>
        <v>0</v>
      </c>
      <c r="N136" s="334"/>
      <c r="O136" s="158">
        <f t="shared" si="30"/>
        <v>0</v>
      </c>
      <c r="P136" s="158">
        <f t="shared" si="31"/>
        <v>0</v>
      </c>
      <c r="Q136" s="1"/>
    </row>
    <row r="137" spans="2:17">
      <c r="B137" s="9" t="str">
        <f t="shared" si="19"/>
        <v/>
      </c>
      <c r="C137" s="153">
        <f>IF(D93="","-",+C136+1)</f>
        <v>2046</v>
      </c>
      <c r="D137" s="154">
        <v>0</v>
      </c>
      <c r="E137" s="160">
        <f>IF(+J96&lt;F136,J96,D137)</f>
        <v>0</v>
      </c>
      <c r="F137" s="159">
        <f t="shared" si="24"/>
        <v>0</v>
      </c>
      <c r="G137" s="159">
        <f t="shared" si="25"/>
        <v>0</v>
      </c>
      <c r="H137" s="163">
        <f t="shared" si="26"/>
        <v>0</v>
      </c>
      <c r="I137" s="253">
        <f t="shared" si="27"/>
        <v>0</v>
      </c>
      <c r="J137" s="158">
        <f t="shared" si="28"/>
        <v>0</v>
      </c>
      <c r="K137" s="158"/>
      <c r="L137" s="334"/>
      <c r="M137" s="158">
        <f t="shared" si="29"/>
        <v>0</v>
      </c>
      <c r="N137" s="334"/>
      <c r="O137" s="158">
        <f t="shared" si="30"/>
        <v>0</v>
      </c>
      <c r="P137" s="158">
        <f t="shared" si="31"/>
        <v>0</v>
      </c>
      <c r="Q137" s="1"/>
    </row>
    <row r="138" spans="2:17">
      <c r="B138" s="9" t="str">
        <f t="shared" si="19"/>
        <v/>
      </c>
      <c r="C138" s="153">
        <f>IF(D93="","-",+C137+1)</f>
        <v>2047</v>
      </c>
      <c r="D138" s="154">
        <v>0</v>
      </c>
      <c r="E138" s="160">
        <f>IF(+J96&lt;F137,J96,D138)</f>
        <v>0</v>
      </c>
      <c r="F138" s="159">
        <f t="shared" si="24"/>
        <v>0</v>
      </c>
      <c r="G138" s="159">
        <f t="shared" si="25"/>
        <v>0</v>
      </c>
      <c r="H138" s="163">
        <f t="shared" si="26"/>
        <v>0</v>
      </c>
      <c r="I138" s="253">
        <f t="shared" si="27"/>
        <v>0</v>
      </c>
      <c r="J138" s="158">
        <f t="shared" si="28"/>
        <v>0</v>
      </c>
      <c r="K138" s="158"/>
      <c r="L138" s="334"/>
      <c r="M138" s="158">
        <f t="shared" si="29"/>
        <v>0</v>
      </c>
      <c r="N138" s="334"/>
      <c r="O138" s="158">
        <f t="shared" si="30"/>
        <v>0</v>
      </c>
      <c r="P138" s="158">
        <f t="shared" si="31"/>
        <v>0</v>
      </c>
      <c r="Q138" s="1"/>
    </row>
    <row r="139" spans="2:17">
      <c r="B139" s="9" t="str">
        <f t="shared" si="19"/>
        <v/>
      </c>
      <c r="C139" s="153">
        <f>IF(D93="","-",+C138+1)</f>
        <v>2048</v>
      </c>
      <c r="D139" s="154">
        <v>0</v>
      </c>
      <c r="E139" s="160">
        <f>IF(+J96&lt;F138,J96,D139)</f>
        <v>0</v>
      </c>
      <c r="F139" s="159">
        <f t="shared" si="24"/>
        <v>0</v>
      </c>
      <c r="G139" s="159">
        <f t="shared" si="25"/>
        <v>0</v>
      </c>
      <c r="H139" s="163">
        <f t="shared" si="26"/>
        <v>0</v>
      </c>
      <c r="I139" s="253">
        <f t="shared" si="27"/>
        <v>0</v>
      </c>
      <c r="J139" s="158">
        <f t="shared" si="28"/>
        <v>0</v>
      </c>
      <c r="K139" s="158"/>
      <c r="L139" s="334"/>
      <c r="M139" s="158">
        <f t="shared" si="29"/>
        <v>0</v>
      </c>
      <c r="N139" s="334"/>
      <c r="O139" s="158">
        <f t="shared" si="30"/>
        <v>0</v>
      </c>
      <c r="P139" s="158">
        <f t="shared" si="31"/>
        <v>0</v>
      </c>
      <c r="Q139" s="1"/>
    </row>
    <row r="140" spans="2:17">
      <c r="B140" s="9" t="str">
        <f t="shared" si="19"/>
        <v/>
      </c>
      <c r="C140" s="153">
        <f>IF(D93="","-",+C139+1)</f>
        <v>2049</v>
      </c>
      <c r="D140" s="154">
        <v>0</v>
      </c>
      <c r="E140" s="160">
        <f>IF(+J96&lt;F139,J96,D140)</f>
        <v>0</v>
      </c>
      <c r="F140" s="159">
        <f t="shared" si="24"/>
        <v>0</v>
      </c>
      <c r="G140" s="159">
        <f t="shared" si="25"/>
        <v>0</v>
      </c>
      <c r="H140" s="163">
        <f t="shared" si="26"/>
        <v>0</v>
      </c>
      <c r="I140" s="253">
        <f t="shared" si="27"/>
        <v>0</v>
      </c>
      <c r="J140" s="158">
        <f t="shared" si="28"/>
        <v>0</v>
      </c>
      <c r="K140" s="158"/>
      <c r="L140" s="334"/>
      <c r="M140" s="158">
        <f t="shared" si="29"/>
        <v>0</v>
      </c>
      <c r="N140" s="334"/>
      <c r="O140" s="158">
        <f t="shared" si="30"/>
        <v>0</v>
      </c>
      <c r="P140" s="158">
        <f t="shared" si="31"/>
        <v>0</v>
      </c>
      <c r="Q140" s="1"/>
    </row>
    <row r="141" spans="2:17">
      <c r="B141" s="9" t="str">
        <f t="shared" si="19"/>
        <v/>
      </c>
      <c r="C141" s="153">
        <f>IF(D93="","-",+C140+1)</f>
        <v>2050</v>
      </c>
      <c r="D141" s="154">
        <v>0</v>
      </c>
      <c r="E141" s="160">
        <f>IF(+J96&lt;F140,J96,D141)</f>
        <v>0</v>
      </c>
      <c r="F141" s="159">
        <f t="shared" si="24"/>
        <v>0</v>
      </c>
      <c r="G141" s="159">
        <f t="shared" si="25"/>
        <v>0</v>
      </c>
      <c r="H141" s="163">
        <f t="shared" si="26"/>
        <v>0</v>
      </c>
      <c r="I141" s="253">
        <f t="shared" si="27"/>
        <v>0</v>
      </c>
      <c r="J141" s="158">
        <f t="shared" si="28"/>
        <v>0</v>
      </c>
      <c r="K141" s="158"/>
      <c r="L141" s="334"/>
      <c r="M141" s="158">
        <f t="shared" si="29"/>
        <v>0</v>
      </c>
      <c r="N141" s="334"/>
      <c r="O141" s="158">
        <f t="shared" si="30"/>
        <v>0</v>
      </c>
      <c r="P141" s="158">
        <f t="shared" si="31"/>
        <v>0</v>
      </c>
      <c r="Q141" s="1"/>
    </row>
    <row r="142" spans="2:17">
      <c r="B142" s="9" t="str">
        <f t="shared" si="19"/>
        <v/>
      </c>
      <c r="C142" s="153">
        <f>IF(D93="","-",+C141+1)</f>
        <v>2051</v>
      </c>
      <c r="D142" s="154">
        <v>0</v>
      </c>
      <c r="E142" s="160">
        <f>IF(+J96&lt;F141,J96,D142)</f>
        <v>0</v>
      </c>
      <c r="F142" s="159">
        <f t="shared" si="24"/>
        <v>0</v>
      </c>
      <c r="G142" s="159">
        <f t="shared" si="25"/>
        <v>0</v>
      </c>
      <c r="H142" s="163">
        <f t="shared" si="26"/>
        <v>0</v>
      </c>
      <c r="I142" s="253">
        <f t="shared" si="27"/>
        <v>0</v>
      </c>
      <c r="J142" s="158">
        <f t="shared" si="28"/>
        <v>0</v>
      </c>
      <c r="K142" s="158"/>
      <c r="L142" s="334"/>
      <c r="M142" s="158">
        <f t="shared" si="29"/>
        <v>0</v>
      </c>
      <c r="N142" s="334"/>
      <c r="O142" s="158">
        <f t="shared" si="30"/>
        <v>0</v>
      </c>
      <c r="P142" s="158">
        <f t="shared" si="31"/>
        <v>0</v>
      </c>
      <c r="Q142" s="1"/>
    </row>
    <row r="143" spans="2:17">
      <c r="B143" s="9" t="str">
        <f t="shared" si="19"/>
        <v/>
      </c>
      <c r="C143" s="153">
        <f>IF(D93="","-",+C142+1)</f>
        <v>2052</v>
      </c>
      <c r="D143" s="154">
        <v>0</v>
      </c>
      <c r="E143" s="160">
        <f>IF(+J96&lt;F142,J96,D143)</f>
        <v>0</v>
      </c>
      <c r="F143" s="159">
        <f t="shared" si="24"/>
        <v>0</v>
      </c>
      <c r="G143" s="159">
        <f t="shared" si="25"/>
        <v>0</v>
      </c>
      <c r="H143" s="163">
        <f t="shared" si="26"/>
        <v>0</v>
      </c>
      <c r="I143" s="253">
        <f t="shared" si="27"/>
        <v>0</v>
      </c>
      <c r="J143" s="158">
        <f t="shared" si="28"/>
        <v>0</v>
      </c>
      <c r="K143" s="158"/>
      <c r="L143" s="334"/>
      <c r="M143" s="158">
        <f t="shared" si="29"/>
        <v>0</v>
      </c>
      <c r="N143" s="334"/>
      <c r="O143" s="158">
        <f t="shared" si="30"/>
        <v>0</v>
      </c>
      <c r="P143" s="158">
        <f t="shared" si="31"/>
        <v>0</v>
      </c>
      <c r="Q143" s="1"/>
    </row>
    <row r="144" spans="2:17">
      <c r="B144" s="9" t="str">
        <f t="shared" si="19"/>
        <v/>
      </c>
      <c r="C144" s="153">
        <f>IF(D93="","-",+C143+1)</f>
        <v>2053</v>
      </c>
      <c r="D144" s="154">
        <v>0</v>
      </c>
      <c r="E144" s="160">
        <f>IF(+J96&lt;F143,J96,D144)</f>
        <v>0</v>
      </c>
      <c r="F144" s="159">
        <f t="shared" si="24"/>
        <v>0</v>
      </c>
      <c r="G144" s="159">
        <f t="shared" si="25"/>
        <v>0</v>
      </c>
      <c r="H144" s="163">
        <f t="shared" si="26"/>
        <v>0</v>
      </c>
      <c r="I144" s="253">
        <f t="shared" si="27"/>
        <v>0</v>
      </c>
      <c r="J144" s="158">
        <f t="shared" si="28"/>
        <v>0</v>
      </c>
      <c r="K144" s="158"/>
      <c r="L144" s="334"/>
      <c r="M144" s="158">
        <f t="shared" si="29"/>
        <v>0</v>
      </c>
      <c r="N144" s="334"/>
      <c r="O144" s="158">
        <f t="shared" si="30"/>
        <v>0</v>
      </c>
      <c r="P144" s="158">
        <f t="shared" si="31"/>
        <v>0</v>
      </c>
      <c r="Q144" s="1"/>
    </row>
    <row r="145" spans="2:17">
      <c r="B145" s="9" t="str">
        <f t="shared" si="19"/>
        <v/>
      </c>
      <c r="C145" s="153">
        <f>IF(D93="","-",+C144+1)</f>
        <v>2054</v>
      </c>
      <c r="D145" s="154">
        <v>0</v>
      </c>
      <c r="E145" s="160">
        <f>IF(+J96&lt;F144,J96,D145)</f>
        <v>0</v>
      </c>
      <c r="F145" s="159">
        <f t="shared" si="24"/>
        <v>0</v>
      </c>
      <c r="G145" s="159">
        <f t="shared" si="25"/>
        <v>0</v>
      </c>
      <c r="H145" s="163">
        <f t="shared" si="26"/>
        <v>0</v>
      </c>
      <c r="I145" s="253">
        <f t="shared" si="27"/>
        <v>0</v>
      </c>
      <c r="J145" s="158">
        <f t="shared" si="28"/>
        <v>0</v>
      </c>
      <c r="K145" s="158"/>
      <c r="L145" s="334"/>
      <c r="M145" s="158">
        <f t="shared" si="29"/>
        <v>0</v>
      </c>
      <c r="N145" s="334"/>
      <c r="O145" s="158">
        <f t="shared" si="30"/>
        <v>0</v>
      </c>
      <c r="P145" s="158">
        <f t="shared" si="31"/>
        <v>0</v>
      </c>
      <c r="Q145" s="1"/>
    </row>
    <row r="146" spans="2:17">
      <c r="B146" s="9" t="str">
        <f t="shared" si="19"/>
        <v/>
      </c>
      <c r="C146" s="153">
        <f>IF(D93="","-",+C145+1)</f>
        <v>2055</v>
      </c>
      <c r="D146" s="154">
        <v>0</v>
      </c>
      <c r="E146" s="160">
        <f>IF(+J96&lt;F145,J96,D146)</f>
        <v>0</v>
      </c>
      <c r="F146" s="159">
        <f t="shared" si="24"/>
        <v>0</v>
      </c>
      <c r="G146" s="159">
        <f t="shared" si="25"/>
        <v>0</v>
      </c>
      <c r="H146" s="163">
        <f t="shared" si="26"/>
        <v>0</v>
      </c>
      <c r="I146" s="253">
        <f t="shared" si="27"/>
        <v>0</v>
      </c>
      <c r="J146" s="158">
        <f t="shared" si="28"/>
        <v>0</v>
      </c>
      <c r="K146" s="158"/>
      <c r="L146" s="334"/>
      <c r="M146" s="158">
        <f t="shared" si="29"/>
        <v>0</v>
      </c>
      <c r="N146" s="334"/>
      <c r="O146" s="158">
        <f t="shared" si="30"/>
        <v>0</v>
      </c>
      <c r="P146" s="158">
        <f t="shared" si="31"/>
        <v>0</v>
      </c>
      <c r="Q146" s="1"/>
    </row>
    <row r="147" spans="2:17">
      <c r="B147" s="9" t="str">
        <f t="shared" si="19"/>
        <v/>
      </c>
      <c r="C147" s="153">
        <f>IF(D93="","-",+C146+1)</f>
        <v>2056</v>
      </c>
      <c r="D147" s="154">
        <v>0</v>
      </c>
      <c r="E147" s="160">
        <f>IF(+J96&lt;F146,J96,D147)</f>
        <v>0</v>
      </c>
      <c r="F147" s="159">
        <f t="shared" si="24"/>
        <v>0</v>
      </c>
      <c r="G147" s="159">
        <f t="shared" si="25"/>
        <v>0</v>
      </c>
      <c r="H147" s="163">
        <f t="shared" si="26"/>
        <v>0</v>
      </c>
      <c r="I147" s="253">
        <f t="shared" si="27"/>
        <v>0</v>
      </c>
      <c r="J147" s="158">
        <f t="shared" si="28"/>
        <v>0</v>
      </c>
      <c r="K147" s="158"/>
      <c r="L147" s="334"/>
      <c r="M147" s="158">
        <f t="shared" si="29"/>
        <v>0</v>
      </c>
      <c r="N147" s="334"/>
      <c r="O147" s="158">
        <f t="shared" si="30"/>
        <v>0</v>
      </c>
      <c r="P147" s="158">
        <f t="shared" si="31"/>
        <v>0</v>
      </c>
      <c r="Q147" s="1"/>
    </row>
    <row r="148" spans="2:17">
      <c r="B148" s="9" t="str">
        <f t="shared" si="19"/>
        <v/>
      </c>
      <c r="C148" s="153">
        <f>IF(D93="","-",+C147+1)</f>
        <v>2057</v>
      </c>
      <c r="D148" s="154">
        <v>0</v>
      </c>
      <c r="E148" s="160">
        <f>IF(+J96&lt;F147,J96,D148)</f>
        <v>0</v>
      </c>
      <c r="F148" s="159">
        <f t="shared" si="24"/>
        <v>0</v>
      </c>
      <c r="G148" s="159">
        <f t="shared" si="25"/>
        <v>0</v>
      </c>
      <c r="H148" s="163">
        <f t="shared" si="26"/>
        <v>0</v>
      </c>
      <c r="I148" s="253">
        <f t="shared" si="27"/>
        <v>0</v>
      </c>
      <c r="J148" s="158">
        <f t="shared" si="28"/>
        <v>0</v>
      </c>
      <c r="K148" s="158"/>
      <c r="L148" s="334"/>
      <c r="M148" s="158">
        <f t="shared" si="29"/>
        <v>0</v>
      </c>
      <c r="N148" s="334"/>
      <c r="O148" s="158">
        <f t="shared" si="30"/>
        <v>0</v>
      </c>
      <c r="P148" s="158">
        <f t="shared" si="31"/>
        <v>0</v>
      </c>
      <c r="Q148" s="1"/>
    </row>
    <row r="149" spans="2:17">
      <c r="B149" s="9" t="str">
        <f t="shared" si="19"/>
        <v/>
      </c>
      <c r="C149" s="153">
        <f>IF(D93="","-",+C148+1)</f>
        <v>2058</v>
      </c>
      <c r="D149" s="154">
        <v>0</v>
      </c>
      <c r="E149" s="160">
        <f>IF(+J96&lt;F148,J96,D149)</f>
        <v>0</v>
      </c>
      <c r="F149" s="159">
        <f t="shared" si="24"/>
        <v>0</v>
      </c>
      <c r="G149" s="159">
        <f t="shared" si="25"/>
        <v>0</v>
      </c>
      <c r="H149" s="163">
        <f t="shared" si="26"/>
        <v>0</v>
      </c>
      <c r="I149" s="253">
        <f t="shared" si="27"/>
        <v>0</v>
      </c>
      <c r="J149" s="158">
        <f t="shared" si="28"/>
        <v>0</v>
      </c>
      <c r="K149" s="158"/>
      <c r="L149" s="334"/>
      <c r="M149" s="158">
        <f t="shared" si="29"/>
        <v>0</v>
      </c>
      <c r="N149" s="334"/>
      <c r="O149" s="158">
        <f t="shared" si="30"/>
        <v>0</v>
      </c>
      <c r="P149" s="158">
        <f t="shared" si="31"/>
        <v>0</v>
      </c>
      <c r="Q149" s="1"/>
    </row>
    <row r="150" spans="2:17">
      <c r="B150" s="9" t="str">
        <f t="shared" si="19"/>
        <v/>
      </c>
      <c r="C150" s="153">
        <f>IF(D93="","-",+C149+1)</f>
        <v>2059</v>
      </c>
      <c r="D150" s="154">
        <v>0</v>
      </c>
      <c r="E150" s="160">
        <f>IF(+J96&lt;F149,J96,D150)</f>
        <v>0</v>
      </c>
      <c r="F150" s="159">
        <f t="shared" si="24"/>
        <v>0</v>
      </c>
      <c r="G150" s="159">
        <f t="shared" si="25"/>
        <v>0</v>
      </c>
      <c r="H150" s="163">
        <f t="shared" si="26"/>
        <v>0</v>
      </c>
      <c r="I150" s="253">
        <f t="shared" si="27"/>
        <v>0</v>
      </c>
      <c r="J150" s="158">
        <f t="shared" si="28"/>
        <v>0</v>
      </c>
      <c r="K150" s="158"/>
      <c r="L150" s="334"/>
      <c r="M150" s="158">
        <f t="shared" si="29"/>
        <v>0</v>
      </c>
      <c r="N150" s="334"/>
      <c r="O150" s="158">
        <f t="shared" si="30"/>
        <v>0</v>
      </c>
      <c r="P150" s="158">
        <f t="shared" si="31"/>
        <v>0</v>
      </c>
      <c r="Q150" s="1"/>
    </row>
    <row r="151" spans="2:17">
      <c r="B151" s="9" t="str">
        <f t="shared" si="19"/>
        <v/>
      </c>
      <c r="C151" s="153">
        <f>IF(D93="","-",+C150+1)</f>
        <v>2060</v>
      </c>
      <c r="D151" s="154">
        <v>0</v>
      </c>
      <c r="E151" s="160">
        <f>IF(+J96&lt;F150,J96,D151)</f>
        <v>0</v>
      </c>
      <c r="F151" s="159">
        <f t="shared" si="24"/>
        <v>0</v>
      </c>
      <c r="G151" s="159">
        <f t="shared" si="25"/>
        <v>0</v>
      </c>
      <c r="H151" s="163">
        <f t="shared" si="26"/>
        <v>0</v>
      </c>
      <c r="I151" s="253">
        <f t="shared" si="27"/>
        <v>0</v>
      </c>
      <c r="J151" s="158">
        <f t="shared" si="28"/>
        <v>0</v>
      </c>
      <c r="K151" s="158"/>
      <c r="L151" s="334"/>
      <c r="M151" s="158">
        <f t="shared" si="29"/>
        <v>0</v>
      </c>
      <c r="N151" s="334"/>
      <c r="O151" s="158">
        <f t="shared" si="30"/>
        <v>0</v>
      </c>
      <c r="P151" s="158">
        <f t="shared" si="31"/>
        <v>0</v>
      </c>
      <c r="Q151" s="1"/>
    </row>
    <row r="152" spans="2:17">
      <c r="B152" s="9" t="str">
        <f t="shared" si="19"/>
        <v/>
      </c>
      <c r="C152" s="153">
        <f>IF(D93="","-",+C151+1)</f>
        <v>2061</v>
      </c>
      <c r="D152" s="154">
        <v>0</v>
      </c>
      <c r="E152" s="160">
        <f>IF(+J96&lt;F151,J96,D152)</f>
        <v>0</v>
      </c>
      <c r="F152" s="159">
        <f t="shared" si="24"/>
        <v>0</v>
      </c>
      <c r="G152" s="159">
        <f t="shared" si="25"/>
        <v>0</v>
      </c>
      <c r="H152" s="163">
        <f t="shared" si="26"/>
        <v>0</v>
      </c>
      <c r="I152" s="253">
        <f t="shared" si="27"/>
        <v>0</v>
      </c>
      <c r="J152" s="158">
        <f t="shared" si="28"/>
        <v>0</v>
      </c>
      <c r="K152" s="158"/>
      <c r="L152" s="334"/>
      <c r="M152" s="158">
        <f t="shared" si="29"/>
        <v>0</v>
      </c>
      <c r="N152" s="334"/>
      <c r="O152" s="158">
        <f t="shared" si="30"/>
        <v>0</v>
      </c>
      <c r="P152" s="158">
        <f t="shared" si="31"/>
        <v>0</v>
      </c>
      <c r="Q152" s="1"/>
    </row>
    <row r="153" spans="2:17">
      <c r="B153" s="9" t="str">
        <f t="shared" si="19"/>
        <v/>
      </c>
      <c r="C153" s="153">
        <f>IF(D93="","-",+C152+1)</f>
        <v>2062</v>
      </c>
      <c r="D153" s="154">
        <v>0</v>
      </c>
      <c r="E153" s="160">
        <f>IF(+J96&lt;F152,J96,D153)</f>
        <v>0</v>
      </c>
      <c r="F153" s="159">
        <f t="shared" si="24"/>
        <v>0</v>
      </c>
      <c r="G153" s="159">
        <f t="shared" si="25"/>
        <v>0</v>
      </c>
      <c r="H153" s="163">
        <f t="shared" si="26"/>
        <v>0</v>
      </c>
      <c r="I153" s="253">
        <f t="shared" si="27"/>
        <v>0</v>
      </c>
      <c r="J153" s="158">
        <f t="shared" si="28"/>
        <v>0</v>
      </c>
      <c r="K153" s="158"/>
      <c r="L153" s="334"/>
      <c r="M153" s="158">
        <f t="shared" si="29"/>
        <v>0</v>
      </c>
      <c r="N153" s="334"/>
      <c r="O153" s="158">
        <f t="shared" si="30"/>
        <v>0</v>
      </c>
      <c r="P153" s="158">
        <f t="shared" si="31"/>
        <v>0</v>
      </c>
      <c r="Q153" s="1"/>
    </row>
    <row r="154" spans="2:17" ht="13.5" thickBot="1">
      <c r="B154" s="9" t="str">
        <f t="shared" si="19"/>
        <v/>
      </c>
      <c r="C154" s="164">
        <f>IF(D93="","-",+C153+1)</f>
        <v>2063</v>
      </c>
      <c r="D154" s="215">
        <v>0</v>
      </c>
      <c r="E154" s="166">
        <f>IF(+J96&lt;F153,J96,D154)</f>
        <v>0</v>
      </c>
      <c r="F154" s="165">
        <f t="shared" si="24"/>
        <v>0</v>
      </c>
      <c r="G154" s="165">
        <f t="shared" si="25"/>
        <v>0</v>
      </c>
      <c r="H154" s="167">
        <f t="shared" si="26"/>
        <v>0</v>
      </c>
      <c r="I154" s="254">
        <f t="shared" si="27"/>
        <v>0</v>
      </c>
      <c r="J154" s="169">
        <f t="shared" si="28"/>
        <v>0</v>
      </c>
      <c r="K154" s="158"/>
      <c r="L154" s="335"/>
      <c r="M154" s="169">
        <f t="shared" si="29"/>
        <v>0</v>
      </c>
      <c r="N154" s="335"/>
      <c r="O154" s="169">
        <f t="shared" si="30"/>
        <v>0</v>
      </c>
      <c r="P154" s="169">
        <f t="shared" si="31"/>
        <v>0</v>
      </c>
      <c r="Q154" s="1"/>
    </row>
    <row r="155" spans="2:17">
      <c r="C155" s="154" t="s">
        <v>73</v>
      </c>
      <c r="D155" s="111"/>
      <c r="E155" s="111"/>
      <c r="F155" s="111"/>
      <c r="G155" s="111"/>
      <c r="H155" s="111"/>
      <c r="I155" s="111"/>
      <c r="J155" s="111">
        <f>SUM(J99:J154)</f>
        <v>0</v>
      </c>
      <c r="K155" s="111"/>
      <c r="L155" s="111"/>
      <c r="M155" s="111"/>
      <c r="N155" s="111"/>
      <c r="O155" s="111"/>
      <c r="P155" s="1"/>
      <c r="Q155" s="1"/>
    </row>
    <row r="156" spans="2:17">
      <c r="D156" s="2"/>
      <c r="E156" s="1"/>
      <c r="F156" s="1"/>
      <c r="G156" s="1"/>
      <c r="H156" s="1"/>
      <c r="I156" s="3"/>
      <c r="J156" s="3"/>
      <c r="K156" s="111"/>
      <c r="L156" s="3"/>
      <c r="M156" s="3"/>
      <c r="N156" s="3"/>
      <c r="O156" s="3"/>
      <c r="P156" s="1"/>
      <c r="Q156" s="1"/>
    </row>
    <row r="157" spans="2:17">
      <c r="C157" s="216" t="s">
        <v>87</v>
      </c>
      <c r="D157" s="2"/>
      <c r="E157" s="1"/>
      <c r="F157" s="1"/>
      <c r="G157" s="1"/>
      <c r="H157" s="1"/>
      <c r="I157" s="3"/>
      <c r="J157" s="3"/>
      <c r="K157" s="111"/>
      <c r="L157" s="3"/>
      <c r="M157" s="3"/>
      <c r="N157" s="3"/>
      <c r="O157" s="3"/>
      <c r="P157" s="1"/>
      <c r="Q157" s="1"/>
    </row>
    <row r="158" spans="2:17">
      <c r="D158" s="2"/>
      <c r="E158" s="1"/>
      <c r="F158" s="1"/>
      <c r="G158" s="1"/>
      <c r="H158" s="1"/>
      <c r="I158" s="3"/>
      <c r="J158" s="3"/>
      <c r="K158" s="111"/>
      <c r="L158" s="3"/>
      <c r="M158" s="3"/>
      <c r="N158" s="3"/>
      <c r="O158" s="3"/>
      <c r="P158" s="1"/>
      <c r="Q158" s="1"/>
    </row>
    <row r="159" spans="2:17">
      <c r="C159" s="170" t="s">
        <v>92</v>
      </c>
      <c r="D159" s="154"/>
      <c r="E159" s="154"/>
      <c r="F159" s="154"/>
      <c r="G159" s="154"/>
      <c r="H159" s="111"/>
      <c r="I159" s="111"/>
      <c r="J159" s="171"/>
      <c r="K159" s="171"/>
      <c r="L159" s="171"/>
      <c r="M159" s="171"/>
      <c r="N159" s="171"/>
      <c r="O159" s="171"/>
      <c r="P159" s="1"/>
      <c r="Q159" s="1"/>
    </row>
    <row r="160" spans="2:17">
      <c r="C160" s="217" t="s">
        <v>74</v>
      </c>
      <c r="D160" s="154"/>
      <c r="E160" s="154"/>
      <c r="F160" s="154"/>
      <c r="G160" s="154"/>
      <c r="H160" s="111"/>
      <c r="I160" s="111"/>
      <c r="J160" s="171"/>
      <c r="K160" s="171"/>
      <c r="L160" s="171"/>
      <c r="M160" s="171"/>
      <c r="N160" s="171"/>
      <c r="O160" s="171"/>
      <c r="P160" s="1"/>
      <c r="Q160" s="1"/>
    </row>
    <row r="161" spans="3:17">
      <c r="C161" s="217" t="s">
        <v>75</v>
      </c>
      <c r="D161" s="154"/>
      <c r="E161" s="154"/>
      <c r="F161" s="154"/>
      <c r="G161" s="154"/>
      <c r="H161" s="111"/>
      <c r="I161" s="111"/>
      <c r="J161" s="171"/>
      <c r="K161" s="171"/>
      <c r="L161" s="171"/>
      <c r="M161" s="171"/>
      <c r="N161" s="171"/>
      <c r="O161" s="171"/>
      <c r="P161" s="1"/>
      <c r="Q161" s="1"/>
    </row>
    <row r="162" spans="3:17" ht="18">
      <c r="C162" s="217"/>
      <c r="D162" s="154"/>
      <c r="E162" s="154"/>
      <c r="F162" s="154"/>
      <c r="G162" s="154"/>
      <c r="H162" s="111"/>
      <c r="I162" s="111"/>
      <c r="J162" s="171"/>
      <c r="K162" s="171"/>
      <c r="L162" s="171"/>
      <c r="M162" s="171"/>
      <c r="N162" s="171"/>
      <c r="P162" s="237" t="s">
        <v>126</v>
      </c>
      <c r="Q162" s="1"/>
    </row>
  </sheetData>
  <phoneticPr fontId="0" type="noConversion"/>
  <conditionalFormatting sqref="C17:C72">
    <cfRule type="cellIs" dxfId="125" priority="1" stopIfTrue="1" operator="equal">
      <formula>$I$10</formula>
    </cfRule>
  </conditionalFormatting>
  <conditionalFormatting sqref="C99:C154">
    <cfRule type="cellIs" dxfId="124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  <legacyDrawing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2"/>
  <dimension ref="A1:Q162"/>
  <sheetViews>
    <sheetView view="pageBreakPreview" zoomScale="75" zoomScaleNormal="100" zoomScaleSheetLayoutView="75" workbookViewId="0">
      <selection activeCell="C19" sqref="C19"/>
    </sheetView>
  </sheetViews>
  <sheetFormatPr defaultRowHeight="12.75" customHeight="1"/>
  <cols>
    <col min="1" max="1" width="4.7109375" customWidth="1"/>
    <col min="2" max="2" width="6.7109375" customWidth="1"/>
    <col min="3" max="3" width="23.28515625" customWidth="1"/>
    <col min="4" max="8" width="17.7109375" customWidth="1"/>
    <col min="9" max="9" width="20.42578125" customWidth="1"/>
    <col min="10" max="10" width="16.42578125" customWidth="1"/>
    <col min="11" max="11" width="17.7109375" customWidth="1"/>
    <col min="12" max="12" width="16.140625" customWidth="1"/>
    <col min="13" max="13" width="17.7109375" customWidth="1"/>
    <col min="14" max="14" width="16.140625" customWidth="1"/>
    <col min="15" max="15" width="16.85546875" customWidth="1"/>
    <col min="16" max="16" width="24.42578125" customWidth="1"/>
    <col min="17" max="17" width="4.7109375" customWidth="1"/>
    <col min="23" max="23" width="9.140625" customWidth="1"/>
  </cols>
  <sheetData>
    <row r="1" spans="1:17" ht="20.25">
      <c r="A1" s="243" t="s">
        <v>128</v>
      </c>
      <c r="B1" s="1"/>
      <c r="C1" s="21"/>
      <c r="D1" s="2"/>
      <c r="E1" s="1"/>
      <c r="F1" s="99"/>
      <c r="G1" s="1"/>
      <c r="H1" s="3"/>
      <c r="J1" s="7"/>
      <c r="K1" s="109"/>
      <c r="L1" s="109"/>
      <c r="M1" s="109"/>
      <c r="P1" s="249" t="str">
        <f ca="1">"SWEPCO Project "&amp;RIGHT(MID(CELL("filename",$A$1),FIND("]",CELL("filename",$A$1))+1,256),2)&amp;" of "&amp;COUNT('S.001:S.xyz - blank'!$P$3)-1</f>
        <v>SWEPCO Project 21 of 73</v>
      </c>
      <c r="Q1" s="108"/>
    </row>
    <row r="2" spans="1:17" ht="18">
      <c r="B2" s="1"/>
      <c r="C2" s="1"/>
      <c r="D2" s="2"/>
      <c r="E2" s="1"/>
      <c r="F2" s="1"/>
      <c r="G2" s="1"/>
      <c r="H2" s="3"/>
      <c r="I2" s="1"/>
      <c r="J2" s="4"/>
      <c r="K2" s="1"/>
      <c r="L2" s="1"/>
      <c r="M2" s="1"/>
      <c r="N2" s="1"/>
      <c r="P2" s="237" t="s">
        <v>124</v>
      </c>
    </row>
    <row r="3" spans="1:17" ht="18.75">
      <c r="B3" s="5" t="s">
        <v>40</v>
      </c>
      <c r="C3" s="68" t="s">
        <v>41</v>
      </c>
      <c r="D3" s="2"/>
      <c r="E3" s="1"/>
      <c r="F3" s="1"/>
      <c r="G3" s="1"/>
      <c r="H3" s="3"/>
      <c r="I3" s="3"/>
      <c r="J3" s="111"/>
      <c r="K3" s="3"/>
      <c r="L3" s="3"/>
      <c r="M3" s="3"/>
      <c r="N3" s="3"/>
      <c r="O3" s="1" t="str">
        <f>RIGHT(N3,3)</f>
        <v/>
      </c>
      <c r="P3" s="239">
        <v>1</v>
      </c>
    </row>
    <row r="4" spans="1:17" ht="15.75" thickBot="1">
      <c r="C4" s="67"/>
      <c r="D4" s="2"/>
      <c r="E4" s="1"/>
      <c r="F4" s="1"/>
      <c r="G4" s="1"/>
      <c r="H4" s="3"/>
      <c r="I4" s="3"/>
      <c r="J4" s="111"/>
      <c r="K4" s="3"/>
      <c r="L4" s="3"/>
      <c r="M4" s="3"/>
      <c r="N4" s="3"/>
      <c r="O4" s="1"/>
      <c r="P4" s="1"/>
    </row>
    <row r="5" spans="1:17" ht="15">
      <c r="C5" s="112" t="s">
        <v>42</v>
      </c>
      <c r="D5" s="2"/>
      <c r="E5" s="1"/>
      <c r="F5" s="1"/>
      <c r="G5" s="113"/>
      <c r="H5" s="1" t="s">
        <v>43</v>
      </c>
      <c r="I5" s="1"/>
      <c r="J5" s="4"/>
      <c r="K5" s="268" t="s">
        <v>152</v>
      </c>
      <c r="L5" s="114"/>
      <c r="M5" s="115"/>
      <c r="N5" s="116">
        <f>VLOOKUP(I10,C17:I72,5)</f>
        <v>165580.97571584338</v>
      </c>
      <c r="P5" s="1"/>
    </row>
    <row r="6" spans="1:17" ht="15.75">
      <c r="C6" s="8"/>
      <c r="D6" s="2"/>
      <c r="E6" s="1"/>
      <c r="F6" s="1"/>
      <c r="G6" s="1"/>
      <c r="H6" s="117"/>
      <c r="I6" s="117"/>
      <c r="J6" s="118"/>
      <c r="K6" s="269" t="s">
        <v>153</v>
      </c>
      <c r="L6" s="119"/>
      <c r="M6" s="4"/>
      <c r="N6" s="120">
        <f>VLOOKUP(I10,C17:I72,6)</f>
        <v>165580.97571584338</v>
      </c>
      <c r="O6" s="1"/>
      <c r="P6" s="1"/>
    </row>
    <row r="7" spans="1:17" ht="13.5" thickBot="1">
      <c r="C7" s="121" t="s">
        <v>44</v>
      </c>
      <c r="D7" s="274" t="s">
        <v>250</v>
      </c>
      <c r="E7" s="1"/>
      <c r="F7" s="1"/>
      <c r="G7" s="170"/>
      <c r="H7" s="3"/>
      <c r="I7" s="3"/>
      <c r="J7" s="111"/>
      <c r="K7" s="122" t="s">
        <v>45</v>
      </c>
      <c r="L7" s="123"/>
      <c r="M7" s="123"/>
      <c r="N7" s="124">
        <f>+N6-N5</f>
        <v>0</v>
      </c>
      <c r="O7" s="1"/>
      <c r="P7" s="1"/>
    </row>
    <row r="8" spans="1:17" ht="13.5" thickBot="1">
      <c r="C8" s="125"/>
      <c r="D8" s="247" t="str">
        <f>IF(D10&lt;100000,"DOES NOT MEET SPP $100,000 MINIMUM INVESTMENT FOR REGIONAL BPU SHARING.","")</f>
        <v/>
      </c>
      <c r="E8" s="126"/>
      <c r="F8" s="126"/>
      <c r="G8" s="126"/>
      <c r="H8" s="126"/>
      <c r="I8" s="126"/>
      <c r="J8" s="101"/>
      <c r="K8" s="126"/>
      <c r="L8" s="126"/>
      <c r="M8" s="126"/>
      <c r="N8" s="126"/>
      <c r="O8" s="101"/>
      <c r="P8" s="21"/>
    </row>
    <row r="9" spans="1:17" ht="13.5" thickBot="1">
      <c r="A9" s="103"/>
      <c r="C9" s="127" t="s">
        <v>46</v>
      </c>
      <c r="D9" s="225" t="s">
        <v>237</v>
      </c>
      <c r="E9" s="128"/>
      <c r="F9" s="128"/>
      <c r="G9" s="128"/>
      <c r="H9" s="128"/>
      <c r="I9" s="129"/>
      <c r="J9" s="130"/>
      <c r="O9" s="131"/>
      <c r="P9" s="4"/>
    </row>
    <row r="10" spans="1:17">
      <c r="C10" s="132" t="s">
        <v>47</v>
      </c>
      <c r="D10" s="133">
        <v>1642817</v>
      </c>
      <c r="E10" s="61" t="s">
        <v>459</v>
      </c>
      <c r="F10" s="131"/>
      <c r="G10" s="134"/>
      <c r="H10" s="134"/>
      <c r="I10" s="135">
        <f>+SWE.WS.F.BPU.ATRR.Projected!K17</f>
        <v>2019</v>
      </c>
      <c r="J10" s="130"/>
      <c r="K10" s="111" t="s">
        <v>48</v>
      </c>
      <c r="O10" s="4"/>
      <c r="P10" s="4"/>
    </row>
    <row r="11" spans="1:17">
      <c r="C11" s="136" t="s">
        <v>49</v>
      </c>
      <c r="D11" s="137">
        <v>2010</v>
      </c>
      <c r="E11" s="136" t="s">
        <v>50</v>
      </c>
      <c r="F11" s="134"/>
      <c r="G11" s="7"/>
      <c r="H11" s="7"/>
      <c r="I11" s="138">
        <v>0</v>
      </c>
      <c r="J11" s="139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4"/>
      <c r="P11" s="4"/>
    </row>
    <row r="12" spans="1:17">
      <c r="C12" s="136" t="s">
        <v>51</v>
      </c>
      <c r="D12" s="133">
        <v>6</v>
      </c>
      <c r="E12" s="136" t="s">
        <v>52</v>
      </c>
      <c r="F12" s="134"/>
      <c r="G12" s="7"/>
      <c r="H12" s="7"/>
      <c r="I12" s="140">
        <f>SWE.WS.F.BPU.ATRR.Projected!$F$76</f>
        <v>9.9555672459071778E-2</v>
      </c>
      <c r="J12" s="141"/>
      <c r="K12" t="s">
        <v>53</v>
      </c>
      <c r="O12" s="4"/>
      <c r="P12" s="4"/>
    </row>
    <row r="13" spans="1:17">
      <c r="C13" s="136" t="s">
        <v>54</v>
      </c>
      <c r="D13" s="138">
        <f>+SWE.WS.F.BPU.ATRR.Projected!F$87</f>
        <v>43</v>
      </c>
      <c r="E13" s="136" t="s">
        <v>55</v>
      </c>
      <c r="F13" s="134"/>
      <c r="G13" s="7"/>
      <c r="H13" s="7"/>
      <c r="I13" s="140">
        <f>IF(G5="",I12,SWE.WS.F.BPU.ATRR.Projected!$F$75)</f>
        <v>9.9555672459071778E-2</v>
      </c>
      <c r="J13" s="141"/>
      <c r="K13" s="111" t="s">
        <v>56</v>
      </c>
      <c r="L13" s="58"/>
      <c r="M13" s="58"/>
      <c r="N13" s="58"/>
      <c r="O13" s="4"/>
      <c r="P13" s="4"/>
    </row>
    <row r="14" spans="1:17" ht="13.5" thickBot="1">
      <c r="C14" s="136" t="s">
        <v>57</v>
      </c>
      <c r="D14" s="137" t="s">
        <v>58</v>
      </c>
      <c r="E14" s="4" t="s">
        <v>59</v>
      </c>
      <c r="F14" s="134"/>
      <c r="G14" s="7"/>
      <c r="H14" s="7"/>
      <c r="I14" s="142">
        <f>IF(D10=0,0,D10/D13)</f>
        <v>38205.046511627908</v>
      </c>
      <c r="J14" s="111"/>
      <c r="K14" s="111"/>
      <c r="L14" s="111"/>
      <c r="M14" s="111"/>
      <c r="N14" s="111"/>
      <c r="O14" s="4"/>
      <c r="P14" s="4"/>
    </row>
    <row r="15" spans="1:17" ht="38.25">
      <c r="C15" s="143" t="s">
        <v>47</v>
      </c>
      <c r="D15" s="144" t="s">
        <v>60</v>
      </c>
      <c r="E15" s="144" t="s">
        <v>61</v>
      </c>
      <c r="F15" s="144" t="s">
        <v>62</v>
      </c>
      <c r="G15" s="434" t="s">
        <v>378</v>
      </c>
      <c r="H15" s="435" t="s">
        <v>379</v>
      </c>
      <c r="I15" s="351" t="s">
        <v>249</v>
      </c>
      <c r="J15" s="145"/>
      <c r="K15" s="271" t="s">
        <v>219</v>
      </c>
      <c r="L15" s="146" t="s">
        <v>64</v>
      </c>
      <c r="M15" s="271" t="s">
        <v>219</v>
      </c>
      <c r="N15" s="146" t="s">
        <v>64</v>
      </c>
      <c r="O15" s="146" t="s">
        <v>65</v>
      </c>
      <c r="P15" s="4"/>
    </row>
    <row r="16" spans="1:17" ht="13.5" thickBot="1">
      <c r="C16" s="147" t="s">
        <v>66</v>
      </c>
      <c r="D16" s="147" t="s">
        <v>67</v>
      </c>
      <c r="E16" s="147" t="s">
        <v>68</v>
      </c>
      <c r="F16" s="147" t="s">
        <v>67</v>
      </c>
      <c r="G16" s="408" t="s">
        <v>69</v>
      </c>
      <c r="H16" s="148" t="s">
        <v>70</v>
      </c>
      <c r="I16" s="149" t="s">
        <v>89</v>
      </c>
      <c r="J16" s="150" t="s">
        <v>71</v>
      </c>
      <c r="K16" s="151" t="s">
        <v>72</v>
      </c>
      <c r="L16" s="151" t="s">
        <v>72</v>
      </c>
      <c r="M16" s="151" t="s">
        <v>90</v>
      </c>
      <c r="N16" s="152" t="s">
        <v>90</v>
      </c>
      <c r="O16" s="151" t="s">
        <v>90</v>
      </c>
      <c r="P16" s="4"/>
    </row>
    <row r="17" spans="2:16">
      <c r="C17" s="153">
        <f>IF(D11= "","-",D11)</f>
        <v>2010</v>
      </c>
      <c r="D17" s="357">
        <v>2389000</v>
      </c>
      <c r="E17" s="358">
        <v>31434.210526315794</v>
      </c>
      <c r="F17" s="357">
        <v>2357565.789473684</v>
      </c>
      <c r="G17" s="358">
        <v>370369.65443341201</v>
      </c>
      <c r="H17" s="359">
        <v>370369.65443341201</v>
      </c>
      <c r="I17" s="368">
        <v>0</v>
      </c>
      <c r="J17" s="156"/>
      <c r="K17" s="256">
        <f t="shared" ref="K17:K22" si="0">G17</f>
        <v>370369.65443341201</v>
      </c>
      <c r="L17" s="172">
        <f t="shared" ref="L17:L48" si="1">IF(K17&lt;&gt;0,+G17-K17,0)</f>
        <v>0</v>
      </c>
      <c r="M17" s="256">
        <f t="shared" ref="M17:M22" si="2">H17</f>
        <v>370369.65443341201</v>
      </c>
      <c r="N17" s="157">
        <f t="shared" ref="N17:N48" si="3">IF(M17&lt;&gt;0,+H17-M17,0)</f>
        <v>0</v>
      </c>
      <c r="O17" s="158">
        <f t="shared" ref="O17:O48" si="4">+N17-L17</f>
        <v>0</v>
      </c>
      <c r="P17" s="4"/>
    </row>
    <row r="18" spans="2:16">
      <c r="B18" s="9" t="str">
        <f>IF(D18=F17,"","IU")</f>
        <v>IU</v>
      </c>
      <c r="C18" s="153">
        <f>IF(D11="","-",+C17+1)</f>
        <v>2011</v>
      </c>
      <c r="D18" s="361">
        <v>1578368.7894736843</v>
      </c>
      <c r="E18" s="360">
        <v>39263.487804878052</v>
      </c>
      <c r="F18" s="361">
        <v>1539105.3016688062</v>
      </c>
      <c r="G18" s="360">
        <v>279659.70688308566</v>
      </c>
      <c r="H18" s="359">
        <v>279659.70688308566</v>
      </c>
      <c r="I18" s="368">
        <v>0</v>
      </c>
      <c r="J18" s="156"/>
      <c r="K18" s="258">
        <f t="shared" si="0"/>
        <v>279659.70688308566</v>
      </c>
      <c r="L18" s="257">
        <f t="shared" si="1"/>
        <v>0</v>
      </c>
      <c r="M18" s="258">
        <f t="shared" si="2"/>
        <v>279659.70688308566</v>
      </c>
      <c r="N18" s="158">
        <f t="shared" si="3"/>
        <v>0</v>
      </c>
      <c r="O18" s="158">
        <f t="shared" si="4"/>
        <v>0</v>
      </c>
      <c r="P18" s="4"/>
    </row>
    <row r="19" spans="2:16">
      <c r="B19" s="9" t="str">
        <f>IF(D19=F18,"","IU")</f>
        <v>IU</v>
      </c>
      <c r="C19" s="153">
        <f>IF(D11="","-",+C18+1)</f>
        <v>2012</v>
      </c>
      <c r="D19" s="361">
        <v>1568274.3016688062</v>
      </c>
      <c r="E19" s="360">
        <v>39023.142857142855</v>
      </c>
      <c r="F19" s="361">
        <v>1529251.1588116633</v>
      </c>
      <c r="G19" s="360">
        <v>266453.58939381945</v>
      </c>
      <c r="H19" s="359">
        <v>266453.58939381945</v>
      </c>
      <c r="I19" s="368">
        <v>0</v>
      </c>
      <c r="J19" s="156"/>
      <c r="K19" s="258">
        <f t="shared" si="0"/>
        <v>266453.58939381945</v>
      </c>
      <c r="L19" s="257">
        <f t="shared" si="1"/>
        <v>0</v>
      </c>
      <c r="M19" s="258">
        <f t="shared" si="2"/>
        <v>266453.58939381945</v>
      </c>
      <c r="N19" s="158">
        <f t="shared" si="3"/>
        <v>0</v>
      </c>
      <c r="O19" s="158">
        <f t="shared" si="4"/>
        <v>0</v>
      </c>
      <c r="P19" s="4"/>
    </row>
    <row r="20" spans="2:16">
      <c r="B20" s="9" t="str">
        <f t="shared" ref="B20:B72" si="5">IF(D20=F19,"","IU")</f>
        <v/>
      </c>
      <c r="C20" s="153">
        <f>IF(D11="","-",+C19+1)</f>
        <v>2013</v>
      </c>
      <c r="D20" s="396">
        <v>1529251.1588116633</v>
      </c>
      <c r="E20" s="397">
        <v>39023.142857142855</v>
      </c>
      <c r="F20" s="396">
        <v>1490228.0159545203</v>
      </c>
      <c r="G20" s="397">
        <v>247635.81443822815</v>
      </c>
      <c r="H20" s="395">
        <v>247635.81443822815</v>
      </c>
      <c r="I20" s="398">
        <v>0</v>
      </c>
      <c r="J20" s="156"/>
      <c r="K20" s="258">
        <f t="shared" si="0"/>
        <v>247635.81443822815</v>
      </c>
      <c r="L20" s="257">
        <f t="shared" ref="L20:L25" si="6">IF(K20&lt;&gt;0,+G20-K20,0)</f>
        <v>0</v>
      </c>
      <c r="M20" s="258">
        <f t="shared" si="2"/>
        <v>247635.81443822815</v>
      </c>
      <c r="N20" s="158">
        <f t="shared" ref="N20:N25" si="7">IF(M20&lt;&gt;0,+H20-M20,0)</f>
        <v>0</v>
      </c>
      <c r="O20" s="158">
        <f t="shared" ref="O20:O25" si="8">+N20-L20</f>
        <v>0</v>
      </c>
      <c r="P20" s="4"/>
    </row>
    <row r="21" spans="2:16">
      <c r="B21" s="9" t="str">
        <f t="shared" si="5"/>
        <v/>
      </c>
      <c r="C21" s="153">
        <f>IF(D12="","-",+C20+1)</f>
        <v>2014</v>
      </c>
      <c r="D21" s="396">
        <v>1490228.0159545203</v>
      </c>
      <c r="E21" s="397">
        <v>39023.142857142855</v>
      </c>
      <c r="F21" s="396">
        <v>1451204.8730973774</v>
      </c>
      <c r="G21" s="397">
        <v>234805.92986157897</v>
      </c>
      <c r="H21" s="395">
        <v>234805.92986157897</v>
      </c>
      <c r="I21" s="398">
        <v>0</v>
      </c>
      <c r="J21" s="156"/>
      <c r="K21" s="258">
        <f t="shared" si="0"/>
        <v>234805.92986157897</v>
      </c>
      <c r="L21" s="257">
        <f t="shared" si="6"/>
        <v>0</v>
      </c>
      <c r="M21" s="258">
        <f t="shared" si="2"/>
        <v>234805.92986157897</v>
      </c>
      <c r="N21" s="158">
        <f t="shared" si="7"/>
        <v>0</v>
      </c>
      <c r="O21" s="158">
        <f t="shared" si="8"/>
        <v>0</v>
      </c>
      <c r="P21" s="4"/>
    </row>
    <row r="22" spans="2:16">
      <c r="B22" s="9" t="str">
        <f t="shared" si="5"/>
        <v>IU</v>
      </c>
      <c r="C22" s="153">
        <f>IF(D11="","-",+C21+1)</f>
        <v>2015</v>
      </c>
      <c r="D22" s="396">
        <v>1455049.8730973776</v>
      </c>
      <c r="E22" s="397">
        <v>39114.690476190473</v>
      </c>
      <c r="F22" s="396">
        <v>1415935.1826211871</v>
      </c>
      <c r="G22" s="397">
        <v>225600.1518969718</v>
      </c>
      <c r="H22" s="395">
        <v>225600.1518969718</v>
      </c>
      <c r="I22" s="156">
        <v>0</v>
      </c>
      <c r="J22" s="156"/>
      <c r="K22" s="258">
        <f t="shared" si="0"/>
        <v>225600.1518969718</v>
      </c>
      <c r="L22" s="257">
        <f t="shared" si="6"/>
        <v>0</v>
      </c>
      <c r="M22" s="258">
        <f t="shared" si="2"/>
        <v>225600.1518969718</v>
      </c>
      <c r="N22" s="158">
        <f t="shared" si="7"/>
        <v>0</v>
      </c>
      <c r="O22" s="158">
        <f t="shared" si="8"/>
        <v>0</v>
      </c>
      <c r="P22" s="4"/>
    </row>
    <row r="23" spans="2:16">
      <c r="B23" s="9" t="str">
        <f t="shared" si="5"/>
        <v/>
      </c>
      <c r="C23" s="153">
        <f>IF(D11="","-",+C22+1)</f>
        <v>2016</v>
      </c>
      <c r="D23" s="396">
        <v>1415935.1826211871</v>
      </c>
      <c r="E23" s="397">
        <v>39114.690476190473</v>
      </c>
      <c r="F23" s="396">
        <v>1376820.4921449965</v>
      </c>
      <c r="G23" s="397">
        <v>218211.46569994657</v>
      </c>
      <c r="H23" s="395">
        <v>218211.46569994657</v>
      </c>
      <c r="I23" s="156">
        <f t="shared" ref="I23:I48" si="9">H23-G23</f>
        <v>0</v>
      </c>
      <c r="J23" s="156"/>
      <c r="K23" s="258">
        <f>G23</f>
        <v>218211.46569994657</v>
      </c>
      <c r="L23" s="257">
        <f t="shared" si="6"/>
        <v>0</v>
      </c>
      <c r="M23" s="258">
        <f>H23</f>
        <v>218211.46569994657</v>
      </c>
      <c r="N23" s="158">
        <f t="shared" si="7"/>
        <v>0</v>
      </c>
      <c r="O23" s="158">
        <f t="shared" si="8"/>
        <v>0</v>
      </c>
      <c r="P23" s="4"/>
    </row>
    <row r="24" spans="2:16">
      <c r="B24" s="9" t="str">
        <f t="shared" si="5"/>
        <v/>
      </c>
      <c r="C24" s="153">
        <f>IF(D11="","-",+C23+1)</f>
        <v>2017</v>
      </c>
      <c r="D24" s="396">
        <v>1376820.4921449965</v>
      </c>
      <c r="E24" s="397">
        <v>38205.046511627908</v>
      </c>
      <c r="F24" s="396">
        <v>1338615.4456333686</v>
      </c>
      <c r="G24" s="397">
        <v>206416.1656138415</v>
      </c>
      <c r="H24" s="395">
        <v>206416.1656138415</v>
      </c>
      <c r="I24" s="156">
        <v>0</v>
      </c>
      <c r="J24" s="156"/>
      <c r="K24" s="258">
        <f>G24</f>
        <v>206416.1656138415</v>
      </c>
      <c r="L24" s="257">
        <f t="shared" si="6"/>
        <v>0</v>
      </c>
      <c r="M24" s="258">
        <f>H24</f>
        <v>206416.1656138415</v>
      </c>
      <c r="N24" s="158">
        <f t="shared" si="7"/>
        <v>0</v>
      </c>
      <c r="O24" s="158">
        <f t="shared" si="8"/>
        <v>0</v>
      </c>
      <c r="P24" s="4"/>
    </row>
    <row r="25" spans="2:16">
      <c r="B25" s="9" t="str">
        <f t="shared" si="5"/>
        <v/>
      </c>
      <c r="C25" s="153">
        <f>IF(D11="","-",+C24+1)</f>
        <v>2018</v>
      </c>
      <c r="D25" s="396">
        <v>1338615.4456333686</v>
      </c>
      <c r="E25" s="397">
        <v>40068.707317073167</v>
      </c>
      <c r="F25" s="396">
        <v>1298546.7383162954</v>
      </c>
      <c r="G25" s="397">
        <v>187597.11116462536</v>
      </c>
      <c r="H25" s="395">
        <v>187597.11116462536</v>
      </c>
      <c r="I25" s="156">
        <f t="shared" si="9"/>
        <v>0</v>
      </c>
      <c r="J25" s="156"/>
      <c r="K25" s="258">
        <f>G25</f>
        <v>187597.11116462536</v>
      </c>
      <c r="L25" s="257">
        <f t="shared" si="6"/>
        <v>0</v>
      </c>
      <c r="M25" s="258">
        <f>H25</f>
        <v>187597.11116462536</v>
      </c>
      <c r="N25" s="158">
        <f t="shared" si="7"/>
        <v>0</v>
      </c>
      <c r="O25" s="158">
        <f t="shared" si="8"/>
        <v>0</v>
      </c>
      <c r="P25" s="4"/>
    </row>
    <row r="26" spans="2:16">
      <c r="B26" s="9" t="str">
        <f t="shared" si="5"/>
        <v/>
      </c>
      <c r="C26" s="153">
        <f>IF(D11="","-",+C25+1)</f>
        <v>2019</v>
      </c>
      <c r="D26" s="159">
        <f>IF(F25+SUM(E$17:E25)=D$10,F25,D$10-SUM(E$17:E25))</f>
        <v>1298546.7383162954</v>
      </c>
      <c r="E26" s="160">
        <f>IF(+I14&lt;F25,I14,D26)</f>
        <v>38205.046511627908</v>
      </c>
      <c r="F26" s="159">
        <f t="shared" ref="F26:F48" si="10">+D26-E26</f>
        <v>1260341.6918046675</v>
      </c>
      <c r="G26" s="161">
        <f t="shared" ref="G26:G55" si="11">+I$12*((D26+F26)/2)+E26</f>
        <v>165580.97571584338</v>
      </c>
      <c r="H26" s="142">
        <f t="shared" ref="H26:H55" si="12">+I$13*((D26+F26)/2)+E26</f>
        <v>165580.97571584338</v>
      </c>
      <c r="I26" s="156">
        <f t="shared" si="9"/>
        <v>0</v>
      </c>
      <c r="J26" s="156"/>
      <c r="K26" s="334"/>
      <c r="L26" s="158">
        <f t="shared" si="1"/>
        <v>0</v>
      </c>
      <c r="M26" s="334"/>
      <c r="N26" s="158">
        <f t="shared" si="3"/>
        <v>0</v>
      </c>
      <c r="O26" s="158">
        <f t="shared" si="4"/>
        <v>0</v>
      </c>
      <c r="P26" s="4"/>
    </row>
    <row r="27" spans="2:16">
      <c r="B27" s="9" t="str">
        <f t="shared" si="5"/>
        <v/>
      </c>
      <c r="C27" s="153">
        <f>IF(D11="","-",+C26+1)</f>
        <v>2020</v>
      </c>
      <c r="D27" s="159">
        <f>IF(F26+SUM(E$17:E26)=D$10,F26,D$10-SUM(E$17:E26))</f>
        <v>1260341.6918046675</v>
      </c>
      <c r="E27" s="160">
        <f>IF(+I14&lt;F26,I14,D27)</f>
        <v>38205.046511627908</v>
      </c>
      <c r="F27" s="159">
        <f t="shared" si="10"/>
        <v>1222136.6452930395</v>
      </c>
      <c r="G27" s="161">
        <f t="shared" si="11"/>
        <v>161777.44661904816</v>
      </c>
      <c r="H27" s="142">
        <f t="shared" si="12"/>
        <v>161777.44661904816</v>
      </c>
      <c r="I27" s="156">
        <f t="shared" si="9"/>
        <v>0</v>
      </c>
      <c r="J27" s="156"/>
      <c r="K27" s="334"/>
      <c r="L27" s="158">
        <f t="shared" si="1"/>
        <v>0</v>
      </c>
      <c r="M27" s="334"/>
      <c r="N27" s="158">
        <f t="shared" si="3"/>
        <v>0</v>
      </c>
      <c r="O27" s="158">
        <f t="shared" si="4"/>
        <v>0</v>
      </c>
      <c r="P27" s="4"/>
    </row>
    <row r="28" spans="2:16">
      <c r="B28" s="9" t="str">
        <f t="shared" si="5"/>
        <v/>
      </c>
      <c r="C28" s="153">
        <f>IF(D11="","-",+C27+1)</f>
        <v>2021</v>
      </c>
      <c r="D28" s="159">
        <f>IF(F27+SUM(E$17:E27)=D$10,F27,D$10-SUM(E$17:E27))</f>
        <v>1222136.6452930395</v>
      </c>
      <c r="E28" s="160">
        <f>IF(+I14&lt;F27,I14,D28)</f>
        <v>38205.046511627908</v>
      </c>
      <c r="F28" s="159">
        <f t="shared" si="10"/>
        <v>1183931.5987814115</v>
      </c>
      <c r="G28" s="161">
        <f t="shared" si="11"/>
        <v>157973.91752225289</v>
      </c>
      <c r="H28" s="142">
        <f t="shared" si="12"/>
        <v>157973.91752225289</v>
      </c>
      <c r="I28" s="156">
        <f t="shared" si="9"/>
        <v>0</v>
      </c>
      <c r="J28" s="156"/>
      <c r="K28" s="334"/>
      <c r="L28" s="158">
        <f t="shared" si="1"/>
        <v>0</v>
      </c>
      <c r="M28" s="334"/>
      <c r="N28" s="158">
        <f t="shared" si="3"/>
        <v>0</v>
      </c>
      <c r="O28" s="158">
        <f t="shared" si="4"/>
        <v>0</v>
      </c>
      <c r="P28" s="4"/>
    </row>
    <row r="29" spans="2:16">
      <c r="B29" s="9" t="str">
        <f t="shared" si="5"/>
        <v/>
      </c>
      <c r="C29" s="153">
        <f>IF(D11="","-",+C28+1)</f>
        <v>2022</v>
      </c>
      <c r="D29" s="159">
        <f>IF(F28+SUM(E$17:E28)=D$10,F28,D$10-SUM(E$17:E28))</f>
        <v>1183931.5987814115</v>
      </c>
      <c r="E29" s="160">
        <f>IF(+I14&lt;F28,I14,D29)</f>
        <v>38205.046511627908</v>
      </c>
      <c r="F29" s="159">
        <f t="shared" si="10"/>
        <v>1145726.5522697836</v>
      </c>
      <c r="G29" s="161">
        <f t="shared" si="11"/>
        <v>154170.3884254577</v>
      </c>
      <c r="H29" s="142">
        <f t="shared" si="12"/>
        <v>154170.3884254577</v>
      </c>
      <c r="I29" s="156">
        <f t="shared" si="9"/>
        <v>0</v>
      </c>
      <c r="J29" s="156"/>
      <c r="K29" s="334"/>
      <c r="L29" s="158">
        <f t="shared" si="1"/>
        <v>0</v>
      </c>
      <c r="M29" s="334"/>
      <c r="N29" s="158">
        <f t="shared" si="3"/>
        <v>0</v>
      </c>
      <c r="O29" s="158">
        <f t="shared" si="4"/>
        <v>0</v>
      </c>
      <c r="P29" s="4"/>
    </row>
    <row r="30" spans="2:16">
      <c r="B30" s="9" t="str">
        <f t="shared" si="5"/>
        <v/>
      </c>
      <c r="C30" s="153">
        <f>IF(D11="","-",+C29+1)</f>
        <v>2023</v>
      </c>
      <c r="D30" s="159">
        <f>IF(F29+SUM(E$17:E29)=D$10,F29,D$10-SUM(E$17:E29))</f>
        <v>1145726.5522697836</v>
      </c>
      <c r="E30" s="160">
        <f>IF(+I14&lt;F29,I14,D30)</f>
        <v>38205.046511627908</v>
      </c>
      <c r="F30" s="159">
        <f t="shared" si="10"/>
        <v>1107521.5057581556</v>
      </c>
      <c r="G30" s="161">
        <f t="shared" si="11"/>
        <v>150366.85932866245</v>
      </c>
      <c r="H30" s="142">
        <f t="shared" si="12"/>
        <v>150366.85932866245</v>
      </c>
      <c r="I30" s="156">
        <f t="shared" si="9"/>
        <v>0</v>
      </c>
      <c r="J30" s="156"/>
      <c r="K30" s="334"/>
      <c r="L30" s="158">
        <f t="shared" si="1"/>
        <v>0</v>
      </c>
      <c r="M30" s="334"/>
      <c r="N30" s="158">
        <f t="shared" si="3"/>
        <v>0</v>
      </c>
      <c r="O30" s="158">
        <f t="shared" si="4"/>
        <v>0</v>
      </c>
      <c r="P30" s="4"/>
    </row>
    <row r="31" spans="2:16">
      <c r="B31" s="9" t="str">
        <f t="shared" si="5"/>
        <v/>
      </c>
      <c r="C31" s="153">
        <f>IF(D11="","-",+C30+1)</f>
        <v>2024</v>
      </c>
      <c r="D31" s="159">
        <f>IF(F30+SUM(E$17:E30)=D$10,F30,D$10-SUM(E$17:E30))</f>
        <v>1107521.5057581556</v>
      </c>
      <c r="E31" s="160">
        <f>IF(+I14&lt;F30,I14,D31)</f>
        <v>38205.046511627908</v>
      </c>
      <c r="F31" s="159">
        <f t="shared" si="10"/>
        <v>1069316.4592465276</v>
      </c>
      <c r="G31" s="161">
        <f t="shared" si="11"/>
        <v>146563.33023186721</v>
      </c>
      <c r="H31" s="142">
        <f t="shared" si="12"/>
        <v>146563.33023186721</v>
      </c>
      <c r="I31" s="156">
        <f t="shared" si="9"/>
        <v>0</v>
      </c>
      <c r="J31" s="156"/>
      <c r="K31" s="334"/>
      <c r="L31" s="158">
        <f t="shared" si="1"/>
        <v>0</v>
      </c>
      <c r="M31" s="334"/>
      <c r="N31" s="158">
        <f t="shared" si="3"/>
        <v>0</v>
      </c>
      <c r="O31" s="158">
        <f t="shared" si="4"/>
        <v>0</v>
      </c>
      <c r="P31" s="4"/>
    </row>
    <row r="32" spans="2:16">
      <c r="B32" s="9" t="str">
        <f t="shared" si="5"/>
        <v/>
      </c>
      <c r="C32" s="153">
        <f>IF(D11="","-",+C31+1)</f>
        <v>2025</v>
      </c>
      <c r="D32" s="159">
        <f>IF(F31+SUM(E$17:E31)=D$10,F31,D$10-SUM(E$17:E31))</f>
        <v>1069316.4592465276</v>
      </c>
      <c r="E32" s="160">
        <f>IF(+I14&lt;F31,I14,D32)</f>
        <v>38205.046511627908</v>
      </c>
      <c r="F32" s="159">
        <f t="shared" si="10"/>
        <v>1031111.4127348997</v>
      </c>
      <c r="G32" s="161">
        <f t="shared" si="11"/>
        <v>142759.80113507196</v>
      </c>
      <c r="H32" s="142">
        <f t="shared" si="12"/>
        <v>142759.80113507196</v>
      </c>
      <c r="I32" s="156">
        <f t="shared" si="9"/>
        <v>0</v>
      </c>
      <c r="J32" s="156"/>
      <c r="K32" s="334"/>
      <c r="L32" s="158">
        <f t="shared" si="1"/>
        <v>0</v>
      </c>
      <c r="M32" s="334"/>
      <c r="N32" s="158">
        <f t="shared" si="3"/>
        <v>0</v>
      </c>
      <c r="O32" s="158">
        <f t="shared" si="4"/>
        <v>0</v>
      </c>
      <c r="P32" s="4"/>
    </row>
    <row r="33" spans="2:16">
      <c r="B33" s="9" t="str">
        <f t="shared" si="5"/>
        <v/>
      </c>
      <c r="C33" s="153">
        <f>IF(D11="","-",+C32+1)</f>
        <v>2026</v>
      </c>
      <c r="D33" s="159">
        <f>IF(F32+SUM(E$17:E32)=D$10,F32,D$10-SUM(E$17:E32))</f>
        <v>1031111.4127348997</v>
      </c>
      <c r="E33" s="160">
        <f>IF(+I14&lt;F32,I14,D33)</f>
        <v>38205.046511627908</v>
      </c>
      <c r="F33" s="159">
        <f t="shared" si="10"/>
        <v>992906.3662232717</v>
      </c>
      <c r="G33" s="161">
        <f t="shared" si="11"/>
        <v>138956.27203827671</v>
      </c>
      <c r="H33" s="142">
        <f t="shared" si="12"/>
        <v>138956.27203827671</v>
      </c>
      <c r="I33" s="156">
        <f t="shared" si="9"/>
        <v>0</v>
      </c>
      <c r="J33" s="156"/>
      <c r="K33" s="334"/>
      <c r="L33" s="158">
        <f t="shared" si="1"/>
        <v>0</v>
      </c>
      <c r="M33" s="334"/>
      <c r="N33" s="158">
        <f t="shared" si="3"/>
        <v>0</v>
      </c>
      <c r="O33" s="158">
        <f t="shared" si="4"/>
        <v>0</v>
      </c>
      <c r="P33" s="4"/>
    </row>
    <row r="34" spans="2:16">
      <c r="B34" s="9" t="str">
        <f t="shared" si="5"/>
        <v/>
      </c>
      <c r="C34" s="153">
        <f>IF(D11="","-",+C33+1)</f>
        <v>2027</v>
      </c>
      <c r="D34" s="159">
        <f>IF(F33+SUM(E$17:E33)=D$10,F33,D$10-SUM(E$17:E33))</f>
        <v>992906.3662232717</v>
      </c>
      <c r="E34" s="160">
        <f>IF(+I14&lt;F33,I14,D34)</f>
        <v>38205.046511627908</v>
      </c>
      <c r="F34" s="159">
        <f t="shared" si="10"/>
        <v>954701.31971164374</v>
      </c>
      <c r="G34" s="161">
        <f t="shared" si="11"/>
        <v>135152.7429414815</v>
      </c>
      <c r="H34" s="142">
        <f t="shared" si="12"/>
        <v>135152.7429414815</v>
      </c>
      <c r="I34" s="156">
        <f t="shared" si="9"/>
        <v>0</v>
      </c>
      <c r="J34" s="156"/>
      <c r="K34" s="334"/>
      <c r="L34" s="158">
        <f t="shared" si="1"/>
        <v>0</v>
      </c>
      <c r="M34" s="334"/>
      <c r="N34" s="158">
        <f t="shared" si="3"/>
        <v>0</v>
      </c>
      <c r="O34" s="158">
        <f t="shared" si="4"/>
        <v>0</v>
      </c>
      <c r="P34" s="4"/>
    </row>
    <row r="35" spans="2:16">
      <c r="B35" s="9" t="str">
        <f t="shared" si="5"/>
        <v/>
      </c>
      <c r="C35" s="153">
        <f>IF(D11="","-",+C34+1)</f>
        <v>2028</v>
      </c>
      <c r="D35" s="159">
        <f>IF(F34+SUM(E$17:E34)=D$10,F34,D$10-SUM(E$17:E34))</f>
        <v>954701.31971164374</v>
      </c>
      <c r="E35" s="160">
        <f>IF(+I14&lt;F34,I14,D35)</f>
        <v>38205.046511627908</v>
      </c>
      <c r="F35" s="159">
        <f t="shared" si="10"/>
        <v>916496.27320001577</v>
      </c>
      <c r="G35" s="161">
        <f t="shared" si="11"/>
        <v>131349.21384468628</v>
      </c>
      <c r="H35" s="142">
        <f t="shared" si="12"/>
        <v>131349.21384468628</v>
      </c>
      <c r="I35" s="156">
        <f t="shared" si="9"/>
        <v>0</v>
      </c>
      <c r="J35" s="156"/>
      <c r="K35" s="334"/>
      <c r="L35" s="158">
        <f t="shared" si="1"/>
        <v>0</v>
      </c>
      <c r="M35" s="334"/>
      <c r="N35" s="158">
        <f t="shared" si="3"/>
        <v>0</v>
      </c>
      <c r="O35" s="158">
        <f t="shared" si="4"/>
        <v>0</v>
      </c>
      <c r="P35" s="4"/>
    </row>
    <row r="36" spans="2:16">
      <c r="B36" s="9" t="str">
        <f t="shared" si="5"/>
        <v/>
      </c>
      <c r="C36" s="153">
        <f>IF(D11="","-",+C35+1)</f>
        <v>2029</v>
      </c>
      <c r="D36" s="159">
        <f>IF(F35+SUM(E$17:E35)=D$10,F35,D$10-SUM(E$17:E35))</f>
        <v>916496.27320001577</v>
      </c>
      <c r="E36" s="160">
        <f>IF(+I14&lt;F35,I14,D36)</f>
        <v>38205.046511627908</v>
      </c>
      <c r="F36" s="159">
        <f t="shared" si="10"/>
        <v>878291.2266883878</v>
      </c>
      <c r="G36" s="161">
        <f t="shared" si="11"/>
        <v>127545.68474789102</v>
      </c>
      <c r="H36" s="142">
        <f t="shared" si="12"/>
        <v>127545.68474789102</v>
      </c>
      <c r="I36" s="156">
        <f t="shared" si="9"/>
        <v>0</v>
      </c>
      <c r="J36" s="156"/>
      <c r="K36" s="334"/>
      <c r="L36" s="158">
        <f t="shared" si="1"/>
        <v>0</v>
      </c>
      <c r="M36" s="334"/>
      <c r="N36" s="158">
        <f t="shared" si="3"/>
        <v>0</v>
      </c>
      <c r="O36" s="158">
        <f t="shared" si="4"/>
        <v>0</v>
      </c>
      <c r="P36" s="4"/>
    </row>
    <row r="37" spans="2:16">
      <c r="B37" s="9" t="str">
        <f t="shared" si="5"/>
        <v/>
      </c>
      <c r="C37" s="153">
        <f>IF(D11="","-",+C36+1)</f>
        <v>2030</v>
      </c>
      <c r="D37" s="159">
        <f>IF(F36+SUM(E$17:E36)=D$10,F36,D$10-SUM(E$17:E36))</f>
        <v>878291.2266883878</v>
      </c>
      <c r="E37" s="160">
        <f>IF(+I14&lt;F36,I14,D37)</f>
        <v>38205.046511627908</v>
      </c>
      <c r="F37" s="159">
        <f t="shared" si="10"/>
        <v>840086.18017675984</v>
      </c>
      <c r="G37" s="161">
        <f t="shared" si="11"/>
        <v>123742.15565109579</v>
      </c>
      <c r="H37" s="142">
        <f t="shared" si="12"/>
        <v>123742.15565109579</v>
      </c>
      <c r="I37" s="156">
        <f t="shared" si="9"/>
        <v>0</v>
      </c>
      <c r="J37" s="156"/>
      <c r="K37" s="334"/>
      <c r="L37" s="158">
        <f t="shared" si="1"/>
        <v>0</v>
      </c>
      <c r="M37" s="334"/>
      <c r="N37" s="158">
        <f t="shared" si="3"/>
        <v>0</v>
      </c>
      <c r="O37" s="158">
        <f t="shared" si="4"/>
        <v>0</v>
      </c>
      <c r="P37" s="4"/>
    </row>
    <row r="38" spans="2:16">
      <c r="B38" s="9" t="str">
        <f t="shared" si="5"/>
        <v/>
      </c>
      <c r="C38" s="153">
        <f>IF(D11="","-",+C37+1)</f>
        <v>2031</v>
      </c>
      <c r="D38" s="159">
        <f>IF(F37+SUM(E$17:E37)=D$10,F37,D$10-SUM(E$17:E37))</f>
        <v>840086.18017675984</v>
      </c>
      <c r="E38" s="160">
        <f>IF(+I14&lt;F37,I14,D38)</f>
        <v>38205.046511627908</v>
      </c>
      <c r="F38" s="159">
        <f t="shared" si="10"/>
        <v>801881.13366513187</v>
      </c>
      <c r="G38" s="161">
        <f t="shared" si="11"/>
        <v>119938.62655430056</v>
      </c>
      <c r="H38" s="142">
        <f t="shared" si="12"/>
        <v>119938.62655430056</v>
      </c>
      <c r="I38" s="156">
        <f t="shared" si="9"/>
        <v>0</v>
      </c>
      <c r="J38" s="156"/>
      <c r="K38" s="334"/>
      <c r="L38" s="158">
        <f t="shared" si="1"/>
        <v>0</v>
      </c>
      <c r="M38" s="334"/>
      <c r="N38" s="158">
        <f t="shared" si="3"/>
        <v>0</v>
      </c>
      <c r="O38" s="158">
        <f t="shared" si="4"/>
        <v>0</v>
      </c>
      <c r="P38" s="4"/>
    </row>
    <row r="39" spans="2:16">
      <c r="B39" s="9" t="str">
        <f t="shared" si="5"/>
        <v/>
      </c>
      <c r="C39" s="153">
        <f>IF(D11="","-",+C38+1)</f>
        <v>2032</v>
      </c>
      <c r="D39" s="159">
        <f>IF(F38+SUM(E$17:E38)=D$10,F38,D$10-SUM(E$17:E38))</f>
        <v>801881.13366513187</v>
      </c>
      <c r="E39" s="160">
        <f>IF(+I14&lt;F38,I14,D39)</f>
        <v>38205.046511627908</v>
      </c>
      <c r="F39" s="159">
        <f t="shared" si="10"/>
        <v>763676.0871535039</v>
      </c>
      <c r="G39" s="161">
        <f t="shared" si="11"/>
        <v>116135.09745750531</v>
      </c>
      <c r="H39" s="142">
        <f t="shared" si="12"/>
        <v>116135.09745750531</v>
      </c>
      <c r="I39" s="156">
        <f t="shared" si="9"/>
        <v>0</v>
      </c>
      <c r="J39" s="156"/>
      <c r="K39" s="334"/>
      <c r="L39" s="158">
        <f t="shared" si="1"/>
        <v>0</v>
      </c>
      <c r="M39" s="334"/>
      <c r="N39" s="158">
        <f t="shared" si="3"/>
        <v>0</v>
      </c>
      <c r="O39" s="158">
        <f t="shared" si="4"/>
        <v>0</v>
      </c>
      <c r="P39" s="4"/>
    </row>
    <row r="40" spans="2:16">
      <c r="B40" s="9" t="str">
        <f t="shared" si="5"/>
        <v/>
      </c>
      <c r="C40" s="153">
        <f>IF(D11="","-",+C39+1)</f>
        <v>2033</v>
      </c>
      <c r="D40" s="159">
        <f>IF(F39+SUM(E$17:E39)=D$10,F39,D$10-SUM(E$17:E39))</f>
        <v>763676.0871535039</v>
      </c>
      <c r="E40" s="160">
        <f>IF(+I14&lt;F39,I14,D40)</f>
        <v>38205.046511627908</v>
      </c>
      <c r="F40" s="159">
        <f t="shared" si="10"/>
        <v>725471.04064187594</v>
      </c>
      <c r="G40" s="161">
        <f t="shared" si="11"/>
        <v>112331.56836071008</v>
      </c>
      <c r="H40" s="142">
        <f t="shared" si="12"/>
        <v>112331.56836071008</v>
      </c>
      <c r="I40" s="156">
        <f t="shared" si="9"/>
        <v>0</v>
      </c>
      <c r="J40" s="156"/>
      <c r="K40" s="334"/>
      <c r="L40" s="158">
        <f t="shared" si="1"/>
        <v>0</v>
      </c>
      <c r="M40" s="334"/>
      <c r="N40" s="158">
        <f t="shared" si="3"/>
        <v>0</v>
      </c>
      <c r="O40" s="158">
        <f t="shared" si="4"/>
        <v>0</v>
      </c>
      <c r="P40" s="4"/>
    </row>
    <row r="41" spans="2:16">
      <c r="B41" s="9" t="str">
        <f t="shared" si="5"/>
        <v/>
      </c>
      <c r="C41" s="153">
        <f>IF(D11="","-",+C40+1)</f>
        <v>2034</v>
      </c>
      <c r="D41" s="159">
        <f>IF(F40+SUM(E$17:E40)=D$10,F40,D$10-SUM(E$17:E40))</f>
        <v>725471.04064187594</v>
      </c>
      <c r="E41" s="160">
        <f>IF(+I14&lt;F40,I14,D41)</f>
        <v>38205.046511627908</v>
      </c>
      <c r="F41" s="159">
        <f t="shared" si="10"/>
        <v>687265.99413024797</v>
      </c>
      <c r="G41" s="161">
        <f t="shared" si="11"/>
        <v>108528.03926391483</v>
      </c>
      <c r="H41" s="142">
        <f t="shared" si="12"/>
        <v>108528.03926391483</v>
      </c>
      <c r="I41" s="156">
        <f t="shared" si="9"/>
        <v>0</v>
      </c>
      <c r="J41" s="156"/>
      <c r="K41" s="334"/>
      <c r="L41" s="158">
        <f t="shared" si="1"/>
        <v>0</v>
      </c>
      <c r="M41" s="334"/>
      <c r="N41" s="158">
        <f t="shared" si="3"/>
        <v>0</v>
      </c>
      <c r="O41" s="158">
        <f t="shared" si="4"/>
        <v>0</v>
      </c>
      <c r="P41" s="4"/>
    </row>
    <row r="42" spans="2:16">
      <c r="B42" s="9" t="str">
        <f t="shared" si="5"/>
        <v/>
      </c>
      <c r="C42" s="153">
        <f>IF(D11="","-",+C41+1)</f>
        <v>2035</v>
      </c>
      <c r="D42" s="159">
        <f>IF(F41+SUM(E$17:E41)=D$10,F41,D$10-SUM(E$17:E41))</f>
        <v>687265.99413024797</v>
      </c>
      <c r="E42" s="160">
        <f>IF(+I14&lt;F41,I14,D42)</f>
        <v>38205.046511627908</v>
      </c>
      <c r="F42" s="159">
        <f t="shared" si="10"/>
        <v>649060.94761862</v>
      </c>
      <c r="G42" s="161">
        <f t="shared" si="11"/>
        <v>104724.5101671196</v>
      </c>
      <c r="H42" s="142">
        <f t="shared" si="12"/>
        <v>104724.5101671196</v>
      </c>
      <c r="I42" s="156">
        <f t="shared" si="9"/>
        <v>0</v>
      </c>
      <c r="J42" s="156"/>
      <c r="K42" s="334"/>
      <c r="L42" s="158">
        <f t="shared" si="1"/>
        <v>0</v>
      </c>
      <c r="M42" s="334"/>
      <c r="N42" s="158">
        <f t="shared" si="3"/>
        <v>0</v>
      </c>
      <c r="O42" s="158">
        <f t="shared" si="4"/>
        <v>0</v>
      </c>
      <c r="P42" s="4"/>
    </row>
    <row r="43" spans="2:16">
      <c r="B43" s="9" t="str">
        <f t="shared" si="5"/>
        <v/>
      </c>
      <c r="C43" s="153">
        <f>IF(D11="","-",+C42+1)</f>
        <v>2036</v>
      </c>
      <c r="D43" s="159">
        <f>IF(F42+SUM(E$17:E42)=D$10,F42,D$10-SUM(E$17:E42))</f>
        <v>649060.94761862</v>
      </c>
      <c r="E43" s="160">
        <f>IF(+I14&lt;F42,I14,D43)</f>
        <v>38205.046511627908</v>
      </c>
      <c r="F43" s="159">
        <f t="shared" si="10"/>
        <v>610855.90110699204</v>
      </c>
      <c r="G43" s="161">
        <f t="shared" si="11"/>
        <v>100920.98107032437</v>
      </c>
      <c r="H43" s="142">
        <f t="shared" si="12"/>
        <v>100920.98107032437</v>
      </c>
      <c r="I43" s="156">
        <f t="shared" si="9"/>
        <v>0</v>
      </c>
      <c r="J43" s="156"/>
      <c r="K43" s="334"/>
      <c r="L43" s="158">
        <f t="shared" si="1"/>
        <v>0</v>
      </c>
      <c r="M43" s="334"/>
      <c r="N43" s="158">
        <f t="shared" si="3"/>
        <v>0</v>
      </c>
      <c r="O43" s="158">
        <f t="shared" si="4"/>
        <v>0</v>
      </c>
      <c r="P43" s="4"/>
    </row>
    <row r="44" spans="2:16">
      <c r="B44" s="9" t="str">
        <f t="shared" si="5"/>
        <v/>
      </c>
      <c r="C44" s="153">
        <f>IF(D11="","-",+C43+1)</f>
        <v>2037</v>
      </c>
      <c r="D44" s="159">
        <f>IF(F43+SUM(E$17:E43)=D$10,F43,D$10-SUM(E$17:E43))</f>
        <v>610855.90110699204</v>
      </c>
      <c r="E44" s="160">
        <f>IF(+I14&lt;F43,I14,D44)</f>
        <v>38205.046511627908</v>
      </c>
      <c r="F44" s="159">
        <f t="shared" si="10"/>
        <v>572650.85459536407</v>
      </c>
      <c r="G44" s="161">
        <f t="shared" si="11"/>
        <v>97117.451973529125</v>
      </c>
      <c r="H44" s="142">
        <f t="shared" si="12"/>
        <v>97117.451973529125</v>
      </c>
      <c r="I44" s="156">
        <f t="shared" si="9"/>
        <v>0</v>
      </c>
      <c r="J44" s="156"/>
      <c r="K44" s="334"/>
      <c r="L44" s="158">
        <f t="shared" si="1"/>
        <v>0</v>
      </c>
      <c r="M44" s="334"/>
      <c r="N44" s="158">
        <f t="shared" si="3"/>
        <v>0</v>
      </c>
      <c r="O44" s="158">
        <f t="shared" si="4"/>
        <v>0</v>
      </c>
      <c r="P44" s="4"/>
    </row>
    <row r="45" spans="2:16">
      <c r="B45" s="9" t="str">
        <f t="shared" si="5"/>
        <v/>
      </c>
      <c r="C45" s="153">
        <f>IF(D11="","-",+C44+1)</f>
        <v>2038</v>
      </c>
      <c r="D45" s="159">
        <f>IF(F44+SUM(E$17:E44)=D$10,F44,D$10-SUM(E$17:E44))</f>
        <v>572650.85459536407</v>
      </c>
      <c r="E45" s="160">
        <f>IF(+I14&lt;F44,I14,D45)</f>
        <v>38205.046511627908</v>
      </c>
      <c r="F45" s="159">
        <f t="shared" si="10"/>
        <v>534445.8080837361</v>
      </c>
      <c r="G45" s="161">
        <f t="shared" si="11"/>
        <v>93313.922876733894</v>
      </c>
      <c r="H45" s="142">
        <f t="shared" si="12"/>
        <v>93313.922876733894</v>
      </c>
      <c r="I45" s="156">
        <f t="shared" si="9"/>
        <v>0</v>
      </c>
      <c r="J45" s="156"/>
      <c r="K45" s="334"/>
      <c r="L45" s="158">
        <f t="shared" si="1"/>
        <v>0</v>
      </c>
      <c r="M45" s="334"/>
      <c r="N45" s="158">
        <f t="shared" si="3"/>
        <v>0</v>
      </c>
      <c r="O45" s="158">
        <f t="shared" si="4"/>
        <v>0</v>
      </c>
      <c r="P45" s="4"/>
    </row>
    <row r="46" spans="2:16">
      <c r="B46" s="9" t="str">
        <f t="shared" si="5"/>
        <v/>
      </c>
      <c r="C46" s="153">
        <f>IF(D11="","-",+C45+1)</f>
        <v>2039</v>
      </c>
      <c r="D46" s="159">
        <f>IF(F45+SUM(E$17:E45)=D$10,F45,D$10-SUM(E$17:E45))</f>
        <v>534445.8080837361</v>
      </c>
      <c r="E46" s="160">
        <f>IF(+I14&lt;F45,I14,D46)</f>
        <v>38205.046511627908</v>
      </c>
      <c r="F46" s="159">
        <f t="shared" si="10"/>
        <v>496240.7615721082</v>
      </c>
      <c r="G46" s="161">
        <f t="shared" si="11"/>
        <v>89510.393779938662</v>
      </c>
      <c r="H46" s="142">
        <f t="shared" si="12"/>
        <v>89510.393779938662</v>
      </c>
      <c r="I46" s="156">
        <f t="shared" si="9"/>
        <v>0</v>
      </c>
      <c r="J46" s="156"/>
      <c r="K46" s="334"/>
      <c r="L46" s="158">
        <f t="shared" si="1"/>
        <v>0</v>
      </c>
      <c r="M46" s="334"/>
      <c r="N46" s="158">
        <f t="shared" si="3"/>
        <v>0</v>
      </c>
      <c r="O46" s="158">
        <f t="shared" si="4"/>
        <v>0</v>
      </c>
      <c r="P46" s="4"/>
    </row>
    <row r="47" spans="2:16">
      <c r="B47" s="9" t="str">
        <f t="shared" si="5"/>
        <v/>
      </c>
      <c r="C47" s="153">
        <f>IF(D11="","-",+C46+1)</f>
        <v>2040</v>
      </c>
      <c r="D47" s="159">
        <f>IF(F46+SUM(E$17:E46)=D$10,F46,D$10-SUM(E$17:E46))</f>
        <v>496240.7615721082</v>
      </c>
      <c r="E47" s="160">
        <f>IF(+I14&lt;F46,I14,D47)</f>
        <v>38205.046511627908</v>
      </c>
      <c r="F47" s="159">
        <f t="shared" si="10"/>
        <v>458035.71506048029</v>
      </c>
      <c r="G47" s="161">
        <f t="shared" si="11"/>
        <v>85706.864683143431</v>
      </c>
      <c r="H47" s="142">
        <f t="shared" si="12"/>
        <v>85706.864683143431</v>
      </c>
      <c r="I47" s="156">
        <f t="shared" si="9"/>
        <v>0</v>
      </c>
      <c r="J47" s="156"/>
      <c r="K47" s="334"/>
      <c r="L47" s="158">
        <f t="shared" si="1"/>
        <v>0</v>
      </c>
      <c r="M47" s="334"/>
      <c r="N47" s="158">
        <f t="shared" si="3"/>
        <v>0</v>
      </c>
      <c r="O47" s="158">
        <f t="shared" si="4"/>
        <v>0</v>
      </c>
      <c r="P47" s="4"/>
    </row>
    <row r="48" spans="2:16">
      <c r="B48" s="9" t="str">
        <f t="shared" si="5"/>
        <v/>
      </c>
      <c r="C48" s="153">
        <f>IF(D11="","-",+C47+1)</f>
        <v>2041</v>
      </c>
      <c r="D48" s="159">
        <f>IF(F47+SUM(E$17:E47)=D$10,F47,D$10-SUM(E$17:E47))</f>
        <v>458035.71506048029</v>
      </c>
      <c r="E48" s="160">
        <f>IF(+I14&lt;F47,I14,D48)</f>
        <v>38205.046511627908</v>
      </c>
      <c r="F48" s="159">
        <f t="shared" si="10"/>
        <v>419830.66854885238</v>
      </c>
      <c r="G48" s="161">
        <f t="shared" si="11"/>
        <v>81903.335586348199</v>
      </c>
      <c r="H48" s="142">
        <f t="shared" si="12"/>
        <v>81903.335586348199</v>
      </c>
      <c r="I48" s="156">
        <f t="shared" si="9"/>
        <v>0</v>
      </c>
      <c r="J48" s="156"/>
      <c r="K48" s="334"/>
      <c r="L48" s="158">
        <f t="shared" si="1"/>
        <v>0</v>
      </c>
      <c r="M48" s="334"/>
      <c r="N48" s="158">
        <f t="shared" si="3"/>
        <v>0</v>
      </c>
      <c r="O48" s="158">
        <f t="shared" si="4"/>
        <v>0</v>
      </c>
      <c r="P48" s="4"/>
    </row>
    <row r="49" spans="2:17">
      <c r="B49" s="9" t="str">
        <f t="shared" si="5"/>
        <v/>
      </c>
      <c r="C49" s="153">
        <f>IF(D11="","-",+C48+1)</f>
        <v>2042</v>
      </c>
      <c r="D49" s="159">
        <f>IF(F48+SUM(E$17:E48)=D$10,F48,D$10-SUM(E$17:E48))</f>
        <v>419830.66854885238</v>
      </c>
      <c r="E49" s="160">
        <f>IF(+I14&lt;F48,I14,D49)</f>
        <v>38205.046511627908</v>
      </c>
      <c r="F49" s="159">
        <f t="shared" ref="F49:F72" si="13">+D49-E49</f>
        <v>381625.62203722447</v>
      </c>
      <c r="G49" s="161">
        <f t="shared" si="11"/>
        <v>78099.806489552968</v>
      </c>
      <c r="H49" s="142">
        <f t="shared" si="12"/>
        <v>78099.806489552968</v>
      </c>
      <c r="I49" s="156">
        <f t="shared" ref="I49:I72" si="14">H49-G49</f>
        <v>0</v>
      </c>
      <c r="J49" s="156"/>
      <c r="K49" s="334"/>
      <c r="L49" s="158">
        <f t="shared" ref="L49:L72" si="15">IF(K49&lt;&gt;0,+G49-K49,0)</f>
        <v>0</v>
      </c>
      <c r="M49" s="334"/>
      <c r="N49" s="158">
        <f t="shared" ref="N49:N72" si="16">IF(M49&lt;&gt;0,+H49-M49,0)</f>
        <v>0</v>
      </c>
      <c r="O49" s="158">
        <f t="shared" ref="O49:O72" si="17">+N49-L49</f>
        <v>0</v>
      </c>
      <c r="P49" s="4"/>
    </row>
    <row r="50" spans="2:17">
      <c r="B50" s="9" t="str">
        <f t="shared" si="5"/>
        <v/>
      </c>
      <c r="C50" s="153">
        <f>IF(D11="","-",+C49+1)</f>
        <v>2043</v>
      </c>
      <c r="D50" s="159">
        <f>IF(F49+SUM(E$17:E49)=D$10,F49,D$10-SUM(E$17:E49))</f>
        <v>381625.62203722447</v>
      </c>
      <c r="E50" s="160">
        <f>IF(+I14&lt;F49,I14,D50)</f>
        <v>38205.046511627908</v>
      </c>
      <c r="F50" s="159">
        <f t="shared" si="13"/>
        <v>343420.57552559656</v>
      </c>
      <c r="G50" s="161">
        <f t="shared" si="11"/>
        <v>74296.277392757736</v>
      </c>
      <c r="H50" s="142">
        <f t="shared" si="12"/>
        <v>74296.277392757736</v>
      </c>
      <c r="I50" s="156">
        <f t="shared" si="14"/>
        <v>0</v>
      </c>
      <c r="J50" s="156"/>
      <c r="K50" s="334"/>
      <c r="L50" s="158">
        <f t="shared" si="15"/>
        <v>0</v>
      </c>
      <c r="M50" s="334"/>
      <c r="N50" s="158">
        <f t="shared" si="16"/>
        <v>0</v>
      </c>
      <c r="O50" s="158">
        <f t="shared" si="17"/>
        <v>0</v>
      </c>
      <c r="P50" s="4"/>
    </row>
    <row r="51" spans="2:17">
      <c r="B51" s="9" t="str">
        <f t="shared" si="5"/>
        <v/>
      </c>
      <c r="C51" s="153">
        <f>IF(D11="","-",+C50+1)</f>
        <v>2044</v>
      </c>
      <c r="D51" s="159">
        <f>IF(F50+SUM(E$17:E50)=D$10,F50,D$10-SUM(E$17:E50))</f>
        <v>343420.57552559656</v>
      </c>
      <c r="E51" s="160">
        <f>IF(+I14&lt;F50,I14,D51)</f>
        <v>38205.046511627908</v>
      </c>
      <c r="F51" s="159">
        <f t="shared" si="13"/>
        <v>305215.52901396865</v>
      </c>
      <c r="G51" s="161">
        <f t="shared" si="11"/>
        <v>70492.748295962505</v>
      </c>
      <c r="H51" s="142">
        <f t="shared" si="12"/>
        <v>70492.748295962505</v>
      </c>
      <c r="I51" s="156">
        <f t="shared" si="14"/>
        <v>0</v>
      </c>
      <c r="J51" s="156"/>
      <c r="K51" s="334"/>
      <c r="L51" s="158">
        <f t="shared" si="15"/>
        <v>0</v>
      </c>
      <c r="M51" s="334"/>
      <c r="N51" s="158">
        <f t="shared" si="16"/>
        <v>0</v>
      </c>
      <c r="O51" s="158">
        <f t="shared" si="17"/>
        <v>0</v>
      </c>
      <c r="P51" s="4"/>
    </row>
    <row r="52" spans="2:17">
      <c r="B52" s="9" t="str">
        <f t="shared" si="5"/>
        <v/>
      </c>
      <c r="C52" s="153">
        <f>IF(D11="","-",+C51+1)</f>
        <v>2045</v>
      </c>
      <c r="D52" s="159">
        <f>IF(F51+SUM(E$17:E51)=D$10,F51,D$10-SUM(E$17:E51))</f>
        <v>305215.52901396865</v>
      </c>
      <c r="E52" s="160">
        <f>IF(+I14&lt;F51,I14,D52)</f>
        <v>38205.046511627908</v>
      </c>
      <c r="F52" s="159">
        <f t="shared" si="13"/>
        <v>267010.48250234075</v>
      </c>
      <c r="G52" s="161">
        <f t="shared" si="11"/>
        <v>66689.219199167273</v>
      </c>
      <c r="H52" s="142">
        <f t="shared" si="12"/>
        <v>66689.219199167273</v>
      </c>
      <c r="I52" s="156">
        <f t="shared" si="14"/>
        <v>0</v>
      </c>
      <c r="J52" s="156"/>
      <c r="K52" s="334"/>
      <c r="L52" s="158">
        <f t="shared" si="15"/>
        <v>0</v>
      </c>
      <c r="M52" s="334"/>
      <c r="N52" s="158">
        <f t="shared" si="16"/>
        <v>0</v>
      </c>
      <c r="O52" s="158">
        <f t="shared" si="17"/>
        <v>0</v>
      </c>
      <c r="P52" s="4"/>
    </row>
    <row r="53" spans="2:17">
      <c r="B53" s="9" t="str">
        <f t="shared" si="5"/>
        <v/>
      </c>
      <c r="C53" s="153">
        <f>IF(D11="","-",+C52+1)</f>
        <v>2046</v>
      </c>
      <c r="D53" s="159">
        <f>IF(F52+SUM(E$17:E52)=D$10,F52,D$10-SUM(E$17:E52))</f>
        <v>267010.48250234075</v>
      </c>
      <c r="E53" s="160">
        <f>IF(+I14&lt;F52,I14,D53)</f>
        <v>38205.046511627908</v>
      </c>
      <c r="F53" s="159">
        <f t="shared" si="13"/>
        <v>228805.43599071284</v>
      </c>
      <c r="G53" s="161">
        <f t="shared" si="11"/>
        <v>62885.690102372042</v>
      </c>
      <c r="H53" s="142">
        <f t="shared" si="12"/>
        <v>62885.690102372042</v>
      </c>
      <c r="I53" s="156">
        <f t="shared" si="14"/>
        <v>0</v>
      </c>
      <c r="J53" s="156"/>
      <c r="K53" s="334"/>
      <c r="L53" s="158">
        <f t="shared" si="15"/>
        <v>0</v>
      </c>
      <c r="M53" s="334"/>
      <c r="N53" s="158">
        <f t="shared" si="16"/>
        <v>0</v>
      </c>
      <c r="O53" s="158">
        <f t="shared" si="17"/>
        <v>0</v>
      </c>
      <c r="P53" s="4"/>
    </row>
    <row r="54" spans="2:17">
      <c r="B54" s="9" t="str">
        <f t="shared" si="5"/>
        <v/>
      </c>
      <c r="C54" s="153">
        <f>IF(D11="","-",+C53+1)</f>
        <v>2047</v>
      </c>
      <c r="D54" s="159">
        <f>IF(F53+SUM(E$17:E53)=D$10,F53,D$10-SUM(E$17:E53))</f>
        <v>228805.43599071284</v>
      </c>
      <c r="E54" s="160">
        <f>IF(+I14&lt;F53,I14,D54)</f>
        <v>38205.046511627908</v>
      </c>
      <c r="F54" s="159">
        <f t="shared" si="13"/>
        <v>190600.38947908493</v>
      </c>
      <c r="G54" s="161">
        <f t="shared" si="11"/>
        <v>59082.161005576811</v>
      </c>
      <c r="H54" s="142">
        <f t="shared" si="12"/>
        <v>59082.161005576811</v>
      </c>
      <c r="I54" s="156">
        <f t="shared" si="14"/>
        <v>0</v>
      </c>
      <c r="J54" s="156"/>
      <c r="K54" s="334"/>
      <c r="L54" s="158">
        <f t="shared" si="15"/>
        <v>0</v>
      </c>
      <c r="M54" s="334"/>
      <c r="N54" s="158">
        <f t="shared" si="16"/>
        <v>0</v>
      </c>
      <c r="O54" s="158">
        <f t="shared" si="17"/>
        <v>0</v>
      </c>
      <c r="P54" s="4"/>
    </row>
    <row r="55" spans="2:17">
      <c r="B55" s="9" t="str">
        <f t="shared" si="5"/>
        <v/>
      </c>
      <c r="C55" s="153">
        <f>IF(D11="","-",+C54+1)</f>
        <v>2048</v>
      </c>
      <c r="D55" s="159">
        <f>IF(F54+SUM(E$17:E54)=D$10,F54,D$10-SUM(E$17:E54))</f>
        <v>190600.38947908493</v>
      </c>
      <c r="E55" s="160">
        <f>IF(+I14&lt;F54,I14,D55)</f>
        <v>38205.046511627908</v>
      </c>
      <c r="F55" s="159">
        <f t="shared" si="13"/>
        <v>152395.34296745702</v>
      </c>
      <c r="G55" s="161">
        <f t="shared" si="11"/>
        <v>55278.631908781579</v>
      </c>
      <c r="H55" s="142">
        <f t="shared" si="12"/>
        <v>55278.631908781579</v>
      </c>
      <c r="I55" s="156">
        <f t="shared" si="14"/>
        <v>0</v>
      </c>
      <c r="J55" s="156"/>
      <c r="K55" s="334"/>
      <c r="L55" s="158">
        <f t="shared" si="15"/>
        <v>0</v>
      </c>
      <c r="M55" s="334"/>
      <c r="N55" s="158">
        <f t="shared" si="16"/>
        <v>0</v>
      </c>
      <c r="O55" s="158">
        <f t="shared" si="17"/>
        <v>0</v>
      </c>
      <c r="P55" s="4"/>
    </row>
    <row r="56" spans="2:17">
      <c r="B56" s="9" t="str">
        <f t="shared" si="5"/>
        <v/>
      </c>
      <c r="C56" s="153">
        <f>IF(D11="","-",+C55+1)</f>
        <v>2049</v>
      </c>
      <c r="D56" s="159">
        <f>IF(F55+SUM(E$17:E55)=D$10,F55,D$10-SUM(E$17:E55))</f>
        <v>152395.34296745702</v>
      </c>
      <c r="E56" s="160">
        <f>IF(+I14&lt;F55,I14,D56)</f>
        <v>38205.046511627908</v>
      </c>
      <c r="F56" s="159">
        <f t="shared" si="13"/>
        <v>114190.29645582911</v>
      </c>
      <c r="G56" s="161">
        <f t="shared" ref="G56:G72" si="18">+I$12*((D56+F56)/2)+E56</f>
        <v>51475.102811986348</v>
      </c>
      <c r="H56" s="142">
        <f t="shared" ref="H56:H72" si="19">+I$13*((D56+F56)/2)+E56</f>
        <v>51475.102811986348</v>
      </c>
      <c r="I56" s="156">
        <f t="shared" si="14"/>
        <v>0</v>
      </c>
      <c r="J56" s="156"/>
      <c r="K56" s="334"/>
      <c r="L56" s="158">
        <f t="shared" si="15"/>
        <v>0</v>
      </c>
      <c r="M56" s="334"/>
      <c r="N56" s="158">
        <f t="shared" si="16"/>
        <v>0</v>
      </c>
      <c r="O56" s="158">
        <f t="shared" si="17"/>
        <v>0</v>
      </c>
      <c r="P56" s="4"/>
    </row>
    <row r="57" spans="2:17">
      <c r="B57" s="9" t="str">
        <f t="shared" si="5"/>
        <v/>
      </c>
      <c r="C57" s="153">
        <f>IF(D11="","-",+C56+1)</f>
        <v>2050</v>
      </c>
      <c r="D57" s="159">
        <f>IF(F56+SUM(E$17:E56)=D$10,F56,D$10-SUM(E$17:E56))</f>
        <v>114190.29645582911</v>
      </c>
      <c r="E57" s="160">
        <f>IF(+I14&lt;F56,I14,D57)</f>
        <v>38205.046511627908</v>
      </c>
      <c r="F57" s="159">
        <f t="shared" si="13"/>
        <v>75985.249944201205</v>
      </c>
      <c r="G57" s="161">
        <f t="shared" si="18"/>
        <v>47671.573715191123</v>
      </c>
      <c r="H57" s="142">
        <f t="shared" si="19"/>
        <v>47671.573715191123</v>
      </c>
      <c r="I57" s="156">
        <f t="shared" si="14"/>
        <v>0</v>
      </c>
      <c r="J57" s="156"/>
      <c r="K57" s="334"/>
      <c r="L57" s="158">
        <f t="shared" si="15"/>
        <v>0</v>
      </c>
      <c r="M57" s="334"/>
      <c r="N57" s="158">
        <f t="shared" si="16"/>
        <v>0</v>
      </c>
      <c r="O57" s="158">
        <f t="shared" si="17"/>
        <v>0</v>
      </c>
      <c r="P57" s="4"/>
    </row>
    <row r="58" spans="2:17">
      <c r="B58" s="9" t="str">
        <f t="shared" si="5"/>
        <v/>
      </c>
      <c r="C58" s="153">
        <f>IF(D11="","-",+C57+1)</f>
        <v>2051</v>
      </c>
      <c r="D58" s="159">
        <f>IF(F57+SUM(E$17:E57)=D$10,F57,D$10-SUM(E$17:E57))</f>
        <v>75985.249944201205</v>
      </c>
      <c r="E58" s="160">
        <f>IF(+I14&lt;F57,I14,D58)</f>
        <v>38205.046511627908</v>
      </c>
      <c r="F58" s="159">
        <f t="shared" si="13"/>
        <v>37780.203432573297</v>
      </c>
      <c r="G58" s="161">
        <f t="shared" si="18"/>
        <v>43868.044618395892</v>
      </c>
      <c r="H58" s="142">
        <f t="shared" si="19"/>
        <v>43868.044618395892</v>
      </c>
      <c r="I58" s="156">
        <f t="shared" si="14"/>
        <v>0</v>
      </c>
      <c r="J58" s="156"/>
      <c r="K58" s="334"/>
      <c r="L58" s="158">
        <f t="shared" si="15"/>
        <v>0</v>
      </c>
      <c r="M58" s="334"/>
      <c r="N58" s="158">
        <f t="shared" si="16"/>
        <v>0</v>
      </c>
      <c r="O58" s="158">
        <f t="shared" si="17"/>
        <v>0</v>
      </c>
      <c r="P58" s="4"/>
      <c r="Q58" t="str">
        <f>IF(ROUND(Q57,0)=ROUND(SUM(Q18:Q56),0),"","Error -- check allocations above).")</f>
        <v/>
      </c>
    </row>
    <row r="59" spans="2:17">
      <c r="B59" s="9" t="str">
        <f t="shared" si="5"/>
        <v/>
      </c>
      <c r="C59" s="153">
        <f>IF(D11="","-",+C58+1)</f>
        <v>2052</v>
      </c>
      <c r="D59" s="159">
        <f>IF(F58+SUM(E$17:E58)=D$10,F58,D$10-SUM(E$17:E58))</f>
        <v>37780.203432573297</v>
      </c>
      <c r="E59" s="160">
        <f>IF(+I14&lt;F58,I14,D59)</f>
        <v>37780.203432573297</v>
      </c>
      <c r="F59" s="159">
        <f t="shared" si="13"/>
        <v>0</v>
      </c>
      <c r="G59" s="161">
        <f t="shared" si="18"/>
        <v>39660.820211758481</v>
      </c>
      <c r="H59" s="142">
        <f t="shared" si="19"/>
        <v>39660.820211758481</v>
      </c>
      <c r="I59" s="156">
        <f t="shared" si="14"/>
        <v>0</v>
      </c>
      <c r="J59" s="156"/>
      <c r="K59" s="334"/>
      <c r="L59" s="158">
        <f t="shared" si="15"/>
        <v>0</v>
      </c>
      <c r="M59" s="334"/>
      <c r="N59" s="158">
        <f t="shared" si="16"/>
        <v>0</v>
      </c>
      <c r="O59" s="158">
        <f t="shared" si="17"/>
        <v>0</v>
      </c>
      <c r="P59" s="4"/>
    </row>
    <row r="60" spans="2:17">
      <c r="B60" s="9" t="str">
        <f t="shared" si="5"/>
        <v/>
      </c>
      <c r="C60" s="153">
        <f>IF(D11="","-",+C59+1)</f>
        <v>2053</v>
      </c>
      <c r="D60" s="159">
        <f>IF(F59+SUM(E$17:E59)=D$10,F59,D$10-SUM(E$17:E59))</f>
        <v>0</v>
      </c>
      <c r="E60" s="160">
        <f>IF(+I14&lt;F59,I14,D60)</f>
        <v>0</v>
      </c>
      <c r="F60" s="159">
        <f t="shared" si="13"/>
        <v>0</v>
      </c>
      <c r="G60" s="161">
        <f t="shared" si="18"/>
        <v>0</v>
      </c>
      <c r="H60" s="142">
        <f t="shared" si="19"/>
        <v>0</v>
      </c>
      <c r="I60" s="156">
        <f t="shared" si="14"/>
        <v>0</v>
      </c>
      <c r="J60" s="156"/>
      <c r="K60" s="334"/>
      <c r="L60" s="158">
        <f t="shared" si="15"/>
        <v>0</v>
      </c>
      <c r="M60" s="334"/>
      <c r="N60" s="158">
        <f t="shared" si="16"/>
        <v>0</v>
      </c>
      <c r="O60" s="158">
        <f t="shared" si="17"/>
        <v>0</v>
      </c>
      <c r="P60" s="4"/>
    </row>
    <row r="61" spans="2:17">
      <c r="B61" s="9" t="str">
        <f t="shared" si="5"/>
        <v/>
      </c>
      <c r="C61" s="153">
        <f>IF(D11="","-",+C60+1)</f>
        <v>2054</v>
      </c>
      <c r="D61" s="159">
        <f>IF(F60+SUM(E$17:E60)=D$10,F60,D$10-SUM(E$17:E60))</f>
        <v>0</v>
      </c>
      <c r="E61" s="160">
        <f>IF(+I14&lt;F60,I14,D61)</f>
        <v>0</v>
      </c>
      <c r="F61" s="159">
        <f t="shared" si="13"/>
        <v>0</v>
      </c>
      <c r="G61" s="163">
        <f t="shared" si="18"/>
        <v>0</v>
      </c>
      <c r="H61" s="142">
        <f t="shared" si="19"/>
        <v>0</v>
      </c>
      <c r="I61" s="156">
        <f t="shared" si="14"/>
        <v>0</v>
      </c>
      <c r="J61" s="156"/>
      <c r="K61" s="334"/>
      <c r="L61" s="158">
        <f t="shared" si="15"/>
        <v>0</v>
      </c>
      <c r="M61" s="334"/>
      <c r="N61" s="158">
        <f t="shared" si="16"/>
        <v>0</v>
      </c>
      <c r="O61" s="158">
        <f t="shared" si="17"/>
        <v>0</v>
      </c>
      <c r="P61" s="4"/>
    </row>
    <row r="62" spans="2:17">
      <c r="B62" s="9" t="str">
        <f t="shared" si="5"/>
        <v/>
      </c>
      <c r="C62" s="153">
        <f>IF(D11="","-",+C61+1)</f>
        <v>2055</v>
      </c>
      <c r="D62" s="159">
        <f>IF(F61+SUM(E$17:E61)=D$10,F61,D$10-SUM(E$17:E61))</f>
        <v>0</v>
      </c>
      <c r="E62" s="160">
        <f>IF(+I14&lt;F61,I14,D62)</f>
        <v>0</v>
      </c>
      <c r="F62" s="159">
        <f t="shared" si="13"/>
        <v>0</v>
      </c>
      <c r="G62" s="163">
        <f t="shared" si="18"/>
        <v>0</v>
      </c>
      <c r="H62" s="142">
        <f t="shared" si="19"/>
        <v>0</v>
      </c>
      <c r="I62" s="156">
        <f t="shared" si="14"/>
        <v>0</v>
      </c>
      <c r="J62" s="156"/>
      <c r="K62" s="334"/>
      <c r="L62" s="158">
        <f t="shared" si="15"/>
        <v>0</v>
      </c>
      <c r="M62" s="334"/>
      <c r="N62" s="158">
        <f t="shared" si="16"/>
        <v>0</v>
      </c>
      <c r="O62" s="158">
        <f t="shared" si="17"/>
        <v>0</v>
      </c>
      <c r="P62" s="4"/>
    </row>
    <row r="63" spans="2:17">
      <c r="B63" s="9" t="str">
        <f t="shared" si="5"/>
        <v/>
      </c>
      <c r="C63" s="153">
        <f>IF(D11="","-",+C62+1)</f>
        <v>2056</v>
      </c>
      <c r="D63" s="159">
        <f>IF(F62+SUM(E$17:E62)=D$10,F62,D$10-SUM(E$17:E62))</f>
        <v>0</v>
      </c>
      <c r="E63" s="160">
        <f>IF(+I14&lt;F62,I14,D63)</f>
        <v>0</v>
      </c>
      <c r="F63" s="159">
        <f t="shared" si="13"/>
        <v>0</v>
      </c>
      <c r="G63" s="163">
        <f t="shared" si="18"/>
        <v>0</v>
      </c>
      <c r="H63" s="142">
        <f t="shared" si="19"/>
        <v>0</v>
      </c>
      <c r="I63" s="156">
        <f t="shared" si="14"/>
        <v>0</v>
      </c>
      <c r="J63" s="156"/>
      <c r="K63" s="334"/>
      <c r="L63" s="158">
        <f t="shared" si="15"/>
        <v>0</v>
      </c>
      <c r="M63" s="334"/>
      <c r="N63" s="158">
        <f t="shared" si="16"/>
        <v>0</v>
      </c>
      <c r="O63" s="158">
        <f t="shared" si="17"/>
        <v>0</v>
      </c>
      <c r="P63" s="4"/>
    </row>
    <row r="64" spans="2:17">
      <c r="B64" s="9" t="str">
        <f t="shared" si="5"/>
        <v/>
      </c>
      <c r="C64" s="153">
        <f>IF(D11="","-",+C63+1)</f>
        <v>2057</v>
      </c>
      <c r="D64" s="159">
        <f>IF(F63+SUM(E$17:E63)=D$10,F63,D$10-SUM(E$17:E63))</f>
        <v>0</v>
      </c>
      <c r="E64" s="160">
        <f>IF(+I14&lt;F63,I14,D64)</f>
        <v>0</v>
      </c>
      <c r="F64" s="159">
        <f t="shared" si="13"/>
        <v>0</v>
      </c>
      <c r="G64" s="163">
        <f t="shared" si="18"/>
        <v>0</v>
      </c>
      <c r="H64" s="142">
        <f t="shared" si="19"/>
        <v>0</v>
      </c>
      <c r="I64" s="156">
        <f t="shared" si="14"/>
        <v>0</v>
      </c>
      <c r="J64" s="156"/>
      <c r="K64" s="334"/>
      <c r="L64" s="158">
        <f t="shared" si="15"/>
        <v>0</v>
      </c>
      <c r="M64" s="334"/>
      <c r="N64" s="158">
        <f t="shared" si="16"/>
        <v>0</v>
      </c>
      <c r="O64" s="158">
        <f t="shared" si="17"/>
        <v>0</v>
      </c>
      <c r="P64" s="4"/>
    </row>
    <row r="65" spans="1:16">
      <c r="B65" s="9" t="str">
        <f t="shared" si="5"/>
        <v/>
      </c>
      <c r="C65" s="153">
        <f>IF(D11="","-",+C64+1)</f>
        <v>2058</v>
      </c>
      <c r="D65" s="159">
        <f>IF(F64+SUM(E$17:E64)=D$10,F64,D$10-SUM(E$17:E64))</f>
        <v>0</v>
      </c>
      <c r="E65" s="160">
        <f>IF(+I14&lt;F64,I14,D65)</f>
        <v>0</v>
      </c>
      <c r="F65" s="159">
        <f t="shared" si="13"/>
        <v>0</v>
      </c>
      <c r="G65" s="163">
        <f t="shared" si="18"/>
        <v>0</v>
      </c>
      <c r="H65" s="142">
        <f t="shared" si="19"/>
        <v>0</v>
      </c>
      <c r="I65" s="156">
        <f t="shared" si="14"/>
        <v>0</v>
      </c>
      <c r="J65" s="156"/>
      <c r="K65" s="334"/>
      <c r="L65" s="158">
        <f t="shared" si="15"/>
        <v>0</v>
      </c>
      <c r="M65" s="334"/>
      <c r="N65" s="158">
        <f t="shared" si="16"/>
        <v>0</v>
      </c>
      <c r="O65" s="158">
        <f t="shared" si="17"/>
        <v>0</v>
      </c>
      <c r="P65" s="4"/>
    </row>
    <row r="66" spans="1:16">
      <c r="B66" s="9" t="str">
        <f t="shared" si="5"/>
        <v/>
      </c>
      <c r="C66" s="153">
        <f>IF(D11="","-",+C65+1)</f>
        <v>2059</v>
      </c>
      <c r="D66" s="159">
        <f>IF(F65+SUM(E$17:E65)=D$10,F65,D$10-SUM(E$17:E65))</f>
        <v>0</v>
      </c>
      <c r="E66" s="160">
        <f>IF(+I14&lt;F65,I14,D66)</f>
        <v>0</v>
      </c>
      <c r="F66" s="159">
        <f t="shared" si="13"/>
        <v>0</v>
      </c>
      <c r="G66" s="163">
        <f t="shared" si="18"/>
        <v>0</v>
      </c>
      <c r="H66" s="142">
        <f t="shared" si="19"/>
        <v>0</v>
      </c>
      <c r="I66" s="156">
        <f t="shared" si="14"/>
        <v>0</v>
      </c>
      <c r="J66" s="156"/>
      <c r="K66" s="334"/>
      <c r="L66" s="158">
        <f t="shared" si="15"/>
        <v>0</v>
      </c>
      <c r="M66" s="334"/>
      <c r="N66" s="158">
        <f t="shared" si="16"/>
        <v>0</v>
      </c>
      <c r="O66" s="158">
        <f t="shared" si="17"/>
        <v>0</v>
      </c>
      <c r="P66" s="4"/>
    </row>
    <row r="67" spans="1:16">
      <c r="B67" s="9" t="str">
        <f t="shared" si="5"/>
        <v/>
      </c>
      <c r="C67" s="153">
        <f>IF(D11="","-",+C66+1)</f>
        <v>2060</v>
      </c>
      <c r="D67" s="159">
        <f>IF(F66+SUM(E$17:E66)=D$10,F66,D$10-SUM(E$17:E66))</f>
        <v>0</v>
      </c>
      <c r="E67" s="160">
        <f>IF(+I14&lt;F66,I14,D67)</f>
        <v>0</v>
      </c>
      <c r="F67" s="159">
        <f t="shared" si="13"/>
        <v>0</v>
      </c>
      <c r="G67" s="163">
        <f t="shared" si="18"/>
        <v>0</v>
      </c>
      <c r="H67" s="142">
        <f t="shared" si="19"/>
        <v>0</v>
      </c>
      <c r="I67" s="156">
        <f t="shared" si="14"/>
        <v>0</v>
      </c>
      <c r="J67" s="156"/>
      <c r="K67" s="334"/>
      <c r="L67" s="158">
        <f t="shared" si="15"/>
        <v>0</v>
      </c>
      <c r="M67" s="334"/>
      <c r="N67" s="158">
        <f t="shared" si="16"/>
        <v>0</v>
      </c>
      <c r="O67" s="158">
        <f t="shared" si="17"/>
        <v>0</v>
      </c>
      <c r="P67" s="4"/>
    </row>
    <row r="68" spans="1:16">
      <c r="B68" s="9" t="str">
        <f t="shared" si="5"/>
        <v/>
      </c>
      <c r="C68" s="153">
        <f>IF(D11="","-",+C67+1)</f>
        <v>2061</v>
      </c>
      <c r="D68" s="159">
        <f>IF(F67+SUM(E$17:E67)=D$10,F67,D$10-SUM(E$17:E67))</f>
        <v>0</v>
      </c>
      <c r="E68" s="160">
        <f>IF(+I14&lt;F67,I14,D68)</f>
        <v>0</v>
      </c>
      <c r="F68" s="159">
        <f t="shared" si="13"/>
        <v>0</v>
      </c>
      <c r="G68" s="163">
        <f t="shared" si="18"/>
        <v>0</v>
      </c>
      <c r="H68" s="142">
        <f t="shared" si="19"/>
        <v>0</v>
      </c>
      <c r="I68" s="156">
        <f t="shared" si="14"/>
        <v>0</v>
      </c>
      <c r="J68" s="156"/>
      <c r="K68" s="334"/>
      <c r="L68" s="158">
        <f t="shared" si="15"/>
        <v>0</v>
      </c>
      <c r="M68" s="334"/>
      <c r="N68" s="158">
        <f t="shared" si="16"/>
        <v>0</v>
      </c>
      <c r="O68" s="158">
        <f t="shared" si="17"/>
        <v>0</v>
      </c>
      <c r="P68" s="4"/>
    </row>
    <row r="69" spans="1:16">
      <c r="B69" s="9" t="str">
        <f t="shared" si="5"/>
        <v/>
      </c>
      <c r="C69" s="153">
        <f>IF(D11="","-",+C68+1)</f>
        <v>2062</v>
      </c>
      <c r="D69" s="159">
        <f>IF(F68+SUM(E$17:E68)=D$10,F68,D$10-SUM(E$17:E68))</f>
        <v>0</v>
      </c>
      <c r="E69" s="160">
        <f>IF(+I14&lt;F68,I14,D69)</f>
        <v>0</v>
      </c>
      <c r="F69" s="159">
        <f t="shared" si="13"/>
        <v>0</v>
      </c>
      <c r="G69" s="163">
        <f t="shared" si="18"/>
        <v>0</v>
      </c>
      <c r="H69" s="142">
        <f t="shared" si="19"/>
        <v>0</v>
      </c>
      <c r="I69" s="156">
        <f t="shared" si="14"/>
        <v>0</v>
      </c>
      <c r="J69" s="156"/>
      <c r="K69" s="334"/>
      <c r="L69" s="158">
        <f t="shared" si="15"/>
        <v>0</v>
      </c>
      <c r="M69" s="334"/>
      <c r="N69" s="158">
        <f t="shared" si="16"/>
        <v>0</v>
      </c>
      <c r="O69" s="158">
        <f t="shared" si="17"/>
        <v>0</v>
      </c>
      <c r="P69" s="4"/>
    </row>
    <row r="70" spans="1:16">
      <c r="B70" s="9" t="str">
        <f t="shared" si="5"/>
        <v/>
      </c>
      <c r="C70" s="153">
        <f>IF(D11="","-",+C69+1)</f>
        <v>2063</v>
      </c>
      <c r="D70" s="159">
        <f>IF(F69+SUM(E$17:E69)=D$10,F69,D$10-SUM(E$17:E69))</f>
        <v>0</v>
      </c>
      <c r="E70" s="160">
        <f>IF(+I14&lt;F69,I14,D70)</f>
        <v>0</v>
      </c>
      <c r="F70" s="159">
        <f t="shared" si="13"/>
        <v>0</v>
      </c>
      <c r="G70" s="163">
        <f t="shared" si="18"/>
        <v>0</v>
      </c>
      <c r="H70" s="142">
        <f t="shared" si="19"/>
        <v>0</v>
      </c>
      <c r="I70" s="156">
        <f t="shared" si="14"/>
        <v>0</v>
      </c>
      <c r="J70" s="156"/>
      <c r="K70" s="334"/>
      <c r="L70" s="158">
        <f t="shared" si="15"/>
        <v>0</v>
      </c>
      <c r="M70" s="334"/>
      <c r="N70" s="158">
        <f t="shared" si="16"/>
        <v>0</v>
      </c>
      <c r="O70" s="158">
        <f t="shared" si="17"/>
        <v>0</v>
      </c>
      <c r="P70" s="4"/>
    </row>
    <row r="71" spans="1:16">
      <c r="B71" s="9" t="str">
        <f t="shared" si="5"/>
        <v/>
      </c>
      <c r="C71" s="153">
        <f>IF(D11="","-",+C70+1)</f>
        <v>2064</v>
      </c>
      <c r="D71" s="159">
        <f>IF(F70+SUM(E$17:E70)=D$10,F70,D$10-SUM(E$17:E70))</f>
        <v>0</v>
      </c>
      <c r="E71" s="160">
        <f>IF(+I14&lt;F70,I14,D71)</f>
        <v>0</v>
      </c>
      <c r="F71" s="159">
        <f t="shared" si="13"/>
        <v>0</v>
      </c>
      <c r="G71" s="163">
        <f t="shared" si="18"/>
        <v>0</v>
      </c>
      <c r="H71" s="142">
        <f t="shared" si="19"/>
        <v>0</v>
      </c>
      <c r="I71" s="156">
        <f t="shared" si="14"/>
        <v>0</v>
      </c>
      <c r="J71" s="156"/>
      <c r="K71" s="334"/>
      <c r="L71" s="158">
        <f t="shared" si="15"/>
        <v>0</v>
      </c>
      <c r="M71" s="334"/>
      <c r="N71" s="158">
        <f t="shared" si="16"/>
        <v>0</v>
      </c>
      <c r="O71" s="158">
        <f t="shared" si="17"/>
        <v>0</v>
      </c>
      <c r="P71" s="4"/>
    </row>
    <row r="72" spans="1:16" ht="13.5" thickBot="1">
      <c r="B72" s="9" t="str">
        <f t="shared" si="5"/>
        <v/>
      </c>
      <c r="C72" s="164">
        <f>IF(D11="","-",+C71+1)</f>
        <v>2065</v>
      </c>
      <c r="D72" s="165">
        <f>IF(F71+SUM(E$17:E71)=D$10,F71,D$10-SUM(E$17:E71))</f>
        <v>0</v>
      </c>
      <c r="E72" s="166">
        <f>IF(+I14&lt;F71,I14,D72)</f>
        <v>0</v>
      </c>
      <c r="F72" s="165">
        <f t="shared" si="13"/>
        <v>0</v>
      </c>
      <c r="G72" s="167">
        <f t="shared" si="18"/>
        <v>0</v>
      </c>
      <c r="H72" s="124">
        <f t="shared" si="19"/>
        <v>0</v>
      </c>
      <c r="I72" s="168">
        <f t="shared" si="14"/>
        <v>0</v>
      </c>
      <c r="J72" s="156"/>
      <c r="K72" s="335"/>
      <c r="L72" s="169">
        <f t="shared" si="15"/>
        <v>0</v>
      </c>
      <c r="M72" s="335"/>
      <c r="N72" s="169">
        <f t="shared" si="16"/>
        <v>0</v>
      </c>
      <c r="O72" s="169">
        <f t="shared" si="17"/>
        <v>0</v>
      </c>
      <c r="P72" s="4"/>
    </row>
    <row r="73" spans="1:16">
      <c r="C73" s="154" t="s">
        <v>73</v>
      </c>
      <c r="D73" s="111"/>
      <c r="E73" s="111">
        <f>SUM(E17:E72)</f>
        <v>1642817.0000000002</v>
      </c>
      <c r="F73" s="111"/>
      <c r="G73" s="111">
        <f>SUM(G17:G72)</f>
        <v>5732319.2451122226</v>
      </c>
      <c r="H73" s="111">
        <f>SUM(H17:H72)</f>
        <v>5732319.2451122226</v>
      </c>
      <c r="I73" s="111">
        <f>SUM(I17:I72)</f>
        <v>0</v>
      </c>
      <c r="J73" s="111"/>
      <c r="K73" s="111"/>
      <c r="L73" s="111"/>
      <c r="M73" s="111"/>
      <c r="N73" s="111"/>
      <c r="O73" s="4"/>
      <c r="P73" s="4"/>
    </row>
    <row r="74" spans="1:16">
      <c r="D74" s="2"/>
      <c r="E74" s="1"/>
      <c r="F74" s="1"/>
      <c r="G74" s="1"/>
      <c r="H74" s="3"/>
      <c r="I74" s="3"/>
      <c r="J74" s="111"/>
      <c r="K74" s="3"/>
      <c r="L74" s="3"/>
      <c r="M74" s="3"/>
      <c r="N74" s="3"/>
      <c r="O74" s="1"/>
      <c r="P74" s="1"/>
    </row>
    <row r="75" spans="1:16">
      <c r="C75" s="170" t="s">
        <v>91</v>
      </c>
      <c r="D75" s="2"/>
      <c r="E75" s="1"/>
      <c r="F75" s="1"/>
      <c r="G75" s="1"/>
      <c r="H75" s="3"/>
      <c r="I75" s="3"/>
      <c r="J75" s="111"/>
      <c r="K75" s="3"/>
      <c r="L75" s="3"/>
      <c r="M75" s="3"/>
      <c r="N75" s="3"/>
      <c r="O75" s="1"/>
      <c r="P75" s="1"/>
    </row>
    <row r="76" spans="1:16">
      <c r="C76" s="121" t="s">
        <v>74</v>
      </c>
      <c r="D76" s="2"/>
      <c r="E76" s="1"/>
      <c r="F76" s="1"/>
      <c r="G76" s="1"/>
      <c r="H76" s="3"/>
      <c r="I76" s="3"/>
      <c r="J76" s="111"/>
      <c r="K76" s="3"/>
      <c r="L76" s="3"/>
      <c r="M76" s="3"/>
      <c r="N76" s="3"/>
      <c r="O76" s="4"/>
      <c r="P76" s="4"/>
    </row>
    <row r="77" spans="1:16" ht="18">
      <c r="C77" s="121" t="s">
        <v>75</v>
      </c>
      <c r="D77" s="154"/>
      <c r="E77" s="154"/>
      <c r="F77" s="154"/>
      <c r="G77" s="111"/>
      <c r="H77" s="111"/>
      <c r="I77" s="171"/>
      <c r="J77" s="171"/>
      <c r="K77" s="171"/>
      <c r="L77" s="171"/>
      <c r="M77" s="171"/>
      <c r="N77" s="171"/>
      <c r="O77" s="110"/>
      <c r="P77" s="4"/>
    </row>
    <row r="78" spans="1:16">
      <c r="C78" s="121"/>
      <c r="D78" s="154"/>
      <c r="E78" s="154"/>
      <c r="F78" s="154"/>
      <c r="G78" s="111"/>
      <c r="H78" s="111"/>
      <c r="I78" s="171"/>
      <c r="J78" s="171"/>
      <c r="K78" s="171"/>
      <c r="L78" s="171"/>
      <c r="M78" s="171"/>
      <c r="N78" s="171"/>
      <c r="O78" s="4"/>
      <c r="P78" s="1"/>
    </row>
    <row r="79" spans="1:16" ht="15">
      <c r="A79" s="241"/>
      <c r="B79" s="1"/>
      <c r="C79" s="21"/>
      <c r="D79" s="2"/>
      <c r="E79" s="1"/>
      <c r="F79" s="107"/>
      <c r="G79" s="1"/>
      <c r="H79" s="3"/>
      <c r="I79" s="1"/>
      <c r="J79" s="4"/>
      <c r="K79" s="1"/>
      <c r="L79" s="1"/>
      <c r="M79" s="1"/>
      <c r="N79" s="1"/>
    </row>
    <row r="80" spans="1:16" ht="18">
      <c r="B80" s="1"/>
      <c r="C80" s="242"/>
      <c r="D80" s="2"/>
      <c r="E80" s="1"/>
      <c r="F80" s="107"/>
      <c r="G80" s="1"/>
      <c r="H80" s="3"/>
      <c r="I80" s="1"/>
      <c r="J80" s="4"/>
      <c r="K80" s="1"/>
      <c r="L80" s="1"/>
      <c r="M80" s="1"/>
      <c r="N80" s="1"/>
      <c r="P80" s="244" t="s">
        <v>125</v>
      </c>
    </row>
    <row r="81" spans="1:17">
      <c r="B81" s="1"/>
      <c r="C81" s="242"/>
      <c r="D81" s="2"/>
      <c r="E81" s="1"/>
      <c r="F81" s="107"/>
      <c r="G81" s="1"/>
      <c r="H81" s="3"/>
      <c r="I81" s="1"/>
      <c r="J81" s="4"/>
      <c r="K81" s="1"/>
      <c r="L81" s="1"/>
      <c r="M81" s="1"/>
      <c r="N81" s="1"/>
      <c r="O81" s="1"/>
      <c r="P81" s="1"/>
    </row>
    <row r="82" spans="1:17">
      <c r="B82" s="1"/>
      <c r="C82" s="21"/>
      <c r="D82" s="2"/>
      <c r="E82" s="1"/>
      <c r="F82" s="107"/>
      <c r="G82" s="1"/>
      <c r="H82" s="3"/>
      <c r="I82" s="1"/>
      <c r="J82" s="4"/>
      <c r="K82" s="1"/>
      <c r="L82" s="1"/>
      <c r="M82" s="1"/>
      <c r="N82" s="1"/>
      <c r="O82" s="1"/>
      <c r="P82" s="1"/>
      <c r="Q82" s="1"/>
    </row>
    <row r="83" spans="1:17" ht="20.25">
      <c r="A83" s="243" t="s">
        <v>129</v>
      </c>
      <c r="B83" s="1"/>
      <c r="C83" s="21"/>
      <c r="D83" s="2"/>
      <c r="E83" s="1"/>
      <c r="F83" s="99"/>
      <c r="G83" s="99"/>
      <c r="H83" s="1"/>
      <c r="I83" s="3"/>
      <c r="K83" s="7"/>
      <c r="L83" s="109"/>
      <c r="M83" s="109"/>
      <c r="P83" s="110" t="str">
        <f ca="1">P1</f>
        <v>SWEPCO Project 21 of 73</v>
      </c>
      <c r="Q83" s="1"/>
    </row>
    <row r="84" spans="1:17" ht="18">
      <c r="B84" s="1"/>
      <c r="C84" s="1"/>
      <c r="D84" s="2"/>
      <c r="E84" s="1"/>
      <c r="F84" s="1"/>
      <c r="G84" s="1"/>
      <c r="H84" s="1"/>
      <c r="I84" s="3"/>
      <c r="J84" s="1"/>
      <c r="K84" s="4"/>
      <c r="L84" s="1"/>
      <c r="M84" s="1"/>
      <c r="P84" s="237" t="s">
        <v>123</v>
      </c>
      <c r="Q84" s="1"/>
    </row>
    <row r="85" spans="1:17" ht="18.75" thickBot="1">
      <c r="B85" s="5" t="s">
        <v>40</v>
      </c>
      <c r="C85" s="197" t="s">
        <v>78</v>
      </c>
      <c r="D85" s="2"/>
      <c r="E85" s="1"/>
      <c r="F85" s="1"/>
      <c r="G85" s="1"/>
      <c r="H85" s="1"/>
      <c r="I85" s="3"/>
      <c r="J85" s="3"/>
      <c r="K85" s="111"/>
      <c r="L85" s="3"/>
      <c r="M85" s="3"/>
      <c r="N85" s="3"/>
      <c r="O85" s="111"/>
      <c r="P85" s="1"/>
      <c r="Q85" s="1"/>
    </row>
    <row r="86" spans="1:17" ht="15.75" thickBot="1">
      <c r="C86" s="67"/>
      <c r="D86" s="2"/>
      <c r="E86" s="1"/>
      <c r="F86" s="1"/>
      <c r="G86" s="1"/>
      <c r="H86" s="1"/>
      <c r="I86" s="3"/>
      <c r="J86" s="3"/>
      <c r="K86" s="111"/>
      <c r="L86" s="265">
        <f>+J92</f>
        <v>2017</v>
      </c>
      <c r="M86" s="266" t="s">
        <v>7</v>
      </c>
      <c r="N86" s="270" t="s">
        <v>154</v>
      </c>
      <c r="O86" s="267" t="s">
        <v>9</v>
      </c>
      <c r="P86" s="1"/>
      <c r="Q86" s="1"/>
    </row>
    <row r="87" spans="1:17" ht="15">
      <c r="C87" s="235" t="s">
        <v>42</v>
      </c>
      <c r="D87" s="2"/>
      <c r="E87" s="1"/>
      <c r="F87" s="1"/>
      <c r="G87" s="1"/>
      <c r="H87" s="113"/>
      <c r="I87" s="1" t="s">
        <v>43</v>
      </c>
      <c r="J87" s="1"/>
      <c r="K87" s="261"/>
      <c r="L87" s="259" t="s">
        <v>381</v>
      </c>
      <c r="M87" s="198">
        <f>IF(J92&lt;D11,0,VLOOKUP(J92,C17:O72,9))</f>
        <v>206416.1656138415</v>
      </c>
      <c r="N87" s="198">
        <f>IF(J92&lt;D11,0,VLOOKUP(J92,C17:O72,11))</f>
        <v>206416.1656138415</v>
      </c>
      <c r="O87" s="199">
        <f>+N87-M87</f>
        <v>0</v>
      </c>
      <c r="P87" s="1"/>
      <c r="Q87" s="1"/>
    </row>
    <row r="88" spans="1:17" ht="15.75">
      <c r="C88" s="8"/>
      <c r="D88" s="2"/>
      <c r="E88" s="1"/>
      <c r="F88" s="1"/>
      <c r="G88" s="1"/>
      <c r="H88" s="1"/>
      <c r="I88" s="117"/>
      <c r="J88" s="117"/>
      <c r="K88" s="263"/>
      <c r="L88" s="264" t="s">
        <v>382</v>
      </c>
      <c r="M88" s="200">
        <f>IF(J92&lt;D11,0,VLOOKUP(J92,C99:P154,6))</f>
        <v>205545.67397661868</v>
      </c>
      <c r="N88" s="200">
        <f>IF(J92&lt;D11,0,VLOOKUP(J92,C99:P154,7))</f>
        <v>205545.67397661868</v>
      </c>
      <c r="O88" s="201">
        <f>+N88-M88</f>
        <v>0</v>
      </c>
      <c r="P88" s="1"/>
      <c r="Q88" s="1"/>
    </row>
    <row r="89" spans="1:17" ht="13.5" thickBot="1">
      <c r="C89" s="121" t="s">
        <v>79</v>
      </c>
      <c r="D89" s="274" t="str">
        <f>D7</f>
        <v>Reconductor 4 mi. of McNabb-Turk</v>
      </c>
      <c r="E89" s="1"/>
      <c r="F89" s="1"/>
      <c r="G89" s="1"/>
      <c r="H89" s="1"/>
      <c r="I89" s="3"/>
      <c r="J89" s="3"/>
      <c r="K89" s="262"/>
      <c r="L89" s="260" t="s">
        <v>151</v>
      </c>
      <c r="M89" s="203">
        <f>+M88-M87</f>
        <v>-870.4916372228181</v>
      </c>
      <c r="N89" s="203">
        <f>+N88-N87</f>
        <v>-870.4916372228181</v>
      </c>
      <c r="O89" s="204">
        <f>+O88-O87</f>
        <v>0</v>
      </c>
      <c r="P89" s="1"/>
      <c r="Q89" s="1"/>
    </row>
    <row r="90" spans="1:17" ht="13.5" thickBot="1">
      <c r="C90" s="170"/>
      <c r="D90" s="173" t="str">
        <f>D8</f>
        <v/>
      </c>
      <c r="E90" s="107"/>
      <c r="F90" s="107"/>
      <c r="G90" s="107"/>
      <c r="H90" s="126"/>
      <c r="I90" s="3"/>
      <c r="J90" s="3"/>
      <c r="K90" s="111"/>
      <c r="L90" s="3"/>
      <c r="M90" s="3"/>
      <c r="N90" s="3"/>
      <c r="O90" s="111"/>
      <c r="P90" s="1"/>
      <c r="Q90" s="1"/>
    </row>
    <row r="91" spans="1:17" ht="13.5" thickBot="1">
      <c r="A91" s="103"/>
      <c r="C91" s="205" t="s">
        <v>80</v>
      </c>
      <c r="D91" s="224" t="str">
        <f>+D9</f>
        <v>TP2006077</v>
      </c>
      <c r="E91" s="401" t="s">
        <v>412</v>
      </c>
      <c r="F91" s="206"/>
      <c r="G91" s="206"/>
      <c r="H91" s="206"/>
      <c r="I91" s="206"/>
      <c r="J91" s="238"/>
      <c r="K91" s="207"/>
      <c r="P91" s="131"/>
      <c r="Q91" s="1"/>
    </row>
    <row r="92" spans="1:17">
      <c r="C92" s="136" t="s">
        <v>47</v>
      </c>
      <c r="D92" s="133">
        <v>1642817</v>
      </c>
      <c r="E92" s="21" t="s">
        <v>81</v>
      </c>
      <c r="H92" s="134"/>
      <c r="I92" s="134"/>
      <c r="J92" s="135">
        <f>+'SWE.WS.G.BPU.ATRR.True-up'!M15</f>
        <v>2017</v>
      </c>
      <c r="K92" s="130"/>
      <c r="L92" s="111" t="s">
        <v>82</v>
      </c>
      <c r="P92" s="4"/>
      <c r="Q92" s="1"/>
    </row>
    <row r="93" spans="1:17">
      <c r="C93" s="136" t="s">
        <v>49</v>
      </c>
      <c r="D93" s="219">
        <f>IF(D11=I10,"",D11)</f>
        <v>2010</v>
      </c>
      <c r="E93" s="136" t="s">
        <v>50</v>
      </c>
      <c r="F93" s="134"/>
      <c r="G93" s="134"/>
      <c r="J93" s="138">
        <f>IF(H87="",0,'SWE.WS.G.BPU.ATRR.True-up'!$F$12)</f>
        <v>0</v>
      </c>
      <c r="K93" s="139"/>
      <c r="L93" t="str">
        <f>"          INPUT TRUE-UP ARR (WITH &amp; WITHOUT INCENTIVES) FROM EACH PRIOR YEAR"</f>
        <v xml:space="preserve">          INPUT TRUE-UP ARR (WITH &amp; WITHOUT INCENTIVES) FROM EACH PRIOR YEAR</v>
      </c>
      <c r="P93" s="4"/>
      <c r="Q93" s="1"/>
    </row>
    <row r="94" spans="1:17">
      <c r="C94" s="136" t="s">
        <v>51</v>
      </c>
      <c r="D94" s="218">
        <f>IF(D11=I10,"",D12)</f>
        <v>6</v>
      </c>
      <c r="E94" s="136" t="s">
        <v>52</v>
      </c>
      <c r="F94" s="134"/>
      <c r="G94" s="134"/>
      <c r="J94" s="140">
        <f>'SWE.WS.G.BPU.ATRR.True-up'!$F$80</f>
        <v>0.12147145768398206</v>
      </c>
      <c r="K94" s="141"/>
      <c r="L94" t="s">
        <v>83</v>
      </c>
      <c r="P94" s="4"/>
      <c r="Q94" s="1"/>
    </row>
    <row r="95" spans="1:17">
      <c r="C95" s="136" t="s">
        <v>54</v>
      </c>
      <c r="D95" s="138">
        <f>'SWE.WS.G.BPU.ATRR.True-up'!F$92</f>
        <v>42</v>
      </c>
      <c r="E95" s="136" t="s">
        <v>55</v>
      </c>
      <c r="F95" s="134"/>
      <c r="G95" s="134"/>
      <c r="J95" s="140">
        <f>IF(H87="",J94,'SWE.WS.G.BPU.ATRR.True-up'!$F$79)</f>
        <v>0.12147145768398206</v>
      </c>
      <c r="K95" s="58"/>
      <c r="L95" s="111" t="s">
        <v>56</v>
      </c>
      <c r="M95" s="58"/>
      <c r="N95" s="58"/>
      <c r="O95" s="58"/>
      <c r="P95" s="4"/>
      <c r="Q95" s="1"/>
    </row>
    <row r="96" spans="1:17" ht="13.5" thickBot="1">
      <c r="C96" s="136" t="s">
        <v>57</v>
      </c>
      <c r="D96" s="220" t="str">
        <f>+D14</f>
        <v>No</v>
      </c>
      <c r="E96" s="202" t="s">
        <v>59</v>
      </c>
      <c r="F96" s="208"/>
      <c r="G96" s="208"/>
      <c r="H96" s="209"/>
      <c r="I96" s="209"/>
      <c r="J96" s="124">
        <f>IF(D92=0,0,D92/D95)</f>
        <v>39114.690476190473</v>
      </c>
      <c r="K96" s="111"/>
      <c r="L96" s="111"/>
      <c r="M96" s="111"/>
      <c r="N96" s="111"/>
      <c r="O96" s="111"/>
      <c r="P96" s="4"/>
      <c r="Q96" s="1"/>
    </row>
    <row r="97" spans="1:17" ht="38.25">
      <c r="A97" s="6"/>
      <c r="B97" s="6"/>
      <c r="C97" s="210" t="s">
        <v>47</v>
      </c>
      <c r="D97" s="211" t="s">
        <v>60</v>
      </c>
      <c r="E97" s="146" t="s">
        <v>61</v>
      </c>
      <c r="F97" s="146" t="s">
        <v>62</v>
      </c>
      <c r="G97" s="144" t="s">
        <v>84</v>
      </c>
      <c r="H97" s="434" t="s">
        <v>378</v>
      </c>
      <c r="I97" s="435" t="s">
        <v>379</v>
      </c>
      <c r="J97" s="210" t="s">
        <v>85</v>
      </c>
      <c r="K97" s="212"/>
      <c r="L97" s="271" t="s">
        <v>220</v>
      </c>
      <c r="M97" s="146" t="s">
        <v>86</v>
      </c>
      <c r="N97" s="271" t="s">
        <v>220</v>
      </c>
      <c r="O97" s="146" t="s">
        <v>86</v>
      </c>
      <c r="P97" s="146" t="s">
        <v>65</v>
      </c>
      <c r="Q97" s="1"/>
    </row>
    <row r="98" spans="1:17" ht="13.5" thickBot="1">
      <c r="C98" s="147" t="s">
        <v>66</v>
      </c>
      <c r="D98" s="213" t="s">
        <v>67</v>
      </c>
      <c r="E98" s="147" t="s">
        <v>68</v>
      </c>
      <c r="F98" s="147" t="s">
        <v>67</v>
      </c>
      <c r="G98" s="147" t="s">
        <v>67</v>
      </c>
      <c r="H98" s="407" t="s">
        <v>69</v>
      </c>
      <c r="I98" s="148" t="s">
        <v>70</v>
      </c>
      <c r="J98" s="149" t="s">
        <v>89</v>
      </c>
      <c r="K98" s="150"/>
      <c r="L98" s="151" t="s">
        <v>72</v>
      </c>
      <c r="M98" s="151" t="s">
        <v>72</v>
      </c>
      <c r="N98" s="151" t="s">
        <v>90</v>
      </c>
      <c r="O98" s="151" t="s">
        <v>90</v>
      </c>
      <c r="P98" s="151" t="s">
        <v>90</v>
      </c>
      <c r="Q98" s="1"/>
    </row>
    <row r="99" spans="1:17">
      <c r="C99" s="153">
        <f>IF(D93= "","-",D93)</f>
        <v>2010</v>
      </c>
      <c r="D99" s="357">
        <v>0</v>
      </c>
      <c r="E99" s="360">
        <v>19631.743902439026</v>
      </c>
      <c r="F99" s="361">
        <v>1590171.256097561</v>
      </c>
      <c r="G99" s="365">
        <v>795085.62804878049</v>
      </c>
      <c r="H99" s="362">
        <v>150889.3151810994</v>
      </c>
      <c r="I99" s="363">
        <v>150889.3151810994</v>
      </c>
      <c r="J99" s="403">
        <f t="shared" ref="J99:J130" si="20">+I99-H99</f>
        <v>0</v>
      </c>
      <c r="K99" s="158"/>
      <c r="L99" s="256">
        <f t="shared" ref="L99:L104" si="21">H99</f>
        <v>150889.3151810994</v>
      </c>
      <c r="M99" s="172">
        <f t="shared" ref="M99:M130" si="22">IF(L99&lt;&gt;0,+H99-L99,0)</f>
        <v>0</v>
      </c>
      <c r="N99" s="256">
        <f t="shared" ref="N99:N104" si="23">I99</f>
        <v>150889.3151810994</v>
      </c>
      <c r="O99" s="157">
        <f t="shared" ref="O99:O130" si="24">IF(N99&lt;&gt;0,+I99-N99,0)</f>
        <v>0</v>
      </c>
      <c r="P99" s="157">
        <f t="shared" ref="P99:P130" si="25">+O99-M99</f>
        <v>0</v>
      </c>
      <c r="Q99" s="1"/>
    </row>
    <row r="100" spans="1:17">
      <c r="B100" s="9" t="str">
        <f>IF(D100=F99,"","IU")</f>
        <v>IU</v>
      </c>
      <c r="C100" s="153">
        <f>IF(D93="","-",+C99+1)</f>
        <v>2011</v>
      </c>
      <c r="D100" s="357">
        <v>1619340.256097561</v>
      </c>
      <c r="E100" s="360">
        <v>39023.142857142855</v>
      </c>
      <c r="F100" s="361">
        <v>1580317.113240418</v>
      </c>
      <c r="G100" s="361">
        <v>1599828.6846689894</v>
      </c>
      <c r="H100" s="360">
        <v>279605.22250297031</v>
      </c>
      <c r="I100" s="359">
        <v>279605.22250297031</v>
      </c>
      <c r="J100" s="403">
        <f t="shared" si="20"/>
        <v>0</v>
      </c>
      <c r="K100" s="158"/>
      <c r="L100" s="258">
        <f t="shared" si="21"/>
        <v>279605.22250297031</v>
      </c>
      <c r="M100" s="257">
        <f t="shared" si="22"/>
        <v>0</v>
      </c>
      <c r="N100" s="258">
        <f t="shared" si="23"/>
        <v>279605.22250297031</v>
      </c>
      <c r="O100" s="158">
        <f t="shared" si="24"/>
        <v>0</v>
      </c>
      <c r="P100" s="158">
        <f t="shared" si="25"/>
        <v>0</v>
      </c>
      <c r="Q100" s="1"/>
    </row>
    <row r="101" spans="1:17">
      <c r="B101" s="9" t="str">
        <f t="shared" ref="B101:B154" si="26">IF(D101=F100,"","IU")</f>
        <v/>
      </c>
      <c r="C101" s="153">
        <f>IF(D93="","-",+C100+1)</f>
        <v>2012</v>
      </c>
      <c r="D101" s="357">
        <v>1580317.113240418</v>
      </c>
      <c r="E101" s="360">
        <v>39023.142857142855</v>
      </c>
      <c r="F101" s="361">
        <v>1541293.9703832751</v>
      </c>
      <c r="G101" s="361">
        <v>1560805.5418118467</v>
      </c>
      <c r="H101" s="360">
        <v>268701.81510397862</v>
      </c>
      <c r="I101" s="359">
        <v>268701.81510397862</v>
      </c>
      <c r="J101" s="403">
        <f t="shared" si="20"/>
        <v>0</v>
      </c>
      <c r="K101" s="158"/>
      <c r="L101" s="258">
        <f t="shared" si="21"/>
        <v>268701.81510397862</v>
      </c>
      <c r="M101" s="257">
        <f t="shared" si="22"/>
        <v>0</v>
      </c>
      <c r="N101" s="258">
        <f t="shared" si="23"/>
        <v>268701.81510397862</v>
      </c>
      <c r="O101" s="158">
        <f t="shared" si="24"/>
        <v>0</v>
      </c>
      <c r="P101" s="158">
        <f t="shared" si="25"/>
        <v>0</v>
      </c>
      <c r="Q101" s="1"/>
    </row>
    <row r="102" spans="1:17">
      <c r="B102" s="9" t="str">
        <f t="shared" si="26"/>
        <v>IU</v>
      </c>
      <c r="C102" s="153">
        <f>IF(D93="","-",+C101+1)</f>
        <v>2013</v>
      </c>
      <c r="D102" s="357">
        <v>1541294</v>
      </c>
      <c r="E102" s="360">
        <v>39023</v>
      </c>
      <c r="F102" s="361">
        <v>1502271</v>
      </c>
      <c r="G102" s="361">
        <v>1521782.5</v>
      </c>
      <c r="H102" s="360">
        <v>244907.54496972694</v>
      </c>
      <c r="I102" s="359">
        <v>244907.54496972694</v>
      </c>
      <c r="J102" s="403">
        <f t="shared" si="20"/>
        <v>0</v>
      </c>
      <c r="K102" s="158"/>
      <c r="L102" s="258">
        <f t="shared" si="21"/>
        <v>244907.54496972694</v>
      </c>
      <c r="M102" s="257">
        <f>IF(L102&lt;&gt;0,+H102-L102,0)</f>
        <v>0</v>
      </c>
      <c r="N102" s="258">
        <f t="shared" si="23"/>
        <v>244907.54496972694</v>
      </c>
      <c r="O102" s="158">
        <f>IF(N102&lt;&gt;0,+I102-N102,0)</f>
        <v>0</v>
      </c>
      <c r="P102" s="158">
        <f>+O102-M102</f>
        <v>0</v>
      </c>
      <c r="Q102" s="1"/>
    </row>
    <row r="103" spans="1:17">
      <c r="B103" s="9" t="str">
        <f t="shared" si="26"/>
        <v>IU</v>
      </c>
      <c r="C103" s="153">
        <f>IF(D93="","-",+C102+1)</f>
        <v>2014</v>
      </c>
      <c r="D103" s="357">
        <v>1506115.9703832753</v>
      </c>
      <c r="E103" s="360">
        <v>39114.690476190473</v>
      </c>
      <c r="F103" s="361">
        <v>1467001.2799070848</v>
      </c>
      <c r="G103" s="361">
        <v>1486558.6251451802</v>
      </c>
      <c r="H103" s="360">
        <v>241172.88194864732</v>
      </c>
      <c r="I103" s="359">
        <v>241172.88194864732</v>
      </c>
      <c r="J103" s="158">
        <v>0</v>
      </c>
      <c r="K103" s="158"/>
      <c r="L103" s="258">
        <f t="shared" si="21"/>
        <v>241172.88194864732</v>
      </c>
      <c r="M103" s="257">
        <f>IF(L103&lt;&gt;0,+H103-L103,0)</f>
        <v>0</v>
      </c>
      <c r="N103" s="258">
        <f t="shared" si="23"/>
        <v>241172.88194864732</v>
      </c>
      <c r="O103" s="158">
        <f>IF(N103&lt;&gt;0,+I103-N103,0)</f>
        <v>0</v>
      </c>
      <c r="P103" s="158">
        <f>+O103-M103</f>
        <v>0</v>
      </c>
      <c r="Q103" s="1"/>
    </row>
    <row r="104" spans="1:17">
      <c r="B104" s="9" t="str">
        <f t="shared" si="26"/>
        <v/>
      </c>
      <c r="C104" s="153">
        <f>IF(D93="","-",+C103+1)</f>
        <v>2015</v>
      </c>
      <c r="D104" s="357">
        <v>1467001.2799070848</v>
      </c>
      <c r="E104" s="360">
        <v>39114.690476190473</v>
      </c>
      <c r="F104" s="361">
        <v>1427886.5894308942</v>
      </c>
      <c r="G104" s="361">
        <v>1447443.9346689894</v>
      </c>
      <c r="H104" s="360">
        <v>229842.75353448547</v>
      </c>
      <c r="I104" s="359">
        <v>229842.75353448547</v>
      </c>
      <c r="J104" s="158">
        <f t="shared" si="20"/>
        <v>0</v>
      </c>
      <c r="K104" s="158"/>
      <c r="L104" s="258">
        <f t="shared" si="21"/>
        <v>229842.75353448547</v>
      </c>
      <c r="M104" s="257">
        <f>IF(L104&lt;&gt;0,+H104-L104,0)</f>
        <v>0</v>
      </c>
      <c r="N104" s="258">
        <f t="shared" si="23"/>
        <v>229842.75353448547</v>
      </c>
      <c r="O104" s="158">
        <f>IF(N104&lt;&gt;0,+I104-N104,0)</f>
        <v>0</v>
      </c>
      <c r="P104" s="158">
        <f>+O104-M104</f>
        <v>0</v>
      </c>
      <c r="Q104" s="1"/>
    </row>
    <row r="105" spans="1:17">
      <c r="B105" s="9" t="str">
        <f t="shared" si="26"/>
        <v/>
      </c>
      <c r="C105" s="153">
        <f>IF(D93="","-",+C104+1)</f>
        <v>2016</v>
      </c>
      <c r="D105" s="357">
        <v>1427886.5894308942</v>
      </c>
      <c r="E105" s="360">
        <v>38205.046511627908</v>
      </c>
      <c r="F105" s="361">
        <v>1389681.5429192663</v>
      </c>
      <c r="G105" s="361">
        <v>1408784.0661750804</v>
      </c>
      <c r="H105" s="360">
        <v>217050.16721338526</v>
      </c>
      <c r="I105" s="359">
        <v>217050.16721338526</v>
      </c>
      <c r="J105" s="158">
        <v>0</v>
      </c>
      <c r="K105" s="158"/>
      <c r="L105" s="258">
        <f>H105</f>
        <v>217050.16721338526</v>
      </c>
      <c r="M105" s="257">
        <f>IF(L105&lt;&gt;0,+H105-L105,0)</f>
        <v>0</v>
      </c>
      <c r="N105" s="258">
        <f>I105</f>
        <v>217050.16721338526</v>
      </c>
      <c r="O105" s="158">
        <f>IF(N105&lt;&gt;0,+I105-N105,0)</f>
        <v>0</v>
      </c>
      <c r="P105" s="158">
        <f>+O105-M105</f>
        <v>0</v>
      </c>
      <c r="Q105" s="1"/>
    </row>
    <row r="106" spans="1:17">
      <c r="B106" s="9" t="str">
        <f t="shared" si="26"/>
        <v/>
      </c>
      <c r="C106" s="153">
        <f>IF(D93="","-",+C105+1)</f>
        <v>2017</v>
      </c>
      <c r="D106" s="154">
        <f>IF(F105+SUM(E$99:E105)=D$92,F105,D$92-SUM(E$99:E105))</f>
        <v>1389681.5429192663</v>
      </c>
      <c r="E106" s="160">
        <f>IF(+J96&lt;F105,J96,D106)</f>
        <v>39114.690476190473</v>
      </c>
      <c r="F106" s="159">
        <f t="shared" ref="F106:F131" si="27">+D106-E106</f>
        <v>1350566.8524430757</v>
      </c>
      <c r="G106" s="159">
        <f t="shared" ref="G106:G130" si="28">+(F106+D106)/2</f>
        <v>1370124.1976811709</v>
      </c>
      <c r="H106" s="163">
        <f t="shared" ref="H106:H130" si="29">+J$94*G106+E106</f>
        <v>205545.67397661868</v>
      </c>
      <c r="I106" s="253">
        <f t="shared" ref="I106:I130" si="30">+J$95*G106+E106</f>
        <v>205545.67397661868</v>
      </c>
      <c r="J106" s="158">
        <f t="shared" si="20"/>
        <v>0</v>
      </c>
      <c r="K106" s="158"/>
      <c r="L106" s="334"/>
      <c r="M106" s="158">
        <f t="shared" si="22"/>
        <v>0</v>
      </c>
      <c r="N106" s="334"/>
      <c r="O106" s="158">
        <f t="shared" si="24"/>
        <v>0</v>
      </c>
      <c r="P106" s="158">
        <f t="shared" si="25"/>
        <v>0</v>
      </c>
      <c r="Q106" s="1"/>
    </row>
    <row r="107" spans="1:17">
      <c r="B107" s="9" t="str">
        <f t="shared" si="26"/>
        <v/>
      </c>
      <c r="C107" s="153">
        <f>IF(D93="","-",+C106+1)</f>
        <v>2018</v>
      </c>
      <c r="D107" s="154">
        <f>IF(F106+SUM(E$99:E106)=D$92,F106,D$92-SUM(E$99:E106))</f>
        <v>1350566.8524430757</v>
      </c>
      <c r="E107" s="160">
        <f>IF(+J96&lt;F106,J96,D107)</f>
        <v>39114.690476190473</v>
      </c>
      <c r="F107" s="159">
        <f t="shared" si="27"/>
        <v>1311452.1619668852</v>
      </c>
      <c r="G107" s="159">
        <f t="shared" si="28"/>
        <v>1331009.5072049806</v>
      </c>
      <c r="H107" s="163">
        <f t="shared" si="29"/>
        <v>200794.35550761808</v>
      </c>
      <c r="I107" s="253">
        <f t="shared" si="30"/>
        <v>200794.35550761808</v>
      </c>
      <c r="J107" s="158">
        <f t="shared" si="20"/>
        <v>0</v>
      </c>
      <c r="K107" s="158"/>
      <c r="L107" s="334"/>
      <c r="M107" s="158">
        <f t="shared" si="22"/>
        <v>0</v>
      </c>
      <c r="N107" s="334"/>
      <c r="O107" s="158">
        <f t="shared" si="24"/>
        <v>0</v>
      </c>
      <c r="P107" s="158">
        <f t="shared" si="25"/>
        <v>0</v>
      </c>
      <c r="Q107" s="1"/>
    </row>
    <row r="108" spans="1:17">
      <c r="B108" s="9" t="str">
        <f t="shared" si="26"/>
        <v/>
      </c>
      <c r="C108" s="153">
        <f>IF(D93="","-",+C107+1)</f>
        <v>2019</v>
      </c>
      <c r="D108" s="154">
        <f>IF(F107+SUM(E$99:E107)=D$92,F107,D$92-SUM(E$99:E107))</f>
        <v>1311452.1619668852</v>
      </c>
      <c r="E108" s="160">
        <f>IF(+J96&lt;F107,J96,D108)</f>
        <v>39114.690476190473</v>
      </c>
      <c r="F108" s="159">
        <f t="shared" si="27"/>
        <v>1272337.4714906947</v>
      </c>
      <c r="G108" s="159">
        <f t="shared" si="28"/>
        <v>1291894.8167287898</v>
      </c>
      <c r="H108" s="163">
        <f t="shared" si="29"/>
        <v>196043.03703861742</v>
      </c>
      <c r="I108" s="253">
        <f t="shared" si="30"/>
        <v>196043.03703861742</v>
      </c>
      <c r="J108" s="158">
        <f t="shared" si="20"/>
        <v>0</v>
      </c>
      <c r="K108" s="158"/>
      <c r="L108" s="334"/>
      <c r="M108" s="158">
        <f t="shared" si="22"/>
        <v>0</v>
      </c>
      <c r="N108" s="334"/>
      <c r="O108" s="158">
        <f t="shared" si="24"/>
        <v>0</v>
      </c>
      <c r="P108" s="158">
        <f t="shared" si="25"/>
        <v>0</v>
      </c>
      <c r="Q108" s="1"/>
    </row>
    <row r="109" spans="1:17">
      <c r="B109" s="9" t="str">
        <f t="shared" si="26"/>
        <v/>
      </c>
      <c r="C109" s="153">
        <f>IF(D93="","-",+C108+1)</f>
        <v>2020</v>
      </c>
      <c r="D109" s="154">
        <f>IF(F108+SUM(E$99:E108)=D$92,F108,D$92-SUM(E$99:E108))</f>
        <v>1272337.4714906947</v>
      </c>
      <c r="E109" s="160">
        <f>IF(+J96&lt;F108,J96,D109)</f>
        <v>39114.690476190473</v>
      </c>
      <c r="F109" s="159">
        <f t="shared" si="27"/>
        <v>1233222.7810145041</v>
      </c>
      <c r="G109" s="159">
        <f t="shared" si="28"/>
        <v>1252780.1262525995</v>
      </c>
      <c r="H109" s="163">
        <f t="shared" si="29"/>
        <v>191291.71856961682</v>
      </c>
      <c r="I109" s="253">
        <f t="shared" si="30"/>
        <v>191291.71856961682</v>
      </c>
      <c r="J109" s="158">
        <f t="shared" si="20"/>
        <v>0</v>
      </c>
      <c r="K109" s="158"/>
      <c r="L109" s="334"/>
      <c r="M109" s="158">
        <f t="shared" si="22"/>
        <v>0</v>
      </c>
      <c r="N109" s="334"/>
      <c r="O109" s="158">
        <f t="shared" si="24"/>
        <v>0</v>
      </c>
      <c r="P109" s="158">
        <f t="shared" si="25"/>
        <v>0</v>
      </c>
      <c r="Q109" s="1"/>
    </row>
    <row r="110" spans="1:17">
      <c r="B110" s="9" t="str">
        <f t="shared" si="26"/>
        <v/>
      </c>
      <c r="C110" s="153">
        <f>IF(D93="","-",+C109+1)</f>
        <v>2021</v>
      </c>
      <c r="D110" s="154">
        <f>IF(F109+SUM(E$99:E109)=D$92,F109,D$92-SUM(E$99:E109))</f>
        <v>1233222.7810145041</v>
      </c>
      <c r="E110" s="160">
        <f>IF(+J96&lt;F109,J96,D110)</f>
        <v>39114.690476190473</v>
      </c>
      <c r="F110" s="159">
        <f t="shared" si="27"/>
        <v>1194108.0905383136</v>
      </c>
      <c r="G110" s="159">
        <f t="shared" si="28"/>
        <v>1213665.4357764088</v>
      </c>
      <c r="H110" s="163">
        <f t="shared" si="29"/>
        <v>186540.40010061616</v>
      </c>
      <c r="I110" s="253">
        <f t="shared" si="30"/>
        <v>186540.40010061616</v>
      </c>
      <c r="J110" s="158">
        <f t="shared" si="20"/>
        <v>0</v>
      </c>
      <c r="K110" s="158"/>
      <c r="L110" s="334"/>
      <c r="M110" s="158">
        <f t="shared" si="22"/>
        <v>0</v>
      </c>
      <c r="N110" s="334"/>
      <c r="O110" s="158">
        <f t="shared" si="24"/>
        <v>0</v>
      </c>
      <c r="P110" s="158">
        <f t="shared" si="25"/>
        <v>0</v>
      </c>
      <c r="Q110" s="1"/>
    </row>
    <row r="111" spans="1:17">
      <c r="B111" s="9" t="str">
        <f t="shared" si="26"/>
        <v/>
      </c>
      <c r="C111" s="153">
        <f>IF(D93="","-",+C110+1)</f>
        <v>2022</v>
      </c>
      <c r="D111" s="154">
        <f>IF(F110+SUM(E$99:E110)=D$92,F110,D$92-SUM(E$99:E110))</f>
        <v>1194108.0905383136</v>
      </c>
      <c r="E111" s="160">
        <f>IF(+J96&lt;F110,J96,D111)</f>
        <v>39114.690476190473</v>
      </c>
      <c r="F111" s="159">
        <f t="shared" si="27"/>
        <v>1154993.4000621231</v>
      </c>
      <c r="G111" s="159">
        <f t="shared" si="28"/>
        <v>1174550.7453002185</v>
      </c>
      <c r="H111" s="163">
        <f t="shared" si="29"/>
        <v>181789.08163161555</v>
      </c>
      <c r="I111" s="253">
        <f t="shared" si="30"/>
        <v>181789.08163161555</v>
      </c>
      <c r="J111" s="158">
        <f t="shared" si="20"/>
        <v>0</v>
      </c>
      <c r="K111" s="158"/>
      <c r="L111" s="334"/>
      <c r="M111" s="158">
        <f t="shared" si="22"/>
        <v>0</v>
      </c>
      <c r="N111" s="334"/>
      <c r="O111" s="158">
        <f t="shared" si="24"/>
        <v>0</v>
      </c>
      <c r="P111" s="158">
        <f t="shared" si="25"/>
        <v>0</v>
      </c>
      <c r="Q111" s="1"/>
    </row>
    <row r="112" spans="1:17">
      <c r="B112" s="9" t="str">
        <f t="shared" si="26"/>
        <v/>
      </c>
      <c r="C112" s="153">
        <f>IF(D93="","-",+C111+1)</f>
        <v>2023</v>
      </c>
      <c r="D112" s="154">
        <f>IF(F111+SUM(E$99:E111)=D$92,F111,D$92-SUM(E$99:E111))</f>
        <v>1154993.4000621231</v>
      </c>
      <c r="E112" s="160">
        <f>IF(+J96&lt;F111,J96,D112)</f>
        <v>39114.690476190473</v>
      </c>
      <c r="F112" s="159">
        <f t="shared" si="27"/>
        <v>1115878.7095859325</v>
      </c>
      <c r="G112" s="159">
        <f t="shared" si="28"/>
        <v>1135436.0548240277</v>
      </c>
      <c r="H112" s="163">
        <f t="shared" si="29"/>
        <v>177037.76316261489</v>
      </c>
      <c r="I112" s="253">
        <f t="shared" si="30"/>
        <v>177037.76316261489</v>
      </c>
      <c r="J112" s="158">
        <f t="shared" si="20"/>
        <v>0</v>
      </c>
      <c r="K112" s="158"/>
      <c r="L112" s="334"/>
      <c r="M112" s="158">
        <f t="shared" si="22"/>
        <v>0</v>
      </c>
      <c r="N112" s="334"/>
      <c r="O112" s="158">
        <f t="shared" si="24"/>
        <v>0</v>
      </c>
      <c r="P112" s="158">
        <f t="shared" si="25"/>
        <v>0</v>
      </c>
      <c r="Q112" s="1"/>
    </row>
    <row r="113" spans="2:17">
      <c r="B113" s="9" t="str">
        <f t="shared" si="26"/>
        <v/>
      </c>
      <c r="C113" s="153">
        <f>IF(D93="","-",+C112+1)</f>
        <v>2024</v>
      </c>
      <c r="D113" s="154">
        <f>IF(F112+SUM(E$99:E112)=D$92,F112,D$92-SUM(E$99:E112))</f>
        <v>1115878.7095859325</v>
      </c>
      <c r="E113" s="160">
        <f>IF(+J96&lt;F112,J96,D113)</f>
        <v>39114.690476190473</v>
      </c>
      <c r="F113" s="159">
        <f t="shared" si="27"/>
        <v>1076764.019109742</v>
      </c>
      <c r="G113" s="159">
        <f t="shared" si="28"/>
        <v>1096321.3643478374</v>
      </c>
      <c r="H113" s="163">
        <f t="shared" si="29"/>
        <v>172286.44469361429</v>
      </c>
      <c r="I113" s="253">
        <f t="shared" si="30"/>
        <v>172286.44469361429</v>
      </c>
      <c r="J113" s="158">
        <f t="shared" si="20"/>
        <v>0</v>
      </c>
      <c r="K113" s="158"/>
      <c r="L113" s="334"/>
      <c r="M113" s="158">
        <f t="shared" si="22"/>
        <v>0</v>
      </c>
      <c r="N113" s="334"/>
      <c r="O113" s="158">
        <f t="shared" si="24"/>
        <v>0</v>
      </c>
      <c r="P113" s="158">
        <f t="shared" si="25"/>
        <v>0</v>
      </c>
      <c r="Q113" s="1"/>
    </row>
    <row r="114" spans="2:17">
      <c r="B114" s="9" t="str">
        <f t="shared" si="26"/>
        <v/>
      </c>
      <c r="C114" s="153">
        <f>IF(D93="","-",+C113+1)</f>
        <v>2025</v>
      </c>
      <c r="D114" s="154">
        <f>IF(F113+SUM(E$99:E113)=D$92,F113,D$92-SUM(E$99:E113))</f>
        <v>1076764.019109742</v>
      </c>
      <c r="E114" s="160">
        <f>IF(+J96&lt;F113,J96,D114)</f>
        <v>39114.690476190473</v>
      </c>
      <c r="F114" s="159">
        <f t="shared" si="27"/>
        <v>1037649.3286335515</v>
      </c>
      <c r="G114" s="159">
        <f t="shared" si="28"/>
        <v>1057206.6738716466</v>
      </c>
      <c r="H114" s="163">
        <f t="shared" si="29"/>
        <v>167535.12622461363</v>
      </c>
      <c r="I114" s="253">
        <f t="shared" si="30"/>
        <v>167535.12622461363</v>
      </c>
      <c r="J114" s="158">
        <f t="shared" si="20"/>
        <v>0</v>
      </c>
      <c r="K114" s="158"/>
      <c r="L114" s="334"/>
      <c r="M114" s="158">
        <f t="shared" si="22"/>
        <v>0</v>
      </c>
      <c r="N114" s="334"/>
      <c r="O114" s="158">
        <f t="shared" si="24"/>
        <v>0</v>
      </c>
      <c r="P114" s="158">
        <f t="shared" si="25"/>
        <v>0</v>
      </c>
      <c r="Q114" s="1"/>
    </row>
    <row r="115" spans="2:17">
      <c r="B115" s="9" t="str">
        <f t="shared" si="26"/>
        <v/>
      </c>
      <c r="C115" s="153">
        <f>IF(D93="","-",+C114+1)</f>
        <v>2026</v>
      </c>
      <c r="D115" s="154">
        <f>IF(F114+SUM(E$99:E114)=D$92,F114,D$92-SUM(E$99:E114))</f>
        <v>1037649.3286335515</v>
      </c>
      <c r="E115" s="160">
        <f>IF(+J96&lt;F114,J96,D115)</f>
        <v>39114.690476190473</v>
      </c>
      <c r="F115" s="159">
        <f t="shared" si="27"/>
        <v>998534.63815736095</v>
      </c>
      <c r="G115" s="159">
        <f t="shared" si="28"/>
        <v>1018091.9833954562</v>
      </c>
      <c r="H115" s="163">
        <f t="shared" si="29"/>
        <v>162783.807755613</v>
      </c>
      <c r="I115" s="253">
        <f t="shared" si="30"/>
        <v>162783.807755613</v>
      </c>
      <c r="J115" s="158">
        <f t="shared" si="20"/>
        <v>0</v>
      </c>
      <c r="K115" s="158"/>
      <c r="L115" s="334"/>
      <c r="M115" s="158">
        <f t="shared" si="22"/>
        <v>0</v>
      </c>
      <c r="N115" s="334"/>
      <c r="O115" s="158">
        <f t="shared" si="24"/>
        <v>0</v>
      </c>
      <c r="P115" s="158">
        <f t="shared" si="25"/>
        <v>0</v>
      </c>
      <c r="Q115" s="1"/>
    </row>
    <row r="116" spans="2:17">
      <c r="B116" s="9" t="str">
        <f t="shared" si="26"/>
        <v/>
      </c>
      <c r="C116" s="153">
        <f>IF(D93="","-",+C115+1)</f>
        <v>2027</v>
      </c>
      <c r="D116" s="154">
        <f>IF(F115+SUM(E$99:E115)=D$92,F115,D$92-SUM(E$99:E115))</f>
        <v>998534.63815736095</v>
      </c>
      <c r="E116" s="160">
        <f>IF(+J96&lt;F115,J96,D116)</f>
        <v>39114.690476190473</v>
      </c>
      <c r="F116" s="159">
        <f t="shared" si="27"/>
        <v>959419.94768117042</v>
      </c>
      <c r="G116" s="159">
        <f t="shared" si="28"/>
        <v>978977.29291926569</v>
      </c>
      <c r="H116" s="163">
        <f t="shared" si="29"/>
        <v>158032.48928661237</v>
      </c>
      <c r="I116" s="253">
        <f t="shared" si="30"/>
        <v>158032.48928661237</v>
      </c>
      <c r="J116" s="158">
        <f t="shared" si="20"/>
        <v>0</v>
      </c>
      <c r="K116" s="158"/>
      <c r="L116" s="334"/>
      <c r="M116" s="158">
        <f t="shared" si="22"/>
        <v>0</v>
      </c>
      <c r="N116" s="334"/>
      <c r="O116" s="158">
        <f t="shared" si="24"/>
        <v>0</v>
      </c>
      <c r="P116" s="158">
        <f t="shared" si="25"/>
        <v>0</v>
      </c>
      <c r="Q116" s="1"/>
    </row>
    <row r="117" spans="2:17">
      <c r="B117" s="9" t="str">
        <f t="shared" si="26"/>
        <v/>
      </c>
      <c r="C117" s="153">
        <f>IF(D93="","-",+C116+1)</f>
        <v>2028</v>
      </c>
      <c r="D117" s="154">
        <f>IF(F116+SUM(E$99:E116)=D$92,F116,D$92-SUM(E$99:E116))</f>
        <v>959419.94768117042</v>
      </c>
      <c r="E117" s="160">
        <f>IF(+J96&lt;F116,J96,D117)</f>
        <v>39114.690476190473</v>
      </c>
      <c r="F117" s="159">
        <f t="shared" si="27"/>
        <v>920305.25720497989</v>
      </c>
      <c r="G117" s="159">
        <f t="shared" si="28"/>
        <v>939862.60244307516</v>
      </c>
      <c r="H117" s="163">
        <f t="shared" si="29"/>
        <v>153281.17081761174</v>
      </c>
      <c r="I117" s="253">
        <f t="shared" si="30"/>
        <v>153281.17081761174</v>
      </c>
      <c r="J117" s="158">
        <f t="shared" si="20"/>
        <v>0</v>
      </c>
      <c r="K117" s="158"/>
      <c r="L117" s="334"/>
      <c r="M117" s="158">
        <f t="shared" si="22"/>
        <v>0</v>
      </c>
      <c r="N117" s="334"/>
      <c r="O117" s="158">
        <f t="shared" si="24"/>
        <v>0</v>
      </c>
      <c r="P117" s="158">
        <f t="shared" si="25"/>
        <v>0</v>
      </c>
      <c r="Q117" s="1"/>
    </row>
    <row r="118" spans="2:17">
      <c r="B118" s="9" t="str">
        <f t="shared" si="26"/>
        <v/>
      </c>
      <c r="C118" s="153">
        <f>IF(D93="","-",+C117+1)</f>
        <v>2029</v>
      </c>
      <c r="D118" s="154">
        <f>IF(F117+SUM(E$99:E117)=D$92,F117,D$92-SUM(E$99:E117))</f>
        <v>920305.25720497989</v>
      </c>
      <c r="E118" s="160">
        <f>IF(+J96&lt;F117,J96,D118)</f>
        <v>39114.690476190473</v>
      </c>
      <c r="F118" s="159">
        <f t="shared" si="27"/>
        <v>881190.56672878936</v>
      </c>
      <c r="G118" s="159">
        <f t="shared" si="28"/>
        <v>900747.91196688463</v>
      </c>
      <c r="H118" s="163">
        <f t="shared" si="29"/>
        <v>148529.85234861111</v>
      </c>
      <c r="I118" s="253">
        <f t="shared" si="30"/>
        <v>148529.85234861111</v>
      </c>
      <c r="J118" s="158">
        <f t="shared" si="20"/>
        <v>0</v>
      </c>
      <c r="K118" s="158"/>
      <c r="L118" s="334"/>
      <c r="M118" s="158">
        <f t="shared" si="22"/>
        <v>0</v>
      </c>
      <c r="N118" s="334"/>
      <c r="O118" s="158">
        <f t="shared" si="24"/>
        <v>0</v>
      </c>
      <c r="P118" s="158">
        <f t="shared" si="25"/>
        <v>0</v>
      </c>
      <c r="Q118" s="1"/>
    </row>
    <row r="119" spans="2:17">
      <c r="B119" s="9" t="str">
        <f t="shared" si="26"/>
        <v/>
      </c>
      <c r="C119" s="153">
        <f>IF(D93="","-",+C118+1)</f>
        <v>2030</v>
      </c>
      <c r="D119" s="154">
        <f>IF(F118+SUM(E$99:E118)=D$92,F118,D$92-SUM(E$99:E118))</f>
        <v>881190.56672878936</v>
      </c>
      <c r="E119" s="160">
        <f>IF(+J96&lt;F118,J96,D119)</f>
        <v>39114.690476190473</v>
      </c>
      <c r="F119" s="159">
        <f t="shared" si="27"/>
        <v>842075.87625259883</v>
      </c>
      <c r="G119" s="159">
        <f t="shared" si="28"/>
        <v>861633.22149069409</v>
      </c>
      <c r="H119" s="163">
        <f t="shared" si="29"/>
        <v>143778.53387961048</v>
      </c>
      <c r="I119" s="253">
        <f t="shared" si="30"/>
        <v>143778.53387961048</v>
      </c>
      <c r="J119" s="158">
        <f t="shared" si="20"/>
        <v>0</v>
      </c>
      <c r="K119" s="158"/>
      <c r="L119" s="334"/>
      <c r="M119" s="158">
        <f t="shared" si="22"/>
        <v>0</v>
      </c>
      <c r="N119" s="334"/>
      <c r="O119" s="158">
        <f t="shared" si="24"/>
        <v>0</v>
      </c>
      <c r="P119" s="158">
        <f t="shared" si="25"/>
        <v>0</v>
      </c>
      <c r="Q119" s="1"/>
    </row>
    <row r="120" spans="2:17">
      <c r="B120" s="9" t="str">
        <f t="shared" si="26"/>
        <v/>
      </c>
      <c r="C120" s="153">
        <f>IF(D93="","-",+C119+1)</f>
        <v>2031</v>
      </c>
      <c r="D120" s="154">
        <f>IF(F119+SUM(E$99:E119)=D$92,F119,D$92-SUM(E$99:E119))</f>
        <v>842075.87625259883</v>
      </c>
      <c r="E120" s="160">
        <f>IF(+J96&lt;F119,J96,D120)</f>
        <v>39114.690476190473</v>
      </c>
      <c r="F120" s="159">
        <f t="shared" si="27"/>
        <v>802961.1857764083</v>
      </c>
      <c r="G120" s="159">
        <f t="shared" si="28"/>
        <v>822518.53101450356</v>
      </c>
      <c r="H120" s="163">
        <f t="shared" si="29"/>
        <v>139027.21541060985</v>
      </c>
      <c r="I120" s="253">
        <f t="shared" si="30"/>
        <v>139027.21541060985</v>
      </c>
      <c r="J120" s="158">
        <f t="shared" si="20"/>
        <v>0</v>
      </c>
      <c r="K120" s="158"/>
      <c r="L120" s="334"/>
      <c r="M120" s="158">
        <f t="shared" si="22"/>
        <v>0</v>
      </c>
      <c r="N120" s="334"/>
      <c r="O120" s="158">
        <f t="shared" si="24"/>
        <v>0</v>
      </c>
      <c r="P120" s="158">
        <f t="shared" si="25"/>
        <v>0</v>
      </c>
      <c r="Q120" s="1"/>
    </row>
    <row r="121" spans="2:17">
      <c r="B121" s="9" t="str">
        <f t="shared" si="26"/>
        <v/>
      </c>
      <c r="C121" s="153">
        <f>IF(D93="","-",+C120+1)</f>
        <v>2032</v>
      </c>
      <c r="D121" s="154">
        <f>IF(F120+SUM(E$99:E120)=D$92,F120,D$92-SUM(E$99:E120))</f>
        <v>802961.1857764083</v>
      </c>
      <c r="E121" s="160">
        <f>IF(+J96&lt;F120,J96,D121)</f>
        <v>39114.690476190473</v>
      </c>
      <c r="F121" s="159">
        <f t="shared" si="27"/>
        <v>763846.49530021776</v>
      </c>
      <c r="G121" s="159">
        <f t="shared" si="28"/>
        <v>783403.84053831303</v>
      </c>
      <c r="H121" s="163">
        <f t="shared" si="29"/>
        <v>134275.89694160919</v>
      </c>
      <c r="I121" s="253">
        <f t="shared" si="30"/>
        <v>134275.89694160919</v>
      </c>
      <c r="J121" s="158">
        <f t="shared" si="20"/>
        <v>0</v>
      </c>
      <c r="K121" s="158"/>
      <c r="L121" s="334"/>
      <c r="M121" s="158">
        <f t="shared" si="22"/>
        <v>0</v>
      </c>
      <c r="N121" s="334"/>
      <c r="O121" s="158">
        <f t="shared" si="24"/>
        <v>0</v>
      </c>
      <c r="P121" s="158">
        <f t="shared" si="25"/>
        <v>0</v>
      </c>
      <c r="Q121" s="1"/>
    </row>
    <row r="122" spans="2:17">
      <c r="B122" s="9" t="str">
        <f t="shared" si="26"/>
        <v/>
      </c>
      <c r="C122" s="153">
        <f>IF(D93="","-",+C121+1)</f>
        <v>2033</v>
      </c>
      <c r="D122" s="154">
        <f>IF(F121+SUM(E$99:E121)=D$92,F121,D$92-SUM(E$99:E121))</f>
        <v>763846.49530021776</v>
      </c>
      <c r="E122" s="160">
        <f>IF(+J96&lt;F121,J96,D122)</f>
        <v>39114.690476190473</v>
      </c>
      <c r="F122" s="159">
        <f t="shared" si="27"/>
        <v>724731.80482402723</v>
      </c>
      <c r="G122" s="159">
        <f t="shared" si="28"/>
        <v>744289.1500621225</v>
      </c>
      <c r="H122" s="163">
        <f t="shared" si="29"/>
        <v>129524.57847260855</v>
      </c>
      <c r="I122" s="253">
        <f t="shared" si="30"/>
        <v>129524.57847260855</v>
      </c>
      <c r="J122" s="158">
        <f t="shared" si="20"/>
        <v>0</v>
      </c>
      <c r="K122" s="158"/>
      <c r="L122" s="334"/>
      <c r="M122" s="158">
        <f t="shared" si="22"/>
        <v>0</v>
      </c>
      <c r="N122" s="334"/>
      <c r="O122" s="158">
        <f t="shared" si="24"/>
        <v>0</v>
      </c>
      <c r="P122" s="158">
        <f t="shared" si="25"/>
        <v>0</v>
      </c>
      <c r="Q122" s="1"/>
    </row>
    <row r="123" spans="2:17">
      <c r="B123" s="9" t="str">
        <f t="shared" si="26"/>
        <v/>
      </c>
      <c r="C123" s="153">
        <f>IF(D93="","-",+C122+1)</f>
        <v>2034</v>
      </c>
      <c r="D123" s="154">
        <f>IF(F122+SUM(E$99:E122)=D$92,F122,D$92-SUM(E$99:E122))</f>
        <v>724731.80482402723</v>
      </c>
      <c r="E123" s="160">
        <f>IF(+J96&lt;F122,J96,D123)</f>
        <v>39114.690476190473</v>
      </c>
      <c r="F123" s="159">
        <f t="shared" si="27"/>
        <v>685617.1143478367</v>
      </c>
      <c r="G123" s="159">
        <f t="shared" si="28"/>
        <v>705174.45958593197</v>
      </c>
      <c r="H123" s="163">
        <f t="shared" si="29"/>
        <v>124773.26000360792</v>
      </c>
      <c r="I123" s="253">
        <f t="shared" si="30"/>
        <v>124773.26000360792</v>
      </c>
      <c r="J123" s="158">
        <f t="shared" si="20"/>
        <v>0</v>
      </c>
      <c r="K123" s="158"/>
      <c r="L123" s="334"/>
      <c r="M123" s="158">
        <f t="shared" si="22"/>
        <v>0</v>
      </c>
      <c r="N123" s="334"/>
      <c r="O123" s="158">
        <f t="shared" si="24"/>
        <v>0</v>
      </c>
      <c r="P123" s="158">
        <f t="shared" si="25"/>
        <v>0</v>
      </c>
      <c r="Q123" s="1"/>
    </row>
    <row r="124" spans="2:17">
      <c r="B124" s="9" t="str">
        <f t="shared" si="26"/>
        <v/>
      </c>
      <c r="C124" s="153">
        <f>IF(D93="","-",+C123+1)</f>
        <v>2035</v>
      </c>
      <c r="D124" s="154">
        <f>IF(F123+SUM(E$99:E123)=D$92,F123,D$92-SUM(E$99:E123))</f>
        <v>685617.1143478367</v>
      </c>
      <c r="E124" s="160">
        <f>IF(+J96&lt;F123,J96,D124)</f>
        <v>39114.690476190473</v>
      </c>
      <c r="F124" s="159">
        <f t="shared" si="27"/>
        <v>646502.42387164617</v>
      </c>
      <c r="G124" s="159">
        <f t="shared" si="28"/>
        <v>666059.76910974144</v>
      </c>
      <c r="H124" s="163">
        <f t="shared" si="29"/>
        <v>120021.94153460729</v>
      </c>
      <c r="I124" s="253">
        <f t="shared" si="30"/>
        <v>120021.94153460729</v>
      </c>
      <c r="J124" s="158">
        <f t="shared" si="20"/>
        <v>0</v>
      </c>
      <c r="K124" s="158"/>
      <c r="L124" s="334"/>
      <c r="M124" s="158">
        <f t="shared" si="22"/>
        <v>0</v>
      </c>
      <c r="N124" s="334"/>
      <c r="O124" s="158">
        <f t="shared" si="24"/>
        <v>0</v>
      </c>
      <c r="P124" s="158">
        <f t="shared" si="25"/>
        <v>0</v>
      </c>
      <c r="Q124" s="1"/>
    </row>
    <row r="125" spans="2:17">
      <c r="B125" s="9" t="str">
        <f t="shared" si="26"/>
        <v/>
      </c>
      <c r="C125" s="153">
        <f>IF(D93="","-",+C124+1)</f>
        <v>2036</v>
      </c>
      <c r="D125" s="154">
        <f>IF(F124+SUM(E$99:E124)=D$92,F124,D$92-SUM(E$99:E124))</f>
        <v>646502.42387164617</v>
      </c>
      <c r="E125" s="160">
        <f>IF(+J96&lt;F124,J96,D125)</f>
        <v>39114.690476190473</v>
      </c>
      <c r="F125" s="159">
        <f t="shared" si="27"/>
        <v>607387.73339545564</v>
      </c>
      <c r="G125" s="159">
        <f t="shared" si="28"/>
        <v>626945.0786335509</v>
      </c>
      <c r="H125" s="163">
        <f t="shared" si="29"/>
        <v>115270.62306560666</v>
      </c>
      <c r="I125" s="253">
        <f t="shared" si="30"/>
        <v>115270.62306560666</v>
      </c>
      <c r="J125" s="158">
        <f t="shared" si="20"/>
        <v>0</v>
      </c>
      <c r="K125" s="158"/>
      <c r="L125" s="334"/>
      <c r="M125" s="158">
        <f t="shared" si="22"/>
        <v>0</v>
      </c>
      <c r="N125" s="334"/>
      <c r="O125" s="158">
        <f t="shared" si="24"/>
        <v>0</v>
      </c>
      <c r="P125" s="158">
        <f t="shared" si="25"/>
        <v>0</v>
      </c>
      <c r="Q125" s="1"/>
    </row>
    <row r="126" spans="2:17">
      <c r="B126" s="9" t="str">
        <f t="shared" si="26"/>
        <v/>
      </c>
      <c r="C126" s="153">
        <f>IF(D93="","-",+C125+1)</f>
        <v>2037</v>
      </c>
      <c r="D126" s="154">
        <f>IF(F125+SUM(E$99:E125)=D$92,F125,D$92-SUM(E$99:E125))</f>
        <v>607387.73339545564</v>
      </c>
      <c r="E126" s="160">
        <f>IF(+J96&lt;F125,J96,D126)</f>
        <v>39114.690476190473</v>
      </c>
      <c r="F126" s="159">
        <f t="shared" si="27"/>
        <v>568273.04291926511</v>
      </c>
      <c r="G126" s="159">
        <f t="shared" si="28"/>
        <v>587830.38815736037</v>
      </c>
      <c r="H126" s="163">
        <f t="shared" si="29"/>
        <v>110519.30459660602</v>
      </c>
      <c r="I126" s="253">
        <f t="shared" si="30"/>
        <v>110519.30459660602</v>
      </c>
      <c r="J126" s="158">
        <f t="shared" si="20"/>
        <v>0</v>
      </c>
      <c r="K126" s="158"/>
      <c r="L126" s="334"/>
      <c r="M126" s="158">
        <f t="shared" si="22"/>
        <v>0</v>
      </c>
      <c r="N126" s="334"/>
      <c r="O126" s="158">
        <f t="shared" si="24"/>
        <v>0</v>
      </c>
      <c r="P126" s="158">
        <f t="shared" si="25"/>
        <v>0</v>
      </c>
      <c r="Q126" s="1"/>
    </row>
    <row r="127" spans="2:17">
      <c r="B127" s="9" t="str">
        <f t="shared" si="26"/>
        <v/>
      </c>
      <c r="C127" s="153">
        <f>IF(D93="","-",+C126+1)</f>
        <v>2038</v>
      </c>
      <c r="D127" s="154">
        <f>IF(F126+SUM(E$99:E126)=D$92,F126,D$92-SUM(E$99:E126))</f>
        <v>568273.04291926511</v>
      </c>
      <c r="E127" s="160">
        <f>IF(+J96&lt;F126,J96,D127)</f>
        <v>39114.690476190473</v>
      </c>
      <c r="F127" s="159">
        <f t="shared" si="27"/>
        <v>529158.35244307457</v>
      </c>
      <c r="G127" s="159">
        <f t="shared" si="28"/>
        <v>548715.69768116984</v>
      </c>
      <c r="H127" s="163">
        <f t="shared" si="29"/>
        <v>105767.98612760539</v>
      </c>
      <c r="I127" s="253">
        <f t="shared" si="30"/>
        <v>105767.98612760539</v>
      </c>
      <c r="J127" s="158">
        <f t="shared" si="20"/>
        <v>0</v>
      </c>
      <c r="K127" s="158"/>
      <c r="L127" s="334"/>
      <c r="M127" s="158">
        <f t="shared" si="22"/>
        <v>0</v>
      </c>
      <c r="N127" s="334"/>
      <c r="O127" s="158">
        <f t="shared" si="24"/>
        <v>0</v>
      </c>
      <c r="P127" s="158">
        <f t="shared" si="25"/>
        <v>0</v>
      </c>
      <c r="Q127" s="1"/>
    </row>
    <row r="128" spans="2:17">
      <c r="B128" s="9" t="str">
        <f t="shared" si="26"/>
        <v/>
      </c>
      <c r="C128" s="153">
        <f>IF(D93="","-",+C127+1)</f>
        <v>2039</v>
      </c>
      <c r="D128" s="154">
        <f>IF(F127+SUM(E$99:E127)=D$92,F127,D$92-SUM(E$99:E127))</f>
        <v>529158.35244307457</v>
      </c>
      <c r="E128" s="160">
        <f>IF(+J96&lt;F127,J96,D128)</f>
        <v>39114.690476190473</v>
      </c>
      <c r="F128" s="159">
        <f t="shared" si="27"/>
        <v>490043.6619668841</v>
      </c>
      <c r="G128" s="159">
        <f t="shared" si="28"/>
        <v>509601.00720497931</v>
      </c>
      <c r="H128" s="163">
        <f t="shared" si="29"/>
        <v>101016.66765860475</v>
      </c>
      <c r="I128" s="253">
        <f t="shared" si="30"/>
        <v>101016.66765860475</v>
      </c>
      <c r="J128" s="158">
        <f t="shared" si="20"/>
        <v>0</v>
      </c>
      <c r="K128" s="158"/>
      <c r="L128" s="334"/>
      <c r="M128" s="158">
        <f t="shared" si="22"/>
        <v>0</v>
      </c>
      <c r="N128" s="334"/>
      <c r="O128" s="158">
        <f t="shared" si="24"/>
        <v>0</v>
      </c>
      <c r="P128" s="158">
        <f t="shared" si="25"/>
        <v>0</v>
      </c>
      <c r="Q128" s="1"/>
    </row>
    <row r="129" spans="2:17">
      <c r="B129" s="9" t="str">
        <f t="shared" si="26"/>
        <v/>
      </c>
      <c r="C129" s="153">
        <f>IF(D93="","-",+C128+1)</f>
        <v>2040</v>
      </c>
      <c r="D129" s="154">
        <f>IF(F128+SUM(E$99:E128)=D$92,F128,D$92-SUM(E$99:E128))</f>
        <v>490043.6619668841</v>
      </c>
      <c r="E129" s="160">
        <f>IF(+J96&lt;F128,J96,D129)</f>
        <v>39114.690476190473</v>
      </c>
      <c r="F129" s="159">
        <f t="shared" si="27"/>
        <v>450928.97149069363</v>
      </c>
      <c r="G129" s="159">
        <f t="shared" si="28"/>
        <v>470486.31672878889</v>
      </c>
      <c r="H129" s="163">
        <f t="shared" si="29"/>
        <v>96265.349189604138</v>
      </c>
      <c r="I129" s="253">
        <f t="shared" si="30"/>
        <v>96265.349189604138</v>
      </c>
      <c r="J129" s="158">
        <f t="shared" si="20"/>
        <v>0</v>
      </c>
      <c r="K129" s="158"/>
      <c r="L129" s="334"/>
      <c r="M129" s="158">
        <f t="shared" si="22"/>
        <v>0</v>
      </c>
      <c r="N129" s="334"/>
      <c r="O129" s="158">
        <f t="shared" si="24"/>
        <v>0</v>
      </c>
      <c r="P129" s="158">
        <f t="shared" si="25"/>
        <v>0</v>
      </c>
      <c r="Q129" s="1"/>
    </row>
    <row r="130" spans="2:17">
      <c r="B130" s="9" t="str">
        <f t="shared" si="26"/>
        <v/>
      </c>
      <c r="C130" s="153">
        <f>IF(D93="","-",+C129+1)</f>
        <v>2041</v>
      </c>
      <c r="D130" s="154">
        <f>IF(F129+SUM(E$99:E129)=D$92,F129,D$92-SUM(E$99:E129))</f>
        <v>450928.97149069363</v>
      </c>
      <c r="E130" s="160">
        <f>IF(+J96&lt;F129,J96,D130)</f>
        <v>39114.690476190473</v>
      </c>
      <c r="F130" s="159">
        <f t="shared" si="27"/>
        <v>411814.28101450315</v>
      </c>
      <c r="G130" s="159">
        <f t="shared" si="28"/>
        <v>431371.62625259836</v>
      </c>
      <c r="H130" s="163">
        <f t="shared" si="29"/>
        <v>91514.030720603507</v>
      </c>
      <c r="I130" s="253">
        <f t="shared" si="30"/>
        <v>91514.030720603507</v>
      </c>
      <c r="J130" s="158">
        <f t="shared" si="20"/>
        <v>0</v>
      </c>
      <c r="K130" s="158"/>
      <c r="L130" s="334"/>
      <c r="M130" s="158">
        <f t="shared" si="22"/>
        <v>0</v>
      </c>
      <c r="N130" s="334"/>
      <c r="O130" s="158">
        <f t="shared" si="24"/>
        <v>0</v>
      </c>
      <c r="P130" s="158">
        <f t="shared" si="25"/>
        <v>0</v>
      </c>
      <c r="Q130" s="1"/>
    </row>
    <row r="131" spans="2:17">
      <c r="B131" s="9" t="str">
        <f t="shared" si="26"/>
        <v/>
      </c>
      <c r="C131" s="153">
        <f>IF(D93="","-",+C130+1)</f>
        <v>2042</v>
      </c>
      <c r="D131" s="154">
        <f>IF(F130+SUM(E$99:E130)=D$92,F130,D$92-SUM(E$99:E130))</f>
        <v>411814.28101450315</v>
      </c>
      <c r="E131" s="160">
        <f>IF(+J96&lt;F130,J96,D131)</f>
        <v>39114.690476190473</v>
      </c>
      <c r="F131" s="159">
        <f t="shared" si="27"/>
        <v>372699.59053831268</v>
      </c>
      <c r="G131" s="159">
        <f t="shared" ref="G131:G154" si="31">+(F131+D131)/2</f>
        <v>392256.93577640795</v>
      </c>
      <c r="H131" s="163">
        <f t="shared" ref="H131:H154" si="32">+J$94*G131+E131</f>
        <v>86762.712251602876</v>
      </c>
      <c r="I131" s="253">
        <f t="shared" ref="I131:I154" si="33">+J$95*G131+E131</f>
        <v>86762.712251602876</v>
      </c>
      <c r="J131" s="158">
        <f t="shared" ref="J131:J154" si="34">+I131-H131</f>
        <v>0</v>
      </c>
      <c r="K131" s="158"/>
      <c r="L131" s="334"/>
      <c r="M131" s="158">
        <f t="shared" ref="M131:M154" si="35">IF(L131&lt;&gt;0,+H131-L131,0)</f>
        <v>0</v>
      </c>
      <c r="N131" s="334"/>
      <c r="O131" s="158">
        <f t="shared" ref="O131:O154" si="36">IF(N131&lt;&gt;0,+I131-N131,0)</f>
        <v>0</v>
      </c>
      <c r="P131" s="158">
        <f t="shared" ref="P131:P154" si="37">+O131-M131</f>
        <v>0</v>
      </c>
      <c r="Q131" s="1"/>
    </row>
    <row r="132" spans="2:17">
      <c r="B132" s="9" t="str">
        <f t="shared" si="26"/>
        <v/>
      </c>
      <c r="C132" s="153">
        <f>IF(D93="","-",+C131+1)</f>
        <v>2043</v>
      </c>
      <c r="D132" s="154">
        <f>IF(F131+SUM(E$99:E131)=D$92,F131,D$92-SUM(E$99:E131))</f>
        <v>372699.59053831268</v>
      </c>
      <c r="E132" s="160">
        <f>IF(+J96&lt;F131,J96,D132)</f>
        <v>39114.690476190473</v>
      </c>
      <c r="F132" s="159">
        <f t="shared" ref="F132:F154" si="38">+D132-E132</f>
        <v>333584.90006212221</v>
      </c>
      <c r="G132" s="159">
        <f t="shared" si="31"/>
        <v>353142.24530021742</v>
      </c>
      <c r="H132" s="163">
        <f t="shared" si="32"/>
        <v>82011.393782602245</v>
      </c>
      <c r="I132" s="253">
        <f t="shared" si="33"/>
        <v>82011.393782602245</v>
      </c>
      <c r="J132" s="158">
        <f t="shared" si="34"/>
        <v>0</v>
      </c>
      <c r="K132" s="158"/>
      <c r="L132" s="334"/>
      <c r="M132" s="158">
        <f t="shared" si="35"/>
        <v>0</v>
      </c>
      <c r="N132" s="334"/>
      <c r="O132" s="158">
        <f t="shared" si="36"/>
        <v>0</v>
      </c>
      <c r="P132" s="158">
        <f t="shared" si="37"/>
        <v>0</v>
      </c>
      <c r="Q132" s="1"/>
    </row>
    <row r="133" spans="2:17">
      <c r="B133" s="9" t="str">
        <f t="shared" si="26"/>
        <v/>
      </c>
      <c r="C133" s="153">
        <f>IF(D93="","-",+C132+1)</f>
        <v>2044</v>
      </c>
      <c r="D133" s="154">
        <f>IF(F132+SUM(E$99:E132)=D$92,F132,D$92-SUM(E$99:E132))</f>
        <v>333584.90006212221</v>
      </c>
      <c r="E133" s="160">
        <f>IF(+J96&lt;F132,J96,D133)</f>
        <v>39114.690476190473</v>
      </c>
      <c r="F133" s="159">
        <f t="shared" si="38"/>
        <v>294470.20958593173</v>
      </c>
      <c r="G133" s="159">
        <f t="shared" si="31"/>
        <v>314027.554824027</v>
      </c>
      <c r="H133" s="163">
        <f t="shared" si="32"/>
        <v>77260.075313601614</v>
      </c>
      <c r="I133" s="253">
        <f t="shared" si="33"/>
        <v>77260.075313601614</v>
      </c>
      <c r="J133" s="158">
        <f t="shared" si="34"/>
        <v>0</v>
      </c>
      <c r="K133" s="158"/>
      <c r="L133" s="334"/>
      <c r="M133" s="158">
        <f t="shared" si="35"/>
        <v>0</v>
      </c>
      <c r="N133" s="334"/>
      <c r="O133" s="158">
        <f t="shared" si="36"/>
        <v>0</v>
      </c>
      <c r="P133" s="158">
        <f t="shared" si="37"/>
        <v>0</v>
      </c>
      <c r="Q133" s="1"/>
    </row>
    <row r="134" spans="2:17">
      <c r="B134" s="9" t="str">
        <f t="shared" si="26"/>
        <v/>
      </c>
      <c r="C134" s="153">
        <f>IF(D93="","-",+C133+1)</f>
        <v>2045</v>
      </c>
      <c r="D134" s="154">
        <f>IF(F133+SUM(E$99:E133)=D$92,F133,D$92-SUM(E$99:E133))</f>
        <v>294470.20958593173</v>
      </c>
      <c r="E134" s="160">
        <f>IF(+J96&lt;F133,J96,D134)</f>
        <v>39114.690476190473</v>
      </c>
      <c r="F134" s="159">
        <f t="shared" si="38"/>
        <v>255355.51910974126</v>
      </c>
      <c r="G134" s="159">
        <f t="shared" si="31"/>
        <v>274912.86434783647</v>
      </c>
      <c r="H134" s="163">
        <f t="shared" si="32"/>
        <v>72508.756844600983</v>
      </c>
      <c r="I134" s="253">
        <f t="shared" si="33"/>
        <v>72508.756844600983</v>
      </c>
      <c r="J134" s="158">
        <f t="shared" si="34"/>
        <v>0</v>
      </c>
      <c r="K134" s="158"/>
      <c r="L134" s="334"/>
      <c r="M134" s="158">
        <f t="shared" si="35"/>
        <v>0</v>
      </c>
      <c r="N134" s="334"/>
      <c r="O134" s="158">
        <f t="shared" si="36"/>
        <v>0</v>
      </c>
      <c r="P134" s="158">
        <f t="shared" si="37"/>
        <v>0</v>
      </c>
      <c r="Q134" s="1"/>
    </row>
    <row r="135" spans="2:17">
      <c r="B135" s="9" t="str">
        <f t="shared" si="26"/>
        <v/>
      </c>
      <c r="C135" s="153">
        <f>IF(D93="","-",+C134+1)</f>
        <v>2046</v>
      </c>
      <c r="D135" s="154">
        <f>IF(F134+SUM(E$99:E134)=D$92,F134,D$92-SUM(E$99:E134))</f>
        <v>255355.51910974126</v>
      </c>
      <c r="E135" s="160">
        <f>IF(+J96&lt;F134,J96,D135)</f>
        <v>39114.690476190473</v>
      </c>
      <c r="F135" s="159">
        <f t="shared" si="38"/>
        <v>216240.82863355079</v>
      </c>
      <c r="G135" s="159">
        <f t="shared" si="31"/>
        <v>235798.17387164602</v>
      </c>
      <c r="H135" s="163">
        <f t="shared" si="32"/>
        <v>67757.438375600366</v>
      </c>
      <c r="I135" s="253">
        <f t="shared" si="33"/>
        <v>67757.438375600366</v>
      </c>
      <c r="J135" s="158">
        <f t="shared" si="34"/>
        <v>0</v>
      </c>
      <c r="K135" s="158"/>
      <c r="L135" s="334"/>
      <c r="M135" s="158">
        <f t="shared" si="35"/>
        <v>0</v>
      </c>
      <c r="N135" s="334"/>
      <c r="O135" s="158">
        <f t="shared" si="36"/>
        <v>0</v>
      </c>
      <c r="P135" s="158">
        <f t="shared" si="37"/>
        <v>0</v>
      </c>
      <c r="Q135" s="1"/>
    </row>
    <row r="136" spans="2:17">
      <c r="B136" s="9" t="str">
        <f t="shared" si="26"/>
        <v/>
      </c>
      <c r="C136" s="153">
        <f>IF(D93="","-",+C135+1)</f>
        <v>2047</v>
      </c>
      <c r="D136" s="154">
        <f>IF(F135+SUM(E$99:E135)=D$92,F135,D$92-SUM(E$99:E135))</f>
        <v>216240.82863355079</v>
      </c>
      <c r="E136" s="160">
        <f>IF(+J96&lt;F135,J96,D136)</f>
        <v>39114.690476190473</v>
      </c>
      <c r="F136" s="159">
        <f t="shared" si="38"/>
        <v>177126.13815736031</v>
      </c>
      <c r="G136" s="159">
        <f t="shared" si="31"/>
        <v>196683.48339545555</v>
      </c>
      <c r="H136" s="163">
        <f t="shared" si="32"/>
        <v>63006.119906599735</v>
      </c>
      <c r="I136" s="253">
        <f t="shared" si="33"/>
        <v>63006.119906599735</v>
      </c>
      <c r="J136" s="158">
        <f t="shared" si="34"/>
        <v>0</v>
      </c>
      <c r="K136" s="158"/>
      <c r="L136" s="334"/>
      <c r="M136" s="158">
        <f t="shared" si="35"/>
        <v>0</v>
      </c>
      <c r="N136" s="334"/>
      <c r="O136" s="158">
        <f t="shared" si="36"/>
        <v>0</v>
      </c>
      <c r="P136" s="158">
        <f t="shared" si="37"/>
        <v>0</v>
      </c>
      <c r="Q136" s="1"/>
    </row>
    <row r="137" spans="2:17">
      <c r="B137" s="9" t="str">
        <f t="shared" si="26"/>
        <v/>
      </c>
      <c r="C137" s="153">
        <f>IF(D93="","-",+C136+1)</f>
        <v>2048</v>
      </c>
      <c r="D137" s="154">
        <f>IF(F136+SUM(E$99:E136)=D$92,F136,D$92-SUM(E$99:E136))</f>
        <v>177126.13815736031</v>
      </c>
      <c r="E137" s="160">
        <f>IF(+J96&lt;F136,J96,D137)</f>
        <v>39114.690476190473</v>
      </c>
      <c r="F137" s="159">
        <f t="shared" si="38"/>
        <v>138011.44768116984</v>
      </c>
      <c r="G137" s="159">
        <f t="shared" si="31"/>
        <v>157568.79291926508</v>
      </c>
      <c r="H137" s="163">
        <f t="shared" si="32"/>
        <v>58254.801437599112</v>
      </c>
      <c r="I137" s="253">
        <f t="shared" si="33"/>
        <v>58254.801437599112</v>
      </c>
      <c r="J137" s="158">
        <f t="shared" si="34"/>
        <v>0</v>
      </c>
      <c r="K137" s="158"/>
      <c r="L137" s="334"/>
      <c r="M137" s="158">
        <f t="shared" si="35"/>
        <v>0</v>
      </c>
      <c r="N137" s="334"/>
      <c r="O137" s="158">
        <f t="shared" si="36"/>
        <v>0</v>
      </c>
      <c r="P137" s="158">
        <f t="shared" si="37"/>
        <v>0</v>
      </c>
      <c r="Q137" s="1"/>
    </row>
    <row r="138" spans="2:17">
      <c r="B138" s="9" t="str">
        <f t="shared" si="26"/>
        <v/>
      </c>
      <c r="C138" s="153">
        <f>IF(D93="","-",+C137+1)</f>
        <v>2049</v>
      </c>
      <c r="D138" s="154">
        <f>IF(F137+SUM(E$99:E137)=D$92,F137,D$92-SUM(E$99:E137))</f>
        <v>138011.44768116984</v>
      </c>
      <c r="E138" s="160">
        <f>IF(+J96&lt;F137,J96,D138)</f>
        <v>39114.690476190473</v>
      </c>
      <c r="F138" s="159">
        <f t="shared" si="38"/>
        <v>98896.757204979367</v>
      </c>
      <c r="G138" s="159">
        <f t="shared" si="31"/>
        <v>118454.1024430746</v>
      </c>
      <c r="H138" s="163">
        <f t="shared" si="32"/>
        <v>53503.482968598488</v>
      </c>
      <c r="I138" s="253">
        <f t="shared" si="33"/>
        <v>53503.482968598488</v>
      </c>
      <c r="J138" s="158">
        <f t="shared" si="34"/>
        <v>0</v>
      </c>
      <c r="K138" s="158"/>
      <c r="L138" s="334"/>
      <c r="M138" s="158">
        <f t="shared" si="35"/>
        <v>0</v>
      </c>
      <c r="N138" s="334"/>
      <c r="O138" s="158">
        <f t="shared" si="36"/>
        <v>0</v>
      </c>
      <c r="P138" s="158">
        <f t="shared" si="37"/>
        <v>0</v>
      </c>
      <c r="Q138" s="1"/>
    </row>
    <row r="139" spans="2:17">
      <c r="B139" s="9" t="str">
        <f t="shared" si="26"/>
        <v/>
      </c>
      <c r="C139" s="153">
        <f>IF(D93="","-",+C138+1)</f>
        <v>2050</v>
      </c>
      <c r="D139" s="154">
        <f>IF(F138+SUM(E$99:E138)=D$92,F138,D$92-SUM(E$99:E138))</f>
        <v>98896.757204979367</v>
      </c>
      <c r="E139" s="160">
        <f>IF(+J96&lt;F138,J96,D139)</f>
        <v>39114.690476190473</v>
      </c>
      <c r="F139" s="159">
        <f t="shared" si="38"/>
        <v>59782.066728788894</v>
      </c>
      <c r="G139" s="159">
        <f t="shared" si="31"/>
        <v>79339.41196688413</v>
      </c>
      <c r="H139" s="163">
        <f t="shared" si="32"/>
        <v>48752.164499597857</v>
      </c>
      <c r="I139" s="253">
        <f t="shared" si="33"/>
        <v>48752.164499597857</v>
      </c>
      <c r="J139" s="158">
        <f t="shared" si="34"/>
        <v>0</v>
      </c>
      <c r="K139" s="158"/>
      <c r="L139" s="334"/>
      <c r="M139" s="158">
        <f t="shared" si="35"/>
        <v>0</v>
      </c>
      <c r="N139" s="334"/>
      <c r="O139" s="158">
        <f t="shared" si="36"/>
        <v>0</v>
      </c>
      <c r="P139" s="158">
        <f t="shared" si="37"/>
        <v>0</v>
      </c>
      <c r="Q139" s="1"/>
    </row>
    <row r="140" spans="2:17">
      <c r="B140" s="9" t="str">
        <f t="shared" si="26"/>
        <v/>
      </c>
      <c r="C140" s="153">
        <f>IF(D93="","-",+C139+1)</f>
        <v>2051</v>
      </c>
      <c r="D140" s="154">
        <f>IF(F139+SUM(E$99:E139)=D$92,F139,D$92-SUM(E$99:E139))</f>
        <v>59782.066728788894</v>
      </c>
      <c r="E140" s="160">
        <f>IF(+J96&lt;F139,J96,D140)</f>
        <v>39114.690476190473</v>
      </c>
      <c r="F140" s="159">
        <f t="shared" si="38"/>
        <v>20667.37625259842</v>
      </c>
      <c r="G140" s="159">
        <f t="shared" si="31"/>
        <v>40224.721490693657</v>
      </c>
      <c r="H140" s="163">
        <f t="shared" si="32"/>
        <v>44000.846030597233</v>
      </c>
      <c r="I140" s="253">
        <f t="shared" si="33"/>
        <v>44000.846030597233</v>
      </c>
      <c r="J140" s="158">
        <f t="shared" si="34"/>
        <v>0</v>
      </c>
      <c r="K140" s="158"/>
      <c r="L140" s="334"/>
      <c r="M140" s="158">
        <f t="shared" si="35"/>
        <v>0</v>
      </c>
      <c r="N140" s="334"/>
      <c r="O140" s="158">
        <f t="shared" si="36"/>
        <v>0</v>
      </c>
      <c r="P140" s="158">
        <f t="shared" si="37"/>
        <v>0</v>
      </c>
      <c r="Q140" s="1"/>
    </row>
    <row r="141" spans="2:17">
      <c r="B141" s="9" t="str">
        <f t="shared" si="26"/>
        <v/>
      </c>
      <c r="C141" s="153">
        <f>IF(D93="","-",+C140+1)</f>
        <v>2052</v>
      </c>
      <c r="D141" s="154">
        <f>IF(F140+SUM(E$99:E140)=D$92,F140,D$92-SUM(E$99:E140))</f>
        <v>20667.37625259842</v>
      </c>
      <c r="E141" s="160">
        <f>IF(+J96&lt;F140,J96,D141)</f>
        <v>20667.37625259842</v>
      </c>
      <c r="F141" s="159">
        <f t="shared" si="38"/>
        <v>0</v>
      </c>
      <c r="G141" s="159">
        <f t="shared" si="31"/>
        <v>10333.68812629921</v>
      </c>
      <c r="H141" s="163">
        <f t="shared" si="32"/>
        <v>21922.624412551642</v>
      </c>
      <c r="I141" s="253">
        <f t="shared" si="33"/>
        <v>21922.624412551642</v>
      </c>
      <c r="J141" s="158">
        <f t="shared" si="34"/>
        <v>0</v>
      </c>
      <c r="K141" s="158"/>
      <c r="L141" s="334"/>
      <c r="M141" s="158">
        <f t="shared" si="35"/>
        <v>0</v>
      </c>
      <c r="N141" s="334"/>
      <c r="O141" s="158">
        <f t="shared" si="36"/>
        <v>0</v>
      </c>
      <c r="P141" s="158">
        <f t="shared" si="37"/>
        <v>0</v>
      </c>
      <c r="Q141" s="1"/>
    </row>
    <row r="142" spans="2:17">
      <c r="B142" s="9" t="str">
        <f t="shared" si="26"/>
        <v/>
      </c>
      <c r="C142" s="153">
        <f>IF(D93="","-",+C141+1)</f>
        <v>2053</v>
      </c>
      <c r="D142" s="154">
        <f>IF(F141+SUM(E$99:E141)=D$92,F141,D$92-SUM(E$99:E141))</f>
        <v>0</v>
      </c>
      <c r="E142" s="160">
        <f>IF(+J96&lt;F141,J96,D142)</f>
        <v>0</v>
      </c>
      <c r="F142" s="159">
        <f t="shared" si="38"/>
        <v>0</v>
      </c>
      <c r="G142" s="159">
        <f t="shared" si="31"/>
        <v>0</v>
      </c>
      <c r="H142" s="163">
        <f t="shared" si="32"/>
        <v>0</v>
      </c>
      <c r="I142" s="253">
        <f t="shared" si="33"/>
        <v>0</v>
      </c>
      <c r="J142" s="158">
        <f t="shared" si="34"/>
        <v>0</v>
      </c>
      <c r="K142" s="158"/>
      <c r="L142" s="334"/>
      <c r="M142" s="158">
        <f t="shared" si="35"/>
        <v>0</v>
      </c>
      <c r="N142" s="334"/>
      <c r="O142" s="158">
        <f t="shared" si="36"/>
        <v>0</v>
      </c>
      <c r="P142" s="158">
        <f t="shared" si="37"/>
        <v>0</v>
      </c>
      <c r="Q142" s="1"/>
    </row>
    <row r="143" spans="2:17">
      <c r="B143" s="9" t="str">
        <f t="shared" si="26"/>
        <v/>
      </c>
      <c r="C143" s="153">
        <f>IF(D93="","-",+C142+1)</f>
        <v>2054</v>
      </c>
      <c r="D143" s="154">
        <f>IF(F142+SUM(E$99:E142)=D$92,F142,D$92-SUM(E$99:E142))</f>
        <v>0</v>
      </c>
      <c r="E143" s="160">
        <f>IF(+J96&lt;F142,J96,D143)</f>
        <v>0</v>
      </c>
      <c r="F143" s="159">
        <f t="shared" si="38"/>
        <v>0</v>
      </c>
      <c r="G143" s="159">
        <f t="shared" si="31"/>
        <v>0</v>
      </c>
      <c r="H143" s="163">
        <f t="shared" si="32"/>
        <v>0</v>
      </c>
      <c r="I143" s="253">
        <f t="shared" si="33"/>
        <v>0</v>
      </c>
      <c r="J143" s="158">
        <f t="shared" si="34"/>
        <v>0</v>
      </c>
      <c r="K143" s="158"/>
      <c r="L143" s="334"/>
      <c r="M143" s="158">
        <f t="shared" si="35"/>
        <v>0</v>
      </c>
      <c r="N143" s="334"/>
      <c r="O143" s="158">
        <f t="shared" si="36"/>
        <v>0</v>
      </c>
      <c r="P143" s="158">
        <f t="shared" si="37"/>
        <v>0</v>
      </c>
      <c r="Q143" s="1"/>
    </row>
    <row r="144" spans="2:17">
      <c r="B144" s="9" t="str">
        <f t="shared" si="26"/>
        <v/>
      </c>
      <c r="C144" s="153">
        <f>IF(D93="","-",+C143+1)</f>
        <v>2055</v>
      </c>
      <c r="D144" s="154">
        <f>IF(F143+SUM(E$99:E143)=D$92,F143,D$92-SUM(E$99:E143))</f>
        <v>0</v>
      </c>
      <c r="E144" s="160">
        <f>IF(+J96&lt;F143,J96,D144)</f>
        <v>0</v>
      </c>
      <c r="F144" s="159">
        <f t="shared" si="38"/>
        <v>0</v>
      </c>
      <c r="G144" s="159">
        <f t="shared" si="31"/>
        <v>0</v>
      </c>
      <c r="H144" s="163">
        <f t="shared" si="32"/>
        <v>0</v>
      </c>
      <c r="I144" s="253">
        <f t="shared" si="33"/>
        <v>0</v>
      </c>
      <c r="J144" s="158">
        <f t="shared" si="34"/>
        <v>0</v>
      </c>
      <c r="K144" s="158"/>
      <c r="L144" s="334"/>
      <c r="M144" s="158">
        <f t="shared" si="35"/>
        <v>0</v>
      </c>
      <c r="N144" s="334"/>
      <c r="O144" s="158">
        <f t="shared" si="36"/>
        <v>0</v>
      </c>
      <c r="P144" s="158">
        <f t="shared" si="37"/>
        <v>0</v>
      </c>
      <c r="Q144" s="1"/>
    </row>
    <row r="145" spans="2:17">
      <c r="B145" s="9" t="str">
        <f t="shared" si="26"/>
        <v/>
      </c>
      <c r="C145" s="153">
        <f>IF(D93="","-",+C144+1)</f>
        <v>2056</v>
      </c>
      <c r="D145" s="154">
        <f>IF(F144+SUM(E$99:E144)=D$92,F144,D$92-SUM(E$99:E144))</f>
        <v>0</v>
      </c>
      <c r="E145" s="160">
        <f>IF(+J96&lt;F144,J96,D145)</f>
        <v>0</v>
      </c>
      <c r="F145" s="159">
        <f t="shared" si="38"/>
        <v>0</v>
      </c>
      <c r="G145" s="159">
        <f t="shared" si="31"/>
        <v>0</v>
      </c>
      <c r="H145" s="163">
        <f t="shared" si="32"/>
        <v>0</v>
      </c>
      <c r="I145" s="253">
        <f t="shared" si="33"/>
        <v>0</v>
      </c>
      <c r="J145" s="158">
        <f t="shared" si="34"/>
        <v>0</v>
      </c>
      <c r="K145" s="158"/>
      <c r="L145" s="334"/>
      <c r="M145" s="158">
        <f t="shared" si="35"/>
        <v>0</v>
      </c>
      <c r="N145" s="334"/>
      <c r="O145" s="158">
        <f t="shared" si="36"/>
        <v>0</v>
      </c>
      <c r="P145" s="158">
        <f t="shared" si="37"/>
        <v>0</v>
      </c>
      <c r="Q145" s="1"/>
    </row>
    <row r="146" spans="2:17">
      <c r="B146" s="9" t="str">
        <f t="shared" si="26"/>
        <v/>
      </c>
      <c r="C146" s="153">
        <f>IF(D93="","-",+C145+1)</f>
        <v>2057</v>
      </c>
      <c r="D146" s="154">
        <f>IF(F145+SUM(E$99:E145)=D$92,F145,D$92-SUM(E$99:E145))</f>
        <v>0</v>
      </c>
      <c r="E146" s="160">
        <f>IF(+J96&lt;F145,J96,D146)</f>
        <v>0</v>
      </c>
      <c r="F146" s="159">
        <f t="shared" si="38"/>
        <v>0</v>
      </c>
      <c r="G146" s="159">
        <f t="shared" si="31"/>
        <v>0</v>
      </c>
      <c r="H146" s="163">
        <f t="shared" si="32"/>
        <v>0</v>
      </c>
      <c r="I146" s="253">
        <f t="shared" si="33"/>
        <v>0</v>
      </c>
      <c r="J146" s="158">
        <f t="shared" si="34"/>
        <v>0</v>
      </c>
      <c r="K146" s="158"/>
      <c r="L146" s="334"/>
      <c r="M146" s="158">
        <f t="shared" si="35"/>
        <v>0</v>
      </c>
      <c r="N146" s="334"/>
      <c r="O146" s="158">
        <f t="shared" si="36"/>
        <v>0</v>
      </c>
      <c r="P146" s="158">
        <f t="shared" si="37"/>
        <v>0</v>
      </c>
      <c r="Q146" s="1"/>
    </row>
    <row r="147" spans="2:17">
      <c r="B147" s="9" t="str">
        <f t="shared" si="26"/>
        <v/>
      </c>
      <c r="C147" s="153">
        <f>IF(D93="","-",+C146+1)</f>
        <v>2058</v>
      </c>
      <c r="D147" s="154">
        <f>IF(F146+SUM(E$99:E146)=D$92,F146,D$92-SUM(E$99:E146))</f>
        <v>0</v>
      </c>
      <c r="E147" s="160">
        <f>IF(+J96&lt;F146,J96,D147)</f>
        <v>0</v>
      </c>
      <c r="F147" s="159">
        <f t="shared" si="38"/>
        <v>0</v>
      </c>
      <c r="G147" s="159">
        <f t="shared" si="31"/>
        <v>0</v>
      </c>
      <c r="H147" s="163">
        <f t="shared" si="32"/>
        <v>0</v>
      </c>
      <c r="I147" s="253">
        <f t="shared" si="33"/>
        <v>0</v>
      </c>
      <c r="J147" s="158">
        <f t="shared" si="34"/>
        <v>0</v>
      </c>
      <c r="K147" s="158"/>
      <c r="L147" s="334"/>
      <c r="M147" s="158">
        <f t="shared" si="35"/>
        <v>0</v>
      </c>
      <c r="N147" s="334"/>
      <c r="O147" s="158">
        <f t="shared" si="36"/>
        <v>0</v>
      </c>
      <c r="P147" s="158">
        <f t="shared" si="37"/>
        <v>0</v>
      </c>
      <c r="Q147" s="1"/>
    </row>
    <row r="148" spans="2:17">
      <c r="B148" s="9" t="str">
        <f t="shared" si="26"/>
        <v/>
      </c>
      <c r="C148" s="153">
        <f>IF(D93="","-",+C147+1)</f>
        <v>2059</v>
      </c>
      <c r="D148" s="154">
        <f>IF(F147+SUM(E$99:E147)=D$92,F147,D$92-SUM(E$99:E147))</f>
        <v>0</v>
      </c>
      <c r="E148" s="160">
        <f>IF(+J96&lt;F147,J96,D148)</f>
        <v>0</v>
      </c>
      <c r="F148" s="159">
        <f t="shared" si="38"/>
        <v>0</v>
      </c>
      <c r="G148" s="159">
        <f t="shared" si="31"/>
        <v>0</v>
      </c>
      <c r="H148" s="163">
        <f t="shared" si="32"/>
        <v>0</v>
      </c>
      <c r="I148" s="253">
        <f t="shared" si="33"/>
        <v>0</v>
      </c>
      <c r="J148" s="158">
        <f t="shared" si="34"/>
        <v>0</v>
      </c>
      <c r="K148" s="158"/>
      <c r="L148" s="334"/>
      <c r="M148" s="158">
        <f t="shared" si="35"/>
        <v>0</v>
      </c>
      <c r="N148" s="334"/>
      <c r="O148" s="158">
        <f t="shared" si="36"/>
        <v>0</v>
      </c>
      <c r="P148" s="158">
        <f t="shared" si="37"/>
        <v>0</v>
      </c>
      <c r="Q148" s="1"/>
    </row>
    <row r="149" spans="2:17">
      <c r="B149" s="9" t="str">
        <f t="shared" si="26"/>
        <v/>
      </c>
      <c r="C149" s="153">
        <f>IF(D93="","-",+C148+1)</f>
        <v>2060</v>
      </c>
      <c r="D149" s="154">
        <f>IF(F148+SUM(E$99:E148)=D$92,F148,D$92-SUM(E$99:E148))</f>
        <v>0</v>
      </c>
      <c r="E149" s="160">
        <f>IF(+J96&lt;F148,J96,D149)</f>
        <v>0</v>
      </c>
      <c r="F149" s="159">
        <f t="shared" si="38"/>
        <v>0</v>
      </c>
      <c r="G149" s="159">
        <f t="shared" si="31"/>
        <v>0</v>
      </c>
      <c r="H149" s="163">
        <f t="shared" si="32"/>
        <v>0</v>
      </c>
      <c r="I149" s="253">
        <f t="shared" si="33"/>
        <v>0</v>
      </c>
      <c r="J149" s="158">
        <f t="shared" si="34"/>
        <v>0</v>
      </c>
      <c r="K149" s="158"/>
      <c r="L149" s="334"/>
      <c r="M149" s="158">
        <f t="shared" si="35"/>
        <v>0</v>
      </c>
      <c r="N149" s="334"/>
      <c r="O149" s="158">
        <f t="shared" si="36"/>
        <v>0</v>
      </c>
      <c r="P149" s="158">
        <f t="shared" si="37"/>
        <v>0</v>
      </c>
      <c r="Q149" s="1"/>
    </row>
    <row r="150" spans="2:17">
      <c r="B150" s="9" t="str">
        <f t="shared" si="26"/>
        <v/>
      </c>
      <c r="C150" s="153">
        <f>IF(D93="","-",+C149+1)</f>
        <v>2061</v>
      </c>
      <c r="D150" s="154">
        <f>IF(F149+SUM(E$99:E149)=D$92,F149,D$92-SUM(E$99:E149))</f>
        <v>0</v>
      </c>
      <c r="E150" s="160">
        <f>IF(+J96&lt;F149,J96,D150)</f>
        <v>0</v>
      </c>
      <c r="F150" s="159">
        <f t="shared" si="38"/>
        <v>0</v>
      </c>
      <c r="G150" s="159">
        <f t="shared" si="31"/>
        <v>0</v>
      </c>
      <c r="H150" s="163">
        <f t="shared" si="32"/>
        <v>0</v>
      </c>
      <c r="I150" s="253">
        <f t="shared" si="33"/>
        <v>0</v>
      </c>
      <c r="J150" s="158">
        <f t="shared" si="34"/>
        <v>0</v>
      </c>
      <c r="K150" s="158"/>
      <c r="L150" s="334"/>
      <c r="M150" s="158">
        <f t="shared" si="35"/>
        <v>0</v>
      </c>
      <c r="N150" s="334"/>
      <c r="O150" s="158">
        <f t="shared" si="36"/>
        <v>0</v>
      </c>
      <c r="P150" s="158">
        <f t="shared" si="37"/>
        <v>0</v>
      </c>
      <c r="Q150" s="1"/>
    </row>
    <row r="151" spans="2:17">
      <c r="B151" s="9" t="str">
        <f t="shared" si="26"/>
        <v/>
      </c>
      <c r="C151" s="153">
        <f>IF(D93="","-",+C150+1)</f>
        <v>2062</v>
      </c>
      <c r="D151" s="154">
        <f>IF(F150+SUM(E$99:E150)=D$92,F150,D$92-SUM(E$99:E150))</f>
        <v>0</v>
      </c>
      <c r="E151" s="160">
        <f>IF(+J96&lt;F150,J96,D151)</f>
        <v>0</v>
      </c>
      <c r="F151" s="159">
        <f t="shared" si="38"/>
        <v>0</v>
      </c>
      <c r="G151" s="159">
        <f t="shared" si="31"/>
        <v>0</v>
      </c>
      <c r="H151" s="163">
        <f t="shared" si="32"/>
        <v>0</v>
      </c>
      <c r="I151" s="253">
        <f t="shared" si="33"/>
        <v>0</v>
      </c>
      <c r="J151" s="158">
        <f t="shared" si="34"/>
        <v>0</v>
      </c>
      <c r="K151" s="158"/>
      <c r="L151" s="334"/>
      <c r="M151" s="158">
        <f t="shared" si="35"/>
        <v>0</v>
      </c>
      <c r="N151" s="334"/>
      <c r="O151" s="158">
        <f t="shared" si="36"/>
        <v>0</v>
      </c>
      <c r="P151" s="158">
        <f t="shared" si="37"/>
        <v>0</v>
      </c>
      <c r="Q151" s="1"/>
    </row>
    <row r="152" spans="2:17">
      <c r="B152" s="9" t="str">
        <f t="shared" si="26"/>
        <v/>
      </c>
      <c r="C152" s="153">
        <f>IF(D93="","-",+C151+1)</f>
        <v>2063</v>
      </c>
      <c r="D152" s="154">
        <f>IF(F151+SUM(E$99:E151)=D$92,F151,D$92-SUM(E$99:E151))</f>
        <v>0</v>
      </c>
      <c r="E152" s="160">
        <f>IF(+J96&lt;F151,J96,D152)</f>
        <v>0</v>
      </c>
      <c r="F152" s="159">
        <f t="shared" si="38"/>
        <v>0</v>
      </c>
      <c r="G152" s="159">
        <f t="shared" si="31"/>
        <v>0</v>
      </c>
      <c r="H152" s="163">
        <f t="shared" si="32"/>
        <v>0</v>
      </c>
      <c r="I152" s="253">
        <f t="shared" si="33"/>
        <v>0</v>
      </c>
      <c r="J152" s="158">
        <f t="shared" si="34"/>
        <v>0</v>
      </c>
      <c r="K152" s="158"/>
      <c r="L152" s="334"/>
      <c r="M152" s="158">
        <f t="shared" si="35"/>
        <v>0</v>
      </c>
      <c r="N152" s="334"/>
      <c r="O152" s="158">
        <f t="shared" si="36"/>
        <v>0</v>
      </c>
      <c r="P152" s="158">
        <f t="shared" si="37"/>
        <v>0</v>
      </c>
      <c r="Q152" s="1"/>
    </row>
    <row r="153" spans="2:17">
      <c r="B153" s="9" t="str">
        <f t="shared" si="26"/>
        <v/>
      </c>
      <c r="C153" s="153">
        <f>IF(D93="","-",+C152+1)</f>
        <v>2064</v>
      </c>
      <c r="D153" s="154">
        <f>IF(F152+SUM(E$99:E152)=D$92,F152,D$92-SUM(E$99:E152))</f>
        <v>0</v>
      </c>
      <c r="E153" s="160">
        <f>IF(+J96&lt;F152,J96,D153)</f>
        <v>0</v>
      </c>
      <c r="F153" s="159">
        <f t="shared" si="38"/>
        <v>0</v>
      </c>
      <c r="G153" s="159">
        <f t="shared" si="31"/>
        <v>0</v>
      </c>
      <c r="H153" s="163">
        <f t="shared" si="32"/>
        <v>0</v>
      </c>
      <c r="I153" s="253">
        <f t="shared" si="33"/>
        <v>0</v>
      </c>
      <c r="J153" s="158">
        <f t="shared" si="34"/>
        <v>0</v>
      </c>
      <c r="K153" s="158"/>
      <c r="L153" s="334"/>
      <c r="M153" s="158">
        <f t="shared" si="35"/>
        <v>0</v>
      </c>
      <c r="N153" s="334"/>
      <c r="O153" s="158">
        <f t="shared" si="36"/>
        <v>0</v>
      </c>
      <c r="P153" s="158">
        <f t="shared" si="37"/>
        <v>0</v>
      </c>
      <c r="Q153" s="1"/>
    </row>
    <row r="154" spans="2:17" ht="13.5" thickBot="1">
      <c r="B154" s="9" t="str">
        <f t="shared" si="26"/>
        <v/>
      </c>
      <c r="C154" s="164">
        <f>IF(D93="","-",+C153+1)</f>
        <v>2065</v>
      </c>
      <c r="D154" s="215">
        <f>IF(F153+SUM(E$99:E153)=D$92,F153,D$92-SUM(E$99:E153))</f>
        <v>0</v>
      </c>
      <c r="E154" s="166">
        <f>IF(+J96&lt;F153,J96,D154)</f>
        <v>0</v>
      </c>
      <c r="F154" s="165">
        <f t="shared" si="38"/>
        <v>0</v>
      </c>
      <c r="G154" s="165">
        <f t="shared" si="31"/>
        <v>0</v>
      </c>
      <c r="H154" s="167">
        <f t="shared" si="32"/>
        <v>0</v>
      </c>
      <c r="I154" s="254">
        <f t="shared" si="33"/>
        <v>0</v>
      </c>
      <c r="J154" s="169">
        <f t="shared" si="34"/>
        <v>0</v>
      </c>
      <c r="K154" s="158"/>
      <c r="L154" s="335"/>
      <c r="M154" s="169">
        <f t="shared" si="35"/>
        <v>0</v>
      </c>
      <c r="N154" s="335"/>
      <c r="O154" s="169">
        <f t="shared" si="36"/>
        <v>0</v>
      </c>
      <c r="P154" s="169">
        <f t="shared" si="37"/>
        <v>0</v>
      </c>
      <c r="Q154" s="1"/>
    </row>
    <row r="155" spans="2:17">
      <c r="C155" s="154" t="s">
        <v>73</v>
      </c>
      <c r="D155" s="111"/>
      <c r="E155" s="111">
        <f>SUM(E99:E154)</f>
        <v>1642817</v>
      </c>
      <c r="F155" s="111"/>
      <c r="G155" s="111"/>
      <c r="H155" s="111">
        <f>SUM(H99:H154)</f>
        <v>6021156.4249931229</v>
      </c>
      <c r="I155" s="111">
        <f>SUM(I99:I154)</f>
        <v>6021156.4249931229</v>
      </c>
      <c r="J155" s="111">
        <f>SUM(J99:J154)</f>
        <v>0</v>
      </c>
      <c r="K155" s="111"/>
      <c r="L155" s="111"/>
      <c r="M155" s="111"/>
      <c r="N155" s="111"/>
      <c r="O155" s="111"/>
      <c r="P155" s="1"/>
      <c r="Q155" s="1"/>
    </row>
    <row r="156" spans="2:17">
      <c r="D156" s="2"/>
      <c r="E156" s="1"/>
      <c r="F156" s="1"/>
      <c r="G156" s="1"/>
      <c r="H156" s="1"/>
      <c r="I156" s="3"/>
      <c r="J156" s="3"/>
      <c r="K156" s="111"/>
      <c r="L156" s="3"/>
      <c r="M156" s="3"/>
      <c r="N156" s="3"/>
      <c r="O156" s="3"/>
      <c r="P156" s="1"/>
      <c r="Q156" s="1"/>
    </row>
    <row r="157" spans="2:17">
      <c r="C157" s="216" t="s">
        <v>87</v>
      </c>
      <c r="D157" s="2"/>
      <c r="E157" s="1"/>
      <c r="F157" s="1"/>
      <c r="G157" s="1"/>
      <c r="H157" s="1"/>
      <c r="I157" s="3"/>
      <c r="J157" s="3"/>
      <c r="K157" s="111"/>
      <c r="L157" s="3"/>
      <c r="M157" s="3"/>
      <c r="N157" s="3"/>
      <c r="O157" s="3"/>
      <c r="P157" s="1"/>
      <c r="Q157" s="1"/>
    </row>
    <row r="158" spans="2:17">
      <c r="D158" s="2"/>
      <c r="E158" s="1"/>
      <c r="F158" s="1"/>
      <c r="G158" s="1"/>
      <c r="H158" s="1"/>
      <c r="I158" s="3"/>
      <c r="J158" s="3"/>
      <c r="K158" s="111"/>
      <c r="L158" s="3"/>
      <c r="M158" s="3"/>
      <c r="N158" s="3"/>
      <c r="O158" s="3"/>
      <c r="P158" s="1"/>
      <c r="Q158" s="1"/>
    </row>
    <row r="159" spans="2:17">
      <c r="C159" s="170" t="s">
        <v>92</v>
      </c>
      <c r="D159" s="154"/>
      <c r="E159" s="154"/>
      <c r="F159" s="154"/>
      <c r="G159" s="154"/>
      <c r="H159" s="111"/>
      <c r="I159" s="111"/>
      <c r="J159" s="171"/>
      <c r="K159" s="171"/>
      <c r="L159" s="171"/>
      <c r="M159" s="171"/>
      <c r="N159" s="171"/>
      <c r="O159" s="171"/>
      <c r="P159" s="1"/>
      <c r="Q159" s="1"/>
    </row>
    <row r="160" spans="2:17">
      <c r="C160" s="217" t="s">
        <v>74</v>
      </c>
      <c r="D160" s="154"/>
      <c r="E160" s="154"/>
      <c r="F160" s="154"/>
      <c r="G160" s="154"/>
      <c r="H160" s="111"/>
      <c r="I160" s="111"/>
      <c r="J160" s="171"/>
      <c r="K160" s="171"/>
      <c r="L160" s="171"/>
      <c r="M160" s="171"/>
      <c r="N160" s="171"/>
      <c r="O160" s="171"/>
      <c r="P160" s="1"/>
      <c r="Q160" s="1"/>
    </row>
    <row r="161" spans="3:17">
      <c r="C161" s="217" t="s">
        <v>75</v>
      </c>
      <c r="D161" s="154"/>
      <c r="E161" s="154"/>
      <c r="F161" s="154"/>
      <c r="G161" s="154"/>
      <c r="H161" s="111"/>
      <c r="I161" s="111"/>
      <c r="J161" s="171"/>
      <c r="K161" s="171"/>
      <c r="L161" s="171"/>
      <c r="M161" s="171"/>
      <c r="N161" s="171"/>
      <c r="O161" s="171"/>
      <c r="P161" s="1"/>
      <c r="Q161" s="1"/>
    </row>
    <row r="162" spans="3:17" ht="18">
      <c r="C162" s="217"/>
      <c r="D162" s="154"/>
      <c r="E162" s="154"/>
      <c r="F162" s="154"/>
      <c r="G162" s="154"/>
      <c r="H162" s="111"/>
      <c r="I162" s="111"/>
      <c r="J162" s="171"/>
      <c r="K162" s="171"/>
      <c r="L162" s="171"/>
      <c r="M162" s="171"/>
      <c r="N162" s="171"/>
      <c r="P162" s="237" t="s">
        <v>126</v>
      </c>
      <c r="Q162" s="1"/>
    </row>
  </sheetData>
  <phoneticPr fontId="0" type="noConversion"/>
  <conditionalFormatting sqref="C17:C72">
    <cfRule type="cellIs" dxfId="123" priority="1" stopIfTrue="1" operator="equal">
      <formula>$I$10</formula>
    </cfRule>
  </conditionalFormatting>
  <conditionalFormatting sqref="C99:C154">
    <cfRule type="cellIs" dxfId="122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3"/>
  <dimension ref="A1:Q162"/>
  <sheetViews>
    <sheetView view="pageBreakPreview" zoomScale="75" zoomScaleNormal="100" zoomScaleSheetLayoutView="75" workbookViewId="0">
      <selection activeCell="C19" sqref="C19"/>
    </sheetView>
  </sheetViews>
  <sheetFormatPr defaultRowHeight="12.75" customHeight="1"/>
  <cols>
    <col min="1" max="1" width="4.7109375" customWidth="1"/>
    <col min="2" max="2" width="6.7109375" customWidth="1"/>
    <col min="3" max="3" width="23.28515625" customWidth="1"/>
    <col min="4" max="8" width="17.7109375" customWidth="1"/>
    <col min="9" max="9" width="20.42578125" customWidth="1"/>
    <col min="10" max="10" width="16.42578125" customWidth="1"/>
    <col min="11" max="11" width="17.7109375" customWidth="1"/>
    <col min="12" max="12" width="16.140625" customWidth="1"/>
    <col min="13" max="13" width="17.7109375" customWidth="1"/>
    <col min="14" max="14" width="16.140625" customWidth="1"/>
    <col min="15" max="15" width="16.85546875" customWidth="1"/>
    <col min="16" max="16" width="24.42578125" customWidth="1"/>
    <col min="17" max="17" width="4.7109375" customWidth="1"/>
    <col min="23" max="23" width="9.140625" customWidth="1"/>
  </cols>
  <sheetData>
    <row r="1" spans="1:17" ht="20.25">
      <c r="A1" s="243" t="s">
        <v>128</v>
      </c>
      <c r="B1" s="1"/>
      <c r="C1" s="21"/>
      <c r="D1" s="2"/>
      <c r="E1" s="1"/>
      <c r="F1" s="99"/>
      <c r="G1" s="1"/>
      <c r="H1" s="3"/>
      <c r="J1" s="7"/>
      <c r="K1" s="109"/>
      <c r="L1" s="109"/>
      <c r="M1" s="109"/>
      <c r="P1" s="249" t="str">
        <f ca="1">"SWEPCO Project "&amp;RIGHT(MID(CELL("filename",$A$1),FIND("]",CELL("filename",$A$1))+1,256),2)&amp;" of "&amp;COUNT('S.001:S.xyz - blank'!$P$3)-1</f>
        <v>SWEPCO Project 22 of 73</v>
      </c>
      <c r="Q1" s="108"/>
    </row>
    <row r="2" spans="1:17" ht="18">
      <c r="B2" s="1"/>
      <c r="C2" s="1"/>
      <c r="D2" s="2"/>
      <c r="E2" s="1"/>
      <c r="F2" s="1"/>
      <c r="G2" s="1"/>
      <c r="H2" s="3"/>
      <c r="I2" s="1"/>
      <c r="J2" s="4"/>
      <c r="K2" s="1"/>
      <c r="L2" s="1"/>
      <c r="M2" s="1"/>
      <c r="N2" s="1"/>
      <c r="P2" s="237" t="s">
        <v>124</v>
      </c>
    </row>
    <row r="3" spans="1:17" ht="18.75">
      <c r="B3" s="5" t="s">
        <v>40</v>
      </c>
      <c r="C3" s="68" t="s">
        <v>41</v>
      </c>
      <c r="D3" s="2"/>
      <c r="E3" s="1"/>
      <c r="F3" s="1"/>
      <c r="G3" s="1"/>
      <c r="H3" s="3"/>
      <c r="I3" s="3"/>
      <c r="J3" s="111"/>
      <c r="K3" s="3"/>
      <c r="L3" s="3"/>
      <c r="M3" s="3"/>
      <c r="N3" s="3"/>
      <c r="O3" s="1" t="str">
        <f>RIGHT(N3,3)</f>
        <v/>
      </c>
      <c r="P3" s="239">
        <v>1</v>
      </c>
    </row>
    <row r="4" spans="1:17" ht="15.75" thickBot="1">
      <c r="C4" s="67"/>
      <c r="D4" s="2"/>
      <c r="E4" s="1"/>
      <c r="F4" s="1"/>
      <c r="G4" s="1"/>
      <c r="H4" s="3"/>
      <c r="I4" s="3"/>
      <c r="J4" s="111"/>
      <c r="K4" s="3"/>
      <c r="L4" s="3"/>
      <c r="M4" s="3"/>
      <c r="N4" s="3"/>
      <c r="O4" s="1"/>
      <c r="P4" s="1"/>
    </row>
    <row r="5" spans="1:17" ht="15">
      <c r="C5" s="112" t="s">
        <v>42</v>
      </c>
      <c r="D5" s="2"/>
      <c r="E5" s="1"/>
      <c r="F5" s="1"/>
      <c r="G5" s="113"/>
      <c r="H5" s="1" t="s">
        <v>43</v>
      </c>
      <c r="I5" s="1"/>
      <c r="J5" s="4"/>
      <c r="K5" s="268" t="s">
        <v>152</v>
      </c>
      <c r="L5" s="114"/>
      <c r="M5" s="115"/>
      <c r="N5" s="116">
        <f>VLOOKUP(I10,C17:I72,5)</f>
        <v>20861.468165795835</v>
      </c>
      <c r="P5" s="1"/>
    </row>
    <row r="6" spans="1:17" ht="15.75">
      <c r="C6" s="8"/>
      <c r="D6" s="2"/>
      <c r="E6" s="1"/>
      <c r="F6" s="1"/>
      <c r="G6" s="1"/>
      <c r="H6" s="117"/>
      <c r="I6" s="117"/>
      <c r="J6" s="118"/>
      <c r="K6" s="269" t="s">
        <v>153</v>
      </c>
      <c r="L6" s="119"/>
      <c r="M6" s="4"/>
      <c r="N6" s="120">
        <f>VLOOKUP(I10,C17:I72,6)</f>
        <v>20861.468165795835</v>
      </c>
      <c r="O6" s="1"/>
      <c r="P6" s="1"/>
    </row>
    <row r="7" spans="1:17" ht="13.5" thickBot="1">
      <c r="C7" s="121" t="s">
        <v>44</v>
      </c>
      <c r="D7" s="274" t="s">
        <v>251</v>
      </c>
      <c r="E7" s="1"/>
      <c r="F7" s="1"/>
      <c r="G7" s="170"/>
      <c r="H7" s="3"/>
      <c r="I7" s="3"/>
      <c r="J7" s="111"/>
      <c r="K7" s="122" t="s">
        <v>45</v>
      </c>
      <c r="L7" s="123"/>
      <c r="M7" s="123"/>
      <c r="N7" s="124">
        <f>+N6-N5</f>
        <v>0</v>
      </c>
      <c r="O7" s="1"/>
      <c r="P7" s="1"/>
    </row>
    <row r="8" spans="1:17" ht="13.5" thickBot="1">
      <c r="C8" s="125"/>
      <c r="D8" s="247" t="str">
        <f>IF(D10&lt;100000,"DOES NOT MEET SPP $100,000 MINIMUM INVESTMENT FOR REGIONAL BPU SHARING.","")</f>
        <v/>
      </c>
      <c r="E8" s="126"/>
      <c r="F8" s="126"/>
      <c r="G8" s="126"/>
      <c r="H8" s="126"/>
      <c r="I8" s="126"/>
      <c r="J8" s="101"/>
      <c r="K8" s="126"/>
      <c r="L8" s="126"/>
      <c r="M8" s="126"/>
      <c r="N8" s="126"/>
      <c r="O8" s="101"/>
      <c r="P8" s="21"/>
    </row>
    <row r="9" spans="1:17" ht="13.5" thickBot="1">
      <c r="A9" s="103"/>
      <c r="C9" s="127" t="s">
        <v>46</v>
      </c>
      <c r="D9" s="225" t="s">
        <v>238</v>
      </c>
      <c r="E9" s="401" t="s">
        <v>413</v>
      </c>
      <c r="F9" s="128"/>
      <c r="G9" s="128"/>
      <c r="H9" s="128"/>
      <c r="I9" s="129"/>
      <c r="J9" s="130"/>
      <c r="O9" s="131"/>
      <c r="P9" s="4"/>
    </row>
    <row r="10" spans="1:17">
      <c r="C10" s="132" t="s">
        <v>47</v>
      </c>
      <c r="D10" s="133">
        <v>205882</v>
      </c>
      <c r="E10" s="61" t="s">
        <v>459</v>
      </c>
      <c r="F10" s="131"/>
      <c r="G10" s="134"/>
      <c r="H10" s="134"/>
      <c r="I10" s="135">
        <f>+SWE.WS.F.BPU.ATRR.Projected!K17</f>
        <v>2019</v>
      </c>
      <c r="J10" s="130"/>
      <c r="K10" s="111" t="s">
        <v>48</v>
      </c>
      <c r="O10" s="4"/>
      <c r="P10" s="4"/>
    </row>
    <row r="11" spans="1:17">
      <c r="C11" s="136" t="s">
        <v>49</v>
      </c>
      <c r="D11" s="137">
        <v>2010</v>
      </c>
      <c r="E11" s="136" t="s">
        <v>50</v>
      </c>
      <c r="F11" s="134"/>
      <c r="G11" s="7"/>
      <c r="H11" s="7"/>
      <c r="I11" s="138">
        <v>0</v>
      </c>
      <c r="J11" s="139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4"/>
      <c r="P11" s="4"/>
    </row>
    <row r="12" spans="1:17">
      <c r="C12" s="136" t="s">
        <v>51</v>
      </c>
      <c r="D12" s="133">
        <v>6</v>
      </c>
      <c r="E12" s="136" t="s">
        <v>52</v>
      </c>
      <c r="F12" s="134"/>
      <c r="G12" s="7"/>
      <c r="H12" s="7"/>
      <c r="I12" s="140">
        <f>SWE.WS.F.BPU.ATRR.Projected!$F$76</f>
        <v>9.9555672459071778E-2</v>
      </c>
      <c r="J12" s="141"/>
      <c r="K12" t="s">
        <v>53</v>
      </c>
      <c r="O12" s="4"/>
      <c r="P12" s="4"/>
    </row>
    <row r="13" spans="1:17">
      <c r="C13" s="136" t="s">
        <v>54</v>
      </c>
      <c r="D13" s="138">
        <f>+SWE.WS.F.BPU.ATRR.Projected!F$87</f>
        <v>43</v>
      </c>
      <c r="E13" s="136" t="s">
        <v>55</v>
      </c>
      <c r="F13" s="134"/>
      <c r="G13" s="7"/>
      <c r="H13" s="7"/>
      <c r="I13" s="140">
        <f>IF(G5="",I12,SWE.WS.F.BPU.ATRR.Projected!$F$75)</f>
        <v>9.9555672459071778E-2</v>
      </c>
      <c r="J13" s="141"/>
      <c r="K13" s="111" t="s">
        <v>56</v>
      </c>
      <c r="L13" s="58"/>
      <c r="M13" s="58"/>
      <c r="N13" s="58"/>
      <c r="O13" s="4"/>
      <c r="P13" s="4"/>
    </row>
    <row r="14" spans="1:17" ht="13.5" thickBot="1">
      <c r="C14" s="136" t="s">
        <v>57</v>
      </c>
      <c r="D14" s="137" t="s">
        <v>58</v>
      </c>
      <c r="E14" s="4" t="s">
        <v>59</v>
      </c>
      <c r="F14" s="134"/>
      <c r="G14" s="7"/>
      <c r="H14" s="7"/>
      <c r="I14" s="142">
        <f>IF(D10=0,0,D10/D13)</f>
        <v>4787.9534883720926</v>
      </c>
      <c r="J14" s="111"/>
      <c r="K14" s="111"/>
      <c r="L14" s="111"/>
      <c r="M14" s="111"/>
      <c r="N14" s="111"/>
      <c r="O14" s="4"/>
      <c r="P14" s="4"/>
    </row>
    <row r="15" spans="1:17" ht="38.25">
      <c r="C15" s="143" t="s">
        <v>47</v>
      </c>
      <c r="D15" s="144" t="s">
        <v>60</v>
      </c>
      <c r="E15" s="144" t="s">
        <v>61</v>
      </c>
      <c r="F15" s="144" t="s">
        <v>62</v>
      </c>
      <c r="G15" s="434" t="s">
        <v>378</v>
      </c>
      <c r="H15" s="435" t="s">
        <v>379</v>
      </c>
      <c r="I15" s="351" t="s">
        <v>249</v>
      </c>
      <c r="J15" s="145"/>
      <c r="K15" s="271" t="s">
        <v>219</v>
      </c>
      <c r="L15" s="146" t="s">
        <v>64</v>
      </c>
      <c r="M15" s="271" t="s">
        <v>219</v>
      </c>
      <c r="N15" s="146" t="s">
        <v>64</v>
      </c>
      <c r="O15" s="146" t="s">
        <v>65</v>
      </c>
      <c r="P15" s="4"/>
    </row>
    <row r="16" spans="1:17" ht="13.5" thickBot="1">
      <c r="C16" s="147" t="s">
        <v>66</v>
      </c>
      <c r="D16" s="147" t="s">
        <v>67</v>
      </c>
      <c r="E16" s="147" t="s">
        <v>68</v>
      </c>
      <c r="F16" s="147" t="s">
        <v>67</v>
      </c>
      <c r="G16" s="408" t="s">
        <v>69</v>
      </c>
      <c r="H16" s="148" t="s">
        <v>70</v>
      </c>
      <c r="I16" s="149" t="s">
        <v>89</v>
      </c>
      <c r="J16" s="150" t="s">
        <v>71</v>
      </c>
      <c r="K16" s="151" t="s">
        <v>72</v>
      </c>
      <c r="L16" s="151" t="s">
        <v>72</v>
      </c>
      <c r="M16" s="151" t="s">
        <v>90</v>
      </c>
      <c r="N16" s="152" t="s">
        <v>90</v>
      </c>
      <c r="O16" s="151" t="s">
        <v>90</v>
      </c>
      <c r="P16" s="4"/>
    </row>
    <row r="17" spans="2:16">
      <c r="C17" s="153">
        <f>IF(D11= "","-",D11)</f>
        <v>2010</v>
      </c>
      <c r="D17" s="357">
        <v>187900</v>
      </c>
      <c r="E17" s="358">
        <v>2472.3684210526317</v>
      </c>
      <c r="F17" s="357">
        <v>185427.63157894736</v>
      </c>
      <c r="G17" s="358">
        <v>29130.371732121435</v>
      </c>
      <c r="H17" s="359">
        <v>29130.371732121435</v>
      </c>
      <c r="I17" s="368">
        <v>0</v>
      </c>
      <c r="J17" s="156"/>
      <c r="K17" s="256">
        <f t="shared" ref="K17:K22" si="0">G17</f>
        <v>29130.371732121435</v>
      </c>
      <c r="L17" s="172">
        <f t="shared" ref="L17:L48" si="1">IF(K17&lt;&gt;0,+G17-K17,0)</f>
        <v>0</v>
      </c>
      <c r="M17" s="256">
        <f t="shared" ref="M17:M22" si="2">H17</f>
        <v>29130.371732121435</v>
      </c>
      <c r="N17" s="157">
        <f t="shared" ref="N17:N48" si="3">IF(M17&lt;&gt;0,+H17-M17,0)</f>
        <v>0</v>
      </c>
      <c r="O17" s="158">
        <f t="shared" ref="O17:O48" si="4">+N17-L17</f>
        <v>0</v>
      </c>
      <c r="P17" s="4"/>
    </row>
    <row r="18" spans="2:16">
      <c r="B18" s="9" t="str">
        <f>IF(D18=F17,"","IU")</f>
        <v>IU</v>
      </c>
      <c r="C18" s="153">
        <f>IF(D11="","-",+C17+1)</f>
        <v>2011</v>
      </c>
      <c r="D18" s="361">
        <v>212527.63157894736</v>
      </c>
      <c r="E18" s="360">
        <v>5243.9024390243903</v>
      </c>
      <c r="F18" s="361">
        <v>207283.72913992297</v>
      </c>
      <c r="G18" s="360">
        <v>37620.000882476787</v>
      </c>
      <c r="H18" s="359">
        <v>37620.000882476787</v>
      </c>
      <c r="I18" s="368">
        <v>0</v>
      </c>
      <c r="J18" s="156"/>
      <c r="K18" s="258">
        <f t="shared" si="0"/>
        <v>37620.000882476787</v>
      </c>
      <c r="L18" s="257">
        <f t="shared" si="1"/>
        <v>0</v>
      </c>
      <c r="M18" s="258">
        <f t="shared" si="2"/>
        <v>37620.000882476787</v>
      </c>
      <c r="N18" s="158">
        <f t="shared" si="3"/>
        <v>0</v>
      </c>
      <c r="O18" s="158">
        <f t="shared" si="4"/>
        <v>0</v>
      </c>
      <c r="P18" s="4"/>
    </row>
    <row r="19" spans="2:16">
      <c r="B19" s="9" t="str">
        <f>IF(D19=F18,"","IU")</f>
        <v>IU</v>
      </c>
      <c r="C19" s="153">
        <f>IF(D11="","-",+C18+1)</f>
        <v>2012</v>
      </c>
      <c r="D19" s="361">
        <v>198165.72913992297</v>
      </c>
      <c r="E19" s="360">
        <v>4901.9523809523807</v>
      </c>
      <c r="F19" s="361">
        <v>193263.77675897061</v>
      </c>
      <c r="G19" s="360">
        <v>33644.168330497712</v>
      </c>
      <c r="H19" s="359">
        <v>33644.168330497712</v>
      </c>
      <c r="I19" s="368">
        <v>0</v>
      </c>
      <c r="J19" s="156"/>
      <c r="K19" s="258">
        <f t="shared" si="0"/>
        <v>33644.168330497712</v>
      </c>
      <c r="L19" s="257">
        <f t="shared" si="1"/>
        <v>0</v>
      </c>
      <c r="M19" s="258">
        <f t="shared" si="2"/>
        <v>33644.168330497712</v>
      </c>
      <c r="N19" s="158">
        <f t="shared" si="3"/>
        <v>0</v>
      </c>
      <c r="O19" s="158">
        <f t="shared" si="4"/>
        <v>0</v>
      </c>
      <c r="P19" s="4"/>
    </row>
    <row r="20" spans="2:16">
      <c r="B20" s="9" t="str">
        <f t="shared" ref="B20:B72" si="5">IF(D20=F19,"","IU")</f>
        <v/>
      </c>
      <c r="C20" s="153">
        <f>IF(D11="","-",+C19+1)</f>
        <v>2013</v>
      </c>
      <c r="D20" s="396">
        <v>193263.77675897061</v>
      </c>
      <c r="E20" s="397">
        <v>4901.9523809523807</v>
      </c>
      <c r="F20" s="396">
        <v>188361.82437801824</v>
      </c>
      <c r="G20" s="397">
        <v>31270.174550105858</v>
      </c>
      <c r="H20" s="395">
        <v>31270.174550105858</v>
      </c>
      <c r="I20" s="398">
        <v>0</v>
      </c>
      <c r="J20" s="156"/>
      <c r="K20" s="258">
        <f t="shared" si="0"/>
        <v>31270.174550105858</v>
      </c>
      <c r="L20" s="257">
        <f t="shared" ref="L20:L25" si="6">IF(K20&lt;&gt;0,+G20-K20,0)</f>
        <v>0</v>
      </c>
      <c r="M20" s="258">
        <f t="shared" si="2"/>
        <v>31270.174550105858</v>
      </c>
      <c r="N20" s="158">
        <f t="shared" ref="N20:N25" si="7">IF(M20&lt;&gt;0,+H20-M20,0)</f>
        <v>0</v>
      </c>
      <c r="O20" s="158">
        <f t="shared" ref="O20:O25" si="8">+N20-L20</f>
        <v>0</v>
      </c>
      <c r="P20" s="4"/>
    </row>
    <row r="21" spans="2:16">
      <c r="B21" s="9" t="str">
        <f t="shared" si="5"/>
        <v/>
      </c>
      <c r="C21" s="153">
        <f>IF(D12="","-",+C20+1)</f>
        <v>2014</v>
      </c>
      <c r="D21" s="396">
        <v>188361.82437801824</v>
      </c>
      <c r="E21" s="397">
        <v>4901.9523809523807</v>
      </c>
      <c r="F21" s="396">
        <v>183459.87199706587</v>
      </c>
      <c r="G21" s="397">
        <v>29652.616955555495</v>
      </c>
      <c r="H21" s="395">
        <v>29652.616955555495</v>
      </c>
      <c r="I21" s="398">
        <v>0</v>
      </c>
      <c r="J21" s="156"/>
      <c r="K21" s="258">
        <f t="shared" si="0"/>
        <v>29652.616955555495</v>
      </c>
      <c r="L21" s="257">
        <f t="shared" si="6"/>
        <v>0</v>
      </c>
      <c r="M21" s="258">
        <f t="shared" si="2"/>
        <v>29652.616955555495</v>
      </c>
      <c r="N21" s="158">
        <f t="shared" si="7"/>
        <v>0</v>
      </c>
      <c r="O21" s="158">
        <f t="shared" si="8"/>
        <v>0</v>
      </c>
      <c r="P21" s="4"/>
    </row>
    <row r="22" spans="2:16">
      <c r="B22" s="9" t="str">
        <f t="shared" si="5"/>
        <v/>
      </c>
      <c r="C22" s="153">
        <f>IF(D11="","-",+C21+1)</f>
        <v>2015</v>
      </c>
      <c r="D22" s="396">
        <v>183459.87199706587</v>
      </c>
      <c r="E22" s="397">
        <v>4901.9523809523807</v>
      </c>
      <c r="F22" s="396">
        <v>178557.9196161135</v>
      </c>
      <c r="G22" s="397">
        <v>28418.887646522533</v>
      </c>
      <c r="H22" s="395">
        <v>28418.887646522533</v>
      </c>
      <c r="I22" s="156">
        <v>0</v>
      </c>
      <c r="J22" s="156"/>
      <c r="K22" s="258">
        <f t="shared" si="0"/>
        <v>28418.887646522533</v>
      </c>
      <c r="L22" s="257">
        <f t="shared" si="6"/>
        <v>0</v>
      </c>
      <c r="M22" s="258">
        <f t="shared" si="2"/>
        <v>28418.887646522533</v>
      </c>
      <c r="N22" s="158">
        <f t="shared" si="7"/>
        <v>0</v>
      </c>
      <c r="O22" s="158">
        <f t="shared" si="8"/>
        <v>0</v>
      </c>
      <c r="P22" s="4"/>
    </row>
    <row r="23" spans="2:16">
      <c r="B23" s="9" t="str">
        <f t="shared" si="5"/>
        <v/>
      </c>
      <c r="C23" s="153">
        <f>IF(D11="","-",+C22+1)</f>
        <v>2016</v>
      </c>
      <c r="D23" s="396">
        <v>178557.9196161135</v>
      </c>
      <c r="E23" s="397">
        <v>4901.9523809523807</v>
      </c>
      <c r="F23" s="396">
        <v>173655.96723516114</v>
      </c>
      <c r="G23" s="397">
        <v>27491.116260788254</v>
      </c>
      <c r="H23" s="395">
        <v>27491.116260788254</v>
      </c>
      <c r="I23" s="156">
        <f t="shared" ref="I23:I48" si="9">H23-G23</f>
        <v>0</v>
      </c>
      <c r="J23" s="156"/>
      <c r="K23" s="258">
        <f>G23</f>
        <v>27491.116260788254</v>
      </c>
      <c r="L23" s="257">
        <f t="shared" si="6"/>
        <v>0</v>
      </c>
      <c r="M23" s="258">
        <f>H23</f>
        <v>27491.116260788254</v>
      </c>
      <c r="N23" s="158">
        <f t="shared" si="7"/>
        <v>0</v>
      </c>
      <c r="O23" s="158">
        <f t="shared" si="8"/>
        <v>0</v>
      </c>
      <c r="P23" s="4"/>
    </row>
    <row r="24" spans="2:16">
      <c r="B24" s="9" t="str">
        <f t="shared" si="5"/>
        <v/>
      </c>
      <c r="C24" s="153">
        <f>IF(D11="","-",+C23+1)</f>
        <v>2017</v>
      </c>
      <c r="D24" s="396">
        <v>173655.96723516114</v>
      </c>
      <c r="E24" s="397">
        <v>4787.9534883720926</v>
      </c>
      <c r="F24" s="396">
        <v>168868.01374678905</v>
      </c>
      <c r="G24" s="397">
        <v>26006.03540248935</v>
      </c>
      <c r="H24" s="395">
        <v>26006.03540248935</v>
      </c>
      <c r="I24" s="156">
        <v>0</v>
      </c>
      <c r="J24" s="156"/>
      <c r="K24" s="258">
        <f>G24</f>
        <v>26006.03540248935</v>
      </c>
      <c r="L24" s="257">
        <f t="shared" si="6"/>
        <v>0</v>
      </c>
      <c r="M24" s="258">
        <f>H24</f>
        <v>26006.03540248935</v>
      </c>
      <c r="N24" s="158">
        <f t="shared" si="7"/>
        <v>0</v>
      </c>
      <c r="O24" s="158">
        <f t="shared" si="8"/>
        <v>0</v>
      </c>
      <c r="P24" s="4"/>
    </row>
    <row r="25" spans="2:16">
      <c r="B25" s="9" t="str">
        <f t="shared" si="5"/>
        <v/>
      </c>
      <c r="C25" s="153">
        <f>IF(D11="","-",+C24+1)</f>
        <v>2018</v>
      </c>
      <c r="D25" s="396">
        <v>168868.01374678905</v>
      </c>
      <c r="E25" s="397">
        <v>5021.5121951219517</v>
      </c>
      <c r="F25" s="396">
        <v>163846.50155166708</v>
      </c>
      <c r="G25" s="397">
        <v>23634.262551408003</v>
      </c>
      <c r="H25" s="395">
        <v>23634.262551408003</v>
      </c>
      <c r="I25" s="156">
        <f t="shared" si="9"/>
        <v>0</v>
      </c>
      <c r="J25" s="156"/>
      <c r="K25" s="258">
        <f>G25</f>
        <v>23634.262551408003</v>
      </c>
      <c r="L25" s="257">
        <f t="shared" si="6"/>
        <v>0</v>
      </c>
      <c r="M25" s="258">
        <f>H25</f>
        <v>23634.262551408003</v>
      </c>
      <c r="N25" s="158">
        <f t="shared" si="7"/>
        <v>0</v>
      </c>
      <c r="O25" s="158">
        <f t="shared" si="8"/>
        <v>0</v>
      </c>
      <c r="P25" s="4"/>
    </row>
    <row r="26" spans="2:16">
      <c r="B26" s="9" t="str">
        <f t="shared" si="5"/>
        <v/>
      </c>
      <c r="C26" s="153">
        <f>IF(D11="","-",+C25+1)</f>
        <v>2019</v>
      </c>
      <c r="D26" s="159">
        <f>IF(F25+SUM(E$17:E25)=D$10,F25,D$10-SUM(E$17:E25))</f>
        <v>163846.50155166708</v>
      </c>
      <c r="E26" s="160">
        <f>IF(+I14&lt;F25,I14,D26)</f>
        <v>4787.9534883720926</v>
      </c>
      <c r="F26" s="159">
        <f t="shared" ref="F26:F48" si="10">+D26-E26</f>
        <v>159058.54806329499</v>
      </c>
      <c r="G26" s="161">
        <f t="shared" ref="G26:G55" si="11">+I$12*((D26+F26)/2)+E26</f>
        <v>20861.468165795835</v>
      </c>
      <c r="H26" s="142">
        <f t="shared" ref="H26:H55" si="12">+I$13*((D26+F26)/2)+E26</f>
        <v>20861.468165795835</v>
      </c>
      <c r="I26" s="156">
        <f t="shared" si="9"/>
        <v>0</v>
      </c>
      <c r="J26" s="156"/>
      <c r="K26" s="334"/>
      <c r="L26" s="158">
        <f t="shared" si="1"/>
        <v>0</v>
      </c>
      <c r="M26" s="334"/>
      <c r="N26" s="158">
        <f t="shared" si="3"/>
        <v>0</v>
      </c>
      <c r="O26" s="158">
        <f t="shared" si="4"/>
        <v>0</v>
      </c>
      <c r="P26" s="4"/>
    </row>
    <row r="27" spans="2:16">
      <c r="B27" s="9" t="str">
        <f t="shared" si="5"/>
        <v/>
      </c>
      <c r="C27" s="153">
        <f>IF(D11="","-",+C26+1)</f>
        <v>2020</v>
      </c>
      <c r="D27" s="159">
        <f>IF(F26+SUM(E$17:E26)=D$10,F26,D$10-SUM(E$17:E26))</f>
        <v>159058.54806329499</v>
      </c>
      <c r="E27" s="160">
        <f>IF(+I14&lt;F26,I14,D27)</f>
        <v>4787.9534883720926</v>
      </c>
      <c r="F27" s="159">
        <f t="shared" si="10"/>
        <v>154270.5945749229</v>
      </c>
      <c r="G27" s="161">
        <f t="shared" si="11"/>
        <v>20384.800236558192</v>
      </c>
      <c r="H27" s="142">
        <f t="shared" si="12"/>
        <v>20384.800236558192</v>
      </c>
      <c r="I27" s="156">
        <f t="shared" si="9"/>
        <v>0</v>
      </c>
      <c r="J27" s="156"/>
      <c r="K27" s="334"/>
      <c r="L27" s="158">
        <f t="shared" si="1"/>
        <v>0</v>
      </c>
      <c r="M27" s="334"/>
      <c r="N27" s="158">
        <f t="shared" si="3"/>
        <v>0</v>
      </c>
      <c r="O27" s="158">
        <f t="shared" si="4"/>
        <v>0</v>
      </c>
      <c r="P27" s="4"/>
    </row>
    <row r="28" spans="2:16">
      <c r="B28" s="9" t="str">
        <f t="shared" si="5"/>
        <v/>
      </c>
      <c r="C28" s="153">
        <f>IF(D11="","-",+C27+1)</f>
        <v>2021</v>
      </c>
      <c r="D28" s="159">
        <f>IF(F27+SUM(E$17:E27)=D$10,F27,D$10-SUM(E$17:E27))</f>
        <v>154270.5945749229</v>
      </c>
      <c r="E28" s="160">
        <f>IF(+I14&lt;F27,I14,D28)</f>
        <v>4787.9534883720926</v>
      </c>
      <c r="F28" s="159">
        <f t="shared" si="10"/>
        <v>149482.64108655081</v>
      </c>
      <c r="G28" s="161">
        <f t="shared" si="11"/>
        <v>19908.132307320553</v>
      </c>
      <c r="H28" s="142">
        <f t="shared" si="12"/>
        <v>19908.132307320553</v>
      </c>
      <c r="I28" s="156">
        <f t="shared" si="9"/>
        <v>0</v>
      </c>
      <c r="J28" s="156"/>
      <c r="K28" s="334"/>
      <c r="L28" s="158">
        <f t="shared" si="1"/>
        <v>0</v>
      </c>
      <c r="M28" s="334"/>
      <c r="N28" s="158">
        <f t="shared" si="3"/>
        <v>0</v>
      </c>
      <c r="O28" s="158">
        <f t="shared" si="4"/>
        <v>0</v>
      </c>
      <c r="P28" s="4"/>
    </row>
    <row r="29" spans="2:16">
      <c r="B29" s="9" t="str">
        <f t="shared" si="5"/>
        <v/>
      </c>
      <c r="C29" s="153">
        <f>IF(D11="","-",+C28+1)</f>
        <v>2022</v>
      </c>
      <c r="D29" s="159">
        <f>IF(F28+SUM(E$17:E28)=D$10,F28,D$10-SUM(E$17:E28))</f>
        <v>149482.64108655081</v>
      </c>
      <c r="E29" s="160">
        <f>IF(+I14&lt;F28,I14,D29)</f>
        <v>4787.9534883720926</v>
      </c>
      <c r="F29" s="159">
        <f t="shared" si="10"/>
        <v>144694.68759817872</v>
      </c>
      <c r="G29" s="161">
        <f t="shared" si="11"/>
        <v>19431.46437808291</v>
      </c>
      <c r="H29" s="142">
        <f t="shared" si="12"/>
        <v>19431.46437808291</v>
      </c>
      <c r="I29" s="156">
        <f t="shared" si="9"/>
        <v>0</v>
      </c>
      <c r="J29" s="156"/>
      <c r="K29" s="334"/>
      <c r="L29" s="158">
        <f t="shared" si="1"/>
        <v>0</v>
      </c>
      <c r="M29" s="334"/>
      <c r="N29" s="158">
        <f t="shared" si="3"/>
        <v>0</v>
      </c>
      <c r="O29" s="158">
        <f t="shared" si="4"/>
        <v>0</v>
      </c>
      <c r="P29" s="4"/>
    </row>
    <row r="30" spans="2:16">
      <c r="B30" s="9" t="str">
        <f t="shared" si="5"/>
        <v/>
      </c>
      <c r="C30" s="153">
        <f>IF(D11="","-",+C29+1)</f>
        <v>2023</v>
      </c>
      <c r="D30" s="159">
        <f>IF(F29+SUM(E$17:E29)=D$10,F29,D$10-SUM(E$17:E29))</f>
        <v>144694.68759817872</v>
      </c>
      <c r="E30" s="160">
        <f>IF(+I14&lt;F29,I14,D30)</f>
        <v>4787.9534883720926</v>
      </c>
      <c r="F30" s="159">
        <f t="shared" si="10"/>
        <v>139906.73410980662</v>
      </c>
      <c r="G30" s="161">
        <f t="shared" si="11"/>
        <v>18954.796448845267</v>
      </c>
      <c r="H30" s="142">
        <f t="shared" si="12"/>
        <v>18954.796448845267</v>
      </c>
      <c r="I30" s="156">
        <f t="shared" si="9"/>
        <v>0</v>
      </c>
      <c r="J30" s="156"/>
      <c r="K30" s="334"/>
      <c r="L30" s="158">
        <f t="shared" si="1"/>
        <v>0</v>
      </c>
      <c r="M30" s="334"/>
      <c r="N30" s="158">
        <f t="shared" si="3"/>
        <v>0</v>
      </c>
      <c r="O30" s="158">
        <f t="shared" si="4"/>
        <v>0</v>
      </c>
      <c r="P30" s="4"/>
    </row>
    <row r="31" spans="2:16">
      <c r="B31" s="9" t="str">
        <f t="shared" si="5"/>
        <v/>
      </c>
      <c r="C31" s="153">
        <f>IF(D11="","-",+C30+1)</f>
        <v>2024</v>
      </c>
      <c r="D31" s="159">
        <f>IF(F30+SUM(E$17:E30)=D$10,F30,D$10-SUM(E$17:E30))</f>
        <v>139906.73410980662</v>
      </c>
      <c r="E31" s="160">
        <f>IF(+I14&lt;F30,I14,D31)</f>
        <v>4787.9534883720926</v>
      </c>
      <c r="F31" s="159">
        <f t="shared" si="10"/>
        <v>135118.78062143453</v>
      </c>
      <c r="G31" s="161">
        <f t="shared" si="11"/>
        <v>18478.128519607624</v>
      </c>
      <c r="H31" s="142">
        <f t="shared" si="12"/>
        <v>18478.128519607624</v>
      </c>
      <c r="I31" s="156">
        <f t="shared" si="9"/>
        <v>0</v>
      </c>
      <c r="J31" s="156"/>
      <c r="K31" s="334"/>
      <c r="L31" s="158">
        <f t="shared" si="1"/>
        <v>0</v>
      </c>
      <c r="M31" s="334"/>
      <c r="N31" s="158">
        <f t="shared" si="3"/>
        <v>0</v>
      </c>
      <c r="O31" s="158">
        <f t="shared" si="4"/>
        <v>0</v>
      </c>
      <c r="P31" s="4"/>
    </row>
    <row r="32" spans="2:16">
      <c r="B32" s="9" t="str">
        <f t="shared" si="5"/>
        <v/>
      </c>
      <c r="C32" s="153">
        <f>IF(D11="","-",+C31+1)</f>
        <v>2025</v>
      </c>
      <c r="D32" s="159">
        <f>IF(F31+SUM(E$17:E31)=D$10,F31,D$10-SUM(E$17:E31))</f>
        <v>135118.78062143453</v>
      </c>
      <c r="E32" s="160">
        <f>IF(+I14&lt;F31,I14,D32)</f>
        <v>4787.9534883720926</v>
      </c>
      <c r="F32" s="159">
        <f t="shared" si="10"/>
        <v>130330.82713306244</v>
      </c>
      <c r="G32" s="161">
        <f t="shared" si="11"/>
        <v>18001.460590369981</v>
      </c>
      <c r="H32" s="142">
        <f t="shared" si="12"/>
        <v>18001.460590369981</v>
      </c>
      <c r="I32" s="156">
        <f t="shared" si="9"/>
        <v>0</v>
      </c>
      <c r="J32" s="156"/>
      <c r="K32" s="334"/>
      <c r="L32" s="158">
        <f t="shared" si="1"/>
        <v>0</v>
      </c>
      <c r="M32" s="334"/>
      <c r="N32" s="158">
        <f t="shared" si="3"/>
        <v>0</v>
      </c>
      <c r="O32" s="158">
        <f t="shared" si="4"/>
        <v>0</v>
      </c>
      <c r="P32" s="4"/>
    </row>
    <row r="33" spans="2:16">
      <c r="B33" s="9" t="str">
        <f t="shared" si="5"/>
        <v/>
      </c>
      <c r="C33" s="153">
        <f>IF(D11="","-",+C32+1)</f>
        <v>2026</v>
      </c>
      <c r="D33" s="159">
        <f>IF(F32+SUM(E$17:E32)=D$10,F32,D$10-SUM(E$17:E32))</f>
        <v>130330.82713306244</v>
      </c>
      <c r="E33" s="160">
        <f>IF(+I14&lt;F32,I14,D33)</f>
        <v>4787.9534883720926</v>
      </c>
      <c r="F33" s="159">
        <f t="shared" si="10"/>
        <v>125542.87364469035</v>
      </c>
      <c r="G33" s="161">
        <f t="shared" si="11"/>
        <v>17524.792661132342</v>
      </c>
      <c r="H33" s="142">
        <f t="shared" si="12"/>
        <v>17524.792661132342</v>
      </c>
      <c r="I33" s="156">
        <f t="shared" si="9"/>
        <v>0</v>
      </c>
      <c r="J33" s="156"/>
      <c r="K33" s="334"/>
      <c r="L33" s="158">
        <f t="shared" si="1"/>
        <v>0</v>
      </c>
      <c r="M33" s="334"/>
      <c r="N33" s="158">
        <f t="shared" si="3"/>
        <v>0</v>
      </c>
      <c r="O33" s="158">
        <f t="shared" si="4"/>
        <v>0</v>
      </c>
      <c r="P33" s="4"/>
    </row>
    <row r="34" spans="2:16">
      <c r="B34" s="9" t="str">
        <f t="shared" si="5"/>
        <v/>
      </c>
      <c r="C34" s="153">
        <f>IF(D11="","-",+C33+1)</f>
        <v>2027</v>
      </c>
      <c r="D34" s="159">
        <f>IF(F33+SUM(E$17:E33)=D$10,F33,D$10-SUM(E$17:E33))</f>
        <v>125542.87364469035</v>
      </c>
      <c r="E34" s="160">
        <f>IF(+I14&lt;F33,I14,D34)</f>
        <v>4787.9534883720926</v>
      </c>
      <c r="F34" s="159">
        <f t="shared" si="10"/>
        <v>120754.92015631826</v>
      </c>
      <c r="G34" s="161">
        <f t="shared" si="11"/>
        <v>17048.124731894699</v>
      </c>
      <c r="H34" s="142">
        <f t="shared" si="12"/>
        <v>17048.124731894699</v>
      </c>
      <c r="I34" s="156">
        <f t="shared" si="9"/>
        <v>0</v>
      </c>
      <c r="J34" s="156"/>
      <c r="K34" s="334"/>
      <c r="L34" s="158">
        <f t="shared" si="1"/>
        <v>0</v>
      </c>
      <c r="M34" s="334"/>
      <c r="N34" s="158">
        <f t="shared" si="3"/>
        <v>0</v>
      </c>
      <c r="O34" s="158">
        <f t="shared" si="4"/>
        <v>0</v>
      </c>
      <c r="P34" s="4"/>
    </row>
    <row r="35" spans="2:16">
      <c r="B35" s="9" t="str">
        <f t="shared" si="5"/>
        <v/>
      </c>
      <c r="C35" s="153">
        <f>IF(D11="","-",+C34+1)</f>
        <v>2028</v>
      </c>
      <c r="D35" s="159">
        <f>IF(F34+SUM(E$17:E34)=D$10,F34,D$10-SUM(E$17:E34))</f>
        <v>120754.92015631826</v>
      </c>
      <c r="E35" s="160">
        <f>IF(+I14&lt;F34,I14,D35)</f>
        <v>4787.9534883720926</v>
      </c>
      <c r="F35" s="159">
        <f t="shared" si="10"/>
        <v>115966.96666794617</v>
      </c>
      <c r="G35" s="161">
        <f t="shared" si="11"/>
        <v>16571.456802657056</v>
      </c>
      <c r="H35" s="142">
        <f t="shared" si="12"/>
        <v>16571.456802657056</v>
      </c>
      <c r="I35" s="156">
        <f t="shared" si="9"/>
        <v>0</v>
      </c>
      <c r="J35" s="156"/>
      <c r="K35" s="334"/>
      <c r="L35" s="158">
        <f t="shared" si="1"/>
        <v>0</v>
      </c>
      <c r="M35" s="334"/>
      <c r="N35" s="158">
        <f t="shared" si="3"/>
        <v>0</v>
      </c>
      <c r="O35" s="158">
        <f t="shared" si="4"/>
        <v>0</v>
      </c>
      <c r="P35" s="4"/>
    </row>
    <row r="36" spans="2:16">
      <c r="B36" s="9" t="str">
        <f t="shared" si="5"/>
        <v/>
      </c>
      <c r="C36" s="153">
        <f>IF(D11="","-",+C35+1)</f>
        <v>2029</v>
      </c>
      <c r="D36" s="159">
        <f>IF(F35+SUM(E$17:E35)=D$10,F35,D$10-SUM(E$17:E35))</f>
        <v>115966.96666794617</v>
      </c>
      <c r="E36" s="160">
        <f>IF(+I14&lt;F35,I14,D36)</f>
        <v>4787.9534883720926</v>
      </c>
      <c r="F36" s="159">
        <f t="shared" si="10"/>
        <v>111179.01317957407</v>
      </c>
      <c r="G36" s="161">
        <f t="shared" si="11"/>
        <v>16094.788873419413</v>
      </c>
      <c r="H36" s="142">
        <f t="shared" si="12"/>
        <v>16094.788873419413</v>
      </c>
      <c r="I36" s="156">
        <f t="shared" si="9"/>
        <v>0</v>
      </c>
      <c r="J36" s="156"/>
      <c r="K36" s="334"/>
      <c r="L36" s="158">
        <f t="shared" si="1"/>
        <v>0</v>
      </c>
      <c r="M36" s="334"/>
      <c r="N36" s="158">
        <f t="shared" si="3"/>
        <v>0</v>
      </c>
      <c r="O36" s="158">
        <f t="shared" si="4"/>
        <v>0</v>
      </c>
      <c r="P36" s="4"/>
    </row>
    <row r="37" spans="2:16">
      <c r="B37" s="9" t="str">
        <f t="shared" si="5"/>
        <v/>
      </c>
      <c r="C37" s="153">
        <f>IF(D11="","-",+C36+1)</f>
        <v>2030</v>
      </c>
      <c r="D37" s="159">
        <f>IF(F36+SUM(E$17:E36)=D$10,F36,D$10-SUM(E$17:E36))</f>
        <v>111179.01317957407</v>
      </c>
      <c r="E37" s="160">
        <f>IF(+I14&lt;F36,I14,D37)</f>
        <v>4787.9534883720926</v>
      </c>
      <c r="F37" s="159">
        <f t="shared" si="10"/>
        <v>106391.05969120198</v>
      </c>
      <c r="G37" s="161">
        <f t="shared" si="11"/>
        <v>15618.120944181774</v>
      </c>
      <c r="H37" s="142">
        <f t="shared" si="12"/>
        <v>15618.120944181774</v>
      </c>
      <c r="I37" s="156">
        <f t="shared" si="9"/>
        <v>0</v>
      </c>
      <c r="J37" s="156"/>
      <c r="K37" s="334"/>
      <c r="L37" s="158">
        <f t="shared" si="1"/>
        <v>0</v>
      </c>
      <c r="M37" s="334"/>
      <c r="N37" s="158">
        <f t="shared" si="3"/>
        <v>0</v>
      </c>
      <c r="O37" s="158">
        <f t="shared" si="4"/>
        <v>0</v>
      </c>
      <c r="P37" s="4"/>
    </row>
    <row r="38" spans="2:16">
      <c r="B38" s="9" t="str">
        <f t="shared" si="5"/>
        <v/>
      </c>
      <c r="C38" s="153">
        <f>IF(D11="","-",+C37+1)</f>
        <v>2031</v>
      </c>
      <c r="D38" s="159">
        <f>IF(F37+SUM(E$17:E37)=D$10,F37,D$10-SUM(E$17:E37))</f>
        <v>106391.05969120198</v>
      </c>
      <c r="E38" s="160">
        <f>IF(+I14&lt;F37,I14,D38)</f>
        <v>4787.9534883720926</v>
      </c>
      <c r="F38" s="159">
        <f t="shared" si="10"/>
        <v>101603.10620282989</v>
      </c>
      <c r="G38" s="161">
        <f t="shared" si="11"/>
        <v>15141.453014944131</v>
      </c>
      <c r="H38" s="142">
        <f t="shared" si="12"/>
        <v>15141.453014944131</v>
      </c>
      <c r="I38" s="156">
        <f t="shared" si="9"/>
        <v>0</v>
      </c>
      <c r="J38" s="156"/>
      <c r="K38" s="334"/>
      <c r="L38" s="158">
        <f t="shared" si="1"/>
        <v>0</v>
      </c>
      <c r="M38" s="334"/>
      <c r="N38" s="158">
        <f t="shared" si="3"/>
        <v>0</v>
      </c>
      <c r="O38" s="158">
        <f t="shared" si="4"/>
        <v>0</v>
      </c>
      <c r="P38" s="4"/>
    </row>
    <row r="39" spans="2:16">
      <c r="B39" s="9" t="str">
        <f t="shared" si="5"/>
        <v/>
      </c>
      <c r="C39" s="153">
        <f>IF(D11="","-",+C38+1)</f>
        <v>2032</v>
      </c>
      <c r="D39" s="159">
        <f>IF(F38+SUM(E$17:E38)=D$10,F38,D$10-SUM(E$17:E38))</f>
        <v>101603.10620282989</v>
      </c>
      <c r="E39" s="160">
        <f>IF(+I14&lt;F38,I14,D39)</f>
        <v>4787.9534883720926</v>
      </c>
      <c r="F39" s="159">
        <f t="shared" si="10"/>
        <v>96815.152714457799</v>
      </c>
      <c r="G39" s="161">
        <f t="shared" si="11"/>
        <v>14664.785085706488</v>
      </c>
      <c r="H39" s="142">
        <f t="shared" si="12"/>
        <v>14664.785085706488</v>
      </c>
      <c r="I39" s="156">
        <f t="shared" si="9"/>
        <v>0</v>
      </c>
      <c r="J39" s="156"/>
      <c r="K39" s="334"/>
      <c r="L39" s="158">
        <f t="shared" si="1"/>
        <v>0</v>
      </c>
      <c r="M39" s="334"/>
      <c r="N39" s="158">
        <f t="shared" si="3"/>
        <v>0</v>
      </c>
      <c r="O39" s="158">
        <f t="shared" si="4"/>
        <v>0</v>
      </c>
      <c r="P39" s="4"/>
    </row>
    <row r="40" spans="2:16">
      <c r="B40" s="9" t="str">
        <f t="shared" si="5"/>
        <v/>
      </c>
      <c r="C40" s="153">
        <f>IF(D11="","-",+C39+1)</f>
        <v>2033</v>
      </c>
      <c r="D40" s="159">
        <f>IF(F39+SUM(E$17:E39)=D$10,F39,D$10-SUM(E$17:E39))</f>
        <v>96815.152714457799</v>
      </c>
      <c r="E40" s="160">
        <f>IF(+I14&lt;F39,I14,D40)</f>
        <v>4787.9534883720926</v>
      </c>
      <c r="F40" s="159">
        <f t="shared" si="10"/>
        <v>92027.199226085708</v>
      </c>
      <c r="G40" s="161">
        <f t="shared" si="11"/>
        <v>14188.117156468845</v>
      </c>
      <c r="H40" s="142">
        <f t="shared" si="12"/>
        <v>14188.117156468845</v>
      </c>
      <c r="I40" s="156">
        <f t="shared" si="9"/>
        <v>0</v>
      </c>
      <c r="J40" s="156"/>
      <c r="K40" s="334"/>
      <c r="L40" s="158">
        <f t="shared" si="1"/>
        <v>0</v>
      </c>
      <c r="M40" s="334"/>
      <c r="N40" s="158">
        <f t="shared" si="3"/>
        <v>0</v>
      </c>
      <c r="O40" s="158">
        <f t="shared" si="4"/>
        <v>0</v>
      </c>
      <c r="P40" s="4"/>
    </row>
    <row r="41" spans="2:16">
      <c r="B41" s="9" t="str">
        <f t="shared" si="5"/>
        <v/>
      </c>
      <c r="C41" s="153">
        <f>IF(D11="","-",+C40+1)</f>
        <v>2034</v>
      </c>
      <c r="D41" s="159">
        <f>IF(F40+SUM(E$17:E40)=D$10,F40,D$10-SUM(E$17:E40))</f>
        <v>92027.199226085708</v>
      </c>
      <c r="E41" s="160">
        <f>IF(+I14&lt;F40,I14,D41)</f>
        <v>4787.9534883720926</v>
      </c>
      <c r="F41" s="159">
        <f t="shared" si="10"/>
        <v>87239.245737713616</v>
      </c>
      <c r="G41" s="161">
        <f t="shared" si="11"/>
        <v>13711.449227231205</v>
      </c>
      <c r="H41" s="142">
        <f t="shared" si="12"/>
        <v>13711.449227231205</v>
      </c>
      <c r="I41" s="156">
        <f t="shared" si="9"/>
        <v>0</v>
      </c>
      <c r="J41" s="156"/>
      <c r="K41" s="334"/>
      <c r="L41" s="158">
        <f t="shared" si="1"/>
        <v>0</v>
      </c>
      <c r="M41" s="334"/>
      <c r="N41" s="158">
        <f t="shared" si="3"/>
        <v>0</v>
      </c>
      <c r="O41" s="158">
        <f t="shared" si="4"/>
        <v>0</v>
      </c>
      <c r="P41" s="4"/>
    </row>
    <row r="42" spans="2:16">
      <c r="B42" s="9" t="str">
        <f t="shared" si="5"/>
        <v/>
      </c>
      <c r="C42" s="153">
        <f>IF(D11="","-",+C41+1)</f>
        <v>2035</v>
      </c>
      <c r="D42" s="159">
        <f>IF(F41+SUM(E$17:E41)=D$10,F41,D$10-SUM(E$17:E41))</f>
        <v>87239.245737713616</v>
      </c>
      <c r="E42" s="160">
        <f>IF(+I14&lt;F41,I14,D42)</f>
        <v>4787.9534883720926</v>
      </c>
      <c r="F42" s="159">
        <f t="shared" si="10"/>
        <v>82451.292249341524</v>
      </c>
      <c r="G42" s="161">
        <f t="shared" si="11"/>
        <v>13234.781297993562</v>
      </c>
      <c r="H42" s="142">
        <f t="shared" si="12"/>
        <v>13234.781297993562</v>
      </c>
      <c r="I42" s="156">
        <f t="shared" si="9"/>
        <v>0</v>
      </c>
      <c r="J42" s="156"/>
      <c r="K42" s="334"/>
      <c r="L42" s="158">
        <f t="shared" si="1"/>
        <v>0</v>
      </c>
      <c r="M42" s="334"/>
      <c r="N42" s="158">
        <f t="shared" si="3"/>
        <v>0</v>
      </c>
      <c r="O42" s="158">
        <f t="shared" si="4"/>
        <v>0</v>
      </c>
      <c r="P42" s="4"/>
    </row>
    <row r="43" spans="2:16">
      <c r="B43" s="9" t="str">
        <f t="shared" si="5"/>
        <v/>
      </c>
      <c r="C43" s="153">
        <f>IF(D11="","-",+C42+1)</f>
        <v>2036</v>
      </c>
      <c r="D43" s="159">
        <f>IF(F42+SUM(E$17:E42)=D$10,F42,D$10-SUM(E$17:E42))</f>
        <v>82451.292249341524</v>
      </c>
      <c r="E43" s="160">
        <f>IF(+I14&lt;F42,I14,D43)</f>
        <v>4787.9534883720926</v>
      </c>
      <c r="F43" s="159">
        <f t="shared" si="10"/>
        <v>77663.338760969433</v>
      </c>
      <c r="G43" s="161">
        <f t="shared" si="11"/>
        <v>12758.11336875592</v>
      </c>
      <c r="H43" s="142">
        <f t="shared" si="12"/>
        <v>12758.11336875592</v>
      </c>
      <c r="I43" s="156">
        <f t="shared" si="9"/>
        <v>0</v>
      </c>
      <c r="J43" s="156"/>
      <c r="K43" s="334"/>
      <c r="L43" s="158">
        <f t="shared" si="1"/>
        <v>0</v>
      </c>
      <c r="M43" s="334"/>
      <c r="N43" s="158">
        <f t="shared" si="3"/>
        <v>0</v>
      </c>
      <c r="O43" s="158">
        <f t="shared" si="4"/>
        <v>0</v>
      </c>
      <c r="P43" s="4"/>
    </row>
    <row r="44" spans="2:16">
      <c r="B44" s="9" t="str">
        <f t="shared" si="5"/>
        <v/>
      </c>
      <c r="C44" s="153">
        <f>IF(D11="","-",+C43+1)</f>
        <v>2037</v>
      </c>
      <c r="D44" s="159">
        <f>IF(F43+SUM(E$17:E43)=D$10,F43,D$10-SUM(E$17:E43))</f>
        <v>77663.338760969433</v>
      </c>
      <c r="E44" s="160">
        <f>IF(+I14&lt;F43,I14,D44)</f>
        <v>4787.9534883720926</v>
      </c>
      <c r="F44" s="159">
        <f t="shared" si="10"/>
        <v>72875.385272597341</v>
      </c>
      <c r="G44" s="161">
        <f t="shared" si="11"/>
        <v>12281.445439518277</v>
      </c>
      <c r="H44" s="142">
        <f t="shared" si="12"/>
        <v>12281.445439518277</v>
      </c>
      <c r="I44" s="156">
        <f t="shared" si="9"/>
        <v>0</v>
      </c>
      <c r="J44" s="156"/>
      <c r="K44" s="334"/>
      <c r="L44" s="158">
        <f t="shared" si="1"/>
        <v>0</v>
      </c>
      <c r="M44" s="334"/>
      <c r="N44" s="158">
        <f t="shared" si="3"/>
        <v>0</v>
      </c>
      <c r="O44" s="158">
        <f t="shared" si="4"/>
        <v>0</v>
      </c>
      <c r="P44" s="4"/>
    </row>
    <row r="45" spans="2:16">
      <c r="B45" s="9" t="str">
        <f t="shared" si="5"/>
        <v/>
      </c>
      <c r="C45" s="153">
        <f>IF(D11="","-",+C44+1)</f>
        <v>2038</v>
      </c>
      <c r="D45" s="159">
        <f>IF(F44+SUM(E$17:E44)=D$10,F44,D$10-SUM(E$17:E44))</f>
        <v>72875.385272597341</v>
      </c>
      <c r="E45" s="160">
        <f>IF(+I14&lt;F44,I14,D45)</f>
        <v>4787.9534883720926</v>
      </c>
      <c r="F45" s="159">
        <f t="shared" si="10"/>
        <v>68087.431784225249</v>
      </c>
      <c r="G45" s="161">
        <f t="shared" si="11"/>
        <v>11804.777510280635</v>
      </c>
      <c r="H45" s="142">
        <f t="shared" si="12"/>
        <v>11804.777510280635</v>
      </c>
      <c r="I45" s="156">
        <f t="shared" si="9"/>
        <v>0</v>
      </c>
      <c r="J45" s="156"/>
      <c r="K45" s="334"/>
      <c r="L45" s="158">
        <f t="shared" si="1"/>
        <v>0</v>
      </c>
      <c r="M45" s="334"/>
      <c r="N45" s="158">
        <f t="shared" si="3"/>
        <v>0</v>
      </c>
      <c r="O45" s="158">
        <f t="shared" si="4"/>
        <v>0</v>
      </c>
      <c r="P45" s="4"/>
    </row>
    <row r="46" spans="2:16">
      <c r="B46" s="9" t="str">
        <f t="shared" si="5"/>
        <v/>
      </c>
      <c r="C46" s="153">
        <f>IF(D11="","-",+C45+1)</f>
        <v>2039</v>
      </c>
      <c r="D46" s="159">
        <f>IF(F45+SUM(E$17:E45)=D$10,F45,D$10-SUM(E$17:E45))</f>
        <v>68087.431784225249</v>
      </c>
      <c r="E46" s="160">
        <f>IF(+I14&lt;F45,I14,D46)</f>
        <v>4787.9534883720926</v>
      </c>
      <c r="F46" s="159">
        <f t="shared" si="10"/>
        <v>63299.478295853158</v>
      </c>
      <c r="G46" s="161">
        <f t="shared" si="11"/>
        <v>11328.109581042994</v>
      </c>
      <c r="H46" s="142">
        <f t="shared" si="12"/>
        <v>11328.109581042994</v>
      </c>
      <c r="I46" s="156">
        <f t="shared" si="9"/>
        <v>0</v>
      </c>
      <c r="J46" s="156"/>
      <c r="K46" s="334"/>
      <c r="L46" s="158">
        <f t="shared" si="1"/>
        <v>0</v>
      </c>
      <c r="M46" s="334"/>
      <c r="N46" s="158">
        <f t="shared" si="3"/>
        <v>0</v>
      </c>
      <c r="O46" s="158">
        <f t="shared" si="4"/>
        <v>0</v>
      </c>
      <c r="P46" s="4"/>
    </row>
    <row r="47" spans="2:16">
      <c r="B47" s="9" t="str">
        <f t="shared" si="5"/>
        <v/>
      </c>
      <c r="C47" s="153">
        <f>IF(D11="","-",+C46+1)</f>
        <v>2040</v>
      </c>
      <c r="D47" s="159">
        <f>IF(F46+SUM(E$17:E46)=D$10,F46,D$10-SUM(E$17:E46))</f>
        <v>63299.478295853158</v>
      </c>
      <c r="E47" s="160">
        <f>IF(+I14&lt;F46,I14,D47)</f>
        <v>4787.9534883720926</v>
      </c>
      <c r="F47" s="159">
        <f t="shared" si="10"/>
        <v>58511.524807481066</v>
      </c>
      <c r="G47" s="161">
        <f t="shared" si="11"/>
        <v>10851.441651805351</v>
      </c>
      <c r="H47" s="142">
        <f t="shared" si="12"/>
        <v>10851.441651805351</v>
      </c>
      <c r="I47" s="156">
        <f t="shared" si="9"/>
        <v>0</v>
      </c>
      <c r="J47" s="156"/>
      <c r="K47" s="334"/>
      <c r="L47" s="158">
        <f t="shared" si="1"/>
        <v>0</v>
      </c>
      <c r="M47" s="334"/>
      <c r="N47" s="158">
        <f t="shared" si="3"/>
        <v>0</v>
      </c>
      <c r="O47" s="158">
        <f t="shared" si="4"/>
        <v>0</v>
      </c>
      <c r="P47" s="4"/>
    </row>
    <row r="48" spans="2:16">
      <c r="B48" s="9" t="str">
        <f t="shared" si="5"/>
        <v/>
      </c>
      <c r="C48" s="153">
        <f>IF(D11="","-",+C47+1)</f>
        <v>2041</v>
      </c>
      <c r="D48" s="159">
        <f>IF(F47+SUM(E$17:E47)=D$10,F47,D$10-SUM(E$17:E47))</f>
        <v>58511.524807481066</v>
      </c>
      <c r="E48" s="160">
        <f>IF(+I14&lt;F47,I14,D48)</f>
        <v>4787.9534883720926</v>
      </c>
      <c r="F48" s="159">
        <f t="shared" si="10"/>
        <v>53723.571319108974</v>
      </c>
      <c r="G48" s="161">
        <f t="shared" si="11"/>
        <v>10374.773722567708</v>
      </c>
      <c r="H48" s="142">
        <f t="shared" si="12"/>
        <v>10374.773722567708</v>
      </c>
      <c r="I48" s="156">
        <f t="shared" si="9"/>
        <v>0</v>
      </c>
      <c r="J48" s="156"/>
      <c r="K48" s="334"/>
      <c r="L48" s="158">
        <f t="shared" si="1"/>
        <v>0</v>
      </c>
      <c r="M48" s="334"/>
      <c r="N48" s="158">
        <f t="shared" si="3"/>
        <v>0</v>
      </c>
      <c r="O48" s="158">
        <f t="shared" si="4"/>
        <v>0</v>
      </c>
      <c r="P48" s="4"/>
    </row>
    <row r="49" spans="2:17">
      <c r="B49" s="9" t="str">
        <f t="shared" si="5"/>
        <v/>
      </c>
      <c r="C49" s="153">
        <f>IF(D11="","-",+C48+1)</f>
        <v>2042</v>
      </c>
      <c r="D49" s="159">
        <f>IF(F48+SUM(E$17:E48)=D$10,F48,D$10-SUM(E$17:E48))</f>
        <v>53723.571319108974</v>
      </c>
      <c r="E49" s="160">
        <f>IF(+I14&lt;F48,I14,D49)</f>
        <v>4787.9534883720926</v>
      </c>
      <c r="F49" s="159">
        <f t="shared" ref="F49:F72" si="13">+D49-E49</f>
        <v>48935.617830736883</v>
      </c>
      <c r="G49" s="161">
        <f t="shared" si="11"/>
        <v>9898.1057933300672</v>
      </c>
      <c r="H49" s="142">
        <f t="shared" si="12"/>
        <v>9898.1057933300672</v>
      </c>
      <c r="I49" s="156">
        <f t="shared" ref="I49:I72" si="14">H49-G49</f>
        <v>0</v>
      </c>
      <c r="J49" s="156"/>
      <c r="K49" s="334"/>
      <c r="L49" s="158">
        <f t="shared" ref="L49:L72" si="15">IF(K49&lt;&gt;0,+G49-K49,0)</f>
        <v>0</v>
      </c>
      <c r="M49" s="334"/>
      <c r="N49" s="158">
        <f t="shared" ref="N49:N72" si="16">IF(M49&lt;&gt;0,+H49-M49,0)</f>
        <v>0</v>
      </c>
      <c r="O49" s="158">
        <f t="shared" ref="O49:O72" si="17">+N49-L49</f>
        <v>0</v>
      </c>
      <c r="P49" s="4"/>
    </row>
    <row r="50" spans="2:17">
      <c r="B50" s="9" t="str">
        <f t="shared" si="5"/>
        <v/>
      </c>
      <c r="C50" s="153">
        <f>IF(D11="","-",+C49+1)</f>
        <v>2043</v>
      </c>
      <c r="D50" s="159">
        <f>IF(F49+SUM(E$17:E49)=D$10,F49,D$10-SUM(E$17:E49))</f>
        <v>48935.617830736883</v>
      </c>
      <c r="E50" s="160">
        <f>IF(+I14&lt;F49,I14,D50)</f>
        <v>4787.9534883720926</v>
      </c>
      <c r="F50" s="159">
        <f t="shared" si="13"/>
        <v>44147.664342364791</v>
      </c>
      <c r="G50" s="161">
        <f t="shared" si="11"/>
        <v>9421.437864092426</v>
      </c>
      <c r="H50" s="142">
        <f t="shared" si="12"/>
        <v>9421.437864092426</v>
      </c>
      <c r="I50" s="156">
        <f t="shared" si="14"/>
        <v>0</v>
      </c>
      <c r="J50" s="156"/>
      <c r="K50" s="334"/>
      <c r="L50" s="158">
        <f t="shared" si="15"/>
        <v>0</v>
      </c>
      <c r="M50" s="334"/>
      <c r="N50" s="158">
        <f t="shared" si="16"/>
        <v>0</v>
      </c>
      <c r="O50" s="158">
        <f t="shared" si="17"/>
        <v>0</v>
      </c>
      <c r="P50" s="4"/>
    </row>
    <row r="51" spans="2:17">
      <c r="B51" s="9" t="str">
        <f t="shared" si="5"/>
        <v/>
      </c>
      <c r="C51" s="153">
        <f>IF(D11="","-",+C50+1)</f>
        <v>2044</v>
      </c>
      <c r="D51" s="159">
        <f>IF(F50+SUM(E$17:E50)=D$10,F50,D$10-SUM(E$17:E50))</f>
        <v>44147.664342364791</v>
      </c>
      <c r="E51" s="160">
        <f>IF(+I14&lt;F50,I14,D51)</f>
        <v>4787.9534883720926</v>
      </c>
      <c r="F51" s="159">
        <f t="shared" si="13"/>
        <v>39359.710853992699</v>
      </c>
      <c r="G51" s="161">
        <f t="shared" si="11"/>
        <v>8944.7699348547831</v>
      </c>
      <c r="H51" s="142">
        <f t="shared" si="12"/>
        <v>8944.7699348547831</v>
      </c>
      <c r="I51" s="156">
        <f t="shared" si="14"/>
        <v>0</v>
      </c>
      <c r="J51" s="156"/>
      <c r="K51" s="334"/>
      <c r="L51" s="158">
        <f t="shared" si="15"/>
        <v>0</v>
      </c>
      <c r="M51" s="334"/>
      <c r="N51" s="158">
        <f t="shared" si="16"/>
        <v>0</v>
      </c>
      <c r="O51" s="158">
        <f t="shared" si="17"/>
        <v>0</v>
      </c>
      <c r="P51" s="4"/>
    </row>
    <row r="52" spans="2:17">
      <c r="B52" s="9" t="str">
        <f t="shared" si="5"/>
        <v/>
      </c>
      <c r="C52" s="153">
        <f>IF(D11="","-",+C51+1)</f>
        <v>2045</v>
      </c>
      <c r="D52" s="159">
        <f>IF(F51+SUM(E$17:E51)=D$10,F51,D$10-SUM(E$17:E51))</f>
        <v>39359.710853992699</v>
      </c>
      <c r="E52" s="160">
        <f>IF(+I14&lt;F51,I14,D52)</f>
        <v>4787.9534883720926</v>
      </c>
      <c r="F52" s="159">
        <f t="shared" si="13"/>
        <v>34571.757365620608</v>
      </c>
      <c r="G52" s="161">
        <f t="shared" si="11"/>
        <v>8468.1020056171401</v>
      </c>
      <c r="H52" s="142">
        <f t="shared" si="12"/>
        <v>8468.1020056171401</v>
      </c>
      <c r="I52" s="156">
        <f t="shared" si="14"/>
        <v>0</v>
      </c>
      <c r="J52" s="156"/>
      <c r="K52" s="334"/>
      <c r="L52" s="158">
        <f t="shared" si="15"/>
        <v>0</v>
      </c>
      <c r="M52" s="334"/>
      <c r="N52" s="158">
        <f t="shared" si="16"/>
        <v>0</v>
      </c>
      <c r="O52" s="158">
        <f t="shared" si="17"/>
        <v>0</v>
      </c>
      <c r="P52" s="4"/>
    </row>
    <row r="53" spans="2:17">
      <c r="B53" s="9" t="str">
        <f t="shared" si="5"/>
        <v/>
      </c>
      <c r="C53" s="153">
        <f>IF(D11="","-",+C52+1)</f>
        <v>2046</v>
      </c>
      <c r="D53" s="159">
        <f>IF(F52+SUM(E$17:E52)=D$10,F52,D$10-SUM(E$17:E52))</f>
        <v>34571.757365620608</v>
      </c>
      <c r="E53" s="160">
        <f>IF(+I14&lt;F52,I14,D53)</f>
        <v>4787.9534883720926</v>
      </c>
      <c r="F53" s="159">
        <f t="shared" si="13"/>
        <v>29783.803877248516</v>
      </c>
      <c r="G53" s="161">
        <f t="shared" si="11"/>
        <v>7991.4340763794989</v>
      </c>
      <c r="H53" s="142">
        <f t="shared" si="12"/>
        <v>7991.4340763794989</v>
      </c>
      <c r="I53" s="156">
        <f t="shared" si="14"/>
        <v>0</v>
      </c>
      <c r="J53" s="156"/>
      <c r="K53" s="334"/>
      <c r="L53" s="158">
        <f t="shared" si="15"/>
        <v>0</v>
      </c>
      <c r="M53" s="334"/>
      <c r="N53" s="158">
        <f t="shared" si="16"/>
        <v>0</v>
      </c>
      <c r="O53" s="158">
        <f t="shared" si="17"/>
        <v>0</v>
      </c>
      <c r="P53" s="4"/>
    </row>
    <row r="54" spans="2:17">
      <c r="B54" s="9" t="str">
        <f t="shared" si="5"/>
        <v/>
      </c>
      <c r="C54" s="153">
        <f>IF(D11="","-",+C53+1)</f>
        <v>2047</v>
      </c>
      <c r="D54" s="159">
        <f>IF(F53+SUM(E$17:E53)=D$10,F53,D$10-SUM(E$17:E53))</f>
        <v>29783.803877248516</v>
      </c>
      <c r="E54" s="160">
        <f>IF(+I14&lt;F53,I14,D54)</f>
        <v>4787.9534883720926</v>
      </c>
      <c r="F54" s="159">
        <f t="shared" si="13"/>
        <v>24995.850388876424</v>
      </c>
      <c r="G54" s="161">
        <f t="shared" si="11"/>
        <v>7514.7661471418569</v>
      </c>
      <c r="H54" s="142">
        <f t="shared" si="12"/>
        <v>7514.7661471418569</v>
      </c>
      <c r="I54" s="156">
        <f t="shared" si="14"/>
        <v>0</v>
      </c>
      <c r="J54" s="156"/>
      <c r="K54" s="334"/>
      <c r="L54" s="158">
        <f t="shared" si="15"/>
        <v>0</v>
      </c>
      <c r="M54" s="334"/>
      <c r="N54" s="158">
        <f t="shared" si="16"/>
        <v>0</v>
      </c>
      <c r="O54" s="158">
        <f t="shared" si="17"/>
        <v>0</v>
      </c>
      <c r="P54" s="4"/>
    </row>
    <row r="55" spans="2:17">
      <c r="B55" s="9" t="str">
        <f t="shared" si="5"/>
        <v/>
      </c>
      <c r="C55" s="153">
        <f>IF(D11="","-",+C54+1)</f>
        <v>2048</v>
      </c>
      <c r="D55" s="159">
        <f>IF(F54+SUM(E$17:E54)=D$10,F54,D$10-SUM(E$17:E54))</f>
        <v>24995.850388876424</v>
      </c>
      <c r="E55" s="160">
        <f>IF(+I14&lt;F54,I14,D55)</f>
        <v>4787.9534883720926</v>
      </c>
      <c r="F55" s="159">
        <f t="shared" si="13"/>
        <v>20207.896900504333</v>
      </c>
      <c r="G55" s="161">
        <f t="shared" si="11"/>
        <v>7038.0982179042148</v>
      </c>
      <c r="H55" s="142">
        <f t="shared" si="12"/>
        <v>7038.0982179042148</v>
      </c>
      <c r="I55" s="156">
        <f t="shared" si="14"/>
        <v>0</v>
      </c>
      <c r="J55" s="156"/>
      <c r="K55" s="334"/>
      <c r="L55" s="158">
        <f t="shared" si="15"/>
        <v>0</v>
      </c>
      <c r="M55" s="334"/>
      <c r="N55" s="158">
        <f t="shared" si="16"/>
        <v>0</v>
      </c>
      <c r="O55" s="158">
        <f t="shared" si="17"/>
        <v>0</v>
      </c>
      <c r="P55" s="4"/>
    </row>
    <row r="56" spans="2:17">
      <c r="B56" s="9" t="str">
        <f t="shared" si="5"/>
        <v/>
      </c>
      <c r="C56" s="153">
        <f>IF(D11="","-",+C55+1)</f>
        <v>2049</v>
      </c>
      <c r="D56" s="159">
        <f>IF(F55+SUM(E$17:E55)=D$10,F55,D$10-SUM(E$17:E55))</f>
        <v>20207.896900504333</v>
      </c>
      <c r="E56" s="160">
        <f>IF(+I14&lt;F55,I14,D56)</f>
        <v>4787.9534883720926</v>
      </c>
      <c r="F56" s="159">
        <f t="shared" si="13"/>
        <v>15419.943412132241</v>
      </c>
      <c r="G56" s="161">
        <f t="shared" ref="G56:G72" si="18">+I$12*((D56+F56)/2)+E56</f>
        <v>6561.4302886665728</v>
      </c>
      <c r="H56" s="142">
        <f t="shared" ref="H56:H72" si="19">+I$13*((D56+F56)/2)+E56</f>
        <v>6561.4302886665728</v>
      </c>
      <c r="I56" s="156">
        <f t="shared" si="14"/>
        <v>0</v>
      </c>
      <c r="J56" s="156"/>
      <c r="K56" s="334"/>
      <c r="L56" s="158">
        <f t="shared" si="15"/>
        <v>0</v>
      </c>
      <c r="M56" s="334"/>
      <c r="N56" s="158">
        <f t="shared" si="16"/>
        <v>0</v>
      </c>
      <c r="O56" s="158">
        <f t="shared" si="17"/>
        <v>0</v>
      </c>
      <c r="P56" s="4"/>
    </row>
    <row r="57" spans="2:17">
      <c r="B57" s="9" t="str">
        <f t="shared" si="5"/>
        <v/>
      </c>
      <c r="C57" s="153">
        <f>IF(D11="","-",+C56+1)</f>
        <v>2050</v>
      </c>
      <c r="D57" s="159">
        <f>IF(F56+SUM(E$17:E56)=D$10,F56,D$10-SUM(E$17:E56))</f>
        <v>15419.943412132241</v>
      </c>
      <c r="E57" s="160">
        <f>IF(+I14&lt;F56,I14,D57)</f>
        <v>4787.9534883720926</v>
      </c>
      <c r="F57" s="159">
        <f t="shared" si="13"/>
        <v>10631.989923760149</v>
      </c>
      <c r="G57" s="161">
        <f t="shared" si="18"/>
        <v>6084.7623594289307</v>
      </c>
      <c r="H57" s="142">
        <f t="shared" si="19"/>
        <v>6084.7623594289307</v>
      </c>
      <c r="I57" s="156">
        <f t="shared" si="14"/>
        <v>0</v>
      </c>
      <c r="J57" s="156"/>
      <c r="K57" s="334"/>
      <c r="L57" s="158">
        <f t="shared" si="15"/>
        <v>0</v>
      </c>
      <c r="M57" s="334"/>
      <c r="N57" s="158">
        <f t="shared" si="16"/>
        <v>0</v>
      </c>
      <c r="O57" s="158">
        <f t="shared" si="17"/>
        <v>0</v>
      </c>
      <c r="P57" s="4"/>
    </row>
    <row r="58" spans="2:17">
      <c r="B58" s="9" t="str">
        <f t="shared" si="5"/>
        <v/>
      </c>
      <c r="C58" s="153">
        <f>IF(D11="","-",+C57+1)</f>
        <v>2051</v>
      </c>
      <c r="D58" s="159">
        <f>IF(F57+SUM(E$17:E57)=D$10,F57,D$10-SUM(E$17:E57))</f>
        <v>10631.989923760149</v>
      </c>
      <c r="E58" s="160">
        <f>IF(+I14&lt;F57,I14,D58)</f>
        <v>4787.9534883720926</v>
      </c>
      <c r="F58" s="159">
        <f t="shared" si="13"/>
        <v>5844.0364353880568</v>
      </c>
      <c r="G58" s="161">
        <f t="shared" si="18"/>
        <v>5608.0944301912887</v>
      </c>
      <c r="H58" s="142">
        <f t="shared" si="19"/>
        <v>5608.0944301912887</v>
      </c>
      <c r="I58" s="156">
        <f t="shared" si="14"/>
        <v>0</v>
      </c>
      <c r="J58" s="156"/>
      <c r="K58" s="334"/>
      <c r="L58" s="158">
        <f t="shared" si="15"/>
        <v>0</v>
      </c>
      <c r="M58" s="334"/>
      <c r="N58" s="158">
        <f t="shared" si="16"/>
        <v>0</v>
      </c>
      <c r="O58" s="158">
        <f t="shared" si="17"/>
        <v>0</v>
      </c>
      <c r="P58" s="4"/>
      <c r="Q58" t="str">
        <f>IF(ROUND(Q57,0)=ROUND(SUM(Q18:Q56),0),"","Error -- check allocations above).")</f>
        <v/>
      </c>
    </row>
    <row r="59" spans="2:17">
      <c r="B59" s="9" t="str">
        <f t="shared" si="5"/>
        <v/>
      </c>
      <c r="C59" s="153">
        <f>IF(D11="","-",+C58+1)</f>
        <v>2052</v>
      </c>
      <c r="D59" s="159">
        <f>IF(F58+SUM(E$17:E58)=D$10,F58,D$10-SUM(E$17:E58))</f>
        <v>5844.0364353880568</v>
      </c>
      <c r="E59" s="160">
        <f>IF(+I14&lt;F58,I14,D59)</f>
        <v>4787.9534883720926</v>
      </c>
      <c r="F59" s="159">
        <f t="shared" si="13"/>
        <v>1056.0829470159642</v>
      </c>
      <c r="G59" s="161">
        <f t="shared" si="18"/>
        <v>5131.4265009536466</v>
      </c>
      <c r="H59" s="142">
        <f t="shared" si="19"/>
        <v>5131.4265009536466</v>
      </c>
      <c r="I59" s="156">
        <f t="shared" si="14"/>
        <v>0</v>
      </c>
      <c r="J59" s="156"/>
      <c r="K59" s="334"/>
      <c r="L59" s="158">
        <f t="shared" si="15"/>
        <v>0</v>
      </c>
      <c r="M59" s="334"/>
      <c r="N59" s="158">
        <f t="shared" si="16"/>
        <v>0</v>
      </c>
      <c r="O59" s="158">
        <f t="shared" si="17"/>
        <v>0</v>
      </c>
      <c r="P59" s="4"/>
    </row>
    <row r="60" spans="2:17">
      <c r="B60" s="9" t="str">
        <f t="shared" si="5"/>
        <v/>
      </c>
      <c r="C60" s="153">
        <f>IF(D11="","-",+C59+1)</f>
        <v>2053</v>
      </c>
      <c r="D60" s="159">
        <f>IF(F59+SUM(E$17:E59)=D$10,F59,D$10-SUM(E$17:E59))</f>
        <v>1056.0829470159642</v>
      </c>
      <c r="E60" s="160">
        <f>IF(+I14&lt;F59,I14,D60)</f>
        <v>1056.0829470159642</v>
      </c>
      <c r="F60" s="159">
        <f t="shared" si="13"/>
        <v>0</v>
      </c>
      <c r="G60" s="161">
        <f t="shared" si="18"/>
        <v>1108.6524709973305</v>
      </c>
      <c r="H60" s="142">
        <f t="shared" si="19"/>
        <v>1108.6524709973305</v>
      </c>
      <c r="I60" s="156">
        <f t="shared" si="14"/>
        <v>0</v>
      </c>
      <c r="J60" s="156"/>
      <c r="K60" s="334"/>
      <c r="L60" s="158">
        <f t="shared" si="15"/>
        <v>0</v>
      </c>
      <c r="M60" s="334"/>
      <c r="N60" s="158">
        <f t="shared" si="16"/>
        <v>0</v>
      </c>
      <c r="O60" s="158">
        <f t="shared" si="17"/>
        <v>0</v>
      </c>
      <c r="P60" s="4"/>
    </row>
    <row r="61" spans="2:17">
      <c r="B61" s="9" t="str">
        <f t="shared" si="5"/>
        <v/>
      </c>
      <c r="C61" s="153">
        <f>IF(D11="","-",+C60+1)</f>
        <v>2054</v>
      </c>
      <c r="D61" s="159">
        <f>IF(F60+SUM(E$17:E60)=D$10,F60,D$10-SUM(E$17:E60))</f>
        <v>0</v>
      </c>
      <c r="E61" s="160">
        <f>IF(+I14&lt;F60,I14,D61)</f>
        <v>0</v>
      </c>
      <c r="F61" s="159">
        <f t="shared" si="13"/>
        <v>0</v>
      </c>
      <c r="G61" s="163">
        <f t="shared" si="18"/>
        <v>0</v>
      </c>
      <c r="H61" s="142">
        <f t="shared" si="19"/>
        <v>0</v>
      </c>
      <c r="I61" s="156">
        <f t="shared" si="14"/>
        <v>0</v>
      </c>
      <c r="J61" s="156"/>
      <c r="K61" s="334"/>
      <c r="L61" s="158">
        <f t="shared" si="15"/>
        <v>0</v>
      </c>
      <c r="M61" s="334"/>
      <c r="N61" s="158">
        <f t="shared" si="16"/>
        <v>0</v>
      </c>
      <c r="O61" s="158">
        <f t="shared" si="17"/>
        <v>0</v>
      </c>
      <c r="P61" s="4"/>
    </row>
    <row r="62" spans="2:17">
      <c r="B62" s="9" t="str">
        <f t="shared" si="5"/>
        <v/>
      </c>
      <c r="C62" s="153">
        <f>IF(D11="","-",+C61+1)</f>
        <v>2055</v>
      </c>
      <c r="D62" s="159">
        <f>IF(F61+SUM(E$17:E61)=D$10,F61,D$10-SUM(E$17:E61))</f>
        <v>0</v>
      </c>
      <c r="E62" s="160">
        <f>IF(+I14&lt;F61,I14,D62)</f>
        <v>0</v>
      </c>
      <c r="F62" s="159">
        <f t="shared" si="13"/>
        <v>0</v>
      </c>
      <c r="G62" s="163">
        <f t="shared" si="18"/>
        <v>0</v>
      </c>
      <c r="H62" s="142">
        <f t="shared" si="19"/>
        <v>0</v>
      </c>
      <c r="I62" s="156">
        <f t="shared" si="14"/>
        <v>0</v>
      </c>
      <c r="J62" s="156"/>
      <c r="K62" s="334"/>
      <c r="L62" s="158">
        <f t="shared" si="15"/>
        <v>0</v>
      </c>
      <c r="M62" s="334"/>
      <c r="N62" s="158">
        <f t="shared" si="16"/>
        <v>0</v>
      </c>
      <c r="O62" s="158">
        <f t="shared" si="17"/>
        <v>0</v>
      </c>
      <c r="P62" s="4"/>
    </row>
    <row r="63" spans="2:17">
      <c r="B63" s="9" t="str">
        <f t="shared" si="5"/>
        <v/>
      </c>
      <c r="C63" s="153">
        <f>IF(D11="","-",+C62+1)</f>
        <v>2056</v>
      </c>
      <c r="D63" s="159">
        <f>IF(F62+SUM(E$17:E62)=D$10,F62,D$10-SUM(E$17:E62))</f>
        <v>0</v>
      </c>
      <c r="E63" s="160">
        <f>IF(+I14&lt;F62,I14,D63)</f>
        <v>0</v>
      </c>
      <c r="F63" s="159">
        <f t="shared" si="13"/>
        <v>0</v>
      </c>
      <c r="G63" s="163">
        <f t="shared" si="18"/>
        <v>0</v>
      </c>
      <c r="H63" s="142">
        <f t="shared" si="19"/>
        <v>0</v>
      </c>
      <c r="I63" s="156">
        <f t="shared" si="14"/>
        <v>0</v>
      </c>
      <c r="J63" s="156"/>
      <c r="K63" s="334"/>
      <c r="L63" s="158">
        <f t="shared" si="15"/>
        <v>0</v>
      </c>
      <c r="M63" s="334"/>
      <c r="N63" s="158">
        <f t="shared" si="16"/>
        <v>0</v>
      </c>
      <c r="O63" s="158">
        <f t="shared" si="17"/>
        <v>0</v>
      </c>
      <c r="P63" s="4"/>
    </row>
    <row r="64" spans="2:17">
      <c r="B64" s="9" t="str">
        <f t="shared" si="5"/>
        <v/>
      </c>
      <c r="C64" s="153">
        <f>IF(D11="","-",+C63+1)</f>
        <v>2057</v>
      </c>
      <c r="D64" s="159">
        <f>IF(F63+SUM(E$17:E63)=D$10,F63,D$10-SUM(E$17:E63))</f>
        <v>0</v>
      </c>
      <c r="E64" s="160">
        <f>IF(+I14&lt;F63,I14,D64)</f>
        <v>0</v>
      </c>
      <c r="F64" s="159">
        <f t="shared" si="13"/>
        <v>0</v>
      </c>
      <c r="G64" s="163">
        <f t="shared" si="18"/>
        <v>0</v>
      </c>
      <c r="H64" s="142">
        <f t="shared" si="19"/>
        <v>0</v>
      </c>
      <c r="I64" s="156">
        <f t="shared" si="14"/>
        <v>0</v>
      </c>
      <c r="J64" s="156"/>
      <c r="K64" s="334"/>
      <c r="L64" s="158">
        <f t="shared" si="15"/>
        <v>0</v>
      </c>
      <c r="M64" s="334"/>
      <c r="N64" s="158">
        <f t="shared" si="16"/>
        <v>0</v>
      </c>
      <c r="O64" s="158">
        <f t="shared" si="17"/>
        <v>0</v>
      </c>
      <c r="P64" s="4"/>
    </row>
    <row r="65" spans="1:16">
      <c r="B65" s="9" t="str">
        <f t="shared" si="5"/>
        <v/>
      </c>
      <c r="C65" s="153">
        <f>IF(D11="","-",+C64+1)</f>
        <v>2058</v>
      </c>
      <c r="D65" s="159">
        <f>IF(F64+SUM(E$17:E64)=D$10,F64,D$10-SUM(E$17:E64))</f>
        <v>0</v>
      </c>
      <c r="E65" s="160">
        <f>IF(+I14&lt;F64,I14,D65)</f>
        <v>0</v>
      </c>
      <c r="F65" s="159">
        <f t="shared" si="13"/>
        <v>0</v>
      </c>
      <c r="G65" s="163">
        <f t="shared" si="18"/>
        <v>0</v>
      </c>
      <c r="H65" s="142">
        <f t="shared" si="19"/>
        <v>0</v>
      </c>
      <c r="I65" s="156">
        <f t="shared" si="14"/>
        <v>0</v>
      </c>
      <c r="J65" s="156"/>
      <c r="K65" s="334"/>
      <c r="L65" s="158">
        <f t="shared" si="15"/>
        <v>0</v>
      </c>
      <c r="M65" s="334"/>
      <c r="N65" s="158">
        <f t="shared" si="16"/>
        <v>0</v>
      </c>
      <c r="O65" s="158">
        <f t="shared" si="17"/>
        <v>0</v>
      </c>
      <c r="P65" s="4"/>
    </row>
    <row r="66" spans="1:16">
      <c r="B66" s="9" t="str">
        <f t="shared" si="5"/>
        <v/>
      </c>
      <c r="C66" s="153">
        <f>IF(D11="","-",+C65+1)</f>
        <v>2059</v>
      </c>
      <c r="D66" s="159">
        <f>IF(F65+SUM(E$17:E65)=D$10,F65,D$10-SUM(E$17:E65))</f>
        <v>0</v>
      </c>
      <c r="E66" s="160">
        <f>IF(+I14&lt;F65,I14,D66)</f>
        <v>0</v>
      </c>
      <c r="F66" s="159">
        <f t="shared" si="13"/>
        <v>0</v>
      </c>
      <c r="G66" s="163">
        <f t="shared" si="18"/>
        <v>0</v>
      </c>
      <c r="H66" s="142">
        <f t="shared" si="19"/>
        <v>0</v>
      </c>
      <c r="I66" s="156">
        <f t="shared" si="14"/>
        <v>0</v>
      </c>
      <c r="J66" s="156"/>
      <c r="K66" s="334"/>
      <c r="L66" s="158">
        <f t="shared" si="15"/>
        <v>0</v>
      </c>
      <c r="M66" s="334"/>
      <c r="N66" s="158">
        <f t="shared" si="16"/>
        <v>0</v>
      </c>
      <c r="O66" s="158">
        <f t="shared" si="17"/>
        <v>0</v>
      </c>
      <c r="P66" s="4"/>
    </row>
    <row r="67" spans="1:16">
      <c r="B67" s="9" t="str">
        <f t="shared" si="5"/>
        <v/>
      </c>
      <c r="C67" s="153">
        <f>IF(D11="","-",+C66+1)</f>
        <v>2060</v>
      </c>
      <c r="D67" s="159">
        <f>IF(F66+SUM(E$17:E66)=D$10,F66,D$10-SUM(E$17:E66))</f>
        <v>0</v>
      </c>
      <c r="E67" s="160">
        <f>IF(+I14&lt;F66,I14,D67)</f>
        <v>0</v>
      </c>
      <c r="F67" s="159">
        <f t="shared" si="13"/>
        <v>0</v>
      </c>
      <c r="G67" s="163">
        <f t="shared" si="18"/>
        <v>0</v>
      </c>
      <c r="H67" s="142">
        <f t="shared" si="19"/>
        <v>0</v>
      </c>
      <c r="I67" s="156">
        <f t="shared" si="14"/>
        <v>0</v>
      </c>
      <c r="J67" s="156"/>
      <c r="K67" s="334"/>
      <c r="L67" s="158">
        <f t="shared" si="15"/>
        <v>0</v>
      </c>
      <c r="M67" s="334"/>
      <c r="N67" s="158">
        <f t="shared" si="16"/>
        <v>0</v>
      </c>
      <c r="O67" s="158">
        <f t="shared" si="17"/>
        <v>0</v>
      </c>
      <c r="P67" s="4"/>
    </row>
    <row r="68" spans="1:16">
      <c r="B68" s="9" t="str">
        <f t="shared" si="5"/>
        <v/>
      </c>
      <c r="C68" s="153">
        <f>IF(D11="","-",+C67+1)</f>
        <v>2061</v>
      </c>
      <c r="D68" s="159">
        <f>IF(F67+SUM(E$17:E67)=D$10,F67,D$10-SUM(E$17:E67))</f>
        <v>0</v>
      </c>
      <c r="E68" s="160">
        <f>IF(+I14&lt;F67,I14,D68)</f>
        <v>0</v>
      </c>
      <c r="F68" s="159">
        <f t="shared" si="13"/>
        <v>0</v>
      </c>
      <c r="G68" s="163">
        <f t="shared" si="18"/>
        <v>0</v>
      </c>
      <c r="H68" s="142">
        <f t="shared" si="19"/>
        <v>0</v>
      </c>
      <c r="I68" s="156">
        <f t="shared" si="14"/>
        <v>0</v>
      </c>
      <c r="J68" s="156"/>
      <c r="K68" s="334"/>
      <c r="L68" s="158">
        <f t="shared" si="15"/>
        <v>0</v>
      </c>
      <c r="M68" s="334"/>
      <c r="N68" s="158">
        <f t="shared" si="16"/>
        <v>0</v>
      </c>
      <c r="O68" s="158">
        <f t="shared" si="17"/>
        <v>0</v>
      </c>
      <c r="P68" s="4"/>
    </row>
    <row r="69" spans="1:16">
      <c r="B69" s="9" t="str">
        <f t="shared" si="5"/>
        <v/>
      </c>
      <c r="C69" s="153">
        <f>IF(D11="","-",+C68+1)</f>
        <v>2062</v>
      </c>
      <c r="D69" s="159">
        <f>IF(F68+SUM(E$17:E68)=D$10,F68,D$10-SUM(E$17:E68))</f>
        <v>0</v>
      </c>
      <c r="E69" s="160">
        <f>IF(+I14&lt;F68,I14,D69)</f>
        <v>0</v>
      </c>
      <c r="F69" s="159">
        <f t="shared" si="13"/>
        <v>0</v>
      </c>
      <c r="G69" s="163">
        <f t="shared" si="18"/>
        <v>0</v>
      </c>
      <c r="H69" s="142">
        <f t="shared" si="19"/>
        <v>0</v>
      </c>
      <c r="I69" s="156">
        <f t="shared" si="14"/>
        <v>0</v>
      </c>
      <c r="J69" s="156"/>
      <c r="K69" s="334"/>
      <c r="L69" s="158">
        <f t="shared" si="15"/>
        <v>0</v>
      </c>
      <c r="M69" s="334"/>
      <c r="N69" s="158">
        <f t="shared" si="16"/>
        <v>0</v>
      </c>
      <c r="O69" s="158">
        <f t="shared" si="17"/>
        <v>0</v>
      </c>
      <c r="P69" s="4"/>
    </row>
    <row r="70" spans="1:16">
      <c r="B70" s="9" t="str">
        <f t="shared" si="5"/>
        <v/>
      </c>
      <c r="C70" s="153">
        <f>IF(D11="","-",+C69+1)</f>
        <v>2063</v>
      </c>
      <c r="D70" s="159">
        <f>IF(F69+SUM(E$17:E69)=D$10,F69,D$10-SUM(E$17:E69))</f>
        <v>0</v>
      </c>
      <c r="E70" s="160">
        <f>IF(+I14&lt;F69,I14,D70)</f>
        <v>0</v>
      </c>
      <c r="F70" s="159">
        <f t="shared" si="13"/>
        <v>0</v>
      </c>
      <c r="G70" s="163">
        <f t="shared" si="18"/>
        <v>0</v>
      </c>
      <c r="H70" s="142">
        <f t="shared" si="19"/>
        <v>0</v>
      </c>
      <c r="I70" s="156">
        <f t="shared" si="14"/>
        <v>0</v>
      </c>
      <c r="J70" s="156"/>
      <c r="K70" s="334"/>
      <c r="L70" s="158">
        <f t="shared" si="15"/>
        <v>0</v>
      </c>
      <c r="M70" s="334"/>
      <c r="N70" s="158">
        <f t="shared" si="16"/>
        <v>0</v>
      </c>
      <c r="O70" s="158">
        <f t="shared" si="17"/>
        <v>0</v>
      </c>
      <c r="P70" s="4"/>
    </row>
    <row r="71" spans="1:16">
      <c r="B71" s="9" t="str">
        <f t="shared" si="5"/>
        <v/>
      </c>
      <c r="C71" s="153">
        <f>IF(D11="","-",+C70+1)</f>
        <v>2064</v>
      </c>
      <c r="D71" s="159">
        <f>IF(F70+SUM(E$17:E70)=D$10,F70,D$10-SUM(E$17:E70))</f>
        <v>0</v>
      </c>
      <c r="E71" s="160">
        <f>IF(+I14&lt;F70,I14,D71)</f>
        <v>0</v>
      </c>
      <c r="F71" s="159">
        <f t="shared" si="13"/>
        <v>0</v>
      </c>
      <c r="G71" s="163">
        <f t="shared" si="18"/>
        <v>0</v>
      </c>
      <c r="H71" s="142">
        <f t="shared" si="19"/>
        <v>0</v>
      </c>
      <c r="I71" s="156">
        <f t="shared" si="14"/>
        <v>0</v>
      </c>
      <c r="J71" s="156"/>
      <c r="K71" s="334"/>
      <c r="L71" s="158">
        <f t="shared" si="15"/>
        <v>0</v>
      </c>
      <c r="M71" s="334"/>
      <c r="N71" s="158">
        <f t="shared" si="16"/>
        <v>0</v>
      </c>
      <c r="O71" s="158">
        <f t="shared" si="17"/>
        <v>0</v>
      </c>
      <c r="P71" s="4"/>
    </row>
    <row r="72" spans="1:16" ht="13.5" thickBot="1">
      <c r="B72" s="9" t="str">
        <f t="shared" si="5"/>
        <v/>
      </c>
      <c r="C72" s="164">
        <f>IF(D11="","-",+C71+1)</f>
        <v>2065</v>
      </c>
      <c r="D72" s="165">
        <f>IF(F71+SUM(E$17:E71)=D$10,F71,D$10-SUM(E$17:E71))</f>
        <v>0</v>
      </c>
      <c r="E72" s="166">
        <f>IF(+I14&lt;F71,I14,D72)</f>
        <v>0</v>
      </c>
      <c r="F72" s="165">
        <f t="shared" si="13"/>
        <v>0</v>
      </c>
      <c r="G72" s="167">
        <f t="shared" si="18"/>
        <v>0</v>
      </c>
      <c r="H72" s="124">
        <f t="shared" si="19"/>
        <v>0</v>
      </c>
      <c r="I72" s="168">
        <f t="shared" si="14"/>
        <v>0</v>
      </c>
      <c r="J72" s="156"/>
      <c r="K72" s="335"/>
      <c r="L72" s="169">
        <f t="shared" si="15"/>
        <v>0</v>
      </c>
      <c r="M72" s="335"/>
      <c r="N72" s="169">
        <f t="shared" si="16"/>
        <v>0</v>
      </c>
      <c r="O72" s="169">
        <f t="shared" si="17"/>
        <v>0</v>
      </c>
      <c r="P72" s="4"/>
    </row>
    <row r="73" spans="1:16">
      <c r="C73" s="154" t="s">
        <v>73</v>
      </c>
      <c r="D73" s="111"/>
      <c r="E73" s="111">
        <f>SUM(E17:E72)</f>
        <v>205882.00000000006</v>
      </c>
      <c r="F73" s="111"/>
      <c r="G73" s="111">
        <f>SUM(G17:G72)</f>
        <v>709855.49611770397</v>
      </c>
      <c r="H73" s="111">
        <f>SUM(H17:H72)</f>
        <v>709855.49611770397</v>
      </c>
      <c r="I73" s="111">
        <f>SUM(I17:I72)</f>
        <v>0</v>
      </c>
      <c r="J73" s="111"/>
      <c r="K73" s="111"/>
      <c r="L73" s="111"/>
      <c r="M73" s="111"/>
      <c r="N73" s="111"/>
      <c r="O73" s="4"/>
      <c r="P73" s="4"/>
    </row>
    <row r="74" spans="1:16">
      <c r="D74" s="2"/>
      <c r="E74" s="1"/>
      <c r="F74" s="1"/>
      <c r="G74" s="1"/>
      <c r="H74" s="3"/>
      <c r="I74" s="3"/>
      <c r="J74" s="111"/>
      <c r="K74" s="3"/>
      <c r="L74" s="3"/>
      <c r="M74" s="3"/>
      <c r="N74" s="3"/>
      <c r="O74" s="1"/>
      <c r="P74" s="1"/>
    </row>
    <row r="75" spans="1:16">
      <c r="C75" s="170" t="s">
        <v>91</v>
      </c>
      <c r="D75" s="2"/>
      <c r="E75" s="1"/>
      <c r="F75" s="1"/>
      <c r="G75" s="1"/>
      <c r="H75" s="3"/>
      <c r="I75" s="3"/>
      <c r="J75" s="111"/>
      <c r="K75" s="3"/>
      <c r="L75" s="3"/>
      <c r="M75" s="3"/>
      <c r="N75" s="3"/>
      <c r="O75" s="1"/>
      <c r="P75" s="1"/>
    </row>
    <row r="76" spans="1:16">
      <c r="C76" s="121" t="s">
        <v>74</v>
      </c>
      <c r="D76" s="2"/>
      <c r="E76" s="1"/>
      <c r="F76" s="1"/>
      <c r="G76" s="1"/>
      <c r="H76" s="3"/>
      <c r="I76" s="3"/>
      <c r="J76" s="111"/>
      <c r="K76" s="3"/>
      <c r="L76" s="3"/>
      <c r="M76" s="3"/>
      <c r="N76" s="3"/>
      <c r="O76" s="4"/>
      <c r="P76" s="4"/>
    </row>
    <row r="77" spans="1:16" ht="18">
      <c r="C77" s="121" t="s">
        <v>75</v>
      </c>
      <c r="D77" s="154"/>
      <c r="E77" s="154"/>
      <c r="F77" s="154"/>
      <c r="G77" s="111"/>
      <c r="H77" s="111"/>
      <c r="I77" s="171"/>
      <c r="J77" s="171"/>
      <c r="K77" s="171"/>
      <c r="L77" s="171"/>
      <c r="M77" s="171"/>
      <c r="N77" s="171"/>
      <c r="O77" s="110"/>
      <c r="P77" s="4"/>
    </row>
    <row r="78" spans="1:16">
      <c r="C78" s="121"/>
      <c r="D78" s="154"/>
      <c r="E78" s="154"/>
      <c r="F78" s="154"/>
      <c r="G78" s="111"/>
      <c r="H78" s="111"/>
      <c r="I78" s="171"/>
      <c r="J78" s="171"/>
      <c r="K78" s="171"/>
      <c r="L78" s="171"/>
      <c r="M78" s="171"/>
      <c r="N78" s="171"/>
      <c r="O78" s="4"/>
      <c r="P78" s="1"/>
    </row>
    <row r="79" spans="1:16" ht="15">
      <c r="A79" s="241"/>
      <c r="B79" s="1"/>
      <c r="C79" s="21"/>
      <c r="D79" s="2"/>
      <c r="E79" s="1"/>
      <c r="F79" s="107"/>
      <c r="G79" s="1"/>
      <c r="H79" s="3"/>
      <c r="I79" s="1"/>
      <c r="J79" s="4"/>
      <c r="K79" s="1"/>
      <c r="L79" s="1"/>
      <c r="M79" s="1"/>
      <c r="N79" s="1"/>
    </row>
    <row r="80" spans="1:16" ht="18">
      <c r="B80" s="1"/>
      <c r="C80" s="242"/>
      <c r="D80" s="2"/>
      <c r="E80" s="1"/>
      <c r="F80" s="107"/>
      <c r="G80" s="1"/>
      <c r="H80" s="3"/>
      <c r="I80" s="1"/>
      <c r="J80" s="4"/>
      <c r="K80" s="1"/>
      <c r="L80" s="1"/>
      <c r="M80" s="1"/>
      <c r="N80" s="1"/>
      <c r="P80" s="244" t="s">
        <v>125</v>
      </c>
    </row>
    <row r="81" spans="1:17">
      <c r="B81" s="1"/>
      <c r="C81" s="242"/>
      <c r="D81" s="2"/>
      <c r="E81" s="1"/>
      <c r="F81" s="107"/>
      <c r="G81" s="1"/>
      <c r="H81" s="3"/>
      <c r="I81" s="1"/>
      <c r="J81" s="4"/>
      <c r="K81" s="1"/>
      <c r="L81" s="1"/>
      <c r="M81" s="1"/>
      <c r="N81" s="1"/>
      <c r="O81" s="1"/>
      <c r="P81" s="1"/>
    </row>
    <row r="82" spans="1:17">
      <c r="B82" s="1"/>
      <c r="C82" s="21"/>
      <c r="D82" s="2"/>
      <c r="E82" s="1"/>
      <c r="F82" s="107"/>
      <c r="G82" s="1"/>
      <c r="H82" s="3"/>
      <c r="I82" s="1"/>
      <c r="J82" s="4"/>
      <c r="K82" s="1"/>
      <c r="L82" s="1"/>
      <c r="M82" s="1"/>
      <c r="N82" s="1"/>
      <c r="O82" s="1"/>
      <c r="P82" s="1"/>
      <c r="Q82" s="1"/>
    </row>
    <row r="83" spans="1:17" ht="20.25">
      <c r="A83" s="243" t="s">
        <v>129</v>
      </c>
      <c r="B83" s="1"/>
      <c r="C83" s="21"/>
      <c r="D83" s="2"/>
      <c r="E83" s="1"/>
      <c r="F83" s="99"/>
      <c r="G83" s="99"/>
      <c r="H83" s="1"/>
      <c r="I83" s="3"/>
      <c r="K83" s="7"/>
      <c r="L83" s="109"/>
      <c r="M83" s="109"/>
      <c r="P83" s="110" t="str">
        <f ca="1">P1</f>
        <v>SWEPCO Project 22 of 73</v>
      </c>
      <c r="Q83" s="1"/>
    </row>
    <row r="84" spans="1:17" ht="18">
      <c r="B84" s="1"/>
      <c r="C84" s="1"/>
      <c r="D84" s="2"/>
      <c r="E84" s="1"/>
      <c r="F84" s="1"/>
      <c r="G84" s="1"/>
      <c r="H84" s="1"/>
      <c r="I84" s="3"/>
      <c r="J84" s="1"/>
      <c r="K84" s="4"/>
      <c r="L84" s="1"/>
      <c r="M84" s="1"/>
      <c r="P84" s="237" t="s">
        <v>123</v>
      </c>
      <c r="Q84" s="1"/>
    </row>
    <row r="85" spans="1:17" ht="18.75" thickBot="1">
      <c r="B85" s="5" t="s">
        <v>40</v>
      </c>
      <c r="C85" s="197" t="s">
        <v>78</v>
      </c>
      <c r="D85" s="2"/>
      <c r="E85" s="1"/>
      <c r="F85" s="1"/>
      <c r="G85" s="1"/>
      <c r="H85" s="1"/>
      <c r="I85" s="3"/>
      <c r="J85" s="3"/>
      <c r="K85" s="111"/>
      <c r="L85" s="3"/>
      <c r="M85" s="3"/>
      <c r="N85" s="3"/>
      <c r="O85" s="111"/>
      <c r="P85" s="1"/>
      <c r="Q85" s="1"/>
    </row>
    <row r="86" spans="1:17" ht="15.75" thickBot="1">
      <c r="C86" s="67"/>
      <c r="D86" s="2"/>
      <c r="E86" s="1"/>
      <c r="F86" s="1"/>
      <c r="G86" s="1"/>
      <c r="H86" s="1"/>
      <c r="I86" s="3"/>
      <c r="J86" s="3"/>
      <c r="K86" s="111"/>
      <c r="L86" s="265">
        <f>+J92</f>
        <v>2017</v>
      </c>
      <c r="M86" s="266" t="s">
        <v>7</v>
      </c>
      <c r="N86" s="270" t="s">
        <v>154</v>
      </c>
      <c r="O86" s="267" t="s">
        <v>9</v>
      </c>
      <c r="P86" s="1"/>
      <c r="Q86" s="1"/>
    </row>
    <row r="87" spans="1:17" ht="15">
      <c r="C87" s="235" t="s">
        <v>42</v>
      </c>
      <c r="D87" s="2"/>
      <c r="E87" s="1"/>
      <c r="F87" s="1"/>
      <c r="G87" s="1"/>
      <c r="H87" s="113"/>
      <c r="I87" s="1" t="s">
        <v>43</v>
      </c>
      <c r="J87" s="1"/>
      <c r="K87" s="261"/>
      <c r="L87" s="259" t="s">
        <v>381</v>
      </c>
      <c r="M87" s="198">
        <f>IF(J92&lt;D11,0,VLOOKUP(J92,C17:O72,9))</f>
        <v>26006.03540248935</v>
      </c>
      <c r="N87" s="198">
        <f>IF(J92&lt;D11,0,VLOOKUP(J92,C17:O72,11))</f>
        <v>26006.03540248935</v>
      </c>
      <c r="O87" s="199">
        <f>+N87-M87</f>
        <v>0</v>
      </c>
      <c r="P87" s="1"/>
      <c r="Q87" s="1"/>
    </row>
    <row r="88" spans="1:17" ht="15.75">
      <c r="C88" s="8"/>
      <c r="D88" s="2"/>
      <c r="E88" s="1"/>
      <c r="F88" s="1"/>
      <c r="G88" s="1"/>
      <c r="H88" s="1"/>
      <c r="I88" s="117"/>
      <c r="J88" s="117"/>
      <c r="K88" s="263"/>
      <c r="L88" s="264" t="s">
        <v>382</v>
      </c>
      <c r="M88" s="200">
        <f>IF(J92&lt;D11,0,VLOOKUP(J92,C99:P154,6))</f>
        <v>25735.686949015238</v>
      </c>
      <c r="N88" s="200">
        <f>IF(J92&lt;D11,0,VLOOKUP(J92,C99:P154,7))</f>
        <v>25735.686949015238</v>
      </c>
      <c r="O88" s="201">
        <f>+N88-M88</f>
        <v>0</v>
      </c>
      <c r="P88" s="1"/>
      <c r="Q88" s="1"/>
    </row>
    <row r="89" spans="1:17" ht="13.5" thickBot="1">
      <c r="C89" s="121" t="s">
        <v>79</v>
      </c>
      <c r="D89" s="274" t="str">
        <f>D7</f>
        <v>Longwood: r&amp;r switches, upgrade bus</v>
      </c>
      <c r="E89" s="1"/>
      <c r="F89" s="1"/>
      <c r="G89" s="1"/>
      <c r="H89" s="1"/>
      <c r="I89" s="3"/>
      <c r="J89" s="3"/>
      <c r="K89" s="262"/>
      <c r="L89" s="260" t="s">
        <v>151</v>
      </c>
      <c r="M89" s="203">
        <f>+M88-M87</f>
        <v>-270.34845347411101</v>
      </c>
      <c r="N89" s="203">
        <f>+N88-N87</f>
        <v>-270.34845347411101</v>
      </c>
      <c r="O89" s="204">
        <f>+O88-O87</f>
        <v>0</v>
      </c>
      <c r="P89" s="1"/>
      <c r="Q89" s="1"/>
    </row>
    <row r="90" spans="1:17" ht="13.5" thickBot="1">
      <c r="C90" s="170"/>
      <c r="D90" s="173" t="str">
        <f>D8</f>
        <v/>
      </c>
      <c r="E90" s="107"/>
      <c r="F90" s="107"/>
      <c r="G90" s="107"/>
      <c r="H90" s="126"/>
      <c r="I90" s="3"/>
      <c r="J90" s="3"/>
      <c r="K90" s="111"/>
      <c r="L90" s="3"/>
      <c r="M90" s="3"/>
      <c r="N90" s="3"/>
      <c r="O90" s="111"/>
      <c r="P90" s="1"/>
      <c r="Q90" s="1"/>
    </row>
    <row r="91" spans="1:17" ht="13.5" thickBot="1">
      <c r="A91" s="103"/>
      <c r="C91" s="205" t="s">
        <v>80</v>
      </c>
      <c r="D91" s="224" t="str">
        <f>+D9</f>
        <v>TP2008014</v>
      </c>
      <c r="E91" s="206"/>
      <c r="F91" s="206"/>
      <c r="G91" s="206"/>
      <c r="H91" s="206"/>
      <c r="I91" s="206"/>
      <c r="J91" s="238"/>
      <c r="K91" s="207"/>
      <c r="P91" s="131"/>
      <c r="Q91" s="1"/>
    </row>
    <row r="92" spans="1:17">
      <c r="C92" s="136" t="s">
        <v>47</v>
      </c>
      <c r="D92" s="133">
        <f>IF(D11=I10,0,D10)</f>
        <v>205882</v>
      </c>
      <c r="E92" s="21" t="s">
        <v>81</v>
      </c>
      <c r="H92" s="134"/>
      <c r="I92" s="134"/>
      <c r="J92" s="135">
        <f>+'SWE.WS.G.BPU.ATRR.True-up'!M15</f>
        <v>2017</v>
      </c>
      <c r="K92" s="130"/>
      <c r="L92" s="111" t="s">
        <v>82</v>
      </c>
      <c r="P92" s="4"/>
      <c r="Q92" s="1"/>
    </row>
    <row r="93" spans="1:17">
      <c r="C93" s="136" t="s">
        <v>49</v>
      </c>
      <c r="D93" s="219">
        <f>IF(D11=I10,"",D11)</f>
        <v>2010</v>
      </c>
      <c r="E93" s="136" t="s">
        <v>50</v>
      </c>
      <c r="F93" s="134"/>
      <c r="G93" s="134"/>
      <c r="J93" s="138">
        <f>IF(H87="",0,'SWE.WS.G.BPU.ATRR.True-up'!$F$12)</f>
        <v>0</v>
      </c>
      <c r="K93" s="139"/>
      <c r="L93" t="str">
        <f>"          INPUT TRUE-UP ARR (WITH &amp; WITHOUT INCENTIVES) FROM EACH PRIOR YEAR"</f>
        <v xml:space="preserve">          INPUT TRUE-UP ARR (WITH &amp; WITHOUT INCENTIVES) FROM EACH PRIOR YEAR</v>
      </c>
      <c r="P93" s="4"/>
      <c r="Q93" s="1"/>
    </row>
    <row r="94" spans="1:17">
      <c r="C94" s="136" t="s">
        <v>51</v>
      </c>
      <c r="D94" s="218">
        <f>IF(D11=I10,"",D12)</f>
        <v>6</v>
      </c>
      <c r="E94" s="136" t="s">
        <v>52</v>
      </c>
      <c r="F94" s="134"/>
      <c r="G94" s="134"/>
      <c r="J94" s="140">
        <f>'SWE.WS.G.BPU.ATRR.True-up'!$F$80</f>
        <v>0.12147145768398206</v>
      </c>
      <c r="K94" s="141"/>
      <c r="L94" t="s">
        <v>83</v>
      </c>
      <c r="P94" s="4"/>
      <c r="Q94" s="1"/>
    </row>
    <row r="95" spans="1:17">
      <c r="C95" s="136" t="s">
        <v>54</v>
      </c>
      <c r="D95" s="138">
        <f>'SWE.WS.G.BPU.ATRR.True-up'!F$92</f>
        <v>42</v>
      </c>
      <c r="E95" s="136" t="s">
        <v>55</v>
      </c>
      <c r="F95" s="134"/>
      <c r="G95" s="134"/>
      <c r="J95" s="140">
        <f>IF(H87="",J94,'SWE.WS.G.BPU.ATRR.True-up'!$F$79)</f>
        <v>0.12147145768398206</v>
      </c>
      <c r="K95" s="58"/>
      <c r="L95" s="111" t="s">
        <v>56</v>
      </c>
      <c r="M95" s="58"/>
      <c r="N95" s="58"/>
      <c r="O95" s="58"/>
      <c r="P95" s="4"/>
      <c r="Q95" s="1"/>
    </row>
    <row r="96" spans="1:17" ht="13.5" thickBot="1">
      <c r="C96" s="136" t="s">
        <v>57</v>
      </c>
      <c r="D96" s="220" t="str">
        <f>+D14</f>
        <v>No</v>
      </c>
      <c r="E96" s="202" t="s">
        <v>59</v>
      </c>
      <c r="F96" s="208"/>
      <c r="G96" s="208"/>
      <c r="H96" s="209"/>
      <c r="I96" s="209"/>
      <c r="J96" s="124">
        <f>IF(D92=0,0,D92/D95)</f>
        <v>4901.9523809523807</v>
      </c>
      <c r="K96" s="111"/>
      <c r="L96" s="111"/>
      <c r="M96" s="111"/>
      <c r="N96" s="111"/>
      <c r="O96" s="111"/>
      <c r="P96" s="4"/>
      <c r="Q96" s="1"/>
    </row>
    <row r="97" spans="1:17" ht="38.25">
      <c r="A97" s="6"/>
      <c r="B97" s="6"/>
      <c r="C97" s="210" t="s">
        <v>47</v>
      </c>
      <c r="D97" s="211" t="s">
        <v>60</v>
      </c>
      <c r="E97" s="146" t="s">
        <v>61</v>
      </c>
      <c r="F97" s="146" t="s">
        <v>62</v>
      </c>
      <c r="G97" s="144" t="s">
        <v>84</v>
      </c>
      <c r="H97" s="434" t="s">
        <v>378</v>
      </c>
      <c r="I97" s="435" t="s">
        <v>379</v>
      </c>
      <c r="J97" s="210" t="s">
        <v>85</v>
      </c>
      <c r="K97" s="212"/>
      <c r="L97" s="271" t="s">
        <v>220</v>
      </c>
      <c r="M97" s="146" t="s">
        <v>86</v>
      </c>
      <c r="N97" s="271" t="s">
        <v>220</v>
      </c>
      <c r="O97" s="146" t="s">
        <v>86</v>
      </c>
      <c r="P97" s="146" t="s">
        <v>65</v>
      </c>
      <c r="Q97" s="1"/>
    </row>
    <row r="98" spans="1:17" ht="13.5" thickBot="1">
      <c r="C98" s="147" t="s">
        <v>66</v>
      </c>
      <c r="D98" s="213" t="s">
        <v>67</v>
      </c>
      <c r="E98" s="147" t="s">
        <v>68</v>
      </c>
      <c r="F98" s="147" t="s">
        <v>67</v>
      </c>
      <c r="G98" s="147" t="s">
        <v>67</v>
      </c>
      <c r="H98" s="407" t="s">
        <v>69</v>
      </c>
      <c r="I98" s="148" t="s">
        <v>70</v>
      </c>
      <c r="J98" s="149" t="s">
        <v>89</v>
      </c>
      <c r="K98" s="150"/>
      <c r="L98" s="151" t="s">
        <v>72</v>
      </c>
      <c r="M98" s="151" t="s">
        <v>72</v>
      </c>
      <c r="N98" s="151" t="s">
        <v>90</v>
      </c>
      <c r="O98" s="151" t="s">
        <v>90</v>
      </c>
      <c r="P98" s="151" t="s">
        <v>90</v>
      </c>
      <c r="Q98" s="1"/>
    </row>
    <row r="99" spans="1:17">
      <c r="C99" s="153">
        <f>IF(D93= "","-",D93)</f>
        <v>2010</v>
      </c>
      <c r="D99" s="357">
        <v>0</v>
      </c>
      <c r="E99" s="360">
        <v>2621.9512195121952</v>
      </c>
      <c r="F99" s="361">
        <v>212378.04878048779</v>
      </c>
      <c r="G99" s="365">
        <v>106189.0243902439</v>
      </c>
      <c r="H99" s="362">
        <v>20152.28121946373</v>
      </c>
      <c r="I99" s="363">
        <v>20152.28121946373</v>
      </c>
      <c r="J99" s="403">
        <f t="shared" ref="J99:J130" si="20">+I99-H99</f>
        <v>0</v>
      </c>
      <c r="K99" s="158"/>
      <c r="L99" s="256">
        <f t="shared" ref="L99:L104" si="21">H99</f>
        <v>20152.28121946373</v>
      </c>
      <c r="M99" s="172">
        <f t="shared" ref="M99:M130" si="22">IF(L99&lt;&gt;0,+H99-L99,0)</f>
        <v>0</v>
      </c>
      <c r="N99" s="256">
        <f t="shared" ref="N99:N104" si="23">I99</f>
        <v>20152.28121946373</v>
      </c>
      <c r="O99" s="157">
        <f t="shared" ref="O99:O130" si="24">IF(N99&lt;&gt;0,+I99-N99,0)</f>
        <v>0</v>
      </c>
      <c r="P99" s="157">
        <f t="shared" ref="P99:P130" si="25">+O99-M99</f>
        <v>0</v>
      </c>
      <c r="Q99" s="1"/>
    </row>
    <row r="100" spans="1:17">
      <c r="B100" s="9" t="str">
        <f>IF(D100=F99,"","IU")</f>
        <v>IU</v>
      </c>
      <c r="C100" s="153">
        <f>IF(D93="","-",+C99+1)</f>
        <v>2011</v>
      </c>
      <c r="D100" s="357">
        <v>203260.04878048779</v>
      </c>
      <c r="E100" s="360">
        <v>4901.9523809523807</v>
      </c>
      <c r="F100" s="361">
        <v>198358.09639953543</v>
      </c>
      <c r="G100" s="361">
        <v>200809.07259001161</v>
      </c>
      <c r="H100" s="360">
        <v>35099.600890705573</v>
      </c>
      <c r="I100" s="359">
        <v>35099.600890705573</v>
      </c>
      <c r="J100" s="403">
        <f t="shared" si="20"/>
        <v>0</v>
      </c>
      <c r="K100" s="158"/>
      <c r="L100" s="258">
        <f t="shared" si="21"/>
        <v>35099.600890705573</v>
      </c>
      <c r="M100" s="257">
        <f t="shared" si="22"/>
        <v>0</v>
      </c>
      <c r="N100" s="258">
        <f t="shared" si="23"/>
        <v>35099.600890705573</v>
      </c>
      <c r="O100" s="158">
        <f t="shared" si="24"/>
        <v>0</v>
      </c>
      <c r="P100" s="158">
        <f t="shared" si="25"/>
        <v>0</v>
      </c>
      <c r="Q100" s="1"/>
    </row>
    <row r="101" spans="1:17">
      <c r="B101" s="9" t="str">
        <f t="shared" ref="B101:B154" si="26">IF(D101=F100,"","IU")</f>
        <v/>
      </c>
      <c r="C101" s="153">
        <f>IF(D93="","-",+C100+1)</f>
        <v>2012</v>
      </c>
      <c r="D101" s="357">
        <v>198358.09639953543</v>
      </c>
      <c r="E101" s="360">
        <v>4901.9523809523807</v>
      </c>
      <c r="F101" s="361">
        <v>193456.14401858306</v>
      </c>
      <c r="G101" s="361">
        <v>195907.12020905924</v>
      </c>
      <c r="H101" s="360">
        <v>33730.455386576738</v>
      </c>
      <c r="I101" s="359">
        <v>33730.455386576738</v>
      </c>
      <c r="J101" s="403">
        <f t="shared" si="20"/>
        <v>0</v>
      </c>
      <c r="K101" s="158"/>
      <c r="L101" s="258">
        <f t="shared" si="21"/>
        <v>33730.455386576738</v>
      </c>
      <c r="M101" s="257">
        <f t="shared" si="22"/>
        <v>0</v>
      </c>
      <c r="N101" s="258">
        <f t="shared" si="23"/>
        <v>33730.455386576738</v>
      </c>
      <c r="O101" s="158">
        <f t="shared" si="24"/>
        <v>0</v>
      </c>
      <c r="P101" s="158">
        <f t="shared" si="25"/>
        <v>0</v>
      </c>
      <c r="Q101" s="1"/>
    </row>
    <row r="102" spans="1:17">
      <c r="B102" s="9" t="str">
        <f t="shared" si="26"/>
        <v/>
      </c>
      <c r="C102" s="153">
        <f>IF(D93="","-",+C101+1)</f>
        <v>2013</v>
      </c>
      <c r="D102" s="357">
        <v>193456.14401858306</v>
      </c>
      <c r="E102" s="360">
        <v>4901.9523809523807</v>
      </c>
      <c r="F102" s="361">
        <v>188554.19163763069</v>
      </c>
      <c r="G102" s="361">
        <v>191005.16782810687</v>
      </c>
      <c r="H102" s="360">
        <v>30743.366686318692</v>
      </c>
      <c r="I102" s="359">
        <v>30743.366686318692</v>
      </c>
      <c r="J102" s="403">
        <v>0</v>
      </c>
      <c r="K102" s="158"/>
      <c r="L102" s="258">
        <f t="shared" si="21"/>
        <v>30743.366686318692</v>
      </c>
      <c r="M102" s="257">
        <f>IF(L102&lt;&gt;0,+H102-L102,0)</f>
        <v>0</v>
      </c>
      <c r="N102" s="258">
        <f t="shared" si="23"/>
        <v>30743.366686318692</v>
      </c>
      <c r="O102" s="158">
        <f>IF(N102&lt;&gt;0,+I102-N102,0)</f>
        <v>0</v>
      </c>
      <c r="P102" s="158">
        <f>+O102-M102</f>
        <v>0</v>
      </c>
      <c r="Q102" s="1"/>
    </row>
    <row r="103" spans="1:17">
      <c r="B103" s="9" t="str">
        <f t="shared" si="26"/>
        <v/>
      </c>
      <c r="C103" s="153">
        <f>IF(D93="","-",+C102+1)</f>
        <v>2014</v>
      </c>
      <c r="D103" s="357">
        <v>188554.19163763069</v>
      </c>
      <c r="E103" s="360">
        <v>4901.9523809523807</v>
      </c>
      <c r="F103" s="361">
        <v>183652.23925667832</v>
      </c>
      <c r="G103" s="361">
        <v>186103.21544715451</v>
      </c>
      <c r="H103" s="360">
        <v>30197.745297823447</v>
      </c>
      <c r="I103" s="359">
        <v>30197.745297823447</v>
      </c>
      <c r="J103" s="158">
        <v>0</v>
      </c>
      <c r="K103" s="158"/>
      <c r="L103" s="258">
        <f t="shared" si="21"/>
        <v>30197.745297823447</v>
      </c>
      <c r="M103" s="257">
        <f>IF(L103&lt;&gt;0,+H103-L103,0)</f>
        <v>0</v>
      </c>
      <c r="N103" s="258">
        <f t="shared" si="23"/>
        <v>30197.745297823447</v>
      </c>
      <c r="O103" s="158">
        <f>IF(N103&lt;&gt;0,+I103-N103,0)</f>
        <v>0</v>
      </c>
      <c r="P103" s="158">
        <f>+O103-M103</f>
        <v>0</v>
      </c>
      <c r="Q103" s="1"/>
    </row>
    <row r="104" spans="1:17">
      <c r="B104" s="9" t="str">
        <f t="shared" si="26"/>
        <v/>
      </c>
      <c r="C104" s="153">
        <f>IF(D93="","-",+C103+1)</f>
        <v>2015</v>
      </c>
      <c r="D104" s="357">
        <v>183652.23925667832</v>
      </c>
      <c r="E104" s="360">
        <v>4901.9523809523807</v>
      </c>
      <c r="F104" s="361">
        <v>178750.28687572596</v>
      </c>
      <c r="G104" s="361">
        <v>181201.26306620214</v>
      </c>
      <c r="H104" s="360">
        <v>28778.63948471695</v>
      </c>
      <c r="I104" s="359">
        <v>28778.63948471695</v>
      </c>
      <c r="J104" s="158">
        <f t="shared" si="20"/>
        <v>0</v>
      </c>
      <c r="K104" s="158"/>
      <c r="L104" s="258">
        <f t="shared" si="21"/>
        <v>28778.63948471695</v>
      </c>
      <c r="M104" s="257">
        <f>IF(L104&lt;&gt;0,+H104-L104,0)</f>
        <v>0</v>
      </c>
      <c r="N104" s="258">
        <f t="shared" si="23"/>
        <v>28778.63948471695</v>
      </c>
      <c r="O104" s="158">
        <f>IF(N104&lt;&gt;0,+I104-N104,0)</f>
        <v>0</v>
      </c>
      <c r="P104" s="158">
        <f>+O104-M104</f>
        <v>0</v>
      </c>
      <c r="Q104" s="1"/>
    </row>
    <row r="105" spans="1:17">
      <c r="B105" s="9" t="str">
        <f t="shared" si="26"/>
        <v/>
      </c>
      <c r="C105" s="153">
        <f>IF(D93="","-",+C104+1)</f>
        <v>2016</v>
      </c>
      <c r="D105" s="357">
        <v>178750.28687572596</v>
      </c>
      <c r="E105" s="360">
        <v>4787.9534883720926</v>
      </c>
      <c r="F105" s="361">
        <v>173962.33338735386</v>
      </c>
      <c r="G105" s="361">
        <v>176356.31013153991</v>
      </c>
      <c r="H105" s="360">
        <v>27176.384994149808</v>
      </c>
      <c r="I105" s="359">
        <v>27176.384994149808</v>
      </c>
      <c r="J105" s="158">
        <v>0</v>
      </c>
      <c r="K105" s="158"/>
      <c r="L105" s="258">
        <f>H105</f>
        <v>27176.384994149808</v>
      </c>
      <c r="M105" s="257">
        <f>IF(L105&lt;&gt;0,+H105-L105,0)</f>
        <v>0</v>
      </c>
      <c r="N105" s="258">
        <f>I105</f>
        <v>27176.384994149808</v>
      </c>
      <c r="O105" s="158">
        <f>IF(N105&lt;&gt;0,+I105-N105,0)</f>
        <v>0</v>
      </c>
      <c r="P105" s="158">
        <f>+O105-M105</f>
        <v>0</v>
      </c>
      <c r="Q105" s="1"/>
    </row>
    <row r="106" spans="1:17">
      <c r="B106" s="9" t="str">
        <f t="shared" si="26"/>
        <v/>
      </c>
      <c r="C106" s="153">
        <f>IF(D93="","-",+C105+1)</f>
        <v>2017</v>
      </c>
      <c r="D106" s="154">
        <f>IF(F105+SUM(E$99:E105)=D$92,F105,D$92-SUM(E$99:E105))</f>
        <v>173962.33338735386</v>
      </c>
      <c r="E106" s="160">
        <f>IF(+J96&lt;F105,J96,D106)</f>
        <v>4901.9523809523807</v>
      </c>
      <c r="F106" s="159">
        <f t="shared" ref="F106:F131" si="27">+D106-E106</f>
        <v>169060.3810064015</v>
      </c>
      <c r="G106" s="159">
        <f t="shared" ref="G106:G130" si="28">+(F106+D106)/2</f>
        <v>171511.35719687768</v>
      </c>
      <c r="H106" s="163">
        <f t="shared" ref="H106:H130" si="29">+J$94*G106+E106</f>
        <v>25735.686949015238</v>
      </c>
      <c r="I106" s="253">
        <f t="shared" ref="I106:I130" si="30">+J$95*G106+E106</f>
        <v>25735.686949015238</v>
      </c>
      <c r="J106" s="158">
        <f t="shared" si="20"/>
        <v>0</v>
      </c>
      <c r="K106" s="158"/>
      <c r="L106" s="334"/>
      <c r="M106" s="158">
        <f t="shared" si="22"/>
        <v>0</v>
      </c>
      <c r="N106" s="334"/>
      <c r="O106" s="158">
        <f t="shared" si="24"/>
        <v>0</v>
      </c>
      <c r="P106" s="158">
        <f t="shared" si="25"/>
        <v>0</v>
      </c>
      <c r="Q106" s="1"/>
    </row>
    <row r="107" spans="1:17">
      <c r="B107" s="9" t="str">
        <f t="shared" si="26"/>
        <v/>
      </c>
      <c r="C107" s="153">
        <f>IF(D93="","-",+C106+1)</f>
        <v>2018</v>
      </c>
      <c r="D107" s="154">
        <f>IF(F106+SUM(E$99:E106)=D$92,F106,D$92-SUM(E$99:E106))</f>
        <v>169060.3810064015</v>
      </c>
      <c r="E107" s="160">
        <f>IF(+J96&lt;F106,J96,D107)</f>
        <v>4901.9523809523807</v>
      </c>
      <c r="F107" s="159">
        <f t="shared" si="27"/>
        <v>164158.42862544913</v>
      </c>
      <c r="G107" s="159">
        <f t="shared" si="28"/>
        <v>166609.40481592531</v>
      </c>
      <c r="H107" s="163">
        <f t="shared" si="29"/>
        <v>25140.23964780349</v>
      </c>
      <c r="I107" s="253">
        <f t="shared" si="30"/>
        <v>25140.23964780349</v>
      </c>
      <c r="J107" s="158">
        <f t="shared" si="20"/>
        <v>0</v>
      </c>
      <c r="K107" s="158"/>
      <c r="L107" s="334"/>
      <c r="M107" s="158">
        <f t="shared" si="22"/>
        <v>0</v>
      </c>
      <c r="N107" s="334"/>
      <c r="O107" s="158">
        <f t="shared" si="24"/>
        <v>0</v>
      </c>
      <c r="P107" s="158">
        <f t="shared" si="25"/>
        <v>0</v>
      </c>
      <c r="Q107" s="1"/>
    </row>
    <row r="108" spans="1:17">
      <c r="B108" s="9" t="str">
        <f t="shared" si="26"/>
        <v/>
      </c>
      <c r="C108" s="153">
        <f>IF(D93="","-",+C107+1)</f>
        <v>2019</v>
      </c>
      <c r="D108" s="154">
        <f>IF(F107+SUM(E$99:E107)=D$92,F107,D$92-SUM(E$99:E107))</f>
        <v>164158.42862544913</v>
      </c>
      <c r="E108" s="160">
        <f>IF(+J96&lt;F107,J96,D108)</f>
        <v>4901.9523809523807</v>
      </c>
      <c r="F108" s="159">
        <f t="shared" si="27"/>
        <v>159256.47624449676</v>
      </c>
      <c r="G108" s="159">
        <f t="shared" si="28"/>
        <v>161707.45243497295</v>
      </c>
      <c r="H108" s="163">
        <f t="shared" si="29"/>
        <v>24544.792346591737</v>
      </c>
      <c r="I108" s="253">
        <f t="shared" si="30"/>
        <v>24544.792346591737</v>
      </c>
      <c r="J108" s="158">
        <f t="shared" si="20"/>
        <v>0</v>
      </c>
      <c r="K108" s="158"/>
      <c r="L108" s="334"/>
      <c r="M108" s="158">
        <f t="shared" si="22"/>
        <v>0</v>
      </c>
      <c r="N108" s="334"/>
      <c r="O108" s="158">
        <f t="shared" si="24"/>
        <v>0</v>
      </c>
      <c r="P108" s="158">
        <f t="shared" si="25"/>
        <v>0</v>
      </c>
      <c r="Q108" s="1"/>
    </row>
    <row r="109" spans="1:17">
      <c r="B109" s="9" t="str">
        <f t="shared" si="26"/>
        <v/>
      </c>
      <c r="C109" s="153">
        <f>IF(D93="","-",+C108+1)</f>
        <v>2020</v>
      </c>
      <c r="D109" s="154">
        <f>IF(F108+SUM(E$99:E108)=D$92,F108,D$92-SUM(E$99:E108))</f>
        <v>159256.47624449676</v>
      </c>
      <c r="E109" s="160">
        <f>IF(+J96&lt;F108,J96,D109)</f>
        <v>4901.9523809523807</v>
      </c>
      <c r="F109" s="159">
        <f t="shared" si="27"/>
        <v>154354.5238635444</v>
      </c>
      <c r="G109" s="159">
        <f t="shared" si="28"/>
        <v>156805.50005402058</v>
      </c>
      <c r="H109" s="163">
        <f t="shared" si="29"/>
        <v>23949.345045379989</v>
      </c>
      <c r="I109" s="253">
        <f t="shared" si="30"/>
        <v>23949.345045379989</v>
      </c>
      <c r="J109" s="158">
        <f t="shared" si="20"/>
        <v>0</v>
      </c>
      <c r="K109" s="158"/>
      <c r="L109" s="334"/>
      <c r="M109" s="158">
        <f t="shared" si="22"/>
        <v>0</v>
      </c>
      <c r="N109" s="334"/>
      <c r="O109" s="158">
        <f t="shared" si="24"/>
        <v>0</v>
      </c>
      <c r="P109" s="158">
        <f t="shared" si="25"/>
        <v>0</v>
      </c>
      <c r="Q109" s="1"/>
    </row>
    <row r="110" spans="1:17">
      <c r="B110" s="9" t="str">
        <f t="shared" si="26"/>
        <v/>
      </c>
      <c r="C110" s="153">
        <f>IF(D93="","-",+C109+1)</f>
        <v>2021</v>
      </c>
      <c r="D110" s="154">
        <f>IF(F109+SUM(E$99:E109)=D$92,F109,D$92-SUM(E$99:E109))</f>
        <v>154354.5238635444</v>
      </c>
      <c r="E110" s="160">
        <f>IF(+J96&lt;F109,J96,D110)</f>
        <v>4901.9523809523807</v>
      </c>
      <c r="F110" s="159">
        <f t="shared" si="27"/>
        <v>149452.57148259203</v>
      </c>
      <c r="G110" s="159">
        <f t="shared" si="28"/>
        <v>151903.54767306821</v>
      </c>
      <c r="H110" s="163">
        <f t="shared" si="29"/>
        <v>23353.897744168236</v>
      </c>
      <c r="I110" s="253">
        <f t="shared" si="30"/>
        <v>23353.897744168236</v>
      </c>
      <c r="J110" s="158">
        <f t="shared" si="20"/>
        <v>0</v>
      </c>
      <c r="K110" s="158"/>
      <c r="L110" s="334"/>
      <c r="M110" s="158">
        <f t="shared" si="22"/>
        <v>0</v>
      </c>
      <c r="N110" s="334"/>
      <c r="O110" s="158">
        <f t="shared" si="24"/>
        <v>0</v>
      </c>
      <c r="P110" s="158">
        <f t="shared" si="25"/>
        <v>0</v>
      </c>
      <c r="Q110" s="1"/>
    </row>
    <row r="111" spans="1:17">
      <c r="B111" s="9" t="str">
        <f t="shared" si="26"/>
        <v/>
      </c>
      <c r="C111" s="153">
        <f>IF(D93="","-",+C110+1)</f>
        <v>2022</v>
      </c>
      <c r="D111" s="154">
        <f>IF(F110+SUM(E$99:E110)=D$92,F110,D$92-SUM(E$99:E110))</f>
        <v>149452.57148259203</v>
      </c>
      <c r="E111" s="160">
        <f>IF(+J96&lt;F110,J96,D111)</f>
        <v>4901.9523809523807</v>
      </c>
      <c r="F111" s="159">
        <f t="shared" si="27"/>
        <v>144550.61910163966</v>
      </c>
      <c r="G111" s="159">
        <f t="shared" si="28"/>
        <v>147001.59529211585</v>
      </c>
      <c r="H111" s="163">
        <f t="shared" si="29"/>
        <v>22758.450442956488</v>
      </c>
      <c r="I111" s="253">
        <f t="shared" si="30"/>
        <v>22758.450442956488</v>
      </c>
      <c r="J111" s="158">
        <f t="shared" si="20"/>
        <v>0</v>
      </c>
      <c r="K111" s="158"/>
      <c r="L111" s="334"/>
      <c r="M111" s="158">
        <f t="shared" si="22"/>
        <v>0</v>
      </c>
      <c r="N111" s="334"/>
      <c r="O111" s="158">
        <f t="shared" si="24"/>
        <v>0</v>
      </c>
      <c r="P111" s="158">
        <f t="shared" si="25"/>
        <v>0</v>
      </c>
      <c r="Q111" s="1"/>
    </row>
    <row r="112" spans="1:17">
      <c r="B112" s="9" t="str">
        <f t="shared" si="26"/>
        <v/>
      </c>
      <c r="C112" s="153">
        <f>IF(D93="","-",+C111+1)</f>
        <v>2023</v>
      </c>
      <c r="D112" s="154">
        <f>IF(F111+SUM(E$99:E111)=D$92,F111,D$92-SUM(E$99:E111))</f>
        <v>144550.61910163966</v>
      </c>
      <c r="E112" s="160">
        <f>IF(+J96&lt;F111,J96,D112)</f>
        <v>4901.9523809523807</v>
      </c>
      <c r="F112" s="159">
        <f t="shared" si="27"/>
        <v>139648.6667206873</v>
      </c>
      <c r="G112" s="159">
        <f t="shared" si="28"/>
        <v>142099.64291116348</v>
      </c>
      <c r="H112" s="163">
        <f t="shared" si="29"/>
        <v>22163.003141744735</v>
      </c>
      <c r="I112" s="253">
        <f t="shared" si="30"/>
        <v>22163.003141744735</v>
      </c>
      <c r="J112" s="158">
        <f t="shared" si="20"/>
        <v>0</v>
      </c>
      <c r="K112" s="158"/>
      <c r="L112" s="334"/>
      <c r="M112" s="158">
        <f t="shared" si="22"/>
        <v>0</v>
      </c>
      <c r="N112" s="334"/>
      <c r="O112" s="158">
        <f t="shared" si="24"/>
        <v>0</v>
      </c>
      <c r="P112" s="158">
        <f t="shared" si="25"/>
        <v>0</v>
      </c>
      <c r="Q112" s="1"/>
    </row>
    <row r="113" spans="2:17">
      <c r="B113" s="9" t="str">
        <f t="shared" si="26"/>
        <v/>
      </c>
      <c r="C113" s="153">
        <f>IF(D93="","-",+C112+1)</f>
        <v>2024</v>
      </c>
      <c r="D113" s="154">
        <f>IF(F112+SUM(E$99:E112)=D$92,F112,D$92-SUM(E$99:E112))</f>
        <v>139648.6667206873</v>
      </c>
      <c r="E113" s="160">
        <f>IF(+J96&lt;F112,J96,D113)</f>
        <v>4901.9523809523807</v>
      </c>
      <c r="F113" s="159">
        <f t="shared" si="27"/>
        <v>134746.71433973493</v>
      </c>
      <c r="G113" s="159">
        <f t="shared" si="28"/>
        <v>137197.69053021111</v>
      </c>
      <c r="H113" s="163">
        <f t="shared" si="29"/>
        <v>21567.555840532987</v>
      </c>
      <c r="I113" s="253">
        <f t="shared" si="30"/>
        <v>21567.555840532987</v>
      </c>
      <c r="J113" s="158">
        <f t="shared" si="20"/>
        <v>0</v>
      </c>
      <c r="K113" s="158"/>
      <c r="L113" s="334"/>
      <c r="M113" s="158">
        <f t="shared" si="22"/>
        <v>0</v>
      </c>
      <c r="N113" s="334"/>
      <c r="O113" s="158">
        <f t="shared" si="24"/>
        <v>0</v>
      </c>
      <c r="P113" s="158">
        <f t="shared" si="25"/>
        <v>0</v>
      </c>
      <c r="Q113" s="1"/>
    </row>
    <row r="114" spans="2:17">
      <c r="B114" s="9" t="str">
        <f t="shared" si="26"/>
        <v/>
      </c>
      <c r="C114" s="153">
        <f>IF(D93="","-",+C113+1)</f>
        <v>2025</v>
      </c>
      <c r="D114" s="154">
        <f>IF(F113+SUM(E$99:E113)=D$92,F113,D$92-SUM(E$99:E113))</f>
        <v>134746.71433973493</v>
      </c>
      <c r="E114" s="160">
        <f>IF(+J96&lt;F113,J96,D114)</f>
        <v>4901.9523809523807</v>
      </c>
      <c r="F114" s="159">
        <f t="shared" si="27"/>
        <v>129844.76195878255</v>
      </c>
      <c r="G114" s="159">
        <f t="shared" si="28"/>
        <v>132295.73814925874</v>
      </c>
      <c r="H114" s="163">
        <f t="shared" si="29"/>
        <v>20972.108539321234</v>
      </c>
      <c r="I114" s="253">
        <f t="shared" si="30"/>
        <v>20972.108539321234</v>
      </c>
      <c r="J114" s="158">
        <f t="shared" si="20"/>
        <v>0</v>
      </c>
      <c r="K114" s="158"/>
      <c r="L114" s="334"/>
      <c r="M114" s="158">
        <f t="shared" si="22"/>
        <v>0</v>
      </c>
      <c r="N114" s="334"/>
      <c r="O114" s="158">
        <f t="shared" si="24"/>
        <v>0</v>
      </c>
      <c r="P114" s="158">
        <f t="shared" si="25"/>
        <v>0</v>
      </c>
      <c r="Q114" s="1"/>
    </row>
    <row r="115" spans="2:17">
      <c r="B115" s="9" t="str">
        <f t="shared" si="26"/>
        <v/>
      </c>
      <c r="C115" s="153">
        <f>IF(D93="","-",+C114+1)</f>
        <v>2026</v>
      </c>
      <c r="D115" s="154">
        <f>IF(F114+SUM(E$99:E114)=D$92,F114,D$92-SUM(E$99:E114))</f>
        <v>129844.76195878255</v>
      </c>
      <c r="E115" s="160">
        <f>IF(+J96&lt;F114,J96,D115)</f>
        <v>4901.9523809523807</v>
      </c>
      <c r="F115" s="159">
        <f t="shared" si="27"/>
        <v>124942.80957783016</v>
      </c>
      <c r="G115" s="159">
        <f t="shared" si="28"/>
        <v>127393.78576830635</v>
      </c>
      <c r="H115" s="163">
        <f t="shared" si="29"/>
        <v>20376.661238109482</v>
      </c>
      <c r="I115" s="253">
        <f t="shared" si="30"/>
        <v>20376.661238109482</v>
      </c>
      <c r="J115" s="158">
        <f t="shared" si="20"/>
        <v>0</v>
      </c>
      <c r="K115" s="158"/>
      <c r="L115" s="334"/>
      <c r="M115" s="158">
        <f t="shared" si="22"/>
        <v>0</v>
      </c>
      <c r="N115" s="334"/>
      <c r="O115" s="158">
        <f t="shared" si="24"/>
        <v>0</v>
      </c>
      <c r="P115" s="158">
        <f t="shared" si="25"/>
        <v>0</v>
      </c>
      <c r="Q115" s="1"/>
    </row>
    <row r="116" spans="2:17">
      <c r="B116" s="9" t="str">
        <f t="shared" si="26"/>
        <v/>
      </c>
      <c r="C116" s="153">
        <f>IF(D93="","-",+C115+1)</f>
        <v>2027</v>
      </c>
      <c r="D116" s="154">
        <f>IF(F115+SUM(E$99:E115)=D$92,F115,D$92-SUM(E$99:E115))</f>
        <v>124942.80957783016</v>
      </c>
      <c r="E116" s="160">
        <f>IF(+J96&lt;F115,J96,D116)</f>
        <v>4901.9523809523807</v>
      </c>
      <c r="F116" s="159">
        <f t="shared" si="27"/>
        <v>120040.85719687778</v>
      </c>
      <c r="G116" s="159">
        <f t="shared" si="28"/>
        <v>122491.83338735398</v>
      </c>
      <c r="H116" s="163">
        <f t="shared" si="29"/>
        <v>19781.21393689773</v>
      </c>
      <c r="I116" s="253">
        <f t="shared" si="30"/>
        <v>19781.21393689773</v>
      </c>
      <c r="J116" s="158">
        <f t="shared" si="20"/>
        <v>0</v>
      </c>
      <c r="K116" s="158"/>
      <c r="L116" s="334"/>
      <c r="M116" s="158">
        <f t="shared" si="22"/>
        <v>0</v>
      </c>
      <c r="N116" s="334"/>
      <c r="O116" s="158">
        <f t="shared" si="24"/>
        <v>0</v>
      </c>
      <c r="P116" s="158">
        <f t="shared" si="25"/>
        <v>0</v>
      </c>
      <c r="Q116" s="1"/>
    </row>
    <row r="117" spans="2:17">
      <c r="B117" s="9" t="str">
        <f t="shared" si="26"/>
        <v/>
      </c>
      <c r="C117" s="153">
        <f>IF(D93="","-",+C116+1)</f>
        <v>2028</v>
      </c>
      <c r="D117" s="154">
        <f>IF(F116+SUM(E$99:E116)=D$92,F116,D$92-SUM(E$99:E116))</f>
        <v>120040.85719687778</v>
      </c>
      <c r="E117" s="160">
        <f>IF(+J96&lt;F116,J96,D117)</f>
        <v>4901.9523809523807</v>
      </c>
      <c r="F117" s="159">
        <f t="shared" si="27"/>
        <v>115138.9048159254</v>
      </c>
      <c r="G117" s="159">
        <f t="shared" si="28"/>
        <v>117589.88100640159</v>
      </c>
      <c r="H117" s="163">
        <f t="shared" si="29"/>
        <v>19185.766635685977</v>
      </c>
      <c r="I117" s="253">
        <f t="shared" si="30"/>
        <v>19185.766635685977</v>
      </c>
      <c r="J117" s="158">
        <f t="shared" si="20"/>
        <v>0</v>
      </c>
      <c r="K117" s="158"/>
      <c r="L117" s="334"/>
      <c r="M117" s="158">
        <f t="shared" si="22"/>
        <v>0</v>
      </c>
      <c r="N117" s="334"/>
      <c r="O117" s="158">
        <f t="shared" si="24"/>
        <v>0</v>
      </c>
      <c r="P117" s="158">
        <f t="shared" si="25"/>
        <v>0</v>
      </c>
      <c r="Q117" s="1"/>
    </row>
    <row r="118" spans="2:17">
      <c r="B118" s="9" t="str">
        <f t="shared" si="26"/>
        <v/>
      </c>
      <c r="C118" s="153">
        <f>IF(D93="","-",+C117+1)</f>
        <v>2029</v>
      </c>
      <c r="D118" s="154">
        <f>IF(F117+SUM(E$99:E117)=D$92,F117,D$92-SUM(E$99:E117))</f>
        <v>115138.9048159254</v>
      </c>
      <c r="E118" s="160">
        <f>IF(+J96&lt;F117,J96,D118)</f>
        <v>4901.9523809523807</v>
      </c>
      <c r="F118" s="159">
        <f t="shared" si="27"/>
        <v>110236.95243497302</v>
      </c>
      <c r="G118" s="159">
        <f t="shared" si="28"/>
        <v>112687.92862544922</v>
      </c>
      <c r="H118" s="163">
        <f t="shared" si="29"/>
        <v>18590.319334474225</v>
      </c>
      <c r="I118" s="253">
        <f t="shared" si="30"/>
        <v>18590.319334474225</v>
      </c>
      <c r="J118" s="158">
        <f t="shared" si="20"/>
        <v>0</v>
      </c>
      <c r="K118" s="158"/>
      <c r="L118" s="334"/>
      <c r="M118" s="158">
        <f t="shared" si="22"/>
        <v>0</v>
      </c>
      <c r="N118" s="334"/>
      <c r="O118" s="158">
        <f t="shared" si="24"/>
        <v>0</v>
      </c>
      <c r="P118" s="158">
        <f t="shared" si="25"/>
        <v>0</v>
      </c>
      <c r="Q118" s="1"/>
    </row>
    <row r="119" spans="2:17">
      <c r="B119" s="9" t="str">
        <f t="shared" si="26"/>
        <v/>
      </c>
      <c r="C119" s="153">
        <f>IF(D93="","-",+C118+1)</f>
        <v>2030</v>
      </c>
      <c r="D119" s="154">
        <f>IF(F118+SUM(E$99:E118)=D$92,F118,D$92-SUM(E$99:E118))</f>
        <v>110236.95243497302</v>
      </c>
      <c r="E119" s="160">
        <f>IF(+J96&lt;F118,J96,D119)</f>
        <v>4901.9523809523807</v>
      </c>
      <c r="F119" s="159">
        <f t="shared" si="27"/>
        <v>105335.00005402064</v>
      </c>
      <c r="G119" s="159">
        <f t="shared" si="28"/>
        <v>107785.97624449682</v>
      </c>
      <c r="H119" s="163">
        <f t="shared" si="29"/>
        <v>17994.872033262473</v>
      </c>
      <c r="I119" s="253">
        <f t="shared" si="30"/>
        <v>17994.872033262473</v>
      </c>
      <c r="J119" s="158">
        <f t="shared" si="20"/>
        <v>0</v>
      </c>
      <c r="K119" s="158"/>
      <c r="L119" s="334"/>
      <c r="M119" s="158">
        <f t="shared" si="22"/>
        <v>0</v>
      </c>
      <c r="N119" s="334"/>
      <c r="O119" s="158">
        <f t="shared" si="24"/>
        <v>0</v>
      </c>
      <c r="P119" s="158">
        <f t="shared" si="25"/>
        <v>0</v>
      </c>
      <c r="Q119" s="1"/>
    </row>
    <row r="120" spans="2:17">
      <c r="B120" s="9" t="str">
        <f t="shared" si="26"/>
        <v/>
      </c>
      <c r="C120" s="153">
        <f>IF(D93="","-",+C119+1)</f>
        <v>2031</v>
      </c>
      <c r="D120" s="154">
        <f>IF(F119+SUM(E$99:E119)=D$92,F119,D$92-SUM(E$99:E119))</f>
        <v>105335.00005402064</v>
      </c>
      <c r="E120" s="160">
        <f>IF(+J96&lt;F119,J96,D120)</f>
        <v>4901.9523809523807</v>
      </c>
      <c r="F120" s="159">
        <f t="shared" si="27"/>
        <v>100433.04767306826</v>
      </c>
      <c r="G120" s="159">
        <f t="shared" si="28"/>
        <v>102884.02386354445</v>
      </c>
      <c r="H120" s="163">
        <f t="shared" si="29"/>
        <v>17399.42473205072</v>
      </c>
      <c r="I120" s="253">
        <f t="shared" si="30"/>
        <v>17399.42473205072</v>
      </c>
      <c r="J120" s="158">
        <f t="shared" si="20"/>
        <v>0</v>
      </c>
      <c r="K120" s="158"/>
      <c r="L120" s="334"/>
      <c r="M120" s="158">
        <f t="shared" si="22"/>
        <v>0</v>
      </c>
      <c r="N120" s="334"/>
      <c r="O120" s="158">
        <f t="shared" si="24"/>
        <v>0</v>
      </c>
      <c r="P120" s="158">
        <f t="shared" si="25"/>
        <v>0</v>
      </c>
      <c r="Q120" s="1"/>
    </row>
    <row r="121" spans="2:17">
      <c r="B121" s="9" t="str">
        <f t="shared" si="26"/>
        <v/>
      </c>
      <c r="C121" s="153">
        <f>IF(D93="","-",+C120+1)</f>
        <v>2032</v>
      </c>
      <c r="D121" s="154">
        <f>IF(F120+SUM(E$99:E120)=D$92,F120,D$92-SUM(E$99:E120))</f>
        <v>100433.04767306826</v>
      </c>
      <c r="E121" s="160">
        <f>IF(+J96&lt;F120,J96,D121)</f>
        <v>4901.9523809523807</v>
      </c>
      <c r="F121" s="159">
        <f t="shared" si="27"/>
        <v>95531.095292115875</v>
      </c>
      <c r="G121" s="159">
        <f t="shared" si="28"/>
        <v>97982.071482592059</v>
      </c>
      <c r="H121" s="163">
        <f t="shared" si="29"/>
        <v>16803.977430838968</v>
      </c>
      <c r="I121" s="253">
        <f t="shared" si="30"/>
        <v>16803.977430838968</v>
      </c>
      <c r="J121" s="158">
        <f t="shared" si="20"/>
        <v>0</v>
      </c>
      <c r="K121" s="158"/>
      <c r="L121" s="334"/>
      <c r="M121" s="158">
        <f t="shared" si="22"/>
        <v>0</v>
      </c>
      <c r="N121" s="334"/>
      <c r="O121" s="158">
        <f t="shared" si="24"/>
        <v>0</v>
      </c>
      <c r="P121" s="158">
        <f t="shared" si="25"/>
        <v>0</v>
      </c>
      <c r="Q121" s="1"/>
    </row>
    <row r="122" spans="2:17">
      <c r="B122" s="9" t="str">
        <f t="shared" si="26"/>
        <v/>
      </c>
      <c r="C122" s="153">
        <f>IF(D93="","-",+C121+1)</f>
        <v>2033</v>
      </c>
      <c r="D122" s="154">
        <f>IF(F121+SUM(E$99:E121)=D$92,F121,D$92-SUM(E$99:E121))</f>
        <v>95531.095292115875</v>
      </c>
      <c r="E122" s="160">
        <f>IF(+J96&lt;F121,J96,D122)</f>
        <v>4901.9523809523807</v>
      </c>
      <c r="F122" s="159">
        <f t="shared" si="27"/>
        <v>90629.142911163493</v>
      </c>
      <c r="G122" s="159">
        <f t="shared" si="28"/>
        <v>93080.119101639692</v>
      </c>
      <c r="H122" s="163">
        <f t="shared" si="29"/>
        <v>16208.530129627216</v>
      </c>
      <c r="I122" s="253">
        <f t="shared" si="30"/>
        <v>16208.530129627216</v>
      </c>
      <c r="J122" s="158">
        <f t="shared" si="20"/>
        <v>0</v>
      </c>
      <c r="K122" s="158"/>
      <c r="L122" s="334"/>
      <c r="M122" s="158">
        <f t="shared" si="22"/>
        <v>0</v>
      </c>
      <c r="N122" s="334"/>
      <c r="O122" s="158">
        <f t="shared" si="24"/>
        <v>0</v>
      </c>
      <c r="P122" s="158">
        <f t="shared" si="25"/>
        <v>0</v>
      </c>
      <c r="Q122" s="1"/>
    </row>
    <row r="123" spans="2:17">
      <c r="B123" s="9" t="str">
        <f t="shared" si="26"/>
        <v/>
      </c>
      <c r="C123" s="153">
        <f>IF(D93="","-",+C122+1)</f>
        <v>2034</v>
      </c>
      <c r="D123" s="154">
        <f>IF(F122+SUM(E$99:E122)=D$92,F122,D$92-SUM(E$99:E122))</f>
        <v>90629.142911163493</v>
      </c>
      <c r="E123" s="160">
        <f>IF(+J96&lt;F122,J96,D123)</f>
        <v>4901.9523809523807</v>
      </c>
      <c r="F123" s="159">
        <f t="shared" si="27"/>
        <v>85727.190530211112</v>
      </c>
      <c r="G123" s="159">
        <f t="shared" si="28"/>
        <v>88178.166720687295</v>
      </c>
      <c r="H123" s="163">
        <f t="shared" si="29"/>
        <v>15613.082828415463</v>
      </c>
      <c r="I123" s="253">
        <f t="shared" si="30"/>
        <v>15613.082828415463</v>
      </c>
      <c r="J123" s="158">
        <f t="shared" si="20"/>
        <v>0</v>
      </c>
      <c r="K123" s="158"/>
      <c r="L123" s="334"/>
      <c r="M123" s="158">
        <f t="shared" si="22"/>
        <v>0</v>
      </c>
      <c r="N123" s="334"/>
      <c r="O123" s="158">
        <f t="shared" si="24"/>
        <v>0</v>
      </c>
      <c r="P123" s="158">
        <f t="shared" si="25"/>
        <v>0</v>
      </c>
      <c r="Q123" s="1"/>
    </row>
    <row r="124" spans="2:17">
      <c r="B124" s="9" t="str">
        <f t="shared" si="26"/>
        <v/>
      </c>
      <c r="C124" s="153">
        <f>IF(D93="","-",+C123+1)</f>
        <v>2035</v>
      </c>
      <c r="D124" s="154">
        <f>IF(F123+SUM(E$99:E123)=D$92,F123,D$92-SUM(E$99:E123))</f>
        <v>85727.190530211112</v>
      </c>
      <c r="E124" s="160">
        <f>IF(+J96&lt;F123,J96,D124)</f>
        <v>4901.9523809523807</v>
      </c>
      <c r="F124" s="159">
        <f t="shared" si="27"/>
        <v>80825.23814925873</v>
      </c>
      <c r="G124" s="159">
        <f t="shared" si="28"/>
        <v>83276.214339734928</v>
      </c>
      <c r="H124" s="163">
        <f t="shared" si="29"/>
        <v>15017.635527203711</v>
      </c>
      <c r="I124" s="253">
        <f t="shared" si="30"/>
        <v>15017.635527203711</v>
      </c>
      <c r="J124" s="158">
        <f t="shared" si="20"/>
        <v>0</v>
      </c>
      <c r="K124" s="158"/>
      <c r="L124" s="334"/>
      <c r="M124" s="158">
        <f t="shared" si="22"/>
        <v>0</v>
      </c>
      <c r="N124" s="334"/>
      <c r="O124" s="158">
        <f t="shared" si="24"/>
        <v>0</v>
      </c>
      <c r="P124" s="158">
        <f t="shared" si="25"/>
        <v>0</v>
      </c>
      <c r="Q124" s="1"/>
    </row>
    <row r="125" spans="2:17">
      <c r="B125" s="9" t="str">
        <f t="shared" si="26"/>
        <v/>
      </c>
      <c r="C125" s="153">
        <f>IF(D93="","-",+C124+1)</f>
        <v>2036</v>
      </c>
      <c r="D125" s="154">
        <f>IF(F124+SUM(E$99:E124)=D$92,F124,D$92-SUM(E$99:E124))</f>
        <v>80825.23814925873</v>
      </c>
      <c r="E125" s="160">
        <f>IF(+J96&lt;F124,J96,D125)</f>
        <v>4901.9523809523807</v>
      </c>
      <c r="F125" s="159">
        <f t="shared" si="27"/>
        <v>75923.285768306348</v>
      </c>
      <c r="G125" s="159">
        <f t="shared" si="28"/>
        <v>78374.261958782532</v>
      </c>
      <c r="H125" s="163">
        <f t="shared" si="29"/>
        <v>14422.188225991958</v>
      </c>
      <c r="I125" s="253">
        <f t="shared" si="30"/>
        <v>14422.188225991958</v>
      </c>
      <c r="J125" s="158">
        <f t="shared" si="20"/>
        <v>0</v>
      </c>
      <c r="K125" s="158"/>
      <c r="L125" s="334"/>
      <c r="M125" s="158">
        <f t="shared" si="22"/>
        <v>0</v>
      </c>
      <c r="N125" s="334"/>
      <c r="O125" s="158">
        <f t="shared" si="24"/>
        <v>0</v>
      </c>
      <c r="P125" s="158">
        <f t="shared" si="25"/>
        <v>0</v>
      </c>
      <c r="Q125" s="1"/>
    </row>
    <row r="126" spans="2:17">
      <c r="B126" s="9" t="str">
        <f t="shared" si="26"/>
        <v/>
      </c>
      <c r="C126" s="153">
        <f>IF(D93="","-",+C125+1)</f>
        <v>2037</v>
      </c>
      <c r="D126" s="154">
        <f>IF(F125+SUM(E$99:E125)=D$92,F125,D$92-SUM(E$99:E125))</f>
        <v>75923.285768306348</v>
      </c>
      <c r="E126" s="160">
        <f>IF(+J96&lt;F125,J96,D126)</f>
        <v>4901.9523809523807</v>
      </c>
      <c r="F126" s="159">
        <f t="shared" si="27"/>
        <v>71021.333387353967</v>
      </c>
      <c r="G126" s="159">
        <f t="shared" si="28"/>
        <v>73472.309577830165</v>
      </c>
      <c r="H126" s="163">
        <f t="shared" si="29"/>
        <v>13826.740924780206</v>
      </c>
      <c r="I126" s="253">
        <f t="shared" si="30"/>
        <v>13826.740924780206</v>
      </c>
      <c r="J126" s="158">
        <f t="shared" si="20"/>
        <v>0</v>
      </c>
      <c r="K126" s="158"/>
      <c r="L126" s="334"/>
      <c r="M126" s="158">
        <f t="shared" si="22"/>
        <v>0</v>
      </c>
      <c r="N126" s="334"/>
      <c r="O126" s="158">
        <f t="shared" si="24"/>
        <v>0</v>
      </c>
      <c r="P126" s="158">
        <f t="shared" si="25"/>
        <v>0</v>
      </c>
      <c r="Q126" s="1"/>
    </row>
    <row r="127" spans="2:17">
      <c r="B127" s="9" t="str">
        <f t="shared" si="26"/>
        <v/>
      </c>
      <c r="C127" s="153">
        <f>IF(D93="","-",+C126+1)</f>
        <v>2038</v>
      </c>
      <c r="D127" s="154">
        <f>IF(F126+SUM(E$99:E126)=D$92,F126,D$92-SUM(E$99:E126))</f>
        <v>71021.333387353967</v>
      </c>
      <c r="E127" s="160">
        <f>IF(+J96&lt;F126,J96,D127)</f>
        <v>4901.9523809523807</v>
      </c>
      <c r="F127" s="159">
        <f t="shared" si="27"/>
        <v>66119.381006401585</v>
      </c>
      <c r="G127" s="159">
        <f t="shared" si="28"/>
        <v>68570.357196877769</v>
      </c>
      <c r="H127" s="163">
        <f t="shared" si="29"/>
        <v>13231.293623568454</v>
      </c>
      <c r="I127" s="253">
        <f t="shared" si="30"/>
        <v>13231.293623568454</v>
      </c>
      <c r="J127" s="158">
        <f t="shared" si="20"/>
        <v>0</v>
      </c>
      <c r="K127" s="158"/>
      <c r="L127" s="334"/>
      <c r="M127" s="158">
        <f t="shared" si="22"/>
        <v>0</v>
      </c>
      <c r="N127" s="334"/>
      <c r="O127" s="158">
        <f t="shared" si="24"/>
        <v>0</v>
      </c>
      <c r="P127" s="158">
        <f t="shared" si="25"/>
        <v>0</v>
      </c>
      <c r="Q127" s="1"/>
    </row>
    <row r="128" spans="2:17">
      <c r="B128" s="9" t="str">
        <f t="shared" si="26"/>
        <v/>
      </c>
      <c r="C128" s="153">
        <f>IF(D93="","-",+C127+1)</f>
        <v>2039</v>
      </c>
      <c r="D128" s="154">
        <f>IF(F127+SUM(E$99:E127)=D$92,F127,D$92-SUM(E$99:E127))</f>
        <v>66119.381006401585</v>
      </c>
      <c r="E128" s="160">
        <f>IF(+J96&lt;F127,J96,D128)</f>
        <v>4901.9523809523807</v>
      </c>
      <c r="F128" s="159">
        <f t="shared" si="27"/>
        <v>61217.428625449204</v>
      </c>
      <c r="G128" s="159">
        <f t="shared" si="28"/>
        <v>63668.404815925394</v>
      </c>
      <c r="H128" s="163">
        <f t="shared" si="29"/>
        <v>12635.846322356701</v>
      </c>
      <c r="I128" s="253">
        <f t="shared" si="30"/>
        <v>12635.846322356701</v>
      </c>
      <c r="J128" s="158">
        <f t="shared" si="20"/>
        <v>0</v>
      </c>
      <c r="K128" s="158"/>
      <c r="L128" s="334"/>
      <c r="M128" s="158">
        <f t="shared" si="22"/>
        <v>0</v>
      </c>
      <c r="N128" s="334"/>
      <c r="O128" s="158">
        <f t="shared" si="24"/>
        <v>0</v>
      </c>
      <c r="P128" s="158">
        <f t="shared" si="25"/>
        <v>0</v>
      </c>
      <c r="Q128" s="1"/>
    </row>
    <row r="129" spans="2:17">
      <c r="B129" s="9" t="str">
        <f t="shared" si="26"/>
        <v/>
      </c>
      <c r="C129" s="153">
        <f>IF(D93="","-",+C128+1)</f>
        <v>2040</v>
      </c>
      <c r="D129" s="154">
        <f>IF(F128+SUM(E$99:E128)=D$92,F128,D$92-SUM(E$99:E128))</f>
        <v>61217.428625449204</v>
      </c>
      <c r="E129" s="160">
        <f>IF(+J96&lt;F128,J96,D129)</f>
        <v>4901.9523809523807</v>
      </c>
      <c r="F129" s="159">
        <f t="shared" si="27"/>
        <v>56315.476244496822</v>
      </c>
      <c r="G129" s="159">
        <f t="shared" si="28"/>
        <v>58766.452434973013</v>
      </c>
      <c r="H129" s="163">
        <f t="shared" si="29"/>
        <v>12040.399021144949</v>
      </c>
      <c r="I129" s="253">
        <f t="shared" si="30"/>
        <v>12040.399021144949</v>
      </c>
      <c r="J129" s="158">
        <f t="shared" si="20"/>
        <v>0</v>
      </c>
      <c r="K129" s="158"/>
      <c r="L129" s="334"/>
      <c r="M129" s="158">
        <f t="shared" si="22"/>
        <v>0</v>
      </c>
      <c r="N129" s="334"/>
      <c r="O129" s="158">
        <f t="shared" si="24"/>
        <v>0</v>
      </c>
      <c r="P129" s="158">
        <f t="shared" si="25"/>
        <v>0</v>
      </c>
      <c r="Q129" s="1"/>
    </row>
    <row r="130" spans="2:17">
      <c r="B130" s="9" t="str">
        <f t="shared" si="26"/>
        <v/>
      </c>
      <c r="C130" s="153">
        <f>IF(D93="","-",+C129+1)</f>
        <v>2041</v>
      </c>
      <c r="D130" s="154">
        <f>IF(F129+SUM(E$99:E129)=D$92,F129,D$92-SUM(E$99:E129))</f>
        <v>56315.476244496822</v>
      </c>
      <c r="E130" s="160">
        <f>IF(+J96&lt;F129,J96,D130)</f>
        <v>4901.9523809523807</v>
      </c>
      <c r="F130" s="159">
        <f t="shared" si="27"/>
        <v>51413.52386354444</v>
      </c>
      <c r="G130" s="159">
        <f t="shared" si="28"/>
        <v>53864.500054020631</v>
      </c>
      <c r="H130" s="163">
        <f t="shared" si="29"/>
        <v>11444.951719933197</v>
      </c>
      <c r="I130" s="253">
        <f t="shared" si="30"/>
        <v>11444.951719933197</v>
      </c>
      <c r="J130" s="158">
        <f t="shared" si="20"/>
        <v>0</v>
      </c>
      <c r="K130" s="158"/>
      <c r="L130" s="334"/>
      <c r="M130" s="158">
        <f t="shared" si="22"/>
        <v>0</v>
      </c>
      <c r="N130" s="334"/>
      <c r="O130" s="158">
        <f t="shared" si="24"/>
        <v>0</v>
      </c>
      <c r="P130" s="158">
        <f t="shared" si="25"/>
        <v>0</v>
      </c>
      <c r="Q130" s="1"/>
    </row>
    <row r="131" spans="2:17">
      <c r="B131" s="9" t="str">
        <f t="shared" si="26"/>
        <v/>
      </c>
      <c r="C131" s="153">
        <f>IF(D93="","-",+C130+1)</f>
        <v>2042</v>
      </c>
      <c r="D131" s="154">
        <f>IF(F130+SUM(E$99:E130)=D$92,F130,D$92-SUM(E$99:E130))</f>
        <v>51413.52386354444</v>
      </c>
      <c r="E131" s="160">
        <f>IF(+J96&lt;F130,J96,D131)</f>
        <v>4901.9523809523807</v>
      </c>
      <c r="F131" s="159">
        <f t="shared" si="27"/>
        <v>46511.571482592059</v>
      </c>
      <c r="G131" s="159">
        <f t="shared" ref="G131:G154" si="31">+(F131+D131)/2</f>
        <v>48962.547673068249</v>
      </c>
      <c r="H131" s="163">
        <f t="shared" ref="H131:H154" si="32">+J$94*G131+E131</f>
        <v>10849.504418721444</v>
      </c>
      <c r="I131" s="253">
        <f t="shared" ref="I131:I154" si="33">+J$95*G131+E131</f>
        <v>10849.504418721444</v>
      </c>
      <c r="J131" s="158">
        <f t="shared" ref="J131:J154" si="34">+I131-H131</f>
        <v>0</v>
      </c>
      <c r="K131" s="158"/>
      <c r="L131" s="334"/>
      <c r="M131" s="158">
        <f t="shared" ref="M131:M154" si="35">IF(L131&lt;&gt;0,+H131-L131,0)</f>
        <v>0</v>
      </c>
      <c r="N131" s="334"/>
      <c r="O131" s="158">
        <f t="shared" ref="O131:O154" si="36">IF(N131&lt;&gt;0,+I131-N131,0)</f>
        <v>0</v>
      </c>
      <c r="P131" s="158">
        <f t="shared" ref="P131:P154" si="37">+O131-M131</f>
        <v>0</v>
      </c>
      <c r="Q131" s="1"/>
    </row>
    <row r="132" spans="2:17">
      <c r="B132" s="9" t="str">
        <f t="shared" si="26"/>
        <v/>
      </c>
      <c r="C132" s="153">
        <f>IF(D93="","-",+C131+1)</f>
        <v>2043</v>
      </c>
      <c r="D132" s="154">
        <f>IF(F131+SUM(E$99:E131)=D$92,F131,D$92-SUM(E$99:E131))</f>
        <v>46511.571482592059</v>
      </c>
      <c r="E132" s="160">
        <f>IF(+J96&lt;F131,J96,D132)</f>
        <v>4901.9523809523807</v>
      </c>
      <c r="F132" s="159">
        <f t="shared" ref="F132:F154" si="38">+D132-E132</f>
        <v>41609.619101639677</v>
      </c>
      <c r="G132" s="159">
        <f t="shared" si="31"/>
        <v>44060.595292115868</v>
      </c>
      <c r="H132" s="163">
        <f t="shared" si="32"/>
        <v>10254.057117509692</v>
      </c>
      <c r="I132" s="253">
        <f t="shared" si="33"/>
        <v>10254.057117509692</v>
      </c>
      <c r="J132" s="158">
        <f t="shared" si="34"/>
        <v>0</v>
      </c>
      <c r="K132" s="158"/>
      <c r="L132" s="334"/>
      <c r="M132" s="158">
        <f t="shared" si="35"/>
        <v>0</v>
      </c>
      <c r="N132" s="334"/>
      <c r="O132" s="158">
        <f t="shared" si="36"/>
        <v>0</v>
      </c>
      <c r="P132" s="158">
        <f t="shared" si="37"/>
        <v>0</v>
      </c>
      <c r="Q132" s="1"/>
    </row>
    <row r="133" spans="2:17">
      <c r="B133" s="9" t="str">
        <f t="shared" si="26"/>
        <v/>
      </c>
      <c r="C133" s="153">
        <f>IF(D93="","-",+C132+1)</f>
        <v>2044</v>
      </c>
      <c r="D133" s="154">
        <f>IF(F132+SUM(E$99:E132)=D$92,F132,D$92-SUM(E$99:E132))</f>
        <v>41609.619101639677</v>
      </c>
      <c r="E133" s="160">
        <f>IF(+J96&lt;F132,J96,D133)</f>
        <v>4901.9523809523807</v>
      </c>
      <c r="F133" s="159">
        <f t="shared" si="38"/>
        <v>36707.666720687295</v>
      </c>
      <c r="G133" s="159">
        <f t="shared" si="31"/>
        <v>39158.642911163486</v>
      </c>
      <c r="H133" s="163">
        <f t="shared" si="32"/>
        <v>9658.6098162979397</v>
      </c>
      <c r="I133" s="253">
        <f t="shared" si="33"/>
        <v>9658.6098162979397</v>
      </c>
      <c r="J133" s="158">
        <f t="shared" si="34"/>
        <v>0</v>
      </c>
      <c r="K133" s="158"/>
      <c r="L133" s="334"/>
      <c r="M133" s="158">
        <f t="shared" si="35"/>
        <v>0</v>
      </c>
      <c r="N133" s="334"/>
      <c r="O133" s="158">
        <f t="shared" si="36"/>
        <v>0</v>
      </c>
      <c r="P133" s="158">
        <f t="shared" si="37"/>
        <v>0</v>
      </c>
      <c r="Q133" s="1"/>
    </row>
    <row r="134" spans="2:17">
      <c r="B134" s="9" t="str">
        <f t="shared" si="26"/>
        <v/>
      </c>
      <c r="C134" s="153">
        <f>IF(D93="","-",+C133+1)</f>
        <v>2045</v>
      </c>
      <c r="D134" s="154">
        <f>IF(F133+SUM(E$99:E133)=D$92,F133,D$92-SUM(E$99:E133))</f>
        <v>36707.666720687295</v>
      </c>
      <c r="E134" s="160">
        <f>IF(+J96&lt;F133,J96,D134)</f>
        <v>4901.9523809523807</v>
      </c>
      <c r="F134" s="159">
        <f t="shared" si="38"/>
        <v>31805.714339734914</v>
      </c>
      <c r="G134" s="159">
        <f t="shared" si="31"/>
        <v>34256.690530211104</v>
      </c>
      <c r="H134" s="163">
        <f t="shared" si="32"/>
        <v>9063.1625150861873</v>
      </c>
      <c r="I134" s="253">
        <f t="shared" si="33"/>
        <v>9063.1625150861873</v>
      </c>
      <c r="J134" s="158">
        <f t="shared" si="34"/>
        <v>0</v>
      </c>
      <c r="K134" s="158"/>
      <c r="L134" s="334"/>
      <c r="M134" s="158">
        <f t="shared" si="35"/>
        <v>0</v>
      </c>
      <c r="N134" s="334"/>
      <c r="O134" s="158">
        <f t="shared" si="36"/>
        <v>0</v>
      </c>
      <c r="P134" s="158">
        <f t="shared" si="37"/>
        <v>0</v>
      </c>
      <c r="Q134" s="1"/>
    </row>
    <row r="135" spans="2:17">
      <c r="B135" s="9" t="str">
        <f t="shared" si="26"/>
        <v/>
      </c>
      <c r="C135" s="153">
        <f>IF(D93="","-",+C134+1)</f>
        <v>2046</v>
      </c>
      <c r="D135" s="154">
        <f>IF(F134+SUM(E$99:E134)=D$92,F134,D$92-SUM(E$99:E134))</f>
        <v>31805.714339734914</v>
      </c>
      <c r="E135" s="160">
        <f>IF(+J96&lt;F134,J96,D135)</f>
        <v>4901.9523809523807</v>
      </c>
      <c r="F135" s="159">
        <f t="shared" si="38"/>
        <v>26903.761958782532</v>
      </c>
      <c r="G135" s="159">
        <f t="shared" si="31"/>
        <v>29354.738149258723</v>
      </c>
      <c r="H135" s="163">
        <f t="shared" si="32"/>
        <v>8467.715213874435</v>
      </c>
      <c r="I135" s="253">
        <f t="shared" si="33"/>
        <v>8467.715213874435</v>
      </c>
      <c r="J135" s="158">
        <f t="shared" si="34"/>
        <v>0</v>
      </c>
      <c r="K135" s="158"/>
      <c r="L135" s="334"/>
      <c r="M135" s="158">
        <f t="shared" si="35"/>
        <v>0</v>
      </c>
      <c r="N135" s="334"/>
      <c r="O135" s="158">
        <f t="shared" si="36"/>
        <v>0</v>
      </c>
      <c r="P135" s="158">
        <f t="shared" si="37"/>
        <v>0</v>
      </c>
      <c r="Q135" s="1"/>
    </row>
    <row r="136" spans="2:17">
      <c r="B136" s="9" t="str">
        <f t="shared" si="26"/>
        <v/>
      </c>
      <c r="C136" s="153">
        <f>IF(D93="","-",+C135+1)</f>
        <v>2047</v>
      </c>
      <c r="D136" s="154">
        <f>IF(F135+SUM(E$99:E135)=D$92,F135,D$92-SUM(E$99:E135))</f>
        <v>26903.761958782532</v>
      </c>
      <c r="E136" s="160">
        <f>IF(+J96&lt;F135,J96,D136)</f>
        <v>4901.9523809523807</v>
      </c>
      <c r="F136" s="159">
        <f t="shared" si="38"/>
        <v>22001.80957783015</v>
      </c>
      <c r="G136" s="159">
        <f t="shared" si="31"/>
        <v>24452.785768306341</v>
      </c>
      <c r="H136" s="163">
        <f t="shared" si="32"/>
        <v>7872.2679126626826</v>
      </c>
      <c r="I136" s="253">
        <f t="shared" si="33"/>
        <v>7872.2679126626826</v>
      </c>
      <c r="J136" s="158">
        <f t="shared" si="34"/>
        <v>0</v>
      </c>
      <c r="K136" s="158"/>
      <c r="L136" s="334"/>
      <c r="M136" s="158">
        <f t="shared" si="35"/>
        <v>0</v>
      </c>
      <c r="N136" s="334"/>
      <c r="O136" s="158">
        <f t="shared" si="36"/>
        <v>0</v>
      </c>
      <c r="P136" s="158">
        <f t="shared" si="37"/>
        <v>0</v>
      </c>
      <c r="Q136" s="1"/>
    </row>
    <row r="137" spans="2:17">
      <c r="B137" s="9" t="str">
        <f t="shared" si="26"/>
        <v/>
      </c>
      <c r="C137" s="153">
        <f>IF(D93="","-",+C136+1)</f>
        <v>2048</v>
      </c>
      <c r="D137" s="154">
        <f>IF(F136+SUM(E$99:E136)=D$92,F136,D$92-SUM(E$99:E136))</f>
        <v>22001.80957783015</v>
      </c>
      <c r="E137" s="160">
        <f>IF(+J96&lt;F136,J96,D137)</f>
        <v>4901.9523809523807</v>
      </c>
      <c r="F137" s="159">
        <f t="shared" si="38"/>
        <v>17099.857196877769</v>
      </c>
      <c r="G137" s="159">
        <f t="shared" si="31"/>
        <v>19550.83338735396</v>
      </c>
      <c r="H137" s="163">
        <f t="shared" si="32"/>
        <v>7276.8206114509303</v>
      </c>
      <c r="I137" s="253">
        <f t="shared" si="33"/>
        <v>7276.8206114509303</v>
      </c>
      <c r="J137" s="158">
        <f t="shared" si="34"/>
        <v>0</v>
      </c>
      <c r="K137" s="158"/>
      <c r="L137" s="334"/>
      <c r="M137" s="158">
        <f t="shared" si="35"/>
        <v>0</v>
      </c>
      <c r="N137" s="334"/>
      <c r="O137" s="158">
        <f t="shared" si="36"/>
        <v>0</v>
      </c>
      <c r="P137" s="158">
        <f t="shared" si="37"/>
        <v>0</v>
      </c>
      <c r="Q137" s="1"/>
    </row>
    <row r="138" spans="2:17">
      <c r="B138" s="9" t="str">
        <f t="shared" si="26"/>
        <v/>
      </c>
      <c r="C138" s="153">
        <f>IF(D93="","-",+C137+1)</f>
        <v>2049</v>
      </c>
      <c r="D138" s="154">
        <f>IF(F137+SUM(E$99:E137)=D$92,F137,D$92-SUM(E$99:E137))</f>
        <v>17099.857196877769</v>
      </c>
      <c r="E138" s="160">
        <f>IF(+J96&lt;F137,J96,D138)</f>
        <v>4901.9523809523807</v>
      </c>
      <c r="F138" s="159">
        <f t="shared" si="38"/>
        <v>12197.904815925387</v>
      </c>
      <c r="G138" s="159">
        <f t="shared" si="31"/>
        <v>14648.881006401578</v>
      </c>
      <c r="H138" s="163">
        <f t="shared" si="32"/>
        <v>6681.373310239178</v>
      </c>
      <c r="I138" s="253">
        <f t="shared" si="33"/>
        <v>6681.373310239178</v>
      </c>
      <c r="J138" s="158">
        <f t="shared" si="34"/>
        <v>0</v>
      </c>
      <c r="K138" s="158"/>
      <c r="L138" s="334"/>
      <c r="M138" s="158">
        <f t="shared" si="35"/>
        <v>0</v>
      </c>
      <c r="N138" s="334"/>
      <c r="O138" s="158">
        <f t="shared" si="36"/>
        <v>0</v>
      </c>
      <c r="P138" s="158">
        <f t="shared" si="37"/>
        <v>0</v>
      </c>
      <c r="Q138" s="1"/>
    </row>
    <row r="139" spans="2:17">
      <c r="B139" s="9" t="str">
        <f t="shared" si="26"/>
        <v/>
      </c>
      <c r="C139" s="153">
        <f>IF(D93="","-",+C138+1)</f>
        <v>2050</v>
      </c>
      <c r="D139" s="154">
        <f>IF(F138+SUM(E$99:E138)=D$92,F138,D$92-SUM(E$99:E138))</f>
        <v>12197.904815925387</v>
      </c>
      <c r="E139" s="160">
        <f>IF(+J96&lt;F138,J96,D139)</f>
        <v>4901.9523809523807</v>
      </c>
      <c r="F139" s="159">
        <f t="shared" si="38"/>
        <v>7295.9524349730063</v>
      </c>
      <c r="G139" s="159">
        <f t="shared" si="31"/>
        <v>9746.9286254491963</v>
      </c>
      <c r="H139" s="163">
        <f t="shared" si="32"/>
        <v>6085.9260090274256</v>
      </c>
      <c r="I139" s="253">
        <f t="shared" si="33"/>
        <v>6085.9260090274256</v>
      </c>
      <c r="J139" s="158">
        <f t="shared" si="34"/>
        <v>0</v>
      </c>
      <c r="K139" s="158"/>
      <c r="L139" s="334"/>
      <c r="M139" s="158">
        <f t="shared" si="35"/>
        <v>0</v>
      </c>
      <c r="N139" s="334"/>
      <c r="O139" s="158">
        <f t="shared" si="36"/>
        <v>0</v>
      </c>
      <c r="P139" s="158">
        <f t="shared" si="37"/>
        <v>0</v>
      </c>
      <c r="Q139" s="1"/>
    </row>
    <row r="140" spans="2:17">
      <c r="B140" s="9" t="str">
        <f t="shared" si="26"/>
        <v/>
      </c>
      <c r="C140" s="153">
        <f>IF(D93="","-",+C139+1)</f>
        <v>2051</v>
      </c>
      <c r="D140" s="154">
        <f>IF(F139+SUM(E$99:E139)=D$92,F139,D$92-SUM(E$99:E139))</f>
        <v>7295.9524349730063</v>
      </c>
      <c r="E140" s="160">
        <f>IF(+J96&lt;F139,J96,D140)</f>
        <v>4901.9523809523807</v>
      </c>
      <c r="F140" s="159">
        <f t="shared" si="38"/>
        <v>2394.0000540206256</v>
      </c>
      <c r="G140" s="159">
        <f t="shared" si="31"/>
        <v>4844.9762444968164</v>
      </c>
      <c r="H140" s="163">
        <f t="shared" si="32"/>
        <v>5490.4787078156742</v>
      </c>
      <c r="I140" s="253">
        <f t="shared" si="33"/>
        <v>5490.4787078156742</v>
      </c>
      <c r="J140" s="158">
        <f t="shared" si="34"/>
        <v>0</v>
      </c>
      <c r="K140" s="158"/>
      <c r="L140" s="334"/>
      <c r="M140" s="158">
        <f t="shared" si="35"/>
        <v>0</v>
      </c>
      <c r="N140" s="334"/>
      <c r="O140" s="158">
        <f t="shared" si="36"/>
        <v>0</v>
      </c>
      <c r="P140" s="158">
        <f t="shared" si="37"/>
        <v>0</v>
      </c>
      <c r="Q140" s="1"/>
    </row>
    <row r="141" spans="2:17">
      <c r="B141" s="9" t="str">
        <f t="shared" si="26"/>
        <v/>
      </c>
      <c r="C141" s="153">
        <f>IF(D93="","-",+C140+1)</f>
        <v>2052</v>
      </c>
      <c r="D141" s="154">
        <f>IF(F140+SUM(E$99:E140)=D$92,F140,D$92-SUM(E$99:E140))</f>
        <v>2394.0000540206256</v>
      </c>
      <c r="E141" s="160">
        <f>IF(+J96&lt;F140,J96,D141)</f>
        <v>2394.0000540206256</v>
      </c>
      <c r="F141" s="159">
        <f t="shared" si="38"/>
        <v>0</v>
      </c>
      <c r="G141" s="159">
        <f t="shared" si="31"/>
        <v>1197.0000270103128</v>
      </c>
      <c r="H141" s="163">
        <f t="shared" si="32"/>
        <v>2539.4013921493342</v>
      </c>
      <c r="I141" s="253">
        <f t="shared" si="33"/>
        <v>2539.4013921493342</v>
      </c>
      <c r="J141" s="158">
        <f t="shared" si="34"/>
        <v>0</v>
      </c>
      <c r="K141" s="158"/>
      <c r="L141" s="334"/>
      <c r="M141" s="158">
        <f t="shared" si="35"/>
        <v>0</v>
      </c>
      <c r="N141" s="334"/>
      <c r="O141" s="158">
        <f t="shared" si="36"/>
        <v>0</v>
      </c>
      <c r="P141" s="158">
        <f t="shared" si="37"/>
        <v>0</v>
      </c>
      <c r="Q141" s="1"/>
    </row>
    <row r="142" spans="2:17">
      <c r="B142" s="9" t="str">
        <f t="shared" si="26"/>
        <v/>
      </c>
      <c r="C142" s="153">
        <f>IF(D93="","-",+C141+1)</f>
        <v>2053</v>
      </c>
      <c r="D142" s="154">
        <f>IF(F141+SUM(E$99:E141)=D$92,F141,D$92-SUM(E$99:E141))</f>
        <v>0</v>
      </c>
      <c r="E142" s="160">
        <f>IF(+J96&lt;F141,J96,D142)</f>
        <v>0</v>
      </c>
      <c r="F142" s="159">
        <f t="shared" si="38"/>
        <v>0</v>
      </c>
      <c r="G142" s="159">
        <f t="shared" si="31"/>
        <v>0</v>
      </c>
      <c r="H142" s="163">
        <f t="shared" si="32"/>
        <v>0</v>
      </c>
      <c r="I142" s="253">
        <f t="shared" si="33"/>
        <v>0</v>
      </c>
      <c r="J142" s="158">
        <f t="shared" si="34"/>
        <v>0</v>
      </c>
      <c r="K142" s="158"/>
      <c r="L142" s="334"/>
      <c r="M142" s="158">
        <f t="shared" si="35"/>
        <v>0</v>
      </c>
      <c r="N142" s="334"/>
      <c r="O142" s="158">
        <f t="shared" si="36"/>
        <v>0</v>
      </c>
      <c r="P142" s="158">
        <f t="shared" si="37"/>
        <v>0</v>
      </c>
      <c r="Q142" s="1"/>
    </row>
    <row r="143" spans="2:17">
      <c r="B143" s="9" t="str">
        <f t="shared" si="26"/>
        <v/>
      </c>
      <c r="C143" s="153">
        <f>IF(D93="","-",+C142+1)</f>
        <v>2054</v>
      </c>
      <c r="D143" s="154">
        <f>IF(F142+SUM(E$99:E142)=D$92,F142,D$92-SUM(E$99:E142))</f>
        <v>0</v>
      </c>
      <c r="E143" s="160">
        <f>IF(+J96&lt;F142,J96,D143)</f>
        <v>0</v>
      </c>
      <c r="F143" s="159">
        <f t="shared" si="38"/>
        <v>0</v>
      </c>
      <c r="G143" s="159">
        <f t="shared" si="31"/>
        <v>0</v>
      </c>
      <c r="H143" s="163">
        <f t="shared" si="32"/>
        <v>0</v>
      </c>
      <c r="I143" s="253">
        <f t="shared" si="33"/>
        <v>0</v>
      </c>
      <c r="J143" s="158">
        <f t="shared" si="34"/>
        <v>0</v>
      </c>
      <c r="K143" s="158"/>
      <c r="L143" s="334"/>
      <c r="M143" s="158">
        <f t="shared" si="35"/>
        <v>0</v>
      </c>
      <c r="N143" s="334"/>
      <c r="O143" s="158">
        <f t="shared" si="36"/>
        <v>0</v>
      </c>
      <c r="P143" s="158">
        <f t="shared" si="37"/>
        <v>0</v>
      </c>
      <c r="Q143" s="1"/>
    </row>
    <row r="144" spans="2:17">
      <c r="B144" s="9" t="str">
        <f t="shared" si="26"/>
        <v/>
      </c>
      <c r="C144" s="153">
        <f>IF(D93="","-",+C143+1)</f>
        <v>2055</v>
      </c>
      <c r="D144" s="154">
        <f>IF(F143+SUM(E$99:E143)=D$92,F143,D$92-SUM(E$99:E143))</f>
        <v>0</v>
      </c>
      <c r="E144" s="160">
        <f>IF(+J96&lt;F143,J96,D144)</f>
        <v>0</v>
      </c>
      <c r="F144" s="159">
        <f t="shared" si="38"/>
        <v>0</v>
      </c>
      <c r="G144" s="159">
        <f t="shared" si="31"/>
        <v>0</v>
      </c>
      <c r="H144" s="163">
        <f t="shared" si="32"/>
        <v>0</v>
      </c>
      <c r="I144" s="253">
        <f t="shared" si="33"/>
        <v>0</v>
      </c>
      <c r="J144" s="158">
        <f t="shared" si="34"/>
        <v>0</v>
      </c>
      <c r="K144" s="158"/>
      <c r="L144" s="334"/>
      <c r="M144" s="158">
        <f t="shared" si="35"/>
        <v>0</v>
      </c>
      <c r="N144" s="334"/>
      <c r="O144" s="158">
        <f t="shared" si="36"/>
        <v>0</v>
      </c>
      <c r="P144" s="158">
        <f t="shared" si="37"/>
        <v>0</v>
      </c>
      <c r="Q144" s="1"/>
    </row>
    <row r="145" spans="2:17">
      <c r="B145" s="9" t="str">
        <f t="shared" si="26"/>
        <v/>
      </c>
      <c r="C145" s="153">
        <f>IF(D93="","-",+C144+1)</f>
        <v>2056</v>
      </c>
      <c r="D145" s="154">
        <f>IF(F144+SUM(E$99:E144)=D$92,F144,D$92-SUM(E$99:E144))</f>
        <v>0</v>
      </c>
      <c r="E145" s="160">
        <f>IF(+J96&lt;F144,J96,D145)</f>
        <v>0</v>
      </c>
      <c r="F145" s="159">
        <f t="shared" si="38"/>
        <v>0</v>
      </c>
      <c r="G145" s="159">
        <f t="shared" si="31"/>
        <v>0</v>
      </c>
      <c r="H145" s="163">
        <f t="shared" si="32"/>
        <v>0</v>
      </c>
      <c r="I145" s="253">
        <f t="shared" si="33"/>
        <v>0</v>
      </c>
      <c r="J145" s="158">
        <f t="shared" si="34"/>
        <v>0</v>
      </c>
      <c r="K145" s="158"/>
      <c r="L145" s="334"/>
      <c r="M145" s="158">
        <f t="shared" si="35"/>
        <v>0</v>
      </c>
      <c r="N145" s="334"/>
      <c r="O145" s="158">
        <f t="shared" si="36"/>
        <v>0</v>
      </c>
      <c r="P145" s="158">
        <f t="shared" si="37"/>
        <v>0</v>
      </c>
      <c r="Q145" s="1"/>
    </row>
    <row r="146" spans="2:17">
      <c r="B146" s="9" t="str">
        <f t="shared" si="26"/>
        <v/>
      </c>
      <c r="C146" s="153">
        <f>IF(D93="","-",+C145+1)</f>
        <v>2057</v>
      </c>
      <c r="D146" s="154">
        <f>IF(F145+SUM(E$99:E145)=D$92,F145,D$92-SUM(E$99:E145))</f>
        <v>0</v>
      </c>
      <c r="E146" s="160">
        <f>IF(+J96&lt;F145,J96,D146)</f>
        <v>0</v>
      </c>
      <c r="F146" s="159">
        <f t="shared" si="38"/>
        <v>0</v>
      </c>
      <c r="G146" s="159">
        <f t="shared" si="31"/>
        <v>0</v>
      </c>
      <c r="H146" s="163">
        <f t="shared" si="32"/>
        <v>0</v>
      </c>
      <c r="I146" s="253">
        <f t="shared" si="33"/>
        <v>0</v>
      </c>
      <c r="J146" s="158">
        <f t="shared" si="34"/>
        <v>0</v>
      </c>
      <c r="K146" s="158"/>
      <c r="L146" s="334"/>
      <c r="M146" s="158">
        <f t="shared" si="35"/>
        <v>0</v>
      </c>
      <c r="N146" s="334"/>
      <c r="O146" s="158">
        <f t="shared" si="36"/>
        <v>0</v>
      </c>
      <c r="P146" s="158">
        <f t="shared" si="37"/>
        <v>0</v>
      </c>
      <c r="Q146" s="1"/>
    </row>
    <row r="147" spans="2:17">
      <c r="B147" s="9" t="str">
        <f t="shared" si="26"/>
        <v/>
      </c>
      <c r="C147" s="153">
        <f>IF(D93="","-",+C146+1)</f>
        <v>2058</v>
      </c>
      <c r="D147" s="154">
        <f>IF(F146+SUM(E$99:E146)=D$92,F146,D$92-SUM(E$99:E146))</f>
        <v>0</v>
      </c>
      <c r="E147" s="160">
        <f>IF(+J96&lt;F146,J96,D147)</f>
        <v>0</v>
      </c>
      <c r="F147" s="159">
        <f t="shared" si="38"/>
        <v>0</v>
      </c>
      <c r="G147" s="159">
        <f t="shared" si="31"/>
        <v>0</v>
      </c>
      <c r="H147" s="163">
        <f t="shared" si="32"/>
        <v>0</v>
      </c>
      <c r="I147" s="253">
        <f t="shared" si="33"/>
        <v>0</v>
      </c>
      <c r="J147" s="158">
        <f t="shared" si="34"/>
        <v>0</v>
      </c>
      <c r="K147" s="158"/>
      <c r="L147" s="334"/>
      <c r="M147" s="158">
        <f t="shared" si="35"/>
        <v>0</v>
      </c>
      <c r="N147" s="334"/>
      <c r="O147" s="158">
        <f t="shared" si="36"/>
        <v>0</v>
      </c>
      <c r="P147" s="158">
        <f t="shared" si="37"/>
        <v>0</v>
      </c>
      <c r="Q147" s="1"/>
    </row>
    <row r="148" spans="2:17">
      <c r="B148" s="9" t="str">
        <f t="shared" si="26"/>
        <v/>
      </c>
      <c r="C148" s="153">
        <f>IF(D93="","-",+C147+1)</f>
        <v>2059</v>
      </c>
      <c r="D148" s="154">
        <f>IF(F147+SUM(E$99:E147)=D$92,F147,D$92-SUM(E$99:E147))</f>
        <v>0</v>
      </c>
      <c r="E148" s="160">
        <f>IF(+J96&lt;F147,J96,D148)</f>
        <v>0</v>
      </c>
      <c r="F148" s="159">
        <f t="shared" si="38"/>
        <v>0</v>
      </c>
      <c r="G148" s="159">
        <f t="shared" si="31"/>
        <v>0</v>
      </c>
      <c r="H148" s="163">
        <f t="shared" si="32"/>
        <v>0</v>
      </c>
      <c r="I148" s="253">
        <f t="shared" si="33"/>
        <v>0</v>
      </c>
      <c r="J148" s="158">
        <f t="shared" si="34"/>
        <v>0</v>
      </c>
      <c r="K148" s="158"/>
      <c r="L148" s="334"/>
      <c r="M148" s="158">
        <f t="shared" si="35"/>
        <v>0</v>
      </c>
      <c r="N148" s="334"/>
      <c r="O148" s="158">
        <f t="shared" si="36"/>
        <v>0</v>
      </c>
      <c r="P148" s="158">
        <f t="shared" si="37"/>
        <v>0</v>
      </c>
      <c r="Q148" s="1"/>
    </row>
    <row r="149" spans="2:17">
      <c r="B149" s="9" t="str">
        <f t="shared" si="26"/>
        <v/>
      </c>
      <c r="C149" s="153">
        <f>IF(D93="","-",+C148+1)</f>
        <v>2060</v>
      </c>
      <c r="D149" s="154">
        <f>IF(F148+SUM(E$99:E148)=D$92,F148,D$92-SUM(E$99:E148))</f>
        <v>0</v>
      </c>
      <c r="E149" s="160">
        <f>IF(+J96&lt;F148,J96,D149)</f>
        <v>0</v>
      </c>
      <c r="F149" s="159">
        <f t="shared" si="38"/>
        <v>0</v>
      </c>
      <c r="G149" s="159">
        <f t="shared" si="31"/>
        <v>0</v>
      </c>
      <c r="H149" s="163">
        <f t="shared" si="32"/>
        <v>0</v>
      </c>
      <c r="I149" s="253">
        <f t="shared" si="33"/>
        <v>0</v>
      </c>
      <c r="J149" s="158">
        <f t="shared" si="34"/>
        <v>0</v>
      </c>
      <c r="K149" s="158"/>
      <c r="L149" s="334"/>
      <c r="M149" s="158">
        <f t="shared" si="35"/>
        <v>0</v>
      </c>
      <c r="N149" s="334"/>
      <c r="O149" s="158">
        <f t="shared" si="36"/>
        <v>0</v>
      </c>
      <c r="P149" s="158">
        <f t="shared" si="37"/>
        <v>0</v>
      </c>
      <c r="Q149" s="1"/>
    </row>
    <row r="150" spans="2:17">
      <c r="B150" s="9" t="str">
        <f t="shared" si="26"/>
        <v/>
      </c>
      <c r="C150" s="153">
        <f>IF(D93="","-",+C149+1)</f>
        <v>2061</v>
      </c>
      <c r="D150" s="154">
        <f>IF(F149+SUM(E$99:E149)=D$92,F149,D$92-SUM(E$99:E149))</f>
        <v>0</v>
      </c>
      <c r="E150" s="160">
        <f>IF(+J96&lt;F149,J96,D150)</f>
        <v>0</v>
      </c>
      <c r="F150" s="159">
        <f t="shared" si="38"/>
        <v>0</v>
      </c>
      <c r="G150" s="159">
        <f t="shared" si="31"/>
        <v>0</v>
      </c>
      <c r="H150" s="163">
        <f t="shared" si="32"/>
        <v>0</v>
      </c>
      <c r="I150" s="253">
        <f t="shared" si="33"/>
        <v>0</v>
      </c>
      <c r="J150" s="158">
        <f t="shared" si="34"/>
        <v>0</v>
      </c>
      <c r="K150" s="158"/>
      <c r="L150" s="334"/>
      <c r="M150" s="158">
        <f t="shared" si="35"/>
        <v>0</v>
      </c>
      <c r="N150" s="334"/>
      <c r="O150" s="158">
        <f t="shared" si="36"/>
        <v>0</v>
      </c>
      <c r="P150" s="158">
        <f t="shared" si="37"/>
        <v>0</v>
      </c>
      <c r="Q150" s="1"/>
    </row>
    <row r="151" spans="2:17">
      <c r="B151" s="9" t="str">
        <f t="shared" si="26"/>
        <v/>
      </c>
      <c r="C151" s="153">
        <f>IF(D93="","-",+C150+1)</f>
        <v>2062</v>
      </c>
      <c r="D151" s="154">
        <f>IF(F150+SUM(E$99:E150)=D$92,F150,D$92-SUM(E$99:E150))</f>
        <v>0</v>
      </c>
      <c r="E151" s="160">
        <f>IF(+J96&lt;F150,J96,D151)</f>
        <v>0</v>
      </c>
      <c r="F151" s="159">
        <f t="shared" si="38"/>
        <v>0</v>
      </c>
      <c r="G151" s="159">
        <f t="shared" si="31"/>
        <v>0</v>
      </c>
      <c r="H151" s="163">
        <f t="shared" si="32"/>
        <v>0</v>
      </c>
      <c r="I151" s="253">
        <f t="shared" si="33"/>
        <v>0</v>
      </c>
      <c r="J151" s="158">
        <f t="shared" si="34"/>
        <v>0</v>
      </c>
      <c r="K151" s="158"/>
      <c r="L151" s="334"/>
      <c r="M151" s="158">
        <f t="shared" si="35"/>
        <v>0</v>
      </c>
      <c r="N151" s="334"/>
      <c r="O151" s="158">
        <f t="shared" si="36"/>
        <v>0</v>
      </c>
      <c r="P151" s="158">
        <f t="shared" si="37"/>
        <v>0</v>
      </c>
      <c r="Q151" s="1"/>
    </row>
    <row r="152" spans="2:17">
      <c r="B152" s="9" t="str">
        <f t="shared" si="26"/>
        <v/>
      </c>
      <c r="C152" s="153">
        <f>IF(D93="","-",+C151+1)</f>
        <v>2063</v>
      </c>
      <c r="D152" s="154">
        <f>IF(F151+SUM(E$99:E151)=D$92,F151,D$92-SUM(E$99:E151))</f>
        <v>0</v>
      </c>
      <c r="E152" s="160">
        <f>IF(+J96&lt;F151,J96,D152)</f>
        <v>0</v>
      </c>
      <c r="F152" s="159">
        <f t="shared" si="38"/>
        <v>0</v>
      </c>
      <c r="G152" s="159">
        <f t="shared" si="31"/>
        <v>0</v>
      </c>
      <c r="H152" s="163">
        <f t="shared" si="32"/>
        <v>0</v>
      </c>
      <c r="I152" s="253">
        <f t="shared" si="33"/>
        <v>0</v>
      </c>
      <c r="J152" s="158">
        <f t="shared" si="34"/>
        <v>0</v>
      </c>
      <c r="K152" s="158"/>
      <c r="L152" s="334"/>
      <c r="M152" s="158">
        <f t="shared" si="35"/>
        <v>0</v>
      </c>
      <c r="N152" s="334"/>
      <c r="O152" s="158">
        <f t="shared" si="36"/>
        <v>0</v>
      </c>
      <c r="P152" s="158">
        <f t="shared" si="37"/>
        <v>0</v>
      </c>
      <c r="Q152" s="1"/>
    </row>
    <row r="153" spans="2:17">
      <c r="B153" s="9" t="str">
        <f t="shared" si="26"/>
        <v/>
      </c>
      <c r="C153" s="153">
        <f>IF(D93="","-",+C152+1)</f>
        <v>2064</v>
      </c>
      <c r="D153" s="154">
        <f>IF(F152+SUM(E$99:E152)=D$92,F152,D$92-SUM(E$99:E152))</f>
        <v>0</v>
      </c>
      <c r="E153" s="160">
        <f>IF(+J96&lt;F152,J96,D153)</f>
        <v>0</v>
      </c>
      <c r="F153" s="159">
        <f t="shared" si="38"/>
        <v>0</v>
      </c>
      <c r="G153" s="159">
        <f t="shared" si="31"/>
        <v>0</v>
      </c>
      <c r="H153" s="163">
        <f t="shared" si="32"/>
        <v>0</v>
      </c>
      <c r="I153" s="253">
        <f t="shared" si="33"/>
        <v>0</v>
      </c>
      <c r="J153" s="158">
        <f t="shared" si="34"/>
        <v>0</v>
      </c>
      <c r="K153" s="158"/>
      <c r="L153" s="334"/>
      <c r="M153" s="158">
        <f t="shared" si="35"/>
        <v>0</v>
      </c>
      <c r="N153" s="334"/>
      <c r="O153" s="158">
        <f t="shared" si="36"/>
        <v>0</v>
      </c>
      <c r="P153" s="158">
        <f t="shared" si="37"/>
        <v>0</v>
      </c>
      <c r="Q153" s="1"/>
    </row>
    <row r="154" spans="2:17" ht="13.5" thickBot="1">
      <c r="B154" s="9" t="str">
        <f t="shared" si="26"/>
        <v/>
      </c>
      <c r="C154" s="164">
        <f>IF(D93="","-",+C153+1)</f>
        <v>2065</v>
      </c>
      <c r="D154" s="215">
        <f>IF(F153+SUM(E$99:E153)=D$92,F153,D$92-SUM(E$99:E153))</f>
        <v>0</v>
      </c>
      <c r="E154" s="166">
        <f>IF(+J96&lt;F153,J96,D154)</f>
        <v>0</v>
      </c>
      <c r="F154" s="165">
        <f t="shared" si="38"/>
        <v>0</v>
      </c>
      <c r="G154" s="165">
        <f t="shared" si="31"/>
        <v>0</v>
      </c>
      <c r="H154" s="167">
        <f t="shared" si="32"/>
        <v>0</v>
      </c>
      <c r="I154" s="254">
        <f t="shared" si="33"/>
        <v>0</v>
      </c>
      <c r="J154" s="169">
        <f t="shared" si="34"/>
        <v>0</v>
      </c>
      <c r="K154" s="158"/>
      <c r="L154" s="335"/>
      <c r="M154" s="169">
        <f t="shared" si="35"/>
        <v>0</v>
      </c>
      <c r="N154" s="335"/>
      <c r="O154" s="169">
        <f t="shared" si="36"/>
        <v>0</v>
      </c>
      <c r="P154" s="169">
        <f t="shared" si="37"/>
        <v>0</v>
      </c>
      <c r="Q154" s="1"/>
    </row>
    <row r="155" spans="2:17">
      <c r="C155" s="154" t="s">
        <v>73</v>
      </c>
      <c r="D155" s="111"/>
      <c r="E155" s="111">
        <f>SUM(E99:E154)</f>
        <v>205881.99999999997</v>
      </c>
      <c r="F155" s="111"/>
      <c r="G155" s="111"/>
      <c r="H155" s="111">
        <f>SUM(H99:H154)</f>
        <v>754875.77434644545</v>
      </c>
      <c r="I155" s="111">
        <f>SUM(I99:I154)</f>
        <v>754875.77434644545</v>
      </c>
      <c r="J155" s="111">
        <f>SUM(J99:J154)</f>
        <v>0</v>
      </c>
      <c r="K155" s="111"/>
      <c r="L155" s="111"/>
      <c r="M155" s="111"/>
      <c r="N155" s="111"/>
      <c r="O155" s="111"/>
      <c r="P155" s="1"/>
      <c r="Q155" s="1"/>
    </row>
    <row r="156" spans="2:17">
      <c r="D156" s="2"/>
      <c r="E156" s="1"/>
      <c r="F156" s="1"/>
      <c r="G156" s="1"/>
      <c r="H156" s="1"/>
      <c r="I156" s="3"/>
      <c r="J156" s="3"/>
      <c r="K156" s="111"/>
      <c r="L156" s="3"/>
      <c r="M156" s="3"/>
      <c r="N156" s="3"/>
      <c r="O156" s="3"/>
      <c r="P156" s="1"/>
      <c r="Q156" s="1"/>
    </row>
    <row r="157" spans="2:17">
      <c r="C157" s="216" t="s">
        <v>87</v>
      </c>
      <c r="D157" s="2"/>
      <c r="E157" s="1"/>
      <c r="F157" s="1"/>
      <c r="G157" s="1"/>
      <c r="H157" s="1"/>
      <c r="I157" s="3"/>
      <c r="J157" s="3"/>
      <c r="K157" s="111"/>
      <c r="L157" s="3"/>
      <c r="M157" s="3"/>
      <c r="N157" s="3"/>
      <c r="O157" s="3"/>
      <c r="P157" s="1"/>
      <c r="Q157" s="1"/>
    </row>
    <row r="158" spans="2:17">
      <c r="D158" s="2"/>
      <c r="E158" s="1"/>
      <c r="F158" s="1"/>
      <c r="G158" s="1"/>
      <c r="H158" s="1"/>
      <c r="I158" s="3"/>
      <c r="J158" s="3"/>
      <c r="K158" s="111"/>
      <c r="L158" s="3"/>
      <c r="M158" s="3"/>
      <c r="N158" s="3"/>
      <c r="O158" s="3"/>
      <c r="P158" s="1"/>
      <c r="Q158" s="1"/>
    </row>
    <row r="159" spans="2:17">
      <c r="C159" s="170" t="s">
        <v>92</v>
      </c>
      <c r="D159" s="154"/>
      <c r="E159" s="154"/>
      <c r="F159" s="154"/>
      <c r="G159" s="154"/>
      <c r="H159" s="111"/>
      <c r="I159" s="111"/>
      <c r="J159" s="171"/>
      <c r="K159" s="171"/>
      <c r="L159" s="171"/>
      <c r="M159" s="171"/>
      <c r="N159" s="171"/>
      <c r="O159" s="171"/>
      <c r="P159" s="1"/>
      <c r="Q159" s="1"/>
    </row>
    <row r="160" spans="2:17">
      <c r="C160" s="217" t="s">
        <v>74</v>
      </c>
      <c r="D160" s="154"/>
      <c r="E160" s="154"/>
      <c r="F160" s="154"/>
      <c r="G160" s="154"/>
      <c r="H160" s="111"/>
      <c r="I160" s="111"/>
      <c r="J160" s="171"/>
      <c r="K160" s="171"/>
      <c r="L160" s="171"/>
      <c r="M160" s="171"/>
      <c r="N160" s="171"/>
      <c r="O160" s="171"/>
      <c r="P160" s="1"/>
      <c r="Q160" s="1"/>
    </row>
    <row r="161" spans="3:17">
      <c r="C161" s="217" t="s">
        <v>75</v>
      </c>
      <c r="D161" s="154"/>
      <c r="E161" s="154"/>
      <c r="F161" s="154"/>
      <c r="G161" s="154"/>
      <c r="H161" s="111"/>
      <c r="I161" s="111"/>
      <c r="J161" s="171"/>
      <c r="K161" s="171"/>
      <c r="L161" s="171"/>
      <c r="M161" s="171"/>
      <c r="N161" s="171"/>
      <c r="O161" s="171"/>
      <c r="P161" s="1"/>
      <c r="Q161" s="1"/>
    </row>
    <row r="162" spans="3:17" ht="18">
      <c r="C162" s="217"/>
      <c r="D162" s="154"/>
      <c r="E162" s="154"/>
      <c r="F162" s="154"/>
      <c r="G162" s="154"/>
      <c r="H162" s="111"/>
      <c r="I162" s="111"/>
      <c r="J162" s="171"/>
      <c r="K162" s="171"/>
      <c r="L162" s="171"/>
      <c r="M162" s="171"/>
      <c r="N162" s="171"/>
      <c r="P162" s="237" t="s">
        <v>126</v>
      </c>
      <c r="Q162" s="1"/>
    </row>
  </sheetData>
  <phoneticPr fontId="0" type="noConversion"/>
  <conditionalFormatting sqref="C17:C72">
    <cfRule type="cellIs" dxfId="121" priority="1" stopIfTrue="1" operator="equal">
      <formula>$I$10</formula>
    </cfRule>
  </conditionalFormatting>
  <conditionalFormatting sqref="C99:C154">
    <cfRule type="cellIs" dxfId="120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4"/>
  <dimension ref="A1:Q162"/>
  <sheetViews>
    <sheetView view="pageBreakPreview" zoomScale="75" zoomScaleNormal="100" zoomScaleSheetLayoutView="75" workbookViewId="0">
      <selection activeCell="C19" sqref="C19"/>
    </sheetView>
  </sheetViews>
  <sheetFormatPr defaultRowHeight="12.75" customHeight="1"/>
  <cols>
    <col min="1" max="1" width="4.7109375" customWidth="1"/>
    <col min="2" max="2" width="6.7109375" customWidth="1"/>
    <col min="3" max="3" width="23.28515625" customWidth="1"/>
    <col min="4" max="8" width="17.7109375" customWidth="1"/>
    <col min="9" max="9" width="20.42578125" customWidth="1"/>
    <col min="10" max="10" width="16.42578125" customWidth="1"/>
    <col min="11" max="11" width="17.7109375" customWidth="1"/>
    <col min="12" max="12" width="16.140625" customWidth="1"/>
    <col min="13" max="13" width="17.7109375" customWidth="1"/>
    <col min="14" max="14" width="16.140625" customWidth="1"/>
    <col min="15" max="15" width="16.85546875" customWidth="1"/>
    <col min="16" max="16" width="24.42578125" customWidth="1"/>
    <col min="17" max="17" width="4.7109375" customWidth="1"/>
    <col min="23" max="23" width="9.140625" customWidth="1"/>
  </cols>
  <sheetData>
    <row r="1" spans="1:17" ht="20.25">
      <c r="A1" s="243" t="s">
        <v>128</v>
      </c>
      <c r="B1" s="1"/>
      <c r="C1" s="21"/>
      <c r="D1" s="2"/>
      <c r="E1" s="1"/>
      <c r="F1" s="99"/>
      <c r="G1" s="1"/>
      <c r="H1" s="3"/>
      <c r="J1" s="7"/>
      <c r="K1" s="109"/>
      <c r="L1" s="109"/>
      <c r="M1" s="109"/>
      <c r="P1" s="249" t="str">
        <f ca="1">"SWEPCO Project "&amp;RIGHT(MID(CELL("filename",$A$1),FIND("]",CELL("filename",$A$1))+1,256),2)&amp;" of "&amp;COUNT('S.001:S.xyz - blank'!$P$3)-1</f>
        <v>SWEPCO Project 23 of 73</v>
      </c>
      <c r="Q1" s="108"/>
    </row>
    <row r="2" spans="1:17" ht="18">
      <c r="B2" s="1"/>
      <c r="C2" s="1"/>
      <c r="D2" s="2"/>
      <c r="E2" s="1"/>
      <c r="F2" s="1"/>
      <c r="G2" s="1"/>
      <c r="H2" s="3"/>
      <c r="I2" s="1"/>
      <c r="J2" s="4"/>
      <c r="K2" s="1"/>
      <c r="L2" s="1"/>
      <c r="M2" s="1"/>
      <c r="N2" s="1"/>
      <c r="P2" s="237" t="s">
        <v>124</v>
      </c>
    </row>
    <row r="3" spans="1:17" ht="18.75">
      <c r="B3" s="5" t="s">
        <v>40</v>
      </c>
      <c r="C3" s="68" t="s">
        <v>41</v>
      </c>
      <c r="D3" s="2"/>
      <c r="E3" s="1"/>
      <c r="F3" s="1"/>
      <c r="G3" s="1"/>
      <c r="H3" s="3"/>
      <c r="I3" s="3"/>
      <c r="J3" s="111"/>
      <c r="K3" s="3"/>
      <c r="L3" s="3"/>
      <c r="M3" s="3"/>
      <c r="N3" s="3"/>
      <c r="O3" s="1" t="str">
        <f>RIGHT(N3,3)</f>
        <v/>
      </c>
      <c r="P3" s="239">
        <v>1</v>
      </c>
    </row>
    <row r="4" spans="1:17" ht="15.75" thickBot="1">
      <c r="C4" s="67"/>
      <c r="D4" s="2"/>
      <c r="E4" s="1"/>
      <c r="F4" s="1"/>
      <c r="G4" s="1"/>
      <c r="H4" s="3"/>
      <c r="I4" s="3"/>
      <c r="J4" s="111"/>
      <c r="K4" s="3"/>
      <c r="L4" s="3"/>
      <c r="M4" s="3"/>
      <c r="N4" s="3"/>
      <c r="O4" s="1"/>
      <c r="P4" s="1"/>
    </row>
    <row r="5" spans="1:17" ht="15">
      <c r="C5" s="112" t="s">
        <v>42</v>
      </c>
      <c r="D5" s="2"/>
      <c r="E5" s="1"/>
      <c r="F5" s="1"/>
      <c r="G5" s="113"/>
      <c r="H5" s="1" t="s">
        <v>43</v>
      </c>
      <c r="I5" s="1"/>
      <c r="J5" s="4"/>
      <c r="K5" s="268" t="s">
        <v>152</v>
      </c>
      <c r="L5" s="114"/>
      <c r="M5" s="115"/>
      <c r="N5" s="116">
        <f>VLOOKUP(I10,C17:I72,5)</f>
        <v>485788.09488543868</v>
      </c>
      <c r="P5" s="1"/>
    </row>
    <row r="6" spans="1:17" ht="15.75">
      <c r="C6" s="8"/>
      <c r="D6" s="2"/>
      <c r="E6" s="1"/>
      <c r="F6" s="1"/>
      <c r="G6" s="1"/>
      <c r="H6" s="117"/>
      <c r="I6" s="117"/>
      <c r="J6" s="118"/>
      <c r="K6" s="269" t="s">
        <v>153</v>
      </c>
      <c r="L6" s="119"/>
      <c r="M6" s="4"/>
      <c r="N6" s="120">
        <f>VLOOKUP(I10,C17:I72,6)</f>
        <v>485788.09488543868</v>
      </c>
      <c r="O6" s="1"/>
      <c r="P6" s="1"/>
    </row>
    <row r="7" spans="1:17" ht="13.5" thickBot="1">
      <c r="C7" s="121" t="s">
        <v>44</v>
      </c>
      <c r="D7" s="274" t="s">
        <v>239</v>
      </c>
      <c r="E7" s="1"/>
      <c r="F7" s="1"/>
      <c r="G7" s="170"/>
      <c r="H7" s="3"/>
      <c r="I7" s="3"/>
      <c r="J7" s="111"/>
      <c r="K7" s="122" t="s">
        <v>45</v>
      </c>
      <c r="L7" s="123"/>
      <c r="M7" s="123"/>
      <c r="N7" s="124">
        <f>+N6-N5</f>
        <v>0</v>
      </c>
      <c r="O7" s="1"/>
      <c r="P7" s="1"/>
    </row>
    <row r="8" spans="1:17" ht="13.5" thickBot="1">
      <c r="C8" s="125"/>
      <c r="D8" s="247" t="str">
        <f>IF(D10&lt;100000,"DOES NOT MEET SPP $100,000 MINIMUM INVESTMENT FOR REGIONAL BPU SHARING.","")</f>
        <v/>
      </c>
      <c r="E8" s="126"/>
      <c r="F8" s="126"/>
      <c r="G8" s="126"/>
      <c r="H8" s="126"/>
      <c r="I8" s="126"/>
      <c r="J8" s="101"/>
      <c r="K8" s="126"/>
      <c r="L8" s="126"/>
      <c r="M8" s="126"/>
      <c r="N8" s="126"/>
      <c r="O8" s="101"/>
      <c r="P8" s="21"/>
    </row>
    <row r="9" spans="1:17" ht="13.5" thickBot="1">
      <c r="A9" s="103"/>
      <c r="C9" s="127" t="s">
        <v>46</v>
      </c>
      <c r="D9" s="225" t="s">
        <v>240</v>
      </c>
      <c r="E9" s="401" t="s">
        <v>414</v>
      </c>
      <c r="F9" s="128"/>
      <c r="G9" s="128"/>
      <c r="H9" s="128"/>
      <c r="I9" s="129"/>
      <c r="J9" s="130"/>
      <c r="O9" s="131"/>
      <c r="P9" s="4"/>
    </row>
    <row r="10" spans="1:17">
      <c r="C10" s="132" t="s">
        <v>47</v>
      </c>
      <c r="D10" s="133">
        <v>4795139</v>
      </c>
      <c r="E10" s="61" t="s">
        <v>459</v>
      </c>
      <c r="F10" s="131"/>
      <c r="G10" s="134"/>
      <c r="H10" s="134"/>
      <c r="I10" s="135">
        <f>+SWE.WS.F.BPU.ATRR.Projected!K17</f>
        <v>2019</v>
      </c>
      <c r="J10" s="130"/>
      <c r="K10" s="111" t="s">
        <v>48</v>
      </c>
      <c r="O10" s="4"/>
      <c r="P10" s="4"/>
    </row>
    <row r="11" spans="1:17">
      <c r="C11" s="136" t="s">
        <v>49</v>
      </c>
      <c r="D11" s="137">
        <v>2010</v>
      </c>
      <c r="E11" s="136" t="s">
        <v>50</v>
      </c>
      <c r="F11" s="134"/>
      <c r="G11" s="7"/>
      <c r="H11" s="7"/>
      <c r="I11" s="138">
        <v>0</v>
      </c>
      <c r="J11" s="139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4"/>
      <c r="P11" s="4"/>
    </row>
    <row r="12" spans="1:17">
      <c r="C12" s="136" t="s">
        <v>51</v>
      </c>
      <c r="D12" s="133">
        <v>6</v>
      </c>
      <c r="E12" s="136" t="s">
        <v>52</v>
      </c>
      <c r="F12" s="134"/>
      <c r="G12" s="7"/>
      <c r="H12" s="7"/>
      <c r="I12" s="140">
        <f>SWE.WS.F.BPU.ATRR.Projected!$F$76</f>
        <v>9.9555672459071778E-2</v>
      </c>
      <c r="J12" s="141"/>
      <c r="K12" t="s">
        <v>53</v>
      </c>
      <c r="O12" s="4"/>
      <c r="P12" s="4"/>
    </row>
    <row r="13" spans="1:17">
      <c r="C13" s="136" t="s">
        <v>54</v>
      </c>
      <c r="D13" s="138">
        <f>+SWE.WS.F.BPU.ATRR.Projected!F$87</f>
        <v>43</v>
      </c>
      <c r="E13" s="136" t="s">
        <v>55</v>
      </c>
      <c r="F13" s="134"/>
      <c r="G13" s="7"/>
      <c r="H13" s="7"/>
      <c r="I13" s="140">
        <f>IF(G5="",I12,SWE.WS.F.BPU.ATRR.Projected!$F$75)</f>
        <v>9.9555672459071778E-2</v>
      </c>
      <c r="J13" s="141"/>
      <c r="K13" s="111" t="s">
        <v>56</v>
      </c>
      <c r="L13" s="58"/>
      <c r="M13" s="58"/>
      <c r="N13" s="58"/>
      <c r="O13" s="4"/>
      <c r="P13" s="4"/>
    </row>
    <row r="14" spans="1:17" ht="13.5" thickBot="1">
      <c r="C14" s="136" t="s">
        <v>57</v>
      </c>
      <c r="D14" s="137" t="s">
        <v>58</v>
      </c>
      <c r="E14" s="4" t="s">
        <v>59</v>
      </c>
      <c r="F14" s="134"/>
      <c r="G14" s="7"/>
      <c r="H14" s="7"/>
      <c r="I14" s="142">
        <f>IF(D10=0,0,D10/D13)</f>
        <v>111514.86046511628</v>
      </c>
      <c r="J14" s="111"/>
      <c r="K14" s="111"/>
      <c r="L14" s="111"/>
      <c r="M14" s="111"/>
      <c r="N14" s="111"/>
      <c r="O14" s="4"/>
      <c r="P14" s="4"/>
    </row>
    <row r="15" spans="1:17" ht="38.25">
      <c r="C15" s="143" t="s">
        <v>47</v>
      </c>
      <c r="D15" s="144" t="s">
        <v>60</v>
      </c>
      <c r="E15" s="144" t="s">
        <v>61</v>
      </c>
      <c r="F15" s="144" t="s">
        <v>62</v>
      </c>
      <c r="G15" s="434" t="s">
        <v>378</v>
      </c>
      <c r="H15" s="435" t="s">
        <v>379</v>
      </c>
      <c r="I15" s="351" t="s">
        <v>249</v>
      </c>
      <c r="J15" s="145"/>
      <c r="K15" s="271" t="s">
        <v>219</v>
      </c>
      <c r="L15" s="146" t="s">
        <v>64</v>
      </c>
      <c r="M15" s="271" t="s">
        <v>219</v>
      </c>
      <c r="N15" s="146" t="s">
        <v>64</v>
      </c>
      <c r="O15" s="146" t="s">
        <v>65</v>
      </c>
      <c r="P15" s="4"/>
    </row>
    <row r="16" spans="1:17" ht="13.5" thickBot="1">
      <c r="C16" s="147" t="s">
        <v>66</v>
      </c>
      <c r="D16" s="147" t="s">
        <v>67</v>
      </c>
      <c r="E16" s="147" t="s">
        <v>68</v>
      </c>
      <c r="F16" s="147" t="s">
        <v>67</v>
      </c>
      <c r="G16" s="408" t="s">
        <v>69</v>
      </c>
      <c r="H16" s="148" t="s">
        <v>70</v>
      </c>
      <c r="I16" s="149" t="s">
        <v>89</v>
      </c>
      <c r="J16" s="150" t="s">
        <v>71</v>
      </c>
      <c r="K16" s="151" t="s">
        <v>72</v>
      </c>
      <c r="L16" s="151" t="s">
        <v>72</v>
      </c>
      <c r="M16" s="151" t="s">
        <v>90</v>
      </c>
      <c r="N16" s="152" t="s">
        <v>90</v>
      </c>
      <c r="O16" s="151" t="s">
        <v>90</v>
      </c>
      <c r="P16" s="4"/>
    </row>
    <row r="17" spans="2:16">
      <c r="C17" s="153">
        <f>IF(D11= "","-",D11)</f>
        <v>2010</v>
      </c>
      <c r="D17" s="357">
        <v>4839000</v>
      </c>
      <c r="E17" s="358">
        <v>63671.052631578947</v>
      </c>
      <c r="F17" s="357">
        <v>4775328.9473684207</v>
      </c>
      <c r="G17" s="358">
        <v>750196.21507043985</v>
      </c>
      <c r="H17" s="359">
        <v>750196.21507043985</v>
      </c>
      <c r="I17" s="368">
        <v>0</v>
      </c>
      <c r="J17" s="156"/>
      <c r="K17" s="256">
        <f t="shared" ref="K17:K22" si="0">G17</f>
        <v>750196.21507043985</v>
      </c>
      <c r="L17" s="172">
        <f t="shared" ref="L17:L48" si="1">IF(K17&lt;&gt;0,+G17-K17,0)</f>
        <v>0</v>
      </c>
      <c r="M17" s="256">
        <f t="shared" ref="M17:M22" si="2">H17</f>
        <v>750196.21507043985</v>
      </c>
      <c r="N17" s="157">
        <f t="shared" ref="N17:N48" si="3">IF(M17&lt;&gt;0,+H17-M17,0)</f>
        <v>0</v>
      </c>
      <c r="O17" s="158">
        <f t="shared" ref="O17:O48" si="4">+N17-L17</f>
        <v>0</v>
      </c>
      <c r="P17" s="4"/>
    </row>
    <row r="18" spans="2:16">
      <c r="B18" s="9" t="str">
        <f>IF(D18=F17,"","IU")</f>
        <v>IU</v>
      </c>
      <c r="C18" s="153">
        <f>IF(D11="","-",+C17+1)</f>
        <v>2011</v>
      </c>
      <c r="D18" s="361">
        <v>4731467.9473684207</v>
      </c>
      <c r="E18" s="360">
        <v>116954.60975609756</v>
      </c>
      <c r="F18" s="361">
        <v>4614513.3376123235</v>
      </c>
      <c r="G18" s="360">
        <v>837705.52786752849</v>
      </c>
      <c r="H18" s="359">
        <v>837705.52786752849</v>
      </c>
      <c r="I18" s="368">
        <v>0</v>
      </c>
      <c r="J18" s="156"/>
      <c r="K18" s="258">
        <f t="shared" si="0"/>
        <v>837705.52786752849</v>
      </c>
      <c r="L18" s="257">
        <f t="shared" si="1"/>
        <v>0</v>
      </c>
      <c r="M18" s="258">
        <f t="shared" si="2"/>
        <v>837705.52786752849</v>
      </c>
      <c r="N18" s="158">
        <f t="shared" si="3"/>
        <v>0</v>
      </c>
      <c r="O18" s="158">
        <f t="shared" si="4"/>
        <v>0</v>
      </c>
      <c r="P18" s="4"/>
    </row>
    <row r="19" spans="2:16">
      <c r="B19" s="9" t="str">
        <f>IF(D19=F18,"","IU")</f>
        <v/>
      </c>
      <c r="C19" s="153">
        <f>IF(D11="","-",+C18+1)</f>
        <v>2012</v>
      </c>
      <c r="D19" s="361">
        <v>4614513.3376123235</v>
      </c>
      <c r="E19" s="360">
        <v>114169.97619047618</v>
      </c>
      <c r="F19" s="361">
        <v>4500343.3614218477</v>
      </c>
      <c r="G19" s="360">
        <v>783461.67125244555</v>
      </c>
      <c r="H19" s="359">
        <v>783461.67125244555</v>
      </c>
      <c r="I19" s="368">
        <v>0</v>
      </c>
      <c r="J19" s="156"/>
      <c r="K19" s="258">
        <f t="shared" si="0"/>
        <v>783461.67125244555</v>
      </c>
      <c r="L19" s="257">
        <f t="shared" si="1"/>
        <v>0</v>
      </c>
      <c r="M19" s="258">
        <f t="shared" si="2"/>
        <v>783461.67125244555</v>
      </c>
      <c r="N19" s="158">
        <f t="shared" si="3"/>
        <v>0</v>
      </c>
      <c r="O19" s="158">
        <f t="shared" si="4"/>
        <v>0</v>
      </c>
      <c r="P19" s="4"/>
    </row>
    <row r="20" spans="2:16">
      <c r="B20" s="9" t="str">
        <f t="shared" ref="B20:B72" si="5">IF(D20=F19,"","IU")</f>
        <v/>
      </c>
      <c r="C20" s="153">
        <f>IF(D11="","-",+C19+1)</f>
        <v>2013</v>
      </c>
      <c r="D20" s="396">
        <v>4500343.3614218477</v>
      </c>
      <c r="E20" s="397">
        <v>114169.97619047618</v>
      </c>
      <c r="F20" s="396">
        <v>4386173.385231372</v>
      </c>
      <c r="G20" s="397">
        <v>728177.58986755938</v>
      </c>
      <c r="H20" s="395">
        <v>728177.58986755938</v>
      </c>
      <c r="I20" s="398">
        <v>0</v>
      </c>
      <c r="J20" s="156"/>
      <c r="K20" s="258">
        <f t="shared" si="0"/>
        <v>728177.58986755938</v>
      </c>
      <c r="L20" s="257">
        <f t="shared" ref="L20:L25" si="6">IF(K20&lt;&gt;0,+G20-K20,0)</f>
        <v>0</v>
      </c>
      <c r="M20" s="258">
        <f t="shared" si="2"/>
        <v>728177.58986755938</v>
      </c>
      <c r="N20" s="158">
        <f t="shared" ref="N20:N25" si="7">IF(M20&lt;&gt;0,+H20-M20,0)</f>
        <v>0</v>
      </c>
      <c r="O20" s="158">
        <f t="shared" ref="O20:O25" si="8">+N20-L20</f>
        <v>0</v>
      </c>
      <c r="P20" s="4"/>
    </row>
    <row r="21" spans="2:16">
      <c r="B21" s="9" t="str">
        <f t="shared" si="5"/>
        <v/>
      </c>
      <c r="C21" s="153">
        <f>IF(D12="","-",+C20+1)</f>
        <v>2014</v>
      </c>
      <c r="D21" s="396">
        <v>4386173.385231372</v>
      </c>
      <c r="E21" s="397">
        <v>114169.97619047618</v>
      </c>
      <c r="F21" s="396">
        <v>4272003.4090408962</v>
      </c>
      <c r="G21" s="397">
        <v>690508.12734989321</v>
      </c>
      <c r="H21" s="395">
        <v>690508.12734989321</v>
      </c>
      <c r="I21" s="398">
        <v>0</v>
      </c>
      <c r="J21" s="156"/>
      <c r="K21" s="258">
        <f t="shared" si="0"/>
        <v>690508.12734989321</v>
      </c>
      <c r="L21" s="257">
        <f t="shared" si="6"/>
        <v>0</v>
      </c>
      <c r="M21" s="258">
        <f t="shared" si="2"/>
        <v>690508.12734989321</v>
      </c>
      <c r="N21" s="158">
        <f t="shared" si="7"/>
        <v>0</v>
      </c>
      <c r="O21" s="158">
        <f t="shared" si="8"/>
        <v>0</v>
      </c>
      <c r="P21" s="4"/>
    </row>
    <row r="22" spans="2:16">
      <c r="B22" s="9" t="str">
        <f t="shared" si="5"/>
        <v/>
      </c>
      <c r="C22" s="153">
        <f>IF(D11="","-",+C21+1)</f>
        <v>2015</v>
      </c>
      <c r="D22" s="396">
        <v>4272003.4090408962</v>
      </c>
      <c r="E22" s="397">
        <v>114169.97619047618</v>
      </c>
      <c r="F22" s="396">
        <v>4157833.43285042</v>
      </c>
      <c r="G22" s="397">
        <v>661776.60095170466</v>
      </c>
      <c r="H22" s="395">
        <v>661776.60095170466</v>
      </c>
      <c r="I22" s="156">
        <v>0</v>
      </c>
      <c r="J22" s="156"/>
      <c r="K22" s="258">
        <f t="shared" si="0"/>
        <v>661776.60095170466</v>
      </c>
      <c r="L22" s="257">
        <f t="shared" si="6"/>
        <v>0</v>
      </c>
      <c r="M22" s="258">
        <f t="shared" si="2"/>
        <v>661776.60095170466</v>
      </c>
      <c r="N22" s="158">
        <f t="shared" si="7"/>
        <v>0</v>
      </c>
      <c r="O22" s="158">
        <f t="shared" si="8"/>
        <v>0</v>
      </c>
      <c r="P22" s="4"/>
    </row>
    <row r="23" spans="2:16">
      <c r="B23" s="9" t="str">
        <f t="shared" si="5"/>
        <v/>
      </c>
      <c r="C23" s="153">
        <f>IF(D11="","-",+C22+1)</f>
        <v>2016</v>
      </c>
      <c r="D23" s="396">
        <v>4157833.43285042</v>
      </c>
      <c r="E23" s="397">
        <v>114169.97619047618</v>
      </c>
      <c r="F23" s="396">
        <v>4043663.4566599438</v>
      </c>
      <c r="G23" s="397">
        <v>640169.61761771492</v>
      </c>
      <c r="H23" s="395">
        <v>640169.61761771492</v>
      </c>
      <c r="I23" s="156">
        <f t="shared" ref="I23:I48" si="9">H23-G23</f>
        <v>0</v>
      </c>
      <c r="J23" s="156"/>
      <c r="K23" s="258">
        <f>G23</f>
        <v>640169.61761771492</v>
      </c>
      <c r="L23" s="257">
        <f t="shared" si="6"/>
        <v>0</v>
      </c>
      <c r="M23" s="258">
        <f>H23</f>
        <v>640169.61761771492</v>
      </c>
      <c r="N23" s="158">
        <f t="shared" si="7"/>
        <v>0</v>
      </c>
      <c r="O23" s="158">
        <f t="shared" si="8"/>
        <v>0</v>
      </c>
      <c r="P23" s="4"/>
    </row>
    <row r="24" spans="2:16">
      <c r="B24" s="9" t="str">
        <f t="shared" si="5"/>
        <v/>
      </c>
      <c r="C24" s="153">
        <f>IF(D11="","-",+C23+1)</f>
        <v>2017</v>
      </c>
      <c r="D24" s="396">
        <v>4043663.4566599438</v>
      </c>
      <c r="E24" s="397">
        <v>111514.86046511628</v>
      </c>
      <c r="F24" s="396">
        <v>3932148.5961948275</v>
      </c>
      <c r="G24" s="397">
        <v>605586.64190337458</v>
      </c>
      <c r="H24" s="395">
        <v>605586.64190337458</v>
      </c>
      <c r="I24" s="156">
        <v>0</v>
      </c>
      <c r="J24" s="156"/>
      <c r="K24" s="258">
        <f>G24</f>
        <v>605586.64190337458</v>
      </c>
      <c r="L24" s="257">
        <f t="shared" si="6"/>
        <v>0</v>
      </c>
      <c r="M24" s="258">
        <f>H24</f>
        <v>605586.64190337458</v>
      </c>
      <c r="N24" s="158">
        <f t="shared" si="7"/>
        <v>0</v>
      </c>
      <c r="O24" s="158">
        <f t="shared" si="8"/>
        <v>0</v>
      </c>
      <c r="P24" s="4"/>
    </row>
    <row r="25" spans="2:16">
      <c r="B25" s="9" t="str">
        <f t="shared" si="5"/>
        <v/>
      </c>
      <c r="C25" s="153">
        <f>IF(D11="","-",+C24+1)</f>
        <v>2018</v>
      </c>
      <c r="D25" s="396">
        <v>3932148.5961948275</v>
      </c>
      <c r="E25" s="397">
        <v>116954.60975609756</v>
      </c>
      <c r="F25" s="396">
        <v>3815193.9864387298</v>
      </c>
      <c r="G25" s="397">
        <v>550357.26213461242</v>
      </c>
      <c r="H25" s="395">
        <v>550357.26213461242</v>
      </c>
      <c r="I25" s="156">
        <f t="shared" si="9"/>
        <v>0</v>
      </c>
      <c r="J25" s="156"/>
      <c r="K25" s="258">
        <f>G25</f>
        <v>550357.26213461242</v>
      </c>
      <c r="L25" s="257">
        <f t="shared" si="6"/>
        <v>0</v>
      </c>
      <c r="M25" s="258">
        <f>H25</f>
        <v>550357.26213461242</v>
      </c>
      <c r="N25" s="158">
        <f t="shared" si="7"/>
        <v>0</v>
      </c>
      <c r="O25" s="158">
        <f t="shared" si="8"/>
        <v>0</v>
      </c>
      <c r="P25" s="4"/>
    </row>
    <row r="26" spans="2:16">
      <c r="B26" s="9" t="str">
        <f t="shared" si="5"/>
        <v/>
      </c>
      <c r="C26" s="153">
        <f>IF(D11="","-",+C25+1)</f>
        <v>2019</v>
      </c>
      <c r="D26" s="159">
        <f>IF(F25+SUM(E$17:E25)=D$10,F25,D$10-SUM(E$17:E25))</f>
        <v>3815193.9864387298</v>
      </c>
      <c r="E26" s="160">
        <f>IF(+I14&lt;F25,I14,D26)</f>
        <v>111514.86046511628</v>
      </c>
      <c r="F26" s="159">
        <f t="shared" ref="F26:F48" si="10">+D26-E26</f>
        <v>3703679.1259736135</v>
      </c>
      <c r="G26" s="161">
        <f t="shared" ref="G26:G55" si="11">+I$12*((D26+F26)/2)+E26</f>
        <v>485788.09488543868</v>
      </c>
      <c r="H26" s="142">
        <f t="shared" ref="H26:H55" si="12">+I$13*((D26+F26)/2)+E26</f>
        <v>485788.09488543868</v>
      </c>
      <c r="I26" s="156">
        <f t="shared" si="9"/>
        <v>0</v>
      </c>
      <c r="J26" s="156"/>
      <c r="K26" s="334"/>
      <c r="L26" s="158">
        <f t="shared" si="1"/>
        <v>0</v>
      </c>
      <c r="M26" s="334"/>
      <c r="N26" s="158">
        <f t="shared" si="3"/>
        <v>0</v>
      </c>
      <c r="O26" s="158">
        <f t="shared" si="4"/>
        <v>0</v>
      </c>
      <c r="P26" s="4"/>
    </row>
    <row r="27" spans="2:16">
      <c r="B27" s="9" t="str">
        <f t="shared" si="5"/>
        <v/>
      </c>
      <c r="C27" s="153">
        <f>IF(D11="","-",+C26+1)</f>
        <v>2020</v>
      </c>
      <c r="D27" s="159">
        <f>IF(F26+SUM(E$17:E26)=D$10,F26,D$10-SUM(E$17:E26))</f>
        <v>3703679.1259736135</v>
      </c>
      <c r="E27" s="160">
        <f>IF(+I14&lt;F26,I14,D27)</f>
        <v>111514.86046511628</v>
      </c>
      <c r="F27" s="159">
        <f t="shared" si="10"/>
        <v>3592164.2655084971</v>
      </c>
      <c r="G27" s="161">
        <f t="shared" si="11"/>
        <v>474686.15796265448</v>
      </c>
      <c r="H27" s="142">
        <f t="shared" si="12"/>
        <v>474686.15796265448</v>
      </c>
      <c r="I27" s="156">
        <f t="shared" si="9"/>
        <v>0</v>
      </c>
      <c r="J27" s="156"/>
      <c r="K27" s="334"/>
      <c r="L27" s="158">
        <f t="shared" si="1"/>
        <v>0</v>
      </c>
      <c r="M27" s="334"/>
      <c r="N27" s="158">
        <f t="shared" si="3"/>
        <v>0</v>
      </c>
      <c r="O27" s="158">
        <f t="shared" si="4"/>
        <v>0</v>
      </c>
      <c r="P27" s="4"/>
    </row>
    <row r="28" spans="2:16">
      <c r="B28" s="9" t="str">
        <f t="shared" si="5"/>
        <v/>
      </c>
      <c r="C28" s="153">
        <f>IF(D11="","-",+C27+1)</f>
        <v>2021</v>
      </c>
      <c r="D28" s="159">
        <f>IF(F27+SUM(E$17:E27)=D$10,F27,D$10-SUM(E$17:E27))</f>
        <v>3592164.2655084971</v>
      </c>
      <c r="E28" s="160">
        <f>IF(+I14&lt;F27,I14,D28)</f>
        <v>111514.86046511628</v>
      </c>
      <c r="F28" s="159">
        <f t="shared" si="10"/>
        <v>3480649.4050433808</v>
      </c>
      <c r="G28" s="161">
        <f t="shared" si="11"/>
        <v>463584.22103987023</v>
      </c>
      <c r="H28" s="142">
        <f t="shared" si="12"/>
        <v>463584.22103987023</v>
      </c>
      <c r="I28" s="156">
        <f t="shared" si="9"/>
        <v>0</v>
      </c>
      <c r="J28" s="156"/>
      <c r="K28" s="334"/>
      <c r="L28" s="158">
        <f t="shared" si="1"/>
        <v>0</v>
      </c>
      <c r="M28" s="334"/>
      <c r="N28" s="158">
        <f t="shared" si="3"/>
        <v>0</v>
      </c>
      <c r="O28" s="158">
        <f t="shared" si="4"/>
        <v>0</v>
      </c>
      <c r="P28" s="4"/>
    </row>
    <row r="29" spans="2:16">
      <c r="B29" s="9" t="str">
        <f t="shared" si="5"/>
        <v/>
      </c>
      <c r="C29" s="153">
        <f>IF(D11="","-",+C28+1)</f>
        <v>2022</v>
      </c>
      <c r="D29" s="159">
        <f>IF(F28+SUM(E$17:E28)=D$10,F28,D$10-SUM(E$17:E28))</f>
        <v>3480649.4050433808</v>
      </c>
      <c r="E29" s="160">
        <f>IF(+I14&lt;F28,I14,D29)</f>
        <v>111514.86046511628</v>
      </c>
      <c r="F29" s="159">
        <f t="shared" si="10"/>
        <v>3369134.5445782645</v>
      </c>
      <c r="G29" s="161">
        <f t="shared" si="11"/>
        <v>452482.28411708609</v>
      </c>
      <c r="H29" s="142">
        <f t="shared" si="12"/>
        <v>452482.28411708609</v>
      </c>
      <c r="I29" s="156">
        <f t="shared" si="9"/>
        <v>0</v>
      </c>
      <c r="J29" s="156"/>
      <c r="K29" s="334"/>
      <c r="L29" s="158">
        <f t="shared" si="1"/>
        <v>0</v>
      </c>
      <c r="M29" s="334"/>
      <c r="N29" s="158">
        <f t="shared" si="3"/>
        <v>0</v>
      </c>
      <c r="O29" s="158">
        <f t="shared" si="4"/>
        <v>0</v>
      </c>
      <c r="P29" s="4"/>
    </row>
    <row r="30" spans="2:16">
      <c r="B30" s="9" t="str">
        <f t="shared" si="5"/>
        <v/>
      </c>
      <c r="C30" s="153">
        <f>IF(D11="","-",+C29+1)</f>
        <v>2023</v>
      </c>
      <c r="D30" s="159">
        <f>IF(F29+SUM(E$17:E29)=D$10,F29,D$10-SUM(E$17:E29))</f>
        <v>3369134.5445782645</v>
      </c>
      <c r="E30" s="160">
        <f>IF(+I14&lt;F29,I14,D30)</f>
        <v>111514.86046511628</v>
      </c>
      <c r="F30" s="159">
        <f t="shared" si="10"/>
        <v>3257619.6841131481</v>
      </c>
      <c r="G30" s="161">
        <f t="shared" si="11"/>
        <v>441380.34719430178</v>
      </c>
      <c r="H30" s="142">
        <f t="shared" si="12"/>
        <v>441380.34719430178</v>
      </c>
      <c r="I30" s="156">
        <f t="shared" si="9"/>
        <v>0</v>
      </c>
      <c r="J30" s="156"/>
      <c r="K30" s="334"/>
      <c r="L30" s="158">
        <f t="shared" si="1"/>
        <v>0</v>
      </c>
      <c r="M30" s="334"/>
      <c r="N30" s="158">
        <f t="shared" si="3"/>
        <v>0</v>
      </c>
      <c r="O30" s="158">
        <f t="shared" si="4"/>
        <v>0</v>
      </c>
      <c r="P30" s="4"/>
    </row>
    <row r="31" spans="2:16">
      <c r="B31" s="9" t="str">
        <f t="shared" si="5"/>
        <v/>
      </c>
      <c r="C31" s="153">
        <f>IF(D11="","-",+C30+1)</f>
        <v>2024</v>
      </c>
      <c r="D31" s="159">
        <f>IF(F30+SUM(E$17:E30)=D$10,F30,D$10-SUM(E$17:E30))</f>
        <v>3257619.6841131481</v>
      </c>
      <c r="E31" s="160">
        <f>IF(+I14&lt;F30,I14,D31)</f>
        <v>111514.86046511628</v>
      </c>
      <c r="F31" s="159">
        <f t="shared" si="10"/>
        <v>3146104.8236480318</v>
      </c>
      <c r="G31" s="161">
        <f t="shared" si="11"/>
        <v>430278.41027151764</v>
      </c>
      <c r="H31" s="142">
        <f t="shared" si="12"/>
        <v>430278.41027151764</v>
      </c>
      <c r="I31" s="156">
        <f t="shared" si="9"/>
        <v>0</v>
      </c>
      <c r="J31" s="156"/>
      <c r="K31" s="334"/>
      <c r="L31" s="158">
        <f t="shared" si="1"/>
        <v>0</v>
      </c>
      <c r="M31" s="334"/>
      <c r="N31" s="158">
        <f t="shared" si="3"/>
        <v>0</v>
      </c>
      <c r="O31" s="158">
        <f t="shared" si="4"/>
        <v>0</v>
      </c>
      <c r="P31" s="4"/>
    </row>
    <row r="32" spans="2:16">
      <c r="B32" s="9" t="str">
        <f t="shared" si="5"/>
        <v/>
      </c>
      <c r="C32" s="153">
        <f>IF(D11="","-",+C31+1)</f>
        <v>2025</v>
      </c>
      <c r="D32" s="159">
        <f>IF(F31+SUM(E$17:E31)=D$10,F31,D$10-SUM(E$17:E31))</f>
        <v>3146104.8236480318</v>
      </c>
      <c r="E32" s="160">
        <f>IF(+I14&lt;F31,I14,D32)</f>
        <v>111514.86046511628</v>
      </c>
      <c r="F32" s="159">
        <f t="shared" si="10"/>
        <v>3034589.9631829155</v>
      </c>
      <c r="G32" s="161">
        <f t="shared" si="11"/>
        <v>419176.47334873339</v>
      </c>
      <c r="H32" s="142">
        <f t="shared" si="12"/>
        <v>419176.47334873339</v>
      </c>
      <c r="I32" s="156">
        <f t="shared" si="9"/>
        <v>0</v>
      </c>
      <c r="J32" s="156"/>
      <c r="K32" s="334"/>
      <c r="L32" s="158">
        <f t="shared" si="1"/>
        <v>0</v>
      </c>
      <c r="M32" s="334"/>
      <c r="N32" s="158">
        <f t="shared" si="3"/>
        <v>0</v>
      </c>
      <c r="O32" s="158">
        <f t="shared" si="4"/>
        <v>0</v>
      </c>
      <c r="P32" s="4"/>
    </row>
    <row r="33" spans="2:16">
      <c r="B33" s="9" t="str">
        <f t="shared" si="5"/>
        <v/>
      </c>
      <c r="C33" s="153">
        <f>IF(D11="","-",+C32+1)</f>
        <v>2026</v>
      </c>
      <c r="D33" s="159">
        <f>IF(F32+SUM(E$17:E32)=D$10,F32,D$10-SUM(E$17:E32))</f>
        <v>3034589.9631829155</v>
      </c>
      <c r="E33" s="160">
        <f>IF(+I14&lt;F32,I14,D33)</f>
        <v>111514.86046511628</v>
      </c>
      <c r="F33" s="159">
        <f t="shared" si="10"/>
        <v>2923075.1027177991</v>
      </c>
      <c r="G33" s="161">
        <f t="shared" si="11"/>
        <v>408074.53642594919</v>
      </c>
      <c r="H33" s="142">
        <f t="shared" si="12"/>
        <v>408074.53642594919</v>
      </c>
      <c r="I33" s="156">
        <f t="shared" si="9"/>
        <v>0</v>
      </c>
      <c r="J33" s="156"/>
      <c r="K33" s="334"/>
      <c r="L33" s="158">
        <f t="shared" si="1"/>
        <v>0</v>
      </c>
      <c r="M33" s="334"/>
      <c r="N33" s="158">
        <f t="shared" si="3"/>
        <v>0</v>
      </c>
      <c r="O33" s="158">
        <f t="shared" si="4"/>
        <v>0</v>
      </c>
      <c r="P33" s="4"/>
    </row>
    <row r="34" spans="2:16">
      <c r="B34" s="9" t="str">
        <f t="shared" si="5"/>
        <v/>
      </c>
      <c r="C34" s="153">
        <f>IF(D11="","-",+C33+1)</f>
        <v>2027</v>
      </c>
      <c r="D34" s="159">
        <f>IF(F33+SUM(E$17:E33)=D$10,F33,D$10-SUM(E$17:E33))</f>
        <v>2923075.1027177991</v>
      </c>
      <c r="E34" s="160">
        <f>IF(+I14&lt;F33,I14,D34)</f>
        <v>111514.86046511628</v>
      </c>
      <c r="F34" s="159">
        <f t="shared" si="10"/>
        <v>2811560.2422526828</v>
      </c>
      <c r="G34" s="161">
        <f t="shared" si="11"/>
        <v>396972.59950316494</v>
      </c>
      <c r="H34" s="142">
        <f t="shared" si="12"/>
        <v>396972.59950316494</v>
      </c>
      <c r="I34" s="156">
        <f t="shared" si="9"/>
        <v>0</v>
      </c>
      <c r="J34" s="156"/>
      <c r="K34" s="334"/>
      <c r="L34" s="158">
        <f t="shared" si="1"/>
        <v>0</v>
      </c>
      <c r="M34" s="334"/>
      <c r="N34" s="158">
        <f t="shared" si="3"/>
        <v>0</v>
      </c>
      <c r="O34" s="158">
        <f t="shared" si="4"/>
        <v>0</v>
      </c>
      <c r="P34" s="4"/>
    </row>
    <row r="35" spans="2:16">
      <c r="B35" s="9" t="str">
        <f t="shared" si="5"/>
        <v/>
      </c>
      <c r="C35" s="153">
        <f>IF(D11="","-",+C34+1)</f>
        <v>2028</v>
      </c>
      <c r="D35" s="159">
        <f>IF(F34+SUM(E$17:E34)=D$10,F34,D$10-SUM(E$17:E34))</f>
        <v>2811560.2422526828</v>
      </c>
      <c r="E35" s="160">
        <f>IF(+I14&lt;F34,I14,D35)</f>
        <v>111514.86046511628</v>
      </c>
      <c r="F35" s="159">
        <f t="shared" si="10"/>
        <v>2700045.3817875665</v>
      </c>
      <c r="G35" s="161">
        <f t="shared" si="11"/>
        <v>385870.6625803808</v>
      </c>
      <c r="H35" s="142">
        <f t="shared" si="12"/>
        <v>385870.6625803808</v>
      </c>
      <c r="I35" s="156">
        <f t="shared" si="9"/>
        <v>0</v>
      </c>
      <c r="J35" s="156"/>
      <c r="K35" s="334"/>
      <c r="L35" s="158">
        <f t="shared" si="1"/>
        <v>0</v>
      </c>
      <c r="M35" s="334"/>
      <c r="N35" s="158">
        <f t="shared" si="3"/>
        <v>0</v>
      </c>
      <c r="O35" s="158">
        <f t="shared" si="4"/>
        <v>0</v>
      </c>
      <c r="P35" s="4"/>
    </row>
    <row r="36" spans="2:16">
      <c r="B36" s="9" t="str">
        <f t="shared" si="5"/>
        <v/>
      </c>
      <c r="C36" s="153">
        <f>IF(D11="","-",+C35+1)</f>
        <v>2029</v>
      </c>
      <c r="D36" s="159">
        <f>IF(F35+SUM(E$17:E35)=D$10,F35,D$10-SUM(E$17:E35))</f>
        <v>2700045.3817875665</v>
      </c>
      <c r="E36" s="160">
        <f>IF(+I14&lt;F35,I14,D36)</f>
        <v>111514.86046511628</v>
      </c>
      <c r="F36" s="159">
        <f t="shared" si="10"/>
        <v>2588530.5213224501</v>
      </c>
      <c r="G36" s="161">
        <f t="shared" si="11"/>
        <v>374768.72565759654</v>
      </c>
      <c r="H36" s="142">
        <f t="shared" si="12"/>
        <v>374768.72565759654</v>
      </c>
      <c r="I36" s="156">
        <f t="shared" si="9"/>
        <v>0</v>
      </c>
      <c r="J36" s="156"/>
      <c r="K36" s="334"/>
      <c r="L36" s="158">
        <f t="shared" si="1"/>
        <v>0</v>
      </c>
      <c r="M36" s="334"/>
      <c r="N36" s="158">
        <f t="shared" si="3"/>
        <v>0</v>
      </c>
      <c r="O36" s="158">
        <f t="shared" si="4"/>
        <v>0</v>
      </c>
      <c r="P36" s="4"/>
    </row>
    <row r="37" spans="2:16">
      <c r="B37" s="9" t="str">
        <f t="shared" si="5"/>
        <v/>
      </c>
      <c r="C37" s="153">
        <f>IF(D11="","-",+C36+1)</f>
        <v>2030</v>
      </c>
      <c r="D37" s="159">
        <f>IF(F36+SUM(E$17:E36)=D$10,F36,D$10-SUM(E$17:E36))</f>
        <v>2588530.5213224501</v>
      </c>
      <c r="E37" s="160">
        <f>IF(+I14&lt;F36,I14,D37)</f>
        <v>111514.86046511628</v>
      </c>
      <c r="F37" s="159">
        <f t="shared" si="10"/>
        <v>2477015.6608573338</v>
      </c>
      <c r="G37" s="161">
        <f t="shared" si="11"/>
        <v>363666.78873481235</v>
      </c>
      <c r="H37" s="142">
        <f t="shared" si="12"/>
        <v>363666.78873481235</v>
      </c>
      <c r="I37" s="156">
        <f t="shared" si="9"/>
        <v>0</v>
      </c>
      <c r="J37" s="156"/>
      <c r="K37" s="334"/>
      <c r="L37" s="158">
        <f t="shared" si="1"/>
        <v>0</v>
      </c>
      <c r="M37" s="334"/>
      <c r="N37" s="158">
        <f t="shared" si="3"/>
        <v>0</v>
      </c>
      <c r="O37" s="158">
        <f t="shared" si="4"/>
        <v>0</v>
      </c>
      <c r="P37" s="4"/>
    </row>
    <row r="38" spans="2:16">
      <c r="B38" s="9" t="str">
        <f t="shared" si="5"/>
        <v/>
      </c>
      <c r="C38" s="153">
        <f>IF(D11="","-",+C37+1)</f>
        <v>2031</v>
      </c>
      <c r="D38" s="159">
        <f>IF(F37+SUM(E$17:E37)=D$10,F37,D$10-SUM(E$17:E37))</f>
        <v>2477015.6608573338</v>
      </c>
      <c r="E38" s="160">
        <f>IF(+I14&lt;F37,I14,D38)</f>
        <v>111514.86046511628</v>
      </c>
      <c r="F38" s="159">
        <f t="shared" si="10"/>
        <v>2365500.8003922175</v>
      </c>
      <c r="G38" s="161">
        <f t="shared" si="11"/>
        <v>352564.85181202809</v>
      </c>
      <c r="H38" s="142">
        <f t="shared" si="12"/>
        <v>352564.85181202809</v>
      </c>
      <c r="I38" s="156">
        <f t="shared" si="9"/>
        <v>0</v>
      </c>
      <c r="J38" s="156"/>
      <c r="K38" s="334"/>
      <c r="L38" s="158">
        <f t="shared" si="1"/>
        <v>0</v>
      </c>
      <c r="M38" s="334"/>
      <c r="N38" s="158">
        <f t="shared" si="3"/>
        <v>0</v>
      </c>
      <c r="O38" s="158">
        <f t="shared" si="4"/>
        <v>0</v>
      </c>
      <c r="P38" s="4"/>
    </row>
    <row r="39" spans="2:16">
      <c r="B39" s="9" t="str">
        <f t="shared" si="5"/>
        <v/>
      </c>
      <c r="C39" s="153">
        <f>IF(D11="","-",+C38+1)</f>
        <v>2032</v>
      </c>
      <c r="D39" s="159">
        <f>IF(F38+SUM(E$17:E38)=D$10,F38,D$10-SUM(E$17:E38))</f>
        <v>2365500.8003922175</v>
      </c>
      <c r="E39" s="160">
        <f>IF(+I14&lt;F38,I14,D39)</f>
        <v>111514.86046511628</v>
      </c>
      <c r="F39" s="159">
        <f t="shared" si="10"/>
        <v>2253985.9399271011</v>
      </c>
      <c r="G39" s="161">
        <f t="shared" si="11"/>
        <v>341462.9148892439</v>
      </c>
      <c r="H39" s="142">
        <f t="shared" si="12"/>
        <v>341462.9148892439</v>
      </c>
      <c r="I39" s="156">
        <f t="shared" si="9"/>
        <v>0</v>
      </c>
      <c r="J39" s="156"/>
      <c r="K39" s="334"/>
      <c r="L39" s="158">
        <f t="shared" si="1"/>
        <v>0</v>
      </c>
      <c r="M39" s="334"/>
      <c r="N39" s="158">
        <f t="shared" si="3"/>
        <v>0</v>
      </c>
      <c r="O39" s="158">
        <f t="shared" si="4"/>
        <v>0</v>
      </c>
      <c r="P39" s="4"/>
    </row>
    <row r="40" spans="2:16">
      <c r="B40" s="9" t="str">
        <f t="shared" si="5"/>
        <v/>
      </c>
      <c r="C40" s="153">
        <f>IF(D11="","-",+C39+1)</f>
        <v>2033</v>
      </c>
      <c r="D40" s="159">
        <f>IF(F39+SUM(E$17:E39)=D$10,F39,D$10-SUM(E$17:E39))</f>
        <v>2253985.9399271011</v>
      </c>
      <c r="E40" s="160">
        <f>IF(+I14&lt;F39,I14,D40)</f>
        <v>111514.86046511628</v>
      </c>
      <c r="F40" s="159">
        <f t="shared" si="10"/>
        <v>2142471.0794619848</v>
      </c>
      <c r="G40" s="161">
        <f t="shared" si="11"/>
        <v>330360.9779664597</v>
      </c>
      <c r="H40" s="142">
        <f t="shared" si="12"/>
        <v>330360.9779664597</v>
      </c>
      <c r="I40" s="156">
        <f t="shared" si="9"/>
        <v>0</v>
      </c>
      <c r="J40" s="156"/>
      <c r="K40" s="334"/>
      <c r="L40" s="158">
        <f t="shared" si="1"/>
        <v>0</v>
      </c>
      <c r="M40" s="334"/>
      <c r="N40" s="158">
        <f t="shared" si="3"/>
        <v>0</v>
      </c>
      <c r="O40" s="158">
        <f t="shared" si="4"/>
        <v>0</v>
      </c>
      <c r="P40" s="4"/>
    </row>
    <row r="41" spans="2:16">
      <c r="B41" s="9" t="str">
        <f t="shared" si="5"/>
        <v/>
      </c>
      <c r="C41" s="153">
        <f>IF(D11="","-",+C40+1)</f>
        <v>2034</v>
      </c>
      <c r="D41" s="159">
        <f>IF(F40+SUM(E$17:E40)=D$10,F40,D$10-SUM(E$17:E40))</f>
        <v>2142471.0794619848</v>
      </c>
      <c r="E41" s="160">
        <f>IF(+I14&lt;F40,I14,D41)</f>
        <v>111514.86046511628</v>
      </c>
      <c r="F41" s="159">
        <f t="shared" si="10"/>
        <v>2030956.2189968685</v>
      </c>
      <c r="G41" s="161">
        <f t="shared" si="11"/>
        <v>319259.0410436755</v>
      </c>
      <c r="H41" s="142">
        <f t="shared" si="12"/>
        <v>319259.0410436755</v>
      </c>
      <c r="I41" s="156">
        <f t="shared" si="9"/>
        <v>0</v>
      </c>
      <c r="J41" s="156"/>
      <c r="K41" s="334"/>
      <c r="L41" s="158">
        <f t="shared" si="1"/>
        <v>0</v>
      </c>
      <c r="M41" s="334"/>
      <c r="N41" s="158">
        <f t="shared" si="3"/>
        <v>0</v>
      </c>
      <c r="O41" s="158">
        <f t="shared" si="4"/>
        <v>0</v>
      </c>
      <c r="P41" s="4"/>
    </row>
    <row r="42" spans="2:16">
      <c r="B42" s="9" t="str">
        <f t="shared" si="5"/>
        <v/>
      </c>
      <c r="C42" s="153">
        <f>IF(D11="","-",+C41+1)</f>
        <v>2035</v>
      </c>
      <c r="D42" s="159">
        <f>IF(F41+SUM(E$17:E41)=D$10,F41,D$10-SUM(E$17:E41))</f>
        <v>2030956.2189968685</v>
      </c>
      <c r="E42" s="160">
        <f>IF(+I14&lt;F41,I14,D42)</f>
        <v>111514.86046511628</v>
      </c>
      <c r="F42" s="159">
        <f t="shared" si="10"/>
        <v>1919441.3585317521</v>
      </c>
      <c r="G42" s="161">
        <f t="shared" si="11"/>
        <v>308157.10412089125</v>
      </c>
      <c r="H42" s="142">
        <f t="shared" si="12"/>
        <v>308157.10412089125</v>
      </c>
      <c r="I42" s="156">
        <f t="shared" si="9"/>
        <v>0</v>
      </c>
      <c r="J42" s="156"/>
      <c r="K42" s="334"/>
      <c r="L42" s="158">
        <f t="shared" si="1"/>
        <v>0</v>
      </c>
      <c r="M42" s="334"/>
      <c r="N42" s="158">
        <f t="shared" si="3"/>
        <v>0</v>
      </c>
      <c r="O42" s="158">
        <f t="shared" si="4"/>
        <v>0</v>
      </c>
      <c r="P42" s="4"/>
    </row>
    <row r="43" spans="2:16">
      <c r="B43" s="9" t="str">
        <f t="shared" si="5"/>
        <v/>
      </c>
      <c r="C43" s="153">
        <f>IF(D11="","-",+C42+1)</f>
        <v>2036</v>
      </c>
      <c r="D43" s="159">
        <f>IF(F42+SUM(E$17:E42)=D$10,F42,D$10-SUM(E$17:E42))</f>
        <v>1919441.3585317521</v>
      </c>
      <c r="E43" s="160">
        <f>IF(+I14&lt;F42,I14,D43)</f>
        <v>111514.86046511628</v>
      </c>
      <c r="F43" s="159">
        <f t="shared" si="10"/>
        <v>1807926.4980666358</v>
      </c>
      <c r="G43" s="161">
        <f t="shared" si="11"/>
        <v>297055.16719810705</v>
      </c>
      <c r="H43" s="142">
        <f t="shared" si="12"/>
        <v>297055.16719810705</v>
      </c>
      <c r="I43" s="156">
        <f t="shared" si="9"/>
        <v>0</v>
      </c>
      <c r="J43" s="156"/>
      <c r="K43" s="334"/>
      <c r="L43" s="158">
        <f t="shared" si="1"/>
        <v>0</v>
      </c>
      <c r="M43" s="334"/>
      <c r="N43" s="158">
        <f t="shared" si="3"/>
        <v>0</v>
      </c>
      <c r="O43" s="158">
        <f t="shared" si="4"/>
        <v>0</v>
      </c>
      <c r="P43" s="4"/>
    </row>
    <row r="44" spans="2:16">
      <c r="B44" s="9" t="str">
        <f t="shared" si="5"/>
        <v/>
      </c>
      <c r="C44" s="153">
        <f>IF(D11="","-",+C43+1)</f>
        <v>2037</v>
      </c>
      <c r="D44" s="159">
        <f>IF(F43+SUM(E$17:E43)=D$10,F43,D$10-SUM(E$17:E43))</f>
        <v>1807926.4980666358</v>
      </c>
      <c r="E44" s="160">
        <f>IF(+I14&lt;F43,I14,D44)</f>
        <v>111514.86046511628</v>
      </c>
      <c r="F44" s="159">
        <f t="shared" si="10"/>
        <v>1696411.6376015195</v>
      </c>
      <c r="G44" s="161">
        <f t="shared" si="11"/>
        <v>285953.2302753228</v>
      </c>
      <c r="H44" s="142">
        <f t="shared" si="12"/>
        <v>285953.2302753228</v>
      </c>
      <c r="I44" s="156">
        <f t="shared" si="9"/>
        <v>0</v>
      </c>
      <c r="J44" s="156"/>
      <c r="K44" s="334"/>
      <c r="L44" s="158">
        <f t="shared" si="1"/>
        <v>0</v>
      </c>
      <c r="M44" s="334"/>
      <c r="N44" s="158">
        <f t="shared" si="3"/>
        <v>0</v>
      </c>
      <c r="O44" s="158">
        <f t="shared" si="4"/>
        <v>0</v>
      </c>
      <c r="P44" s="4"/>
    </row>
    <row r="45" spans="2:16">
      <c r="B45" s="9" t="str">
        <f t="shared" si="5"/>
        <v/>
      </c>
      <c r="C45" s="153">
        <f>IF(D11="","-",+C44+1)</f>
        <v>2038</v>
      </c>
      <c r="D45" s="159">
        <f>IF(F44+SUM(E$17:E44)=D$10,F44,D$10-SUM(E$17:E44))</f>
        <v>1696411.6376015195</v>
      </c>
      <c r="E45" s="160">
        <f>IF(+I14&lt;F44,I14,D45)</f>
        <v>111514.86046511628</v>
      </c>
      <c r="F45" s="159">
        <f t="shared" si="10"/>
        <v>1584896.7771364031</v>
      </c>
      <c r="G45" s="161">
        <f t="shared" si="11"/>
        <v>274851.2933525386</v>
      </c>
      <c r="H45" s="142">
        <f t="shared" si="12"/>
        <v>274851.2933525386</v>
      </c>
      <c r="I45" s="156">
        <f t="shared" si="9"/>
        <v>0</v>
      </c>
      <c r="J45" s="156"/>
      <c r="K45" s="334"/>
      <c r="L45" s="158">
        <f t="shared" si="1"/>
        <v>0</v>
      </c>
      <c r="M45" s="334"/>
      <c r="N45" s="158">
        <f t="shared" si="3"/>
        <v>0</v>
      </c>
      <c r="O45" s="158">
        <f t="shared" si="4"/>
        <v>0</v>
      </c>
      <c r="P45" s="4"/>
    </row>
    <row r="46" spans="2:16">
      <c r="B46" s="9" t="str">
        <f t="shared" si="5"/>
        <v/>
      </c>
      <c r="C46" s="153">
        <f>IF(D11="","-",+C45+1)</f>
        <v>2039</v>
      </c>
      <c r="D46" s="159">
        <f>IF(F45+SUM(E$17:E45)=D$10,F45,D$10-SUM(E$17:E45))</f>
        <v>1584896.7771364031</v>
      </c>
      <c r="E46" s="160">
        <f>IF(+I14&lt;F45,I14,D46)</f>
        <v>111514.86046511628</v>
      </c>
      <c r="F46" s="159">
        <f t="shared" si="10"/>
        <v>1473381.9166712868</v>
      </c>
      <c r="G46" s="161">
        <f t="shared" si="11"/>
        <v>263749.35642975441</v>
      </c>
      <c r="H46" s="142">
        <f t="shared" si="12"/>
        <v>263749.35642975441</v>
      </c>
      <c r="I46" s="156">
        <f t="shared" si="9"/>
        <v>0</v>
      </c>
      <c r="J46" s="156"/>
      <c r="K46" s="334"/>
      <c r="L46" s="158">
        <f t="shared" si="1"/>
        <v>0</v>
      </c>
      <c r="M46" s="334"/>
      <c r="N46" s="158">
        <f t="shared" si="3"/>
        <v>0</v>
      </c>
      <c r="O46" s="158">
        <f t="shared" si="4"/>
        <v>0</v>
      </c>
      <c r="P46" s="4"/>
    </row>
    <row r="47" spans="2:16">
      <c r="B47" s="9" t="str">
        <f t="shared" si="5"/>
        <v/>
      </c>
      <c r="C47" s="153">
        <f>IF(D11="","-",+C46+1)</f>
        <v>2040</v>
      </c>
      <c r="D47" s="159">
        <f>IF(F46+SUM(E$17:E46)=D$10,F46,D$10-SUM(E$17:E46))</f>
        <v>1473381.9166712868</v>
      </c>
      <c r="E47" s="160">
        <f>IF(+I14&lt;F46,I14,D47)</f>
        <v>111514.86046511628</v>
      </c>
      <c r="F47" s="159">
        <f t="shared" si="10"/>
        <v>1361867.0562061705</v>
      </c>
      <c r="G47" s="161">
        <f t="shared" si="11"/>
        <v>252647.41950697018</v>
      </c>
      <c r="H47" s="142">
        <f t="shared" si="12"/>
        <v>252647.41950697018</v>
      </c>
      <c r="I47" s="156">
        <f t="shared" si="9"/>
        <v>0</v>
      </c>
      <c r="J47" s="156"/>
      <c r="K47" s="334"/>
      <c r="L47" s="158">
        <f t="shared" si="1"/>
        <v>0</v>
      </c>
      <c r="M47" s="334"/>
      <c r="N47" s="158">
        <f t="shared" si="3"/>
        <v>0</v>
      </c>
      <c r="O47" s="158">
        <f t="shared" si="4"/>
        <v>0</v>
      </c>
      <c r="P47" s="4"/>
    </row>
    <row r="48" spans="2:16">
      <c r="B48" s="9" t="str">
        <f t="shared" si="5"/>
        <v/>
      </c>
      <c r="C48" s="153">
        <f>IF(D11="","-",+C47+1)</f>
        <v>2041</v>
      </c>
      <c r="D48" s="159">
        <f>IF(F47+SUM(E$17:E47)=D$10,F47,D$10-SUM(E$17:E47))</f>
        <v>1361867.0562061705</v>
      </c>
      <c r="E48" s="160">
        <f>IF(+I14&lt;F47,I14,D48)</f>
        <v>111514.86046511628</v>
      </c>
      <c r="F48" s="159">
        <f t="shared" si="10"/>
        <v>1250352.1957410541</v>
      </c>
      <c r="G48" s="161">
        <f t="shared" si="11"/>
        <v>241545.48258418596</v>
      </c>
      <c r="H48" s="142">
        <f t="shared" si="12"/>
        <v>241545.48258418596</v>
      </c>
      <c r="I48" s="156">
        <f t="shared" si="9"/>
        <v>0</v>
      </c>
      <c r="J48" s="156"/>
      <c r="K48" s="334"/>
      <c r="L48" s="158">
        <f t="shared" si="1"/>
        <v>0</v>
      </c>
      <c r="M48" s="334"/>
      <c r="N48" s="158">
        <f t="shared" si="3"/>
        <v>0</v>
      </c>
      <c r="O48" s="158">
        <f t="shared" si="4"/>
        <v>0</v>
      </c>
      <c r="P48" s="4"/>
    </row>
    <row r="49" spans="2:17">
      <c r="B49" s="9" t="str">
        <f t="shared" si="5"/>
        <v/>
      </c>
      <c r="C49" s="153">
        <f>IF(D11="","-",+C48+1)</f>
        <v>2042</v>
      </c>
      <c r="D49" s="159">
        <f>IF(F48+SUM(E$17:E48)=D$10,F48,D$10-SUM(E$17:E48))</f>
        <v>1250352.1957410541</v>
      </c>
      <c r="E49" s="160">
        <f>IF(+I14&lt;F48,I14,D49)</f>
        <v>111514.86046511628</v>
      </c>
      <c r="F49" s="159">
        <f t="shared" ref="F49:F72" si="13">+D49-E49</f>
        <v>1138837.3352759378</v>
      </c>
      <c r="G49" s="161">
        <f t="shared" si="11"/>
        <v>230443.54566140176</v>
      </c>
      <c r="H49" s="142">
        <f t="shared" si="12"/>
        <v>230443.54566140176</v>
      </c>
      <c r="I49" s="156">
        <f t="shared" ref="I49:I72" si="14">H49-G49</f>
        <v>0</v>
      </c>
      <c r="J49" s="156"/>
      <c r="K49" s="334"/>
      <c r="L49" s="158">
        <f t="shared" ref="L49:L72" si="15">IF(K49&lt;&gt;0,+G49-K49,0)</f>
        <v>0</v>
      </c>
      <c r="M49" s="334"/>
      <c r="N49" s="158">
        <f t="shared" ref="N49:N72" si="16">IF(M49&lt;&gt;0,+H49-M49,0)</f>
        <v>0</v>
      </c>
      <c r="O49" s="158">
        <f t="shared" ref="O49:O72" si="17">+N49-L49</f>
        <v>0</v>
      </c>
      <c r="P49" s="4"/>
    </row>
    <row r="50" spans="2:17">
      <c r="B50" s="9" t="str">
        <f t="shared" si="5"/>
        <v/>
      </c>
      <c r="C50" s="153">
        <f>IF(D11="","-",+C49+1)</f>
        <v>2043</v>
      </c>
      <c r="D50" s="159">
        <f>IF(F49+SUM(E$17:E49)=D$10,F49,D$10-SUM(E$17:E49))</f>
        <v>1138837.3352759378</v>
      </c>
      <c r="E50" s="160">
        <f>IF(+I14&lt;F49,I14,D50)</f>
        <v>111514.86046511628</v>
      </c>
      <c r="F50" s="159">
        <f t="shared" si="13"/>
        <v>1027322.4748108215</v>
      </c>
      <c r="G50" s="161">
        <f t="shared" si="11"/>
        <v>219341.60873861753</v>
      </c>
      <c r="H50" s="142">
        <f t="shared" si="12"/>
        <v>219341.60873861753</v>
      </c>
      <c r="I50" s="156">
        <f t="shared" si="14"/>
        <v>0</v>
      </c>
      <c r="J50" s="156"/>
      <c r="K50" s="334"/>
      <c r="L50" s="158">
        <f t="shared" si="15"/>
        <v>0</v>
      </c>
      <c r="M50" s="334"/>
      <c r="N50" s="158">
        <f t="shared" si="16"/>
        <v>0</v>
      </c>
      <c r="O50" s="158">
        <f t="shared" si="17"/>
        <v>0</v>
      </c>
      <c r="P50" s="4"/>
    </row>
    <row r="51" spans="2:17">
      <c r="B51" s="9" t="str">
        <f t="shared" si="5"/>
        <v/>
      </c>
      <c r="C51" s="153">
        <f>IF(D11="","-",+C50+1)</f>
        <v>2044</v>
      </c>
      <c r="D51" s="159">
        <f>IF(F50+SUM(E$17:E50)=D$10,F50,D$10-SUM(E$17:E50))</f>
        <v>1027322.4748108215</v>
      </c>
      <c r="E51" s="160">
        <f>IF(+I14&lt;F50,I14,D51)</f>
        <v>111514.86046511628</v>
      </c>
      <c r="F51" s="159">
        <f t="shared" si="13"/>
        <v>915807.61434570514</v>
      </c>
      <c r="G51" s="161">
        <f t="shared" si="11"/>
        <v>208239.67181583331</v>
      </c>
      <c r="H51" s="142">
        <f t="shared" si="12"/>
        <v>208239.67181583331</v>
      </c>
      <c r="I51" s="156">
        <f t="shared" si="14"/>
        <v>0</v>
      </c>
      <c r="J51" s="156"/>
      <c r="K51" s="334"/>
      <c r="L51" s="158">
        <f t="shared" si="15"/>
        <v>0</v>
      </c>
      <c r="M51" s="334"/>
      <c r="N51" s="158">
        <f t="shared" si="16"/>
        <v>0</v>
      </c>
      <c r="O51" s="158">
        <f t="shared" si="17"/>
        <v>0</v>
      </c>
      <c r="P51" s="4"/>
    </row>
    <row r="52" spans="2:17">
      <c r="B52" s="9" t="str">
        <f t="shared" si="5"/>
        <v/>
      </c>
      <c r="C52" s="153">
        <f>IF(D11="","-",+C51+1)</f>
        <v>2045</v>
      </c>
      <c r="D52" s="159">
        <f>IF(F51+SUM(E$17:E51)=D$10,F51,D$10-SUM(E$17:E51))</f>
        <v>915807.61434570514</v>
      </c>
      <c r="E52" s="160">
        <f>IF(+I14&lt;F51,I14,D52)</f>
        <v>111514.86046511628</v>
      </c>
      <c r="F52" s="159">
        <f t="shared" si="13"/>
        <v>804292.7538805888</v>
      </c>
      <c r="G52" s="161">
        <f t="shared" si="11"/>
        <v>197137.73489304911</v>
      </c>
      <c r="H52" s="142">
        <f t="shared" si="12"/>
        <v>197137.73489304911</v>
      </c>
      <c r="I52" s="156">
        <f t="shared" si="14"/>
        <v>0</v>
      </c>
      <c r="J52" s="156"/>
      <c r="K52" s="334"/>
      <c r="L52" s="158">
        <f t="shared" si="15"/>
        <v>0</v>
      </c>
      <c r="M52" s="334"/>
      <c r="N52" s="158">
        <f t="shared" si="16"/>
        <v>0</v>
      </c>
      <c r="O52" s="158">
        <f t="shared" si="17"/>
        <v>0</v>
      </c>
      <c r="P52" s="4"/>
    </row>
    <row r="53" spans="2:17">
      <c r="B53" s="9" t="str">
        <f t="shared" si="5"/>
        <v/>
      </c>
      <c r="C53" s="153">
        <f>IF(D11="","-",+C52+1)</f>
        <v>2046</v>
      </c>
      <c r="D53" s="159">
        <f>IF(F52+SUM(E$17:E52)=D$10,F52,D$10-SUM(E$17:E52))</f>
        <v>804292.7538805888</v>
      </c>
      <c r="E53" s="160">
        <f>IF(+I14&lt;F52,I14,D53)</f>
        <v>111514.86046511628</v>
      </c>
      <c r="F53" s="159">
        <f t="shared" si="13"/>
        <v>692777.89341547247</v>
      </c>
      <c r="G53" s="161">
        <f t="shared" si="11"/>
        <v>186035.79797026492</v>
      </c>
      <c r="H53" s="142">
        <f t="shared" si="12"/>
        <v>186035.79797026492</v>
      </c>
      <c r="I53" s="156">
        <f t="shared" si="14"/>
        <v>0</v>
      </c>
      <c r="J53" s="156"/>
      <c r="K53" s="334"/>
      <c r="L53" s="158">
        <f t="shared" si="15"/>
        <v>0</v>
      </c>
      <c r="M53" s="334"/>
      <c r="N53" s="158">
        <f t="shared" si="16"/>
        <v>0</v>
      </c>
      <c r="O53" s="158">
        <f t="shared" si="17"/>
        <v>0</v>
      </c>
      <c r="P53" s="4"/>
    </row>
    <row r="54" spans="2:17">
      <c r="B54" s="9" t="str">
        <f t="shared" si="5"/>
        <v/>
      </c>
      <c r="C54" s="153">
        <f>IF(D11="","-",+C53+1)</f>
        <v>2047</v>
      </c>
      <c r="D54" s="159">
        <f>IF(F53+SUM(E$17:E53)=D$10,F53,D$10-SUM(E$17:E53))</f>
        <v>692777.89341547247</v>
      </c>
      <c r="E54" s="160">
        <f>IF(+I14&lt;F53,I14,D54)</f>
        <v>111514.86046511628</v>
      </c>
      <c r="F54" s="159">
        <f t="shared" si="13"/>
        <v>581263.03295035614</v>
      </c>
      <c r="G54" s="161">
        <f t="shared" si="11"/>
        <v>174933.86104748069</v>
      </c>
      <c r="H54" s="142">
        <f t="shared" si="12"/>
        <v>174933.86104748069</v>
      </c>
      <c r="I54" s="156">
        <f t="shared" si="14"/>
        <v>0</v>
      </c>
      <c r="J54" s="156"/>
      <c r="K54" s="334"/>
      <c r="L54" s="158">
        <f t="shared" si="15"/>
        <v>0</v>
      </c>
      <c r="M54" s="334"/>
      <c r="N54" s="158">
        <f t="shared" si="16"/>
        <v>0</v>
      </c>
      <c r="O54" s="158">
        <f t="shared" si="17"/>
        <v>0</v>
      </c>
      <c r="P54" s="4"/>
    </row>
    <row r="55" spans="2:17">
      <c r="B55" s="9" t="str">
        <f t="shared" si="5"/>
        <v/>
      </c>
      <c r="C55" s="153">
        <f>IF(D11="","-",+C54+1)</f>
        <v>2048</v>
      </c>
      <c r="D55" s="159">
        <f>IF(F54+SUM(E$17:E54)=D$10,F54,D$10-SUM(E$17:E54))</f>
        <v>581263.03295035614</v>
      </c>
      <c r="E55" s="160">
        <f>IF(+I14&lt;F54,I14,D55)</f>
        <v>111514.86046511628</v>
      </c>
      <c r="F55" s="159">
        <f t="shared" si="13"/>
        <v>469748.17248523986</v>
      </c>
      <c r="G55" s="161">
        <f t="shared" si="11"/>
        <v>163831.92412469647</v>
      </c>
      <c r="H55" s="142">
        <f t="shared" si="12"/>
        <v>163831.92412469647</v>
      </c>
      <c r="I55" s="156">
        <f t="shared" si="14"/>
        <v>0</v>
      </c>
      <c r="J55" s="156"/>
      <c r="K55" s="334"/>
      <c r="L55" s="158">
        <f t="shared" si="15"/>
        <v>0</v>
      </c>
      <c r="M55" s="334"/>
      <c r="N55" s="158">
        <f t="shared" si="16"/>
        <v>0</v>
      </c>
      <c r="O55" s="158">
        <f t="shared" si="17"/>
        <v>0</v>
      </c>
      <c r="P55" s="4"/>
    </row>
    <row r="56" spans="2:17">
      <c r="B56" s="9" t="str">
        <f t="shared" si="5"/>
        <v/>
      </c>
      <c r="C56" s="153">
        <f>IF(D11="","-",+C55+1)</f>
        <v>2049</v>
      </c>
      <c r="D56" s="159">
        <f>IF(F55+SUM(E$17:E55)=D$10,F55,D$10-SUM(E$17:E55))</f>
        <v>469748.17248523986</v>
      </c>
      <c r="E56" s="160">
        <f>IF(+I14&lt;F55,I14,D56)</f>
        <v>111514.86046511628</v>
      </c>
      <c r="F56" s="159">
        <f t="shared" si="13"/>
        <v>358233.31202012359</v>
      </c>
      <c r="G56" s="161">
        <f t="shared" ref="G56:G72" si="18">+I$12*((D56+F56)/2)+E56</f>
        <v>152729.98720191227</v>
      </c>
      <c r="H56" s="142">
        <f t="shared" ref="H56:H72" si="19">+I$13*((D56+F56)/2)+E56</f>
        <v>152729.98720191227</v>
      </c>
      <c r="I56" s="156">
        <f t="shared" si="14"/>
        <v>0</v>
      </c>
      <c r="J56" s="156"/>
      <c r="K56" s="334"/>
      <c r="L56" s="158">
        <f t="shared" si="15"/>
        <v>0</v>
      </c>
      <c r="M56" s="334"/>
      <c r="N56" s="158">
        <f t="shared" si="16"/>
        <v>0</v>
      </c>
      <c r="O56" s="158">
        <f t="shared" si="17"/>
        <v>0</v>
      </c>
      <c r="P56" s="4"/>
    </row>
    <row r="57" spans="2:17">
      <c r="B57" s="9" t="str">
        <f t="shared" si="5"/>
        <v/>
      </c>
      <c r="C57" s="153">
        <f>IF(D11="","-",+C56+1)</f>
        <v>2050</v>
      </c>
      <c r="D57" s="159">
        <f>IF(F56+SUM(E$17:E56)=D$10,F56,D$10-SUM(E$17:E56))</f>
        <v>358233.31202012359</v>
      </c>
      <c r="E57" s="160">
        <f>IF(+I14&lt;F56,I14,D57)</f>
        <v>111514.86046511628</v>
      </c>
      <c r="F57" s="159">
        <f t="shared" si="13"/>
        <v>246718.45155500731</v>
      </c>
      <c r="G57" s="161">
        <f t="shared" si="18"/>
        <v>141628.05027912805</v>
      </c>
      <c r="H57" s="142">
        <f t="shared" si="19"/>
        <v>141628.05027912805</v>
      </c>
      <c r="I57" s="156">
        <f t="shared" si="14"/>
        <v>0</v>
      </c>
      <c r="J57" s="156"/>
      <c r="K57" s="334"/>
      <c r="L57" s="158">
        <f t="shared" si="15"/>
        <v>0</v>
      </c>
      <c r="M57" s="334"/>
      <c r="N57" s="158">
        <f t="shared" si="16"/>
        <v>0</v>
      </c>
      <c r="O57" s="158">
        <f t="shared" si="17"/>
        <v>0</v>
      </c>
      <c r="P57" s="4"/>
    </row>
    <row r="58" spans="2:17">
      <c r="B58" s="9" t="str">
        <f t="shared" si="5"/>
        <v/>
      </c>
      <c r="C58" s="153">
        <f>IF(D11="","-",+C57+1)</f>
        <v>2051</v>
      </c>
      <c r="D58" s="159">
        <f>IF(F57+SUM(E$17:E57)=D$10,F57,D$10-SUM(E$17:E57))</f>
        <v>246718.45155500731</v>
      </c>
      <c r="E58" s="160">
        <f>IF(+I14&lt;F57,I14,D58)</f>
        <v>111514.86046511628</v>
      </c>
      <c r="F58" s="159">
        <f t="shared" si="13"/>
        <v>135203.59108989104</v>
      </c>
      <c r="G58" s="161">
        <f t="shared" si="18"/>
        <v>130526.11335634385</v>
      </c>
      <c r="H58" s="142">
        <f t="shared" si="19"/>
        <v>130526.11335634385</v>
      </c>
      <c r="I58" s="156">
        <f t="shared" si="14"/>
        <v>0</v>
      </c>
      <c r="J58" s="156"/>
      <c r="K58" s="334"/>
      <c r="L58" s="158">
        <f t="shared" si="15"/>
        <v>0</v>
      </c>
      <c r="M58" s="334"/>
      <c r="N58" s="158">
        <f t="shared" si="16"/>
        <v>0</v>
      </c>
      <c r="O58" s="158">
        <f t="shared" si="17"/>
        <v>0</v>
      </c>
      <c r="P58" s="4"/>
      <c r="Q58" t="str">
        <f>IF(ROUND(Q57,0)=ROUND(SUM(Q18:Q56),0),"","Error -- check allocations above).")</f>
        <v/>
      </c>
    </row>
    <row r="59" spans="2:17">
      <c r="B59" s="9" t="str">
        <f t="shared" si="5"/>
        <v/>
      </c>
      <c r="C59" s="153">
        <f>IF(D11="","-",+C58+1)</f>
        <v>2052</v>
      </c>
      <c r="D59" s="159">
        <f>IF(F58+SUM(E$17:E58)=D$10,F58,D$10-SUM(E$17:E58))</f>
        <v>135203.59108989104</v>
      </c>
      <c r="E59" s="160">
        <f>IF(+I14&lt;F58,I14,D59)</f>
        <v>111514.86046511628</v>
      </c>
      <c r="F59" s="159">
        <f t="shared" si="13"/>
        <v>23688.730624774762</v>
      </c>
      <c r="G59" s="161">
        <f t="shared" si="18"/>
        <v>119424.17643355964</v>
      </c>
      <c r="H59" s="142">
        <f t="shared" si="19"/>
        <v>119424.17643355964</v>
      </c>
      <c r="I59" s="156">
        <f t="shared" si="14"/>
        <v>0</v>
      </c>
      <c r="J59" s="156"/>
      <c r="K59" s="334"/>
      <c r="L59" s="158">
        <f t="shared" si="15"/>
        <v>0</v>
      </c>
      <c r="M59" s="334"/>
      <c r="N59" s="158">
        <f t="shared" si="16"/>
        <v>0</v>
      </c>
      <c r="O59" s="158">
        <f t="shared" si="17"/>
        <v>0</v>
      </c>
      <c r="P59" s="4"/>
    </row>
    <row r="60" spans="2:17">
      <c r="B60" s="9" t="str">
        <f t="shared" si="5"/>
        <v/>
      </c>
      <c r="C60" s="153">
        <f>IF(D11="","-",+C59+1)</f>
        <v>2053</v>
      </c>
      <c r="D60" s="159">
        <f>IF(F59+SUM(E$17:E59)=D$10,F59,D$10-SUM(E$17:E59))</f>
        <v>23688.730624774762</v>
      </c>
      <c r="E60" s="160">
        <f>IF(+I14&lt;F59,I14,D60)</f>
        <v>23688.730624774762</v>
      </c>
      <c r="F60" s="159">
        <f t="shared" si="13"/>
        <v>0</v>
      </c>
      <c r="G60" s="161">
        <f t="shared" si="18"/>
        <v>24867.904378300391</v>
      </c>
      <c r="H60" s="142">
        <f t="shared" si="19"/>
        <v>24867.904378300391</v>
      </c>
      <c r="I60" s="156">
        <f t="shared" si="14"/>
        <v>0</v>
      </c>
      <c r="J60" s="156"/>
      <c r="K60" s="334"/>
      <c r="L60" s="158">
        <f t="shared" si="15"/>
        <v>0</v>
      </c>
      <c r="M60" s="334"/>
      <c r="N60" s="158">
        <f t="shared" si="16"/>
        <v>0</v>
      </c>
      <c r="O60" s="158">
        <f t="shared" si="17"/>
        <v>0</v>
      </c>
      <c r="P60" s="4"/>
    </row>
    <row r="61" spans="2:17">
      <c r="B61" s="9" t="str">
        <f t="shared" si="5"/>
        <v/>
      </c>
      <c r="C61" s="153">
        <f>IF(D11="","-",+C60+1)</f>
        <v>2054</v>
      </c>
      <c r="D61" s="159">
        <f>IF(F60+SUM(E$17:E60)=D$10,F60,D$10-SUM(E$17:E60))</f>
        <v>0</v>
      </c>
      <c r="E61" s="160">
        <f>IF(+I14&lt;F60,I14,D61)</f>
        <v>0</v>
      </c>
      <c r="F61" s="159">
        <f t="shared" si="13"/>
        <v>0</v>
      </c>
      <c r="G61" s="163">
        <f t="shared" si="18"/>
        <v>0</v>
      </c>
      <c r="H61" s="142">
        <f t="shared" si="19"/>
        <v>0</v>
      </c>
      <c r="I61" s="156">
        <f t="shared" si="14"/>
        <v>0</v>
      </c>
      <c r="J61" s="156"/>
      <c r="K61" s="334"/>
      <c r="L61" s="158">
        <f t="shared" si="15"/>
        <v>0</v>
      </c>
      <c r="M61" s="334"/>
      <c r="N61" s="158">
        <f t="shared" si="16"/>
        <v>0</v>
      </c>
      <c r="O61" s="158">
        <f t="shared" si="17"/>
        <v>0</v>
      </c>
      <c r="P61" s="4"/>
    </row>
    <row r="62" spans="2:17">
      <c r="B62" s="9" t="str">
        <f t="shared" si="5"/>
        <v/>
      </c>
      <c r="C62" s="153">
        <f>IF(D11="","-",+C61+1)</f>
        <v>2055</v>
      </c>
      <c r="D62" s="159">
        <f>IF(F61+SUM(E$17:E61)=D$10,F61,D$10-SUM(E$17:E61))</f>
        <v>0</v>
      </c>
      <c r="E62" s="160">
        <f>IF(+I14&lt;F61,I14,D62)</f>
        <v>0</v>
      </c>
      <c r="F62" s="159">
        <f t="shared" si="13"/>
        <v>0</v>
      </c>
      <c r="G62" s="163">
        <f t="shared" si="18"/>
        <v>0</v>
      </c>
      <c r="H62" s="142">
        <f t="shared" si="19"/>
        <v>0</v>
      </c>
      <c r="I62" s="156">
        <f t="shared" si="14"/>
        <v>0</v>
      </c>
      <c r="J62" s="156"/>
      <c r="K62" s="334"/>
      <c r="L62" s="158">
        <f t="shared" si="15"/>
        <v>0</v>
      </c>
      <c r="M62" s="334"/>
      <c r="N62" s="158">
        <f t="shared" si="16"/>
        <v>0</v>
      </c>
      <c r="O62" s="158">
        <f t="shared" si="17"/>
        <v>0</v>
      </c>
      <c r="P62" s="4"/>
    </row>
    <row r="63" spans="2:17">
      <c r="B63" s="9" t="str">
        <f t="shared" si="5"/>
        <v/>
      </c>
      <c r="C63" s="153">
        <f>IF(D11="","-",+C62+1)</f>
        <v>2056</v>
      </c>
      <c r="D63" s="159">
        <f>IF(F62+SUM(E$17:E62)=D$10,F62,D$10-SUM(E$17:E62))</f>
        <v>0</v>
      </c>
      <c r="E63" s="160">
        <f>IF(+I14&lt;F62,I14,D63)</f>
        <v>0</v>
      </c>
      <c r="F63" s="159">
        <f t="shared" si="13"/>
        <v>0</v>
      </c>
      <c r="G63" s="163">
        <f t="shared" si="18"/>
        <v>0</v>
      </c>
      <c r="H63" s="142">
        <f t="shared" si="19"/>
        <v>0</v>
      </c>
      <c r="I63" s="156">
        <f t="shared" si="14"/>
        <v>0</v>
      </c>
      <c r="J63" s="156"/>
      <c r="K63" s="334"/>
      <c r="L63" s="158">
        <f t="shared" si="15"/>
        <v>0</v>
      </c>
      <c r="M63" s="334"/>
      <c r="N63" s="158">
        <f t="shared" si="16"/>
        <v>0</v>
      </c>
      <c r="O63" s="158">
        <f t="shared" si="17"/>
        <v>0</v>
      </c>
      <c r="P63" s="4"/>
    </row>
    <row r="64" spans="2:17">
      <c r="B64" s="9" t="str">
        <f t="shared" si="5"/>
        <v/>
      </c>
      <c r="C64" s="153">
        <f>IF(D11="","-",+C63+1)</f>
        <v>2057</v>
      </c>
      <c r="D64" s="159">
        <f>IF(F63+SUM(E$17:E63)=D$10,F63,D$10-SUM(E$17:E63))</f>
        <v>0</v>
      </c>
      <c r="E64" s="160">
        <f>IF(+I14&lt;F63,I14,D64)</f>
        <v>0</v>
      </c>
      <c r="F64" s="159">
        <f t="shared" si="13"/>
        <v>0</v>
      </c>
      <c r="G64" s="163">
        <f t="shared" si="18"/>
        <v>0</v>
      </c>
      <c r="H64" s="142">
        <f t="shared" si="19"/>
        <v>0</v>
      </c>
      <c r="I64" s="156">
        <f t="shared" si="14"/>
        <v>0</v>
      </c>
      <c r="J64" s="156"/>
      <c r="K64" s="334"/>
      <c r="L64" s="158">
        <f t="shared" si="15"/>
        <v>0</v>
      </c>
      <c r="M64" s="334"/>
      <c r="N64" s="158">
        <f t="shared" si="16"/>
        <v>0</v>
      </c>
      <c r="O64" s="158">
        <f t="shared" si="17"/>
        <v>0</v>
      </c>
      <c r="P64" s="4"/>
    </row>
    <row r="65" spans="1:16">
      <c r="B65" s="9" t="str">
        <f t="shared" si="5"/>
        <v/>
      </c>
      <c r="C65" s="153">
        <f>IF(D11="","-",+C64+1)</f>
        <v>2058</v>
      </c>
      <c r="D65" s="159">
        <f>IF(F64+SUM(E$17:E64)=D$10,F64,D$10-SUM(E$17:E64))</f>
        <v>0</v>
      </c>
      <c r="E65" s="160">
        <f>IF(+I14&lt;F64,I14,D65)</f>
        <v>0</v>
      </c>
      <c r="F65" s="159">
        <f t="shared" si="13"/>
        <v>0</v>
      </c>
      <c r="G65" s="163">
        <f t="shared" si="18"/>
        <v>0</v>
      </c>
      <c r="H65" s="142">
        <f t="shared" si="19"/>
        <v>0</v>
      </c>
      <c r="I65" s="156">
        <f t="shared" si="14"/>
        <v>0</v>
      </c>
      <c r="J65" s="156"/>
      <c r="K65" s="334"/>
      <c r="L65" s="158">
        <f t="shared" si="15"/>
        <v>0</v>
      </c>
      <c r="M65" s="334"/>
      <c r="N65" s="158">
        <f t="shared" si="16"/>
        <v>0</v>
      </c>
      <c r="O65" s="158">
        <f t="shared" si="17"/>
        <v>0</v>
      </c>
      <c r="P65" s="4"/>
    </row>
    <row r="66" spans="1:16">
      <c r="B66" s="9" t="str">
        <f t="shared" si="5"/>
        <v/>
      </c>
      <c r="C66" s="153">
        <f>IF(D11="","-",+C65+1)</f>
        <v>2059</v>
      </c>
      <c r="D66" s="159">
        <f>IF(F65+SUM(E$17:E65)=D$10,F65,D$10-SUM(E$17:E65))</f>
        <v>0</v>
      </c>
      <c r="E66" s="160">
        <f>IF(+I14&lt;F65,I14,D66)</f>
        <v>0</v>
      </c>
      <c r="F66" s="159">
        <f t="shared" si="13"/>
        <v>0</v>
      </c>
      <c r="G66" s="163">
        <f t="shared" si="18"/>
        <v>0</v>
      </c>
      <c r="H66" s="142">
        <f t="shared" si="19"/>
        <v>0</v>
      </c>
      <c r="I66" s="156">
        <f t="shared" si="14"/>
        <v>0</v>
      </c>
      <c r="J66" s="156"/>
      <c r="K66" s="334"/>
      <c r="L66" s="158">
        <f t="shared" si="15"/>
        <v>0</v>
      </c>
      <c r="M66" s="334"/>
      <c r="N66" s="158">
        <f t="shared" si="16"/>
        <v>0</v>
      </c>
      <c r="O66" s="158">
        <f t="shared" si="17"/>
        <v>0</v>
      </c>
      <c r="P66" s="4"/>
    </row>
    <row r="67" spans="1:16">
      <c r="B67" s="9" t="str">
        <f t="shared" si="5"/>
        <v/>
      </c>
      <c r="C67" s="153">
        <f>IF(D11="","-",+C66+1)</f>
        <v>2060</v>
      </c>
      <c r="D67" s="159">
        <f>IF(F66+SUM(E$17:E66)=D$10,F66,D$10-SUM(E$17:E66))</f>
        <v>0</v>
      </c>
      <c r="E67" s="160">
        <f>IF(+I14&lt;F66,I14,D67)</f>
        <v>0</v>
      </c>
      <c r="F67" s="159">
        <f t="shared" si="13"/>
        <v>0</v>
      </c>
      <c r="G67" s="163">
        <f t="shared" si="18"/>
        <v>0</v>
      </c>
      <c r="H67" s="142">
        <f t="shared" si="19"/>
        <v>0</v>
      </c>
      <c r="I67" s="156">
        <f t="shared" si="14"/>
        <v>0</v>
      </c>
      <c r="J67" s="156"/>
      <c r="K67" s="334"/>
      <c r="L67" s="158">
        <f t="shared" si="15"/>
        <v>0</v>
      </c>
      <c r="M67" s="334"/>
      <c r="N67" s="158">
        <f t="shared" si="16"/>
        <v>0</v>
      </c>
      <c r="O67" s="158">
        <f t="shared" si="17"/>
        <v>0</v>
      </c>
      <c r="P67" s="4"/>
    </row>
    <row r="68" spans="1:16">
      <c r="B68" s="9" t="str">
        <f t="shared" si="5"/>
        <v/>
      </c>
      <c r="C68" s="153">
        <f>IF(D11="","-",+C67+1)</f>
        <v>2061</v>
      </c>
      <c r="D68" s="159">
        <f>IF(F67+SUM(E$17:E67)=D$10,F67,D$10-SUM(E$17:E67))</f>
        <v>0</v>
      </c>
      <c r="E68" s="160">
        <f>IF(+I14&lt;F67,I14,D68)</f>
        <v>0</v>
      </c>
      <c r="F68" s="159">
        <f t="shared" si="13"/>
        <v>0</v>
      </c>
      <c r="G68" s="163">
        <f t="shared" si="18"/>
        <v>0</v>
      </c>
      <c r="H68" s="142">
        <f t="shared" si="19"/>
        <v>0</v>
      </c>
      <c r="I68" s="156">
        <f t="shared" si="14"/>
        <v>0</v>
      </c>
      <c r="J68" s="156"/>
      <c r="K68" s="334"/>
      <c r="L68" s="158">
        <f t="shared" si="15"/>
        <v>0</v>
      </c>
      <c r="M68" s="334"/>
      <c r="N68" s="158">
        <f t="shared" si="16"/>
        <v>0</v>
      </c>
      <c r="O68" s="158">
        <f t="shared" si="17"/>
        <v>0</v>
      </c>
      <c r="P68" s="4"/>
    </row>
    <row r="69" spans="1:16">
      <c r="B69" s="9" t="str">
        <f t="shared" si="5"/>
        <v/>
      </c>
      <c r="C69" s="153">
        <f>IF(D11="","-",+C68+1)</f>
        <v>2062</v>
      </c>
      <c r="D69" s="159">
        <f>IF(F68+SUM(E$17:E68)=D$10,F68,D$10-SUM(E$17:E68))</f>
        <v>0</v>
      </c>
      <c r="E69" s="160">
        <f>IF(+I14&lt;F68,I14,D69)</f>
        <v>0</v>
      </c>
      <c r="F69" s="159">
        <f t="shared" si="13"/>
        <v>0</v>
      </c>
      <c r="G69" s="163">
        <f t="shared" si="18"/>
        <v>0</v>
      </c>
      <c r="H69" s="142">
        <f t="shared" si="19"/>
        <v>0</v>
      </c>
      <c r="I69" s="156">
        <f t="shared" si="14"/>
        <v>0</v>
      </c>
      <c r="J69" s="156"/>
      <c r="K69" s="334"/>
      <c r="L69" s="158">
        <f t="shared" si="15"/>
        <v>0</v>
      </c>
      <c r="M69" s="334"/>
      <c r="N69" s="158">
        <f t="shared" si="16"/>
        <v>0</v>
      </c>
      <c r="O69" s="158">
        <f t="shared" si="17"/>
        <v>0</v>
      </c>
      <c r="P69" s="4"/>
    </row>
    <row r="70" spans="1:16">
      <c r="B70" s="9" t="str">
        <f t="shared" si="5"/>
        <v/>
      </c>
      <c r="C70" s="153">
        <f>IF(D11="","-",+C69+1)</f>
        <v>2063</v>
      </c>
      <c r="D70" s="159">
        <f>IF(F69+SUM(E$17:E69)=D$10,F69,D$10-SUM(E$17:E69))</f>
        <v>0</v>
      </c>
      <c r="E70" s="160">
        <f>IF(+I14&lt;F69,I14,D70)</f>
        <v>0</v>
      </c>
      <c r="F70" s="159">
        <f t="shared" si="13"/>
        <v>0</v>
      </c>
      <c r="G70" s="163">
        <f t="shared" si="18"/>
        <v>0</v>
      </c>
      <c r="H70" s="142">
        <f t="shared" si="19"/>
        <v>0</v>
      </c>
      <c r="I70" s="156">
        <f t="shared" si="14"/>
        <v>0</v>
      </c>
      <c r="J70" s="156"/>
      <c r="K70" s="334"/>
      <c r="L70" s="158">
        <f t="shared" si="15"/>
        <v>0</v>
      </c>
      <c r="M70" s="334"/>
      <c r="N70" s="158">
        <f t="shared" si="16"/>
        <v>0</v>
      </c>
      <c r="O70" s="158">
        <f t="shared" si="17"/>
        <v>0</v>
      </c>
      <c r="P70" s="4"/>
    </row>
    <row r="71" spans="1:16">
      <c r="B71" s="9" t="str">
        <f t="shared" si="5"/>
        <v/>
      </c>
      <c r="C71" s="153">
        <f>IF(D11="","-",+C70+1)</f>
        <v>2064</v>
      </c>
      <c r="D71" s="159">
        <f>IF(F70+SUM(E$17:E70)=D$10,F70,D$10-SUM(E$17:E70))</f>
        <v>0</v>
      </c>
      <c r="E71" s="160">
        <f>IF(+I14&lt;F70,I14,D71)</f>
        <v>0</v>
      </c>
      <c r="F71" s="159">
        <f t="shared" si="13"/>
        <v>0</v>
      </c>
      <c r="G71" s="163">
        <f t="shared" si="18"/>
        <v>0</v>
      </c>
      <c r="H71" s="142">
        <f t="shared" si="19"/>
        <v>0</v>
      </c>
      <c r="I71" s="156">
        <f t="shared" si="14"/>
        <v>0</v>
      </c>
      <c r="J71" s="156"/>
      <c r="K71" s="334"/>
      <c r="L71" s="158">
        <f t="shared" si="15"/>
        <v>0</v>
      </c>
      <c r="M71" s="334"/>
      <c r="N71" s="158">
        <f t="shared" si="16"/>
        <v>0</v>
      </c>
      <c r="O71" s="158">
        <f t="shared" si="17"/>
        <v>0</v>
      </c>
      <c r="P71" s="4"/>
    </row>
    <row r="72" spans="1:16" ht="13.5" thickBot="1">
      <c r="B72" s="9" t="str">
        <f t="shared" si="5"/>
        <v/>
      </c>
      <c r="C72" s="164">
        <f>IF(D11="","-",+C71+1)</f>
        <v>2065</v>
      </c>
      <c r="D72" s="165">
        <f>IF(F71+SUM(E$17:E71)=D$10,F71,D$10-SUM(E$17:E71))</f>
        <v>0</v>
      </c>
      <c r="E72" s="166">
        <f>IF(+I14&lt;F71,I14,D72)</f>
        <v>0</v>
      </c>
      <c r="F72" s="165">
        <f t="shared" si="13"/>
        <v>0</v>
      </c>
      <c r="G72" s="167">
        <f t="shared" si="18"/>
        <v>0</v>
      </c>
      <c r="H72" s="124">
        <f t="shared" si="19"/>
        <v>0</v>
      </c>
      <c r="I72" s="168">
        <f t="shared" si="14"/>
        <v>0</v>
      </c>
      <c r="J72" s="156"/>
      <c r="K72" s="335"/>
      <c r="L72" s="169">
        <f t="shared" si="15"/>
        <v>0</v>
      </c>
      <c r="M72" s="335"/>
      <c r="N72" s="169">
        <f t="shared" si="16"/>
        <v>0</v>
      </c>
      <c r="O72" s="169">
        <f t="shared" si="17"/>
        <v>0</v>
      </c>
      <c r="P72" s="4"/>
    </row>
    <row r="73" spans="1:16">
      <c r="C73" s="154" t="s">
        <v>73</v>
      </c>
      <c r="D73" s="111"/>
      <c r="E73" s="111">
        <f>SUM(E17:E72)</f>
        <v>4795138.9999999981</v>
      </c>
      <c r="F73" s="111"/>
      <c r="G73" s="111">
        <f>SUM(G17:G72)</f>
        <v>16561415.770816546</v>
      </c>
      <c r="H73" s="111">
        <f>SUM(H17:H72)</f>
        <v>16561415.770816546</v>
      </c>
      <c r="I73" s="111">
        <f>SUM(I17:I72)</f>
        <v>0</v>
      </c>
      <c r="J73" s="111"/>
      <c r="K73" s="111"/>
      <c r="L73" s="111"/>
      <c r="M73" s="111"/>
      <c r="N73" s="111"/>
      <c r="O73" s="4"/>
      <c r="P73" s="4"/>
    </row>
    <row r="74" spans="1:16">
      <c r="D74" s="2"/>
      <c r="E74" s="1"/>
      <c r="F74" s="1"/>
      <c r="G74" s="1"/>
      <c r="H74" s="3"/>
      <c r="I74" s="3"/>
      <c r="J74" s="111"/>
      <c r="K74" s="3"/>
      <c r="L74" s="3"/>
      <c r="M74" s="3"/>
      <c r="N74" s="3"/>
      <c r="O74" s="1"/>
      <c r="P74" s="1"/>
    </row>
    <row r="75" spans="1:16">
      <c r="C75" s="170" t="s">
        <v>91</v>
      </c>
      <c r="D75" s="2"/>
      <c r="E75" s="1"/>
      <c r="F75" s="1"/>
      <c r="G75" s="1"/>
      <c r="H75" s="3"/>
      <c r="I75" s="3"/>
      <c r="J75" s="111"/>
      <c r="K75" s="3"/>
      <c r="L75" s="3"/>
      <c r="M75" s="3"/>
      <c r="N75" s="3"/>
      <c r="O75" s="1"/>
      <c r="P75" s="1"/>
    </row>
    <row r="76" spans="1:16">
      <c r="C76" s="121" t="s">
        <v>74</v>
      </c>
      <c r="D76" s="2"/>
      <c r="E76" s="1"/>
      <c r="F76" s="1"/>
      <c r="G76" s="1"/>
      <c r="H76" s="3"/>
      <c r="I76" s="3"/>
      <c r="J76" s="111"/>
      <c r="K76" s="3"/>
      <c r="L76" s="3"/>
      <c r="M76" s="3"/>
      <c r="N76" s="3"/>
      <c r="O76" s="4"/>
      <c r="P76" s="4"/>
    </row>
    <row r="77" spans="1:16" ht="18">
      <c r="C77" s="121" t="s">
        <v>75</v>
      </c>
      <c r="D77" s="154"/>
      <c r="E77" s="154"/>
      <c r="F77" s="154"/>
      <c r="G77" s="111"/>
      <c r="H77" s="111"/>
      <c r="I77" s="171"/>
      <c r="J77" s="171"/>
      <c r="K77" s="171"/>
      <c r="L77" s="171"/>
      <c r="M77" s="171"/>
      <c r="N77" s="171"/>
      <c r="O77" s="110"/>
      <c r="P77" s="4"/>
    </row>
    <row r="78" spans="1:16">
      <c r="C78" s="121"/>
      <c r="D78" s="154"/>
      <c r="E78" s="154"/>
      <c r="F78" s="154"/>
      <c r="G78" s="111"/>
      <c r="H78" s="111"/>
      <c r="I78" s="171"/>
      <c r="J78" s="171"/>
      <c r="K78" s="171"/>
      <c r="L78" s="171"/>
      <c r="M78" s="171"/>
      <c r="N78" s="171"/>
      <c r="O78" s="4"/>
      <c r="P78" s="1"/>
    </row>
    <row r="79" spans="1:16" ht="15">
      <c r="A79" s="241"/>
      <c r="B79" s="1"/>
      <c r="C79" s="21"/>
      <c r="D79" s="2"/>
      <c r="E79" s="1"/>
      <c r="F79" s="107"/>
      <c r="G79" s="1"/>
      <c r="H79" s="3"/>
      <c r="I79" s="1"/>
      <c r="J79" s="4"/>
      <c r="K79" s="1"/>
      <c r="L79" s="1"/>
      <c r="M79" s="1"/>
      <c r="N79" s="1"/>
    </row>
    <row r="80" spans="1:16" ht="18">
      <c r="B80" s="1"/>
      <c r="C80" s="242"/>
      <c r="D80" s="2"/>
      <c r="E80" s="1"/>
      <c r="F80" s="107"/>
      <c r="G80" s="1"/>
      <c r="H80" s="3"/>
      <c r="I80" s="1"/>
      <c r="J80" s="4"/>
      <c r="K80" s="1"/>
      <c r="L80" s="1"/>
      <c r="M80" s="1"/>
      <c r="N80" s="1"/>
      <c r="P80" s="244" t="s">
        <v>125</v>
      </c>
    </row>
    <row r="81" spans="1:17">
      <c r="B81" s="1"/>
      <c r="C81" s="242"/>
      <c r="D81" s="2"/>
      <c r="E81" s="1"/>
      <c r="F81" s="107"/>
      <c r="G81" s="1"/>
      <c r="H81" s="3"/>
      <c r="I81" s="1"/>
      <c r="J81" s="4"/>
      <c r="K81" s="1"/>
      <c r="L81" s="1"/>
      <c r="M81" s="1"/>
      <c r="N81" s="1"/>
      <c r="O81" s="1"/>
      <c r="P81" s="1"/>
    </row>
    <row r="82" spans="1:17">
      <c r="B82" s="1"/>
      <c r="C82" s="21"/>
      <c r="D82" s="2"/>
      <c r="E82" s="1"/>
      <c r="F82" s="107"/>
      <c r="G82" s="1"/>
      <c r="H82" s="3"/>
      <c r="I82" s="1"/>
      <c r="J82" s="4"/>
      <c r="K82" s="1"/>
      <c r="L82" s="1"/>
      <c r="M82" s="1"/>
      <c r="N82" s="1"/>
      <c r="O82" s="1"/>
      <c r="P82" s="1"/>
      <c r="Q82" s="1"/>
    </row>
    <row r="83" spans="1:17" ht="20.25">
      <c r="A83" s="243" t="s">
        <v>129</v>
      </c>
      <c r="B83" s="1"/>
      <c r="C83" s="21"/>
      <c r="D83" s="2"/>
      <c r="E83" s="1"/>
      <c r="F83" s="99"/>
      <c r="G83" s="99"/>
      <c r="H83" s="1"/>
      <c r="I83" s="3"/>
      <c r="K83" s="7"/>
      <c r="L83" s="109"/>
      <c r="M83" s="109"/>
      <c r="P83" s="110" t="str">
        <f ca="1">P1</f>
        <v>SWEPCO Project 23 of 73</v>
      </c>
      <c r="Q83" s="1"/>
    </row>
    <row r="84" spans="1:17" ht="18">
      <c r="B84" s="1"/>
      <c r="C84" s="1"/>
      <c r="D84" s="2"/>
      <c r="E84" s="1"/>
      <c r="F84" s="1"/>
      <c r="G84" s="1"/>
      <c r="H84" s="1"/>
      <c r="I84" s="3"/>
      <c r="J84" s="1"/>
      <c r="K84" s="4"/>
      <c r="L84" s="1"/>
      <c r="M84" s="1"/>
      <c r="P84" s="237" t="s">
        <v>123</v>
      </c>
      <c r="Q84" s="1"/>
    </row>
    <row r="85" spans="1:17" ht="18.75" thickBot="1">
      <c r="B85" s="5" t="s">
        <v>40</v>
      </c>
      <c r="C85" s="197" t="s">
        <v>78</v>
      </c>
      <c r="D85" s="2"/>
      <c r="E85" s="1"/>
      <c r="F85" s="1"/>
      <c r="G85" s="1"/>
      <c r="H85" s="1"/>
      <c r="I85" s="3"/>
      <c r="J85" s="3"/>
      <c r="K85" s="111"/>
      <c r="L85" s="3"/>
      <c r="M85" s="3"/>
      <c r="N85" s="3"/>
      <c r="O85" s="111"/>
      <c r="P85" s="1"/>
      <c r="Q85" s="1"/>
    </row>
    <row r="86" spans="1:17" ht="15.75" thickBot="1">
      <c r="C86" s="67"/>
      <c r="D86" s="2"/>
      <c r="E86" s="1"/>
      <c r="F86" s="1"/>
      <c r="G86" s="1"/>
      <c r="H86" s="1"/>
      <c r="I86" s="3"/>
      <c r="J86" s="3"/>
      <c r="K86" s="111"/>
      <c r="L86" s="265">
        <f>+J92</f>
        <v>2017</v>
      </c>
      <c r="M86" s="266" t="s">
        <v>7</v>
      </c>
      <c r="N86" s="270" t="s">
        <v>154</v>
      </c>
      <c r="O86" s="267" t="s">
        <v>9</v>
      </c>
      <c r="P86" s="1"/>
      <c r="Q86" s="1"/>
    </row>
    <row r="87" spans="1:17" ht="15">
      <c r="C87" s="235" t="s">
        <v>42</v>
      </c>
      <c r="D87" s="2"/>
      <c r="E87" s="1"/>
      <c r="F87" s="1"/>
      <c r="G87" s="1"/>
      <c r="H87" s="113"/>
      <c r="I87" s="1" t="s">
        <v>43</v>
      </c>
      <c r="J87" s="1"/>
      <c r="K87" s="261"/>
      <c r="L87" s="259" t="s">
        <v>381</v>
      </c>
      <c r="M87" s="198">
        <f>IF(J92&lt;D11,0,VLOOKUP(J92,C17:O72,9))</f>
        <v>605586.64190337458</v>
      </c>
      <c r="N87" s="198">
        <f>IF(J92&lt;D11,0,VLOOKUP(J92,C17:O72,11))</f>
        <v>605586.64190337458</v>
      </c>
      <c r="O87" s="199">
        <f>+N87-M87</f>
        <v>0</v>
      </c>
      <c r="P87" s="1"/>
      <c r="Q87" s="1"/>
    </row>
    <row r="88" spans="1:17" ht="15.75">
      <c r="C88" s="8"/>
      <c r="D88" s="2"/>
      <c r="E88" s="1"/>
      <c r="F88" s="1"/>
      <c r="G88" s="1"/>
      <c r="H88" s="1"/>
      <c r="I88" s="117"/>
      <c r="J88" s="117"/>
      <c r="K88" s="263"/>
      <c r="L88" s="264" t="s">
        <v>382</v>
      </c>
      <c r="M88" s="200">
        <f>IF(J92&lt;D11,0,VLOOKUP(J92,C99:P154,6))</f>
        <v>599717.14032488305</v>
      </c>
      <c r="N88" s="200">
        <f>IF(J92&lt;D11,0,VLOOKUP(J92,C99:P154,7))</f>
        <v>599717.14032488305</v>
      </c>
      <c r="O88" s="201">
        <f>+N88-M88</f>
        <v>0</v>
      </c>
      <c r="P88" s="1"/>
      <c r="Q88" s="1"/>
    </row>
    <row r="89" spans="1:17" ht="13.5" thickBot="1">
      <c r="C89" s="121" t="s">
        <v>79</v>
      </c>
      <c r="D89" s="274" t="str">
        <f>D7</f>
        <v>Reconductor: Greggton-Lake Lamond &amp; Quitman-Westwood 69 kV lines</v>
      </c>
      <c r="E89" s="1"/>
      <c r="F89" s="1"/>
      <c r="G89" s="1"/>
      <c r="H89" s="1"/>
      <c r="I89" s="3"/>
      <c r="J89" s="3"/>
      <c r="K89" s="262"/>
      <c r="L89" s="260" t="s">
        <v>151</v>
      </c>
      <c r="M89" s="203">
        <f>+M88-M87</f>
        <v>-5869.5015784915304</v>
      </c>
      <c r="N89" s="203">
        <f>+N88-N87</f>
        <v>-5869.5015784915304</v>
      </c>
      <c r="O89" s="204">
        <f>+O88-O87</f>
        <v>0</v>
      </c>
      <c r="P89" s="1"/>
      <c r="Q89" s="1"/>
    </row>
    <row r="90" spans="1:17" ht="13.5" thickBot="1">
      <c r="C90" s="170"/>
      <c r="D90" s="173" t="str">
        <f>D8</f>
        <v/>
      </c>
      <c r="E90" s="107"/>
      <c r="F90" s="107"/>
      <c r="G90" s="107"/>
      <c r="H90" s="126"/>
      <c r="I90" s="3"/>
      <c r="J90" s="3"/>
      <c r="K90" s="111"/>
      <c r="L90" s="3"/>
      <c r="M90" s="3"/>
      <c r="N90" s="3"/>
      <c r="O90" s="111"/>
      <c r="P90" s="1"/>
      <c r="Q90" s="1"/>
    </row>
    <row r="91" spans="1:17" ht="13.5" thickBot="1">
      <c r="A91" s="103"/>
      <c r="C91" s="205" t="s">
        <v>80</v>
      </c>
      <c r="D91" s="224" t="str">
        <f>+D9</f>
        <v>TP2008015</v>
      </c>
      <c r="E91" s="206"/>
      <c r="F91" s="206"/>
      <c r="G91" s="206"/>
      <c r="H91" s="206"/>
      <c r="I91" s="206"/>
      <c r="J91" s="238"/>
      <c r="K91" s="207"/>
      <c r="P91" s="131"/>
      <c r="Q91" s="1"/>
    </row>
    <row r="92" spans="1:17">
      <c r="C92" s="136" t="s">
        <v>47</v>
      </c>
      <c r="D92" s="133">
        <f>IF(D11=I10,0,D10)</f>
        <v>4795139</v>
      </c>
      <c r="E92" s="21" t="s">
        <v>81</v>
      </c>
      <c r="H92" s="134"/>
      <c r="I92" s="134"/>
      <c r="J92" s="135">
        <f>+'SWE.WS.G.BPU.ATRR.True-up'!M15</f>
        <v>2017</v>
      </c>
      <c r="K92" s="130"/>
      <c r="L92" s="111" t="s">
        <v>82</v>
      </c>
      <c r="P92" s="4"/>
      <c r="Q92" s="1"/>
    </row>
    <row r="93" spans="1:17">
      <c r="C93" s="136" t="s">
        <v>49</v>
      </c>
      <c r="D93" s="219">
        <f>IF(D11=I10,"",D11)</f>
        <v>2010</v>
      </c>
      <c r="E93" s="136" t="s">
        <v>50</v>
      </c>
      <c r="F93" s="134"/>
      <c r="G93" s="134"/>
      <c r="J93" s="138">
        <f>IF(H87="",0,'SWE.WS.G.BPU.ATRR.True-up'!$F$12)</f>
        <v>0</v>
      </c>
      <c r="K93" s="139"/>
      <c r="L93" t="str">
        <f>"          INPUT TRUE-UP ARR (WITH &amp; WITHOUT INCENTIVES) FROM EACH PRIOR YEAR"</f>
        <v xml:space="preserve">          INPUT TRUE-UP ARR (WITH &amp; WITHOUT INCENTIVES) FROM EACH PRIOR YEAR</v>
      </c>
      <c r="P93" s="4"/>
      <c r="Q93" s="1"/>
    </row>
    <row r="94" spans="1:17">
      <c r="C94" s="136" t="s">
        <v>51</v>
      </c>
      <c r="D94" s="218">
        <f>IF(D11=I10,"",D12)</f>
        <v>6</v>
      </c>
      <c r="E94" s="136" t="s">
        <v>52</v>
      </c>
      <c r="F94" s="134"/>
      <c r="G94" s="134"/>
      <c r="J94" s="140">
        <f>'SWE.WS.G.BPU.ATRR.True-up'!$F$80</f>
        <v>0.12147145768398206</v>
      </c>
      <c r="K94" s="141"/>
      <c r="L94" t="s">
        <v>83</v>
      </c>
      <c r="P94" s="4"/>
      <c r="Q94" s="1"/>
    </row>
    <row r="95" spans="1:17">
      <c r="C95" s="136" t="s">
        <v>54</v>
      </c>
      <c r="D95" s="138">
        <f>'SWE.WS.G.BPU.ATRR.True-up'!F$92</f>
        <v>42</v>
      </c>
      <c r="E95" s="136" t="s">
        <v>55</v>
      </c>
      <c r="F95" s="134"/>
      <c r="G95" s="134"/>
      <c r="J95" s="140">
        <f>IF(H87="",J94,'SWE.WS.G.BPU.ATRR.True-up'!$F$79)</f>
        <v>0.12147145768398206</v>
      </c>
      <c r="K95" s="58"/>
      <c r="L95" s="111" t="s">
        <v>56</v>
      </c>
      <c r="M95" s="58"/>
      <c r="N95" s="58"/>
      <c r="O95" s="58"/>
      <c r="P95" s="4"/>
      <c r="Q95" s="1"/>
    </row>
    <row r="96" spans="1:17" ht="13.5" thickBot="1">
      <c r="C96" s="136" t="s">
        <v>57</v>
      </c>
      <c r="D96" s="220" t="str">
        <f>+D14</f>
        <v>No</v>
      </c>
      <c r="E96" s="202" t="s">
        <v>59</v>
      </c>
      <c r="F96" s="208"/>
      <c r="G96" s="208"/>
      <c r="H96" s="209"/>
      <c r="I96" s="209"/>
      <c r="J96" s="124">
        <f>IF(D92=0,0,D92/D95)</f>
        <v>114169.97619047618</v>
      </c>
      <c r="K96" s="111"/>
      <c r="L96" s="111"/>
      <c r="M96" s="111"/>
      <c r="N96" s="111"/>
      <c r="O96" s="111"/>
      <c r="P96" s="4"/>
      <c r="Q96" s="1"/>
    </row>
    <row r="97" spans="1:17" ht="38.25">
      <c r="A97" s="6"/>
      <c r="B97" s="6"/>
      <c r="C97" s="210" t="s">
        <v>47</v>
      </c>
      <c r="D97" s="211" t="s">
        <v>60</v>
      </c>
      <c r="E97" s="146" t="s">
        <v>61</v>
      </c>
      <c r="F97" s="146" t="s">
        <v>62</v>
      </c>
      <c r="G97" s="144" t="s">
        <v>84</v>
      </c>
      <c r="H97" s="434" t="s">
        <v>378</v>
      </c>
      <c r="I97" s="435" t="s">
        <v>379</v>
      </c>
      <c r="J97" s="210" t="s">
        <v>85</v>
      </c>
      <c r="K97" s="212"/>
      <c r="L97" s="271" t="s">
        <v>220</v>
      </c>
      <c r="M97" s="146" t="s">
        <v>86</v>
      </c>
      <c r="N97" s="271" t="s">
        <v>220</v>
      </c>
      <c r="O97" s="146" t="s">
        <v>86</v>
      </c>
      <c r="P97" s="146" t="s">
        <v>65</v>
      </c>
      <c r="Q97" s="1"/>
    </row>
    <row r="98" spans="1:17" ht="13.5" thickBot="1">
      <c r="C98" s="147" t="s">
        <v>66</v>
      </c>
      <c r="D98" s="213" t="s">
        <v>67</v>
      </c>
      <c r="E98" s="147" t="s">
        <v>68</v>
      </c>
      <c r="F98" s="147" t="s">
        <v>67</v>
      </c>
      <c r="G98" s="147" t="s">
        <v>67</v>
      </c>
      <c r="H98" s="407" t="s">
        <v>69</v>
      </c>
      <c r="I98" s="148" t="s">
        <v>70</v>
      </c>
      <c r="J98" s="149" t="s">
        <v>89</v>
      </c>
      <c r="K98" s="150"/>
      <c r="L98" s="151" t="s">
        <v>72</v>
      </c>
      <c r="M98" s="151" t="s">
        <v>72</v>
      </c>
      <c r="N98" s="151" t="s">
        <v>90</v>
      </c>
      <c r="O98" s="151" t="s">
        <v>90</v>
      </c>
      <c r="P98" s="151" t="s">
        <v>90</v>
      </c>
      <c r="Q98" s="1"/>
    </row>
    <row r="99" spans="1:17">
      <c r="C99" s="153">
        <f>IF(D93= "","-",D93)</f>
        <v>2010</v>
      </c>
      <c r="D99" s="357">
        <v>0</v>
      </c>
      <c r="E99" s="360">
        <v>58477.304878048781</v>
      </c>
      <c r="F99" s="361">
        <v>4736661.6951219514</v>
      </c>
      <c r="G99" s="365">
        <v>2368330.8475609757</v>
      </c>
      <c r="H99" s="362">
        <v>449455.76564845629</v>
      </c>
      <c r="I99" s="363">
        <v>449455.76564845629</v>
      </c>
      <c r="J99" s="403">
        <f t="shared" ref="J99:J130" si="20">+I99-H99</f>
        <v>0</v>
      </c>
      <c r="K99" s="158"/>
      <c r="L99" s="256">
        <f t="shared" ref="L99:L104" si="21">H99</f>
        <v>449455.76564845629</v>
      </c>
      <c r="M99" s="172">
        <f t="shared" ref="M99:M130" si="22">IF(L99&lt;&gt;0,+H99-L99,0)</f>
        <v>0</v>
      </c>
      <c r="N99" s="256">
        <f t="shared" ref="N99:N104" si="23">I99</f>
        <v>449455.76564845629</v>
      </c>
      <c r="O99" s="157">
        <f t="shared" ref="O99:O130" si="24">IF(N99&lt;&gt;0,+I99-N99,0)</f>
        <v>0</v>
      </c>
      <c r="P99" s="157">
        <f t="shared" ref="P99:P130" si="25">+O99-M99</f>
        <v>0</v>
      </c>
      <c r="Q99" s="1"/>
    </row>
    <row r="100" spans="1:17">
      <c r="B100" s="9" t="str">
        <f>IF(D100=F99,"","IU")</f>
        <v/>
      </c>
      <c r="C100" s="153">
        <f>IF(D93="","-",+C99+1)</f>
        <v>2011</v>
      </c>
      <c r="D100" s="357">
        <v>4736661.6951219514</v>
      </c>
      <c r="E100" s="360">
        <v>114169.97619047618</v>
      </c>
      <c r="F100" s="361">
        <v>4622491.7189314757</v>
      </c>
      <c r="G100" s="361">
        <v>4679576.7070267135</v>
      </c>
      <c r="H100" s="360">
        <v>817884.25936798821</v>
      </c>
      <c r="I100" s="359">
        <v>817884.25936798821</v>
      </c>
      <c r="J100" s="403">
        <f t="shared" si="20"/>
        <v>0</v>
      </c>
      <c r="K100" s="158"/>
      <c r="L100" s="258">
        <f t="shared" si="21"/>
        <v>817884.25936798821</v>
      </c>
      <c r="M100" s="257">
        <f t="shared" si="22"/>
        <v>0</v>
      </c>
      <c r="N100" s="258">
        <f t="shared" si="23"/>
        <v>817884.25936798821</v>
      </c>
      <c r="O100" s="158">
        <f t="shared" si="24"/>
        <v>0</v>
      </c>
      <c r="P100" s="158">
        <f t="shared" si="25"/>
        <v>0</v>
      </c>
      <c r="Q100" s="1"/>
    </row>
    <row r="101" spans="1:17">
      <c r="B101" s="9" t="str">
        <f t="shared" ref="B101:B154" si="26">IF(D101=F100,"","IU")</f>
        <v/>
      </c>
      <c r="C101" s="153">
        <f>IF(D93="","-",+C100+1)</f>
        <v>2012</v>
      </c>
      <c r="D101" s="357">
        <v>4622491.7189314757</v>
      </c>
      <c r="E101" s="360">
        <v>114169.97619047618</v>
      </c>
      <c r="F101" s="361">
        <v>4508321.7427409999</v>
      </c>
      <c r="G101" s="361">
        <v>4565406.7308362378</v>
      </c>
      <c r="H101" s="360">
        <v>785987.52688164287</v>
      </c>
      <c r="I101" s="359">
        <v>785987.52688164287</v>
      </c>
      <c r="J101" s="403">
        <f t="shared" si="20"/>
        <v>0</v>
      </c>
      <c r="K101" s="158"/>
      <c r="L101" s="258">
        <f t="shared" si="21"/>
        <v>785987.52688164287</v>
      </c>
      <c r="M101" s="257">
        <f t="shared" si="22"/>
        <v>0</v>
      </c>
      <c r="N101" s="258">
        <f t="shared" si="23"/>
        <v>785987.52688164287</v>
      </c>
      <c r="O101" s="158">
        <f t="shared" si="24"/>
        <v>0</v>
      </c>
      <c r="P101" s="158">
        <f t="shared" si="25"/>
        <v>0</v>
      </c>
      <c r="Q101" s="1"/>
    </row>
    <row r="102" spans="1:17">
      <c r="B102" s="9" t="str">
        <f t="shared" si="26"/>
        <v/>
      </c>
      <c r="C102" s="153">
        <f>IF(D93="","-",+C101+1)</f>
        <v>2013</v>
      </c>
      <c r="D102" s="357">
        <v>4508321.7427409999</v>
      </c>
      <c r="E102" s="360">
        <v>114169.97619047618</v>
      </c>
      <c r="F102" s="361">
        <v>4394151.7665505242</v>
      </c>
      <c r="G102" s="361">
        <v>4451236.754645762</v>
      </c>
      <c r="H102" s="360">
        <v>716385.37410888227</v>
      </c>
      <c r="I102" s="359">
        <v>716385.37410888227</v>
      </c>
      <c r="J102" s="403">
        <v>0</v>
      </c>
      <c r="K102" s="158"/>
      <c r="L102" s="258">
        <f t="shared" si="21"/>
        <v>716385.37410888227</v>
      </c>
      <c r="M102" s="257">
        <f>IF(L102&lt;&gt;0,+H102-L102,0)</f>
        <v>0</v>
      </c>
      <c r="N102" s="258">
        <f t="shared" si="23"/>
        <v>716385.37410888227</v>
      </c>
      <c r="O102" s="158">
        <f>IF(N102&lt;&gt;0,+I102-N102,0)</f>
        <v>0</v>
      </c>
      <c r="P102" s="158">
        <f>+O102-M102</f>
        <v>0</v>
      </c>
      <c r="Q102" s="1"/>
    </row>
    <row r="103" spans="1:17">
      <c r="B103" s="9" t="str">
        <f t="shared" si="26"/>
        <v/>
      </c>
      <c r="C103" s="153">
        <f>IF(D93="","-",+C102+1)</f>
        <v>2014</v>
      </c>
      <c r="D103" s="357">
        <v>4394151.7665505242</v>
      </c>
      <c r="E103" s="360">
        <v>114169.97619047618</v>
      </c>
      <c r="F103" s="361">
        <v>4279981.7903600484</v>
      </c>
      <c r="G103" s="361">
        <v>4337066.7784552863</v>
      </c>
      <c r="H103" s="360">
        <v>703679.09794769238</v>
      </c>
      <c r="I103" s="359">
        <v>703679.09794769238</v>
      </c>
      <c r="J103" s="158">
        <v>0</v>
      </c>
      <c r="K103" s="158"/>
      <c r="L103" s="258">
        <f t="shared" si="21"/>
        <v>703679.09794769238</v>
      </c>
      <c r="M103" s="257">
        <f>IF(L103&lt;&gt;0,+H103-L103,0)</f>
        <v>0</v>
      </c>
      <c r="N103" s="258">
        <f t="shared" si="23"/>
        <v>703679.09794769238</v>
      </c>
      <c r="O103" s="158">
        <f>IF(N103&lt;&gt;0,+I103-N103,0)</f>
        <v>0</v>
      </c>
      <c r="P103" s="158">
        <f>+O103-M103</f>
        <v>0</v>
      </c>
      <c r="Q103" s="1"/>
    </row>
    <row r="104" spans="1:17">
      <c r="B104" s="9" t="str">
        <f t="shared" si="26"/>
        <v/>
      </c>
      <c r="C104" s="153">
        <f>IF(D93="","-",+C103+1)</f>
        <v>2015</v>
      </c>
      <c r="D104" s="357">
        <v>4279981.7903600484</v>
      </c>
      <c r="E104" s="360">
        <v>114169.97619047618</v>
      </c>
      <c r="F104" s="361">
        <v>4165811.8141695722</v>
      </c>
      <c r="G104" s="361">
        <v>4222896.8022648105</v>
      </c>
      <c r="H104" s="360">
        <v>670616.34920679952</v>
      </c>
      <c r="I104" s="359">
        <v>670616.34920679952</v>
      </c>
      <c r="J104" s="158">
        <f t="shared" si="20"/>
        <v>0</v>
      </c>
      <c r="K104" s="158"/>
      <c r="L104" s="258">
        <f t="shared" si="21"/>
        <v>670616.34920679952</v>
      </c>
      <c r="M104" s="257">
        <f>IF(L104&lt;&gt;0,+H104-L104,0)</f>
        <v>0</v>
      </c>
      <c r="N104" s="258">
        <f t="shared" si="23"/>
        <v>670616.34920679952</v>
      </c>
      <c r="O104" s="158">
        <f>IF(N104&lt;&gt;0,+I104-N104,0)</f>
        <v>0</v>
      </c>
      <c r="P104" s="158">
        <f>+O104-M104</f>
        <v>0</v>
      </c>
      <c r="Q104" s="1"/>
    </row>
    <row r="105" spans="1:17">
      <c r="B105" s="9" t="str">
        <f t="shared" si="26"/>
        <v/>
      </c>
      <c r="C105" s="153">
        <f>IF(D93="","-",+C104+1)</f>
        <v>2016</v>
      </c>
      <c r="D105" s="357">
        <v>4165811.8141695722</v>
      </c>
      <c r="E105" s="360">
        <v>111514.86046511628</v>
      </c>
      <c r="F105" s="361">
        <v>4054296.9537044559</v>
      </c>
      <c r="G105" s="361">
        <v>4110054.3839370143</v>
      </c>
      <c r="H105" s="360">
        <v>633286.2163704508</v>
      </c>
      <c r="I105" s="359">
        <v>633286.2163704508</v>
      </c>
      <c r="J105" s="158">
        <v>0</v>
      </c>
      <c r="K105" s="158"/>
      <c r="L105" s="258">
        <f>H105</f>
        <v>633286.2163704508</v>
      </c>
      <c r="M105" s="257">
        <f>IF(L105&lt;&gt;0,+H105-L105,0)</f>
        <v>0</v>
      </c>
      <c r="N105" s="258">
        <f>I105</f>
        <v>633286.2163704508</v>
      </c>
      <c r="O105" s="158">
        <f>IF(N105&lt;&gt;0,+I105-N105,0)</f>
        <v>0</v>
      </c>
      <c r="P105" s="158">
        <f>+O105-M105</f>
        <v>0</v>
      </c>
      <c r="Q105" s="1"/>
    </row>
    <row r="106" spans="1:17">
      <c r="B106" s="9" t="str">
        <f t="shared" si="26"/>
        <v/>
      </c>
      <c r="C106" s="153">
        <f>IF(D93="","-",+C105+1)</f>
        <v>2017</v>
      </c>
      <c r="D106" s="154">
        <f>IF(F105+SUM(E$99:E105)=D$92,F105,D$92-SUM(E$99:E105))</f>
        <v>4054296.9537044559</v>
      </c>
      <c r="E106" s="160">
        <f>IF(+J96&lt;F105,J96,D106)</f>
        <v>114169.97619047618</v>
      </c>
      <c r="F106" s="159">
        <f t="shared" ref="F106:F131" si="27">+D106-E106</f>
        <v>3940126.9775139797</v>
      </c>
      <c r="G106" s="159">
        <f t="shared" ref="G106:G130" si="28">+(F106+D106)/2</f>
        <v>3997211.965609218</v>
      </c>
      <c r="H106" s="163">
        <f t="shared" ref="H106:H130" si="29">+J$94*G106+E106</f>
        <v>599717.14032488305</v>
      </c>
      <c r="I106" s="253">
        <f t="shared" ref="I106:I130" si="30">+J$95*G106+E106</f>
        <v>599717.14032488305</v>
      </c>
      <c r="J106" s="158">
        <f t="shared" si="20"/>
        <v>0</v>
      </c>
      <c r="K106" s="158"/>
      <c r="L106" s="334"/>
      <c r="M106" s="158">
        <f t="shared" si="22"/>
        <v>0</v>
      </c>
      <c r="N106" s="334"/>
      <c r="O106" s="158">
        <f t="shared" si="24"/>
        <v>0</v>
      </c>
      <c r="P106" s="158">
        <f t="shared" si="25"/>
        <v>0</v>
      </c>
      <c r="Q106" s="1"/>
    </row>
    <row r="107" spans="1:17">
      <c r="B107" s="9" t="str">
        <f t="shared" si="26"/>
        <v/>
      </c>
      <c r="C107" s="153">
        <f>IF(D93="","-",+C106+1)</f>
        <v>2018</v>
      </c>
      <c r="D107" s="154">
        <f>IF(F106+SUM(E$99:E106)=D$92,F106,D$92-SUM(E$99:E106))</f>
        <v>3940126.9775139797</v>
      </c>
      <c r="E107" s="160">
        <f>IF(+J96&lt;F106,J96,D107)</f>
        <v>114169.97619047618</v>
      </c>
      <c r="F107" s="159">
        <f t="shared" si="27"/>
        <v>3825957.0013235034</v>
      </c>
      <c r="G107" s="159">
        <f t="shared" si="28"/>
        <v>3883041.9894187413</v>
      </c>
      <c r="H107" s="163">
        <f t="shared" si="29"/>
        <v>585848.7468932803</v>
      </c>
      <c r="I107" s="253">
        <f t="shared" si="30"/>
        <v>585848.7468932803</v>
      </c>
      <c r="J107" s="158">
        <f t="shared" si="20"/>
        <v>0</v>
      </c>
      <c r="K107" s="158"/>
      <c r="L107" s="334"/>
      <c r="M107" s="158">
        <f t="shared" si="22"/>
        <v>0</v>
      </c>
      <c r="N107" s="334"/>
      <c r="O107" s="158">
        <f t="shared" si="24"/>
        <v>0</v>
      </c>
      <c r="P107" s="158">
        <f t="shared" si="25"/>
        <v>0</v>
      </c>
      <c r="Q107" s="1"/>
    </row>
    <row r="108" spans="1:17">
      <c r="B108" s="9" t="str">
        <f t="shared" si="26"/>
        <v/>
      </c>
      <c r="C108" s="153">
        <f>IF(D93="","-",+C107+1)</f>
        <v>2019</v>
      </c>
      <c r="D108" s="154">
        <f>IF(F107+SUM(E$99:E107)=D$92,F107,D$92-SUM(E$99:E107))</f>
        <v>3825957.0013235034</v>
      </c>
      <c r="E108" s="160">
        <f>IF(+J96&lt;F107,J96,D108)</f>
        <v>114169.97619047618</v>
      </c>
      <c r="F108" s="159">
        <f t="shared" si="27"/>
        <v>3711787.0251330272</v>
      </c>
      <c r="G108" s="159">
        <f t="shared" si="28"/>
        <v>3768872.0132282656</v>
      </c>
      <c r="H108" s="163">
        <f t="shared" si="29"/>
        <v>571980.35346167767</v>
      </c>
      <c r="I108" s="253">
        <f t="shared" si="30"/>
        <v>571980.35346167767</v>
      </c>
      <c r="J108" s="158">
        <f t="shared" si="20"/>
        <v>0</v>
      </c>
      <c r="K108" s="158"/>
      <c r="L108" s="334"/>
      <c r="M108" s="158">
        <f t="shared" si="22"/>
        <v>0</v>
      </c>
      <c r="N108" s="334"/>
      <c r="O108" s="158">
        <f t="shared" si="24"/>
        <v>0</v>
      </c>
      <c r="P108" s="158">
        <f t="shared" si="25"/>
        <v>0</v>
      </c>
      <c r="Q108" s="1"/>
    </row>
    <row r="109" spans="1:17">
      <c r="B109" s="9" t="str">
        <f t="shared" si="26"/>
        <v/>
      </c>
      <c r="C109" s="153">
        <f>IF(D93="","-",+C108+1)</f>
        <v>2020</v>
      </c>
      <c r="D109" s="154">
        <f>IF(F108+SUM(E$99:E108)=D$92,F108,D$92-SUM(E$99:E108))</f>
        <v>3711787.0251330272</v>
      </c>
      <c r="E109" s="160">
        <f>IF(+J96&lt;F108,J96,D109)</f>
        <v>114169.97619047618</v>
      </c>
      <c r="F109" s="159">
        <f t="shared" si="27"/>
        <v>3597617.048942551</v>
      </c>
      <c r="G109" s="159">
        <f t="shared" si="28"/>
        <v>3654702.0370377889</v>
      </c>
      <c r="H109" s="163">
        <f t="shared" si="29"/>
        <v>558111.96003007493</v>
      </c>
      <c r="I109" s="253">
        <f t="shared" si="30"/>
        <v>558111.96003007493</v>
      </c>
      <c r="J109" s="158">
        <f t="shared" si="20"/>
        <v>0</v>
      </c>
      <c r="K109" s="158"/>
      <c r="L109" s="334"/>
      <c r="M109" s="158">
        <f t="shared" si="22"/>
        <v>0</v>
      </c>
      <c r="N109" s="334"/>
      <c r="O109" s="158">
        <f t="shared" si="24"/>
        <v>0</v>
      </c>
      <c r="P109" s="158">
        <f t="shared" si="25"/>
        <v>0</v>
      </c>
      <c r="Q109" s="1"/>
    </row>
    <row r="110" spans="1:17">
      <c r="B110" s="9" t="str">
        <f t="shared" si="26"/>
        <v/>
      </c>
      <c r="C110" s="153">
        <f>IF(D93="","-",+C109+1)</f>
        <v>2021</v>
      </c>
      <c r="D110" s="154">
        <f>IF(F109+SUM(E$99:E109)=D$92,F109,D$92-SUM(E$99:E109))</f>
        <v>3597617.048942551</v>
      </c>
      <c r="E110" s="160">
        <f>IF(+J96&lt;F109,J96,D110)</f>
        <v>114169.97619047618</v>
      </c>
      <c r="F110" s="159">
        <f t="shared" si="27"/>
        <v>3483447.0727520748</v>
      </c>
      <c r="G110" s="159">
        <f t="shared" si="28"/>
        <v>3540532.0608473131</v>
      </c>
      <c r="H110" s="163">
        <f t="shared" si="29"/>
        <v>544243.56659847242</v>
      </c>
      <c r="I110" s="253">
        <f t="shared" si="30"/>
        <v>544243.56659847242</v>
      </c>
      <c r="J110" s="158">
        <f t="shared" si="20"/>
        <v>0</v>
      </c>
      <c r="K110" s="158"/>
      <c r="L110" s="334"/>
      <c r="M110" s="158">
        <f t="shared" si="22"/>
        <v>0</v>
      </c>
      <c r="N110" s="334"/>
      <c r="O110" s="158">
        <f t="shared" si="24"/>
        <v>0</v>
      </c>
      <c r="P110" s="158">
        <f t="shared" si="25"/>
        <v>0</v>
      </c>
      <c r="Q110" s="1"/>
    </row>
    <row r="111" spans="1:17">
      <c r="B111" s="9" t="str">
        <f t="shared" si="26"/>
        <v/>
      </c>
      <c r="C111" s="153">
        <f>IF(D93="","-",+C110+1)</f>
        <v>2022</v>
      </c>
      <c r="D111" s="154">
        <f>IF(F110+SUM(E$99:E110)=D$92,F110,D$92-SUM(E$99:E110))</f>
        <v>3483447.0727520748</v>
      </c>
      <c r="E111" s="160">
        <f>IF(+J96&lt;F110,J96,D111)</f>
        <v>114169.97619047618</v>
      </c>
      <c r="F111" s="159">
        <f t="shared" si="27"/>
        <v>3369277.0965615986</v>
      </c>
      <c r="G111" s="159">
        <f t="shared" si="28"/>
        <v>3426362.0846568365</v>
      </c>
      <c r="H111" s="163">
        <f t="shared" si="29"/>
        <v>530375.17316686967</v>
      </c>
      <c r="I111" s="253">
        <f t="shared" si="30"/>
        <v>530375.17316686967</v>
      </c>
      <c r="J111" s="158">
        <f t="shared" si="20"/>
        <v>0</v>
      </c>
      <c r="K111" s="158"/>
      <c r="L111" s="334"/>
      <c r="M111" s="158">
        <f t="shared" si="22"/>
        <v>0</v>
      </c>
      <c r="N111" s="334"/>
      <c r="O111" s="158">
        <f t="shared" si="24"/>
        <v>0</v>
      </c>
      <c r="P111" s="158">
        <f t="shared" si="25"/>
        <v>0</v>
      </c>
      <c r="Q111" s="1"/>
    </row>
    <row r="112" spans="1:17">
      <c r="B112" s="9" t="str">
        <f t="shared" si="26"/>
        <v/>
      </c>
      <c r="C112" s="153">
        <f>IF(D93="","-",+C111+1)</f>
        <v>2023</v>
      </c>
      <c r="D112" s="154">
        <f>IF(F111+SUM(E$99:E111)=D$92,F111,D$92-SUM(E$99:E111))</f>
        <v>3369277.0965615986</v>
      </c>
      <c r="E112" s="160">
        <f>IF(+J96&lt;F111,J96,D112)</f>
        <v>114169.97619047618</v>
      </c>
      <c r="F112" s="159">
        <f t="shared" si="27"/>
        <v>3255107.1203711224</v>
      </c>
      <c r="G112" s="159">
        <f t="shared" si="28"/>
        <v>3312192.1084663607</v>
      </c>
      <c r="H112" s="163">
        <f t="shared" si="29"/>
        <v>516506.77973526705</v>
      </c>
      <c r="I112" s="253">
        <f t="shared" si="30"/>
        <v>516506.77973526705</v>
      </c>
      <c r="J112" s="158">
        <f t="shared" si="20"/>
        <v>0</v>
      </c>
      <c r="K112" s="158"/>
      <c r="L112" s="334"/>
      <c r="M112" s="158">
        <f t="shared" si="22"/>
        <v>0</v>
      </c>
      <c r="N112" s="334"/>
      <c r="O112" s="158">
        <f t="shared" si="24"/>
        <v>0</v>
      </c>
      <c r="P112" s="158">
        <f t="shared" si="25"/>
        <v>0</v>
      </c>
      <c r="Q112" s="1"/>
    </row>
    <row r="113" spans="2:17">
      <c r="B113" s="9" t="str">
        <f t="shared" si="26"/>
        <v/>
      </c>
      <c r="C113" s="153">
        <f>IF(D93="","-",+C112+1)</f>
        <v>2024</v>
      </c>
      <c r="D113" s="154">
        <f>IF(F112+SUM(E$99:E112)=D$92,F112,D$92-SUM(E$99:E112))</f>
        <v>3255107.1203711224</v>
      </c>
      <c r="E113" s="160">
        <f>IF(+J96&lt;F112,J96,D113)</f>
        <v>114169.97619047618</v>
      </c>
      <c r="F113" s="159">
        <f t="shared" si="27"/>
        <v>3140937.1441806462</v>
      </c>
      <c r="G113" s="159">
        <f t="shared" si="28"/>
        <v>3198022.132275884</v>
      </c>
      <c r="H113" s="163">
        <f t="shared" si="29"/>
        <v>502638.3863036643</v>
      </c>
      <c r="I113" s="253">
        <f t="shared" si="30"/>
        <v>502638.3863036643</v>
      </c>
      <c r="J113" s="158">
        <f t="shared" si="20"/>
        <v>0</v>
      </c>
      <c r="K113" s="158"/>
      <c r="L113" s="334"/>
      <c r="M113" s="158">
        <f t="shared" si="22"/>
        <v>0</v>
      </c>
      <c r="N113" s="334"/>
      <c r="O113" s="158">
        <f t="shared" si="24"/>
        <v>0</v>
      </c>
      <c r="P113" s="158">
        <f t="shared" si="25"/>
        <v>0</v>
      </c>
      <c r="Q113" s="1"/>
    </row>
    <row r="114" spans="2:17">
      <c r="B114" s="9" t="str">
        <f t="shared" si="26"/>
        <v/>
      </c>
      <c r="C114" s="153">
        <f>IF(D93="","-",+C113+1)</f>
        <v>2025</v>
      </c>
      <c r="D114" s="154">
        <f>IF(F113+SUM(E$99:E113)=D$92,F113,D$92-SUM(E$99:E113))</f>
        <v>3140937.1441806462</v>
      </c>
      <c r="E114" s="160">
        <f>IF(+J96&lt;F113,J96,D114)</f>
        <v>114169.97619047618</v>
      </c>
      <c r="F114" s="159">
        <f t="shared" si="27"/>
        <v>3026767.16799017</v>
      </c>
      <c r="G114" s="159">
        <f t="shared" si="28"/>
        <v>3083852.1560854083</v>
      </c>
      <c r="H114" s="163">
        <f t="shared" si="29"/>
        <v>488769.99287206167</v>
      </c>
      <c r="I114" s="253">
        <f t="shared" si="30"/>
        <v>488769.99287206167</v>
      </c>
      <c r="J114" s="158">
        <f t="shared" si="20"/>
        <v>0</v>
      </c>
      <c r="K114" s="158"/>
      <c r="L114" s="334"/>
      <c r="M114" s="158">
        <f t="shared" si="22"/>
        <v>0</v>
      </c>
      <c r="N114" s="334"/>
      <c r="O114" s="158">
        <f t="shared" si="24"/>
        <v>0</v>
      </c>
      <c r="P114" s="158">
        <f t="shared" si="25"/>
        <v>0</v>
      </c>
      <c r="Q114" s="1"/>
    </row>
    <row r="115" spans="2:17">
      <c r="B115" s="9" t="str">
        <f t="shared" si="26"/>
        <v/>
      </c>
      <c r="C115" s="153">
        <f>IF(D93="","-",+C114+1)</f>
        <v>2026</v>
      </c>
      <c r="D115" s="154">
        <f>IF(F114+SUM(E$99:E114)=D$92,F114,D$92-SUM(E$99:E114))</f>
        <v>3026767.16799017</v>
      </c>
      <c r="E115" s="160">
        <f>IF(+J96&lt;F114,J96,D115)</f>
        <v>114169.97619047618</v>
      </c>
      <c r="F115" s="159">
        <f t="shared" si="27"/>
        <v>2912597.1917996937</v>
      </c>
      <c r="G115" s="159">
        <f t="shared" si="28"/>
        <v>2969682.1798949316</v>
      </c>
      <c r="H115" s="163">
        <f t="shared" si="29"/>
        <v>474901.59944045893</v>
      </c>
      <c r="I115" s="253">
        <f t="shared" si="30"/>
        <v>474901.59944045893</v>
      </c>
      <c r="J115" s="158">
        <f t="shared" si="20"/>
        <v>0</v>
      </c>
      <c r="K115" s="158"/>
      <c r="L115" s="334"/>
      <c r="M115" s="158">
        <f t="shared" si="22"/>
        <v>0</v>
      </c>
      <c r="N115" s="334"/>
      <c r="O115" s="158">
        <f t="shared" si="24"/>
        <v>0</v>
      </c>
      <c r="P115" s="158">
        <f t="shared" si="25"/>
        <v>0</v>
      </c>
      <c r="Q115" s="1"/>
    </row>
    <row r="116" spans="2:17">
      <c r="B116" s="9" t="str">
        <f t="shared" si="26"/>
        <v/>
      </c>
      <c r="C116" s="153">
        <f>IF(D93="","-",+C115+1)</f>
        <v>2027</v>
      </c>
      <c r="D116" s="154">
        <f>IF(F115+SUM(E$99:E115)=D$92,F115,D$92-SUM(E$99:E115))</f>
        <v>2912597.1917996937</v>
      </c>
      <c r="E116" s="160">
        <f>IF(+J96&lt;F115,J96,D116)</f>
        <v>114169.97619047618</v>
      </c>
      <c r="F116" s="159">
        <f t="shared" si="27"/>
        <v>2798427.2156092175</v>
      </c>
      <c r="G116" s="159">
        <f t="shared" si="28"/>
        <v>2855512.2037044559</v>
      </c>
      <c r="H116" s="163">
        <f t="shared" si="29"/>
        <v>461033.2060088563</v>
      </c>
      <c r="I116" s="253">
        <f t="shared" si="30"/>
        <v>461033.2060088563</v>
      </c>
      <c r="J116" s="158">
        <f t="shared" si="20"/>
        <v>0</v>
      </c>
      <c r="K116" s="158"/>
      <c r="L116" s="334"/>
      <c r="M116" s="158">
        <f t="shared" si="22"/>
        <v>0</v>
      </c>
      <c r="N116" s="334"/>
      <c r="O116" s="158">
        <f t="shared" si="24"/>
        <v>0</v>
      </c>
      <c r="P116" s="158">
        <f t="shared" si="25"/>
        <v>0</v>
      </c>
      <c r="Q116" s="1"/>
    </row>
    <row r="117" spans="2:17">
      <c r="B117" s="9" t="str">
        <f t="shared" si="26"/>
        <v/>
      </c>
      <c r="C117" s="153">
        <f>IF(D93="","-",+C116+1)</f>
        <v>2028</v>
      </c>
      <c r="D117" s="154">
        <f>IF(F116+SUM(E$99:E116)=D$92,F116,D$92-SUM(E$99:E116))</f>
        <v>2798427.2156092175</v>
      </c>
      <c r="E117" s="160">
        <f>IF(+J96&lt;F116,J96,D117)</f>
        <v>114169.97619047618</v>
      </c>
      <c r="F117" s="159">
        <f t="shared" si="27"/>
        <v>2684257.2394187413</v>
      </c>
      <c r="G117" s="159">
        <f t="shared" si="28"/>
        <v>2741342.2275139792</v>
      </c>
      <c r="H117" s="163">
        <f t="shared" si="29"/>
        <v>447164.81257725367</v>
      </c>
      <c r="I117" s="253">
        <f t="shared" si="30"/>
        <v>447164.81257725367</v>
      </c>
      <c r="J117" s="158">
        <f t="shared" si="20"/>
        <v>0</v>
      </c>
      <c r="K117" s="158"/>
      <c r="L117" s="334"/>
      <c r="M117" s="158">
        <f t="shared" si="22"/>
        <v>0</v>
      </c>
      <c r="N117" s="334"/>
      <c r="O117" s="158">
        <f t="shared" si="24"/>
        <v>0</v>
      </c>
      <c r="P117" s="158">
        <f t="shared" si="25"/>
        <v>0</v>
      </c>
      <c r="Q117" s="1"/>
    </row>
    <row r="118" spans="2:17">
      <c r="B118" s="9" t="str">
        <f t="shared" si="26"/>
        <v/>
      </c>
      <c r="C118" s="153">
        <f>IF(D93="","-",+C117+1)</f>
        <v>2029</v>
      </c>
      <c r="D118" s="154">
        <f>IF(F117+SUM(E$99:E117)=D$92,F117,D$92-SUM(E$99:E117))</f>
        <v>2684257.2394187413</v>
      </c>
      <c r="E118" s="160">
        <f>IF(+J96&lt;F117,J96,D118)</f>
        <v>114169.97619047618</v>
      </c>
      <c r="F118" s="159">
        <f t="shared" si="27"/>
        <v>2570087.2632282651</v>
      </c>
      <c r="G118" s="159">
        <f t="shared" si="28"/>
        <v>2627172.2513235034</v>
      </c>
      <c r="H118" s="163">
        <f t="shared" si="29"/>
        <v>433296.41914565105</v>
      </c>
      <c r="I118" s="253">
        <f t="shared" si="30"/>
        <v>433296.41914565105</v>
      </c>
      <c r="J118" s="158">
        <f t="shared" si="20"/>
        <v>0</v>
      </c>
      <c r="K118" s="158"/>
      <c r="L118" s="334"/>
      <c r="M118" s="158">
        <f t="shared" si="22"/>
        <v>0</v>
      </c>
      <c r="N118" s="334"/>
      <c r="O118" s="158">
        <f t="shared" si="24"/>
        <v>0</v>
      </c>
      <c r="P118" s="158">
        <f t="shared" si="25"/>
        <v>0</v>
      </c>
      <c r="Q118" s="1"/>
    </row>
    <row r="119" spans="2:17">
      <c r="B119" s="9" t="str">
        <f t="shared" si="26"/>
        <v/>
      </c>
      <c r="C119" s="153">
        <f>IF(D93="","-",+C118+1)</f>
        <v>2030</v>
      </c>
      <c r="D119" s="154">
        <f>IF(F118+SUM(E$99:E118)=D$92,F118,D$92-SUM(E$99:E118))</f>
        <v>2570087.2632282651</v>
      </c>
      <c r="E119" s="160">
        <f>IF(+J96&lt;F118,J96,D119)</f>
        <v>114169.97619047618</v>
      </c>
      <c r="F119" s="159">
        <f t="shared" si="27"/>
        <v>2455917.2870377889</v>
      </c>
      <c r="G119" s="159">
        <f t="shared" si="28"/>
        <v>2513002.2751330268</v>
      </c>
      <c r="H119" s="163">
        <f t="shared" si="29"/>
        <v>419428.0257140483</v>
      </c>
      <c r="I119" s="253">
        <f t="shared" si="30"/>
        <v>419428.0257140483</v>
      </c>
      <c r="J119" s="158">
        <f t="shared" si="20"/>
        <v>0</v>
      </c>
      <c r="K119" s="158"/>
      <c r="L119" s="334"/>
      <c r="M119" s="158">
        <f t="shared" si="22"/>
        <v>0</v>
      </c>
      <c r="N119" s="334"/>
      <c r="O119" s="158">
        <f t="shared" si="24"/>
        <v>0</v>
      </c>
      <c r="P119" s="158">
        <f t="shared" si="25"/>
        <v>0</v>
      </c>
      <c r="Q119" s="1"/>
    </row>
    <row r="120" spans="2:17">
      <c r="B120" s="9" t="str">
        <f t="shared" si="26"/>
        <v/>
      </c>
      <c r="C120" s="153">
        <f>IF(D93="","-",+C119+1)</f>
        <v>2031</v>
      </c>
      <c r="D120" s="154">
        <f>IF(F119+SUM(E$99:E119)=D$92,F119,D$92-SUM(E$99:E119))</f>
        <v>2455917.2870377889</v>
      </c>
      <c r="E120" s="160">
        <f>IF(+J96&lt;F119,J96,D120)</f>
        <v>114169.97619047618</v>
      </c>
      <c r="F120" s="159">
        <f t="shared" si="27"/>
        <v>2341747.3108473127</v>
      </c>
      <c r="G120" s="159">
        <f t="shared" si="28"/>
        <v>2398832.298942551</v>
      </c>
      <c r="H120" s="163">
        <f t="shared" si="29"/>
        <v>405559.63228244567</v>
      </c>
      <c r="I120" s="253">
        <f t="shared" si="30"/>
        <v>405559.63228244567</v>
      </c>
      <c r="J120" s="158">
        <f t="shared" si="20"/>
        <v>0</v>
      </c>
      <c r="K120" s="158"/>
      <c r="L120" s="334"/>
      <c r="M120" s="158">
        <f t="shared" si="22"/>
        <v>0</v>
      </c>
      <c r="N120" s="334"/>
      <c r="O120" s="158">
        <f t="shared" si="24"/>
        <v>0</v>
      </c>
      <c r="P120" s="158">
        <f t="shared" si="25"/>
        <v>0</v>
      </c>
      <c r="Q120" s="1"/>
    </row>
    <row r="121" spans="2:17">
      <c r="B121" s="9" t="str">
        <f t="shared" si="26"/>
        <v/>
      </c>
      <c r="C121" s="153">
        <f>IF(D93="","-",+C120+1)</f>
        <v>2032</v>
      </c>
      <c r="D121" s="154">
        <f>IF(F120+SUM(E$99:E120)=D$92,F120,D$92-SUM(E$99:E120))</f>
        <v>2341747.3108473127</v>
      </c>
      <c r="E121" s="160">
        <f>IF(+J96&lt;F120,J96,D121)</f>
        <v>114169.97619047618</v>
      </c>
      <c r="F121" s="159">
        <f t="shared" si="27"/>
        <v>2227577.3346568365</v>
      </c>
      <c r="G121" s="159">
        <f t="shared" si="28"/>
        <v>2284662.3227520743</v>
      </c>
      <c r="H121" s="163">
        <f t="shared" si="29"/>
        <v>391691.23885084293</v>
      </c>
      <c r="I121" s="253">
        <f t="shared" si="30"/>
        <v>391691.23885084293</v>
      </c>
      <c r="J121" s="158">
        <f t="shared" si="20"/>
        <v>0</v>
      </c>
      <c r="K121" s="158"/>
      <c r="L121" s="334"/>
      <c r="M121" s="158">
        <f t="shared" si="22"/>
        <v>0</v>
      </c>
      <c r="N121" s="334"/>
      <c r="O121" s="158">
        <f t="shared" si="24"/>
        <v>0</v>
      </c>
      <c r="P121" s="158">
        <f t="shared" si="25"/>
        <v>0</v>
      </c>
      <c r="Q121" s="1"/>
    </row>
    <row r="122" spans="2:17">
      <c r="B122" s="9" t="str">
        <f t="shared" si="26"/>
        <v/>
      </c>
      <c r="C122" s="153">
        <f>IF(D93="","-",+C121+1)</f>
        <v>2033</v>
      </c>
      <c r="D122" s="154">
        <f>IF(F121+SUM(E$99:E121)=D$92,F121,D$92-SUM(E$99:E121))</f>
        <v>2227577.3346568365</v>
      </c>
      <c r="E122" s="160">
        <f>IF(+J96&lt;F121,J96,D122)</f>
        <v>114169.97619047618</v>
      </c>
      <c r="F122" s="159">
        <f t="shared" si="27"/>
        <v>2113407.3584663603</v>
      </c>
      <c r="G122" s="159">
        <f t="shared" si="28"/>
        <v>2170492.3465615986</v>
      </c>
      <c r="H122" s="163">
        <f t="shared" si="29"/>
        <v>377822.8454192403</v>
      </c>
      <c r="I122" s="253">
        <f t="shared" si="30"/>
        <v>377822.8454192403</v>
      </c>
      <c r="J122" s="158">
        <f t="shared" si="20"/>
        <v>0</v>
      </c>
      <c r="K122" s="158"/>
      <c r="L122" s="334"/>
      <c r="M122" s="158">
        <f t="shared" si="22"/>
        <v>0</v>
      </c>
      <c r="N122" s="334"/>
      <c r="O122" s="158">
        <f t="shared" si="24"/>
        <v>0</v>
      </c>
      <c r="P122" s="158">
        <f t="shared" si="25"/>
        <v>0</v>
      </c>
      <c r="Q122" s="1"/>
    </row>
    <row r="123" spans="2:17">
      <c r="B123" s="9" t="str">
        <f t="shared" si="26"/>
        <v/>
      </c>
      <c r="C123" s="153">
        <f>IF(D93="","-",+C122+1)</f>
        <v>2034</v>
      </c>
      <c r="D123" s="154">
        <f>IF(F122+SUM(E$99:E122)=D$92,F122,D$92-SUM(E$99:E122))</f>
        <v>2113407.3584663603</v>
      </c>
      <c r="E123" s="160">
        <f>IF(+J96&lt;F122,J96,D123)</f>
        <v>114169.97619047618</v>
      </c>
      <c r="F123" s="159">
        <f t="shared" si="27"/>
        <v>1999237.382275884</v>
      </c>
      <c r="G123" s="159">
        <f t="shared" si="28"/>
        <v>2056322.3703711221</v>
      </c>
      <c r="H123" s="163">
        <f t="shared" si="29"/>
        <v>363954.45198763761</v>
      </c>
      <c r="I123" s="253">
        <f t="shared" si="30"/>
        <v>363954.45198763761</v>
      </c>
      <c r="J123" s="158">
        <f t="shared" si="20"/>
        <v>0</v>
      </c>
      <c r="K123" s="158"/>
      <c r="L123" s="334"/>
      <c r="M123" s="158">
        <f t="shared" si="22"/>
        <v>0</v>
      </c>
      <c r="N123" s="334"/>
      <c r="O123" s="158">
        <f t="shared" si="24"/>
        <v>0</v>
      </c>
      <c r="P123" s="158">
        <f t="shared" si="25"/>
        <v>0</v>
      </c>
      <c r="Q123" s="1"/>
    </row>
    <row r="124" spans="2:17">
      <c r="B124" s="9" t="str">
        <f t="shared" si="26"/>
        <v/>
      </c>
      <c r="C124" s="153">
        <f>IF(D93="","-",+C123+1)</f>
        <v>2035</v>
      </c>
      <c r="D124" s="154">
        <f>IF(F123+SUM(E$99:E123)=D$92,F123,D$92-SUM(E$99:E123))</f>
        <v>1999237.382275884</v>
      </c>
      <c r="E124" s="160">
        <f>IF(+J96&lt;F123,J96,D124)</f>
        <v>114169.97619047618</v>
      </c>
      <c r="F124" s="159">
        <f t="shared" si="27"/>
        <v>1885067.4060854078</v>
      </c>
      <c r="G124" s="159">
        <f t="shared" si="28"/>
        <v>1942152.3941806459</v>
      </c>
      <c r="H124" s="163">
        <f t="shared" si="29"/>
        <v>350086.05855603493</v>
      </c>
      <c r="I124" s="253">
        <f t="shared" si="30"/>
        <v>350086.05855603493</v>
      </c>
      <c r="J124" s="158">
        <f t="shared" si="20"/>
        <v>0</v>
      </c>
      <c r="K124" s="158"/>
      <c r="L124" s="334"/>
      <c r="M124" s="158">
        <f t="shared" si="22"/>
        <v>0</v>
      </c>
      <c r="N124" s="334"/>
      <c r="O124" s="158">
        <f t="shared" si="24"/>
        <v>0</v>
      </c>
      <c r="P124" s="158">
        <f t="shared" si="25"/>
        <v>0</v>
      </c>
      <c r="Q124" s="1"/>
    </row>
    <row r="125" spans="2:17">
      <c r="B125" s="9" t="str">
        <f t="shared" si="26"/>
        <v/>
      </c>
      <c r="C125" s="153">
        <f>IF(D93="","-",+C124+1)</f>
        <v>2036</v>
      </c>
      <c r="D125" s="154">
        <f>IF(F124+SUM(E$99:E124)=D$92,F124,D$92-SUM(E$99:E124))</f>
        <v>1885067.4060854078</v>
      </c>
      <c r="E125" s="160">
        <f>IF(+J96&lt;F124,J96,D125)</f>
        <v>114169.97619047618</v>
      </c>
      <c r="F125" s="159">
        <f t="shared" si="27"/>
        <v>1770897.4298949316</v>
      </c>
      <c r="G125" s="159">
        <f t="shared" si="28"/>
        <v>1827982.4179901697</v>
      </c>
      <c r="H125" s="163">
        <f t="shared" si="29"/>
        <v>336217.6651244323</v>
      </c>
      <c r="I125" s="253">
        <f t="shared" si="30"/>
        <v>336217.6651244323</v>
      </c>
      <c r="J125" s="158">
        <f t="shared" si="20"/>
        <v>0</v>
      </c>
      <c r="K125" s="158"/>
      <c r="L125" s="334"/>
      <c r="M125" s="158">
        <f t="shared" si="22"/>
        <v>0</v>
      </c>
      <c r="N125" s="334"/>
      <c r="O125" s="158">
        <f t="shared" si="24"/>
        <v>0</v>
      </c>
      <c r="P125" s="158">
        <f t="shared" si="25"/>
        <v>0</v>
      </c>
      <c r="Q125" s="1"/>
    </row>
    <row r="126" spans="2:17">
      <c r="B126" s="9" t="str">
        <f t="shared" si="26"/>
        <v/>
      </c>
      <c r="C126" s="153">
        <f>IF(D93="","-",+C125+1)</f>
        <v>2037</v>
      </c>
      <c r="D126" s="154">
        <f>IF(F125+SUM(E$99:E125)=D$92,F125,D$92-SUM(E$99:E125))</f>
        <v>1770897.4298949316</v>
      </c>
      <c r="E126" s="160">
        <f>IF(+J96&lt;F125,J96,D126)</f>
        <v>114169.97619047618</v>
      </c>
      <c r="F126" s="159">
        <f t="shared" si="27"/>
        <v>1656727.4537044554</v>
      </c>
      <c r="G126" s="159">
        <f t="shared" si="28"/>
        <v>1713812.4417996935</v>
      </c>
      <c r="H126" s="163">
        <f t="shared" si="29"/>
        <v>322349.27169282961</v>
      </c>
      <c r="I126" s="253">
        <f t="shared" si="30"/>
        <v>322349.27169282961</v>
      </c>
      <c r="J126" s="158">
        <f t="shared" si="20"/>
        <v>0</v>
      </c>
      <c r="K126" s="158"/>
      <c r="L126" s="334"/>
      <c r="M126" s="158">
        <f t="shared" si="22"/>
        <v>0</v>
      </c>
      <c r="N126" s="334"/>
      <c r="O126" s="158">
        <f t="shared" si="24"/>
        <v>0</v>
      </c>
      <c r="P126" s="158">
        <f t="shared" si="25"/>
        <v>0</v>
      </c>
      <c r="Q126" s="1"/>
    </row>
    <row r="127" spans="2:17">
      <c r="B127" s="9" t="str">
        <f t="shared" si="26"/>
        <v/>
      </c>
      <c r="C127" s="153">
        <f>IF(D93="","-",+C126+1)</f>
        <v>2038</v>
      </c>
      <c r="D127" s="154">
        <f>IF(F126+SUM(E$99:E126)=D$92,F126,D$92-SUM(E$99:E126))</f>
        <v>1656727.4537044554</v>
      </c>
      <c r="E127" s="160">
        <f>IF(+J96&lt;F126,J96,D127)</f>
        <v>114169.97619047618</v>
      </c>
      <c r="F127" s="159">
        <f t="shared" si="27"/>
        <v>1542557.4775139792</v>
      </c>
      <c r="G127" s="159">
        <f t="shared" si="28"/>
        <v>1599642.4656092173</v>
      </c>
      <c r="H127" s="163">
        <f t="shared" si="29"/>
        <v>308480.87826122693</v>
      </c>
      <c r="I127" s="253">
        <f t="shared" si="30"/>
        <v>308480.87826122693</v>
      </c>
      <c r="J127" s="158">
        <f t="shared" si="20"/>
        <v>0</v>
      </c>
      <c r="K127" s="158"/>
      <c r="L127" s="334"/>
      <c r="M127" s="158">
        <f t="shared" si="22"/>
        <v>0</v>
      </c>
      <c r="N127" s="334"/>
      <c r="O127" s="158">
        <f t="shared" si="24"/>
        <v>0</v>
      </c>
      <c r="P127" s="158">
        <f t="shared" si="25"/>
        <v>0</v>
      </c>
      <c r="Q127" s="1"/>
    </row>
    <row r="128" spans="2:17">
      <c r="B128" s="9" t="str">
        <f t="shared" si="26"/>
        <v/>
      </c>
      <c r="C128" s="153">
        <f>IF(D93="","-",+C127+1)</f>
        <v>2039</v>
      </c>
      <c r="D128" s="154">
        <f>IF(F127+SUM(E$99:E127)=D$92,F127,D$92-SUM(E$99:E127))</f>
        <v>1542557.4775139792</v>
      </c>
      <c r="E128" s="160">
        <f>IF(+J96&lt;F127,J96,D128)</f>
        <v>114169.97619047618</v>
      </c>
      <c r="F128" s="159">
        <f t="shared" si="27"/>
        <v>1428387.501323503</v>
      </c>
      <c r="G128" s="159">
        <f t="shared" si="28"/>
        <v>1485472.4894187411</v>
      </c>
      <c r="H128" s="163">
        <f t="shared" si="29"/>
        <v>294612.4848296243</v>
      </c>
      <c r="I128" s="253">
        <f t="shared" si="30"/>
        <v>294612.4848296243</v>
      </c>
      <c r="J128" s="158">
        <f t="shared" si="20"/>
        <v>0</v>
      </c>
      <c r="K128" s="158"/>
      <c r="L128" s="334"/>
      <c r="M128" s="158">
        <f t="shared" si="22"/>
        <v>0</v>
      </c>
      <c r="N128" s="334"/>
      <c r="O128" s="158">
        <f t="shared" si="24"/>
        <v>0</v>
      </c>
      <c r="P128" s="158">
        <f t="shared" si="25"/>
        <v>0</v>
      </c>
      <c r="Q128" s="1"/>
    </row>
    <row r="129" spans="2:17">
      <c r="B129" s="9" t="str">
        <f t="shared" si="26"/>
        <v/>
      </c>
      <c r="C129" s="153">
        <f>IF(D93="","-",+C128+1)</f>
        <v>2040</v>
      </c>
      <c r="D129" s="154">
        <f>IF(F128+SUM(E$99:E128)=D$92,F128,D$92-SUM(E$99:E128))</f>
        <v>1428387.501323503</v>
      </c>
      <c r="E129" s="160">
        <f>IF(+J96&lt;F128,J96,D129)</f>
        <v>114169.97619047618</v>
      </c>
      <c r="F129" s="159">
        <f t="shared" si="27"/>
        <v>1314217.5251330268</v>
      </c>
      <c r="G129" s="159">
        <f t="shared" si="28"/>
        <v>1371302.5132282649</v>
      </c>
      <c r="H129" s="163">
        <f t="shared" si="29"/>
        <v>280744.09139802161</v>
      </c>
      <c r="I129" s="253">
        <f t="shared" si="30"/>
        <v>280744.09139802161</v>
      </c>
      <c r="J129" s="158">
        <f t="shared" si="20"/>
        <v>0</v>
      </c>
      <c r="K129" s="158"/>
      <c r="L129" s="334"/>
      <c r="M129" s="158">
        <f t="shared" si="22"/>
        <v>0</v>
      </c>
      <c r="N129" s="334"/>
      <c r="O129" s="158">
        <f t="shared" si="24"/>
        <v>0</v>
      </c>
      <c r="P129" s="158">
        <f t="shared" si="25"/>
        <v>0</v>
      </c>
      <c r="Q129" s="1"/>
    </row>
    <row r="130" spans="2:17">
      <c r="B130" s="9" t="str">
        <f t="shared" si="26"/>
        <v/>
      </c>
      <c r="C130" s="153">
        <f>IF(D93="","-",+C129+1)</f>
        <v>2041</v>
      </c>
      <c r="D130" s="154">
        <f>IF(F129+SUM(E$99:E129)=D$92,F129,D$92-SUM(E$99:E129))</f>
        <v>1314217.5251330268</v>
      </c>
      <c r="E130" s="160">
        <f>IF(+J96&lt;F129,J96,D130)</f>
        <v>114169.97619047618</v>
      </c>
      <c r="F130" s="159">
        <f t="shared" si="27"/>
        <v>1200047.5489425506</v>
      </c>
      <c r="G130" s="159">
        <f t="shared" si="28"/>
        <v>1257132.5370377887</v>
      </c>
      <c r="H130" s="163">
        <f t="shared" si="29"/>
        <v>266875.69796641893</v>
      </c>
      <c r="I130" s="253">
        <f t="shared" si="30"/>
        <v>266875.69796641893</v>
      </c>
      <c r="J130" s="158">
        <f t="shared" si="20"/>
        <v>0</v>
      </c>
      <c r="K130" s="158"/>
      <c r="L130" s="334"/>
      <c r="M130" s="158">
        <f t="shared" si="22"/>
        <v>0</v>
      </c>
      <c r="N130" s="334"/>
      <c r="O130" s="158">
        <f t="shared" si="24"/>
        <v>0</v>
      </c>
      <c r="P130" s="158">
        <f t="shared" si="25"/>
        <v>0</v>
      </c>
      <c r="Q130" s="1"/>
    </row>
    <row r="131" spans="2:17">
      <c r="B131" s="9" t="str">
        <f t="shared" si="26"/>
        <v/>
      </c>
      <c r="C131" s="153">
        <f>IF(D93="","-",+C130+1)</f>
        <v>2042</v>
      </c>
      <c r="D131" s="154">
        <f>IF(F130+SUM(E$99:E130)=D$92,F130,D$92-SUM(E$99:E130))</f>
        <v>1200047.5489425506</v>
      </c>
      <c r="E131" s="160">
        <f>IF(+J96&lt;F130,J96,D131)</f>
        <v>114169.97619047618</v>
      </c>
      <c r="F131" s="159">
        <f t="shared" si="27"/>
        <v>1085877.5727520743</v>
      </c>
      <c r="G131" s="159">
        <f t="shared" ref="G131:G154" si="31">+(F131+D131)/2</f>
        <v>1142962.5608473124</v>
      </c>
      <c r="H131" s="163">
        <f t="shared" ref="H131:H154" si="32">+J$94*G131+E131</f>
        <v>253007.30453481627</v>
      </c>
      <c r="I131" s="253">
        <f t="shared" ref="I131:I154" si="33">+J$95*G131+E131</f>
        <v>253007.30453481627</v>
      </c>
      <c r="J131" s="158">
        <f t="shared" ref="J131:J154" si="34">+I131-H131</f>
        <v>0</v>
      </c>
      <c r="K131" s="158"/>
      <c r="L131" s="334"/>
      <c r="M131" s="158">
        <f t="shared" ref="M131:M154" si="35">IF(L131&lt;&gt;0,+H131-L131,0)</f>
        <v>0</v>
      </c>
      <c r="N131" s="334"/>
      <c r="O131" s="158">
        <f t="shared" ref="O131:O154" si="36">IF(N131&lt;&gt;0,+I131-N131,0)</f>
        <v>0</v>
      </c>
      <c r="P131" s="158">
        <f t="shared" ref="P131:P154" si="37">+O131-M131</f>
        <v>0</v>
      </c>
      <c r="Q131" s="1"/>
    </row>
    <row r="132" spans="2:17">
      <c r="B132" s="9" t="str">
        <f t="shared" si="26"/>
        <v/>
      </c>
      <c r="C132" s="153">
        <f>IF(D93="","-",+C131+1)</f>
        <v>2043</v>
      </c>
      <c r="D132" s="154">
        <f>IF(F131+SUM(E$99:E131)=D$92,F131,D$92-SUM(E$99:E131))</f>
        <v>1085877.5727520743</v>
      </c>
      <c r="E132" s="160">
        <f>IF(+J96&lt;F131,J96,D132)</f>
        <v>114169.97619047618</v>
      </c>
      <c r="F132" s="159">
        <f t="shared" ref="F132:F154" si="38">+D132-E132</f>
        <v>971707.59656159813</v>
      </c>
      <c r="G132" s="159">
        <f t="shared" si="31"/>
        <v>1028792.5846568362</v>
      </c>
      <c r="H132" s="163">
        <f t="shared" si="32"/>
        <v>239138.91110321361</v>
      </c>
      <c r="I132" s="253">
        <f t="shared" si="33"/>
        <v>239138.91110321361</v>
      </c>
      <c r="J132" s="158">
        <f t="shared" si="34"/>
        <v>0</v>
      </c>
      <c r="K132" s="158"/>
      <c r="L132" s="334"/>
      <c r="M132" s="158">
        <f t="shared" si="35"/>
        <v>0</v>
      </c>
      <c r="N132" s="334"/>
      <c r="O132" s="158">
        <f t="shared" si="36"/>
        <v>0</v>
      </c>
      <c r="P132" s="158">
        <f t="shared" si="37"/>
        <v>0</v>
      </c>
      <c r="Q132" s="1"/>
    </row>
    <row r="133" spans="2:17">
      <c r="B133" s="9" t="str">
        <f t="shared" si="26"/>
        <v/>
      </c>
      <c r="C133" s="153">
        <f>IF(D93="","-",+C132+1)</f>
        <v>2044</v>
      </c>
      <c r="D133" s="154">
        <f>IF(F132+SUM(E$99:E132)=D$92,F132,D$92-SUM(E$99:E132))</f>
        <v>971707.59656159813</v>
      </c>
      <c r="E133" s="160">
        <f>IF(+J96&lt;F132,J96,D133)</f>
        <v>114169.97619047618</v>
      </c>
      <c r="F133" s="159">
        <f t="shared" si="38"/>
        <v>857537.62037112191</v>
      </c>
      <c r="G133" s="159">
        <f t="shared" si="31"/>
        <v>914622.60846636002</v>
      </c>
      <c r="H133" s="163">
        <f t="shared" si="32"/>
        <v>225270.51767161093</v>
      </c>
      <c r="I133" s="253">
        <f t="shared" si="33"/>
        <v>225270.51767161093</v>
      </c>
      <c r="J133" s="158">
        <f t="shared" si="34"/>
        <v>0</v>
      </c>
      <c r="K133" s="158"/>
      <c r="L133" s="334"/>
      <c r="M133" s="158">
        <f t="shared" si="35"/>
        <v>0</v>
      </c>
      <c r="N133" s="334"/>
      <c r="O133" s="158">
        <f t="shared" si="36"/>
        <v>0</v>
      </c>
      <c r="P133" s="158">
        <f t="shared" si="37"/>
        <v>0</v>
      </c>
      <c r="Q133" s="1"/>
    </row>
    <row r="134" spans="2:17">
      <c r="B134" s="9" t="str">
        <f t="shared" si="26"/>
        <v/>
      </c>
      <c r="C134" s="153">
        <f>IF(D93="","-",+C133+1)</f>
        <v>2045</v>
      </c>
      <c r="D134" s="154">
        <f>IF(F133+SUM(E$99:E133)=D$92,F133,D$92-SUM(E$99:E133))</f>
        <v>857537.62037112191</v>
      </c>
      <c r="E134" s="160">
        <f>IF(+J96&lt;F133,J96,D134)</f>
        <v>114169.97619047618</v>
      </c>
      <c r="F134" s="159">
        <f t="shared" si="38"/>
        <v>743367.6441806457</v>
      </c>
      <c r="G134" s="159">
        <f t="shared" si="31"/>
        <v>800452.63227588381</v>
      </c>
      <c r="H134" s="163">
        <f t="shared" si="32"/>
        <v>211402.12424000824</v>
      </c>
      <c r="I134" s="253">
        <f t="shared" si="33"/>
        <v>211402.12424000824</v>
      </c>
      <c r="J134" s="158">
        <f t="shared" si="34"/>
        <v>0</v>
      </c>
      <c r="K134" s="158"/>
      <c r="L134" s="334"/>
      <c r="M134" s="158">
        <f t="shared" si="35"/>
        <v>0</v>
      </c>
      <c r="N134" s="334"/>
      <c r="O134" s="158">
        <f t="shared" si="36"/>
        <v>0</v>
      </c>
      <c r="P134" s="158">
        <f t="shared" si="37"/>
        <v>0</v>
      </c>
      <c r="Q134" s="1"/>
    </row>
    <row r="135" spans="2:17">
      <c r="B135" s="9" t="str">
        <f t="shared" si="26"/>
        <v/>
      </c>
      <c r="C135" s="153">
        <f>IF(D93="","-",+C134+1)</f>
        <v>2046</v>
      </c>
      <c r="D135" s="154">
        <f>IF(F134+SUM(E$99:E134)=D$92,F134,D$92-SUM(E$99:E134))</f>
        <v>743367.6441806457</v>
      </c>
      <c r="E135" s="160">
        <f>IF(+J96&lt;F134,J96,D135)</f>
        <v>114169.97619047618</v>
      </c>
      <c r="F135" s="159">
        <f t="shared" si="38"/>
        <v>629197.66799016949</v>
      </c>
      <c r="G135" s="159">
        <f t="shared" si="31"/>
        <v>686282.65608540759</v>
      </c>
      <c r="H135" s="163">
        <f t="shared" si="32"/>
        <v>197533.73080840558</v>
      </c>
      <c r="I135" s="253">
        <f t="shared" si="33"/>
        <v>197533.73080840558</v>
      </c>
      <c r="J135" s="158">
        <f t="shared" si="34"/>
        <v>0</v>
      </c>
      <c r="K135" s="158"/>
      <c r="L135" s="334"/>
      <c r="M135" s="158">
        <f t="shared" si="35"/>
        <v>0</v>
      </c>
      <c r="N135" s="334"/>
      <c r="O135" s="158">
        <f t="shared" si="36"/>
        <v>0</v>
      </c>
      <c r="P135" s="158">
        <f t="shared" si="37"/>
        <v>0</v>
      </c>
      <c r="Q135" s="1"/>
    </row>
    <row r="136" spans="2:17">
      <c r="B136" s="9" t="str">
        <f t="shared" si="26"/>
        <v/>
      </c>
      <c r="C136" s="153">
        <f>IF(D93="","-",+C135+1)</f>
        <v>2047</v>
      </c>
      <c r="D136" s="154">
        <f>IF(F135+SUM(E$99:E135)=D$92,F135,D$92-SUM(E$99:E135))</f>
        <v>629197.66799016949</v>
      </c>
      <c r="E136" s="160">
        <f>IF(+J96&lt;F135,J96,D136)</f>
        <v>114169.97619047618</v>
      </c>
      <c r="F136" s="159">
        <f t="shared" si="38"/>
        <v>515027.69179969328</v>
      </c>
      <c r="G136" s="159">
        <f t="shared" si="31"/>
        <v>572112.67989493138</v>
      </c>
      <c r="H136" s="163">
        <f t="shared" si="32"/>
        <v>183665.33737680293</v>
      </c>
      <c r="I136" s="253">
        <f t="shared" si="33"/>
        <v>183665.33737680293</v>
      </c>
      <c r="J136" s="158">
        <f t="shared" si="34"/>
        <v>0</v>
      </c>
      <c r="K136" s="158"/>
      <c r="L136" s="334"/>
      <c r="M136" s="158">
        <f t="shared" si="35"/>
        <v>0</v>
      </c>
      <c r="N136" s="334"/>
      <c r="O136" s="158">
        <f t="shared" si="36"/>
        <v>0</v>
      </c>
      <c r="P136" s="158">
        <f t="shared" si="37"/>
        <v>0</v>
      </c>
      <c r="Q136" s="1"/>
    </row>
    <row r="137" spans="2:17">
      <c r="B137" s="9" t="str">
        <f t="shared" si="26"/>
        <v/>
      </c>
      <c r="C137" s="153">
        <f>IF(D93="","-",+C136+1)</f>
        <v>2048</v>
      </c>
      <c r="D137" s="154">
        <f>IF(F136+SUM(E$99:E136)=D$92,F136,D$92-SUM(E$99:E136))</f>
        <v>515027.69179969328</v>
      </c>
      <c r="E137" s="160">
        <f>IF(+J96&lt;F136,J96,D137)</f>
        <v>114169.97619047618</v>
      </c>
      <c r="F137" s="159">
        <f t="shared" si="38"/>
        <v>400857.71560921706</v>
      </c>
      <c r="G137" s="159">
        <f t="shared" si="31"/>
        <v>457942.70370445517</v>
      </c>
      <c r="H137" s="163">
        <f t="shared" si="32"/>
        <v>169796.94394520024</v>
      </c>
      <c r="I137" s="253">
        <f t="shared" si="33"/>
        <v>169796.94394520024</v>
      </c>
      <c r="J137" s="158">
        <f t="shared" si="34"/>
        <v>0</v>
      </c>
      <c r="K137" s="158"/>
      <c r="L137" s="334"/>
      <c r="M137" s="158">
        <f t="shared" si="35"/>
        <v>0</v>
      </c>
      <c r="N137" s="334"/>
      <c r="O137" s="158">
        <f t="shared" si="36"/>
        <v>0</v>
      </c>
      <c r="P137" s="158">
        <f t="shared" si="37"/>
        <v>0</v>
      </c>
      <c r="Q137" s="1"/>
    </row>
    <row r="138" spans="2:17">
      <c r="B138" s="9" t="str">
        <f t="shared" si="26"/>
        <v/>
      </c>
      <c r="C138" s="153">
        <f>IF(D93="","-",+C137+1)</f>
        <v>2049</v>
      </c>
      <c r="D138" s="154">
        <f>IF(F137+SUM(E$99:E137)=D$92,F137,D$92-SUM(E$99:E137))</f>
        <v>400857.71560921706</v>
      </c>
      <c r="E138" s="160">
        <f>IF(+J96&lt;F137,J96,D138)</f>
        <v>114169.97619047618</v>
      </c>
      <c r="F138" s="159">
        <f t="shared" si="38"/>
        <v>286687.73941874085</v>
      </c>
      <c r="G138" s="159">
        <f t="shared" si="31"/>
        <v>343772.72751397896</v>
      </c>
      <c r="H138" s="163">
        <f t="shared" si="32"/>
        <v>155928.55051359755</v>
      </c>
      <c r="I138" s="253">
        <f t="shared" si="33"/>
        <v>155928.55051359755</v>
      </c>
      <c r="J138" s="158">
        <f t="shared" si="34"/>
        <v>0</v>
      </c>
      <c r="K138" s="158"/>
      <c r="L138" s="334"/>
      <c r="M138" s="158">
        <f t="shared" si="35"/>
        <v>0</v>
      </c>
      <c r="N138" s="334"/>
      <c r="O138" s="158">
        <f t="shared" si="36"/>
        <v>0</v>
      </c>
      <c r="P138" s="158">
        <f t="shared" si="37"/>
        <v>0</v>
      </c>
      <c r="Q138" s="1"/>
    </row>
    <row r="139" spans="2:17">
      <c r="B139" s="9" t="str">
        <f t="shared" si="26"/>
        <v/>
      </c>
      <c r="C139" s="153">
        <f>IF(D93="","-",+C138+1)</f>
        <v>2050</v>
      </c>
      <c r="D139" s="154">
        <f>IF(F138+SUM(E$99:E138)=D$92,F138,D$92-SUM(E$99:E138))</f>
        <v>286687.73941874085</v>
      </c>
      <c r="E139" s="160">
        <f>IF(+J96&lt;F138,J96,D139)</f>
        <v>114169.97619047618</v>
      </c>
      <c r="F139" s="159">
        <f t="shared" si="38"/>
        <v>172517.76322826467</v>
      </c>
      <c r="G139" s="159">
        <f t="shared" si="31"/>
        <v>229602.75132350274</v>
      </c>
      <c r="H139" s="163">
        <f t="shared" si="32"/>
        <v>142060.1570819949</v>
      </c>
      <c r="I139" s="253">
        <f t="shared" si="33"/>
        <v>142060.1570819949</v>
      </c>
      <c r="J139" s="158">
        <f t="shared" si="34"/>
        <v>0</v>
      </c>
      <c r="K139" s="158"/>
      <c r="L139" s="334"/>
      <c r="M139" s="158">
        <f t="shared" si="35"/>
        <v>0</v>
      </c>
      <c r="N139" s="334"/>
      <c r="O139" s="158">
        <f t="shared" si="36"/>
        <v>0</v>
      </c>
      <c r="P139" s="158">
        <f t="shared" si="37"/>
        <v>0</v>
      </c>
      <c r="Q139" s="1"/>
    </row>
    <row r="140" spans="2:17">
      <c r="B140" s="9" t="str">
        <f t="shared" si="26"/>
        <v/>
      </c>
      <c r="C140" s="153">
        <f>IF(D93="","-",+C139+1)</f>
        <v>2051</v>
      </c>
      <c r="D140" s="154">
        <f>IF(F139+SUM(E$99:E139)=D$92,F139,D$92-SUM(E$99:E139))</f>
        <v>172517.76322826467</v>
      </c>
      <c r="E140" s="160">
        <f>IF(+J96&lt;F139,J96,D140)</f>
        <v>114169.97619047618</v>
      </c>
      <c r="F140" s="159">
        <f t="shared" si="38"/>
        <v>58347.787037788483</v>
      </c>
      <c r="G140" s="159">
        <f t="shared" si="31"/>
        <v>115432.77513302657</v>
      </c>
      <c r="H140" s="163">
        <f t="shared" si="32"/>
        <v>128191.76365039224</v>
      </c>
      <c r="I140" s="253">
        <f t="shared" si="33"/>
        <v>128191.76365039224</v>
      </c>
      <c r="J140" s="158">
        <f t="shared" si="34"/>
        <v>0</v>
      </c>
      <c r="K140" s="158"/>
      <c r="L140" s="334"/>
      <c r="M140" s="158">
        <f t="shared" si="35"/>
        <v>0</v>
      </c>
      <c r="N140" s="334"/>
      <c r="O140" s="158">
        <f t="shared" si="36"/>
        <v>0</v>
      </c>
      <c r="P140" s="158">
        <f t="shared" si="37"/>
        <v>0</v>
      </c>
      <c r="Q140" s="1"/>
    </row>
    <row r="141" spans="2:17">
      <c r="B141" s="9" t="str">
        <f t="shared" si="26"/>
        <v/>
      </c>
      <c r="C141" s="153">
        <f>IF(D93="","-",+C140+1)</f>
        <v>2052</v>
      </c>
      <c r="D141" s="154">
        <f>IF(F140+SUM(E$99:E140)=D$92,F140,D$92-SUM(E$99:E140))</f>
        <v>58347.787037788483</v>
      </c>
      <c r="E141" s="160">
        <f>IF(+J96&lt;F140,J96,D141)</f>
        <v>58347.787037788483</v>
      </c>
      <c r="F141" s="159">
        <f t="shared" si="38"/>
        <v>0</v>
      </c>
      <c r="G141" s="159">
        <f t="shared" si="31"/>
        <v>29173.893518894241</v>
      </c>
      <c r="H141" s="163">
        <f t="shared" si="32"/>
        <v>61891.58240984584</v>
      </c>
      <c r="I141" s="253">
        <f t="shared" si="33"/>
        <v>61891.58240984584</v>
      </c>
      <c r="J141" s="158">
        <f t="shared" si="34"/>
        <v>0</v>
      </c>
      <c r="K141" s="158"/>
      <c r="L141" s="334"/>
      <c r="M141" s="158">
        <f t="shared" si="35"/>
        <v>0</v>
      </c>
      <c r="N141" s="334"/>
      <c r="O141" s="158">
        <f t="shared" si="36"/>
        <v>0</v>
      </c>
      <c r="P141" s="158">
        <f t="shared" si="37"/>
        <v>0</v>
      </c>
      <c r="Q141" s="1"/>
    </row>
    <row r="142" spans="2:17">
      <c r="B142" s="9" t="str">
        <f t="shared" si="26"/>
        <v/>
      </c>
      <c r="C142" s="153">
        <f>IF(D93="","-",+C141+1)</f>
        <v>2053</v>
      </c>
      <c r="D142" s="154">
        <f>IF(F141+SUM(E$99:E141)=D$92,F141,D$92-SUM(E$99:E141))</f>
        <v>0</v>
      </c>
      <c r="E142" s="160">
        <f>IF(+J96&lt;F141,J96,D142)</f>
        <v>0</v>
      </c>
      <c r="F142" s="159">
        <f t="shared" si="38"/>
        <v>0</v>
      </c>
      <c r="G142" s="159">
        <f t="shared" si="31"/>
        <v>0</v>
      </c>
      <c r="H142" s="163">
        <f t="shared" si="32"/>
        <v>0</v>
      </c>
      <c r="I142" s="253">
        <f t="shared" si="33"/>
        <v>0</v>
      </c>
      <c r="J142" s="158">
        <f t="shared" si="34"/>
        <v>0</v>
      </c>
      <c r="K142" s="158"/>
      <c r="L142" s="334"/>
      <c r="M142" s="158">
        <f t="shared" si="35"/>
        <v>0</v>
      </c>
      <c r="N142" s="334"/>
      <c r="O142" s="158">
        <f t="shared" si="36"/>
        <v>0</v>
      </c>
      <c r="P142" s="158">
        <f t="shared" si="37"/>
        <v>0</v>
      </c>
      <c r="Q142" s="1"/>
    </row>
    <row r="143" spans="2:17">
      <c r="B143" s="9" t="str">
        <f t="shared" si="26"/>
        <v/>
      </c>
      <c r="C143" s="153">
        <f>IF(D93="","-",+C142+1)</f>
        <v>2054</v>
      </c>
      <c r="D143" s="154">
        <f>IF(F142+SUM(E$99:E142)=D$92,F142,D$92-SUM(E$99:E142))</f>
        <v>0</v>
      </c>
      <c r="E143" s="160">
        <f>IF(+J96&lt;F142,J96,D143)</f>
        <v>0</v>
      </c>
      <c r="F143" s="159">
        <f t="shared" si="38"/>
        <v>0</v>
      </c>
      <c r="G143" s="159">
        <f t="shared" si="31"/>
        <v>0</v>
      </c>
      <c r="H143" s="163">
        <f t="shared" si="32"/>
        <v>0</v>
      </c>
      <c r="I143" s="253">
        <f t="shared" si="33"/>
        <v>0</v>
      </c>
      <c r="J143" s="158">
        <f t="shared" si="34"/>
        <v>0</v>
      </c>
      <c r="K143" s="158"/>
      <c r="L143" s="334"/>
      <c r="M143" s="158">
        <f t="shared" si="35"/>
        <v>0</v>
      </c>
      <c r="N143" s="334"/>
      <c r="O143" s="158">
        <f t="shared" si="36"/>
        <v>0</v>
      </c>
      <c r="P143" s="158">
        <f t="shared" si="37"/>
        <v>0</v>
      </c>
      <c r="Q143" s="1"/>
    </row>
    <row r="144" spans="2:17">
      <c r="B144" s="9" t="str">
        <f t="shared" si="26"/>
        <v/>
      </c>
      <c r="C144" s="153">
        <f>IF(D93="","-",+C143+1)</f>
        <v>2055</v>
      </c>
      <c r="D144" s="154">
        <f>IF(F143+SUM(E$99:E143)=D$92,F143,D$92-SUM(E$99:E143))</f>
        <v>0</v>
      </c>
      <c r="E144" s="160">
        <f>IF(+J96&lt;F143,J96,D144)</f>
        <v>0</v>
      </c>
      <c r="F144" s="159">
        <f t="shared" si="38"/>
        <v>0</v>
      </c>
      <c r="G144" s="159">
        <f t="shared" si="31"/>
        <v>0</v>
      </c>
      <c r="H144" s="163">
        <f t="shared" si="32"/>
        <v>0</v>
      </c>
      <c r="I144" s="253">
        <f t="shared" si="33"/>
        <v>0</v>
      </c>
      <c r="J144" s="158">
        <f t="shared" si="34"/>
        <v>0</v>
      </c>
      <c r="K144" s="158"/>
      <c r="L144" s="334"/>
      <c r="M144" s="158">
        <f t="shared" si="35"/>
        <v>0</v>
      </c>
      <c r="N144" s="334"/>
      <c r="O144" s="158">
        <f t="shared" si="36"/>
        <v>0</v>
      </c>
      <c r="P144" s="158">
        <f t="shared" si="37"/>
        <v>0</v>
      </c>
      <c r="Q144" s="1"/>
    </row>
    <row r="145" spans="2:17">
      <c r="B145" s="9" t="str">
        <f t="shared" si="26"/>
        <v/>
      </c>
      <c r="C145" s="153">
        <f>IF(D93="","-",+C144+1)</f>
        <v>2056</v>
      </c>
      <c r="D145" s="154">
        <f>IF(F144+SUM(E$99:E144)=D$92,F144,D$92-SUM(E$99:E144))</f>
        <v>0</v>
      </c>
      <c r="E145" s="160">
        <f>IF(+J96&lt;F144,J96,D145)</f>
        <v>0</v>
      </c>
      <c r="F145" s="159">
        <f t="shared" si="38"/>
        <v>0</v>
      </c>
      <c r="G145" s="159">
        <f t="shared" si="31"/>
        <v>0</v>
      </c>
      <c r="H145" s="163">
        <f t="shared" si="32"/>
        <v>0</v>
      </c>
      <c r="I145" s="253">
        <f t="shared" si="33"/>
        <v>0</v>
      </c>
      <c r="J145" s="158">
        <f t="shared" si="34"/>
        <v>0</v>
      </c>
      <c r="K145" s="158"/>
      <c r="L145" s="334"/>
      <c r="M145" s="158">
        <f t="shared" si="35"/>
        <v>0</v>
      </c>
      <c r="N145" s="334"/>
      <c r="O145" s="158">
        <f t="shared" si="36"/>
        <v>0</v>
      </c>
      <c r="P145" s="158">
        <f t="shared" si="37"/>
        <v>0</v>
      </c>
      <c r="Q145" s="1"/>
    </row>
    <row r="146" spans="2:17">
      <c r="B146" s="9" t="str">
        <f t="shared" si="26"/>
        <v/>
      </c>
      <c r="C146" s="153">
        <f>IF(D93="","-",+C145+1)</f>
        <v>2057</v>
      </c>
      <c r="D146" s="154">
        <f>IF(F145+SUM(E$99:E145)=D$92,F145,D$92-SUM(E$99:E145))</f>
        <v>0</v>
      </c>
      <c r="E146" s="160">
        <f>IF(+J96&lt;F145,J96,D146)</f>
        <v>0</v>
      </c>
      <c r="F146" s="159">
        <f t="shared" si="38"/>
        <v>0</v>
      </c>
      <c r="G146" s="159">
        <f t="shared" si="31"/>
        <v>0</v>
      </c>
      <c r="H146" s="163">
        <f t="shared" si="32"/>
        <v>0</v>
      </c>
      <c r="I146" s="253">
        <f t="shared" si="33"/>
        <v>0</v>
      </c>
      <c r="J146" s="158">
        <f t="shared" si="34"/>
        <v>0</v>
      </c>
      <c r="K146" s="158"/>
      <c r="L146" s="334"/>
      <c r="M146" s="158">
        <f t="shared" si="35"/>
        <v>0</v>
      </c>
      <c r="N146" s="334"/>
      <c r="O146" s="158">
        <f t="shared" si="36"/>
        <v>0</v>
      </c>
      <c r="P146" s="158">
        <f t="shared" si="37"/>
        <v>0</v>
      </c>
      <c r="Q146" s="1"/>
    </row>
    <row r="147" spans="2:17">
      <c r="B147" s="9" t="str">
        <f t="shared" si="26"/>
        <v/>
      </c>
      <c r="C147" s="153">
        <f>IF(D93="","-",+C146+1)</f>
        <v>2058</v>
      </c>
      <c r="D147" s="154">
        <f>IF(F146+SUM(E$99:E146)=D$92,F146,D$92-SUM(E$99:E146))</f>
        <v>0</v>
      </c>
      <c r="E147" s="160">
        <f>IF(+J96&lt;F146,J96,D147)</f>
        <v>0</v>
      </c>
      <c r="F147" s="159">
        <f t="shared" si="38"/>
        <v>0</v>
      </c>
      <c r="G147" s="159">
        <f t="shared" si="31"/>
        <v>0</v>
      </c>
      <c r="H147" s="163">
        <f t="shared" si="32"/>
        <v>0</v>
      </c>
      <c r="I147" s="253">
        <f t="shared" si="33"/>
        <v>0</v>
      </c>
      <c r="J147" s="158">
        <f t="shared" si="34"/>
        <v>0</v>
      </c>
      <c r="K147" s="158"/>
      <c r="L147" s="334"/>
      <c r="M147" s="158">
        <f t="shared" si="35"/>
        <v>0</v>
      </c>
      <c r="N147" s="334"/>
      <c r="O147" s="158">
        <f t="shared" si="36"/>
        <v>0</v>
      </c>
      <c r="P147" s="158">
        <f t="shared" si="37"/>
        <v>0</v>
      </c>
      <c r="Q147" s="1"/>
    </row>
    <row r="148" spans="2:17">
      <c r="B148" s="9" t="str">
        <f t="shared" si="26"/>
        <v/>
      </c>
      <c r="C148" s="153">
        <f>IF(D93="","-",+C147+1)</f>
        <v>2059</v>
      </c>
      <c r="D148" s="154">
        <f>IF(F147+SUM(E$99:E147)=D$92,F147,D$92-SUM(E$99:E147))</f>
        <v>0</v>
      </c>
      <c r="E148" s="160">
        <f>IF(+J96&lt;F147,J96,D148)</f>
        <v>0</v>
      </c>
      <c r="F148" s="159">
        <f t="shared" si="38"/>
        <v>0</v>
      </c>
      <c r="G148" s="159">
        <f t="shared" si="31"/>
        <v>0</v>
      </c>
      <c r="H148" s="163">
        <f t="shared" si="32"/>
        <v>0</v>
      </c>
      <c r="I148" s="253">
        <f t="shared" si="33"/>
        <v>0</v>
      </c>
      <c r="J148" s="158">
        <f t="shared" si="34"/>
        <v>0</v>
      </c>
      <c r="K148" s="158"/>
      <c r="L148" s="334"/>
      <c r="M148" s="158">
        <f t="shared" si="35"/>
        <v>0</v>
      </c>
      <c r="N148" s="334"/>
      <c r="O148" s="158">
        <f t="shared" si="36"/>
        <v>0</v>
      </c>
      <c r="P148" s="158">
        <f t="shared" si="37"/>
        <v>0</v>
      </c>
      <c r="Q148" s="1"/>
    </row>
    <row r="149" spans="2:17">
      <c r="B149" s="9" t="str">
        <f t="shared" si="26"/>
        <v/>
      </c>
      <c r="C149" s="153">
        <f>IF(D93="","-",+C148+1)</f>
        <v>2060</v>
      </c>
      <c r="D149" s="154">
        <f>IF(F148+SUM(E$99:E148)=D$92,F148,D$92-SUM(E$99:E148))</f>
        <v>0</v>
      </c>
      <c r="E149" s="160">
        <f>IF(+J96&lt;F148,J96,D149)</f>
        <v>0</v>
      </c>
      <c r="F149" s="159">
        <f t="shared" si="38"/>
        <v>0</v>
      </c>
      <c r="G149" s="159">
        <f t="shared" si="31"/>
        <v>0</v>
      </c>
      <c r="H149" s="163">
        <f t="shared" si="32"/>
        <v>0</v>
      </c>
      <c r="I149" s="253">
        <f t="shared" si="33"/>
        <v>0</v>
      </c>
      <c r="J149" s="158">
        <f t="shared" si="34"/>
        <v>0</v>
      </c>
      <c r="K149" s="158"/>
      <c r="L149" s="334"/>
      <c r="M149" s="158">
        <f t="shared" si="35"/>
        <v>0</v>
      </c>
      <c r="N149" s="334"/>
      <c r="O149" s="158">
        <f t="shared" si="36"/>
        <v>0</v>
      </c>
      <c r="P149" s="158">
        <f t="shared" si="37"/>
        <v>0</v>
      </c>
      <c r="Q149" s="1"/>
    </row>
    <row r="150" spans="2:17">
      <c r="B150" s="9" t="str">
        <f t="shared" si="26"/>
        <v/>
      </c>
      <c r="C150" s="153">
        <f>IF(D93="","-",+C149+1)</f>
        <v>2061</v>
      </c>
      <c r="D150" s="154">
        <f>IF(F149+SUM(E$99:E149)=D$92,F149,D$92-SUM(E$99:E149))</f>
        <v>0</v>
      </c>
      <c r="E150" s="160">
        <f>IF(+J96&lt;F149,J96,D150)</f>
        <v>0</v>
      </c>
      <c r="F150" s="159">
        <f t="shared" si="38"/>
        <v>0</v>
      </c>
      <c r="G150" s="159">
        <f t="shared" si="31"/>
        <v>0</v>
      </c>
      <c r="H150" s="163">
        <f t="shared" si="32"/>
        <v>0</v>
      </c>
      <c r="I150" s="253">
        <f t="shared" si="33"/>
        <v>0</v>
      </c>
      <c r="J150" s="158">
        <f t="shared" si="34"/>
        <v>0</v>
      </c>
      <c r="K150" s="158"/>
      <c r="L150" s="334"/>
      <c r="M150" s="158">
        <f t="shared" si="35"/>
        <v>0</v>
      </c>
      <c r="N150" s="334"/>
      <c r="O150" s="158">
        <f t="shared" si="36"/>
        <v>0</v>
      </c>
      <c r="P150" s="158">
        <f t="shared" si="37"/>
        <v>0</v>
      </c>
      <c r="Q150" s="1"/>
    </row>
    <row r="151" spans="2:17">
      <c r="B151" s="9" t="str">
        <f t="shared" si="26"/>
        <v/>
      </c>
      <c r="C151" s="153">
        <f>IF(D93="","-",+C150+1)</f>
        <v>2062</v>
      </c>
      <c r="D151" s="154">
        <f>IF(F150+SUM(E$99:E150)=D$92,F150,D$92-SUM(E$99:E150))</f>
        <v>0</v>
      </c>
      <c r="E151" s="160">
        <f>IF(+J96&lt;F150,J96,D151)</f>
        <v>0</v>
      </c>
      <c r="F151" s="159">
        <f t="shared" si="38"/>
        <v>0</v>
      </c>
      <c r="G151" s="159">
        <f t="shared" si="31"/>
        <v>0</v>
      </c>
      <c r="H151" s="163">
        <f t="shared" si="32"/>
        <v>0</v>
      </c>
      <c r="I151" s="253">
        <f t="shared" si="33"/>
        <v>0</v>
      </c>
      <c r="J151" s="158">
        <f t="shared" si="34"/>
        <v>0</v>
      </c>
      <c r="K151" s="158"/>
      <c r="L151" s="334"/>
      <c r="M151" s="158">
        <f t="shared" si="35"/>
        <v>0</v>
      </c>
      <c r="N151" s="334"/>
      <c r="O151" s="158">
        <f t="shared" si="36"/>
        <v>0</v>
      </c>
      <c r="P151" s="158">
        <f t="shared" si="37"/>
        <v>0</v>
      </c>
      <c r="Q151" s="1"/>
    </row>
    <row r="152" spans="2:17">
      <c r="B152" s="9" t="str">
        <f t="shared" si="26"/>
        <v/>
      </c>
      <c r="C152" s="153">
        <f>IF(D93="","-",+C151+1)</f>
        <v>2063</v>
      </c>
      <c r="D152" s="154">
        <f>IF(F151+SUM(E$99:E151)=D$92,F151,D$92-SUM(E$99:E151))</f>
        <v>0</v>
      </c>
      <c r="E152" s="160">
        <f>IF(+J96&lt;F151,J96,D152)</f>
        <v>0</v>
      </c>
      <c r="F152" s="159">
        <f t="shared" si="38"/>
        <v>0</v>
      </c>
      <c r="G152" s="159">
        <f t="shared" si="31"/>
        <v>0</v>
      </c>
      <c r="H152" s="163">
        <f t="shared" si="32"/>
        <v>0</v>
      </c>
      <c r="I152" s="253">
        <f t="shared" si="33"/>
        <v>0</v>
      </c>
      <c r="J152" s="158">
        <f t="shared" si="34"/>
        <v>0</v>
      </c>
      <c r="K152" s="158"/>
      <c r="L152" s="334"/>
      <c r="M152" s="158">
        <f t="shared" si="35"/>
        <v>0</v>
      </c>
      <c r="N152" s="334"/>
      <c r="O152" s="158">
        <f t="shared" si="36"/>
        <v>0</v>
      </c>
      <c r="P152" s="158">
        <f t="shared" si="37"/>
        <v>0</v>
      </c>
      <c r="Q152" s="1"/>
    </row>
    <row r="153" spans="2:17">
      <c r="B153" s="9" t="str">
        <f t="shared" si="26"/>
        <v/>
      </c>
      <c r="C153" s="153">
        <f>IF(D93="","-",+C152+1)</f>
        <v>2064</v>
      </c>
      <c r="D153" s="154">
        <f>IF(F152+SUM(E$99:E152)=D$92,F152,D$92-SUM(E$99:E152))</f>
        <v>0</v>
      </c>
      <c r="E153" s="160">
        <f>IF(+J96&lt;F152,J96,D153)</f>
        <v>0</v>
      </c>
      <c r="F153" s="159">
        <f t="shared" si="38"/>
        <v>0</v>
      </c>
      <c r="G153" s="159">
        <f t="shared" si="31"/>
        <v>0</v>
      </c>
      <c r="H153" s="163">
        <f t="shared" si="32"/>
        <v>0</v>
      </c>
      <c r="I153" s="253">
        <f t="shared" si="33"/>
        <v>0</v>
      </c>
      <c r="J153" s="158">
        <f t="shared" si="34"/>
        <v>0</v>
      </c>
      <c r="K153" s="158"/>
      <c r="L153" s="334"/>
      <c r="M153" s="158">
        <f t="shared" si="35"/>
        <v>0</v>
      </c>
      <c r="N153" s="334"/>
      <c r="O153" s="158">
        <f t="shared" si="36"/>
        <v>0</v>
      </c>
      <c r="P153" s="158">
        <f t="shared" si="37"/>
        <v>0</v>
      </c>
      <c r="Q153" s="1"/>
    </row>
    <row r="154" spans="2:17" ht="13.5" thickBot="1">
      <c r="B154" s="9" t="str">
        <f t="shared" si="26"/>
        <v/>
      </c>
      <c r="C154" s="164">
        <f>IF(D93="","-",+C153+1)</f>
        <v>2065</v>
      </c>
      <c r="D154" s="215">
        <f>IF(F153+SUM(E$99:E153)=D$92,F153,D$92-SUM(E$99:E153))</f>
        <v>0</v>
      </c>
      <c r="E154" s="166">
        <f>IF(+J96&lt;F153,J96,D154)</f>
        <v>0</v>
      </c>
      <c r="F154" s="165">
        <f t="shared" si="38"/>
        <v>0</v>
      </c>
      <c r="G154" s="165">
        <f t="shared" si="31"/>
        <v>0</v>
      </c>
      <c r="H154" s="167">
        <f t="shared" si="32"/>
        <v>0</v>
      </c>
      <c r="I154" s="254">
        <f t="shared" si="33"/>
        <v>0</v>
      </c>
      <c r="J154" s="169">
        <f t="shared" si="34"/>
        <v>0</v>
      </c>
      <c r="K154" s="158"/>
      <c r="L154" s="335"/>
      <c r="M154" s="169">
        <f t="shared" si="35"/>
        <v>0</v>
      </c>
      <c r="N154" s="335"/>
      <c r="O154" s="169">
        <f t="shared" si="36"/>
        <v>0</v>
      </c>
      <c r="P154" s="169">
        <f t="shared" si="37"/>
        <v>0</v>
      </c>
      <c r="Q154" s="1"/>
    </row>
    <row r="155" spans="2:17">
      <c r="C155" s="154" t="s">
        <v>73</v>
      </c>
      <c r="D155" s="111"/>
      <c r="E155" s="111">
        <f>SUM(E99:E154)</f>
        <v>4795139</v>
      </c>
      <c r="F155" s="111"/>
      <c r="G155" s="111"/>
      <c r="H155" s="111">
        <f>SUM(H99:H154)</f>
        <v>17577591.99150908</v>
      </c>
      <c r="I155" s="111">
        <f>SUM(I99:I154)</f>
        <v>17577591.99150908</v>
      </c>
      <c r="J155" s="111">
        <f>SUM(J99:J154)</f>
        <v>0</v>
      </c>
      <c r="K155" s="111"/>
      <c r="L155" s="111"/>
      <c r="M155" s="111"/>
      <c r="N155" s="111"/>
      <c r="O155" s="111"/>
      <c r="P155" s="1"/>
      <c r="Q155" s="1"/>
    </row>
    <row r="156" spans="2:17">
      <c r="D156" s="2"/>
      <c r="E156" s="1"/>
      <c r="F156" s="1"/>
      <c r="G156" s="1"/>
      <c r="H156" s="1"/>
      <c r="I156" s="3"/>
      <c r="J156" s="3"/>
      <c r="K156" s="111"/>
      <c r="L156" s="3"/>
      <c r="M156" s="3"/>
      <c r="N156" s="3"/>
      <c r="O156" s="3"/>
      <c r="P156" s="1"/>
      <c r="Q156" s="1"/>
    </row>
    <row r="157" spans="2:17">
      <c r="C157" s="216" t="s">
        <v>87</v>
      </c>
      <c r="D157" s="2"/>
      <c r="E157" s="1"/>
      <c r="F157" s="1"/>
      <c r="G157" s="1"/>
      <c r="H157" s="1"/>
      <c r="I157" s="3"/>
      <c r="J157" s="3"/>
      <c r="K157" s="111"/>
      <c r="L157" s="3"/>
      <c r="M157" s="3"/>
      <c r="N157" s="3"/>
      <c r="O157" s="3"/>
      <c r="P157" s="1"/>
      <c r="Q157" s="1"/>
    </row>
    <row r="158" spans="2:17">
      <c r="D158" s="2"/>
      <c r="E158" s="1"/>
      <c r="F158" s="1"/>
      <c r="G158" s="1"/>
      <c r="H158" s="1"/>
      <c r="I158" s="3"/>
      <c r="J158" s="3"/>
      <c r="K158" s="111"/>
      <c r="L158" s="3"/>
      <c r="M158" s="3"/>
      <c r="N158" s="3"/>
      <c r="O158" s="3"/>
      <c r="P158" s="1"/>
      <c r="Q158" s="1"/>
    </row>
    <row r="159" spans="2:17">
      <c r="C159" s="170" t="s">
        <v>92</v>
      </c>
      <c r="D159" s="154"/>
      <c r="E159" s="154"/>
      <c r="F159" s="154"/>
      <c r="G159" s="154"/>
      <c r="H159" s="111"/>
      <c r="I159" s="111"/>
      <c r="J159" s="171"/>
      <c r="K159" s="171"/>
      <c r="L159" s="171"/>
      <c r="M159" s="171"/>
      <c r="N159" s="171"/>
      <c r="O159" s="171"/>
      <c r="P159" s="1"/>
      <c r="Q159" s="1"/>
    </row>
    <row r="160" spans="2:17">
      <c r="C160" s="217" t="s">
        <v>74</v>
      </c>
      <c r="D160" s="154"/>
      <c r="E160" s="154"/>
      <c r="F160" s="154"/>
      <c r="G160" s="154"/>
      <c r="H160" s="111"/>
      <c r="I160" s="111"/>
      <c r="J160" s="171"/>
      <c r="K160" s="171"/>
      <c r="L160" s="171"/>
      <c r="M160" s="171"/>
      <c r="N160" s="171"/>
      <c r="O160" s="171"/>
      <c r="P160" s="1"/>
      <c r="Q160" s="1"/>
    </row>
    <row r="161" spans="3:17">
      <c r="C161" s="217" t="s">
        <v>75</v>
      </c>
      <c r="D161" s="154"/>
      <c r="E161" s="154"/>
      <c r="F161" s="154"/>
      <c r="G161" s="154"/>
      <c r="H161" s="111"/>
      <c r="I161" s="111"/>
      <c r="J161" s="171"/>
      <c r="K161" s="171"/>
      <c r="L161" s="171"/>
      <c r="M161" s="171"/>
      <c r="N161" s="171"/>
      <c r="O161" s="171"/>
      <c r="P161" s="1"/>
      <c r="Q161" s="1"/>
    </row>
    <row r="162" spans="3:17" ht="18">
      <c r="C162" s="217"/>
      <c r="D162" s="154"/>
      <c r="E162" s="154"/>
      <c r="F162" s="154"/>
      <c r="G162" s="154"/>
      <c r="H162" s="111"/>
      <c r="I162" s="111"/>
      <c r="J162" s="171"/>
      <c r="K162" s="171"/>
      <c r="L162" s="171"/>
      <c r="M162" s="171"/>
      <c r="N162" s="171"/>
      <c r="P162" s="237" t="s">
        <v>126</v>
      </c>
      <c r="Q162" s="1"/>
    </row>
  </sheetData>
  <phoneticPr fontId="0" type="noConversion"/>
  <conditionalFormatting sqref="C17:C72">
    <cfRule type="cellIs" dxfId="119" priority="1" stopIfTrue="1" operator="equal">
      <formula>$I$10</formula>
    </cfRule>
  </conditionalFormatting>
  <conditionalFormatting sqref="C99:C154">
    <cfRule type="cellIs" dxfId="118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5"/>
  <dimension ref="A1:Q162"/>
  <sheetViews>
    <sheetView view="pageBreakPreview" zoomScale="75" zoomScaleNormal="100" zoomScaleSheetLayoutView="75" workbookViewId="0">
      <selection activeCell="C19" sqref="C19"/>
    </sheetView>
  </sheetViews>
  <sheetFormatPr defaultRowHeight="12.75" customHeight="1"/>
  <cols>
    <col min="1" max="1" width="4.7109375" customWidth="1"/>
    <col min="2" max="2" width="6.7109375" customWidth="1"/>
    <col min="3" max="3" width="23.28515625" customWidth="1"/>
    <col min="4" max="8" width="17.7109375" customWidth="1"/>
    <col min="9" max="9" width="20.42578125" customWidth="1"/>
    <col min="10" max="10" width="16.42578125" customWidth="1"/>
    <col min="11" max="11" width="17.7109375" customWidth="1"/>
    <col min="12" max="12" width="16.140625" customWidth="1"/>
    <col min="13" max="13" width="17.7109375" customWidth="1"/>
    <col min="14" max="14" width="16.140625" customWidth="1"/>
    <col min="15" max="15" width="16.85546875" customWidth="1"/>
    <col min="16" max="16" width="24.42578125" customWidth="1"/>
    <col min="17" max="17" width="4.7109375" customWidth="1"/>
    <col min="23" max="23" width="9.140625" customWidth="1"/>
  </cols>
  <sheetData>
    <row r="1" spans="1:17" ht="20.25">
      <c r="A1" s="243" t="s">
        <v>128</v>
      </c>
      <c r="B1" s="1"/>
      <c r="C1" s="21"/>
      <c r="D1" s="2"/>
      <c r="E1" s="1"/>
      <c r="F1" s="99"/>
      <c r="G1" s="1"/>
      <c r="H1" s="3"/>
      <c r="J1" s="7"/>
      <c r="K1" s="109"/>
      <c r="L1" s="109"/>
      <c r="M1" s="109"/>
      <c r="P1" s="249" t="str">
        <f ca="1">"SWEPCO Project "&amp;RIGHT(MID(CELL("filename",$A$1),FIND("]",CELL("filename",$A$1))+1,256),2)&amp;" of "&amp;COUNT('S.001:S.xyz - blank'!$P$3)-1</f>
        <v>SWEPCO Project 24 of 73</v>
      </c>
      <c r="Q1" s="108"/>
    </row>
    <row r="2" spans="1:17" ht="18">
      <c r="B2" s="1"/>
      <c r="C2" s="1"/>
      <c r="D2" s="2"/>
      <c r="E2" s="1"/>
      <c r="F2" s="1"/>
      <c r="G2" s="1"/>
      <c r="H2" s="3"/>
      <c r="I2" s="1"/>
      <c r="J2" s="4"/>
      <c r="K2" s="1"/>
      <c r="L2" s="1"/>
      <c r="M2" s="1"/>
      <c r="N2" s="1"/>
      <c r="P2" s="237" t="s">
        <v>124</v>
      </c>
    </row>
    <row r="3" spans="1:17" ht="18.75">
      <c r="B3" s="5" t="s">
        <v>40</v>
      </c>
      <c r="C3" s="68" t="s">
        <v>41</v>
      </c>
      <c r="D3" s="2"/>
      <c r="E3" s="1"/>
      <c r="F3" s="1"/>
      <c r="G3" s="1"/>
      <c r="H3" s="3"/>
      <c r="I3" s="3"/>
      <c r="J3" s="111"/>
      <c r="K3" s="3"/>
      <c r="L3" s="3"/>
      <c r="M3" s="3"/>
      <c r="N3" s="3"/>
      <c r="O3" s="1" t="str">
        <f>RIGHT(N3,3)</f>
        <v/>
      </c>
      <c r="P3" s="239">
        <v>1</v>
      </c>
    </row>
    <row r="4" spans="1:17" ht="15.75" thickBot="1">
      <c r="C4" s="67"/>
      <c r="D4" s="2"/>
      <c r="E4" s="1"/>
      <c r="F4" s="1"/>
      <c r="G4" s="1"/>
      <c r="H4" s="3"/>
      <c r="I4" s="3"/>
      <c r="J4" s="111"/>
      <c r="K4" s="3"/>
      <c r="L4" s="3"/>
      <c r="M4" s="3"/>
      <c r="N4" s="3"/>
      <c r="O4" s="1"/>
      <c r="P4" s="1"/>
    </row>
    <row r="5" spans="1:17" ht="15">
      <c r="C5" s="112" t="s">
        <v>42</v>
      </c>
      <c r="D5" s="2"/>
      <c r="E5" s="1"/>
      <c r="F5" s="1"/>
      <c r="G5" s="113"/>
      <c r="H5" s="1" t="s">
        <v>43</v>
      </c>
      <c r="I5" s="1"/>
      <c r="J5" s="4"/>
      <c r="K5" s="268" t="s">
        <v>152</v>
      </c>
      <c r="L5" s="114"/>
      <c r="M5" s="115"/>
      <c r="N5" s="116">
        <f>VLOOKUP(I10,C17:I72,5)</f>
        <v>531715.98941811046</v>
      </c>
      <c r="P5" s="1"/>
    </row>
    <row r="6" spans="1:17" ht="15.75">
      <c r="C6" s="8"/>
      <c r="D6" s="2"/>
      <c r="E6" s="1"/>
      <c r="F6" s="1"/>
      <c r="G6" s="1"/>
      <c r="H6" s="117"/>
      <c r="I6" s="117"/>
      <c r="J6" s="118"/>
      <c r="K6" s="269" t="s">
        <v>153</v>
      </c>
      <c r="L6" s="119"/>
      <c r="M6" s="4"/>
      <c r="N6" s="120">
        <f>VLOOKUP(I10,C17:I72,6)</f>
        <v>531715.98941811046</v>
      </c>
      <c r="O6" s="1"/>
      <c r="P6" s="1"/>
    </row>
    <row r="7" spans="1:17" ht="13.5" thickBot="1">
      <c r="C7" s="121" t="s">
        <v>44</v>
      </c>
      <c r="D7" s="274" t="s">
        <v>242</v>
      </c>
      <c r="E7" s="1"/>
      <c r="F7" s="1"/>
      <c r="G7" s="170"/>
      <c r="H7" s="3"/>
      <c r="I7" s="3"/>
      <c r="J7" s="111"/>
      <c r="K7" s="122" t="s">
        <v>45</v>
      </c>
      <c r="L7" s="123"/>
      <c r="M7" s="123"/>
      <c r="N7" s="124">
        <f>+N6-N5</f>
        <v>0</v>
      </c>
      <c r="O7" s="1"/>
      <c r="P7" s="1"/>
    </row>
    <row r="8" spans="1:17" ht="13.5" thickBot="1">
      <c r="C8" s="125"/>
      <c r="D8" s="247" t="str">
        <f>IF(D10&lt;100000,"DOES NOT MEET SPP $100,000 MINIMUM INVESTMENT FOR REGIONAL BPU SHARING.","")</f>
        <v/>
      </c>
      <c r="E8" s="126"/>
      <c r="F8" s="126"/>
      <c r="G8" s="126"/>
      <c r="H8" s="126"/>
      <c r="I8" s="126"/>
      <c r="J8" s="101"/>
      <c r="K8" s="126"/>
      <c r="L8" s="126"/>
      <c r="M8" s="126"/>
      <c r="N8" s="126"/>
      <c r="O8" s="101"/>
      <c r="P8" s="21"/>
    </row>
    <row r="9" spans="1:17" ht="13.5" thickBot="1">
      <c r="A9" s="103"/>
      <c r="C9" s="127" t="s">
        <v>46</v>
      </c>
      <c r="D9" s="225" t="s">
        <v>241</v>
      </c>
      <c r="E9" s="401" t="s">
        <v>415</v>
      </c>
      <c r="F9" s="128"/>
      <c r="G9" s="128"/>
      <c r="H9" s="128"/>
      <c r="I9" s="129"/>
      <c r="J9" s="130"/>
      <c r="O9" s="131"/>
      <c r="P9" s="4"/>
    </row>
    <row r="10" spans="1:17">
      <c r="C10" s="132" t="s">
        <v>47</v>
      </c>
      <c r="D10" s="133">
        <v>5250739</v>
      </c>
      <c r="E10" s="61" t="s">
        <v>459</v>
      </c>
      <c r="F10" s="131"/>
      <c r="G10" s="134"/>
      <c r="H10" s="134"/>
      <c r="I10" s="135">
        <f>+SWE.WS.F.BPU.ATRR.Projected!K17</f>
        <v>2019</v>
      </c>
      <c r="J10" s="130"/>
      <c r="K10" s="111" t="s">
        <v>48</v>
      </c>
      <c r="O10" s="4"/>
      <c r="P10" s="4"/>
    </row>
    <row r="11" spans="1:17">
      <c r="C11" s="136" t="s">
        <v>49</v>
      </c>
      <c r="D11" s="137">
        <v>2010</v>
      </c>
      <c r="E11" s="136" t="s">
        <v>50</v>
      </c>
      <c r="F11" s="134"/>
      <c r="G11" s="7"/>
      <c r="H11" s="7"/>
      <c r="I11" s="138">
        <v>0</v>
      </c>
      <c r="J11" s="139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4"/>
      <c r="P11" s="4"/>
    </row>
    <row r="12" spans="1:17">
      <c r="C12" s="136" t="s">
        <v>51</v>
      </c>
      <c r="D12" s="133">
        <v>6</v>
      </c>
      <c r="E12" s="136" t="s">
        <v>52</v>
      </c>
      <c r="F12" s="134"/>
      <c r="G12" s="7"/>
      <c r="H12" s="7"/>
      <c r="I12" s="140">
        <f>SWE.WS.F.BPU.ATRR.Projected!$F$76</f>
        <v>9.9555672459071778E-2</v>
      </c>
      <c r="J12" s="141"/>
      <c r="K12" t="s">
        <v>53</v>
      </c>
      <c r="O12" s="4"/>
      <c r="P12" s="4"/>
    </row>
    <row r="13" spans="1:17">
      <c r="C13" s="136" t="s">
        <v>54</v>
      </c>
      <c r="D13" s="138">
        <f>+SWE.WS.F.BPU.ATRR.Projected!F$87</f>
        <v>43</v>
      </c>
      <c r="E13" s="136" t="s">
        <v>55</v>
      </c>
      <c r="F13" s="134"/>
      <c r="G13" s="7"/>
      <c r="H13" s="7"/>
      <c r="I13" s="140">
        <f>IF(G5="",I12,SWE.WS.F.BPU.ATRR.Projected!$F$75)</f>
        <v>9.9555672459071778E-2</v>
      </c>
      <c r="J13" s="141"/>
      <c r="K13" s="111" t="s">
        <v>56</v>
      </c>
      <c r="L13" s="58"/>
      <c r="M13" s="58"/>
      <c r="N13" s="58"/>
      <c r="O13" s="4"/>
      <c r="P13" s="4"/>
    </row>
    <row r="14" spans="1:17" ht="13.5" thickBot="1">
      <c r="C14" s="136" t="s">
        <v>57</v>
      </c>
      <c r="D14" s="137" t="s">
        <v>58</v>
      </c>
      <c r="E14" s="4" t="s">
        <v>59</v>
      </c>
      <c r="F14" s="134"/>
      <c r="G14" s="7"/>
      <c r="H14" s="7"/>
      <c r="I14" s="142">
        <f>IF(D10=0,0,D10/D13)</f>
        <v>122110.20930232559</v>
      </c>
      <c r="J14" s="111"/>
      <c r="K14" s="111"/>
      <c r="L14" s="111"/>
      <c r="M14" s="111"/>
      <c r="N14" s="111"/>
      <c r="O14" s="4"/>
      <c r="P14" s="4"/>
    </row>
    <row r="15" spans="1:17" ht="38.25">
      <c r="C15" s="143" t="s">
        <v>47</v>
      </c>
      <c r="D15" s="144" t="s">
        <v>60</v>
      </c>
      <c r="E15" s="144" t="s">
        <v>61</v>
      </c>
      <c r="F15" s="144" t="s">
        <v>62</v>
      </c>
      <c r="G15" s="434" t="s">
        <v>378</v>
      </c>
      <c r="H15" s="435" t="s">
        <v>379</v>
      </c>
      <c r="I15" s="351" t="s">
        <v>249</v>
      </c>
      <c r="J15" s="145"/>
      <c r="K15" s="271" t="s">
        <v>219</v>
      </c>
      <c r="L15" s="146" t="s">
        <v>64</v>
      </c>
      <c r="M15" s="271" t="s">
        <v>219</v>
      </c>
      <c r="N15" s="146" t="s">
        <v>64</v>
      </c>
      <c r="O15" s="146" t="s">
        <v>65</v>
      </c>
      <c r="P15" s="4"/>
    </row>
    <row r="16" spans="1:17" ht="13.5" thickBot="1">
      <c r="C16" s="147" t="s">
        <v>66</v>
      </c>
      <c r="D16" s="147" t="s">
        <v>67</v>
      </c>
      <c r="E16" s="147" t="s">
        <v>68</v>
      </c>
      <c r="F16" s="147" t="s">
        <v>67</v>
      </c>
      <c r="G16" s="408" t="s">
        <v>69</v>
      </c>
      <c r="H16" s="148" t="s">
        <v>70</v>
      </c>
      <c r="I16" s="149" t="s">
        <v>89</v>
      </c>
      <c r="J16" s="150" t="s">
        <v>71</v>
      </c>
      <c r="K16" s="151" t="s">
        <v>72</v>
      </c>
      <c r="L16" s="151" t="s">
        <v>72</v>
      </c>
      <c r="M16" s="151" t="s">
        <v>90</v>
      </c>
      <c r="N16" s="152" t="s">
        <v>90</v>
      </c>
      <c r="O16" s="151" t="s">
        <v>90</v>
      </c>
      <c r="P16" s="4"/>
    </row>
    <row r="17" spans="2:16">
      <c r="C17" s="153">
        <f>IF(D11= "","-",D11)</f>
        <v>2010</v>
      </c>
      <c r="D17" s="357">
        <v>5473000</v>
      </c>
      <c r="E17" s="358">
        <v>72013.15789473684</v>
      </c>
      <c r="F17" s="357">
        <v>5400986.8421052629</v>
      </c>
      <c r="G17" s="358">
        <v>848486.02708834817</v>
      </c>
      <c r="H17" s="359">
        <v>848486.02708834817</v>
      </c>
      <c r="I17" s="368">
        <v>0</v>
      </c>
      <c r="J17" s="156"/>
      <c r="K17" s="256">
        <f t="shared" ref="K17:K22" si="0">G17</f>
        <v>848486.02708834817</v>
      </c>
      <c r="L17" s="172">
        <f t="shared" ref="L17:L48" si="1">IF(K17&lt;&gt;0,+G17-K17,0)</f>
        <v>0</v>
      </c>
      <c r="M17" s="256">
        <f t="shared" ref="M17:M22" si="2">H17</f>
        <v>848486.02708834817</v>
      </c>
      <c r="N17" s="157">
        <f t="shared" ref="N17:N48" si="3">IF(M17&lt;&gt;0,+H17-M17,0)</f>
        <v>0</v>
      </c>
      <c r="O17" s="158">
        <f t="shared" ref="O17:O48" si="4">+N17-L17</f>
        <v>0</v>
      </c>
      <c r="P17" s="4"/>
    </row>
    <row r="18" spans="2:16">
      <c r="B18" s="9" t="str">
        <f>IF(D18=F17,"","IU")</f>
        <v>IU</v>
      </c>
      <c r="C18" s="153">
        <f>IF(D11="","-",+C17+1)</f>
        <v>2011</v>
      </c>
      <c r="D18" s="361">
        <v>5178725.8421052629</v>
      </c>
      <c r="E18" s="360">
        <v>128066.80487804877</v>
      </c>
      <c r="F18" s="361">
        <v>5050659.0372272143</v>
      </c>
      <c r="G18" s="360">
        <v>916940.27252586046</v>
      </c>
      <c r="H18" s="359">
        <v>916940.27252586046</v>
      </c>
      <c r="I18" s="368">
        <v>0</v>
      </c>
      <c r="J18" s="156"/>
      <c r="K18" s="258">
        <f t="shared" si="0"/>
        <v>916940.27252586046</v>
      </c>
      <c r="L18" s="257">
        <f t="shared" si="1"/>
        <v>0</v>
      </c>
      <c r="M18" s="258">
        <f t="shared" si="2"/>
        <v>916940.27252586046</v>
      </c>
      <c r="N18" s="158">
        <f t="shared" si="3"/>
        <v>0</v>
      </c>
      <c r="O18" s="158">
        <f t="shared" si="4"/>
        <v>0</v>
      </c>
      <c r="P18" s="4"/>
    </row>
    <row r="19" spans="2:16">
      <c r="B19" s="9" t="str">
        <f>IF(D19=F18,"","IU")</f>
        <v/>
      </c>
      <c r="C19" s="153">
        <f>IF(D11="","-",+C18+1)</f>
        <v>2012</v>
      </c>
      <c r="D19" s="361">
        <v>5050659.0372272143</v>
      </c>
      <c r="E19" s="360">
        <v>125017.59523809524</v>
      </c>
      <c r="F19" s="361">
        <v>4925641.4419891192</v>
      </c>
      <c r="G19" s="360">
        <v>857559.68041241798</v>
      </c>
      <c r="H19" s="359">
        <v>857559.68041241798</v>
      </c>
      <c r="I19" s="368">
        <v>0</v>
      </c>
      <c r="J19" s="156"/>
      <c r="K19" s="258">
        <f t="shared" si="0"/>
        <v>857559.68041241798</v>
      </c>
      <c r="L19" s="257">
        <f t="shared" si="1"/>
        <v>0</v>
      </c>
      <c r="M19" s="258">
        <f t="shared" si="2"/>
        <v>857559.68041241798</v>
      </c>
      <c r="N19" s="158">
        <f t="shared" si="3"/>
        <v>0</v>
      </c>
      <c r="O19" s="158">
        <f t="shared" si="4"/>
        <v>0</v>
      </c>
      <c r="P19" s="4"/>
    </row>
    <row r="20" spans="2:16">
      <c r="B20" s="9" t="str">
        <f t="shared" ref="B20:B72" si="5">IF(D20=F19,"","IU")</f>
        <v/>
      </c>
      <c r="C20" s="153">
        <f>IF(D11="","-",+C19+1)</f>
        <v>2013</v>
      </c>
      <c r="D20" s="361">
        <v>4925641.4419891192</v>
      </c>
      <c r="E20" s="360">
        <v>125017.59523809524</v>
      </c>
      <c r="F20" s="361">
        <v>4800623.846751024</v>
      </c>
      <c r="G20" s="360">
        <v>797042.91968828405</v>
      </c>
      <c r="H20" s="359">
        <v>797042.91968828405</v>
      </c>
      <c r="I20" s="398">
        <v>0</v>
      </c>
      <c r="J20" s="156"/>
      <c r="K20" s="258">
        <f t="shared" si="0"/>
        <v>797042.91968828405</v>
      </c>
      <c r="L20" s="257">
        <f t="shared" ref="L20:L25" si="6">IF(K20&lt;&gt;0,+G20-K20,0)</f>
        <v>0</v>
      </c>
      <c r="M20" s="258">
        <f t="shared" si="2"/>
        <v>797042.91968828405</v>
      </c>
      <c r="N20" s="158">
        <f t="shared" ref="N20:N25" si="7">IF(M20&lt;&gt;0,+H20-M20,0)</f>
        <v>0</v>
      </c>
      <c r="O20" s="158">
        <f t="shared" ref="O20:O25" si="8">+N20-L20</f>
        <v>0</v>
      </c>
      <c r="P20" s="4"/>
    </row>
    <row r="21" spans="2:16">
      <c r="B21" s="9" t="str">
        <f t="shared" si="5"/>
        <v/>
      </c>
      <c r="C21" s="153">
        <f>IF(D12="","-",+C20+1)</f>
        <v>2014</v>
      </c>
      <c r="D21" s="361">
        <v>4800623.846751024</v>
      </c>
      <c r="E21" s="360">
        <v>125017.59523809524</v>
      </c>
      <c r="F21" s="361">
        <v>4675606.2515129289</v>
      </c>
      <c r="G21" s="360">
        <v>755806.01100655668</v>
      </c>
      <c r="H21" s="359">
        <v>755806.01100655668</v>
      </c>
      <c r="I21" s="398">
        <v>0</v>
      </c>
      <c r="J21" s="156"/>
      <c r="K21" s="258">
        <f t="shared" si="0"/>
        <v>755806.01100655668</v>
      </c>
      <c r="L21" s="257">
        <f t="shared" si="6"/>
        <v>0</v>
      </c>
      <c r="M21" s="258">
        <f t="shared" si="2"/>
        <v>755806.01100655668</v>
      </c>
      <c r="N21" s="158">
        <f t="shared" si="7"/>
        <v>0</v>
      </c>
      <c r="O21" s="158">
        <f t="shared" si="8"/>
        <v>0</v>
      </c>
      <c r="P21" s="4"/>
    </row>
    <row r="22" spans="2:16">
      <c r="B22" s="9" t="str">
        <f t="shared" si="5"/>
        <v/>
      </c>
      <c r="C22" s="153">
        <f>IF(D11="","-",+C21+1)</f>
        <v>2015</v>
      </c>
      <c r="D22" s="361">
        <v>4675606.2515129289</v>
      </c>
      <c r="E22" s="360">
        <v>125017.59523809524</v>
      </c>
      <c r="F22" s="361">
        <v>4550588.6562748337</v>
      </c>
      <c r="G22" s="360">
        <v>724351.96853237145</v>
      </c>
      <c r="H22" s="359">
        <v>724351.96853237145</v>
      </c>
      <c r="I22" s="156">
        <v>0</v>
      </c>
      <c r="J22" s="156"/>
      <c r="K22" s="258">
        <f t="shared" si="0"/>
        <v>724351.96853237145</v>
      </c>
      <c r="L22" s="257">
        <f t="shared" si="6"/>
        <v>0</v>
      </c>
      <c r="M22" s="258">
        <f t="shared" si="2"/>
        <v>724351.96853237145</v>
      </c>
      <c r="N22" s="158">
        <f t="shared" si="7"/>
        <v>0</v>
      </c>
      <c r="O22" s="158">
        <f t="shared" si="8"/>
        <v>0</v>
      </c>
      <c r="P22" s="4"/>
    </row>
    <row r="23" spans="2:16">
      <c r="B23" s="9" t="str">
        <f t="shared" si="5"/>
        <v/>
      </c>
      <c r="C23" s="153">
        <f>IF(D11="","-",+C22+1)</f>
        <v>2016</v>
      </c>
      <c r="D23" s="361">
        <v>4550588.6562748337</v>
      </c>
      <c r="E23" s="360">
        <v>125017.59523809524</v>
      </c>
      <c r="F23" s="361">
        <v>4425571.0610367386</v>
      </c>
      <c r="G23" s="360">
        <v>700695.76830220246</v>
      </c>
      <c r="H23" s="359">
        <v>700695.76830220246</v>
      </c>
      <c r="I23" s="156">
        <f t="shared" ref="I23:I48" si="9">H23-G23</f>
        <v>0</v>
      </c>
      <c r="J23" s="156"/>
      <c r="K23" s="258">
        <f>G23</f>
        <v>700695.76830220246</v>
      </c>
      <c r="L23" s="257">
        <f t="shared" si="6"/>
        <v>0</v>
      </c>
      <c r="M23" s="258">
        <f>H23</f>
        <v>700695.76830220246</v>
      </c>
      <c r="N23" s="158">
        <f t="shared" si="7"/>
        <v>0</v>
      </c>
      <c r="O23" s="158">
        <f t="shared" si="8"/>
        <v>0</v>
      </c>
      <c r="P23" s="4"/>
    </row>
    <row r="24" spans="2:16">
      <c r="B24" s="9" t="str">
        <f t="shared" si="5"/>
        <v/>
      </c>
      <c r="C24" s="153">
        <f>IF(D11="","-",+C23+1)</f>
        <v>2017</v>
      </c>
      <c r="D24" s="361">
        <v>4425571.0610367386</v>
      </c>
      <c r="E24" s="360">
        <v>122110.20930232559</v>
      </c>
      <c r="F24" s="361">
        <v>4303460.8517344128</v>
      </c>
      <c r="G24" s="360">
        <v>662841.14914820471</v>
      </c>
      <c r="H24" s="359">
        <v>662841.14914820471</v>
      </c>
      <c r="I24" s="156">
        <v>0</v>
      </c>
      <c r="J24" s="156"/>
      <c r="K24" s="258">
        <f>G24</f>
        <v>662841.14914820471</v>
      </c>
      <c r="L24" s="257">
        <f t="shared" si="6"/>
        <v>0</v>
      </c>
      <c r="M24" s="258">
        <f>H24</f>
        <v>662841.14914820471</v>
      </c>
      <c r="N24" s="158">
        <f t="shared" si="7"/>
        <v>0</v>
      </c>
      <c r="O24" s="158">
        <f t="shared" si="8"/>
        <v>0</v>
      </c>
      <c r="P24" s="4"/>
    </row>
    <row r="25" spans="2:16">
      <c r="B25" s="9" t="str">
        <f t="shared" si="5"/>
        <v/>
      </c>
      <c r="C25" s="153">
        <f>IF(D11="","-",+C24+1)</f>
        <v>2018</v>
      </c>
      <c r="D25" s="361">
        <v>4303460.8517344128</v>
      </c>
      <c r="E25" s="360">
        <v>128066.80487804877</v>
      </c>
      <c r="F25" s="361">
        <v>4175394.0468563642</v>
      </c>
      <c r="G25" s="360">
        <v>602391.79605878529</v>
      </c>
      <c r="H25" s="359">
        <v>602391.79605878529</v>
      </c>
      <c r="I25" s="156">
        <f t="shared" si="9"/>
        <v>0</v>
      </c>
      <c r="J25" s="156"/>
      <c r="K25" s="258">
        <f>G25</f>
        <v>602391.79605878529</v>
      </c>
      <c r="L25" s="257">
        <f t="shared" si="6"/>
        <v>0</v>
      </c>
      <c r="M25" s="258">
        <f>H25</f>
        <v>602391.79605878529</v>
      </c>
      <c r="N25" s="158">
        <f t="shared" si="7"/>
        <v>0</v>
      </c>
      <c r="O25" s="158">
        <f t="shared" si="8"/>
        <v>0</v>
      </c>
      <c r="P25" s="4"/>
    </row>
    <row r="26" spans="2:16">
      <c r="B26" s="9" t="str">
        <f t="shared" si="5"/>
        <v/>
      </c>
      <c r="C26" s="153">
        <f>IF(D11="","-",+C25+1)</f>
        <v>2019</v>
      </c>
      <c r="D26" s="159">
        <f>IF(F25+SUM(E$17:E25)=D$10,F25,D$10-SUM(E$17:E25))</f>
        <v>4175394.0468563642</v>
      </c>
      <c r="E26" s="160">
        <f>IF(+I14&lt;F25,I14,D26)</f>
        <v>122110.20930232559</v>
      </c>
      <c r="F26" s="159">
        <f t="shared" ref="F26:F48" si="10">+D26-E26</f>
        <v>4053283.8375540385</v>
      </c>
      <c r="G26" s="161">
        <f t="shared" ref="G26:G55" si="11">+I$12*((D26+F26)/2)+E26</f>
        <v>531715.98941811046</v>
      </c>
      <c r="H26" s="142">
        <f t="shared" ref="H26:H55" si="12">+I$13*((D26+F26)/2)+E26</f>
        <v>531715.98941811046</v>
      </c>
      <c r="I26" s="156">
        <f t="shared" si="9"/>
        <v>0</v>
      </c>
      <c r="J26" s="156"/>
      <c r="K26" s="334"/>
      <c r="L26" s="158">
        <f t="shared" si="1"/>
        <v>0</v>
      </c>
      <c r="M26" s="334"/>
      <c r="N26" s="158">
        <f t="shared" si="3"/>
        <v>0</v>
      </c>
      <c r="O26" s="158">
        <f t="shared" si="4"/>
        <v>0</v>
      </c>
      <c r="P26" s="4"/>
    </row>
    <row r="27" spans="2:16">
      <c r="B27" s="9" t="str">
        <f t="shared" si="5"/>
        <v/>
      </c>
      <c r="C27" s="153">
        <f>IF(D11="","-",+C26+1)</f>
        <v>2020</v>
      </c>
      <c r="D27" s="159">
        <f>IF(F26+SUM(E$17:E26)=D$10,F26,D$10-SUM(E$17:E26))</f>
        <v>4053283.8375540385</v>
      </c>
      <c r="E27" s="160">
        <f>IF(+I14&lt;F26,I14,D27)</f>
        <v>122110.20930232559</v>
      </c>
      <c r="F27" s="159">
        <f t="shared" si="10"/>
        <v>3931173.6282517128</v>
      </c>
      <c r="G27" s="161">
        <f t="shared" si="11"/>
        <v>519559.22541689943</v>
      </c>
      <c r="H27" s="142">
        <f t="shared" si="12"/>
        <v>519559.22541689943</v>
      </c>
      <c r="I27" s="156">
        <f t="shared" si="9"/>
        <v>0</v>
      </c>
      <c r="J27" s="156"/>
      <c r="K27" s="334"/>
      <c r="L27" s="158">
        <f t="shared" si="1"/>
        <v>0</v>
      </c>
      <c r="M27" s="334"/>
      <c r="N27" s="158">
        <f t="shared" si="3"/>
        <v>0</v>
      </c>
      <c r="O27" s="158">
        <f t="shared" si="4"/>
        <v>0</v>
      </c>
      <c r="P27" s="4"/>
    </row>
    <row r="28" spans="2:16">
      <c r="B28" s="9" t="str">
        <f t="shared" si="5"/>
        <v/>
      </c>
      <c r="C28" s="153">
        <f>IF(D11="","-",+C27+1)</f>
        <v>2021</v>
      </c>
      <c r="D28" s="159">
        <f>IF(F27+SUM(E$17:E27)=D$10,F27,D$10-SUM(E$17:E27))</f>
        <v>3931173.6282517128</v>
      </c>
      <c r="E28" s="160">
        <f>IF(+I14&lt;F27,I14,D28)</f>
        <v>122110.20930232559</v>
      </c>
      <c r="F28" s="159">
        <f t="shared" si="10"/>
        <v>3809063.418949387</v>
      </c>
      <c r="G28" s="161">
        <f t="shared" si="11"/>
        <v>507402.46141568839</v>
      </c>
      <c r="H28" s="142">
        <f t="shared" si="12"/>
        <v>507402.46141568839</v>
      </c>
      <c r="I28" s="156">
        <f t="shared" si="9"/>
        <v>0</v>
      </c>
      <c r="J28" s="156"/>
      <c r="K28" s="334"/>
      <c r="L28" s="158">
        <f t="shared" si="1"/>
        <v>0</v>
      </c>
      <c r="M28" s="334"/>
      <c r="N28" s="158">
        <f t="shared" si="3"/>
        <v>0</v>
      </c>
      <c r="O28" s="158">
        <f t="shared" si="4"/>
        <v>0</v>
      </c>
      <c r="P28" s="4"/>
    </row>
    <row r="29" spans="2:16">
      <c r="B29" s="9" t="str">
        <f t="shared" si="5"/>
        <v/>
      </c>
      <c r="C29" s="153">
        <f>IF(D11="","-",+C28+1)</f>
        <v>2022</v>
      </c>
      <c r="D29" s="159">
        <f>IF(F28+SUM(E$17:E28)=D$10,F28,D$10-SUM(E$17:E28))</f>
        <v>3809063.418949387</v>
      </c>
      <c r="E29" s="160">
        <f>IF(+I14&lt;F28,I14,D29)</f>
        <v>122110.20930232559</v>
      </c>
      <c r="F29" s="159">
        <f t="shared" si="10"/>
        <v>3686953.2096470613</v>
      </c>
      <c r="G29" s="161">
        <f t="shared" si="11"/>
        <v>495245.69741447736</v>
      </c>
      <c r="H29" s="142">
        <f t="shared" si="12"/>
        <v>495245.69741447736</v>
      </c>
      <c r="I29" s="156">
        <f t="shared" si="9"/>
        <v>0</v>
      </c>
      <c r="J29" s="156"/>
      <c r="K29" s="334"/>
      <c r="L29" s="158">
        <f t="shared" si="1"/>
        <v>0</v>
      </c>
      <c r="M29" s="334"/>
      <c r="N29" s="158">
        <f t="shared" si="3"/>
        <v>0</v>
      </c>
      <c r="O29" s="158">
        <f t="shared" si="4"/>
        <v>0</v>
      </c>
      <c r="P29" s="4"/>
    </row>
    <row r="30" spans="2:16">
      <c r="B30" s="9" t="str">
        <f t="shared" si="5"/>
        <v/>
      </c>
      <c r="C30" s="153">
        <f>IF(D11="","-",+C29+1)</f>
        <v>2023</v>
      </c>
      <c r="D30" s="159">
        <f>IF(F29+SUM(E$17:E29)=D$10,F29,D$10-SUM(E$17:E29))</f>
        <v>3686953.2096470613</v>
      </c>
      <c r="E30" s="160">
        <f>IF(+I14&lt;F29,I14,D30)</f>
        <v>122110.20930232559</v>
      </c>
      <c r="F30" s="159">
        <f t="shared" si="10"/>
        <v>3564843.0003447356</v>
      </c>
      <c r="G30" s="161">
        <f t="shared" si="11"/>
        <v>483088.93341326632</v>
      </c>
      <c r="H30" s="142">
        <f t="shared" si="12"/>
        <v>483088.93341326632</v>
      </c>
      <c r="I30" s="156">
        <f t="shared" si="9"/>
        <v>0</v>
      </c>
      <c r="J30" s="156"/>
      <c r="K30" s="334"/>
      <c r="L30" s="158">
        <f t="shared" si="1"/>
        <v>0</v>
      </c>
      <c r="M30" s="334"/>
      <c r="N30" s="158">
        <f t="shared" si="3"/>
        <v>0</v>
      </c>
      <c r="O30" s="158">
        <f t="shared" si="4"/>
        <v>0</v>
      </c>
      <c r="P30" s="4"/>
    </row>
    <row r="31" spans="2:16">
      <c r="B31" s="9" t="str">
        <f t="shared" si="5"/>
        <v/>
      </c>
      <c r="C31" s="153">
        <f>IF(D11="","-",+C30+1)</f>
        <v>2024</v>
      </c>
      <c r="D31" s="159">
        <f>IF(F30+SUM(E$17:E30)=D$10,F30,D$10-SUM(E$17:E30))</f>
        <v>3564843.0003447356</v>
      </c>
      <c r="E31" s="160">
        <f>IF(+I14&lt;F30,I14,D31)</f>
        <v>122110.20930232559</v>
      </c>
      <c r="F31" s="159">
        <f t="shared" si="10"/>
        <v>3442732.7910424098</v>
      </c>
      <c r="G31" s="161">
        <f t="shared" si="11"/>
        <v>470932.16941205529</v>
      </c>
      <c r="H31" s="142">
        <f t="shared" si="12"/>
        <v>470932.16941205529</v>
      </c>
      <c r="I31" s="156">
        <f t="shared" si="9"/>
        <v>0</v>
      </c>
      <c r="J31" s="156"/>
      <c r="K31" s="334"/>
      <c r="L31" s="158">
        <f t="shared" si="1"/>
        <v>0</v>
      </c>
      <c r="M31" s="334"/>
      <c r="N31" s="158">
        <f t="shared" si="3"/>
        <v>0</v>
      </c>
      <c r="O31" s="158">
        <f t="shared" si="4"/>
        <v>0</v>
      </c>
      <c r="P31" s="4"/>
    </row>
    <row r="32" spans="2:16">
      <c r="B32" s="9" t="str">
        <f t="shared" si="5"/>
        <v/>
      </c>
      <c r="C32" s="153">
        <f>IF(D11="","-",+C31+1)</f>
        <v>2025</v>
      </c>
      <c r="D32" s="159">
        <f>IF(F31+SUM(E$17:E31)=D$10,F31,D$10-SUM(E$17:E31))</f>
        <v>3442732.7910424098</v>
      </c>
      <c r="E32" s="160">
        <f>IF(+I14&lt;F31,I14,D32)</f>
        <v>122110.20930232559</v>
      </c>
      <c r="F32" s="159">
        <f t="shared" si="10"/>
        <v>3320622.5817400841</v>
      </c>
      <c r="G32" s="161">
        <f t="shared" si="11"/>
        <v>458775.40541084425</v>
      </c>
      <c r="H32" s="142">
        <f t="shared" si="12"/>
        <v>458775.40541084425</v>
      </c>
      <c r="I32" s="156">
        <f t="shared" si="9"/>
        <v>0</v>
      </c>
      <c r="J32" s="156"/>
      <c r="K32" s="334"/>
      <c r="L32" s="158">
        <f t="shared" si="1"/>
        <v>0</v>
      </c>
      <c r="M32" s="334"/>
      <c r="N32" s="158">
        <f t="shared" si="3"/>
        <v>0</v>
      </c>
      <c r="O32" s="158">
        <f t="shared" si="4"/>
        <v>0</v>
      </c>
      <c r="P32" s="4"/>
    </row>
    <row r="33" spans="2:16">
      <c r="B33" s="9" t="str">
        <f t="shared" si="5"/>
        <v/>
      </c>
      <c r="C33" s="153">
        <f>IF(D11="","-",+C32+1)</f>
        <v>2026</v>
      </c>
      <c r="D33" s="159">
        <f>IF(F32+SUM(E$17:E32)=D$10,F32,D$10-SUM(E$17:E32))</f>
        <v>3320622.5817400841</v>
      </c>
      <c r="E33" s="160">
        <f>IF(+I14&lt;F32,I14,D33)</f>
        <v>122110.20930232559</v>
      </c>
      <c r="F33" s="159">
        <f t="shared" si="10"/>
        <v>3198512.3724377584</v>
      </c>
      <c r="G33" s="161">
        <f t="shared" si="11"/>
        <v>446618.64140963322</v>
      </c>
      <c r="H33" s="142">
        <f t="shared" si="12"/>
        <v>446618.64140963322</v>
      </c>
      <c r="I33" s="156">
        <f t="shared" si="9"/>
        <v>0</v>
      </c>
      <c r="J33" s="156"/>
      <c r="K33" s="334"/>
      <c r="L33" s="158">
        <f t="shared" si="1"/>
        <v>0</v>
      </c>
      <c r="M33" s="334"/>
      <c r="N33" s="158">
        <f t="shared" si="3"/>
        <v>0</v>
      </c>
      <c r="O33" s="158">
        <f t="shared" si="4"/>
        <v>0</v>
      </c>
      <c r="P33" s="4"/>
    </row>
    <row r="34" spans="2:16">
      <c r="B34" s="9" t="str">
        <f t="shared" si="5"/>
        <v/>
      </c>
      <c r="C34" s="153">
        <f>IF(D11="","-",+C33+1)</f>
        <v>2027</v>
      </c>
      <c r="D34" s="159">
        <f>IF(F33+SUM(E$17:E33)=D$10,F33,D$10-SUM(E$17:E33))</f>
        <v>3198512.3724377584</v>
      </c>
      <c r="E34" s="160">
        <f>IF(+I14&lt;F33,I14,D34)</f>
        <v>122110.20930232559</v>
      </c>
      <c r="F34" s="159">
        <f t="shared" si="10"/>
        <v>3076402.1631354326</v>
      </c>
      <c r="G34" s="161">
        <f t="shared" si="11"/>
        <v>434461.87740842218</v>
      </c>
      <c r="H34" s="142">
        <f t="shared" si="12"/>
        <v>434461.87740842218</v>
      </c>
      <c r="I34" s="156">
        <f t="shared" si="9"/>
        <v>0</v>
      </c>
      <c r="J34" s="156"/>
      <c r="K34" s="334"/>
      <c r="L34" s="158">
        <f t="shared" si="1"/>
        <v>0</v>
      </c>
      <c r="M34" s="334"/>
      <c r="N34" s="158">
        <f t="shared" si="3"/>
        <v>0</v>
      </c>
      <c r="O34" s="158">
        <f t="shared" si="4"/>
        <v>0</v>
      </c>
      <c r="P34" s="4"/>
    </row>
    <row r="35" spans="2:16">
      <c r="B35" s="9" t="str">
        <f t="shared" si="5"/>
        <v/>
      </c>
      <c r="C35" s="153">
        <f>IF(D11="","-",+C34+1)</f>
        <v>2028</v>
      </c>
      <c r="D35" s="159">
        <f>IF(F34+SUM(E$17:E34)=D$10,F34,D$10-SUM(E$17:E34))</f>
        <v>3076402.1631354326</v>
      </c>
      <c r="E35" s="160">
        <f>IF(+I14&lt;F34,I14,D35)</f>
        <v>122110.20930232559</v>
      </c>
      <c r="F35" s="159">
        <f t="shared" si="10"/>
        <v>2954291.9538331069</v>
      </c>
      <c r="G35" s="161">
        <f t="shared" si="11"/>
        <v>422305.11340721115</v>
      </c>
      <c r="H35" s="142">
        <f t="shared" si="12"/>
        <v>422305.11340721115</v>
      </c>
      <c r="I35" s="156">
        <f t="shared" si="9"/>
        <v>0</v>
      </c>
      <c r="J35" s="156"/>
      <c r="K35" s="334"/>
      <c r="L35" s="158">
        <f t="shared" si="1"/>
        <v>0</v>
      </c>
      <c r="M35" s="334"/>
      <c r="N35" s="158">
        <f t="shared" si="3"/>
        <v>0</v>
      </c>
      <c r="O35" s="158">
        <f t="shared" si="4"/>
        <v>0</v>
      </c>
      <c r="P35" s="4"/>
    </row>
    <row r="36" spans="2:16">
      <c r="B36" s="9" t="str">
        <f t="shared" si="5"/>
        <v/>
      </c>
      <c r="C36" s="153">
        <f>IF(D11="","-",+C35+1)</f>
        <v>2029</v>
      </c>
      <c r="D36" s="159">
        <f>IF(F35+SUM(E$17:E35)=D$10,F35,D$10-SUM(E$17:E35))</f>
        <v>2954291.9538331069</v>
      </c>
      <c r="E36" s="160">
        <f>IF(+I14&lt;F35,I14,D36)</f>
        <v>122110.20930232559</v>
      </c>
      <c r="F36" s="159">
        <f t="shared" si="10"/>
        <v>2832181.7445307812</v>
      </c>
      <c r="G36" s="161">
        <f t="shared" si="11"/>
        <v>410148.34940600011</v>
      </c>
      <c r="H36" s="142">
        <f t="shared" si="12"/>
        <v>410148.34940600011</v>
      </c>
      <c r="I36" s="156">
        <f t="shared" si="9"/>
        <v>0</v>
      </c>
      <c r="J36" s="156"/>
      <c r="K36" s="334"/>
      <c r="L36" s="158">
        <f t="shared" si="1"/>
        <v>0</v>
      </c>
      <c r="M36" s="334"/>
      <c r="N36" s="158">
        <f t="shared" si="3"/>
        <v>0</v>
      </c>
      <c r="O36" s="158">
        <f t="shared" si="4"/>
        <v>0</v>
      </c>
      <c r="P36" s="4"/>
    </row>
    <row r="37" spans="2:16">
      <c r="B37" s="9" t="str">
        <f t="shared" si="5"/>
        <v/>
      </c>
      <c r="C37" s="153">
        <f>IF(D11="","-",+C36+1)</f>
        <v>2030</v>
      </c>
      <c r="D37" s="159">
        <f>IF(F36+SUM(E$17:E36)=D$10,F36,D$10-SUM(E$17:E36))</f>
        <v>2832181.7445307812</v>
      </c>
      <c r="E37" s="160">
        <f>IF(+I14&lt;F36,I14,D37)</f>
        <v>122110.20930232559</v>
      </c>
      <c r="F37" s="159">
        <f t="shared" si="10"/>
        <v>2710071.5352284554</v>
      </c>
      <c r="G37" s="161">
        <f t="shared" si="11"/>
        <v>397991.58540478908</v>
      </c>
      <c r="H37" s="142">
        <f t="shared" si="12"/>
        <v>397991.58540478908</v>
      </c>
      <c r="I37" s="156">
        <f t="shared" si="9"/>
        <v>0</v>
      </c>
      <c r="J37" s="156"/>
      <c r="K37" s="334"/>
      <c r="L37" s="158">
        <f t="shared" si="1"/>
        <v>0</v>
      </c>
      <c r="M37" s="334"/>
      <c r="N37" s="158">
        <f t="shared" si="3"/>
        <v>0</v>
      </c>
      <c r="O37" s="158">
        <f t="shared" si="4"/>
        <v>0</v>
      </c>
      <c r="P37" s="4"/>
    </row>
    <row r="38" spans="2:16">
      <c r="B38" s="9" t="str">
        <f t="shared" si="5"/>
        <v/>
      </c>
      <c r="C38" s="153">
        <f>IF(D11="","-",+C37+1)</f>
        <v>2031</v>
      </c>
      <c r="D38" s="159">
        <f>IF(F37+SUM(E$17:E37)=D$10,F37,D$10-SUM(E$17:E37))</f>
        <v>2710071.5352284554</v>
      </c>
      <c r="E38" s="160">
        <f>IF(+I14&lt;F37,I14,D38)</f>
        <v>122110.20930232559</v>
      </c>
      <c r="F38" s="159">
        <f t="shared" si="10"/>
        <v>2587961.3259261297</v>
      </c>
      <c r="G38" s="161">
        <f t="shared" si="11"/>
        <v>385834.82140357792</v>
      </c>
      <c r="H38" s="142">
        <f t="shared" si="12"/>
        <v>385834.82140357792</v>
      </c>
      <c r="I38" s="156">
        <f t="shared" si="9"/>
        <v>0</v>
      </c>
      <c r="J38" s="156"/>
      <c r="K38" s="334"/>
      <c r="L38" s="158">
        <f t="shared" si="1"/>
        <v>0</v>
      </c>
      <c r="M38" s="334"/>
      <c r="N38" s="158">
        <f t="shared" si="3"/>
        <v>0</v>
      </c>
      <c r="O38" s="158">
        <f t="shared" si="4"/>
        <v>0</v>
      </c>
      <c r="P38" s="4"/>
    </row>
    <row r="39" spans="2:16">
      <c r="B39" s="9" t="str">
        <f t="shared" si="5"/>
        <v/>
      </c>
      <c r="C39" s="153">
        <f>IF(D11="","-",+C38+1)</f>
        <v>2032</v>
      </c>
      <c r="D39" s="159">
        <f>IF(F38+SUM(E$17:E38)=D$10,F38,D$10-SUM(E$17:E38))</f>
        <v>2587961.3259261297</v>
      </c>
      <c r="E39" s="160">
        <f>IF(+I14&lt;F38,I14,D39)</f>
        <v>122110.20930232559</v>
      </c>
      <c r="F39" s="159">
        <f t="shared" si="10"/>
        <v>2465851.116623804</v>
      </c>
      <c r="G39" s="161">
        <f t="shared" si="11"/>
        <v>373678.05740236695</v>
      </c>
      <c r="H39" s="142">
        <f t="shared" si="12"/>
        <v>373678.05740236695</v>
      </c>
      <c r="I39" s="156">
        <f t="shared" si="9"/>
        <v>0</v>
      </c>
      <c r="J39" s="156"/>
      <c r="K39" s="334"/>
      <c r="L39" s="158">
        <f t="shared" si="1"/>
        <v>0</v>
      </c>
      <c r="M39" s="334"/>
      <c r="N39" s="158">
        <f t="shared" si="3"/>
        <v>0</v>
      </c>
      <c r="O39" s="158">
        <f t="shared" si="4"/>
        <v>0</v>
      </c>
      <c r="P39" s="4"/>
    </row>
    <row r="40" spans="2:16">
      <c r="B40" s="9" t="str">
        <f t="shared" si="5"/>
        <v/>
      </c>
      <c r="C40" s="153">
        <f>IF(D11="","-",+C39+1)</f>
        <v>2033</v>
      </c>
      <c r="D40" s="159">
        <f>IF(F39+SUM(E$17:E39)=D$10,F39,D$10-SUM(E$17:E39))</f>
        <v>2465851.116623804</v>
      </c>
      <c r="E40" s="160">
        <f>IF(+I14&lt;F39,I14,D40)</f>
        <v>122110.20930232559</v>
      </c>
      <c r="F40" s="159">
        <f t="shared" si="10"/>
        <v>2343740.9073214782</v>
      </c>
      <c r="G40" s="161">
        <f t="shared" si="11"/>
        <v>361521.29340115591</v>
      </c>
      <c r="H40" s="142">
        <f t="shared" si="12"/>
        <v>361521.29340115591</v>
      </c>
      <c r="I40" s="156">
        <f t="shared" si="9"/>
        <v>0</v>
      </c>
      <c r="J40" s="156"/>
      <c r="K40" s="334"/>
      <c r="L40" s="158">
        <f t="shared" si="1"/>
        <v>0</v>
      </c>
      <c r="M40" s="334"/>
      <c r="N40" s="158">
        <f t="shared" si="3"/>
        <v>0</v>
      </c>
      <c r="O40" s="158">
        <f t="shared" si="4"/>
        <v>0</v>
      </c>
      <c r="P40" s="4"/>
    </row>
    <row r="41" spans="2:16">
      <c r="B41" s="9" t="str">
        <f t="shared" si="5"/>
        <v/>
      </c>
      <c r="C41" s="153">
        <f>IF(D11="","-",+C40+1)</f>
        <v>2034</v>
      </c>
      <c r="D41" s="159">
        <f>IF(F40+SUM(E$17:E40)=D$10,F40,D$10-SUM(E$17:E40))</f>
        <v>2343740.9073214782</v>
      </c>
      <c r="E41" s="160">
        <f>IF(+I14&lt;F40,I14,D41)</f>
        <v>122110.20930232559</v>
      </c>
      <c r="F41" s="159">
        <f t="shared" si="10"/>
        <v>2221630.6980191525</v>
      </c>
      <c r="G41" s="161">
        <f t="shared" si="11"/>
        <v>349364.52939994482</v>
      </c>
      <c r="H41" s="142">
        <f t="shared" si="12"/>
        <v>349364.52939994482</v>
      </c>
      <c r="I41" s="156">
        <f t="shared" si="9"/>
        <v>0</v>
      </c>
      <c r="J41" s="156"/>
      <c r="K41" s="334"/>
      <c r="L41" s="158">
        <f t="shared" si="1"/>
        <v>0</v>
      </c>
      <c r="M41" s="334"/>
      <c r="N41" s="158">
        <f t="shared" si="3"/>
        <v>0</v>
      </c>
      <c r="O41" s="158">
        <f t="shared" si="4"/>
        <v>0</v>
      </c>
      <c r="P41" s="4"/>
    </row>
    <row r="42" spans="2:16">
      <c r="B42" s="9" t="str">
        <f t="shared" si="5"/>
        <v/>
      </c>
      <c r="C42" s="153">
        <f>IF(D11="","-",+C41+1)</f>
        <v>2035</v>
      </c>
      <c r="D42" s="159">
        <f>IF(F41+SUM(E$17:E41)=D$10,F41,D$10-SUM(E$17:E41))</f>
        <v>2221630.6980191525</v>
      </c>
      <c r="E42" s="160">
        <f>IF(+I14&lt;F41,I14,D42)</f>
        <v>122110.20930232559</v>
      </c>
      <c r="F42" s="159">
        <f t="shared" si="10"/>
        <v>2099520.4887168268</v>
      </c>
      <c r="G42" s="161">
        <f t="shared" si="11"/>
        <v>337207.76539873378</v>
      </c>
      <c r="H42" s="142">
        <f t="shared" si="12"/>
        <v>337207.76539873378</v>
      </c>
      <c r="I42" s="156">
        <f t="shared" si="9"/>
        <v>0</v>
      </c>
      <c r="J42" s="156"/>
      <c r="K42" s="334"/>
      <c r="L42" s="158">
        <f t="shared" si="1"/>
        <v>0</v>
      </c>
      <c r="M42" s="334"/>
      <c r="N42" s="158">
        <f t="shared" si="3"/>
        <v>0</v>
      </c>
      <c r="O42" s="158">
        <f t="shared" si="4"/>
        <v>0</v>
      </c>
      <c r="P42" s="4"/>
    </row>
    <row r="43" spans="2:16">
      <c r="B43" s="9" t="str">
        <f t="shared" si="5"/>
        <v/>
      </c>
      <c r="C43" s="153">
        <f>IF(D11="","-",+C42+1)</f>
        <v>2036</v>
      </c>
      <c r="D43" s="159">
        <f>IF(F42+SUM(E$17:E42)=D$10,F42,D$10-SUM(E$17:E42))</f>
        <v>2099520.4887168268</v>
      </c>
      <c r="E43" s="160">
        <f>IF(+I14&lt;F42,I14,D43)</f>
        <v>122110.20930232559</v>
      </c>
      <c r="F43" s="159">
        <f t="shared" si="10"/>
        <v>1977410.2794145013</v>
      </c>
      <c r="G43" s="161">
        <f t="shared" si="11"/>
        <v>325051.00139752275</v>
      </c>
      <c r="H43" s="142">
        <f t="shared" si="12"/>
        <v>325051.00139752275</v>
      </c>
      <c r="I43" s="156">
        <f t="shared" si="9"/>
        <v>0</v>
      </c>
      <c r="J43" s="156"/>
      <c r="K43" s="334"/>
      <c r="L43" s="158">
        <f t="shared" si="1"/>
        <v>0</v>
      </c>
      <c r="M43" s="334"/>
      <c r="N43" s="158">
        <f t="shared" si="3"/>
        <v>0</v>
      </c>
      <c r="O43" s="158">
        <f t="shared" si="4"/>
        <v>0</v>
      </c>
      <c r="P43" s="4"/>
    </row>
    <row r="44" spans="2:16">
      <c r="B44" s="9" t="str">
        <f t="shared" si="5"/>
        <v/>
      </c>
      <c r="C44" s="153">
        <f>IF(D11="","-",+C43+1)</f>
        <v>2037</v>
      </c>
      <c r="D44" s="159">
        <f>IF(F43+SUM(E$17:E43)=D$10,F43,D$10-SUM(E$17:E43))</f>
        <v>1977410.2794145013</v>
      </c>
      <c r="E44" s="160">
        <f>IF(+I14&lt;F43,I14,D44)</f>
        <v>122110.20930232559</v>
      </c>
      <c r="F44" s="159">
        <f t="shared" si="10"/>
        <v>1855300.0701121758</v>
      </c>
      <c r="G44" s="161">
        <f t="shared" si="11"/>
        <v>312894.23739631177</v>
      </c>
      <c r="H44" s="142">
        <f t="shared" si="12"/>
        <v>312894.23739631177</v>
      </c>
      <c r="I44" s="156">
        <f t="shared" si="9"/>
        <v>0</v>
      </c>
      <c r="J44" s="156"/>
      <c r="K44" s="334"/>
      <c r="L44" s="158">
        <f t="shared" si="1"/>
        <v>0</v>
      </c>
      <c r="M44" s="334"/>
      <c r="N44" s="158">
        <f t="shared" si="3"/>
        <v>0</v>
      </c>
      <c r="O44" s="158">
        <f t="shared" si="4"/>
        <v>0</v>
      </c>
      <c r="P44" s="4"/>
    </row>
    <row r="45" spans="2:16">
      <c r="B45" s="9" t="str">
        <f t="shared" si="5"/>
        <v/>
      </c>
      <c r="C45" s="153">
        <f>IF(D11="","-",+C44+1)</f>
        <v>2038</v>
      </c>
      <c r="D45" s="159">
        <f>IF(F44+SUM(E$17:E44)=D$10,F44,D$10-SUM(E$17:E44))</f>
        <v>1855300.0701121758</v>
      </c>
      <c r="E45" s="160">
        <f>IF(+I14&lt;F44,I14,D45)</f>
        <v>122110.20930232559</v>
      </c>
      <c r="F45" s="159">
        <f t="shared" si="10"/>
        <v>1733189.8608098503</v>
      </c>
      <c r="G45" s="161">
        <f t="shared" si="11"/>
        <v>300737.47339510074</v>
      </c>
      <c r="H45" s="142">
        <f t="shared" si="12"/>
        <v>300737.47339510074</v>
      </c>
      <c r="I45" s="156">
        <f t="shared" si="9"/>
        <v>0</v>
      </c>
      <c r="J45" s="156"/>
      <c r="K45" s="334"/>
      <c r="L45" s="158">
        <f t="shared" si="1"/>
        <v>0</v>
      </c>
      <c r="M45" s="334"/>
      <c r="N45" s="158">
        <f t="shared" si="3"/>
        <v>0</v>
      </c>
      <c r="O45" s="158">
        <f t="shared" si="4"/>
        <v>0</v>
      </c>
      <c r="P45" s="4"/>
    </row>
    <row r="46" spans="2:16">
      <c r="B46" s="9" t="str">
        <f t="shared" si="5"/>
        <v/>
      </c>
      <c r="C46" s="153">
        <f>IF(D11="","-",+C45+1)</f>
        <v>2039</v>
      </c>
      <c r="D46" s="159">
        <f>IF(F45+SUM(E$17:E45)=D$10,F45,D$10-SUM(E$17:E45))</f>
        <v>1733189.8608098503</v>
      </c>
      <c r="E46" s="160">
        <f>IF(+I14&lt;F45,I14,D46)</f>
        <v>122110.20930232559</v>
      </c>
      <c r="F46" s="159">
        <f t="shared" si="10"/>
        <v>1611079.6515075248</v>
      </c>
      <c r="G46" s="161">
        <f t="shared" si="11"/>
        <v>288580.70939388976</v>
      </c>
      <c r="H46" s="142">
        <f t="shared" si="12"/>
        <v>288580.70939388976</v>
      </c>
      <c r="I46" s="156">
        <f t="shared" si="9"/>
        <v>0</v>
      </c>
      <c r="J46" s="156"/>
      <c r="K46" s="334"/>
      <c r="L46" s="158">
        <f t="shared" si="1"/>
        <v>0</v>
      </c>
      <c r="M46" s="334"/>
      <c r="N46" s="158">
        <f t="shared" si="3"/>
        <v>0</v>
      </c>
      <c r="O46" s="158">
        <f t="shared" si="4"/>
        <v>0</v>
      </c>
      <c r="P46" s="4"/>
    </row>
    <row r="47" spans="2:16">
      <c r="B47" s="9" t="str">
        <f t="shared" si="5"/>
        <v/>
      </c>
      <c r="C47" s="153">
        <f>IF(D11="","-",+C46+1)</f>
        <v>2040</v>
      </c>
      <c r="D47" s="159">
        <f>IF(F46+SUM(E$17:E46)=D$10,F46,D$10-SUM(E$17:E46))</f>
        <v>1611079.6515075248</v>
      </c>
      <c r="E47" s="160">
        <f>IF(+I14&lt;F46,I14,D47)</f>
        <v>122110.20930232559</v>
      </c>
      <c r="F47" s="159">
        <f t="shared" si="10"/>
        <v>1488969.4422051993</v>
      </c>
      <c r="G47" s="161">
        <f t="shared" si="11"/>
        <v>276423.94539267872</v>
      </c>
      <c r="H47" s="142">
        <f t="shared" si="12"/>
        <v>276423.94539267872</v>
      </c>
      <c r="I47" s="156">
        <f t="shared" si="9"/>
        <v>0</v>
      </c>
      <c r="J47" s="156"/>
      <c r="K47" s="334"/>
      <c r="L47" s="158">
        <f t="shared" si="1"/>
        <v>0</v>
      </c>
      <c r="M47" s="334"/>
      <c r="N47" s="158">
        <f t="shared" si="3"/>
        <v>0</v>
      </c>
      <c r="O47" s="158">
        <f t="shared" si="4"/>
        <v>0</v>
      </c>
      <c r="P47" s="4"/>
    </row>
    <row r="48" spans="2:16">
      <c r="B48" s="9" t="str">
        <f t="shared" si="5"/>
        <v/>
      </c>
      <c r="C48" s="153">
        <f>IF(D11="","-",+C47+1)</f>
        <v>2041</v>
      </c>
      <c r="D48" s="159">
        <f>IF(F47+SUM(E$17:E47)=D$10,F47,D$10-SUM(E$17:E47))</f>
        <v>1488969.4422051993</v>
      </c>
      <c r="E48" s="160">
        <f>IF(+I14&lt;F47,I14,D48)</f>
        <v>122110.20930232559</v>
      </c>
      <c r="F48" s="159">
        <f t="shared" si="10"/>
        <v>1366859.2329028738</v>
      </c>
      <c r="G48" s="161">
        <f t="shared" si="11"/>
        <v>264267.18139146769</v>
      </c>
      <c r="H48" s="142">
        <f t="shared" si="12"/>
        <v>264267.18139146769</v>
      </c>
      <c r="I48" s="156">
        <f t="shared" si="9"/>
        <v>0</v>
      </c>
      <c r="J48" s="156"/>
      <c r="K48" s="334"/>
      <c r="L48" s="158">
        <f t="shared" si="1"/>
        <v>0</v>
      </c>
      <c r="M48" s="334"/>
      <c r="N48" s="158">
        <f t="shared" si="3"/>
        <v>0</v>
      </c>
      <c r="O48" s="158">
        <f t="shared" si="4"/>
        <v>0</v>
      </c>
      <c r="P48" s="4"/>
    </row>
    <row r="49" spans="2:17">
      <c r="B49" s="9" t="str">
        <f t="shared" si="5"/>
        <v/>
      </c>
      <c r="C49" s="153">
        <f>IF(D11="","-",+C48+1)</f>
        <v>2042</v>
      </c>
      <c r="D49" s="159">
        <f>IF(F48+SUM(E$17:E48)=D$10,F48,D$10-SUM(E$17:E48))</f>
        <v>1366859.2329028738</v>
      </c>
      <c r="E49" s="160">
        <f>IF(+I14&lt;F48,I14,D49)</f>
        <v>122110.20930232559</v>
      </c>
      <c r="F49" s="159">
        <f t="shared" ref="F49:F72" si="13">+D49-E49</f>
        <v>1244749.0236005483</v>
      </c>
      <c r="G49" s="161">
        <f t="shared" si="11"/>
        <v>252110.41739025665</v>
      </c>
      <c r="H49" s="142">
        <f t="shared" si="12"/>
        <v>252110.41739025665</v>
      </c>
      <c r="I49" s="156">
        <f t="shared" ref="I49:I72" si="14">H49-G49</f>
        <v>0</v>
      </c>
      <c r="J49" s="156"/>
      <c r="K49" s="334"/>
      <c r="L49" s="158">
        <f t="shared" ref="L49:L72" si="15">IF(K49&lt;&gt;0,+G49-K49,0)</f>
        <v>0</v>
      </c>
      <c r="M49" s="334"/>
      <c r="N49" s="158">
        <f t="shared" ref="N49:N72" si="16">IF(M49&lt;&gt;0,+H49-M49,0)</f>
        <v>0</v>
      </c>
      <c r="O49" s="158">
        <f t="shared" ref="O49:O72" si="17">+N49-L49</f>
        <v>0</v>
      </c>
      <c r="P49" s="4"/>
    </row>
    <row r="50" spans="2:17">
      <c r="B50" s="9" t="str">
        <f t="shared" si="5"/>
        <v/>
      </c>
      <c r="C50" s="153">
        <f>IF(D11="","-",+C49+1)</f>
        <v>2043</v>
      </c>
      <c r="D50" s="159">
        <f>IF(F49+SUM(E$17:E49)=D$10,F49,D$10-SUM(E$17:E49))</f>
        <v>1244749.0236005483</v>
      </c>
      <c r="E50" s="160">
        <f>IF(+I14&lt;F49,I14,D50)</f>
        <v>122110.20930232559</v>
      </c>
      <c r="F50" s="159">
        <f t="shared" si="13"/>
        <v>1122638.8142982228</v>
      </c>
      <c r="G50" s="161">
        <f t="shared" si="11"/>
        <v>239953.65338904568</v>
      </c>
      <c r="H50" s="142">
        <f t="shared" si="12"/>
        <v>239953.65338904568</v>
      </c>
      <c r="I50" s="156">
        <f t="shared" si="14"/>
        <v>0</v>
      </c>
      <c r="J50" s="156"/>
      <c r="K50" s="334"/>
      <c r="L50" s="158">
        <f t="shared" si="15"/>
        <v>0</v>
      </c>
      <c r="M50" s="334"/>
      <c r="N50" s="158">
        <f t="shared" si="16"/>
        <v>0</v>
      </c>
      <c r="O50" s="158">
        <f t="shared" si="17"/>
        <v>0</v>
      </c>
      <c r="P50" s="4"/>
    </row>
    <row r="51" spans="2:17">
      <c r="B51" s="9" t="str">
        <f t="shared" si="5"/>
        <v/>
      </c>
      <c r="C51" s="153">
        <f>IF(D11="","-",+C50+1)</f>
        <v>2044</v>
      </c>
      <c r="D51" s="159">
        <f>IF(F50+SUM(E$17:E50)=D$10,F50,D$10-SUM(E$17:E50))</f>
        <v>1122638.8142982228</v>
      </c>
      <c r="E51" s="160">
        <f>IF(+I14&lt;F50,I14,D51)</f>
        <v>122110.20930232559</v>
      </c>
      <c r="F51" s="159">
        <f t="shared" si="13"/>
        <v>1000528.6049958972</v>
      </c>
      <c r="G51" s="161">
        <f t="shared" si="11"/>
        <v>227796.88938783464</v>
      </c>
      <c r="H51" s="142">
        <f t="shared" si="12"/>
        <v>227796.88938783464</v>
      </c>
      <c r="I51" s="156">
        <f t="shared" si="14"/>
        <v>0</v>
      </c>
      <c r="J51" s="156"/>
      <c r="K51" s="334"/>
      <c r="L51" s="158">
        <f t="shared" si="15"/>
        <v>0</v>
      </c>
      <c r="M51" s="334"/>
      <c r="N51" s="158">
        <f t="shared" si="16"/>
        <v>0</v>
      </c>
      <c r="O51" s="158">
        <f t="shared" si="17"/>
        <v>0</v>
      </c>
      <c r="P51" s="4"/>
    </row>
    <row r="52" spans="2:17">
      <c r="B52" s="9" t="str">
        <f t="shared" si="5"/>
        <v/>
      </c>
      <c r="C52" s="153">
        <f>IF(D11="","-",+C51+1)</f>
        <v>2045</v>
      </c>
      <c r="D52" s="159">
        <f>IF(F51+SUM(E$17:E51)=D$10,F51,D$10-SUM(E$17:E51))</f>
        <v>1000528.6049958972</v>
      </c>
      <c r="E52" s="160">
        <f>IF(+I14&lt;F51,I14,D52)</f>
        <v>122110.20930232559</v>
      </c>
      <c r="F52" s="159">
        <f t="shared" si="13"/>
        <v>878418.39569357154</v>
      </c>
      <c r="G52" s="161">
        <f t="shared" si="11"/>
        <v>215640.12538662361</v>
      </c>
      <c r="H52" s="142">
        <f t="shared" si="12"/>
        <v>215640.12538662361</v>
      </c>
      <c r="I52" s="156">
        <f t="shared" si="14"/>
        <v>0</v>
      </c>
      <c r="J52" s="156"/>
      <c r="K52" s="334"/>
      <c r="L52" s="158">
        <f t="shared" si="15"/>
        <v>0</v>
      </c>
      <c r="M52" s="334"/>
      <c r="N52" s="158">
        <f t="shared" si="16"/>
        <v>0</v>
      </c>
      <c r="O52" s="158">
        <f t="shared" si="17"/>
        <v>0</v>
      </c>
      <c r="P52" s="4"/>
    </row>
    <row r="53" spans="2:17">
      <c r="B53" s="9" t="str">
        <f t="shared" si="5"/>
        <v/>
      </c>
      <c r="C53" s="153">
        <f>IF(D11="","-",+C52+1)</f>
        <v>2046</v>
      </c>
      <c r="D53" s="159">
        <f>IF(F52+SUM(E$17:E52)=D$10,F52,D$10-SUM(E$17:E52))</f>
        <v>878418.39569357154</v>
      </c>
      <c r="E53" s="160">
        <f>IF(+I14&lt;F52,I14,D53)</f>
        <v>122110.20930232559</v>
      </c>
      <c r="F53" s="159">
        <f t="shared" si="13"/>
        <v>756308.18639124592</v>
      </c>
      <c r="G53" s="161">
        <f t="shared" si="11"/>
        <v>203483.36138541257</v>
      </c>
      <c r="H53" s="142">
        <f t="shared" si="12"/>
        <v>203483.36138541257</v>
      </c>
      <c r="I53" s="156">
        <f t="shared" si="14"/>
        <v>0</v>
      </c>
      <c r="J53" s="156"/>
      <c r="K53" s="334"/>
      <c r="L53" s="158">
        <f t="shared" si="15"/>
        <v>0</v>
      </c>
      <c r="M53" s="334"/>
      <c r="N53" s="158">
        <f t="shared" si="16"/>
        <v>0</v>
      </c>
      <c r="O53" s="158">
        <f t="shared" si="17"/>
        <v>0</v>
      </c>
      <c r="P53" s="4"/>
    </row>
    <row r="54" spans="2:17">
      <c r="B54" s="9" t="str">
        <f t="shared" si="5"/>
        <v/>
      </c>
      <c r="C54" s="153">
        <f>IF(D11="","-",+C53+1)</f>
        <v>2047</v>
      </c>
      <c r="D54" s="159">
        <f>IF(F53+SUM(E$17:E53)=D$10,F53,D$10-SUM(E$17:E53))</f>
        <v>756308.18639124592</v>
      </c>
      <c r="E54" s="160">
        <f>IF(+I14&lt;F53,I14,D54)</f>
        <v>122110.20930232559</v>
      </c>
      <c r="F54" s="159">
        <f t="shared" si="13"/>
        <v>634197.97708892031</v>
      </c>
      <c r="G54" s="161">
        <f t="shared" si="11"/>
        <v>191326.59738420157</v>
      </c>
      <c r="H54" s="142">
        <f t="shared" si="12"/>
        <v>191326.59738420157</v>
      </c>
      <c r="I54" s="156">
        <f t="shared" si="14"/>
        <v>0</v>
      </c>
      <c r="J54" s="156"/>
      <c r="K54" s="334"/>
      <c r="L54" s="158">
        <f t="shared" si="15"/>
        <v>0</v>
      </c>
      <c r="M54" s="334"/>
      <c r="N54" s="158">
        <f t="shared" si="16"/>
        <v>0</v>
      </c>
      <c r="O54" s="158">
        <f t="shared" si="17"/>
        <v>0</v>
      </c>
      <c r="P54" s="4"/>
    </row>
    <row r="55" spans="2:17">
      <c r="B55" s="9" t="str">
        <f t="shared" si="5"/>
        <v/>
      </c>
      <c r="C55" s="153">
        <f>IF(D11="","-",+C54+1)</f>
        <v>2048</v>
      </c>
      <c r="D55" s="159">
        <f>IF(F54+SUM(E$17:E54)=D$10,F54,D$10-SUM(E$17:E54))</f>
        <v>634197.97708892031</v>
      </c>
      <c r="E55" s="160">
        <f>IF(+I14&lt;F54,I14,D55)</f>
        <v>122110.20930232559</v>
      </c>
      <c r="F55" s="159">
        <f t="shared" si="13"/>
        <v>512087.76778659469</v>
      </c>
      <c r="G55" s="161">
        <f t="shared" si="11"/>
        <v>179169.83338299053</v>
      </c>
      <c r="H55" s="142">
        <f t="shared" si="12"/>
        <v>179169.83338299053</v>
      </c>
      <c r="I55" s="156">
        <f t="shared" si="14"/>
        <v>0</v>
      </c>
      <c r="J55" s="156"/>
      <c r="K55" s="334"/>
      <c r="L55" s="158">
        <f t="shared" si="15"/>
        <v>0</v>
      </c>
      <c r="M55" s="334"/>
      <c r="N55" s="158">
        <f t="shared" si="16"/>
        <v>0</v>
      </c>
      <c r="O55" s="158">
        <f t="shared" si="17"/>
        <v>0</v>
      </c>
      <c r="P55" s="4"/>
    </row>
    <row r="56" spans="2:17">
      <c r="B56" s="9" t="str">
        <f t="shared" si="5"/>
        <v/>
      </c>
      <c r="C56" s="153">
        <f>IF(D11="","-",+C55+1)</f>
        <v>2049</v>
      </c>
      <c r="D56" s="159">
        <f>IF(F55+SUM(E$17:E55)=D$10,F55,D$10-SUM(E$17:E55))</f>
        <v>512087.76778659469</v>
      </c>
      <c r="E56" s="160">
        <f>IF(+I14&lt;F55,I14,D56)</f>
        <v>122110.20930232559</v>
      </c>
      <c r="F56" s="159">
        <f t="shared" si="13"/>
        <v>389977.55848426907</v>
      </c>
      <c r="G56" s="161">
        <f t="shared" ref="G56:G72" si="18">+I$12*((D56+F56)/2)+E56</f>
        <v>167013.0693817795</v>
      </c>
      <c r="H56" s="142">
        <f t="shared" ref="H56:H72" si="19">+I$13*((D56+F56)/2)+E56</f>
        <v>167013.0693817795</v>
      </c>
      <c r="I56" s="156">
        <f t="shared" si="14"/>
        <v>0</v>
      </c>
      <c r="J56" s="156"/>
      <c r="K56" s="334"/>
      <c r="L56" s="158">
        <f t="shared" si="15"/>
        <v>0</v>
      </c>
      <c r="M56" s="334"/>
      <c r="N56" s="158">
        <f t="shared" si="16"/>
        <v>0</v>
      </c>
      <c r="O56" s="158">
        <f t="shared" si="17"/>
        <v>0</v>
      </c>
      <c r="P56" s="4"/>
    </row>
    <row r="57" spans="2:17">
      <c r="B57" s="9" t="str">
        <f t="shared" si="5"/>
        <v/>
      </c>
      <c r="C57" s="153">
        <f>IF(D11="","-",+C56+1)</f>
        <v>2050</v>
      </c>
      <c r="D57" s="159">
        <f>IF(F56+SUM(E$17:E56)=D$10,F56,D$10-SUM(E$17:E56))</f>
        <v>389977.55848426907</v>
      </c>
      <c r="E57" s="160">
        <f>IF(+I14&lt;F56,I14,D57)</f>
        <v>122110.20930232559</v>
      </c>
      <c r="F57" s="159">
        <f t="shared" si="13"/>
        <v>267867.34918194346</v>
      </c>
      <c r="G57" s="161">
        <f t="shared" si="18"/>
        <v>154856.30538056846</v>
      </c>
      <c r="H57" s="142">
        <f t="shared" si="19"/>
        <v>154856.30538056846</v>
      </c>
      <c r="I57" s="156">
        <f t="shared" si="14"/>
        <v>0</v>
      </c>
      <c r="J57" s="156"/>
      <c r="K57" s="334"/>
      <c r="L57" s="158">
        <f t="shared" si="15"/>
        <v>0</v>
      </c>
      <c r="M57" s="334"/>
      <c r="N57" s="158">
        <f t="shared" si="16"/>
        <v>0</v>
      </c>
      <c r="O57" s="158">
        <f t="shared" si="17"/>
        <v>0</v>
      </c>
      <c r="P57" s="4"/>
    </row>
    <row r="58" spans="2:17">
      <c r="B58" s="9" t="str">
        <f t="shared" si="5"/>
        <v/>
      </c>
      <c r="C58" s="153">
        <f>IF(D11="","-",+C57+1)</f>
        <v>2051</v>
      </c>
      <c r="D58" s="159">
        <f>IF(F57+SUM(E$17:E57)=D$10,F57,D$10-SUM(E$17:E57))</f>
        <v>267867.34918194346</v>
      </c>
      <c r="E58" s="160">
        <f>IF(+I14&lt;F57,I14,D58)</f>
        <v>122110.20930232559</v>
      </c>
      <c r="F58" s="159">
        <f t="shared" si="13"/>
        <v>145757.13987961787</v>
      </c>
      <c r="G58" s="161">
        <f t="shared" si="18"/>
        <v>142699.54137935746</v>
      </c>
      <c r="H58" s="142">
        <f t="shared" si="19"/>
        <v>142699.54137935746</v>
      </c>
      <c r="I58" s="156">
        <f t="shared" si="14"/>
        <v>0</v>
      </c>
      <c r="J58" s="156"/>
      <c r="K58" s="334"/>
      <c r="L58" s="158">
        <f t="shared" si="15"/>
        <v>0</v>
      </c>
      <c r="M58" s="334"/>
      <c r="N58" s="158">
        <f t="shared" si="16"/>
        <v>0</v>
      </c>
      <c r="O58" s="158">
        <f t="shared" si="17"/>
        <v>0</v>
      </c>
      <c r="P58" s="4"/>
      <c r="Q58" t="str">
        <f>IF(ROUND(Q57,0)=ROUND(SUM(Q18:Q56),0),"","Error -- check allocations above).")</f>
        <v/>
      </c>
    </row>
    <row r="59" spans="2:17">
      <c r="B59" s="9" t="str">
        <f t="shared" si="5"/>
        <v/>
      </c>
      <c r="C59" s="153">
        <f>IF(D11="","-",+C58+1)</f>
        <v>2052</v>
      </c>
      <c r="D59" s="159">
        <f>IF(F58+SUM(E$17:E58)=D$10,F58,D$10-SUM(E$17:E58))</f>
        <v>145757.13987961787</v>
      </c>
      <c r="E59" s="160">
        <f>IF(+I14&lt;F58,I14,D59)</f>
        <v>122110.20930232559</v>
      </c>
      <c r="F59" s="159">
        <f t="shared" si="13"/>
        <v>23646.930577292282</v>
      </c>
      <c r="G59" s="161">
        <f t="shared" si="18"/>
        <v>130542.77737814642</v>
      </c>
      <c r="H59" s="142">
        <f t="shared" si="19"/>
        <v>130542.77737814642</v>
      </c>
      <c r="I59" s="156">
        <f t="shared" si="14"/>
        <v>0</v>
      </c>
      <c r="J59" s="156"/>
      <c r="K59" s="334"/>
      <c r="L59" s="158">
        <f t="shared" si="15"/>
        <v>0</v>
      </c>
      <c r="M59" s="334"/>
      <c r="N59" s="158">
        <f t="shared" si="16"/>
        <v>0</v>
      </c>
      <c r="O59" s="158">
        <f t="shared" si="17"/>
        <v>0</v>
      </c>
      <c r="P59" s="4"/>
    </row>
    <row r="60" spans="2:17">
      <c r="B60" s="9" t="str">
        <f t="shared" si="5"/>
        <v/>
      </c>
      <c r="C60" s="153">
        <f>IF(D11="","-",+C59+1)</f>
        <v>2053</v>
      </c>
      <c r="D60" s="159">
        <f>IF(F59+SUM(E$17:E59)=D$10,F59,D$10-SUM(E$17:E59))</f>
        <v>23646.930577292282</v>
      </c>
      <c r="E60" s="160">
        <f>IF(+I14&lt;F59,I14,D60)</f>
        <v>23646.930577292282</v>
      </c>
      <c r="F60" s="159">
        <f t="shared" si="13"/>
        <v>0</v>
      </c>
      <c r="G60" s="161">
        <f t="shared" si="18"/>
        <v>24824.023614899943</v>
      </c>
      <c r="H60" s="142">
        <f t="shared" si="19"/>
        <v>24824.023614899943</v>
      </c>
      <c r="I60" s="156">
        <f t="shared" si="14"/>
        <v>0</v>
      </c>
      <c r="J60" s="156"/>
      <c r="K60" s="334"/>
      <c r="L60" s="158">
        <f t="shared" si="15"/>
        <v>0</v>
      </c>
      <c r="M60" s="334"/>
      <c r="N60" s="158">
        <f t="shared" si="16"/>
        <v>0</v>
      </c>
      <c r="O60" s="158">
        <f t="shared" si="17"/>
        <v>0</v>
      </c>
      <c r="P60" s="4"/>
    </row>
    <row r="61" spans="2:17">
      <c r="B61" s="9" t="str">
        <f t="shared" si="5"/>
        <v/>
      </c>
      <c r="C61" s="153">
        <f>IF(D11="","-",+C60+1)</f>
        <v>2054</v>
      </c>
      <c r="D61" s="159">
        <f>IF(F60+SUM(E$17:E60)=D$10,F60,D$10-SUM(E$17:E60))</f>
        <v>0</v>
      </c>
      <c r="E61" s="160">
        <f>IF(+I14&lt;F60,I14,D61)</f>
        <v>0</v>
      </c>
      <c r="F61" s="159">
        <f t="shared" si="13"/>
        <v>0</v>
      </c>
      <c r="G61" s="163">
        <f t="shared" si="18"/>
        <v>0</v>
      </c>
      <c r="H61" s="142">
        <f t="shared" si="19"/>
        <v>0</v>
      </c>
      <c r="I61" s="156">
        <f t="shared" si="14"/>
        <v>0</v>
      </c>
      <c r="J61" s="156"/>
      <c r="K61" s="334"/>
      <c r="L61" s="158">
        <f t="shared" si="15"/>
        <v>0</v>
      </c>
      <c r="M61" s="334"/>
      <c r="N61" s="158">
        <f t="shared" si="16"/>
        <v>0</v>
      </c>
      <c r="O61" s="158">
        <f t="shared" si="17"/>
        <v>0</v>
      </c>
      <c r="P61" s="4"/>
    </row>
    <row r="62" spans="2:17">
      <c r="B62" s="9" t="str">
        <f t="shared" si="5"/>
        <v/>
      </c>
      <c r="C62" s="153">
        <f>IF(D11="","-",+C61+1)</f>
        <v>2055</v>
      </c>
      <c r="D62" s="159">
        <f>IF(F61+SUM(E$17:E61)=D$10,F61,D$10-SUM(E$17:E61))</f>
        <v>0</v>
      </c>
      <c r="E62" s="160">
        <f>IF(+I14&lt;F61,I14,D62)</f>
        <v>0</v>
      </c>
      <c r="F62" s="159">
        <f t="shared" si="13"/>
        <v>0</v>
      </c>
      <c r="G62" s="163">
        <f t="shared" si="18"/>
        <v>0</v>
      </c>
      <c r="H62" s="142">
        <f t="shared" si="19"/>
        <v>0</v>
      </c>
      <c r="I62" s="156">
        <f t="shared" si="14"/>
        <v>0</v>
      </c>
      <c r="J62" s="156"/>
      <c r="K62" s="334"/>
      <c r="L62" s="158">
        <f t="shared" si="15"/>
        <v>0</v>
      </c>
      <c r="M62" s="334"/>
      <c r="N62" s="158">
        <f t="shared" si="16"/>
        <v>0</v>
      </c>
      <c r="O62" s="158">
        <f t="shared" si="17"/>
        <v>0</v>
      </c>
      <c r="P62" s="4"/>
    </row>
    <row r="63" spans="2:17">
      <c r="B63" s="9" t="str">
        <f t="shared" si="5"/>
        <v/>
      </c>
      <c r="C63" s="153">
        <f>IF(D11="","-",+C62+1)</f>
        <v>2056</v>
      </c>
      <c r="D63" s="159">
        <f>IF(F62+SUM(E$17:E62)=D$10,F62,D$10-SUM(E$17:E62))</f>
        <v>0</v>
      </c>
      <c r="E63" s="160">
        <f>IF(+I14&lt;F62,I14,D63)</f>
        <v>0</v>
      </c>
      <c r="F63" s="159">
        <f t="shared" si="13"/>
        <v>0</v>
      </c>
      <c r="G63" s="163">
        <f t="shared" si="18"/>
        <v>0</v>
      </c>
      <c r="H63" s="142">
        <f t="shared" si="19"/>
        <v>0</v>
      </c>
      <c r="I63" s="156">
        <f t="shared" si="14"/>
        <v>0</v>
      </c>
      <c r="J63" s="156"/>
      <c r="K63" s="334"/>
      <c r="L63" s="158">
        <f t="shared" si="15"/>
        <v>0</v>
      </c>
      <c r="M63" s="334"/>
      <c r="N63" s="158">
        <f t="shared" si="16"/>
        <v>0</v>
      </c>
      <c r="O63" s="158">
        <f t="shared" si="17"/>
        <v>0</v>
      </c>
      <c r="P63" s="4"/>
    </row>
    <row r="64" spans="2:17">
      <c r="B64" s="9" t="str">
        <f t="shared" si="5"/>
        <v/>
      </c>
      <c r="C64" s="153">
        <f>IF(D11="","-",+C63+1)</f>
        <v>2057</v>
      </c>
      <c r="D64" s="159">
        <f>IF(F63+SUM(E$17:E63)=D$10,F63,D$10-SUM(E$17:E63))</f>
        <v>0</v>
      </c>
      <c r="E64" s="160">
        <f>IF(+I14&lt;F63,I14,D64)</f>
        <v>0</v>
      </c>
      <c r="F64" s="159">
        <f t="shared" si="13"/>
        <v>0</v>
      </c>
      <c r="G64" s="163">
        <f t="shared" si="18"/>
        <v>0</v>
      </c>
      <c r="H64" s="142">
        <f t="shared" si="19"/>
        <v>0</v>
      </c>
      <c r="I64" s="156">
        <f t="shared" si="14"/>
        <v>0</v>
      </c>
      <c r="J64" s="156"/>
      <c r="K64" s="334"/>
      <c r="L64" s="158">
        <f t="shared" si="15"/>
        <v>0</v>
      </c>
      <c r="M64" s="334"/>
      <c r="N64" s="158">
        <f t="shared" si="16"/>
        <v>0</v>
      </c>
      <c r="O64" s="158">
        <f t="shared" si="17"/>
        <v>0</v>
      </c>
      <c r="P64" s="4"/>
    </row>
    <row r="65" spans="1:16">
      <c r="B65" s="9" t="str">
        <f t="shared" si="5"/>
        <v/>
      </c>
      <c r="C65" s="153">
        <f>IF(D11="","-",+C64+1)</f>
        <v>2058</v>
      </c>
      <c r="D65" s="159">
        <f>IF(F64+SUM(E$17:E64)=D$10,F64,D$10-SUM(E$17:E64))</f>
        <v>0</v>
      </c>
      <c r="E65" s="160">
        <f>IF(+I14&lt;F64,I14,D65)</f>
        <v>0</v>
      </c>
      <c r="F65" s="159">
        <f t="shared" si="13"/>
        <v>0</v>
      </c>
      <c r="G65" s="163">
        <f t="shared" si="18"/>
        <v>0</v>
      </c>
      <c r="H65" s="142">
        <f t="shared" si="19"/>
        <v>0</v>
      </c>
      <c r="I65" s="156">
        <f t="shared" si="14"/>
        <v>0</v>
      </c>
      <c r="J65" s="156"/>
      <c r="K65" s="334"/>
      <c r="L65" s="158">
        <f t="shared" si="15"/>
        <v>0</v>
      </c>
      <c r="M65" s="334"/>
      <c r="N65" s="158">
        <f t="shared" si="16"/>
        <v>0</v>
      </c>
      <c r="O65" s="158">
        <f t="shared" si="17"/>
        <v>0</v>
      </c>
      <c r="P65" s="4"/>
    </row>
    <row r="66" spans="1:16">
      <c r="B66" s="9" t="str">
        <f t="shared" si="5"/>
        <v/>
      </c>
      <c r="C66" s="153">
        <f>IF(D11="","-",+C65+1)</f>
        <v>2059</v>
      </c>
      <c r="D66" s="159">
        <f>IF(F65+SUM(E$17:E65)=D$10,F65,D$10-SUM(E$17:E65))</f>
        <v>0</v>
      </c>
      <c r="E66" s="160">
        <f>IF(+I14&lt;F65,I14,D66)</f>
        <v>0</v>
      </c>
      <c r="F66" s="159">
        <f t="shared" si="13"/>
        <v>0</v>
      </c>
      <c r="G66" s="163">
        <f t="shared" si="18"/>
        <v>0</v>
      </c>
      <c r="H66" s="142">
        <f t="shared" si="19"/>
        <v>0</v>
      </c>
      <c r="I66" s="156">
        <f t="shared" si="14"/>
        <v>0</v>
      </c>
      <c r="J66" s="156"/>
      <c r="K66" s="334"/>
      <c r="L66" s="158">
        <f t="shared" si="15"/>
        <v>0</v>
      </c>
      <c r="M66" s="334"/>
      <c r="N66" s="158">
        <f t="shared" si="16"/>
        <v>0</v>
      </c>
      <c r="O66" s="158">
        <f t="shared" si="17"/>
        <v>0</v>
      </c>
      <c r="P66" s="4"/>
    </row>
    <row r="67" spans="1:16">
      <c r="B67" s="9" t="str">
        <f t="shared" si="5"/>
        <v/>
      </c>
      <c r="C67" s="153">
        <f>IF(D11="","-",+C66+1)</f>
        <v>2060</v>
      </c>
      <c r="D67" s="159">
        <f>IF(F66+SUM(E$17:E66)=D$10,F66,D$10-SUM(E$17:E66))</f>
        <v>0</v>
      </c>
      <c r="E67" s="160">
        <f>IF(+I14&lt;F66,I14,D67)</f>
        <v>0</v>
      </c>
      <c r="F67" s="159">
        <f t="shared" si="13"/>
        <v>0</v>
      </c>
      <c r="G67" s="163">
        <f t="shared" si="18"/>
        <v>0</v>
      </c>
      <c r="H67" s="142">
        <f t="shared" si="19"/>
        <v>0</v>
      </c>
      <c r="I67" s="156">
        <f t="shared" si="14"/>
        <v>0</v>
      </c>
      <c r="J67" s="156"/>
      <c r="K67" s="334"/>
      <c r="L67" s="158">
        <f t="shared" si="15"/>
        <v>0</v>
      </c>
      <c r="M67" s="334"/>
      <c r="N67" s="158">
        <f t="shared" si="16"/>
        <v>0</v>
      </c>
      <c r="O67" s="158">
        <f t="shared" si="17"/>
        <v>0</v>
      </c>
      <c r="P67" s="4"/>
    </row>
    <row r="68" spans="1:16">
      <c r="B68" s="9" t="str">
        <f t="shared" si="5"/>
        <v/>
      </c>
      <c r="C68" s="153">
        <f>IF(D11="","-",+C67+1)</f>
        <v>2061</v>
      </c>
      <c r="D68" s="159">
        <f>IF(F67+SUM(E$17:E67)=D$10,F67,D$10-SUM(E$17:E67))</f>
        <v>0</v>
      </c>
      <c r="E68" s="160">
        <f>IF(+I14&lt;F67,I14,D68)</f>
        <v>0</v>
      </c>
      <c r="F68" s="159">
        <f t="shared" si="13"/>
        <v>0</v>
      </c>
      <c r="G68" s="163">
        <f t="shared" si="18"/>
        <v>0</v>
      </c>
      <c r="H68" s="142">
        <f t="shared" si="19"/>
        <v>0</v>
      </c>
      <c r="I68" s="156">
        <f t="shared" si="14"/>
        <v>0</v>
      </c>
      <c r="J68" s="156"/>
      <c r="K68" s="334"/>
      <c r="L68" s="158">
        <f t="shared" si="15"/>
        <v>0</v>
      </c>
      <c r="M68" s="334"/>
      <c r="N68" s="158">
        <f t="shared" si="16"/>
        <v>0</v>
      </c>
      <c r="O68" s="158">
        <f t="shared" si="17"/>
        <v>0</v>
      </c>
      <c r="P68" s="4"/>
    </row>
    <row r="69" spans="1:16">
      <c r="B69" s="9" t="str">
        <f t="shared" si="5"/>
        <v/>
      </c>
      <c r="C69" s="153">
        <f>IF(D11="","-",+C68+1)</f>
        <v>2062</v>
      </c>
      <c r="D69" s="159">
        <f>IF(F68+SUM(E$17:E68)=D$10,F68,D$10-SUM(E$17:E68))</f>
        <v>0</v>
      </c>
      <c r="E69" s="160">
        <f>IF(+I14&lt;F68,I14,D69)</f>
        <v>0</v>
      </c>
      <c r="F69" s="159">
        <f t="shared" si="13"/>
        <v>0</v>
      </c>
      <c r="G69" s="163">
        <f t="shared" si="18"/>
        <v>0</v>
      </c>
      <c r="H69" s="142">
        <f t="shared" si="19"/>
        <v>0</v>
      </c>
      <c r="I69" s="156">
        <f t="shared" si="14"/>
        <v>0</v>
      </c>
      <c r="J69" s="156"/>
      <c r="K69" s="334"/>
      <c r="L69" s="158">
        <f t="shared" si="15"/>
        <v>0</v>
      </c>
      <c r="M69" s="334"/>
      <c r="N69" s="158">
        <f t="shared" si="16"/>
        <v>0</v>
      </c>
      <c r="O69" s="158">
        <f t="shared" si="17"/>
        <v>0</v>
      </c>
      <c r="P69" s="4"/>
    </row>
    <row r="70" spans="1:16">
      <c r="B70" s="9" t="str">
        <f t="shared" si="5"/>
        <v/>
      </c>
      <c r="C70" s="153">
        <f>IF(D11="","-",+C69+1)</f>
        <v>2063</v>
      </c>
      <c r="D70" s="159">
        <f>IF(F69+SUM(E$17:E69)=D$10,F69,D$10-SUM(E$17:E69))</f>
        <v>0</v>
      </c>
      <c r="E70" s="160">
        <f>IF(+I14&lt;F69,I14,D70)</f>
        <v>0</v>
      </c>
      <c r="F70" s="159">
        <f t="shared" si="13"/>
        <v>0</v>
      </c>
      <c r="G70" s="163">
        <f t="shared" si="18"/>
        <v>0</v>
      </c>
      <c r="H70" s="142">
        <f t="shared" si="19"/>
        <v>0</v>
      </c>
      <c r="I70" s="156">
        <f t="shared" si="14"/>
        <v>0</v>
      </c>
      <c r="J70" s="156"/>
      <c r="K70" s="334"/>
      <c r="L70" s="158">
        <f t="shared" si="15"/>
        <v>0</v>
      </c>
      <c r="M70" s="334"/>
      <c r="N70" s="158">
        <f t="shared" si="16"/>
        <v>0</v>
      </c>
      <c r="O70" s="158">
        <f t="shared" si="17"/>
        <v>0</v>
      </c>
      <c r="P70" s="4"/>
    </row>
    <row r="71" spans="1:16">
      <c r="B71" s="9" t="str">
        <f t="shared" si="5"/>
        <v/>
      </c>
      <c r="C71" s="153">
        <f>IF(D11="","-",+C70+1)</f>
        <v>2064</v>
      </c>
      <c r="D71" s="159">
        <f>IF(F70+SUM(E$17:E70)=D$10,F70,D$10-SUM(E$17:E70))</f>
        <v>0</v>
      </c>
      <c r="E71" s="160">
        <f>IF(+I14&lt;F70,I14,D71)</f>
        <v>0</v>
      </c>
      <c r="F71" s="159">
        <f t="shared" si="13"/>
        <v>0</v>
      </c>
      <c r="G71" s="163">
        <f t="shared" si="18"/>
        <v>0</v>
      </c>
      <c r="H71" s="142">
        <f t="shared" si="19"/>
        <v>0</v>
      </c>
      <c r="I71" s="156">
        <f t="shared" si="14"/>
        <v>0</v>
      </c>
      <c r="J71" s="156"/>
      <c r="K71" s="334"/>
      <c r="L71" s="158">
        <f t="shared" si="15"/>
        <v>0</v>
      </c>
      <c r="M71" s="334"/>
      <c r="N71" s="158">
        <f t="shared" si="16"/>
        <v>0</v>
      </c>
      <c r="O71" s="158">
        <f t="shared" si="17"/>
        <v>0</v>
      </c>
      <c r="P71" s="4"/>
    </row>
    <row r="72" spans="1:16" ht="13.5" thickBot="1">
      <c r="B72" s="9" t="str">
        <f t="shared" si="5"/>
        <v/>
      </c>
      <c r="C72" s="164">
        <f>IF(D11="","-",+C71+1)</f>
        <v>2065</v>
      </c>
      <c r="D72" s="165">
        <f>IF(F71+SUM(E$17:E71)=D$10,F71,D$10-SUM(E$17:E71))</f>
        <v>0</v>
      </c>
      <c r="E72" s="166">
        <f>IF(+I14&lt;F71,I14,D72)</f>
        <v>0</v>
      </c>
      <c r="F72" s="165">
        <f t="shared" si="13"/>
        <v>0</v>
      </c>
      <c r="G72" s="167">
        <f t="shared" si="18"/>
        <v>0</v>
      </c>
      <c r="H72" s="124">
        <f t="shared" si="19"/>
        <v>0</v>
      </c>
      <c r="I72" s="168">
        <f t="shared" si="14"/>
        <v>0</v>
      </c>
      <c r="J72" s="156"/>
      <c r="K72" s="335"/>
      <c r="L72" s="169">
        <f t="shared" si="15"/>
        <v>0</v>
      </c>
      <c r="M72" s="335"/>
      <c r="N72" s="169">
        <f t="shared" si="16"/>
        <v>0</v>
      </c>
      <c r="O72" s="169">
        <f t="shared" si="17"/>
        <v>0</v>
      </c>
      <c r="P72" s="4"/>
    </row>
    <row r="73" spans="1:16">
      <c r="C73" s="154" t="s">
        <v>73</v>
      </c>
      <c r="D73" s="111"/>
      <c r="E73" s="111">
        <f>SUM(E17:E72)</f>
        <v>5250739.0000000009</v>
      </c>
      <c r="F73" s="111"/>
      <c r="G73" s="111">
        <f>SUM(G17:G72)</f>
        <v>18149338.651914299</v>
      </c>
      <c r="H73" s="111">
        <f>SUM(H17:H72)</f>
        <v>18149338.651914299</v>
      </c>
      <c r="I73" s="111">
        <f>SUM(I17:I72)</f>
        <v>0</v>
      </c>
      <c r="J73" s="111"/>
      <c r="K73" s="111"/>
      <c r="L73" s="111"/>
      <c r="M73" s="111"/>
      <c r="N73" s="111"/>
      <c r="O73" s="4"/>
      <c r="P73" s="4"/>
    </row>
    <row r="74" spans="1:16">
      <c r="D74" s="2"/>
      <c r="E74" s="1"/>
      <c r="F74" s="1"/>
      <c r="G74" s="1"/>
      <c r="H74" s="3"/>
      <c r="I74" s="3"/>
      <c r="J74" s="111"/>
      <c r="K74" s="3"/>
      <c r="L74" s="3"/>
      <c r="M74" s="3"/>
      <c r="N74" s="3"/>
      <c r="O74" s="1"/>
      <c r="P74" s="1"/>
    </row>
    <row r="75" spans="1:16">
      <c r="C75" s="170" t="s">
        <v>91</v>
      </c>
      <c r="D75" s="2"/>
      <c r="E75" s="1"/>
      <c r="F75" s="1"/>
      <c r="G75" s="1"/>
      <c r="H75" s="3"/>
      <c r="I75" s="3"/>
      <c r="J75" s="111"/>
      <c r="K75" s="3"/>
      <c r="L75" s="3"/>
      <c r="M75" s="3"/>
      <c r="N75" s="3"/>
      <c r="O75" s="1"/>
      <c r="P75" s="1"/>
    </row>
    <row r="76" spans="1:16">
      <c r="C76" s="121" t="s">
        <v>74</v>
      </c>
      <c r="D76" s="2"/>
      <c r="E76" s="1"/>
      <c r="F76" s="1"/>
      <c r="G76" s="1"/>
      <c r="H76" s="3"/>
      <c r="I76" s="3"/>
      <c r="J76" s="111"/>
      <c r="K76" s="3"/>
      <c r="L76" s="3"/>
      <c r="M76" s="3"/>
      <c r="N76" s="3"/>
      <c r="O76" s="4"/>
      <c r="P76" s="4"/>
    </row>
    <row r="77" spans="1:16" ht="18">
      <c r="C77" s="121" t="s">
        <v>75</v>
      </c>
      <c r="D77" s="154"/>
      <c r="E77" s="154"/>
      <c r="F77" s="154"/>
      <c r="G77" s="111"/>
      <c r="H77" s="111"/>
      <c r="I77" s="171"/>
      <c r="J77" s="171"/>
      <c r="K77" s="171"/>
      <c r="L77" s="171"/>
      <c r="M77" s="171"/>
      <c r="N77" s="171"/>
      <c r="O77" s="110"/>
      <c r="P77" s="4"/>
    </row>
    <row r="78" spans="1:16">
      <c r="C78" s="121"/>
      <c r="D78" s="154"/>
      <c r="E78" s="154"/>
      <c r="F78" s="154"/>
      <c r="G78" s="111"/>
      <c r="H78" s="111"/>
      <c r="I78" s="171"/>
      <c r="J78" s="171"/>
      <c r="K78" s="171"/>
      <c r="L78" s="171"/>
      <c r="M78" s="171"/>
      <c r="N78" s="171"/>
      <c r="O78" s="4"/>
      <c r="P78" s="1"/>
    </row>
    <row r="79" spans="1:16" ht="15">
      <c r="A79" s="241"/>
      <c r="B79" s="1"/>
      <c r="C79" s="21"/>
      <c r="D79" s="2"/>
      <c r="E79" s="1"/>
      <c r="F79" s="107"/>
      <c r="G79" s="1"/>
      <c r="H79" s="3"/>
      <c r="I79" s="1"/>
      <c r="J79" s="4"/>
      <c r="K79" s="1"/>
      <c r="L79" s="1"/>
      <c r="M79" s="1"/>
      <c r="N79" s="1"/>
    </row>
    <row r="80" spans="1:16" ht="18">
      <c r="B80" s="1"/>
      <c r="C80" s="242"/>
      <c r="D80" s="2"/>
      <c r="E80" s="1"/>
      <c r="F80" s="107"/>
      <c r="G80" s="1"/>
      <c r="H80" s="3"/>
      <c r="I80" s="1"/>
      <c r="J80" s="4"/>
      <c r="K80" s="1"/>
      <c r="L80" s="1"/>
      <c r="M80" s="1"/>
      <c r="N80" s="1"/>
      <c r="P80" s="244" t="s">
        <v>125</v>
      </c>
    </row>
    <row r="81" spans="1:17">
      <c r="B81" s="1"/>
      <c r="C81" s="242"/>
      <c r="D81" s="2"/>
      <c r="E81" s="1"/>
      <c r="F81" s="107"/>
      <c r="G81" s="1"/>
      <c r="H81" s="3"/>
      <c r="I81" s="1"/>
      <c r="J81" s="4"/>
      <c r="K81" s="1"/>
      <c r="L81" s="1"/>
      <c r="M81" s="1"/>
      <c r="N81" s="1"/>
      <c r="O81" s="1"/>
      <c r="P81" s="1"/>
    </row>
    <row r="82" spans="1:17">
      <c r="B82" s="1"/>
      <c r="C82" s="21"/>
      <c r="D82" s="2"/>
      <c r="E82" s="1"/>
      <c r="F82" s="107"/>
      <c r="G82" s="1"/>
      <c r="H82" s="3"/>
      <c r="I82" s="1"/>
      <c r="J82" s="4"/>
      <c r="K82" s="1"/>
      <c r="L82" s="1"/>
      <c r="M82" s="1"/>
      <c r="N82" s="1"/>
      <c r="O82" s="1"/>
      <c r="P82" s="1"/>
      <c r="Q82" s="1"/>
    </row>
    <row r="83" spans="1:17" ht="20.25">
      <c r="A83" s="243" t="s">
        <v>129</v>
      </c>
      <c r="B83" s="1"/>
      <c r="C83" s="21"/>
      <c r="D83" s="2"/>
      <c r="E83" s="1"/>
      <c r="F83" s="99"/>
      <c r="G83" s="99"/>
      <c r="H83" s="1"/>
      <c r="I83" s="3"/>
      <c r="K83" s="7"/>
      <c r="L83" s="109"/>
      <c r="M83" s="109"/>
      <c r="P83" s="110" t="str">
        <f ca="1">P1</f>
        <v>SWEPCO Project 24 of 73</v>
      </c>
      <c r="Q83" s="1"/>
    </row>
    <row r="84" spans="1:17" ht="18">
      <c r="B84" s="1"/>
      <c r="C84" s="1"/>
      <c r="D84" s="2"/>
      <c r="E84" s="1"/>
      <c r="F84" s="1"/>
      <c r="G84" s="1"/>
      <c r="H84" s="1"/>
      <c r="I84" s="3"/>
      <c r="J84" s="1"/>
      <c r="K84" s="4"/>
      <c r="L84" s="1"/>
      <c r="M84" s="1"/>
      <c r="P84" s="237" t="s">
        <v>123</v>
      </c>
      <c r="Q84" s="1"/>
    </row>
    <row r="85" spans="1:17" ht="18.75" thickBot="1">
      <c r="B85" s="5" t="s">
        <v>40</v>
      </c>
      <c r="C85" s="197" t="s">
        <v>78</v>
      </c>
      <c r="D85" s="2"/>
      <c r="E85" s="1"/>
      <c r="F85" s="1"/>
      <c r="G85" s="1"/>
      <c r="H85" s="1"/>
      <c r="I85" s="3"/>
      <c r="J85" s="3"/>
      <c r="K85" s="111"/>
      <c r="L85" s="3"/>
      <c r="M85" s="3"/>
      <c r="N85" s="3"/>
      <c r="O85" s="111"/>
      <c r="P85" s="1"/>
      <c r="Q85" s="1"/>
    </row>
    <row r="86" spans="1:17" ht="15.75" thickBot="1">
      <c r="C86" s="67"/>
      <c r="D86" s="2"/>
      <c r="E86" s="1"/>
      <c r="F86" s="1"/>
      <c r="G86" s="1"/>
      <c r="H86" s="1"/>
      <c r="I86" s="3"/>
      <c r="J86" s="3"/>
      <c r="K86" s="111"/>
      <c r="L86" s="265">
        <f>+J92</f>
        <v>2017</v>
      </c>
      <c r="M86" s="266" t="s">
        <v>7</v>
      </c>
      <c r="N86" s="270" t="s">
        <v>154</v>
      </c>
      <c r="O86" s="267" t="s">
        <v>9</v>
      </c>
      <c r="P86" s="1"/>
      <c r="Q86" s="1"/>
    </row>
    <row r="87" spans="1:17" ht="15">
      <c r="C87" s="235" t="s">
        <v>42</v>
      </c>
      <c r="D87" s="2"/>
      <c r="E87" s="1"/>
      <c r="F87" s="1"/>
      <c r="G87" s="1"/>
      <c r="H87" s="113"/>
      <c r="I87" s="1" t="s">
        <v>43</v>
      </c>
      <c r="J87" s="1"/>
      <c r="K87" s="261"/>
      <c r="L87" s="259" t="s">
        <v>381</v>
      </c>
      <c r="M87" s="198">
        <f>IF(J92&lt;D11,0,VLOOKUP(J92,C17:O72,9))</f>
        <v>662841.14914820471</v>
      </c>
      <c r="N87" s="198">
        <f>IF(J92&lt;D11,0,VLOOKUP(J92,C17:O72,11))</f>
        <v>662841.14914820471</v>
      </c>
      <c r="O87" s="199">
        <f>+N87-M87</f>
        <v>0</v>
      </c>
      <c r="P87" s="1"/>
      <c r="Q87" s="1"/>
    </row>
    <row r="88" spans="1:17" ht="15.75">
      <c r="C88" s="8"/>
      <c r="D88" s="2"/>
      <c r="E88" s="1"/>
      <c r="F88" s="1"/>
      <c r="G88" s="1"/>
      <c r="H88" s="1"/>
      <c r="I88" s="117"/>
      <c r="J88" s="117"/>
      <c r="K88" s="263"/>
      <c r="L88" s="264" t="s">
        <v>382</v>
      </c>
      <c r="M88" s="200">
        <f>IF(J92&lt;D11,0,VLOOKUP(J92,C99:P154,6))</f>
        <v>656697.99721600045</v>
      </c>
      <c r="N88" s="200">
        <f>IF(J92&lt;D11,0,VLOOKUP(J92,C99:P154,7))</f>
        <v>656697.99721600045</v>
      </c>
      <c r="O88" s="201">
        <f>+N88-M88</f>
        <v>0</v>
      </c>
      <c r="P88" s="1"/>
      <c r="Q88" s="1"/>
    </row>
    <row r="89" spans="1:17" ht="13.5" thickBot="1">
      <c r="C89" s="121" t="s">
        <v>79</v>
      </c>
      <c r="D89" s="274" t="str">
        <f>D7</f>
        <v>Rebuild/reconductor Dyess-Elm Springs REC [Dyess Station-Flint Creek]</v>
      </c>
      <c r="E89" s="1"/>
      <c r="F89" s="1"/>
      <c r="G89" s="1"/>
      <c r="H89" s="1"/>
      <c r="I89" s="3"/>
      <c r="J89" s="3"/>
      <c r="K89" s="262"/>
      <c r="L89" s="260" t="s">
        <v>151</v>
      </c>
      <c r="M89" s="203">
        <f>+M88-M87</f>
        <v>-6143.1519322042586</v>
      </c>
      <c r="N89" s="203">
        <f>+N88-N87</f>
        <v>-6143.1519322042586</v>
      </c>
      <c r="O89" s="204">
        <f>+O88-O87</f>
        <v>0</v>
      </c>
      <c r="P89" s="1"/>
      <c r="Q89" s="1"/>
    </row>
    <row r="90" spans="1:17" ht="13.5" thickBot="1">
      <c r="C90" s="170"/>
      <c r="D90" s="173" t="str">
        <f>D8</f>
        <v/>
      </c>
      <c r="E90" s="107"/>
      <c r="F90" s="107"/>
      <c r="G90" s="107"/>
      <c r="H90" s="126"/>
      <c r="I90" s="3"/>
      <c r="J90" s="3"/>
      <c r="K90" s="111"/>
      <c r="L90" s="3"/>
      <c r="M90" s="3"/>
      <c r="N90" s="3"/>
      <c r="O90" s="111"/>
      <c r="P90" s="1"/>
      <c r="Q90" s="1"/>
    </row>
    <row r="91" spans="1:17" ht="13.5" thickBot="1">
      <c r="A91" s="103"/>
      <c r="C91" s="205" t="s">
        <v>80</v>
      </c>
      <c r="D91" s="224" t="str">
        <f>+D9</f>
        <v>TP2008026</v>
      </c>
      <c r="E91" s="206"/>
      <c r="F91" s="206"/>
      <c r="G91" s="206"/>
      <c r="H91" s="206"/>
      <c r="I91" s="206"/>
      <c r="J91" s="238"/>
      <c r="K91" s="207"/>
      <c r="P91" s="131"/>
      <c r="Q91" s="1"/>
    </row>
    <row r="92" spans="1:17">
      <c r="C92" s="136" t="s">
        <v>47</v>
      </c>
      <c r="D92" s="133">
        <f>IF(D11=I10,0,D10)</f>
        <v>5250739</v>
      </c>
      <c r="E92" s="21" t="s">
        <v>81</v>
      </c>
      <c r="H92" s="134"/>
      <c r="I92" s="134"/>
      <c r="J92" s="135">
        <f>+'SWE.WS.G.BPU.ATRR.True-up'!M15</f>
        <v>2017</v>
      </c>
      <c r="K92" s="130"/>
      <c r="L92" s="111" t="s">
        <v>82</v>
      </c>
      <c r="P92" s="4"/>
      <c r="Q92" s="1"/>
    </row>
    <row r="93" spans="1:17">
      <c r="C93" s="136" t="s">
        <v>49</v>
      </c>
      <c r="D93" s="219">
        <f>IF(D11=I10,"",D11)</f>
        <v>2010</v>
      </c>
      <c r="E93" s="136" t="s">
        <v>50</v>
      </c>
      <c r="F93" s="134"/>
      <c r="G93" s="134"/>
      <c r="J93" s="138">
        <f>IF(H87="",0,'SWE.WS.G.BPU.ATRR.True-up'!$F$12)</f>
        <v>0</v>
      </c>
      <c r="K93" s="139"/>
      <c r="L93" t="str">
        <f>"          INPUT TRUE-UP ARR (WITH &amp; WITHOUT INCENTIVES) FROM EACH PRIOR YEAR"</f>
        <v xml:space="preserve">          INPUT TRUE-UP ARR (WITH &amp; WITHOUT INCENTIVES) FROM EACH PRIOR YEAR</v>
      </c>
      <c r="P93" s="4"/>
      <c r="Q93" s="1"/>
    </row>
    <row r="94" spans="1:17">
      <c r="C94" s="136" t="s">
        <v>51</v>
      </c>
      <c r="D94" s="218">
        <f>IF(D11=I10,"",D12)</f>
        <v>6</v>
      </c>
      <c r="E94" s="136" t="s">
        <v>52</v>
      </c>
      <c r="F94" s="134"/>
      <c r="G94" s="134"/>
      <c r="J94" s="140">
        <f>'SWE.WS.G.BPU.ATRR.True-up'!$F$80</f>
        <v>0.12147145768398206</v>
      </c>
      <c r="K94" s="141"/>
      <c r="L94" t="s">
        <v>83</v>
      </c>
      <c r="P94" s="4"/>
      <c r="Q94" s="1"/>
    </row>
    <row r="95" spans="1:17">
      <c r="C95" s="136" t="s">
        <v>54</v>
      </c>
      <c r="D95" s="138">
        <f>'SWE.WS.G.BPU.ATRR.True-up'!F$92</f>
        <v>42</v>
      </c>
      <c r="E95" s="136" t="s">
        <v>55</v>
      </c>
      <c r="F95" s="134"/>
      <c r="G95" s="134"/>
      <c r="J95" s="140">
        <f>IF(H87="",J94,'SWE.WS.G.BPU.ATRR.True-up'!$F$79)</f>
        <v>0.12147145768398206</v>
      </c>
      <c r="K95" s="58"/>
      <c r="L95" s="111" t="s">
        <v>56</v>
      </c>
      <c r="M95" s="58"/>
      <c r="N95" s="58"/>
      <c r="O95" s="58"/>
      <c r="P95" s="4"/>
      <c r="Q95" s="1"/>
    </row>
    <row r="96" spans="1:17" ht="13.5" thickBot="1">
      <c r="C96" s="136" t="s">
        <v>57</v>
      </c>
      <c r="D96" s="220" t="str">
        <f>+D14</f>
        <v>No</v>
      </c>
      <c r="E96" s="202" t="s">
        <v>59</v>
      </c>
      <c r="F96" s="208"/>
      <c r="G96" s="208"/>
      <c r="H96" s="209"/>
      <c r="I96" s="209"/>
      <c r="J96" s="124">
        <f>IF(D92=0,0,D92/D95)</f>
        <v>125017.59523809524</v>
      </c>
      <c r="K96" s="111"/>
      <c r="L96" s="111"/>
      <c r="M96" s="111"/>
      <c r="N96" s="111"/>
      <c r="O96" s="111"/>
      <c r="P96" s="4"/>
      <c r="Q96" s="1"/>
    </row>
    <row r="97" spans="1:17" ht="38.25">
      <c r="A97" s="6"/>
      <c r="B97" s="6"/>
      <c r="C97" s="210" t="s">
        <v>47</v>
      </c>
      <c r="D97" s="211" t="s">
        <v>60</v>
      </c>
      <c r="E97" s="146" t="s">
        <v>61</v>
      </c>
      <c r="F97" s="146" t="s">
        <v>62</v>
      </c>
      <c r="G97" s="144" t="s">
        <v>84</v>
      </c>
      <c r="H97" s="434" t="s">
        <v>378</v>
      </c>
      <c r="I97" s="435" t="s">
        <v>379</v>
      </c>
      <c r="J97" s="210" t="s">
        <v>85</v>
      </c>
      <c r="K97" s="212"/>
      <c r="L97" s="271" t="s">
        <v>220</v>
      </c>
      <c r="M97" s="146" t="s">
        <v>86</v>
      </c>
      <c r="N97" s="271" t="s">
        <v>220</v>
      </c>
      <c r="O97" s="146" t="s">
        <v>86</v>
      </c>
      <c r="P97" s="146" t="s">
        <v>65</v>
      </c>
      <c r="Q97" s="1"/>
    </row>
    <row r="98" spans="1:17" ht="13.5" thickBot="1">
      <c r="C98" s="147" t="s">
        <v>66</v>
      </c>
      <c r="D98" s="213" t="s">
        <v>67</v>
      </c>
      <c r="E98" s="147" t="s">
        <v>68</v>
      </c>
      <c r="F98" s="147" t="s">
        <v>67</v>
      </c>
      <c r="G98" s="147" t="s">
        <v>67</v>
      </c>
      <c r="H98" s="407" t="s">
        <v>69</v>
      </c>
      <c r="I98" s="148" t="s">
        <v>70</v>
      </c>
      <c r="J98" s="149" t="s">
        <v>89</v>
      </c>
      <c r="K98" s="150"/>
      <c r="L98" s="151" t="s">
        <v>72</v>
      </c>
      <c r="M98" s="151" t="s">
        <v>72</v>
      </c>
      <c r="N98" s="151" t="s">
        <v>90</v>
      </c>
      <c r="O98" s="151" t="s">
        <v>90</v>
      </c>
      <c r="P98" s="151" t="s">
        <v>90</v>
      </c>
      <c r="Q98" s="1"/>
    </row>
    <row r="99" spans="1:17">
      <c r="C99" s="153">
        <f>IF(D93= "","-",D93)</f>
        <v>2010</v>
      </c>
      <c r="D99" s="357">
        <v>0</v>
      </c>
      <c r="E99" s="360">
        <v>64033.402439024387</v>
      </c>
      <c r="F99" s="361">
        <v>5186705.5975609757</v>
      </c>
      <c r="G99" s="365">
        <v>2593352.7987804879</v>
      </c>
      <c r="H99" s="362">
        <v>492159.85552560829</v>
      </c>
      <c r="I99" s="363">
        <v>492159.85552560829</v>
      </c>
      <c r="J99" s="403">
        <f t="shared" ref="J99:J130" si="20">+I99-H99</f>
        <v>0</v>
      </c>
      <c r="K99" s="158"/>
      <c r="L99" s="256">
        <f t="shared" ref="L99:L104" si="21">H99</f>
        <v>492159.85552560829</v>
      </c>
      <c r="M99" s="172">
        <f t="shared" ref="M99:M130" si="22">IF(L99&lt;&gt;0,+H99-L99,0)</f>
        <v>0</v>
      </c>
      <c r="N99" s="256">
        <f t="shared" ref="N99:N104" si="23">I99</f>
        <v>492159.85552560829</v>
      </c>
      <c r="O99" s="157">
        <f t="shared" ref="O99:O130" si="24">IF(N99&lt;&gt;0,+I99-N99,0)</f>
        <v>0</v>
      </c>
      <c r="P99" s="157">
        <f t="shared" ref="P99:P130" si="25">+O99-M99</f>
        <v>0</v>
      </c>
      <c r="Q99" s="1"/>
    </row>
    <row r="100" spans="1:17">
      <c r="B100" s="9" t="str">
        <f>IF(D100=F99,"","IU")</f>
        <v/>
      </c>
      <c r="C100" s="153">
        <f>IF(D93="","-",+C99+1)</f>
        <v>2011</v>
      </c>
      <c r="D100" s="357">
        <v>5186705.5975609757</v>
      </c>
      <c r="E100" s="360">
        <v>125017.59523809524</v>
      </c>
      <c r="F100" s="361">
        <v>5061688.0023228806</v>
      </c>
      <c r="G100" s="361">
        <v>5124196.7999419281</v>
      </c>
      <c r="H100" s="360">
        <v>895593.80408985249</v>
      </c>
      <c r="I100" s="359">
        <v>895593.80408985249</v>
      </c>
      <c r="J100" s="403">
        <f t="shared" si="20"/>
        <v>0</v>
      </c>
      <c r="K100" s="158"/>
      <c r="L100" s="258">
        <f t="shared" si="21"/>
        <v>895593.80408985249</v>
      </c>
      <c r="M100" s="257">
        <f t="shared" si="22"/>
        <v>0</v>
      </c>
      <c r="N100" s="258">
        <f t="shared" si="23"/>
        <v>895593.80408985249</v>
      </c>
      <c r="O100" s="158">
        <f t="shared" si="24"/>
        <v>0</v>
      </c>
      <c r="P100" s="158">
        <f t="shared" si="25"/>
        <v>0</v>
      </c>
      <c r="Q100" s="1"/>
    </row>
    <row r="101" spans="1:17">
      <c r="B101" s="9" t="str">
        <f t="shared" ref="B101:B154" si="26">IF(D101=F100,"","IU")</f>
        <v/>
      </c>
      <c r="C101" s="153">
        <f>IF(D93="","-",+C100+1)</f>
        <v>2012</v>
      </c>
      <c r="D101" s="357">
        <v>5061688.0023228806</v>
      </c>
      <c r="E101" s="360">
        <v>125017.59523809524</v>
      </c>
      <c r="F101" s="361">
        <v>4936670.4070847854</v>
      </c>
      <c r="G101" s="361">
        <v>4999179.204703833</v>
      </c>
      <c r="H101" s="360">
        <v>860666.47096382198</v>
      </c>
      <c r="I101" s="359">
        <v>860666.47096382198</v>
      </c>
      <c r="J101" s="403">
        <f t="shared" si="20"/>
        <v>0</v>
      </c>
      <c r="K101" s="158"/>
      <c r="L101" s="258">
        <f t="shared" si="21"/>
        <v>860666.47096382198</v>
      </c>
      <c r="M101" s="257">
        <f t="shared" si="22"/>
        <v>0</v>
      </c>
      <c r="N101" s="258">
        <f t="shared" si="23"/>
        <v>860666.47096382198</v>
      </c>
      <c r="O101" s="158">
        <f t="shared" si="24"/>
        <v>0</v>
      </c>
      <c r="P101" s="158">
        <f t="shared" si="25"/>
        <v>0</v>
      </c>
      <c r="Q101" s="1"/>
    </row>
    <row r="102" spans="1:17">
      <c r="B102" s="9" t="str">
        <f t="shared" si="26"/>
        <v/>
      </c>
      <c r="C102" s="153">
        <f>IF(D93="","-",+C101+1)</f>
        <v>2013</v>
      </c>
      <c r="D102" s="357">
        <v>4936670.4070847854</v>
      </c>
      <c r="E102" s="360">
        <v>125017.59523809524</v>
      </c>
      <c r="F102" s="361">
        <v>4811652.8118466903</v>
      </c>
      <c r="G102" s="361">
        <v>4874161.6094657378</v>
      </c>
      <c r="H102" s="360">
        <v>784451.21671407181</v>
      </c>
      <c r="I102" s="359">
        <v>784451.21671407181</v>
      </c>
      <c r="J102" s="403">
        <v>0</v>
      </c>
      <c r="K102" s="158"/>
      <c r="L102" s="258">
        <f t="shared" si="21"/>
        <v>784451.21671407181</v>
      </c>
      <c r="M102" s="257">
        <f>IF(L102&lt;&gt;0,+H102-L102,0)</f>
        <v>0</v>
      </c>
      <c r="N102" s="258">
        <f t="shared" si="23"/>
        <v>784451.21671407181</v>
      </c>
      <c r="O102" s="158">
        <f>IF(N102&lt;&gt;0,+I102-N102,0)</f>
        <v>0</v>
      </c>
      <c r="P102" s="158">
        <f>+O102-M102</f>
        <v>0</v>
      </c>
      <c r="Q102" s="1"/>
    </row>
    <row r="103" spans="1:17">
      <c r="B103" s="9" t="str">
        <f t="shared" si="26"/>
        <v/>
      </c>
      <c r="C103" s="153">
        <f>IF(D93="","-",+C102+1)</f>
        <v>2014</v>
      </c>
      <c r="D103" s="357">
        <v>4811652.8118466903</v>
      </c>
      <c r="E103" s="360">
        <v>125017.59523809524</v>
      </c>
      <c r="F103" s="361">
        <v>4686635.2166085951</v>
      </c>
      <c r="G103" s="361">
        <v>4749144.0142276427</v>
      </c>
      <c r="H103" s="360">
        <v>770537.68057167216</v>
      </c>
      <c r="I103" s="359">
        <v>770537.68057167216</v>
      </c>
      <c r="J103" s="158">
        <v>0</v>
      </c>
      <c r="K103" s="158"/>
      <c r="L103" s="258">
        <f t="shared" si="21"/>
        <v>770537.68057167216</v>
      </c>
      <c r="M103" s="257">
        <f>IF(L103&lt;&gt;0,+H103-L103,0)</f>
        <v>0</v>
      </c>
      <c r="N103" s="258">
        <f t="shared" si="23"/>
        <v>770537.68057167216</v>
      </c>
      <c r="O103" s="158">
        <f>IF(N103&lt;&gt;0,+I103-N103,0)</f>
        <v>0</v>
      </c>
      <c r="P103" s="158">
        <f>+O103-M103</f>
        <v>0</v>
      </c>
      <c r="Q103" s="1"/>
    </row>
    <row r="104" spans="1:17">
      <c r="B104" s="9" t="str">
        <f t="shared" si="26"/>
        <v/>
      </c>
      <c r="C104" s="153">
        <f>IF(D93="","-",+C103+1)</f>
        <v>2015</v>
      </c>
      <c r="D104" s="357">
        <v>4686635.2166085951</v>
      </c>
      <c r="E104" s="360">
        <v>125017.59523809524</v>
      </c>
      <c r="F104" s="361">
        <v>4561617.6213705</v>
      </c>
      <c r="G104" s="361">
        <v>4624126.4189895475</v>
      </c>
      <c r="H104" s="360">
        <v>734333.54462045</v>
      </c>
      <c r="I104" s="359">
        <v>734333.54462045</v>
      </c>
      <c r="J104" s="158">
        <f t="shared" si="20"/>
        <v>0</v>
      </c>
      <c r="K104" s="158"/>
      <c r="L104" s="258">
        <f t="shared" si="21"/>
        <v>734333.54462045</v>
      </c>
      <c r="M104" s="257">
        <f>IF(L104&lt;&gt;0,+H104-L104,0)</f>
        <v>0</v>
      </c>
      <c r="N104" s="258">
        <f t="shared" si="23"/>
        <v>734333.54462045</v>
      </c>
      <c r="O104" s="158">
        <f>IF(N104&lt;&gt;0,+I104-N104,0)</f>
        <v>0</v>
      </c>
      <c r="P104" s="158">
        <f>+O104-M104</f>
        <v>0</v>
      </c>
      <c r="Q104" s="1"/>
    </row>
    <row r="105" spans="1:17">
      <c r="B105" s="9" t="str">
        <f t="shared" si="26"/>
        <v/>
      </c>
      <c r="C105" s="153">
        <f>IF(D93="","-",+C104+1)</f>
        <v>2016</v>
      </c>
      <c r="D105" s="357">
        <v>4561617.6213705</v>
      </c>
      <c r="E105" s="360">
        <v>122110.20930232559</v>
      </c>
      <c r="F105" s="361">
        <v>4439507.4120681742</v>
      </c>
      <c r="G105" s="361">
        <v>4500562.5167193376</v>
      </c>
      <c r="H105" s="360">
        <v>693456.56809088623</v>
      </c>
      <c r="I105" s="359">
        <v>693456.56809088623</v>
      </c>
      <c r="J105" s="158">
        <v>0</v>
      </c>
      <c r="K105" s="158"/>
      <c r="L105" s="258">
        <f>H105</f>
        <v>693456.56809088623</v>
      </c>
      <c r="M105" s="257">
        <f>IF(L105&lt;&gt;0,+H105-L105,0)</f>
        <v>0</v>
      </c>
      <c r="N105" s="258">
        <f>I105</f>
        <v>693456.56809088623</v>
      </c>
      <c r="O105" s="158">
        <f>IF(N105&lt;&gt;0,+I105-N105,0)</f>
        <v>0</v>
      </c>
      <c r="P105" s="158">
        <f>+O105-M105</f>
        <v>0</v>
      </c>
      <c r="Q105" s="1"/>
    </row>
    <row r="106" spans="1:17">
      <c r="B106" s="9" t="str">
        <f t="shared" si="26"/>
        <v/>
      </c>
      <c r="C106" s="153">
        <f>IF(D93="","-",+C105+1)</f>
        <v>2017</v>
      </c>
      <c r="D106" s="154">
        <f>IF(F105+SUM(E$99:E105)=D$92,F105,D$92-SUM(E$99:E105))</f>
        <v>4439507.4120681742</v>
      </c>
      <c r="E106" s="160">
        <f>IF(+J96&lt;F105,J96,D106)</f>
        <v>125017.59523809524</v>
      </c>
      <c r="F106" s="159">
        <f t="shared" ref="F106:F131" si="27">+D106-E106</f>
        <v>4314489.8168300791</v>
      </c>
      <c r="G106" s="159">
        <f t="shared" ref="G106:G130" si="28">+(F106+D106)/2</f>
        <v>4376998.6144491266</v>
      </c>
      <c r="H106" s="163">
        <f t="shared" ref="H106:H130" si="29">+J$94*G106+E106</f>
        <v>656697.99721600045</v>
      </c>
      <c r="I106" s="253">
        <f t="shared" ref="I106:I130" si="30">+J$95*G106+E106</f>
        <v>656697.99721600045</v>
      </c>
      <c r="J106" s="158">
        <f t="shared" si="20"/>
        <v>0</v>
      </c>
      <c r="K106" s="158"/>
      <c r="L106" s="334"/>
      <c r="M106" s="158">
        <f t="shared" si="22"/>
        <v>0</v>
      </c>
      <c r="N106" s="334"/>
      <c r="O106" s="158">
        <f t="shared" si="24"/>
        <v>0</v>
      </c>
      <c r="P106" s="158">
        <f t="shared" si="25"/>
        <v>0</v>
      </c>
      <c r="Q106" s="1"/>
    </row>
    <row r="107" spans="1:17">
      <c r="B107" s="9" t="str">
        <f t="shared" si="26"/>
        <v/>
      </c>
      <c r="C107" s="153">
        <f>IF(D93="","-",+C106+1)</f>
        <v>2018</v>
      </c>
      <c r="D107" s="154">
        <f>IF(F106+SUM(E$99:E106)=D$92,F106,D$92-SUM(E$99:E106))</f>
        <v>4314489.8168300791</v>
      </c>
      <c r="E107" s="160">
        <f>IF(+J96&lt;F106,J96,D107)</f>
        <v>125017.59523809524</v>
      </c>
      <c r="F107" s="159">
        <f t="shared" si="27"/>
        <v>4189472.2215919839</v>
      </c>
      <c r="G107" s="159">
        <f t="shared" si="28"/>
        <v>4251981.0192110315</v>
      </c>
      <c r="H107" s="163">
        <f t="shared" si="29"/>
        <v>641511.9276862829</v>
      </c>
      <c r="I107" s="253">
        <f t="shared" si="30"/>
        <v>641511.9276862829</v>
      </c>
      <c r="J107" s="158">
        <f t="shared" si="20"/>
        <v>0</v>
      </c>
      <c r="K107" s="158"/>
      <c r="L107" s="334"/>
      <c r="M107" s="158">
        <f t="shared" si="22"/>
        <v>0</v>
      </c>
      <c r="N107" s="334"/>
      <c r="O107" s="158">
        <f t="shared" si="24"/>
        <v>0</v>
      </c>
      <c r="P107" s="158">
        <f t="shared" si="25"/>
        <v>0</v>
      </c>
      <c r="Q107" s="1"/>
    </row>
    <row r="108" spans="1:17">
      <c r="B108" s="9" t="str">
        <f t="shared" si="26"/>
        <v/>
      </c>
      <c r="C108" s="153">
        <f>IF(D93="","-",+C107+1)</f>
        <v>2019</v>
      </c>
      <c r="D108" s="154">
        <f>IF(F107+SUM(E$99:E107)=D$92,F107,D$92-SUM(E$99:E107))</f>
        <v>4189472.2215919839</v>
      </c>
      <c r="E108" s="160">
        <f>IF(+J96&lt;F107,J96,D108)</f>
        <v>125017.59523809524</v>
      </c>
      <c r="F108" s="159">
        <f t="shared" si="27"/>
        <v>4064454.6263538888</v>
      </c>
      <c r="G108" s="159">
        <f t="shared" si="28"/>
        <v>4126963.4239729363</v>
      </c>
      <c r="H108" s="163">
        <f t="shared" si="29"/>
        <v>626325.85815656546</v>
      </c>
      <c r="I108" s="253">
        <f t="shared" si="30"/>
        <v>626325.85815656546</v>
      </c>
      <c r="J108" s="158">
        <f t="shared" si="20"/>
        <v>0</v>
      </c>
      <c r="K108" s="158"/>
      <c r="L108" s="334"/>
      <c r="M108" s="158">
        <f t="shared" si="22"/>
        <v>0</v>
      </c>
      <c r="N108" s="334"/>
      <c r="O108" s="158">
        <f t="shared" si="24"/>
        <v>0</v>
      </c>
      <c r="P108" s="158">
        <f t="shared" si="25"/>
        <v>0</v>
      </c>
      <c r="Q108" s="1"/>
    </row>
    <row r="109" spans="1:17">
      <c r="B109" s="9" t="str">
        <f t="shared" si="26"/>
        <v/>
      </c>
      <c r="C109" s="153">
        <f>IF(D93="","-",+C108+1)</f>
        <v>2020</v>
      </c>
      <c r="D109" s="154">
        <f>IF(F108+SUM(E$99:E108)=D$92,F108,D$92-SUM(E$99:E108))</f>
        <v>4064454.6263538888</v>
      </c>
      <c r="E109" s="160">
        <f>IF(+J96&lt;F108,J96,D109)</f>
        <v>125017.59523809524</v>
      </c>
      <c r="F109" s="159">
        <f t="shared" si="27"/>
        <v>3939437.0311157936</v>
      </c>
      <c r="G109" s="159">
        <f t="shared" si="28"/>
        <v>4001945.8287348412</v>
      </c>
      <c r="H109" s="163">
        <f t="shared" si="29"/>
        <v>611139.78862684802</v>
      </c>
      <c r="I109" s="253">
        <f t="shared" si="30"/>
        <v>611139.78862684802</v>
      </c>
      <c r="J109" s="158">
        <f t="shared" si="20"/>
        <v>0</v>
      </c>
      <c r="K109" s="158"/>
      <c r="L109" s="334"/>
      <c r="M109" s="158">
        <f t="shared" si="22"/>
        <v>0</v>
      </c>
      <c r="N109" s="334"/>
      <c r="O109" s="158">
        <f t="shared" si="24"/>
        <v>0</v>
      </c>
      <c r="P109" s="158">
        <f t="shared" si="25"/>
        <v>0</v>
      </c>
      <c r="Q109" s="1"/>
    </row>
    <row r="110" spans="1:17">
      <c r="B110" s="9" t="str">
        <f t="shared" si="26"/>
        <v/>
      </c>
      <c r="C110" s="153">
        <f>IF(D93="","-",+C109+1)</f>
        <v>2021</v>
      </c>
      <c r="D110" s="154">
        <f>IF(F109+SUM(E$99:E109)=D$92,F109,D$92-SUM(E$99:E109))</f>
        <v>3939437.0311157936</v>
      </c>
      <c r="E110" s="160">
        <f>IF(+J96&lt;F109,J96,D110)</f>
        <v>125017.59523809524</v>
      </c>
      <c r="F110" s="159">
        <f t="shared" si="27"/>
        <v>3814419.4358776985</v>
      </c>
      <c r="G110" s="159">
        <f t="shared" si="28"/>
        <v>3876928.233496746</v>
      </c>
      <c r="H110" s="163">
        <f t="shared" si="29"/>
        <v>595953.71909713058</v>
      </c>
      <c r="I110" s="253">
        <f t="shared" si="30"/>
        <v>595953.71909713058</v>
      </c>
      <c r="J110" s="158">
        <f t="shared" si="20"/>
        <v>0</v>
      </c>
      <c r="K110" s="158"/>
      <c r="L110" s="334"/>
      <c r="M110" s="158">
        <f t="shared" si="22"/>
        <v>0</v>
      </c>
      <c r="N110" s="334"/>
      <c r="O110" s="158">
        <f t="shared" si="24"/>
        <v>0</v>
      </c>
      <c r="P110" s="158">
        <f t="shared" si="25"/>
        <v>0</v>
      </c>
      <c r="Q110" s="1"/>
    </row>
    <row r="111" spans="1:17">
      <c r="B111" s="9" t="str">
        <f t="shared" si="26"/>
        <v/>
      </c>
      <c r="C111" s="153">
        <f>IF(D93="","-",+C110+1)</f>
        <v>2022</v>
      </c>
      <c r="D111" s="154">
        <f>IF(F110+SUM(E$99:E110)=D$92,F110,D$92-SUM(E$99:E110))</f>
        <v>3814419.4358776985</v>
      </c>
      <c r="E111" s="160">
        <f>IF(+J96&lt;F110,J96,D111)</f>
        <v>125017.59523809524</v>
      </c>
      <c r="F111" s="159">
        <f t="shared" si="27"/>
        <v>3689401.8406396033</v>
      </c>
      <c r="G111" s="159">
        <f t="shared" si="28"/>
        <v>3751910.6382586509</v>
      </c>
      <c r="H111" s="163">
        <f t="shared" si="29"/>
        <v>580767.64956741303</v>
      </c>
      <c r="I111" s="253">
        <f t="shared" si="30"/>
        <v>580767.64956741303</v>
      </c>
      <c r="J111" s="158">
        <f t="shared" si="20"/>
        <v>0</v>
      </c>
      <c r="K111" s="158"/>
      <c r="L111" s="334"/>
      <c r="M111" s="158">
        <f t="shared" si="22"/>
        <v>0</v>
      </c>
      <c r="N111" s="334"/>
      <c r="O111" s="158">
        <f t="shared" si="24"/>
        <v>0</v>
      </c>
      <c r="P111" s="158">
        <f t="shared" si="25"/>
        <v>0</v>
      </c>
      <c r="Q111" s="1"/>
    </row>
    <row r="112" spans="1:17">
      <c r="B112" s="9" t="str">
        <f t="shared" si="26"/>
        <v/>
      </c>
      <c r="C112" s="153">
        <f>IF(D93="","-",+C111+1)</f>
        <v>2023</v>
      </c>
      <c r="D112" s="154">
        <f>IF(F111+SUM(E$99:E111)=D$92,F111,D$92-SUM(E$99:E111))</f>
        <v>3689401.8406396033</v>
      </c>
      <c r="E112" s="160">
        <f>IF(+J96&lt;F111,J96,D112)</f>
        <v>125017.59523809524</v>
      </c>
      <c r="F112" s="159">
        <f t="shared" si="27"/>
        <v>3564384.2454015082</v>
      </c>
      <c r="G112" s="159">
        <f t="shared" si="28"/>
        <v>3626893.0430205557</v>
      </c>
      <c r="H112" s="163">
        <f t="shared" si="29"/>
        <v>565581.58003769559</v>
      </c>
      <c r="I112" s="253">
        <f t="shared" si="30"/>
        <v>565581.58003769559</v>
      </c>
      <c r="J112" s="158">
        <f t="shared" si="20"/>
        <v>0</v>
      </c>
      <c r="K112" s="158"/>
      <c r="L112" s="334"/>
      <c r="M112" s="158">
        <f t="shared" si="22"/>
        <v>0</v>
      </c>
      <c r="N112" s="334"/>
      <c r="O112" s="158">
        <f t="shared" si="24"/>
        <v>0</v>
      </c>
      <c r="P112" s="158">
        <f t="shared" si="25"/>
        <v>0</v>
      </c>
      <c r="Q112" s="1"/>
    </row>
    <row r="113" spans="2:17">
      <c r="B113" s="9" t="str">
        <f t="shared" si="26"/>
        <v/>
      </c>
      <c r="C113" s="153">
        <f>IF(D93="","-",+C112+1)</f>
        <v>2024</v>
      </c>
      <c r="D113" s="154">
        <f>IF(F112+SUM(E$99:E112)=D$92,F112,D$92-SUM(E$99:E112))</f>
        <v>3564384.2454015082</v>
      </c>
      <c r="E113" s="160">
        <f>IF(+J96&lt;F112,J96,D113)</f>
        <v>125017.59523809524</v>
      </c>
      <c r="F113" s="159">
        <f t="shared" si="27"/>
        <v>3439366.650163413</v>
      </c>
      <c r="G113" s="159">
        <f t="shared" si="28"/>
        <v>3501875.4477824606</v>
      </c>
      <c r="H113" s="163">
        <f t="shared" si="29"/>
        <v>550395.51050797815</v>
      </c>
      <c r="I113" s="253">
        <f t="shared" si="30"/>
        <v>550395.51050797815</v>
      </c>
      <c r="J113" s="158">
        <f t="shared" si="20"/>
        <v>0</v>
      </c>
      <c r="K113" s="158"/>
      <c r="L113" s="334"/>
      <c r="M113" s="158">
        <f t="shared" si="22"/>
        <v>0</v>
      </c>
      <c r="N113" s="334"/>
      <c r="O113" s="158">
        <f t="shared" si="24"/>
        <v>0</v>
      </c>
      <c r="P113" s="158">
        <f t="shared" si="25"/>
        <v>0</v>
      </c>
      <c r="Q113" s="1"/>
    </row>
    <row r="114" spans="2:17">
      <c r="B114" s="9" t="str">
        <f t="shared" si="26"/>
        <v/>
      </c>
      <c r="C114" s="153">
        <f>IF(D93="","-",+C113+1)</f>
        <v>2025</v>
      </c>
      <c r="D114" s="154">
        <f>IF(F113+SUM(E$99:E113)=D$92,F113,D$92-SUM(E$99:E113))</f>
        <v>3439366.650163413</v>
      </c>
      <c r="E114" s="160">
        <f>IF(+J96&lt;F113,J96,D114)</f>
        <v>125017.59523809524</v>
      </c>
      <c r="F114" s="159">
        <f t="shared" si="27"/>
        <v>3314349.0549253179</v>
      </c>
      <c r="G114" s="159">
        <f t="shared" si="28"/>
        <v>3376857.8525443655</v>
      </c>
      <c r="H114" s="163">
        <f t="shared" si="29"/>
        <v>535209.44097826059</v>
      </c>
      <c r="I114" s="253">
        <f t="shared" si="30"/>
        <v>535209.44097826059</v>
      </c>
      <c r="J114" s="158">
        <f t="shared" si="20"/>
        <v>0</v>
      </c>
      <c r="K114" s="158"/>
      <c r="L114" s="334"/>
      <c r="M114" s="158">
        <f t="shared" si="22"/>
        <v>0</v>
      </c>
      <c r="N114" s="334"/>
      <c r="O114" s="158">
        <f t="shared" si="24"/>
        <v>0</v>
      </c>
      <c r="P114" s="158">
        <f t="shared" si="25"/>
        <v>0</v>
      </c>
      <c r="Q114" s="1"/>
    </row>
    <row r="115" spans="2:17">
      <c r="B115" s="9" t="str">
        <f t="shared" si="26"/>
        <v/>
      </c>
      <c r="C115" s="153">
        <f>IF(D93="","-",+C114+1)</f>
        <v>2026</v>
      </c>
      <c r="D115" s="154">
        <f>IF(F114+SUM(E$99:E114)=D$92,F114,D$92-SUM(E$99:E114))</f>
        <v>3314349.0549253179</v>
      </c>
      <c r="E115" s="160">
        <f>IF(+J96&lt;F114,J96,D115)</f>
        <v>125017.59523809524</v>
      </c>
      <c r="F115" s="159">
        <f t="shared" si="27"/>
        <v>3189331.4596872227</v>
      </c>
      <c r="G115" s="159">
        <f t="shared" si="28"/>
        <v>3251840.2573062703</v>
      </c>
      <c r="H115" s="163">
        <f t="shared" si="29"/>
        <v>520023.37144854316</v>
      </c>
      <c r="I115" s="253">
        <f t="shared" si="30"/>
        <v>520023.37144854316</v>
      </c>
      <c r="J115" s="158">
        <f t="shared" si="20"/>
        <v>0</v>
      </c>
      <c r="K115" s="158"/>
      <c r="L115" s="334"/>
      <c r="M115" s="158">
        <f t="shared" si="22"/>
        <v>0</v>
      </c>
      <c r="N115" s="334"/>
      <c r="O115" s="158">
        <f t="shared" si="24"/>
        <v>0</v>
      </c>
      <c r="P115" s="158">
        <f t="shared" si="25"/>
        <v>0</v>
      </c>
      <c r="Q115" s="1"/>
    </row>
    <row r="116" spans="2:17">
      <c r="B116" s="9" t="str">
        <f t="shared" si="26"/>
        <v/>
      </c>
      <c r="C116" s="153">
        <f>IF(D93="","-",+C115+1)</f>
        <v>2027</v>
      </c>
      <c r="D116" s="154">
        <f>IF(F115+SUM(E$99:E115)=D$92,F115,D$92-SUM(E$99:E115))</f>
        <v>3189331.4596872227</v>
      </c>
      <c r="E116" s="160">
        <f>IF(+J96&lt;F115,J96,D116)</f>
        <v>125017.59523809524</v>
      </c>
      <c r="F116" s="159">
        <f t="shared" si="27"/>
        <v>3064313.8644491276</v>
      </c>
      <c r="G116" s="159">
        <f t="shared" si="28"/>
        <v>3126822.6620681752</v>
      </c>
      <c r="H116" s="163">
        <f t="shared" si="29"/>
        <v>504837.30191882572</v>
      </c>
      <c r="I116" s="253">
        <f t="shared" si="30"/>
        <v>504837.30191882572</v>
      </c>
      <c r="J116" s="158">
        <f t="shared" si="20"/>
        <v>0</v>
      </c>
      <c r="K116" s="158"/>
      <c r="L116" s="334"/>
      <c r="M116" s="158">
        <f t="shared" si="22"/>
        <v>0</v>
      </c>
      <c r="N116" s="334"/>
      <c r="O116" s="158">
        <f t="shared" si="24"/>
        <v>0</v>
      </c>
      <c r="P116" s="158">
        <f t="shared" si="25"/>
        <v>0</v>
      </c>
      <c r="Q116" s="1"/>
    </row>
    <row r="117" spans="2:17">
      <c r="B117" s="9" t="str">
        <f t="shared" si="26"/>
        <v/>
      </c>
      <c r="C117" s="153">
        <f>IF(D93="","-",+C116+1)</f>
        <v>2028</v>
      </c>
      <c r="D117" s="154">
        <f>IF(F116+SUM(E$99:E116)=D$92,F116,D$92-SUM(E$99:E116))</f>
        <v>3064313.8644491276</v>
      </c>
      <c r="E117" s="160">
        <f>IF(+J96&lt;F116,J96,D117)</f>
        <v>125017.59523809524</v>
      </c>
      <c r="F117" s="159">
        <f t="shared" si="27"/>
        <v>2939296.2692110324</v>
      </c>
      <c r="G117" s="159">
        <f t="shared" si="28"/>
        <v>3001805.06683008</v>
      </c>
      <c r="H117" s="163">
        <f t="shared" si="29"/>
        <v>489651.23238910828</v>
      </c>
      <c r="I117" s="253">
        <f t="shared" si="30"/>
        <v>489651.23238910828</v>
      </c>
      <c r="J117" s="158">
        <f t="shared" si="20"/>
        <v>0</v>
      </c>
      <c r="K117" s="158"/>
      <c r="L117" s="334"/>
      <c r="M117" s="158">
        <f t="shared" si="22"/>
        <v>0</v>
      </c>
      <c r="N117" s="334"/>
      <c r="O117" s="158">
        <f t="shared" si="24"/>
        <v>0</v>
      </c>
      <c r="P117" s="158">
        <f t="shared" si="25"/>
        <v>0</v>
      </c>
      <c r="Q117" s="1"/>
    </row>
    <row r="118" spans="2:17">
      <c r="B118" s="9" t="str">
        <f t="shared" si="26"/>
        <v/>
      </c>
      <c r="C118" s="153">
        <f>IF(D93="","-",+C117+1)</f>
        <v>2029</v>
      </c>
      <c r="D118" s="154">
        <f>IF(F117+SUM(E$99:E117)=D$92,F117,D$92-SUM(E$99:E117))</f>
        <v>2939296.2692110324</v>
      </c>
      <c r="E118" s="160">
        <f>IF(+J96&lt;F117,J96,D118)</f>
        <v>125017.59523809524</v>
      </c>
      <c r="F118" s="159">
        <f t="shared" si="27"/>
        <v>2814278.6739729373</v>
      </c>
      <c r="G118" s="159">
        <f t="shared" si="28"/>
        <v>2876787.4715919849</v>
      </c>
      <c r="H118" s="163">
        <f t="shared" si="29"/>
        <v>474465.16285939072</v>
      </c>
      <c r="I118" s="253">
        <f t="shared" si="30"/>
        <v>474465.16285939072</v>
      </c>
      <c r="J118" s="158">
        <f t="shared" si="20"/>
        <v>0</v>
      </c>
      <c r="K118" s="158"/>
      <c r="L118" s="334"/>
      <c r="M118" s="158">
        <f t="shared" si="22"/>
        <v>0</v>
      </c>
      <c r="N118" s="334"/>
      <c r="O118" s="158">
        <f t="shared" si="24"/>
        <v>0</v>
      </c>
      <c r="P118" s="158">
        <f t="shared" si="25"/>
        <v>0</v>
      </c>
      <c r="Q118" s="1"/>
    </row>
    <row r="119" spans="2:17">
      <c r="B119" s="9" t="str">
        <f t="shared" si="26"/>
        <v/>
      </c>
      <c r="C119" s="153">
        <f>IF(D93="","-",+C118+1)</f>
        <v>2030</v>
      </c>
      <c r="D119" s="154">
        <f>IF(F118+SUM(E$99:E118)=D$92,F118,D$92-SUM(E$99:E118))</f>
        <v>2814278.6739729373</v>
      </c>
      <c r="E119" s="160">
        <f>IF(+J96&lt;F118,J96,D119)</f>
        <v>125017.59523809524</v>
      </c>
      <c r="F119" s="159">
        <f t="shared" si="27"/>
        <v>2689261.0787348421</v>
      </c>
      <c r="G119" s="159">
        <f t="shared" si="28"/>
        <v>2751769.8763538897</v>
      </c>
      <c r="H119" s="163">
        <f t="shared" si="29"/>
        <v>459279.09332967328</v>
      </c>
      <c r="I119" s="253">
        <f t="shared" si="30"/>
        <v>459279.09332967328</v>
      </c>
      <c r="J119" s="158">
        <f t="shared" si="20"/>
        <v>0</v>
      </c>
      <c r="K119" s="158"/>
      <c r="L119" s="334"/>
      <c r="M119" s="158">
        <f t="shared" si="22"/>
        <v>0</v>
      </c>
      <c r="N119" s="334"/>
      <c r="O119" s="158">
        <f t="shared" si="24"/>
        <v>0</v>
      </c>
      <c r="P119" s="158">
        <f t="shared" si="25"/>
        <v>0</v>
      </c>
      <c r="Q119" s="1"/>
    </row>
    <row r="120" spans="2:17">
      <c r="B120" s="9" t="str">
        <f t="shared" si="26"/>
        <v/>
      </c>
      <c r="C120" s="153">
        <f>IF(D93="","-",+C119+1)</f>
        <v>2031</v>
      </c>
      <c r="D120" s="154">
        <f>IF(F119+SUM(E$99:E119)=D$92,F119,D$92-SUM(E$99:E119))</f>
        <v>2689261.0787348421</v>
      </c>
      <c r="E120" s="160">
        <f>IF(+J96&lt;F119,J96,D120)</f>
        <v>125017.59523809524</v>
      </c>
      <c r="F120" s="159">
        <f t="shared" si="27"/>
        <v>2564243.483496747</v>
      </c>
      <c r="G120" s="159">
        <f t="shared" si="28"/>
        <v>2626752.2811157946</v>
      </c>
      <c r="H120" s="163">
        <f t="shared" si="29"/>
        <v>444093.02379995584</v>
      </c>
      <c r="I120" s="253">
        <f t="shared" si="30"/>
        <v>444093.02379995584</v>
      </c>
      <c r="J120" s="158">
        <f t="shared" si="20"/>
        <v>0</v>
      </c>
      <c r="K120" s="158"/>
      <c r="L120" s="334"/>
      <c r="M120" s="158">
        <f t="shared" si="22"/>
        <v>0</v>
      </c>
      <c r="N120" s="334"/>
      <c r="O120" s="158">
        <f t="shared" si="24"/>
        <v>0</v>
      </c>
      <c r="P120" s="158">
        <f t="shared" si="25"/>
        <v>0</v>
      </c>
      <c r="Q120" s="1"/>
    </row>
    <row r="121" spans="2:17">
      <c r="B121" s="9" t="str">
        <f t="shared" si="26"/>
        <v/>
      </c>
      <c r="C121" s="153">
        <f>IF(D93="","-",+C120+1)</f>
        <v>2032</v>
      </c>
      <c r="D121" s="154">
        <f>IF(F120+SUM(E$99:E120)=D$92,F120,D$92-SUM(E$99:E120))</f>
        <v>2564243.483496747</v>
      </c>
      <c r="E121" s="160">
        <f>IF(+J96&lt;F120,J96,D121)</f>
        <v>125017.59523809524</v>
      </c>
      <c r="F121" s="159">
        <f t="shared" si="27"/>
        <v>2439225.8882586518</v>
      </c>
      <c r="G121" s="159">
        <f t="shared" si="28"/>
        <v>2501734.6858776994</v>
      </c>
      <c r="H121" s="163">
        <f t="shared" si="29"/>
        <v>428906.95427023829</v>
      </c>
      <c r="I121" s="253">
        <f t="shared" si="30"/>
        <v>428906.95427023829</v>
      </c>
      <c r="J121" s="158">
        <f t="shared" si="20"/>
        <v>0</v>
      </c>
      <c r="K121" s="158"/>
      <c r="L121" s="334"/>
      <c r="M121" s="158">
        <f t="shared" si="22"/>
        <v>0</v>
      </c>
      <c r="N121" s="334"/>
      <c r="O121" s="158">
        <f t="shared" si="24"/>
        <v>0</v>
      </c>
      <c r="P121" s="158">
        <f t="shared" si="25"/>
        <v>0</v>
      </c>
      <c r="Q121" s="1"/>
    </row>
    <row r="122" spans="2:17">
      <c r="B122" s="9" t="str">
        <f t="shared" si="26"/>
        <v/>
      </c>
      <c r="C122" s="153">
        <f>IF(D93="","-",+C121+1)</f>
        <v>2033</v>
      </c>
      <c r="D122" s="154">
        <f>IF(F121+SUM(E$99:E121)=D$92,F121,D$92-SUM(E$99:E121))</f>
        <v>2439225.8882586518</v>
      </c>
      <c r="E122" s="160">
        <f>IF(+J96&lt;F121,J96,D122)</f>
        <v>125017.59523809524</v>
      </c>
      <c r="F122" s="159">
        <f t="shared" si="27"/>
        <v>2314208.2930205567</v>
      </c>
      <c r="G122" s="159">
        <f t="shared" si="28"/>
        <v>2376717.0906396043</v>
      </c>
      <c r="H122" s="163">
        <f t="shared" si="29"/>
        <v>413720.88474052085</v>
      </c>
      <c r="I122" s="253">
        <f t="shared" si="30"/>
        <v>413720.88474052085</v>
      </c>
      <c r="J122" s="158">
        <f t="shared" si="20"/>
        <v>0</v>
      </c>
      <c r="K122" s="158"/>
      <c r="L122" s="334"/>
      <c r="M122" s="158">
        <f t="shared" si="22"/>
        <v>0</v>
      </c>
      <c r="N122" s="334"/>
      <c r="O122" s="158">
        <f t="shared" si="24"/>
        <v>0</v>
      </c>
      <c r="P122" s="158">
        <f t="shared" si="25"/>
        <v>0</v>
      </c>
      <c r="Q122" s="1"/>
    </row>
    <row r="123" spans="2:17">
      <c r="B123" s="9" t="str">
        <f t="shared" si="26"/>
        <v/>
      </c>
      <c r="C123" s="153">
        <f>IF(D93="","-",+C122+1)</f>
        <v>2034</v>
      </c>
      <c r="D123" s="154">
        <f>IF(F122+SUM(E$99:E122)=D$92,F122,D$92-SUM(E$99:E122))</f>
        <v>2314208.2930205567</v>
      </c>
      <c r="E123" s="160">
        <f>IF(+J96&lt;F122,J96,D123)</f>
        <v>125017.59523809524</v>
      </c>
      <c r="F123" s="159">
        <f t="shared" si="27"/>
        <v>2189190.6977824615</v>
      </c>
      <c r="G123" s="159">
        <f t="shared" si="28"/>
        <v>2251699.4954015091</v>
      </c>
      <c r="H123" s="163">
        <f t="shared" si="29"/>
        <v>398534.81521080341</v>
      </c>
      <c r="I123" s="253">
        <f t="shared" si="30"/>
        <v>398534.81521080341</v>
      </c>
      <c r="J123" s="158">
        <f t="shared" si="20"/>
        <v>0</v>
      </c>
      <c r="K123" s="158"/>
      <c r="L123" s="334"/>
      <c r="M123" s="158">
        <f t="shared" si="22"/>
        <v>0</v>
      </c>
      <c r="N123" s="334"/>
      <c r="O123" s="158">
        <f t="shared" si="24"/>
        <v>0</v>
      </c>
      <c r="P123" s="158">
        <f t="shared" si="25"/>
        <v>0</v>
      </c>
      <c r="Q123" s="1"/>
    </row>
    <row r="124" spans="2:17">
      <c r="B124" s="9" t="str">
        <f t="shared" si="26"/>
        <v/>
      </c>
      <c r="C124" s="153">
        <f>IF(D93="","-",+C123+1)</f>
        <v>2035</v>
      </c>
      <c r="D124" s="154">
        <f>IF(F123+SUM(E$99:E123)=D$92,F123,D$92-SUM(E$99:E123))</f>
        <v>2189190.6977824615</v>
      </c>
      <c r="E124" s="160">
        <f>IF(+J96&lt;F123,J96,D124)</f>
        <v>125017.59523809524</v>
      </c>
      <c r="F124" s="159">
        <f t="shared" si="27"/>
        <v>2064173.1025443664</v>
      </c>
      <c r="G124" s="159">
        <f t="shared" si="28"/>
        <v>2126681.900163414</v>
      </c>
      <c r="H124" s="163">
        <f t="shared" si="29"/>
        <v>383348.74568108591</v>
      </c>
      <c r="I124" s="253">
        <f t="shared" si="30"/>
        <v>383348.74568108591</v>
      </c>
      <c r="J124" s="158">
        <f t="shared" si="20"/>
        <v>0</v>
      </c>
      <c r="K124" s="158"/>
      <c r="L124" s="334"/>
      <c r="M124" s="158">
        <f t="shared" si="22"/>
        <v>0</v>
      </c>
      <c r="N124" s="334"/>
      <c r="O124" s="158">
        <f t="shared" si="24"/>
        <v>0</v>
      </c>
      <c r="P124" s="158">
        <f t="shared" si="25"/>
        <v>0</v>
      </c>
      <c r="Q124" s="1"/>
    </row>
    <row r="125" spans="2:17">
      <c r="B125" s="9" t="str">
        <f t="shared" si="26"/>
        <v/>
      </c>
      <c r="C125" s="153">
        <f>IF(D93="","-",+C124+1)</f>
        <v>2036</v>
      </c>
      <c r="D125" s="154">
        <f>IF(F124+SUM(E$99:E124)=D$92,F124,D$92-SUM(E$99:E124))</f>
        <v>2064173.1025443664</v>
      </c>
      <c r="E125" s="160">
        <f>IF(+J96&lt;F124,J96,D125)</f>
        <v>125017.59523809524</v>
      </c>
      <c r="F125" s="159">
        <f t="shared" si="27"/>
        <v>1939155.5073062712</v>
      </c>
      <c r="G125" s="159">
        <f t="shared" si="28"/>
        <v>2001664.3049253188</v>
      </c>
      <c r="H125" s="163">
        <f t="shared" si="29"/>
        <v>368162.67615136842</v>
      </c>
      <c r="I125" s="253">
        <f t="shared" si="30"/>
        <v>368162.67615136842</v>
      </c>
      <c r="J125" s="158">
        <f t="shared" si="20"/>
        <v>0</v>
      </c>
      <c r="K125" s="158"/>
      <c r="L125" s="334"/>
      <c r="M125" s="158">
        <f t="shared" si="22"/>
        <v>0</v>
      </c>
      <c r="N125" s="334"/>
      <c r="O125" s="158">
        <f t="shared" si="24"/>
        <v>0</v>
      </c>
      <c r="P125" s="158">
        <f t="shared" si="25"/>
        <v>0</v>
      </c>
      <c r="Q125" s="1"/>
    </row>
    <row r="126" spans="2:17">
      <c r="B126" s="9" t="str">
        <f t="shared" si="26"/>
        <v/>
      </c>
      <c r="C126" s="153">
        <f>IF(D93="","-",+C125+1)</f>
        <v>2037</v>
      </c>
      <c r="D126" s="154">
        <f>IF(F125+SUM(E$99:E125)=D$92,F125,D$92-SUM(E$99:E125))</f>
        <v>1939155.5073062712</v>
      </c>
      <c r="E126" s="160">
        <f>IF(+J96&lt;F125,J96,D126)</f>
        <v>125017.59523809524</v>
      </c>
      <c r="F126" s="159">
        <f t="shared" si="27"/>
        <v>1814137.9120681761</v>
      </c>
      <c r="G126" s="159">
        <f t="shared" si="28"/>
        <v>1876646.7096872237</v>
      </c>
      <c r="H126" s="163">
        <f t="shared" si="29"/>
        <v>352976.60662165098</v>
      </c>
      <c r="I126" s="253">
        <f t="shared" si="30"/>
        <v>352976.60662165098</v>
      </c>
      <c r="J126" s="158">
        <f t="shared" si="20"/>
        <v>0</v>
      </c>
      <c r="K126" s="158"/>
      <c r="L126" s="334"/>
      <c r="M126" s="158">
        <f t="shared" si="22"/>
        <v>0</v>
      </c>
      <c r="N126" s="334"/>
      <c r="O126" s="158">
        <f t="shared" si="24"/>
        <v>0</v>
      </c>
      <c r="P126" s="158">
        <f t="shared" si="25"/>
        <v>0</v>
      </c>
      <c r="Q126" s="1"/>
    </row>
    <row r="127" spans="2:17">
      <c r="B127" s="9" t="str">
        <f t="shared" si="26"/>
        <v/>
      </c>
      <c r="C127" s="153">
        <f>IF(D93="","-",+C126+1)</f>
        <v>2038</v>
      </c>
      <c r="D127" s="154">
        <f>IF(F126+SUM(E$99:E126)=D$92,F126,D$92-SUM(E$99:E126))</f>
        <v>1814137.9120681761</v>
      </c>
      <c r="E127" s="160">
        <f>IF(+J96&lt;F126,J96,D127)</f>
        <v>125017.59523809524</v>
      </c>
      <c r="F127" s="159">
        <f t="shared" si="27"/>
        <v>1689120.3168300809</v>
      </c>
      <c r="G127" s="159">
        <f t="shared" si="28"/>
        <v>1751629.1144491285</v>
      </c>
      <c r="H127" s="163">
        <f t="shared" si="29"/>
        <v>337790.53709193354</v>
      </c>
      <c r="I127" s="253">
        <f t="shared" si="30"/>
        <v>337790.53709193354</v>
      </c>
      <c r="J127" s="158">
        <f t="shared" si="20"/>
        <v>0</v>
      </c>
      <c r="K127" s="158"/>
      <c r="L127" s="334"/>
      <c r="M127" s="158">
        <f t="shared" si="22"/>
        <v>0</v>
      </c>
      <c r="N127" s="334"/>
      <c r="O127" s="158">
        <f t="shared" si="24"/>
        <v>0</v>
      </c>
      <c r="P127" s="158">
        <f t="shared" si="25"/>
        <v>0</v>
      </c>
      <c r="Q127" s="1"/>
    </row>
    <row r="128" spans="2:17">
      <c r="B128" s="9" t="str">
        <f t="shared" si="26"/>
        <v/>
      </c>
      <c r="C128" s="153">
        <f>IF(D93="","-",+C127+1)</f>
        <v>2039</v>
      </c>
      <c r="D128" s="154">
        <f>IF(F127+SUM(E$99:E127)=D$92,F127,D$92-SUM(E$99:E127))</f>
        <v>1689120.3168300809</v>
      </c>
      <c r="E128" s="160">
        <f>IF(+J96&lt;F127,J96,D128)</f>
        <v>125017.59523809524</v>
      </c>
      <c r="F128" s="159">
        <f t="shared" si="27"/>
        <v>1564102.7215919858</v>
      </c>
      <c r="G128" s="159">
        <f t="shared" si="28"/>
        <v>1626611.5192110334</v>
      </c>
      <c r="H128" s="163">
        <f t="shared" si="29"/>
        <v>322604.46756221604</v>
      </c>
      <c r="I128" s="253">
        <f t="shared" si="30"/>
        <v>322604.46756221604</v>
      </c>
      <c r="J128" s="158">
        <f t="shared" si="20"/>
        <v>0</v>
      </c>
      <c r="K128" s="158"/>
      <c r="L128" s="334"/>
      <c r="M128" s="158">
        <f t="shared" si="22"/>
        <v>0</v>
      </c>
      <c r="N128" s="334"/>
      <c r="O128" s="158">
        <f t="shared" si="24"/>
        <v>0</v>
      </c>
      <c r="P128" s="158">
        <f t="shared" si="25"/>
        <v>0</v>
      </c>
      <c r="Q128" s="1"/>
    </row>
    <row r="129" spans="2:17">
      <c r="B129" s="9" t="str">
        <f t="shared" si="26"/>
        <v/>
      </c>
      <c r="C129" s="153">
        <f>IF(D93="","-",+C128+1)</f>
        <v>2040</v>
      </c>
      <c r="D129" s="154">
        <f>IF(F128+SUM(E$99:E128)=D$92,F128,D$92-SUM(E$99:E128))</f>
        <v>1564102.7215919858</v>
      </c>
      <c r="E129" s="160">
        <f>IF(+J96&lt;F128,J96,D129)</f>
        <v>125017.59523809524</v>
      </c>
      <c r="F129" s="159">
        <f t="shared" si="27"/>
        <v>1439085.1263538906</v>
      </c>
      <c r="G129" s="159">
        <f t="shared" si="28"/>
        <v>1501593.9239729382</v>
      </c>
      <c r="H129" s="163">
        <f t="shared" si="29"/>
        <v>307418.39803249855</v>
      </c>
      <c r="I129" s="253">
        <f t="shared" si="30"/>
        <v>307418.39803249855</v>
      </c>
      <c r="J129" s="158">
        <f t="shared" si="20"/>
        <v>0</v>
      </c>
      <c r="K129" s="158"/>
      <c r="L129" s="334"/>
      <c r="M129" s="158">
        <f t="shared" si="22"/>
        <v>0</v>
      </c>
      <c r="N129" s="334"/>
      <c r="O129" s="158">
        <f t="shared" si="24"/>
        <v>0</v>
      </c>
      <c r="P129" s="158">
        <f t="shared" si="25"/>
        <v>0</v>
      </c>
      <c r="Q129" s="1"/>
    </row>
    <row r="130" spans="2:17">
      <c r="B130" s="9" t="str">
        <f t="shared" si="26"/>
        <v/>
      </c>
      <c r="C130" s="153">
        <f>IF(D93="","-",+C129+1)</f>
        <v>2041</v>
      </c>
      <c r="D130" s="154">
        <f>IF(F129+SUM(E$99:E129)=D$92,F129,D$92-SUM(E$99:E129))</f>
        <v>1439085.1263538906</v>
      </c>
      <c r="E130" s="160">
        <f>IF(+J96&lt;F129,J96,D130)</f>
        <v>125017.59523809524</v>
      </c>
      <c r="F130" s="159">
        <f t="shared" si="27"/>
        <v>1314067.5311157955</v>
      </c>
      <c r="G130" s="159">
        <f t="shared" si="28"/>
        <v>1376576.3287348431</v>
      </c>
      <c r="H130" s="163">
        <f t="shared" si="29"/>
        <v>292232.32850278111</v>
      </c>
      <c r="I130" s="253">
        <f t="shared" si="30"/>
        <v>292232.32850278111</v>
      </c>
      <c r="J130" s="158">
        <f t="shared" si="20"/>
        <v>0</v>
      </c>
      <c r="K130" s="158"/>
      <c r="L130" s="334"/>
      <c r="M130" s="158">
        <f t="shared" si="22"/>
        <v>0</v>
      </c>
      <c r="N130" s="334"/>
      <c r="O130" s="158">
        <f t="shared" si="24"/>
        <v>0</v>
      </c>
      <c r="P130" s="158">
        <f t="shared" si="25"/>
        <v>0</v>
      </c>
      <c r="Q130" s="1"/>
    </row>
    <row r="131" spans="2:17">
      <c r="B131" s="9" t="str">
        <f t="shared" si="26"/>
        <v/>
      </c>
      <c r="C131" s="153">
        <f>IF(D93="","-",+C130+1)</f>
        <v>2042</v>
      </c>
      <c r="D131" s="154">
        <f>IF(F130+SUM(E$99:E130)=D$92,F130,D$92-SUM(E$99:E130))</f>
        <v>1314067.5311157955</v>
      </c>
      <c r="E131" s="160">
        <f>IF(+J96&lt;F130,J96,D131)</f>
        <v>125017.59523809524</v>
      </c>
      <c r="F131" s="159">
        <f t="shared" si="27"/>
        <v>1189049.9358777003</v>
      </c>
      <c r="G131" s="159">
        <f t="shared" ref="G131:G154" si="31">+(F131+D131)/2</f>
        <v>1251558.7334967479</v>
      </c>
      <c r="H131" s="163">
        <f t="shared" ref="H131:H154" si="32">+J$94*G131+E131</f>
        <v>277046.25897306367</v>
      </c>
      <c r="I131" s="253">
        <f t="shared" ref="I131:I154" si="33">+J$95*G131+E131</f>
        <v>277046.25897306367</v>
      </c>
      <c r="J131" s="158">
        <f t="shared" ref="J131:J154" si="34">+I131-H131</f>
        <v>0</v>
      </c>
      <c r="K131" s="158"/>
      <c r="L131" s="334"/>
      <c r="M131" s="158">
        <f t="shared" ref="M131:M154" si="35">IF(L131&lt;&gt;0,+H131-L131,0)</f>
        <v>0</v>
      </c>
      <c r="N131" s="334"/>
      <c r="O131" s="158">
        <f t="shared" ref="O131:O154" si="36">IF(N131&lt;&gt;0,+I131-N131,0)</f>
        <v>0</v>
      </c>
      <c r="P131" s="158">
        <f t="shared" ref="P131:P154" si="37">+O131-M131</f>
        <v>0</v>
      </c>
      <c r="Q131" s="1"/>
    </row>
    <row r="132" spans="2:17">
      <c r="B132" s="9" t="str">
        <f t="shared" si="26"/>
        <v/>
      </c>
      <c r="C132" s="153">
        <f>IF(D93="","-",+C131+1)</f>
        <v>2043</v>
      </c>
      <c r="D132" s="154">
        <f>IF(F131+SUM(E$99:E131)=D$92,F131,D$92-SUM(E$99:E131))</f>
        <v>1189049.9358777003</v>
      </c>
      <c r="E132" s="160">
        <f>IF(+J96&lt;F131,J96,D132)</f>
        <v>125017.59523809524</v>
      </c>
      <c r="F132" s="159">
        <f t="shared" ref="F132:F154" si="38">+D132-E132</f>
        <v>1064032.3406396052</v>
      </c>
      <c r="G132" s="159">
        <f t="shared" si="31"/>
        <v>1126541.1382586528</v>
      </c>
      <c r="H132" s="163">
        <f t="shared" si="32"/>
        <v>261860.18944334614</v>
      </c>
      <c r="I132" s="253">
        <f t="shared" si="33"/>
        <v>261860.18944334614</v>
      </c>
      <c r="J132" s="158">
        <f t="shared" si="34"/>
        <v>0</v>
      </c>
      <c r="K132" s="158"/>
      <c r="L132" s="334"/>
      <c r="M132" s="158">
        <f t="shared" si="35"/>
        <v>0</v>
      </c>
      <c r="N132" s="334"/>
      <c r="O132" s="158">
        <f t="shared" si="36"/>
        <v>0</v>
      </c>
      <c r="P132" s="158">
        <f t="shared" si="37"/>
        <v>0</v>
      </c>
      <c r="Q132" s="1"/>
    </row>
    <row r="133" spans="2:17">
      <c r="B133" s="9" t="str">
        <f t="shared" si="26"/>
        <v/>
      </c>
      <c r="C133" s="153">
        <f>IF(D93="","-",+C132+1)</f>
        <v>2044</v>
      </c>
      <c r="D133" s="154">
        <f>IF(F132+SUM(E$99:E132)=D$92,F132,D$92-SUM(E$99:E132))</f>
        <v>1064032.3406396052</v>
      </c>
      <c r="E133" s="160">
        <f>IF(+J96&lt;F132,J96,D133)</f>
        <v>125017.59523809524</v>
      </c>
      <c r="F133" s="159">
        <f t="shared" si="38"/>
        <v>939014.74540150992</v>
      </c>
      <c r="G133" s="159">
        <f t="shared" si="31"/>
        <v>1001523.5430205576</v>
      </c>
      <c r="H133" s="163">
        <f t="shared" si="32"/>
        <v>246674.11991362867</v>
      </c>
      <c r="I133" s="253">
        <f t="shared" si="33"/>
        <v>246674.11991362867</v>
      </c>
      <c r="J133" s="158">
        <f t="shared" si="34"/>
        <v>0</v>
      </c>
      <c r="K133" s="158"/>
      <c r="L133" s="334"/>
      <c r="M133" s="158">
        <f t="shared" si="35"/>
        <v>0</v>
      </c>
      <c r="N133" s="334"/>
      <c r="O133" s="158">
        <f t="shared" si="36"/>
        <v>0</v>
      </c>
      <c r="P133" s="158">
        <f t="shared" si="37"/>
        <v>0</v>
      </c>
      <c r="Q133" s="1"/>
    </row>
    <row r="134" spans="2:17">
      <c r="B134" s="9" t="str">
        <f t="shared" si="26"/>
        <v/>
      </c>
      <c r="C134" s="153">
        <f>IF(D93="","-",+C133+1)</f>
        <v>2045</v>
      </c>
      <c r="D134" s="154">
        <f>IF(F133+SUM(E$99:E133)=D$92,F133,D$92-SUM(E$99:E133))</f>
        <v>939014.74540150992</v>
      </c>
      <c r="E134" s="160">
        <f>IF(+J96&lt;F133,J96,D134)</f>
        <v>125017.59523809524</v>
      </c>
      <c r="F134" s="159">
        <f t="shared" si="38"/>
        <v>813997.15016341466</v>
      </c>
      <c r="G134" s="159">
        <f t="shared" si="31"/>
        <v>876505.94778246223</v>
      </c>
      <c r="H134" s="163">
        <f t="shared" si="32"/>
        <v>231488.05038391118</v>
      </c>
      <c r="I134" s="253">
        <f t="shared" si="33"/>
        <v>231488.05038391118</v>
      </c>
      <c r="J134" s="158">
        <f t="shared" si="34"/>
        <v>0</v>
      </c>
      <c r="K134" s="158"/>
      <c r="L134" s="334"/>
      <c r="M134" s="158">
        <f t="shared" si="35"/>
        <v>0</v>
      </c>
      <c r="N134" s="334"/>
      <c r="O134" s="158">
        <f t="shared" si="36"/>
        <v>0</v>
      </c>
      <c r="P134" s="158">
        <f t="shared" si="37"/>
        <v>0</v>
      </c>
      <c r="Q134" s="1"/>
    </row>
    <row r="135" spans="2:17">
      <c r="B135" s="9" t="str">
        <f t="shared" si="26"/>
        <v/>
      </c>
      <c r="C135" s="153">
        <f>IF(D93="","-",+C134+1)</f>
        <v>2046</v>
      </c>
      <c r="D135" s="154">
        <f>IF(F134+SUM(E$99:E134)=D$92,F134,D$92-SUM(E$99:E134))</f>
        <v>813997.15016341466</v>
      </c>
      <c r="E135" s="160">
        <f>IF(+J96&lt;F134,J96,D135)</f>
        <v>125017.59523809524</v>
      </c>
      <c r="F135" s="159">
        <f t="shared" si="38"/>
        <v>688979.55492531939</v>
      </c>
      <c r="G135" s="159">
        <f t="shared" si="31"/>
        <v>751488.35254436708</v>
      </c>
      <c r="H135" s="163">
        <f t="shared" si="32"/>
        <v>216301.98085419371</v>
      </c>
      <c r="I135" s="253">
        <f t="shared" si="33"/>
        <v>216301.98085419371</v>
      </c>
      <c r="J135" s="158">
        <f t="shared" si="34"/>
        <v>0</v>
      </c>
      <c r="K135" s="158"/>
      <c r="L135" s="334"/>
      <c r="M135" s="158">
        <f t="shared" si="35"/>
        <v>0</v>
      </c>
      <c r="N135" s="334"/>
      <c r="O135" s="158">
        <f t="shared" si="36"/>
        <v>0</v>
      </c>
      <c r="P135" s="158">
        <f t="shared" si="37"/>
        <v>0</v>
      </c>
      <c r="Q135" s="1"/>
    </row>
    <row r="136" spans="2:17">
      <c r="B136" s="9" t="str">
        <f t="shared" si="26"/>
        <v/>
      </c>
      <c r="C136" s="153">
        <f>IF(D93="","-",+C135+1)</f>
        <v>2047</v>
      </c>
      <c r="D136" s="154">
        <f>IF(F135+SUM(E$99:E135)=D$92,F135,D$92-SUM(E$99:E135))</f>
        <v>688979.55492531939</v>
      </c>
      <c r="E136" s="160">
        <f>IF(+J96&lt;F135,J96,D136)</f>
        <v>125017.59523809524</v>
      </c>
      <c r="F136" s="159">
        <f t="shared" si="38"/>
        <v>563961.95968722412</v>
      </c>
      <c r="G136" s="159">
        <f t="shared" si="31"/>
        <v>626470.7573062717</v>
      </c>
      <c r="H136" s="163">
        <f t="shared" si="32"/>
        <v>201115.91132447621</v>
      </c>
      <c r="I136" s="253">
        <f t="shared" si="33"/>
        <v>201115.91132447621</v>
      </c>
      <c r="J136" s="158">
        <f t="shared" si="34"/>
        <v>0</v>
      </c>
      <c r="K136" s="158"/>
      <c r="L136" s="334"/>
      <c r="M136" s="158">
        <f t="shared" si="35"/>
        <v>0</v>
      </c>
      <c r="N136" s="334"/>
      <c r="O136" s="158">
        <f t="shared" si="36"/>
        <v>0</v>
      </c>
      <c r="P136" s="158">
        <f t="shared" si="37"/>
        <v>0</v>
      </c>
      <c r="Q136" s="1"/>
    </row>
    <row r="137" spans="2:17">
      <c r="B137" s="9" t="str">
        <f t="shared" si="26"/>
        <v/>
      </c>
      <c r="C137" s="153">
        <f>IF(D93="","-",+C136+1)</f>
        <v>2048</v>
      </c>
      <c r="D137" s="154">
        <f>IF(F136+SUM(E$99:E136)=D$92,F136,D$92-SUM(E$99:E136))</f>
        <v>563961.95968722412</v>
      </c>
      <c r="E137" s="160">
        <f>IF(+J96&lt;F136,J96,D137)</f>
        <v>125017.59523809524</v>
      </c>
      <c r="F137" s="159">
        <f t="shared" si="38"/>
        <v>438944.36444912886</v>
      </c>
      <c r="G137" s="159">
        <f t="shared" si="31"/>
        <v>501453.16206817649</v>
      </c>
      <c r="H137" s="163">
        <f t="shared" si="32"/>
        <v>185929.84179475874</v>
      </c>
      <c r="I137" s="253">
        <f t="shared" si="33"/>
        <v>185929.84179475874</v>
      </c>
      <c r="J137" s="158">
        <f t="shared" si="34"/>
        <v>0</v>
      </c>
      <c r="K137" s="158"/>
      <c r="L137" s="334"/>
      <c r="M137" s="158">
        <f t="shared" si="35"/>
        <v>0</v>
      </c>
      <c r="N137" s="334"/>
      <c r="O137" s="158">
        <f t="shared" si="36"/>
        <v>0</v>
      </c>
      <c r="P137" s="158">
        <f t="shared" si="37"/>
        <v>0</v>
      </c>
      <c r="Q137" s="1"/>
    </row>
    <row r="138" spans="2:17">
      <c r="B138" s="9" t="str">
        <f t="shared" si="26"/>
        <v/>
      </c>
      <c r="C138" s="153">
        <f>IF(D93="","-",+C137+1)</f>
        <v>2049</v>
      </c>
      <c r="D138" s="154">
        <f>IF(F137+SUM(E$99:E137)=D$92,F137,D$92-SUM(E$99:E137))</f>
        <v>438944.36444912886</v>
      </c>
      <c r="E138" s="160">
        <f>IF(+J96&lt;F137,J96,D138)</f>
        <v>125017.59523809524</v>
      </c>
      <c r="F138" s="159">
        <f t="shared" si="38"/>
        <v>313926.76921103359</v>
      </c>
      <c r="G138" s="159">
        <f t="shared" si="31"/>
        <v>376435.56683008122</v>
      </c>
      <c r="H138" s="163">
        <f t="shared" si="32"/>
        <v>170743.77226504125</v>
      </c>
      <c r="I138" s="253">
        <f t="shared" si="33"/>
        <v>170743.77226504125</v>
      </c>
      <c r="J138" s="158">
        <f t="shared" si="34"/>
        <v>0</v>
      </c>
      <c r="K138" s="158"/>
      <c r="L138" s="334"/>
      <c r="M138" s="158">
        <f t="shared" si="35"/>
        <v>0</v>
      </c>
      <c r="N138" s="334"/>
      <c r="O138" s="158">
        <f t="shared" si="36"/>
        <v>0</v>
      </c>
      <c r="P138" s="158">
        <f t="shared" si="37"/>
        <v>0</v>
      </c>
      <c r="Q138" s="1"/>
    </row>
    <row r="139" spans="2:17">
      <c r="B139" s="9" t="str">
        <f t="shared" si="26"/>
        <v/>
      </c>
      <c r="C139" s="153">
        <f>IF(D93="","-",+C138+1)</f>
        <v>2050</v>
      </c>
      <c r="D139" s="154">
        <f>IF(F138+SUM(E$99:E138)=D$92,F138,D$92-SUM(E$99:E138))</f>
        <v>313926.76921103359</v>
      </c>
      <c r="E139" s="160">
        <f>IF(+J96&lt;F138,J96,D139)</f>
        <v>125017.59523809524</v>
      </c>
      <c r="F139" s="159">
        <f t="shared" si="38"/>
        <v>188909.17397293836</v>
      </c>
      <c r="G139" s="159">
        <f t="shared" si="31"/>
        <v>251417.97159198596</v>
      </c>
      <c r="H139" s="163">
        <f t="shared" si="32"/>
        <v>155557.70273532375</v>
      </c>
      <c r="I139" s="253">
        <f t="shared" si="33"/>
        <v>155557.70273532375</v>
      </c>
      <c r="J139" s="158">
        <f t="shared" si="34"/>
        <v>0</v>
      </c>
      <c r="K139" s="158"/>
      <c r="L139" s="334"/>
      <c r="M139" s="158">
        <f t="shared" si="35"/>
        <v>0</v>
      </c>
      <c r="N139" s="334"/>
      <c r="O139" s="158">
        <f t="shared" si="36"/>
        <v>0</v>
      </c>
      <c r="P139" s="158">
        <f t="shared" si="37"/>
        <v>0</v>
      </c>
      <c r="Q139" s="1"/>
    </row>
    <row r="140" spans="2:17">
      <c r="B140" s="9" t="str">
        <f t="shared" si="26"/>
        <v/>
      </c>
      <c r="C140" s="153">
        <f>IF(D93="","-",+C139+1)</f>
        <v>2051</v>
      </c>
      <c r="D140" s="154">
        <f>IF(F139+SUM(E$99:E139)=D$92,F139,D$92-SUM(E$99:E139))</f>
        <v>188909.17397293836</v>
      </c>
      <c r="E140" s="160">
        <f>IF(+J96&lt;F139,J96,D140)</f>
        <v>125017.59523809524</v>
      </c>
      <c r="F140" s="159">
        <f t="shared" si="38"/>
        <v>63891.578734843119</v>
      </c>
      <c r="G140" s="159">
        <f t="shared" si="31"/>
        <v>126400.37635389074</v>
      </c>
      <c r="H140" s="163">
        <f t="shared" si="32"/>
        <v>140371.63320560628</v>
      </c>
      <c r="I140" s="253">
        <f t="shared" si="33"/>
        <v>140371.63320560628</v>
      </c>
      <c r="J140" s="158">
        <f t="shared" si="34"/>
        <v>0</v>
      </c>
      <c r="K140" s="158"/>
      <c r="L140" s="334"/>
      <c r="M140" s="158">
        <f t="shared" si="35"/>
        <v>0</v>
      </c>
      <c r="N140" s="334"/>
      <c r="O140" s="158">
        <f t="shared" si="36"/>
        <v>0</v>
      </c>
      <c r="P140" s="158">
        <f t="shared" si="37"/>
        <v>0</v>
      </c>
      <c r="Q140" s="1"/>
    </row>
    <row r="141" spans="2:17">
      <c r="B141" s="9" t="str">
        <f t="shared" si="26"/>
        <v/>
      </c>
      <c r="C141" s="153">
        <f>IF(D93="","-",+C140+1)</f>
        <v>2052</v>
      </c>
      <c r="D141" s="154">
        <f>IF(F140+SUM(E$99:E140)=D$92,F140,D$92-SUM(E$99:E140))</f>
        <v>63891.578734843119</v>
      </c>
      <c r="E141" s="160">
        <f>IF(+J96&lt;F140,J96,D141)</f>
        <v>63891.578734843119</v>
      </c>
      <c r="F141" s="159">
        <f t="shared" si="38"/>
        <v>0</v>
      </c>
      <c r="G141" s="159">
        <f t="shared" si="31"/>
        <v>31945.789367421559</v>
      </c>
      <c r="H141" s="163">
        <f t="shared" si="32"/>
        <v>67772.080336169267</v>
      </c>
      <c r="I141" s="253">
        <f t="shared" si="33"/>
        <v>67772.080336169267</v>
      </c>
      <c r="J141" s="158">
        <f t="shared" si="34"/>
        <v>0</v>
      </c>
      <c r="K141" s="158"/>
      <c r="L141" s="334"/>
      <c r="M141" s="158">
        <f t="shared" si="35"/>
        <v>0</v>
      </c>
      <c r="N141" s="334"/>
      <c r="O141" s="158">
        <f t="shared" si="36"/>
        <v>0</v>
      </c>
      <c r="P141" s="158">
        <f t="shared" si="37"/>
        <v>0</v>
      </c>
      <c r="Q141" s="1"/>
    </row>
    <row r="142" spans="2:17">
      <c r="B142" s="9" t="str">
        <f t="shared" si="26"/>
        <v/>
      </c>
      <c r="C142" s="153">
        <f>IF(D93="","-",+C141+1)</f>
        <v>2053</v>
      </c>
      <c r="D142" s="154">
        <f>IF(F141+SUM(E$99:E141)=D$92,F141,D$92-SUM(E$99:E141))</f>
        <v>0</v>
      </c>
      <c r="E142" s="160">
        <f>IF(+J96&lt;F141,J96,D142)</f>
        <v>0</v>
      </c>
      <c r="F142" s="159">
        <f t="shared" si="38"/>
        <v>0</v>
      </c>
      <c r="G142" s="159">
        <f t="shared" si="31"/>
        <v>0</v>
      </c>
      <c r="H142" s="163">
        <f t="shared" si="32"/>
        <v>0</v>
      </c>
      <c r="I142" s="253">
        <f t="shared" si="33"/>
        <v>0</v>
      </c>
      <c r="J142" s="158">
        <f t="shared" si="34"/>
        <v>0</v>
      </c>
      <c r="K142" s="158"/>
      <c r="L142" s="334"/>
      <c r="M142" s="158">
        <f t="shared" si="35"/>
        <v>0</v>
      </c>
      <c r="N142" s="334"/>
      <c r="O142" s="158">
        <f t="shared" si="36"/>
        <v>0</v>
      </c>
      <c r="P142" s="158">
        <f t="shared" si="37"/>
        <v>0</v>
      </c>
      <c r="Q142" s="1"/>
    </row>
    <row r="143" spans="2:17">
      <c r="B143" s="9" t="str">
        <f t="shared" si="26"/>
        <v/>
      </c>
      <c r="C143" s="153">
        <f>IF(D93="","-",+C142+1)</f>
        <v>2054</v>
      </c>
      <c r="D143" s="154">
        <f>IF(F142+SUM(E$99:E142)=D$92,F142,D$92-SUM(E$99:E142))</f>
        <v>0</v>
      </c>
      <c r="E143" s="160">
        <f>IF(+J96&lt;F142,J96,D143)</f>
        <v>0</v>
      </c>
      <c r="F143" s="159">
        <f t="shared" si="38"/>
        <v>0</v>
      </c>
      <c r="G143" s="159">
        <f t="shared" si="31"/>
        <v>0</v>
      </c>
      <c r="H143" s="163">
        <f t="shared" si="32"/>
        <v>0</v>
      </c>
      <c r="I143" s="253">
        <f t="shared" si="33"/>
        <v>0</v>
      </c>
      <c r="J143" s="158">
        <f t="shared" si="34"/>
        <v>0</v>
      </c>
      <c r="K143" s="158"/>
      <c r="L143" s="334"/>
      <c r="M143" s="158">
        <f t="shared" si="35"/>
        <v>0</v>
      </c>
      <c r="N143" s="334"/>
      <c r="O143" s="158">
        <f t="shared" si="36"/>
        <v>0</v>
      </c>
      <c r="P143" s="158">
        <f t="shared" si="37"/>
        <v>0</v>
      </c>
      <c r="Q143" s="1"/>
    </row>
    <row r="144" spans="2:17">
      <c r="B144" s="9" t="str">
        <f t="shared" si="26"/>
        <v/>
      </c>
      <c r="C144" s="153">
        <f>IF(D93="","-",+C143+1)</f>
        <v>2055</v>
      </c>
      <c r="D144" s="154">
        <f>IF(F143+SUM(E$99:E143)=D$92,F143,D$92-SUM(E$99:E143))</f>
        <v>0</v>
      </c>
      <c r="E144" s="160">
        <f>IF(+J96&lt;F143,J96,D144)</f>
        <v>0</v>
      </c>
      <c r="F144" s="159">
        <f t="shared" si="38"/>
        <v>0</v>
      </c>
      <c r="G144" s="159">
        <f t="shared" si="31"/>
        <v>0</v>
      </c>
      <c r="H144" s="163">
        <f t="shared" si="32"/>
        <v>0</v>
      </c>
      <c r="I144" s="253">
        <f t="shared" si="33"/>
        <v>0</v>
      </c>
      <c r="J144" s="158">
        <f t="shared" si="34"/>
        <v>0</v>
      </c>
      <c r="K144" s="158"/>
      <c r="L144" s="334"/>
      <c r="M144" s="158">
        <f t="shared" si="35"/>
        <v>0</v>
      </c>
      <c r="N144" s="334"/>
      <c r="O144" s="158">
        <f t="shared" si="36"/>
        <v>0</v>
      </c>
      <c r="P144" s="158">
        <f t="shared" si="37"/>
        <v>0</v>
      </c>
      <c r="Q144" s="1"/>
    </row>
    <row r="145" spans="2:17">
      <c r="B145" s="9" t="str">
        <f t="shared" si="26"/>
        <v/>
      </c>
      <c r="C145" s="153">
        <f>IF(D93="","-",+C144+1)</f>
        <v>2056</v>
      </c>
      <c r="D145" s="154">
        <f>IF(F144+SUM(E$99:E144)=D$92,F144,D$92-SUM(E$99:E144))</f>
        <v>0</v>
      </c>
      <c r="E145" s="160">
        <f>IF(+J96&lt;F144,J96,D145)</f>
        <v>0</v>
      </c>
      <c r="F145" s="159">
        <f t="shared" si="38"/>
        <v>0</v>
      </c>
      <c r="G145" s="159">
        <f t="shared" si="31"/>
        <v>0</v>
      </c>
      <c r="H145" s="163">
        <f t="shared" si="32"/>
        <v>0</v>
      </c>
      <c r="I145" s="253">
        <f t="shared" si="33"/>
        <v>0</v>
      </c>
      <c r="J145" s="158">
        <f t="shared" si="34"/>
        <v>0</v>
      </c>
      <c r="K145" s="158"/>
      <c r="L145" s="334"/>
      <c r="M145" s="158">
        <f t="shared" si="35"/>
        <v>0</v>
      </c>
      <c r="N145" s="334"/>
      <c r="O145" s="158">
        <f t="shared" si="36"/>
        <v>0</v>
      </c>
      <c r="P145" s="158">
        <f t="shared" si="37"/>
        <v>0</v>
      </c>
      <c r="Q145" s="1"/>
    </row>
    <row r="146" spans="2:17">
      <c r="B146" s="9" t="str">
        <f t="shared" si="26"/>
        <v/>
      </c>
      <c r="C146" s="153">
        <f>IF(D93="","-",+C145+1)</f>
        <v>2057</v>
      </c>
      <c r="D146" s="154">
        <f>IF(F145+SUM(E$99:E145)=D$92,F145,D$92-SUM(E$99:E145))</f>
        <v>0</v>
      </c>
      <c r="E146" s="160">
        <f>IF(+J96&lt;F145,J96,D146)</f>
        <v>0</v>
      </c>
      <c r="F146" s="159">
        <f t="shared" si="38"/>
        <v>0</v>
      </c>
      <c r="G146" s="159">
        <f t="shared" si="31"/>
        <v>0</v>
      </c>
      <c r="H146" s="163">
        <f t="shared" si="32"/>
        <v>0</v>
      </c>
      <c r="I146" s="253">
        <f t="shared" si="33"/>
        <v>0</v>
      </c>
      <c r="J146" s="158">
        <f t="shared" si="34"/>
        <v>0</v>
      </c>
      <c r="K146" s="158"/>
      <c r="L146" s="334"/>
      <c r="M146" s="158">
        <f t="shared" si="35"/>
        <v>0</v>
      </c>
      <c r="N146" s="334"/>
      <c r="O146" s="158">
        <f t="shared" si="36"/>
        <v>0</v>
      </c>
      <c r="P146" s="158">
        <f t="shared" si="37"/>
        <v>0</v>
      </c>
      <c r="Q146" s="1"/>
    </row>
    <row r="147" spans="2:17">
      <c r="B147" s="9" t="str">
        <f t="shared" si="26"/>
        <v/>
      </c>
      <c r="C147" s="153">
        <f>IF(D93="","-",+C146+1)</f>
        <v>2058</v>
      </c>
      <c r="D147" s="154">
        <f>IF(F146+SUM(E$99:E146)=D$92,F146,D$92-SUM(E$99:E146))</f>
        <v>0</v>
      </c>
      <c r="E147" s="160">
        <f>IF(+J96&lt;F146,J96,D147)</f>
        <v>0</v>
      </c>
      <c r="F147" s="159">
        <f t="shared" si="38"/>
        <v>0</v>
      </c>
      <c r="G147" s="159">
        <f t="shared" si="31"/>
        <v>0</v>
      </c>
      <c r="H147" s="163">
        <f t="shared" si="32"/>
        <v>0</v>
      </c>
      <c r="I147" s="253">
        <f t="shared" si="33"/>
        <v>0</v>
      </c>
      <c r="J147" s="158">
        <f t="shared" si="34"/>
        <v>0</v>
      </c>
      <c r="K147" s="158"/>
      <c r="L147" s="334"/>
      <c r="M147" s="158">
        <f t="shared" si="35"/>
        <v>0</v>
      </c>
      <c r="N147" s="334"/>
      <c r="O147" s="158">
        <f t="shared" si="36"/>
        <v>0</v>
      </c>
      <c r="P147" s="158">
        <f t="shared" si="37"/>
        <v>0</v>
      </c>
      <c r="Q147" s="1"/>
    </row>
    <row r="148" spans="2:17">
      <c r="B148" s="9" t="str">
        <f t="shared" si="26"/>
        <v/>
      </c>
      <c r="C148" s="153">
        <f>IF(D93="","-",+C147+1)</f>
        <v>2059</v>
      </c>
      <c r="D148" s="154">
        <f>IF(F147+SUM(E$99:E147)=D$92,F147,D$92-SUM(E$99:E147))</f>
        <v>0</v>
      </c>
      <c r="E148" s="160">
        <f>IF(+J96&lt;F147,J96,D148)</f>
        <v>0</v>
      </c>
      <c r="F148" s="159">
        <f t="shared" si="38"/>
        <v>0</v>
      </c>
      <c r="G148" s="159">
        <f t="shared" si="31"/>
        <v>0</v>
      </c>
      <c r="H148" s="163">
        <f t="shared" si="32"/>
        <v>0</v>
      </c>
      <c r="I148" s="253">
        <f t="shared" si="33"/>
        <v>0</v>
      </c>
      <c r="J148" s="158">
        <f t="shared" si="34"/>
        <v>0</v>
      </c>
      <c r="K148" s="158"/>
      <c r="L148" s="334"/>
      <c r="M148" s="158">
        <f t="shared" si="35"/>
        <v>0</v>
      </c>
      <c r="N148" s="334"/>
      <c r="O148" s="158">
        <f t="shared" si="36"/>
        <v>0</v>
      </c>
      <c r="P148" s="158">
        <f t="shared" si="37"/>
        <v>0</v>
      </c>
      <c r="Q148" s="1"/>
    </row>
    <row r="149" spans="2:17">
      <c r="B149" s="9" t="str">
        <f t="shared" si="26"/>
        <v/>
      </c>
      <c r="C149" s="153">
        <f>IF(D93="","-",+C148+1)</f>
        <v>2060</v>
      </c>
      <c r="D149" s="154">
        <f>IF(F148+SUM(E$99:E148)=D$92,F148,D$92-SUM(E$99:E148))</f>
        <v>0</v>
      </c>
      <c r="E149" s="160">
        <f>IF(+J96&lt;F148,J96,D149)</f>
        <v>0</v>
      </c>
      <c r="F149" s="159">
        <f t="shared" si="38"/>
        <v>0</v>
      </c>
      <c r="G149" s="159">
        <f t="shared" si="31"/>
        <v>0</v>
      </c>
      <c r="H149" s="163">
        <f t="shared" si="32"/>
        <v>0</v>
      </c>
      <c r="I149" s="253">
        <f t="shared" si="33"/>
        <v>0</v>
      </c>
      <c r="J149" s="158">
        <f t="shared" si="34"/>
        <v>0</v>
      </c>
      <c r="K149" s="158"/>
      <c r="L149" s="334"/>
      <c r="M149" s="158">
        <f t="shared" si="35"/>
        <v>0</v>
      </c>
      <c r="N149" s="334"/>
      <c r="O149" s="158">
        <f t="shared" si="36"/>
        <v>0</v>
      </c>
      <c r="P149" s="158">
        <f t="shared" si="37"/>
        <v>0</v>
      </c>
      <c r="Q149" s="1"/>
    </row>
    <row r="150" spans="2:17">
      <c r="B150" s="9" t="str">
        <f t="shared" si="26"/>
        <v/>
      </c>
      <c r="C150" s="153">
        <f>IF(D93="","-",+C149+1)</f>
        <v>2061</v>
      </c>
      <c r="D150" s="154">
        <f>IF(F149+SUM(E$99:E149)=D$92,F149,D$92-SUM(E$99:E149))</f>
        <v>0</v>
      </c>
      <c r="E150" s="160">
        <f>IF(+J96&lt;F149,J96,D150)</f>
        <v>0</v>
      </c>
      <c r="F150" s="159">
        <f t="shared" si="38"/>
        <v>0</v>
      </c>
      <c r="G150" s="159">
        <f t="shared" si="31"/>
        <v>0</v>
      </c>
      <c r="H150" s="163">
        <f t="shared" si="32"/>
        <v>0</v>
      </c>
      <c r="I150" s="253">
        <f t="shared" si="33"/>
        <v>0</v>
      </c>
      <c r="J150" s="158">
        <f t="shared" si="34"/>
        <v>0</v>
      </c>
      <c r="K150" s="158"/>
      <c r="L150" s="334"/>
      <c r="M150" s="158">
        <f t="shared" si="35"/>
        <v>0</v>
      </c>
      <c r="N150" s="334"/>
      <c r="O150" s="158">
        <f t="shared" si="36"/>
        <v>0</v>
      </c>
      <c r="P150" s="158">
        <f t="shared" si="37"/>
        <v>0</v>
      </c>
      <c r="Q150" s="1"/>
    </row>
    <row r="151" spans="2:17">
      <c r="B151" s="9" t="str">
        <f t="shared" si="26"/>
        <v/>
      </c>
      <c r="C151" s="153">
        <f>IF(D93="","-",+C150+1)</f>
        <v>2062</v>
      </c>
      <c r="D151" s="154">
        <f>IF(F150+SUM(E$99:E150)=D$92,F150,D$92-SUM(E$99:E150))</f>
        <v>0</v>
      </c>
      <c r="E151" s="160">
        <f>IF(+J96&lt;F150,J96,D151)</f>
        <v>0</v>
      </c>
      <c r="F151" s="159">
        <f t="shared" si="38"/>
        <v>0</v>
      </c>
      <c r="G151" s="159">
        <f t="shared" si="31"/>
        <v>0</v>
      </c>
      <c r="H151" s="163">
        <f t="shared" si="32"/>
        <v>0</v>
      </c>
      <c r="I151" s="253">
        <f t="shared" si="33"/>
        <v>0</v>
      </c>
      <c r="J151" s="158">
        <f t="shared" si="34"/>
        <v>0</v>
      </c>
      <c r="K151" s="158"/>
      <c r="L151" s="334"/>
      <c r="M151" s="158">
        <f t="shared" si="35"/>
        <v>0</v>
      </c>
      <c r="N151" s="334"/>
      <c r="O151" s="158">
        <f t="shared" si="36"/>
        <v>0</v>
      </c>
      <c r="P151" s="158">
        <f t="shared" si="37"/>
        <v>0</v>
      </c>
      <c r="Q151" s="1"/>
    </row>
    <row r="152" spans="2:17">
      <c r="B152" s="9" t="str">
        <f t="shared" si="26"/>
        <v/>
      </c>
      <c r="C152" s="153">
        <f>IF(D93="","-",+C151+1)</f>
        <v>2063</v>
      </c>
      <c r="D152" s="154">
        <f>IF(F151+SUM(E$99:E151)=D$92,F151,D$92-SUM(E$99:E151))</f>
        <v>0</v>
      </c>
      <c r="E152" s="160">
        <f>IF(+J96&lt;F151,J96,D152)</f>
        <v>0</v>
      </c>
      <c r="F152" s="159">
        <f t="shared" si="38"/>
        <v>0</v>
      </c>
      <c r="G152" s="159">
        <f t="shared" si="31"/>
        <v>0</v>
      </c>
      <c r="H152" s="163">
        <f t="shared" si="32"/>
        <v>0</v>
      </c>
      <c r="I152" s="253">
        <f t="shared" si="33"/>
        <v>0</v>
      </c>
      <c r="J152" s="158">
        <f t="shared" si="34"/>
        <v>0</v>
      </c>
      <c r="K152" s="158"/>
      <c r="L152" s="334"/>
      <c r="M152" s="158">
        <f t="shared" si="35"/>
        <v>0</v>
      </c>
      <c r="N152" s="334"/>
      <c r="O152" s="158">
        <f t="shared" si="36"/>
        <v>0</v>
      </c>
      <c r="P152" s="158">
        <f t="shared" si="37"/>
        <v>0</v>
      </c>
      <c r="Q152" s="1"/>
    </row>
    <row r="153" spans="2:17">
      <c r="B153" s="9" t="str">
        <f t="shared" si="26"/>
        <v/>
      </c>
      <c r="C153" s="153">
        <f>IF(D93="","-",+C152+1)</f>
        <v>2064</v>
      </c>
      <c r="D153" s="154">
        <f>IF(F152+SUM(E$99:E152)=D$92,F152,D$92-SUM(E$99:E152))</f>
        <v>0</v>
      </c>
      <c r="E153" s="160">
        <f>IF(+J96&lt;F152,J96,D153)</f>
        <v>0</v>
      </c>
      <c r="F153" s="159">
        <f t="shared" si="38"/>
        <v>0</v>
      </c>
      <c r="G153" s="159">
        <f t="shared" si="31"/>
        <v>0</v>
      </c>
      <c r="H153" s="163">
        <f t="shared" si="32"/>
        <v>0</v>
      </c>
      <c r="I153" s="253">
        <f t="shared" si="33"/>
        <v>0</v>
      </c>
      <c r="J153" s="158">
        <f t="shared" si="34"/>
        <v>0</v>
      </c>
      <c r="K153" s="158"/>
      <c r="L153" s="334"/>
      <c r="M153" s="158">
        <f t="shared" si="35"/>
        <v>0</v>
      </c>
      <c r="N153" s="334"/>
      <c r="O153" s="158">
        <f t="shared" si="36"/>
        <v>0</v>
      </c>
      <c r="P153" s="158">
        <f t="shared" si="37"/>
        <v>0</v>
      </c>
      <c r="Q153" s="1"/>
    </row>
    <row r="154" spans="2:17" ht="13.5" thickBot="1">
      <c r="B154" s="9" t="str">
        <f t="shared" si="26"/>
        <v/>
      </c>
      <c r="C154" s="164">
        <f>IF(D93="","-",+C153+1)</f>
        <v>2065</v>
      </c>
      <c r="D154" s="215">
        <f>IF(F153+SUM(E$99:E153)=D$92,F153,D$92-SUM(E$99:E153))</f>
        <v>0</v>
      </c>
      <c r="E154" s="166">
        <f>IF(+J96&lt;F153,J96,D154)</f>
        <v>0</v>
      </c>
      <c r="F154" s="165">
        <f t="shared" si="38"/>
        <v>0</v>
      </c>
      <c r="G154" s="165">
        <f t="shared" si="31"/>
        <v>0</v>
      </c>
      <c r="H154" s="167">
        <f t="shared" si="32"/>
        <v>0</v>
      </c>
      <c r="I154" s="254">
        <f t="shared" si="33"/>
        <v>0</v>
      </c>
      <c r="J154" s="169">
        <f t="shared" si="34"/>
        <v>0</v>
      </c>
      <c r="K154" s="158"/>
      <c r="L154" s="335"/>
      <c r="M154" s="169">
        <f t="shared" si="35"/>
        <v>0</v>
      </c>
      <c r="N154" s="335"/>
      <c r="O154" s="169">
        <f t="shared" si="36"/>
        <v>0</v>
      </c>
      <c r="P154" s="169">
        <f t="shared" si="37"/>
        <v>0</v>
      </c>
      <c r="Q154" s="1"/>
    </row>
    <row r="155" spans="2:17">
      <c r="C155" s="154" t="s">
        <v>73</v>
      </c>
      <c r="D155" s="111"/>
      <c r="E155" s="111">
        <f>SUM(E99:E154)</f>
        <v>5250739</v>
      </c>
      <c r="F155" s="111"/>
      <c r="G155" s="111"/>
      <c r="H155" s="111">
        <f>SUM(H99:H154)</f>
        <v>19247689.75329065</v>
      </c>
      <c r="I155" s="111">
        <f>SUM(I99:I154)</f>
        <v>19247689.75329065</v>
      </c>
      <c r="J155" s="111">
        <f>SUM(J99:J154)</f>
        <v>0</v>
      </c>
      <c r="K155" s="111"/>
      <c r="L155" s="111"/>
      <c r="M155" s="111"/>
      <c r="N155" s="111"/>
      <c r="O155" s="111"/>
      <c r="P155" s="1"/>
      <c r="Q155" s="1"/>
    </row>
    <row r="156" spans="2:17">
      <c r="D156" s="2"/>
      <c r="E156" s="1"/>
      <c r="F156" s="1"/>
      <c r="G156" s="1"/>
      <c r="H156" s="1"/>
      <c r="I156" s="3"/>
      <c r="J156" s="3"/>
      <c r="K156" s="111"/>
      <c r="L156" s="3"/>
      <c r="M156" s="3"/>
      <c r="N156" s="3"/>
      <c r="O156" s="3"/>
      <c r="P156" s="1"/>
      <c r="Q156" s="1"/>
    </row>
    <row r="157" spans="2:17">
      <c r="C157" s="216" t="s">
        <v>87</v>
      </c>
      <c r="D157" s="2"/>
      <c r="E157" s="1"/>
      <c r="F157" s="1"/>
      <c r="G157" s="1"/>
      <c r="H157" s="1"/>
      <c r="I157" s="3"/>
      <c r="J157" s="3"/>
      <c r="K157" s="111"/>
      <c r="L157" s="3"/>
      <c r="M157" s="3"/>
      <c r="N157" s="3"/>
      <c r="O157" s="3"/>
      <c r="P157" s="1"/>
      <c r="Q157" s="1"/>
    </row>
    <row r="158" spans="2:17">
      <c r="D158" s="2"/>
      <c r="E158" s="1"/>
      <c r="F158" s="1"/>
      <c r="G158" s="1"/>
      <c r="H158" s="1"/>
      <c r="I158" s="3"/>
      <c r="J158" s="3"/>
      <c r="K158" s="111"/>
      <c r="L158" s="3"/>
      <c r="M158" s="3"/>
      <c r="N158" s="3"/>
      <c r="O158" s="3"/>
      <c r="P158" s="1"/>
      <c r="Q158" s="1"/>
    </row>
    <row r="159" spans="2:17">
      <c r="C159" s="170" t="s">
        <v>92</v>
      </c>
      <c r="D159" s="154"/>
      <c r="E159" s="154"/>
      <c r="F159" s="154"/>
      <c r="G159" s="154"/>
      <c r="H159" s="111"/>
      <c r="I159" s="111"/>
      <c r="J159" s="171"/>
      <c r="K159" s="171"/>
      <c r="L159" s="171"/>
      <c r="M159" s="171"/>
      <c r="N159" s="171"/>
      <c r="O159" s="171"/>
      <c r="P159" s="1"/>
      <c r="Q159" s="1"/>
    </row>
    <row r="160" spans="2:17">
      <c r="C160" s="217" t="s">
        <v>74</v>
      </c>
      <c r="D160" s="154"/>
      <c r="E160" s="154"/>
      <c r="F160" s="154"/>
      <c r="G160" s="154"/>
      <c r="H160" s="111"/>
      <c r="I160" s="111"/>
      <c r="J160" s="171"/>
      <c r="K160" s="171"/>
      <c r="L160" s="171"/>
      <c r="M160" s="171"/>
      <c r="N160" s="171"/>
      <c r="O160" s="171"/>
      <c r="P160" s="1"/>
      <c r="Q160" s="1"/>
    </row>
    <row r="161" spans="3:17">
      <c r="C161" s="217" t="s">
        <v>75</v>
      </c>
      <c r="D161" s="154"/>
      <c r="E161" s="154"/>
      <c r="F161" s="154"/>
      <c r="G161" s="154"/>
      <c r="H161" s="111"/>
      <c r="I161" s="111"/>
      <c r="J161" s="171"/>
      <c r="K161" s="171"/>
      <c r="L161" s="171"/>
      <c r="M161" s="171"/>
      <c r="N161" s="171"/>
      <c r="O161" s="171"/>
      <c r="P161" s="1"/>
      <c r="Q161" s="1"/>
    </row>
    <row r="162" spans="3:17" ht="18">
      <c r="C162" s="217"/>
      <c r="D162" s="154"/>
      <c r="E162" s="154"/>
      <c r="F162" s="154"/>
      <c r="G162" s="154"/>
      <c r="H162" s="111"/>
      <c r="I162" s="111"/>
      <c r="J162" s="171"/>
      <c r="K162" s="171"/>
      <c r="L162" s="171"/>
      <c r="M162" s="171"/>
      <c r="N162" s="171"/>
      <c r="P162" s="237" t="s">
        <v>126</v>
      </c>
      <c r="Q162" s="1"/>
    </row>
  </sheetData>
  <phoneticPr fontId="0" type="noConversion"/>
  <conditionalFormatting sqref="C17:C72">
    <cfRule type="cellIs" dxfId="117" priority="1" stopIfTrue="1" operator="equal">
      <formula>$I$10</formula>
    </cfRule>
  </conditionalFormatting>
  <conditionalFormatting sqref="C99:C154">
    <cfRule type="cellIs" dxfId="116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6">
    <tabColor indexed="37"/>
  </sheetPr>
  <dimension ref="A1:Q162"/>
  <sheetViews>
    <sheetView view="pageBreakPreview" zoomScale="75" zoomScaleNormal="100" zoomScaleSheetLayoutView="75" workbookViewId="0">
      <selection activeCell="C19" sqref="C19"/>
    </sheetView>
  </sheetViews>
  <sheetFormatPr defaultRowHeight="12.75" customHeight="1"/>
  <cols>
    <col min="1" max="1" width="4.7109375" customWidth="1"/>
    <col min="2" max="2" width="6.7109375" customWidth="1"/>
    <col min="3" max="3" width="23.28515625" customWidth="1"/>
    <col min="4" max="8" width="17.7109375" customWidth="1"/>
    <col min="9" max="9" width="20.42578125" customWidth="1"/>
    <col min="10" max="10" width="16.42578125" customWidth="1"/>
    <col min="11" max="11" width="17.7109375" customWidth="1"/>
    <col min="12" max="12" width="16.140625" customWidth="1"/>
    <col min="13" max="13" width="17.7109375" customWidth="1"/>
    <col min="14" max="14" width="16.140625" customWidth="1"/>
    <col min="15" max="15" width="16.85546875" customWidth="1"/>
    <col min="16" max="16" width="24.42578125" customWidth="1"/>
    <col min="17" max="17" width="4.7109375" customWidth="1"/>
    <col min="23" max="23" width="9.140625" customWidth="1"/>
  </cols>
  <sheetData>
    <row r="1" spans="1:17" ht="20.25">
      <c r="A1" s="243" t="s">
        <v>128</v>
      </c>
      <c r="B1" s="1"/>
      <c r="C1" s="21"/>
      <c r="D1" s="2"/>
      <c r="E1" s="1"/>
      <c r="F1" s="99"/>
      <c r="G1" s="1"/>
      <c r="H1" s="3"/>
      <c r="J1" s="7"/>
      <c r="K1" s="109"/>
      <c r="L1" s="109"/>
      <c r="M1" s="109"/>
      <c r="P1" s="249" t="str">
        <f ca="1">"SWEPCO Project "&amp;RIGHT(MID(CELL("filename",$A$1),FIND("]",CELL("filename",$A$1))+1,256),2)&amp;" of "&amp;COUNT('S.001:S.xyz - blank'!$P$3)-1</f>
        <v>SWEPCO Project 25 of 73</v>
      </c>
      <c r="Q1" s="108"/>
    </row>
    <row r="2" spans="1:17" ht="18">
      <c r="B2" s="1"/>
      <c r="C2" s="1"/>
      <c r="D2" s="2"/>
      <c r="E2" s="1"/>
      <c r="F2" s="1"/>
      <c r="G2" s="1"/>
      <c r="H2" s="3"/>
      <c r="I2" s="1"/>
      <c r="J2" s="4"/>
      <c r="K2" s="1"/>
      <c r="L2" s="1"/>
      <c r="M2" s="1"/>
      <c r="N2" s="1"/>
      <c r="P2" s="237" t="s">
        <v>124</v>
      </c>
    </row>
    <row r="3" spans="1:17" ht="18.75">
      <c r="B3" s="5" t="s">
        <v>40</v>
      </c>
      <c r="C3" s="68" t="s">
        <v>41</v>
      </c>
      <c r="D3" s="2"/>
      <c r="E3" s="1"/>
      <c r="F3" s="1"/>
      <c r="G3" s="1"/>
      <c r="H3" s="3"/>
      <c r="I3" s="3"/>
      <c r="J3" s="111"/>
      <c r="K3" s="3"/>
      <c r="L3" s="3"/>
      <c r="M3" s="3"/>
      <c r="N3" s="3"/>
      <c r="O3" s="1" t="str">
        <f>RIGHT(N3,3)</f>
        <v/>
      </c>
      <c r="P3" s="239">
        <v>1</v>
      </c>
    </row>
    <row r="4" spans="1:17" ht="15.75" thickBot="1">
      <c r="C4" s="67"/>
      <c r="D4" s="2"/>
      <c r="E4" s="1"/>
      <c r="F4" s="1"/>
      <c r="G4" s="1"/>
      <c r="H4" s="3"/>
      <c r="I4" s="3"/>
      <c r="J4" s="111"/>
      <c r="K4" s="3"/>
      <c r="L4" s="3"/>
      <c r="M4" s="3"/>
      <c r="N4" s="3"/>
      <c r="O4" s="1"/>
      <c r="P4" s="1"/>
    </row>
    <row r="5" spans="1:17" ht="15">
      <c r="C5" s="112" t="s">
        <v>42</v>
      </c>
      <c r="D5" s="2"/>
      <c r="E5" s="1"/>
      <c r="F5" s="1"/>
      <c r="G5" s="113"/>
      <c r="H5" s="1" t="s">
        <v>43</v>
      </c>
      <c r="I5" s="1"/>
      <c r="J5" s="4"/>
      <c r="K5" s="268" t="s">
        <v>152</v>
      </c>
      <c r="L5" s="114"/>
      <c r="M5" s="115"/>
      <c r="N5" s="116">
        <f>VLOOKUP(I10,C17:I72,5)</f>
        <v>9117.8876942146289</v>
      </c>
      <c r="P5" s="1"/>
    </row>
    <row r="6" spans="1:17" ht="15.75">
      <c r="C6" s="8"/>
      <c r="D6" s="2"/>
      <c r="E6" s="1"/>
      <c r="F6" s="1"/>
      <c r="G6" s="1"/>
      <c r="H6" s="117"/>
      <c r="I6" s="117"/>
      <c r="J6" s="118"/>
      <c r="K6" s="269" t="s">
        <v>153</v>
      </c>
      <c r="L6" s="119"/>
      <c r="M6" s="4"/>
      <c r="N6" s="120">
        <f>VLOOKUP(I10,C17:I72,6)</f>
        <v>9117.8876942146289</v>
      </c>
      <c r="O6" s="1"/>
      <c r="P6" s="1"/>
    </row>
    <row r="7" spans="1:17" ht="13.5" thickBot="1">
      <c r="C7" s="121" t="s">
        <v>44</v>
      </c>
      <c r="D7" s="274" t="s">
        <v>255</v>
      </c>
      <c r="E7" s="1"/>
      <c r="F7" s="1"/>
      <c r="G7" s="170"/>
      <c r="H7" s="3"/>
      <c r="I7" s="3"/>
      <c r="J7" s="111"/>
      <c r="K7" s="122" t="s">
        <v>45</v>
      </c>
      <c r="L7" s="123"/>
      <c r="M7" s="123"/>
      <c r="N7" s="124">
        <f>+N6-N5</f>
        <v>0</v>
      </c>
      <c r="O7" s="1"/>
      <c r="P7" s="1"/>
    </row>
    <row r="8" spans="1:17" ht="13.5" thickBot="1">
      <c r="C8" s="125"/>
      <c r="D8" s="250" t="str">
        <f>IF(D10&lt;100000,"DOES NOT MEET SPP $100,000 MINIMUM INVESTMENT FOR REGIONAL BPU SHARING.","")</f>
        <v>DOES NOT MEET SPP $100,000 MINIMUM INVESTMENT FOR REGIONAL BPU SHARING.</v>
      </c>
      <c r="E8" s="126"/>
      <c r="F8" s="126"/>
      <c r="G8" s="126"/>
      <c r="H8" s="126"/>
      <c r="I8" s="126"/>
      <c r="J8" s="101"/>
      <c r="K8" s="126"/>
      <c r="L8" s="126"/>
      <c r="M8" s="126"/>
      <c r="N8" s="126"/>
      <c r="O8" s="101"/>
      <c r="P8" s="21"/>
    </row>
    <row r="9" spans="1:17" ht="13.5" thickBot="1">
      <c r="A9" s="103"/>
      <c r="C9" s="127" t="s">
        <v>46</v>
      </c>
      <c r="D9" s="225" t="s">
        <v>243</v>
      </c>
      <c r="E9" s="401" t="s">
        <v>416</v>
      </c>
      <c r="F9" s="128"/>
      <c r="G9" s="128"/>
      <c r="H9" s="128"/>
      <c r="I9" s="129"/>
      <c r="J9" s="130"/>
      <c r="O9" s="131"/>
      <c r="P9" s="4"/>
    </row>
    <row r="10" spans="1:17">
      <c r="C10" s="132" t="s">
        <v>47</v>
      </c>
      <c r="D10" s="133">
        <v>88842</v>
      </c>
      <c r="E10" s="61" t="s">
        <v>459</v>
      </c>
      <c r="F10" s="131"/>
      <c r="G10" s="134"/>
      <c r="H10" s="134"/>
      <c r="I10" s="135">
        <f>+SWE.WS.F.BPU.ATRR.Projected!K17</f>
        <v>2019</v>
      </c>
      <c r="J10" s="130"/>
      <c r="K10" s="111" t="s">
        <v>48</v>
      </c>
      <c r="O10" s="4"/>
      <c r="P10" s="4"/>
    </row>
    <row r="11" spans="1:17">
      <c r="C11" s="136" t="s">
        <v>49</v>
      </c>
      <c r="D11" s="137">
        <v>2010</v>
      </c>
      <c r="E11" s="136" t="s">
        <v>50</v>
      </c>
      <c r="F11" s="134"/>
      <c r="G11" s="7"/>
      <c r="H11" s="7"/>
      <c r="I11" s="138">
        <v>0</v>
      </c>
      <c r="J11" s="139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4"/>
      <c r="P11" s="4"/>
    </row>
    <row r="12" spans="1:17">
      <c r="C12" s="136" t="s">
        <v>51</v>
      </c>
      <c r="D12" s="133">
        <v>12</v>
      </c>
      <c r="E12" s="136" t="s">
        <v>52</v>
      </c>
      <c r="F12" s="134"/>
      <c r="G12" s="7"/>
      <c r="H12" s="7"/>
      <c r="I12" s="140">
        <f>SWE.WS.F.BPU.ATRR.Projected!$F$76</f>
        <v>9.9555672459071778E-2</v>
      </c>
      <c r="J12" s="141"/>
      <c r="K12" t="s">
        <v>53</v>
      </c>
      <c r="O12" s="4"/>
      <c r="P12" s="4"/>
    </row>
    <row r="13" spans="1:17">
      <c r="C13" s="136" t="s">
        <v>54</v>
      </c>
      <c r="D13" s="138">
        <f>+SWE.WS.F.BPU.ATRR.Projected!F$87</f>
        <v>43</v>
      </c>
      <c r="E13" s="136" t="s">
        <v>55</v>
      </c>
      <c r="F13" s="134"/>
      <c r="G13" s="7"/>
      <c r="H13" s="7"/>
      <c r="I13" s="140">
        <f>IF(G5="",I12,SWE.WS.F.BPU.ATRR.Projected!$F$75)</f>
        <v>9.9555672459071778E-2</v>
      </c>
      <c r="J13" s="141"/>
      <c r="K13" s="111" t="s">
        <v>56</v>
      </c>
      <c r="L13" s="58"/>
      <c r="M13" s="58"/>
      <c r="N13" s="58"/>
      <c r="O13" s="4"/>
      <c r="P13" s="4"/>
    </row>
    <row r="14" spans="1:17" ht="13.5" thickBot="1">
      <c r="C14" s="136" t="s">
        <v>57</v>
      </c>
      <c r="D14" s="137" t="s">
        <v>58</v>
      </c>
      <c r="E14" s="4" t="s">
        <v>59</v>
      </c>
      <c r="F14" s="134"/>
      <c r="G14" s="7"/>
      <c r="H14" s="7"/>
      <c r="I14" s="142">
        <f>IF(D10=0,0,D10/D13)</f>
        <v>2066.0930232558139</v>
      </c>
      <c r="J14" s="111"/>
      <c r="K14" s="111"/>
      <c r="L14" s="111"/>
      <c r="M14" s="111"/>
      <c r="N14" s="111"/>
      <c r="O14" s="4"/>
      <c r="P14" s="4"/>
    </row>
    <row r="15" spans="1:17" ht="38.25">
      <c r="C15" s="143" t="s">
        <v>47</v>
      </c>
      <c r="D15" s="144" t="s">
        <v>60</v>
      </c>
      <c r="E15" s="144" t="s">
        <v>61</v>
      </c>
      <c r="F15" s="144" t="s">
        <v>62</v>
      </c>
      <c r="G15" s="434" t="s">
        <v>378</v>
      </c>
      <c r="H15" s="435" t="s">
        <v>379</v>
      </c>
      <c r="I15" s="351" t="s">
        <v>249</v>
      </c>
      <c r="J15" s="145"/>
      <c r="K15" s="271" t="s">
        <v>219</v>
      </c>
      <c r="L15" s="146" t="s">
        <v>64</v>
      </c>
      <c r="M15" s="271" t="s">
        <v>219</v>
      </c>
      <c r="N15" s="146" t="s">
        <v>64</v>
      </c>
      <c r="O15" s="146" t="s">
        <v>65</v>
      </c>
      <c r="P15" s="4"/>
    </row>
    <row r="16" spans="1:17" ht="13.5" thickBot="1">
      <c r="C16" s="147" t="s">
        <v>66</v>
      </c>
      <c r="D16" s="147" t="s">
        <v>67</v>
      </c>
      <c r="E16" s="147" t="s">
        <v>68</v>
      </c>
      <c r="F16" s="147" t="s">
        <v>67</v>
      </c>
      <c r="G16" s="408" t="s">
        <v>69</v>
      </c>
      <c r="H16" s="148" t="s">
        <v>70</v>
      </c>
      <c r="I16" s="149" t="s">
        <v>89</v>
      </c>
      <c r="J16" s="150" t="s">
        <v>71</v>
      </c>
      <c r="K16" s="151" t="s">
        <v>72</v>
      </c>
      <c r="L16" s="151" t="s">
        <v>72</v>
      </c>
      <c r="M16" s="151" t="s">
        <v>90</v>
      </c>
      <c r="N16" s="152" t="s">
        <v>90</v>
      </c>
      <c r="O16" s="151" t="s">
        <v>90</v>
      </c>
      <c r="P16" s="4"/>
    </row>
    <row r="17" spans="2:16">
      <c r="C17" s="153">
        <f>IF(D11= "","-",D11)</f>
        <v>2010</v>
      </c>
      <c r="D17" s="357">
        <v>91500</v>
      </c>
      <c r="E17" s="358">
        <v>0</v>
      </c>
      <c r="F17" s="357">
        <v>91500</v>
      </c>
      <c r="G17" s="358">
        <v>13154.497429496008</v>
      </c>
      <c r="H17" s="359">
        <v>13154.497429496008</v>
      </c>
      <c r="I17" s="368">
        <v>0</v>
      </c>
      <c r="J17" s="156"/>
      <c r="K17" s="256">
        <f t="shared" ref="K17:K22" si="0">G17</f>
        <v>13154.497429496008</v>
      </c>
      <c r="L17" s="172">
        <f t="shared" ref="L17:L48" si="1">IF(K17&lt;&gt;0,+G17-K17,0)</f>
        <v>0</v>
      </c>
      <c r="M17" s="256">
        <f t="shared" ref="M17:M22" si="2">H17</f>
        <v>13154.497429496008</v>
      </c>
      <c r="N17" s="157">
        <f t="shared" ref="N17:N48" si="3">IF(M17&lt;&gt;0,+H17-M17,0)</f>
        <v>0</v>
      </c>
      <c r="O17" s="158">
        <f t="shared" ref="O17:O48" si="4">+N17-L17</f>
        <v>0</v>
      </c>
      <c r="P17" s="4"/>
    </row>
    <row r="18" spans="2:16">
      <c r="B18" s="9" t="str">
        <f>IF(D18=F17,"","IU")</f>
        <v>IU</v>
      </c>
      <c r="C18" s="153">
        <f>IF(D11="","-",+C17+1)</f>
        <v>2011</v>
      </c>
      <c r="D18" s="361">
        <v>88842</v>
      </c>
      <c r="E18" s="360">
        <v>2166.8780487804879</v>
      </c>
      <c r="F18" s="361">
        <v>86675.121951219509</v>
      </c>
      <c r="G18" s="360">
        <v>15704.854678854768</v>
      </c>
      <c r="H18" s="359">
        <v>15704.854678854768</v>
      </c>
      <c r="I18" s="368">
        <v>0</v>
      </c>
      <c r="J18" s="156"/>
      <c r="K18" s="258">
        <f t="shared" si="0"/>
        <v>15704.854678854768</v>
      </c>
      <c r="L18" s="257">
        <f t="shared" si="1"/>
        <v>0</v>
      </c>
      <c r="M18" s="258">
        <f t="shared" si="2"/>
        <v>15704.854678854768</v>
      </c>
      <c r="N18" s="158">
        <f t="shared" si="3"/>
        <v>0</v>
      </c>
      <c r="O18" s="158">
        <f t="shared" si="4"/>
        <v>0</v>
      </c>
      <c r="P18" s="4"/>
    </row>
    <row r="19" spans="2:16">
      <c r="B19" s="9" t="str">
        <f>IF(D19=F18,"","IU")</f>
        <v/>
      </c>
      <c r="C19" s="153">
        <f>IF(D11="","-",+C18+1)</f>
        <v>2012</v>
      </c>
      <c r="D19" s="396">
        <v>86675.121951219509</v>
      </c>
      <c r="E19" s="397">
        <v>2115.2857142857142</v>
      </c>
      <c r="F19" s="396">
        <v>84559.836236933799</v>
      </c>
      <c r="G19" s="397">
        <v>14691.036403517382</v>
      </c>
      <c r="H19" s="395">
        <v>14691.036403517382</v>
      </c>
      <c r="I19" s="368">
        <v>0</v>
      </c>
      <c r="J19" s="156"/>
      <c r="K19" s="258">
        <f t="shared" si="0"/>
        <v>14691.036403517382</v>
      </c>
      <c r="L19" s="257">
        <f t="shared" si="1"/>
        <v>0</v>
      </c>
      <c r="M19" s="258">
        <f t="shared" si="2"/>
        <v>14691.036403517382</v>
      </c>
      <c r="N19" s="158">
        <f t="shared" si="3"/>
        <v>0</v>
      </c>
      <c r="O19" s="158">
        <f t="shared" si="4"/>
        <v>0</v>
      </c>
      <c r="P19" s="4"/>
    </row>
    <row r="20" spans="2:16">
      <c r="B20" s="9" t="str">
        <f t="shared" ref="B20:B72" si="5">IF(D20=F19,"","IU")</f>
        <v/>
      </c>
      <c r="C20" s="153">
        <f>IF(D11="","-",+C19+1)</f>
        <v>2013</v>
      </c>
      <c r="D20" s="396">
        <v>84559.836236933799</v>
      </c>
      <c r="E20" s="397">
        <v>2115.2857142857142</v>
      </c>
      <c r="F20" s="396">
        <v>82444.550522648089</v>
      </c>
      <c r="G20" s="397">
        <v>13656.457775002271</v>
      </c>
      <c r="H20" s="395">
        <v>13656.457775002271</v>
      </c>
      <c r="I20" s="398">
        <v>0</v>
      </c>
      <c r="J20" s="156"/>
      <c r="K20" s="258">
        <f t="shared" si="0"/>
        <v>13656.457775002271</v>
      </c>
      <c r="L20" s="257">
        <f t="shared" ref="L20:L25" si="6">IF(K20&lt;&gt;0,+G20-K20,0)</f>
        <v>0</v>
      </c>
      <c r="M20" s="258">
        <f t="shared" si="2"/>
        <v>13656.457775002271</v>
      </c>
      <c r="N20" s="158">
        <f t="shared" ref="N20:N25" si="7">IF(M20&lt;&gt;0,+H20-M20,0)</f>
        <v>0</v>
      </c>
      <c r="O20" s="158">
        <f t="shared" ref="O20:O25" si="8">+N20-L20</f>
        <v>0</v>
      </c>
      <c r="P20" s="4"/>
    </row>
    <row r="21" spans="2:16">
      <c r="B21" s="9" t="str">
        <f t="shared" si="5"/>
        <v/>
      </c>
      <c r="C21" s="153">
        <f>IF(D12="","-",+C20+1)</f>
        <v>2014</v>
      </c>
      <c r="D21" s="396">
        <v>82444.550522648089</v>
      </c>
      <c r="E21" s="397">
        <v>2115.2857142857142</v>
      </c>
      <c r="F21" s="396">
        <v>80329.264808362379</v>
      </c>
      <c r="G21" s="397">
        <v>12952.547656930288</v>
      </c>
      <c r="H21" s="395">
        <v>12952.547656930288</v>
      </c>
      <c r="I21" s="398">
        <v>0</v>
      </c>
      <c r="J21" s="156"/>
      <c r="K21" s="258">
        <f t="shared" si="0"/>
        <v>12952.547656930288</v>
      </c>
      <c r="L21" s="257">
        <f t="shared" si="6"/>
        <v>0</v>
      </c>
      <c r="M21" s="258">
        <f t="shared" si="2"/>
        <v>12952.547656930288</v>
      </c>
      <c r="N21" s="158">
        <f t="shared" si="7"/>
        <v>0</v>
      </c>
      <c r="O21" s="158">
        <f t="shared" si="8"/>
        <v>0</v>
      </c>
      <c r="P21" s="4"/>
    </row>
    <row r="22" spans="2:16">
      <c r="B22" s="9" t="str">
        <f t="shared" si="5"/>
        <v/>
      </c>
      <c r="C22" s="153">
        <f>IF(D11="","-",+C21+1)</f>
        <v>2015</v>
      </c>
      <c r="D22" s="396">
        <v>80329.264808362379</v>
      </c>
      <c r="E22" s="397">
        <v>2115.2857142857142</v>
      </c>
      <c r="F22" s="396">
        <v>78213.979094076669</v>
      </c>
      <c r="G22" s="397">
        <v>12416.442264342599</v>
      </c>
      <c r="H22" s="395">
        <v>12416.442264342599</v>
      </c>
      <c r="I22" s="156">
        <v>0</v>
      </c>
      <c r="J22" s="156"/>
      <c r="K22" s="258">
        <f t="shared" si="0"/>
        <v>12416.442264342599</v>
      </c>
      <c r="L22" s="257">
        <f t="shared" si="6"/>
        <v>0</v>
      </c>
      <c r="M22" s="258">
        <f t="shared" si="2"/>
        <v>12416.442264342599</v>
      </c>
      <c r="N22" s="158">
        <f t="shared" si="7"/>
        <v>0</v>
      </c>
      <c r="O22" s="158">
        <f t="shared" si="8"/>
        <v>0</v>
      </c>
      <c r="P22" s="4"/>
    </row>
    <row r="23" spans="2:16">
      <c r="B23" s="9" t="str">
        <f t="shared" si="5"/>
        <v/>
      </c>
      <c r="C23" s="153">
        <f>IF(D11="","-",+C22+1)</f>
        <v>2016</v>
      </c>
      <c r="D23" s="396">
        <v>78213.979094076669</v>
      </c>
      <c r="E23" s="397">
        <v>2115.2857142857142</v>
      </c>
      <c r="F23" s="396">
        <v>76098.693379790959</v>
      </c>
      <c r="G23" s="397">
        <v>12014.201848101253</v>
      </c>
      <c r="H23" s="395">
        <v>12014.201848101253</v>
      </c>
      <c r="I23" s="156">
        <f t="shared" ref="I23:I48" si="9">H23-G23</f>
        <v>0</v>
      </c>
      <c r="J23" s="156"/>
      <c r="K23" s="258">
        <f>G23</f>
        <v>12014.201848101253</v>
      </c>
      <c r="L23" s="257">
        <f t="shared" si="6"/>
        <v>0</v>
      </c>
      <c r="M23" s="258">
        <f>H23</f>
        <v>12014.201848101253</v>
      </c>
      <c r="N23" s="158">
        <f t="shared" si="7"/>
        <v>0</v>
      </c>
      <c r="O23" s="158">
        <f t="shared" si="8"/>
        <v>0</v>
      </c>
      <c r="P23" s="4"/>
    </row>
    <row r="24" spans="2:16">
      <c r="B24" s="9" t="str">
        <f t="shared" si="5"/>
        <v/>
      </c>
      <c r="C24" s="153">
        <f>IF(D11="","-",+C23+1)</f>
        <v>2017</v>
      </c>
      <c r="D24" s="396">
        <v>76098.693379790959</v>
      </c>
      <c r="E24" s="397">
        <v>2066.0930232558139</v>
      </c>
      <c r="F24" s="396">
        <v>74032.600356535142</v>
      </c>
      <c r="G24" s="397">
        <v>11366.166201307635</v>
      </c>
      <c r="H24" s="395">
        <v>11366.166201307635</v>
      </c>
      <c r="I24" s="156">
        <v>0</v>
      </c>
      <c r="J24" s="156"/>
      <c r="K24" s="258">
        <f>G24</f>
        <v>11366.166201307635</v>
      </c>
      <c r="L24" s="257">
        <f t="shared" si="6"/>
        <v>0</v>
      </c>
      <c r="M24" s="258">
        <f>H24</f>
        <v>11366.166201307635</v>
      </c>
      <c r="N24" s="158">
        <f t="shared" si="7"/>
        <v>0</v>
      </c>
      <c r="O24" s="158">
        <f t="shared" si="8"/>
        <v>0</v>
      </c>
      <c r="P24" s="4"/>
    </row>
    <row r="25" spans="2:16">
      <c r="B25" s="9" t="str">
        <f t="shared" si="5"/>
        <v/>
      </c>
      <c r="C25" s="153">
        <f>IF(D11="","-",+C24+1)</f>
        <v>2018</v>
      </c>
      <c r="D25" s="396">
        <v>74032.600356535142</v>
      </c>
      <c r="E25" s="397">
        <v>2166.8780487804879</v>
      </c>
      <c r="F25" s="396">
        <v>71865.722307754651</v>
      </c>
      <c r="G25" s="397">
        <v>10328.737337412185</v>
      </c>
      <c r="H25" s="395">
        <v>10328.737337412185</v>
      </c>
      <c r="I25" s="156">
        <f t="shared" si="9"/>
        <v>0</v>
      </c>
      <c r="J25" s="156"/>
      <c r="K25" s="258">
        <f>G25</f>
        <v>10328.737337412185</v>
      </c>
      <c r="L25" s="257">
        <f t="shared" si="6"/>
        <v>0</v>
      </c>
      <c r="M25" s="258">
        <f>H25</f>
        <v>10328.737337412185</v>
      </c>
      <c r="N25" s="158">
        <f t="shared" si="7"/>
        <v>0</v>
      </c>
      <c r="O25" s="158">
        <f t="shared" si="8"/>
        <v>0</v>
      </c>
      <c r="P25" s="4"/>
    </row>
    <row r="26" spans="2:16">
      <c r="B26" s="9" t="str">
        <f t="shared" si="5"/>
        <v/>
      </c>
      <c r="C26" s="153">
        <f>IF(D11="","-",+C25+1)</f>
        <v>2019</v>
      </c>
      <c r="D26" s="159">
        <f>IF(F25+SUM(E$17:E25)=D$10,F25,D$10-SUM(E$17:E25))</f>
        <v>71865.722307754651</v>
      </c>
      <c r="E26" s="160">
        <f>IF(+I14&lt;F25,I14,D26)</f>
        <v>2066.0930232558139</v>
      </c>
      <c r="F26" s="159">
        <f t="shared" ref="F26:F48" si="10">+D26-E26</f>
        <v>69799.629284498835</v>
      </c>
      <c r="G26" s="161">
        <f t="shared" ref="G26:G55" si="11">+I$12*((D26+F26)/2)+E26</f>
        <v>9117.8876942146289</v>
      </c>
      <c r="H26" s="142">
        <f t="shared" ref="H26:H55" si="12">+I$13*((D26+F26)/2)+E26</f>
        <v>9117.8876942146289</v>
      </c>
      <c r="I26" s="156">
        <f t="shared" si="9"/>
        <v>0</v>
      </c>
      <c r="J26" s="156"/>
      <c r="K26" s="334"/>
      <c r="L26" s="158">
        <f t="shared" si="1"/>
        <v>0</v>
      </c>
      <c r="M26" s="334"/>
      <c r="N26" s="158">
        <f t="shared" si="3"/>
        <v>0</v>
      </c>
      <c r="O26" s="158">
        <f t="shared" si="4"/>
        <v>0</v>
      </c>
      <c r="P26" s="4"/>
    </row>
    <row r="27" spans="2:16">
      <c r="B27" s="9" t="str">
        <f t="shared" si="5"/>
        <v/>
      </c>
      <c r="C27" s="153">
        <f>IF(D11="","-",+C26+1)</f>
        <v>2020</v>
      </c>
      <c r="D27" s="159">
        <f>IF(F26+SUM(E$17:E26)=D$10,F26,D$10-SUM(E$17:E26))</f>
        <v>69799.629284498835</v>
      </c>
      <c r="E27" s="160">
        <f>IF(+I14&lt;F26,I14,D27)</f>
        <v>2066.0930232558139</v>
      </c>
      <c r="F27" s="159">
        <f t="shared" si="10"/>
        <v>67733.536261243018</v>
      </c>
      <c r="G27" s="161">
        <f t="shared" si="11"/>
        <v>8912.1964139213997</v>
      </c>
      <c r="H27" s="142">
        <f t="shared" si="12"/>
        <v>8912.1964139213997</v>
      </c>
      <c r="I27" s="156">
        <f t="shared" si="9"/>
        <v>0</v>
      </c>
      <c r="J27" s="156"/>
      <c r="K27" s="334"/>
      <c r="L27" s="158">
        <f t="shared" si="1"/>
        <v>0</v>
      </c>
      <c r="M27" s="334"/>
      <c r="N27" s="158">
        <f t="shared" si="3"/>
        <v>0</v>
      </c>
      <c r="O27" s="158">
        <f t="shared" si="4"/>
        <v>0</v>
      </c>
      <c r="P27" s="4"/>
    </row>
    <row r="28" spans="2:16">
      <c r="B28" s="9" t="str">
        <f t="shared" si="5"/>
        <v/>
      </c>
      <c r="C28" s="153">
        <f>IF(D11="","-",+C27+1)</f>
        <v>2021</v>
      </c>
      <c r="D28" s="159">
        <f>IF(F27+SUM(E$17:E27)=D$10,F27,D$10-SUM(E$17:E27))</f>
        <v>67733.536261243018</v>
      </c>
      <c r="E28" s="160">
        <f>IF(+I14&lt;F27,I14,D28)</f>
        <v>2066.0930232558139</v>
      </c>
      <c r="F28" s="159">
        <f t="shared" si="10"/>
        <v>65667.443237987201</v>
      </c>
      <c r="G28" s="161">
        <f t="shared" si="11"/>
        <v>8706.5051336281704</v>
      </c>
      <c r="H28" s="142">
        <f t="shared" si="12"/>
        <v>8706.5051336281704</v>
      </c>
      <c r="I28" s="156">
        <f t="shared" si="9"/>
        <v>0</v>
      </c>
      <c r="J28" s="156"/>
      <c r="K28" s="334"/>
      <c r="L28" s="158">
        <f t="shared" si="1"/>
        <v>0</v>
      </c>
      <c r="M28" s="334"/>
      <c r="N28" s="158">
        <f t="shared" si="3"/>
        <v>0</v>
      </c>
      <c r="O28" s="158">
        <f t="shared" si="4"/>
        <v>0</v>
      </c>
      <c r="P28" s="4"/>
    </row>
    <row r="29" spans="2:16">
      <c r="B29" s="9" t="str">
        <f t="shared" si="5"/>
        <v/>
      </c>
      <c r="C29" s="153">
        <f>IF(D11="","-",+C28+1)</f>
        <v>2022</v>
      </c>
      <c r="D29" s="159">
        <f>IF(F28+SUM(E$17:E28)=D$10,F28,D$10-SUM(E$17:E28))</f>
        <v>65667.443237987201</v>
      </c>
      <c r="E29" s="160">
        <f>IF(+I14&lt;F28,I14,D29)</f>
        <v>2066.0930232558139</v>
      </c>
      <c r="F29" s="159">
        <f t="shared" si="10"/>
        <v>63601.350214731385</v>
      </c>
      <c r="G29" s="161">
        <f t="shared" si="11"/>
        <v>8500.8138533349411</v>
      </c>
      <c r="H29" s="142">
        <f t="shared" si="12"/>
        <v>8500.8138533349411</v>
      </c>
      <c r="I29" s="156">
        <f t="shared" si="9"/>
        <v>0</v>
      </c>
      <c r="J29" s="156"/>
      <c r="K29" s="334"/>
      <c r="L29" s="158">
        <f t="shared" si="1"/>
        <v>0</v>
      </c>
      <c r="M29" s="334"/>
      <c r="N29" s="158">
        <f t="shared" si="3"/>
        <v>0</v>
      </c>
      <c r="O29" s="158">
        <f t="shared" si="4"/>
        <v>0</v>
      </c>
      <c r="P29" s="4"/>
    </row>
    <row r="30" spans="2:16">
      <c r="B30" s="9" t="str">
        <f t="shared" si="5"/>
        <v/>
      </c>
      <c r="C30" s="153">
        <f>IF(D11="","-",+C29+1)</f>
        <v>2023</v>
      </c>
      <c r="D30" s="159">
        <f>IF(F29+SUM(E$17:E29)=D$10,F29,D$10-SUM(E$17:E29))</f>
        <v>63601.350214731385</v>
      </c>
      <c r="E30" s="160">
        <f>IF(+I14&lt;F29,I14,D30)</f>
        <v>2066.0930232558139</v>
      </c>
      <c r="F30" s="159">
        <f t="shared" si="10"/>
        <v>61535.257191475568</v>
      </c>
      <c r="G30" s="161">
        <f t="shared" si="11"/>
        <v>8295.1225730417118</v>
      </c>
      <c r="H30" s="142">
        <f t="shared" si="12"/>
        <v>8295.1225730417118</v>
      </c>
      <c r="I30" s="156">
        <f t="shared" si="9"/>
        <v>0</v>
      </c>
      <c r="J30" s="156"/>
      <c r="K30" s="334"/>
      <c r="L30" s="158">
        <f t="shared" si="1"/>
        <v>0</v>
      </c>
      <c r="M30" s="334"/>
      <c r="N30" s="158">
        <f t="shared" si="3"/>
        <v>0</v>
      </c>
      <c r="O30" s="158">
        <f t="shared" si="4"/>
        <v>0</v>
      </c>
      <c r="P30" s="4"/>
    </row>
    <row r="31" spans="2:16">
      <c r="B31" s="9" t="str">
        <f t="shared" si="5"/>
        <v/>
      </c>
      <c r="C31" s="153">
        <f>IF(D11="","-",+C30+1)</f>
        <v>2024</v>
      </c>
      <c r="D31" s="159">
        <f>IF(F30+SUM(E$17:E30)=D$10,F30,D$10-SUM(E$17:E30))</f>
        <v>61535.257191475568</v>
      </c>
      <c r="E31" s="160">
        <f>IF(+I14&lt;F30,I14,D31)</f>
        <v>2066.0930232558139</v>
      </c>
      <c r="F31" s="159">
        <f t="shared" si="10"/>
        <v>59469.164168219751</v>
      </c>
      <c r="G31" s="161">
        <f t="shared" si="11"/>
        <v>8089.4312927484816</v>
      </c>
      <c r="H31" s="142">
        <f t="shared" si="12"/>
        <v>8089.4312927484816</v>
      </c>
      <c r="I31" s="156">
        <f t="shared" si="9"/>
        <v>0</v>
      </c>
      <c r="J31" s="156"/>
      <c r="K31" s="334"/>
      <c r="L31" s="158">
        <f t="shared" si="1"/>
        <v>0</v>
      </c>
      <c r="M31" s="334"/>
      <c r="N31" s="158">
        <f t="shared" si="3"/>
        <v>0</v>
      </c>
      <c r="O31" s="158">
        <f t="shared" si="4"/>
        <v>0</v>
      </c>
      <c r="P31" s="4"/>
    </row>
    <row r="32" spans="2:16">
      <c r="B32" s="9" t="str">
        <f t="shared" si="5"/>
        <v/>
      </c>
      <c r="C32" s="153">
        <f>IF(D11="","-",+C31+1)</f>
        <v>2025</v>
      </c>
      <c r="D32" s="159">
        <f>IF(F31+SUM(E$17:E31)=D$10,F31,D$10-SUM(E$17:E31))</f>
        <v>59469.164168219751</v>
      </c>
      <c r="E32" s="160">
        <f>IF(+I14&lt;F31,I14,D32)</f>
        <v>2066.0930232558139</v>
      </c>
      <c r="F32" s="159">
        <f t="shared" si="10"/>
        <v>57403.071144963935</v>
      </c>
      <c r="G32" s="161">
        <f t="shared" si="11"/>
        <v>7883.7400124552523</v>
      </c>
      <c r="H32" s="142">
        <f t="shared" si="12"/>
        <v>7883.7400124552523</v>
      </c>
      <c r="I32" s="156">
        <f t="shared" si="9"/>
        <v>0</v>
      </c>
      <c r="J32" s="156"/>
      <c r="K32" s="334"/>
      <c r="L32" s="158">
        <f t="shared" si="1"/>
        <v>0</v>
      </c>
      <c r="M32" s="334"/>
      <c r="N32" s="158">
        <f t="shared" si="3"/>
        <v>0</v>
      </c>
      <c r="O32" s="158">
        <f t="shared" si="4"/>
        <v>0</v>
      </c>
      <c r="P32" s="4"/>
    </row>
    <row r="33" spans="2:16">
      <c r="B33" s="9"/>
      <c r="C33" s="153">
        <f>IF(D11="","-",+C32+1)</f>
        <v>2026</v>
      </c>
      <c r="D33" s="159">
        <f>IF(F32+SUM(E$17:E32)=D$10,F32,D$10-SUM(E$17:E32))</f>
        <v>57403.071144963935</v>
      </c>
      <c r="E33" s="160">
        <f>IF(+I14&lt;F32,I14,D33)</f>
        <v>2066.0930232558139</v>
      </c>
      <c r="F33" s="159">
        <f t="shared" si="10"/>
        <v>55336.978121708118</v>
      </c>
      <c r="G33" s="161">
        <f t="shared" si="11"/>
        <v>7678.048732162023</v>
      </c>
      <c r="H33" s="142">
        <f t="shared" si="12"/>
        <v>7678.048732162023</v>
      </c>
      <c r="I33" s="156">
        <f t="shared" si="9"/>
        <v>0</v>
      </c>
      <c r="J33" s="156"/>
      <c r="K33" s="334"/>
      <c r="L33" s="158">
        <f t="shared" si="1"/>
        <v>0</v>
      </c>
      <c r="M33" s="334"/>
      <c r="N33" s="158">
        <f t="shared" si="3"/>
        <v>0</v>
      </c>
      <c r="O33" s="158">
        <f t="shared" si="4"/>
        <v>0</v>
      </c>
      <c r="P33" s="4"/>
    </row>
    <row r="34" spans="2:16">
      <c r="B34" s="9" t="str">
        <f t="shared" si="5"/>
        <v/>
      </c>
      <c r="C34" s="153">
        <f>IF(D11="","-",+C33+1)</f>
        <v>2027</v>
      </c>
      <c r="D34" s="159">
        <f>IF(F33+SUM(E$17:E33)=D$10,F33,D$10-SUM(E$17:E33))</f>
        <v>55336.978121708118</v>
      </c>
      <c r="E34" s="160">
        <f>IF(+I14&lt;F33,I14,D34)</f>
        <v>2066.0930232558139</v>
      </c>
      <c r="F34" s="159">
        <f t="shared" si="10"/>
        <v>53270.885098452301</v>
      </c>
      <c r="G34" s="161">
        <f t="shared" si="11"/>
        <v>7472.3574518687938</v>
      </c>
      <c r="H34" s="142">
        <f t="shared" si="12"/>
        <v>7472.3574518687938</v>
      </c>
      <c r="I34" s="156">
        <f t="shared" si="9"/>
        <v>0</v>
      </c>
      <c r="J34" s="156"/>
      <c r="K34" s="334"/>
      <c r="L34" s="158">
        <f t="shared" si="1"/>
        <v>0</v>
      </c>
      <c r="M34" s="334"/>
      <c r="N34" s="158">
        <f t="shared" si="3"/>
        <v>0</v>
      </c>
      <c r="O34" s="158">
        <f t="shared" si="4"/>
        <v>0</v>
      </c>
      <c r="P34" s="4"/>
    </row>
    <row r="35" spans="2:16">
      <c r="B35" s="9" t="str">
        <f t="shared" si="5"/>
        <v/>
      </c>
      <c r="C35" s="153">
        <f>IF(D11="","-",+C34+1)</f>
        <v>2028</v>
      </c>
      <c r="D35" s="159">
        <f>IF(F34+SUM(E$17:E34)=D$10,F34,D$10-SUM(E$17:E34))</f>
        <v>53270.885098452301</v>
      </c>
      <c r="E35" s="160">
        <f>IF(+I14&lt;F34,I14,D35)</f>
        <v>2066.0930232558139</v>
      </c>
      <c r="F35" s="159">
        <f t="shared" si="10"/>
        <v>51204.792075196485</v>
      </c>
      <c r="G35" s="161">
        <f t="shared" si="11"/>
        <v>7266.6661715755645</v>
      </c>
      <c r="H35" s="142">
        <f t="shared" si="12"/>
        <v>7266.6661715755645</v>
      </c>
      <c r="I35" s="156">
        <f t="shared" si="9"/>
        <v>0</v>
      </c>
      <c r="J35" s="156"/>
      <c r="K35" s="334"/>
      <c r="L35" s="158">
        <f t="shared" si="1"/>
        <v>0</v>
      </c>
      <c r="M35" s="334"/>
      <c r="N35" s="158">
        <f t="shared" si="3"/>
        <v>0</v>
      </c>
      <c r="O35" s="158">
        <f t="shared" si="4"/>
        <v>0</v>
      </c>
      <c r="P35" s="4"/>
    </row>
    <row r="36" spans="2:16">
      <c r="B36" s="9" t="str">
        <f t="shared" si="5"/>
        <v/>
      </c>
      <c r="C36" s="153">
        <f>IF(D11="","-",+C35+1)</f>
        <v>2029</v>
      </c>
      <c r="D36" s="159">
        <f>IF(F35+SUM(E$17:E35)=D$10,F35,D$10-SUM(E$17:E35))</f>
        <v>51204.792075196485</v>
      </c>
      <c r="E36" s="160">
        <f>IF(+I14&lt;F35,I14,D36)</f>
        <v>2066.0930232558139</v>
      </c>
      <c r="F36" s="159">
        <f t="shared" si="10"/>
        <v>49138.699051940668</v>
      </c>
      <c r="G36" s="161">
        <f t="shared" si="11"/>
        <v>7060.9748912823352</v>
      </c>
      <c r="H36" s="142">
        <f t="shared" si="12"/>
        <v>7060.9748912823352</v>
      </c>
      <c r="I36" s="156">
        <f t="shared" si="9"/>
        <v>0</v>
      </c>
      <c r="J36" s="156"/>
      <c r="K36" s="334"/>
      <c r="L36" s="158">
        <f t="shared" si="1"/>
        <v>0</v>
      </c>
      <c r="M36" s="334"/>
      <c r="N36" s="158">
        <f t="shared" si="3"/>
        <v>0</v>
      </c>
      <c r="O36" s="158">
        <f t="shared" si="4"/>
        <v>0</v>
      </c>
      <c r="P36" s="4"/>
    </row>
    <row r="37" spans="2:16">
      <c r="B37" s="9" t="str">
        <f t="shared" si="5"/>
        <v/>
      </c>
      <c r="C37" s="153">
        <f>IF(D11="","-",+C36+1)</f>
        <v>2030</v>
      </c>
      <c r="D37" s="159">
        <f>IF(F36+SUM(E$17:E36)=D$10,F36,D$10-SUM(E$17:E36))</f>
        <v>49138.699051940668</v>
      </c>
      <c r="E37" s="160">
        <f>IF(+I14&lt;F36,I14,D37)</f>
        <v>2066.0930232558139</v>
      </c>
      <c r="F37" s="159">
        <f t="shared" si="10"/>
        <v>47072.606028684851</v>
      </c>
      <c r="G37" s="161">
        <f t="shared" si="11"/>
        <v>6855.283610989105</v>
      </c>
      <c r="H37" s="142">
        <f t="shared" si="12"/>
        <v>6855.283610989105</v>
      </c>
      <c r="I37" s="156">
        <f t="shared" si="9"/>
        <v>0</v>
      </c>
      <c r="J37" s="156"/>
      <c r="K37" s="334"/>
      <c r="L37" s="158">
        <f t="shared" si="1"/>
        <v>0</v>
      </c>
      <c r="M37" s="334"/>
      <c r="N37" s="158">
        <f t="shared" si="3"/>
        <v>0</v>
      </c>
      <c r="O37" s="158">
        <f t="shared" si="4"/>
        <v>0</v>
      </c>
      <c r="P37" s="4"/>
    </row>
    <row r="38" spans="2:16">
      <c r="B38" s="9" t="str">
        <f t="shared" si="5"/>
        <v/>
      </c>
      <c r="C38" s="153">
        <f>IF(D11="","-",+C37+1)</f>
        <v>2031</v>
      </c>
      <c r="D38" s="159">
        <f>IF(F37+SUM(E$17:E37)=D$10,F37,D$10-SUM(E$17:E37))</f>
        <v>47072.606028684851</v>
      </c>
      <c r="E38" s="160">
        <f>IF(+I14&lt;F37,I14,D38)</f>
        <v>2066.0930232558139</v>
      </c>
      <c r="F38" s="159">
        <f t="shared" si="10"/>
        <v>45006.513005429035</v>
      </c>
      <c r="G38" s="161">
        <f t="shared" si="11"/>
        <v>6649.5923306958757</v>
      </c>
      <c r="H38" s="142">
        <f t="shared" si="12"/>
        <v>6649.5923306958757</v>
      </c>
      <c r="I38" s="156">
        <f t="shared" si="9"/>
        <v>0</v>
      </c>
      <c r="J38" s="156"/>
      <c r="K38" s="334"/>
      <c r="L38" s="158">
        <f t="shared" si="1"/>
        <v>0</v>
      </c>
      <c r="M38" s="334"/>
      <c r="N38" s="158">
        <f t="shared" si="3"/>
        <v>0</v>
      </c>
      <c r="O38" s="158">
        <f t="shared" si="4"/>
        <v>0</v>
      </c>
      <c r="P38" s="4"/>
    </row>
    <row r="39" spans="2:16">
      <c r="B39" s="9" t="str">
        <f t="shared" si="5"/>
        <v/>
      </c>
      <c r="C39" s="153">
        <f>IF(D11="","-",+C38+1)</f>
        <v>2032</v>
      </c>
      <c r="D39" s="159">
        <f>IF(F38+SUM(E$17:E38)=D$10,F38,D$10-SUM(E$17:E38))</f>
        <v>45006.513005429035</v>
      </c>
      <c r="E39" s="160">
        <f>IF(+I14&lt;F38,I14,D39)</f>
        <v>2066.0930232558139</v>
      </c>
      <c r="F39" s="159">
        <f t="shared" si="10"/>
        <v>42940.419982173218</v>
      </c>
      <c r="G39" s="161">
        <f t="shared" si="11"/>
        <v>6443.9010504026464</v>
      </c>
      <c r="H39" s="142">
        <f t="shared" si="12"/>
        <v>6443.9010504026464</v>
      </c>
      <c r="I39" s="156">
        <f t="shared" si="9"/>
        <v>0</v>
      </c>
      <c r="J39" s="156"/>
      <c r="K39" s="334"/>
      <c r="L39" s="158">
        <f t="shared" si="1"/>
        <v>0</v>
      </c>
      <c r="M39" s="334"/>
      <c r="N39" s="158">
        <f t="shared" si="3"/>
        <v>0</v>
      </c>
      <c r="O39" s="158">
        <f t="shared" si="4"/>
        <v>0</v>
      </c>
      <c r="P39" s="4"/>
    </row>
    <row r="40" spans="2:16">
      <c r="B40" s="9" t="str">
        <f t="shared" si="5"/>
        <v/>
      </c>
      <c r="C40" s="153">
        <f>IF(D11="","-",+C39+1)</f>
        <v>2033</v>
      </c>
      <c r="D40" s="159">
        <f>IF(F39+SUM(E$17:E39)=D$10,F39,D$10-SUM(E$17:E39))</f>
        <v>42940.419982173218</v>
      </c>
      <c r="E40" s="160">
        <f>IF(+I14&lt;F39,I14,D40)</f>
        <v>2066.0930232558139</v>
      </c>
      <c r="F40" s="159">
        <f t="shared" si="10"/>
        <v>40874.326958917401</v>
      </c>
      <c r="G40" s="161">
        <f t="shared" si="11"/>
        <v>6238.2097701094171</v>
      </c>
      <c r="H40" s="142">
        <f t="shared" si="12"/>
        <v>6238.2097701094171</v>
      </c>
      <c r="I40" s="156">
        <f t="shared" si="9"/>
        <v>0</v>
      </c>
      <c r="J40" s="156"/>
      <c r="K40" s="334"/>
      <c r="L40" s="158">
        <f t="shared" si="1"/>
        <v>0</v>
      </c>
      <c r="M40" s="334"/>
      <c r="N40" s="158">
        <f t="shared" si="3"/>
        <v>0</v>
      </c>
      <c r="O40" s="158">
        <f t="shared" si="4"/>
        <v>0</v>
      </c>
      <c r="P40" s="4"/>
    </row>
    <row r="41" spans="2:16">
      <c r="B41" s="9" t="str">
        <f t="shared" si="5"/>
        <v/>
      </c>
      <c r="C41" s="153">
        <f>IF(D11="","-",+C40+1)</f>
        <v>2034</v>
      </c>
      <c r="D41" s="159">
        <f>IF(F40+SUM(E$17:E40)=D$10,F40,D$10-SUM(E$17:E40))</f>
        <v>40874.326958917401</v>
      </c>
      <c r="E41" s="160">
        <f>IF(+I14&lt;F40,I14,D41)</f>
        <v>2066.0930232558139</v>
      </c>
      <c r="F41" s="159">
        <f t="shared" si="10"/>
        <v>38808.233935661585</v>
      </c>
      <c r="G41" s="161">
        <f t="shared" si="11"/>
        <v>6032.5184898161879</v>
      </c>
      <c r="H41" s="142">
        <f t="shared" si="12"/>
        <v>6032.5184898161879</v>
      </c>
      <c r="I41" s="156">
        <f t="shared" si="9"/>
        <v>0</v>
      </c>
      <c r="J41" s="156"/>
      <c r="K41" s="334"/>
      <c r="L41" s="158">
        <f t="shared" si="1"/>
        <v>0</v>
      </c>
      <c r="M41" s="334"/>
      <c r="N41" s="158">
        <f t="shared" si="3"/>
        <v>0</v>
      </c>
      <c r="O41" s="158">
        <f t="shared" si="4"/>
        <v>0</v>
      </c>
      <c r="P41" s="4"/>
    </row>
    <row r="42" spans="2:16">
      <c r="B42" s="9" t="str">
        <f t="shared" si="5"/>
        <v/>
      </c>
      <c r="C42" s="153">
        <f>IF(D11="","-",+C41+1)</f>
        <v>2035</v>
      </c>
      <c r="D42" s="159">
        <f>IF(F41+SUM(E$17:E41)=D$10,F41,D$10-SUM(E$17:E41))</f>
        <v>38808.233935661585</v>
      </c>
      <c r="E42" s="160">
        <f>IF(+I14&lt;F41,I14,D42)</f>
        <v>2066.0930232558139</v>
      </c>
      <c r="F42" s="159">
        <f t="shared" si="10"/>
        <v>36742.140912405768</v>
      </c>
      <c r="G42" s="161">
        <f t="shared" si="11"/>
        <v>5826.8272095229586</v>
      </c>
      <c r="H42" s="142">
        <f t="shared" si="12"/>
        <v>5826.8272095229586</v>
      </c>
      <c r="I42" s="156">
        <f t="shared" si="9"/>
        <v>0</v>
      </c>
      <c r="J42" s="156"/>
      <c r="K42" s="334"/>
      <c r="L42" s="158">
        <f t="shared" si="1"/>
        <v>0</v>
      </c>
      <c r="M42" s="334"/>
      <c r="N42" s="158">
        <f t="shared" si="3"/>
        <v>0</v>
      </c>
      <c r="O42" s="158">
        <f t="shared" si="4"/>
        <v>0</v>
      </c>
      <c r="P42" s="4"/>
    </row>
    <row r="43" spans="2:16">
      <c r="B43" s="9" t="str">
        <f t="shared" si="5"/>
        <v/>
      </c>
      <c r="C43" s="153">
        <f>IF(D11="","-",+C42+1)</f>
        <v>2036</v>
      </c>
      <c r="D43" s="159">
        <f>IF(F42+SUM(E$17:E42)=D$10,F42,D$10-SUM(E$17:E42))</f>
        <v>36742.140912405768</v>
      </c>
      <c r="E43" s="160">
        <f>IF(+I14&lt;F42,I14,D43)</f>
        <v>2066.0930232558139</v>
      </c>
      <c r="F43" s="159">
        <f t="shared" si="10"/>
        <v>34676.047889149952</v>
      </c>
      <c r="G43" s="161">
        <f t="shared" si="11"/>
        <v>5621.1359292297284</v>
      </c>
      <c r="H43" s="142">
        <f t="shared" si="12"/>
        <v>5621.1359292297284</v>
      </c>
      <c r="I43" s="156">
        <f t="shared" si="9"/>
        <v>0</v>
      </c>
      <c r="J43" s="156"/>
      <c r="K43" s="334"/>
      <c r="L43" s="158">
        <f t="shared" si="1"/>
        <v>0</v>
      </c>
      <c r="M43" s="334"/>
      <c r="N43" s="158">
        <f t="shared" si="3"/>
        <v>0</v>
      </c>
      <c r="O43" s="158">
        <f t="shared" si="4"/>
        <v>0</v>
      </c>
      <c r="P43" s="4"/>
    </row>
    <row r="44" spans="2:16">
      <c r="B44" s="9" t="str">
        <f t="shared" si="5"/>
        <v/>
      </c>
      <c r="C44" s="153">
        <f>IF(D11="","-",+C43+1)</f>
        <v>2037</v>
      </c>
      <c r="D44" s="159">
        <f>IF(F43+SUM(E$17:E43)=D$10,F43,D$10-SUM(E$17:E43))</f>
        <v>34676.047889149952</v>
      </c>
      <c r="E44" s="160">
        <f>IF(+I14&lt;F43,I14,D44)</f>
        <v>2066.0930232558139</v>
      </c>
      <c r="F44" s="159">
        <f t="shared" si="10"/>
        <v>32609.954865894138</v>
      </c>
      <c r="G44" s="161">
        <f t="shared" si="11"/>
        <v>5415.4446489364991</v>
      </c>
      <c r="H44" s="142">
        <f t="shared" si="12"/>
        <v>5415.4446489364991</v>
      </c>
      <c r="I44" s="156">
        <f t="shared" si="9"/>
        <v>0</v>
      </c>
      <c r="J44" s="156"/>
      <c r="K44" s="334"/>
      <c r="L44" s="158">
        <f t="shared" si="1"/>
        <v>0</v>
      </c>
      <c r="M44" s="334"/>
      <c r="N44" s="158">
        <f t="shared" si="3"/>
        <v>0</v>
      </c>
      <c r="O44" s="158">
        <f t="shared" si="4"/>
        <v>0</v>
      </c>
      <c r="P44" s="4"/>
    </row>
    <row r="45" spans="2:16">
      <c r="B45" s="9" t="str">
        <f t="shared" si="5"/>
        <v/>
      </c>
      <c r="C45" s="153">
        <f>IF(D11="","-",+C44+1)</f>
        <v>2038</v>
      </c>
      <c r="D45" s="159">
        <f>IF(F44+SUM(E$17:E44)=D$10,F44,D$10-SUM(E$17:E44))</f>
        <v>32609.954865894138</v>
      </c>
      <c r="E45" s="160">
        <f>IF(+I14&lt;F44,I14,D45)</f>
        <v>2066.0930232558139</v>
      </c>
      <c r="F45" s="159">
        <f t="shared" si="10"/>
        <v>30543.861842638325</v>
      </c>
      <c r="G45" s="161">
        <f t="shared" si="11"/>
        <v>5209.7533686432707</v>
      </c>
      <c r="H45" s="142">
        <f t="shared" si="12"/>
        <v>5209.7533686432707</v>
      </c>
      <c r="I45" s="156">
        <f t="shared" si="9"/>
        <v>0</v>
      </c>
      <c r="J45" s="156"/>
      <c r="K45" s="334"/>
      <c r="L45" s="158">
        <f t="shared" si="1"/>
        <v>0</v>
      </c>
      <c r="M45" s="334"/>
      <c r="N45" s="158">
        <f t="shared" si="3"/>
        <v>0</v>
      </c>
      <c r="O45" s="158">
        <f t="shared" si="4"/>
        <v>0</v>
      </c>
      <c r="P45" s="4"/>
    </row>
    <row r="46" spans="2:16">
      <c r="B46" s="9" t="str">
        <f t="shared" si="5"/>
        <v/>
      </c>
      <c r="C46" s="153">
        <f>IF(D11="","-",+C45+1)</f>
        <v>2039</v>
      </c>
      <c r="D46" s="159">
        <f>IF(F45+SUM(E$17:E45)=D$10,F45,D$10-SUM(E$17:E45))</f>
        <v>30543.861842638325</v>
      </c>
      <c r="E46" s="160">
        <f>IF(+I14&lt;F45,I14,D46)</f>
        <v>2066.0930232558139</v>
      </c>
      <c r="F46" s="159">
        <f t="shared" si="10"/>
        <v>28477.768819382512</v>
      </c>
      <c r="G46" s="161">
        <f t="shared" si="11"/>
        <v>5004.0620883500414</v>
      </c>
      <c r="H46" s="142">
        <f t="shared" si="12"/>
        <v>5004.0620883500414</v>
      </c>
      <c r="I46" s="156">
        <f t="shared" si="9"/>
        <v>0</v>
      </c>
      <c r="J46" s="156"/>
      <c r="K46" s="334"/>
      <c r="L46" s="158">
        <f t="shared" si="1"/>
        <v>0</v>
      </c>
      <c r="M46" s="334"/>
      <c r="N46" s="158">
        <f t="shared" si="3"/>
        <v>0</v>
      </c>
      <c r="O46" s="158">
        <f t="shared" si="4"/>
        <v>0</v>
      </c>
      <c r="P46" s="4"/>
    </row>
    <row r="47" spans="2:16">
      <c r="B47" s="9" t="str">
        <f t="shared" si="5"/>
        <v/>
      </c>
      <c r="C47" s="153">
        <f>IF(D11="","-",+C46+1)</f>
        <v>2040</v>
      </c>
      <c r="D47" s="159">
        <f>IF(F46+SUM(E$17:E46)=D$10,F46,D$10-SUM(E$17:E46))</f>
        <v>28477.768819382512</v>
      </c>
      <c r="E47" s="160">
        <f>IF(+I14&lt;F46,I14,D47)</f>
        <v>2066.0930232558139</v>
      </c>
      <c r="F47" s="159">
        <f t="shared" si="10"/>
        <v>26411.675796126699</v>
      </c>
      <c r="G47" s="161">
        <f t="shared" si="11"/>
        <v>4798.3708080568122</v>
      </c>
      <c r="H47" s="142">
        <f t="shared" si="12"/>
        <v>4798.3708080568122</v>
      </c>
      <c r="I47" s="156">
        <f t="shared" si="9"/>
        <v>0</v>
      </c>
      <c r="J47" s="156"/>
      <c r="K47" s="334"/>
      <c r="L47" s="158">
        <f t="shared" si="1"/>
        <v>0</v>
      </c>
      <c r="M47" s="334"/>
      <c r="N47" s="158">
        <f t="shared" si="3"/>
        <v>0</v>
      </c>
      <c r="O47" s="158">
        <f t="shared" si="4"/>
        <v>0</v>
      </c>
      <c r="P47" s="4"/>
    </row>
    <row r="48" spans="2:16">
      <c r="B48" s="9" t="str">
        <f t="shared" si="5"/>
        <v/>
      </c>
      <c r="C48" s="153">
        <f>IF(D11="","-",+C47+1)</f>
        <v>2041</v>
      </c>
      <c r="D48" s="159">
        <f>IF(F47+SUM(E$17:E47)=D$10,F47,D$10-SUM(E$17:E47))</f>
        <v>26411.675796126699</v>
      </c>
      <c r="E48" s="160">
        <f>IF(+I14&lt;F47,I14,D48)</f>
        <v>2066.0930232558139</v>
      </c>
      <c r="F48" s="159">
        <f t="shared" si="10"/>
        <v>24345.582772870886</v>
      </c>
      <c r="G48" s="161">
        <f t="shared" si="11"/>
        <v>4592.6795277635829</v>
      </c>
      <c r="H48" s="142">
        <f t="shared" si="12"/>
        <v>4592.6795277635829</v>
      </c>
      <c r="I48" s="156">
        <f t="shared" si="9"/>
        <v>0</v>
      </c>
      <c r="J48" s="156"/>
      <c r="K48" s="334"/>
      <c r="L48" s="158">
        <f t="shared" si="1"/>
        <v>0</v>
      </c>
      <c r="M48" s="334"/>
      <c r="N48" s="158">
        <f t="shared" si="3"/>
        <v>0</v>
      </c>
      <c r="O48" s="158">
        <f t="shared" si="4"/>
        <v>0</v>
      </c>
      <c r="P48" s="4"/>
    </row>
    <row r="49" spans="2:17">
      <c r="B49" s="9" t="str">
        <f t="shared" si="5"/>
        <v/>
      </c>
      <c r="C49" s="153">
        <f>IF(D11="","-",+C48+1)</f>
        <v>2042</v>
      </c>
      <c r="D49" s="159">
        <f>IF(F48+SUM(E$17:E48)=D$10,F48,D$10-SUM(E$17:E48))</f>
        <v>24345.582772870886</v>
      </c>
      <c r="E49" s="160">
        <f>IF(+I14&lt;F48,I14,D49)</f>
        <v>2066.0930232558139</v>
      </c>
      <c r="F49" s="159">
        <f t="shared" ref="F49:F72" si="13">+D49-E49</f>
        <v>22279.489749615073</v>
      </c>
      <c r="G49" s="161">
        <f t="shared" si="11"/>
        <v>4386.9882474703536</v>
      </c>
      <c r="H49" s="142">
        <f t="shared" si="12"/>
        <v>4386.9882474703536</v>
      </c>
      <c r="I49" s="156">
        <f t="shared" ref="I49:I72" si="14">H49-G49</f>
        <v>0</v>
      </c>
      <c r="J49" s="156"/>
      <c r="K49" s="334"/>
      <c r="L49" s="158">
        <f t="shared" ref="L49:L72" si="15">IF(K49&lt;&gt;0,+G49-K49,0)</f>
        <v>0</v>
      </c>
      <c r="M49" s="334"/>
      <c r="N49" s="158">
        <f t="shared" ref="N49:N72" si="16">IF(M49&lt;&gt;0,+H49-M49,0)</f>
        <v>0</v>
      </c>
      <c r="O49" s="158">
        <f t="shared" ref="O49:O72" si="17">+N49-L49</f>
        <v>0</v>
      </c>
      <c r="P49" s="4"/>
    </row>
    <row r="50" spans="2:17">
      <c r="B50" s="9" t="str">
        <f t="shared" si="5"/>
        <v/>
      </c>
      <c r="C50" s="153">
        <f>IF(D11="","-",+C49+1)</f>
        <v>2043</v>
      </c>
      <c r="D50" s="159">
        <f>IF(F49+SUM(E$17:E49)=D$10,F49,D$10-SUM(E$17:E49))</f>
        <v>22279.489749615073</v>
      </c>
      <c r="E50" s="160">
        <f>IF(+I14&lt;F49,I14,D50)</f>
        <v>2066.0930232558139</v>
      </c>
      <c r="F50" s="159">
        <f t="shared" si="13"/>
        <v>20213.39672635926</v>
      </c>
      <c r="G50" s="161">
        <f t="shared" si="11"/>
        <v>4181.2969671771243</v>
      </c>
      <c r="H50" s="142">
        <f t="shared" si="12"/>
        <v>4181.2969671771243</v>
      </c>
      <c r="I50" s="156">
        <f t="shared" si="14"/>
        <v>0</v>
      </c>
      <c r="J50" s="156"/>
      <c r="K50" s="334"/>
      <c r="L50" s="158">
        <f t="shared" si="15"/>
        <v>0</v>
      </c>
      <c r="M50" s="334"/>
      <c r="N50" s="158">
        <f t="shared" si="16"/>
        <v>0</v>
      </c>
      <c r="O50" s="158">
        <f t="shared" si="17"/>
        <v>0</v>
      </c>
      <c r="P50" s="4"/>
    </row>
    <row r="51" spans="2:17">
      <c r="B51" s="9" t="str">
        <f t="shared" si="5"/>
        <v/>
      </c>
      <c r="C51" s="153">
        <f>IF(D11="","-",+C50+1)</f>
        <v>2044</v>
      </c>
      <c r="D51" s="159">
        <f>IF(F50+SUM(E$17:E50)=D$10,F50,D$10-SUM(E$17:E50))</f>
        <v>20213.39672635926</v>
      </c>
      <c r="E51" s="160">
        <f>IF(+I14&lt;F50,I14,D51)</f>
        <v>2066.0930232558139</v>
      </c>
      <c r="F51" s="159">
        <f t="shared" si="13"/>
        <v>18147.303703103447</v>
      </c>
      <c r="G51" s="161">
        <f t="shared" si="11"/>
        <v>3975.6056868838959</v>
      </c>
      <c r="H51" s="142">
        <f t="shared" si="12"/>
        <v>3975.6056868838959</v>
      </c>
      <c r="I51" s="156">
        <f t="shared" si="14"/>
        <v>0</v>
      </c>
      <c r="J51" s="156"/>
      <c r="K51" s="334"/>
      <c r="L51" s="158">
        <f t="shared" si="15"/>
        <v>0</v>
      </c>
      <c r="M51" s="334"/>
      <c r="N51" s="158">
        <f t="shared" si="16"/>
        <v>0</v>
      </c>
      <c r="O51" s="158">
        <f t="shared" si="17"/>
        <v>0</v>
      </c>
      <c r="P51" s="4"/>
    </row>
    <row r="52" spans="2:17">
      <c r="B52" s="9" t="str">
        <f t="shared" si="5"/>
        <v/>
      </c>
      <c r="C52" s="153">
        <f>IF(D11="","-",+C51+1)</f>
        <v>2045</v>
      </c>
      <c r="D52" s="159">
        <f>IF(F51+SUM(E$17:E51)=D$10,F51,D$10-SUM(E$17:E51))</f>
        <v>18147.303703103447</v>
      </c>
      <c r="E52" s="160">
        <f>IF(+I14&lt;F51,I14,D52)</f>
        <v>2066.0930232558139</v>
      </c>
      <c r="F52" s="159">
        <f t="shared" si="13"/>
        <v>16081.210679847634</v>
      </c>
      <c r="G52" s="161">
        <f t="shared" si="11"/>
        <v>3769.9144065906667</v>
      </c>
      <c r="H52" s="142">
        <f t="shared" si="12"/>
        <v>3769.9144065906667</v>
      </c>
      <c r="I52" s="156">
        <f t="shared" si="14"/>
        <v>0</v>
      </c>
      <c r="J52" s="156"/>
      <c r="K52" s="334"/>
      <c r="L52" s="158">
        <f t="shared" si="15"/>
        <v>0</v>
      </c>
      <c r="M52" s="334"/>
      <c r="N52" s="158">
        <f t="shared" si="16"/>
        <v>0</v>
      </c>
      <c r="O52" s="158">
        <f t="shared" si="17"/>
        <v>0</v>
      </c>
      <c r="P52" s="4"/>
    </row>
    <row r="53" spans="2:17">
      <c r="B53" s="9" t="str">
        <f t="shared" si="5"/>
        <v/>
      </c>
      <c r="C53" s="153">
        <f>IF(D11="","-",+C52+1)</f>
        <v>2046</v>
      </c>
      <c r="D53" s="159">
        <f>IF(F52+SUM(E$17:E52)=D$10,F52,D$10-SUM(E$17:E52))</f>
        <v>16081.210679847634</v>
      </c>
      <c r="E53" s="160">
        <f>IF(+I14&lt;F52,I14,D53)</f>
        <v>2066.0930232558139</v>
      </c>
      <c r="F53" s="159">
        <f t="shared" si="13"/>
        <v>14015.117656591821</v>
      </c>
      <c r="G53" s="161">
        <f t="shared" si="11"/>
        <v>3564.2231262974374</v>
      </c>
      <c r="H53" s="142">
        <f t="shared" si="12"/>
        <v>3564.2231262974374</v>
      </c>
      <c r="I53" s="156">
        <f t="shared" si="14"/>
        <v>0</v>
      </c>
      <c r="J53" s="156"/>
      <c r="K53" s="334"/>
      <c r="L53" s="158">
        <f t="shared" si="15"/>
        <v>0</v>
      </c>
      <c r="M53" s="334"/>
      <c r="N53" s="158">
        <f t="shared" si="16"/>
        <v>0</v>
      </c>
      <c r="O53" s="158">
        <f t="shared" si="17"/>
        <v>0</v>
      </c>
      <c r="P53" s="4"/>
    </row>
    <row r="54" spans="2:17">
      <c r="B54" s="9" t="str">
        <f t="shared" si="5"/>
        <v/>
      </c>
      <c r="C54" s="153">
        <f>IF(D11="","-",+C53+1)</f>
        <v>2047</v>
      </c>
      <c r="D54" s="159">
        <f>IF(F53+SUM(E$17:E53)=D$10,F53,D$10-SUM(E$17:E53))</f>
        <v>14015.117656591821</v>
      </c>
      <c r="E54" s="160">
        <f>IF(+I14&lt;F53,I14,D54)</f>
        <v>2066.0930232558139</v>
      </c>
      <c r="F54" s="159">
        <f t="shared" si="13"/>
        <v>11949.024633336008</v>
      </c>
      <c r="G54" s="161">
        <f t="shared" si="11"/>
        <v>3358.5318460042081</v>
      </c>
      <c r="H54" s="142">
        <f t="shared" si="12"/>
        <v>3358.5318460042081</v>
      </c>
      <c r="I54" s="156">
        <f t="shared" si="14"/>
        <v>0</v>
      </c>
      <c r="J54" s="156"/>
      <c r="K54" s="334"/>
      <c r="L54" s="158">
        <f t="shared" si="15"/>
        <v>0</v>
      </c>
      <c r="M54" s="334"/>
      <c r="N54" s="158">
        <f t="shared" si="16"/>
        <v>0</v>
      </c>
      <c r="O54" s="158">
        <f t="shared" si="17"/>
        <v>0</v>
      </c>
      <c r="P54" s="4"/>
    </row>
    <row r="55" spans="2:17">
      <c r="B55" s="9" t="str">
        <f t="shared" si="5"/>
        <v/>
      </c>
      <c r="C55" s="153">
        <f>IF(D11="","-",+C54+1)</f>
        <v>2048</v>
      </c>
      <c r="D55" s="159">
        <f>IF(F54+SUM(E$17:E54)=D$10,F54,D$10-SUM(E$17:E54))</f>
        <v>11949.024633336008</v>
      </c>
      <c r="E55" s="160">
        <f>IF(+I14&lt;F54,I14,D55)</f>
        <v>2066.0930232558139</v>
      </c>
      <c r="F55" s="159">
        <f t="shared" si="13"/>
        <v>9882.9316100801952</v>
      </c>
      <c r="G55" s="161">
        <f t="shared" si="11"/>
        <v>3152.8405657109793</v>
      </c>
      <c r="H55" s="142">
        <f t="shared" si="12"/>
        <v>3152.8405657109793</v>
      </c>
      <c r="I55" s="156">
        <f t="shared" si="14"/>
        <v>0</v>
      </c>
      <c r="J55" s="156"/>
      <c r="K55" s="334"/>
      <c r="L55" s="158">
        <f t="shared" si="15"/>
        <v>0</v>
      </c>
      <c r="M55" s="334"/>
      <c r="N55" s="158">
        <f t="shared" si="16"/>
        <v>0</v>
      </c>
      <c r="O55" s="158">
        <f t="shared" si="17"/>
        <v>0</v>
      </c>
      <c r="P55" s="4"/>
    </row>
    <row r="56" spans="2:17">
      <c r="B56" s="9" t="str">
        <f t="shared" si="5"/>
        <v/>
      </c>
      <c r="C56" s="153">
        <f>IF(D11="","-",+C55+1)</f>
        <v>2049</v>
      </c>
      <c r="D56" s="159">
        <f>IF(F55+SUM(E$17:E55)=D$10,F55,D$10-SUM(E$17:E55))</f>
        <v>9882.9316100801952</v>
      </c>
      <c r="E56" s="160">
        <f>IF(+I14&lt;F55,I14,D56)</f>
        <v>2066.0930232558139</v>
      </c>
      <c r="F56" s="159">
        <f t="shared" si="13"/>
        <v>7816.8385868243813</v>
      </c>
      <c r="G56" s="161">
        <f t="shared" ref="G56:G72" si="18">+I$12*((D56+F56)/2)+E56</f>
        <v>2947.1492854177504</v>
      </c>
      <c r="H56" s="142">
        <f t="shared" ref="H56:H72" si="19">+I$13*((D56+F56)/2)+E56</f>
        <v>2947.1492854177504</v>
      </c>
      <c r="I56" s="156">
        <f t="shared" si="14"/>
        <v>0</v>
      </c>
      <c r="J56" s="156"/>
      <c r="K56" s="334"/>
      <c r="L56" s="158">
        <f t="shared" si="15"/>
        <v>0</v>
      </c>
      <c r="M56" s="334"/>
      <c r="N56" s="158">
        <f t="shared" si="16"/>
        <v>0</v>
      </c>
      <c r="O56" s="158">
        <f t="shared" si="17"/>
        <v>0</v>
      </c>
      <c r="P56" s="4"/>
    </row>
    <row r="57" spans="2:17">
      <c r="B57" s="9" t="str">
        <f t="shared" si="5"/>
        <v/>
      </c>
      <c r="C57" s="153">
        <f>IF(D11="","-",+C56+1)</f>
        <v>2050</v>
      </c>
      <c r="D57" s="159">
        <f>IF(F56+SUM(E$17:E56)=D$10,F56,D$10-SUM(E$17:E56))</f>
        <v>7816.8385868243813</v>
      </c>
      <c r="E57" s="160">
        <f>IF(+I14&lt;F56,I14,D57)</f>
        <v>2066.0930232558139</v>
      </c>
      <c r="F57" s="159">
        <f t="shared" si="13"/>
        <v>5750.7455635685674</v>
      </c>
      <c r="G57" s="161">
        <f t="shared" si="18"/>
        <v>2741.4580051245212</v>
      </c>
      <c r="H57" s="142">
        <f t="shared" si="19"/>
        <v>2741.4580051245212</v>
      </c>
      <c r="I57" s="156">
        <f t="shared" si="14"/>
        <v>0</v>
      </c>
      <c r="J57" s="156"/>
      <c r="K57" s="334"/>
      <c r="L57" s="158">
        <f t="shared" si="15"/>
        <v>0</v>
      </c>
      <c r="M57" s="334"/>
      <c r="N57" s="158">
        <f t="shared" si="16"/>
        <v>0</v>
      </c>
      <c r="O57" s="158">
        <f t="shared" si="17"/>
        <v>0</v>
      </c>
      <c r="P57" s="4"/>
    </row>
    <row r="58" spans="2:17">
      <c r="B58" s="9" t="str">
        <f t="shared" si="5"/>
        <v/>
      </c>
      <c r="C58" s="153">
        <f>IF(D11="","-",+C57+1)</f>
        <v>2051</v>
      </c>
      <c r="D58" s="159">
        <f>IF(F57+SUM(E$17:E57)=D$10,F57,D$10-SUM(E$17:E57))</f>
        <v>5750.7455635685674</v>
      </c>
      <c r="E58" s="160">
        <f>IF(+I14&lt;F57,I14,D58)</f>
        <v>2066.0930232558139</v>
      </c>
      <c r="F58" s="159">
        <f t="shared" si="13"/>
        <v>3684.6525403127534</v>
      </c>
      <c r="G58" s="161">
        <f t="shared" si="18"/>
        <v>2535.7667248312919</v>
      </c>
      <c r="H58" s="142">
        <f t="shared" si="19"/>
        <v>2535.7667248312919</v>
      </c>
      <c r="I58" s="156">
        <f t="shared" si="14"/>
        <v>0</v>
      </c>
      <c r="J58" s="156"/>
      <c r="K58" s="334"/>
      <c r="L58" s="158">
        <f t="shared" si="15"/>
        <v>0</v>
      </c>
      <c r="M58" s="334"/>
      <c r="N58" s="158">
        <f t="shared" si="16"/>
        <v>0</v>
      </c>
      <c r="O58" s="158">
        <f t="shared" si="17"/>
        <v>0</v>
      </c>
      <c r="P58" s="4"/>
      <c r="Q58" t="str">
        <f>IF(ROUND(Q57,0)=ROUND(SUM(Q18:Q56),0),"","Error -- check allocations above).")</f>
        <v/>
      </c>
    </row>
    <row r="59" spans="2:17">
      <c r="B59" s="9" t="str">
        <f t="shared" si="5"/>
        <v/>
      </c>
      <c r="C59" s="153">
        <f>IF(D11="","-",+C58+1)</f>
        <v>2052</v>
      </c>
      <c r="D59" s="159">
        <f>IF(F58+SUM(E$17:E58)=D$10,F58,D$10-SUM(E$17:E58))</f>
        <v>3684.6525403127534</v>
      </c>
      <c r="E59" s="160">
        <f>IF(+I14&lt;F58,I14,D59)</f>
        <v>2066.0930232558139</v>
      </c>
      <c r="F59" s="159">
        <f t="shared" si="13"/>
        <v>1618.5595170569395</v>
      </c>
      <c r="G59" s="161">
        <f t="shared" si="18"/>
        <v>2330.0754445380626</v>
      </c>
      <c r="H59" s="142">
        <f t="shared" si="19"/>
        <v>2330.0754445380626</v>
      </c>
      <c r="I59" s="156">
        <f t="shared" si="14"/>
        <v>0</v>
      </c>
      <c r="J59" s="156"/>
      <c r="K59" s="334"/>
      <c r="L59" s="158">
        <f t="shared" si="15"/>
        <v>0</v>
      </c>
      <c r="M59" s="334"/>
      <c r="N59" s="158">
        <f t="shared" si="16"/>
        <v>0</v>
      </c>
      <c r="O59" s="158">
        <f t="shared" si="17"/>
        <v>0</v>
      </c>
      <c r="P59" s="4"/>
    </row>
    <row r="60" spans="2:17">
      <c r="B60" s="9" t="str">
        <f t="shared" si="5"/>
        <v/>
      </c>
      <c r="C60" s="153">
        <f>IF(D11="","-",+C59+1)</f>
        <v>2053</v>
      </c>
      <c r="D60" s="159">
        <f>IF(F59+SUM(E$17:E59)=D$10,F59,D$10-SUM(E$17:E59))</f>
        <v>1618.5595170569395</v>
      </c>
      <c r="E60" s="160">
        <f>IF(+I14&lt;F59,I14,D60)</f>
        <v>1618.5595170569395</v>
      </c>
      <c r="F60" s="159">
        <f t="shared" si="13"/>
        <v>0</v>
      </c>
      <c r="G60" s="161">
        <f t="shared" si="18"/>
        <v>1699.1279076247565</v>
      </c>
      <c r="H60" s="142">
        <f t="shared" si="19"/>
        <v>1699.1279076247565</v>
      </c>
      <c r="I60" s="156">
        <f t="shared" si="14"/>
        <v>0</v>
      </c>
      <c r="J60" s="156"/>
      <c r="K60" s="334"/>
      <c r="L60" s="158">
        <f t="shared" si="15"/>
        <v>0</v>
      </c>
      <c r="M60" s="334"/>
      <c r="N60" s="158">
        <f t="shared" si="16"/>
        <v>0</v>
      </c>
      <c r="O60" s="158">
        <f t="shared" si="17"/>
        <v>0</v>
      </c>
      <c r="P60" s="4"/>
    </row>
    <row r="61" spans="2:17">
      <c r="B61" s="9" t="str">
        <f t="shared" si="5"/>
        <v/>
      </c>
      <c r="C61" s="153">
        <f>IF(D11="","-",+C60+1)</f>
        <v>2054</v>
      </c>
      <c r="D61" s="159">
        <f>IF(F60+SUM(E$17:E60)=D$10,F60,D$10-SUM(E$17:E60))</f>
        <v>0</v>
      </c>
      <c r="E61" s="160">
        <f>IF(+I14&lt;F60,I14,D61)</f>
        <v>0</v>
      </c>
      <c r="F61" s="159">
        <f t="shared" si="13"/>
        <v>0</v>
      </c>
      <c r="G61" s="163">
        <f t="shared" si="18"/>
        <v>0</v>
      </c>
      <c r="H61" s="142">
        <f t="shared" si="19"/>
        <v>0</v>
      </c>
      <c r="I61" s="156">
        <f t="shared" si="14"/>
        <v>0</v>
      </c>
      <c r="J61" s="156"/>
      <c r="K61" s="334"/>
      <c r="L61" s="158">
        <f t="shared" si="15"/>
        <v>0</v>
      </c>
      <c r="M61" s="334"/>
      <c r="N61" s="158">
        <f t="shared" si="16"/>
        <v>0</v>
      </c>
      <c r="O61" s="158">
        <f t="shared" si="17"/>
        <v>0</v>
      </c>
      <c r="P61" s="4"/>
    </row>
    <row r="62" spans="2:17">
      <c r="B62" s="9" t="str">
        <f t="shared" si="5"/>
        <v/>
      </c>
      <c r="C62" s="153">
        <f>IF(D11="","-",+C61+1)</f>
        <v>2055</v>
      </c>
      <c r="D62" s="159">
        <f>IF(F61+SUM(E$17:E61)=D$10,F61,D$10-SUM(E$17:E61))</f>
        <v>0</v>
      </c>
      <c r="E62" s="160">
        <f>IF(+I14&lt;F61,I14,D62)</f>
        <v>0</v>
      </c>
      <c r="F62" s="159">
        <f t="shared" si="13"/>
        <v>0</v>
      </c>
      <c r="G62" s="163">
        <f t="shared" si="18"/>
        <v>0</v>
      </c>
      <c r="H62" s="142">
        <f t="shared" si="19"/>
        <v>0</v>
      </c>
      <c r="I62" s="156">
        <f t="shared" si="14"/>
        <v>0</v>
      </c>
      <c r="J62" s="156"/>
      <c r="K62" s="334"/>
      <c r="L62" s="158">
        <f t="shared" si="15"/>
        <v>0</v>
      </c>
      <c r="M62" s="334"/>
      <c r="N62" s="158">
        <f t="shared" si="16"/>
        <v>0</v>
      </c>
      <c r="O62" s="158">
        <f t="shared" si="17"/>
        <v>0</v>
      </c>
      <c r="P62" s="4"/>
    </row>
    <row r="63" spans="2:17">
      <c r="B63" s="9" t="str">
        <f t="shared" si="5"/>
        <v/>
      </c>
      <c r="C63" s="153">
        <f>IF(D11="","-",+C62+1)</f>
        <v>2056</v>
      </c>
      <c r="D63" s="159">
        <f>IF(F62+SUM(E$17:E62)=D$10,F62,D$10-SUM(E$17:E62))</f>
        <v>0</v>
      </c>
      <c r="E63" s="160">
        <f>IF(+I14&lt;F62,I14,D63)</f>
        <v>0</v>
      </c>
      <c r="F63" s="159">
        <f t="shared" si="13"/>
        <v>0</v>
      </c>
      <c r="G63" s="163">
        <f t="shared" si="18"/>
        <v>0</v>
      </c>
      <c r="H63" s="142">
        <f t="shared" si="19"/>
        <v>0</v>
      </c>
      <c r="I63" s="156">
        <f t="shared" si="14"/>
        <v>0</v>
      </c>
      <c r="J63" s="156"/>
      <c r="K63" s="334"/>
      <c r="L63" s="158">
        <f t="shared" si="15"/>
        <v>0</v>
      </c>
      <c r="M63" s="334"/>
      <c r="N63" s="158">
        <f t="shared" si="16"/>
        <v>0</v>
      </c>
      <c r="O63" s="158">
        <f t="shared" si="17"/>
        <v>0</v>
      </c>
      <c r="P63" s="4"/>
    </row>
    <row r="64" spans="2:17">
      <c r="B64" s="9" t="str">
        <f t="shared" si="5"/>
        <v/>
      </c>
      <c r="C64" s="153">
        <f>IF(D11="","-",+C63+1)</f>
        <v>2057</v>
      </c>
      <c r="D64" s="159">
        <f>IF(F63+SUM(E$17:E63)=D$10,F63,D$10-SUM(E$17:E63))</f>
        <v>0</v>
      </c>
      <c r="E64" s="160">
        <f>IF(+I14&lt;F63,I14,D64)</f>
        <v>0</v>
      </c>
      <c r="F64" s="159">
        <f t="shared" si="13"/>
        <v>0</v>
      </c>
      <c r="G64" s="163">
        <f t="shared" si="18"/>
        <v>0</v>
      </c>
      <c r="H64" s="142">
        <f t="shared" si="19"/>
        <v>0</v>
      </c>
      <c r="I64" s="156">
        <f t="shared" si="14"/>
        <v>0</v>
      </c>
      <c r="J64" s="156"/>
      <c r="K64" s="334"/>
      <c r="L64" s="158">
        <f t="shared" si="15"/>
        <v>0</v>
      </c>
      <c r="M64" s="334"/>
      <c r="N64" s="158">
        <f t="shared" si="16"/>
        <v>0</v>
      </c>
      <c r="O64" s="158">
        <f t="shared" si="17"/>
        <v>0</v>
      </c>
      <c r="P64" s="4"/>
    </row>
    <row r="65" spans="1:16">
      <c r="B65" s="9" t="str">
        <f t="shared" si="5"/>
        <v/>
      </c>
      <c r="C65" s="153">
        <f>IF(D11="","-",+C64+1)</f>
        <v>2058</v>
      </c>
      <c r="D65" s="159">
        <f>IF(F64+SUM(E$17:E64)=D$10,F64,D$10-SUM(E$17:E64))</f>
        <v>0</v>
      </c>
      <c r="E65" s="160">
        <f>IF(+I14&lt;F64,I14,D65)</f>
        <v>0</v>
      </c>
      <c r="F65" s="159">
        <f t="shared" si="13"/>
        <v>0</v>
      </c>
      <c r="G65" s="163">
        <f t="shared" si="18"/>
        <v>0</v>
      </c>
      <c r="H65" s="142">
        <f t="shared" si="19"/>
        <v>0</v>
      </c>
      <c r="I65" s="156">
        <f t="shared" si="14"/>
        <v>0</v>
      </c>
      <c r="J65" s="156"/>
      <c r="K65" s="334"/>
      <c r="L65" s="158">
        <f t="shared" si="15"/>
        <v>0</v>
      </c>
      <c r="M65" s="334"/>
      <c r="N65" s="158">
        <f t="shared" si="16"/>
        <v>0</v>
      </c>
      <c r="O65" s="158">
        <f t="shared" si="17"/>
        <v>0</v>
      </c>
      <c r="P65" s="4"/>
    </row>
    <row r="66" spans="1:16">
      <c r="B66" s="9" t="str">
        <f t="shared" si="5"/>
        <v/>
      </c>
      <c r="C66" s="153">
        <f>IF(D11="","-",+C65+1)</f>
        <v>2059</v>
      </c>
      <c r="D66" s="159">
        <f>IF(F65+SUM(E$17:E65)=D$10,F65,D$10-SUM(E$17:E65))</f>
        <v>0</v>
      </c>
      <c r="E66" s="160">
        <f>IF(+I14&lt;F65,I14,D66)</f>
        <v>0</v>
      </c>
      <c r="F66" s="159">
        <f t="shared" si="13"/>
        <v>0</v>
      </c>
      <c r="G66" s="163">
        <f t="shared" si="18"/>
        <v>0</v>
      </c>
      <c r="H66" s="142">
        <f t="shared" si="19"/>
        <v>0</v>
      </c>
      <c r="I66" s="156">
        <f t="shared" si="14"/>
        <v>0</v>
      </c>
      <c r="J66" s="156"/>
      <c r="K66" s="334"/>
      <c r="L66" s="158">
        <f t="shared" si="15"/>
        <v>0</v>
      </c>
      <c r="M66" s="334"/>
      <c r="N66" s="158">
        <f t="shared" si="16"/>
        <v>0</v>
      </c>
      <c r="O66" s="158">
        <f t="shared" si="17"/>
        <v>0</v>
      </c>
      <c r="P66" s="4"/>
    </row>
    <row r="67" spans="1:16">
      <c r="B67" s="9" t="str">
        <f t="shared" si="5"/>
        <v/>
      </c>
      <c r="C67" s="153">
        <f>IF(D11="","-",+C66+1)</f>
        <v>2060</v>
      </c>
      <c r="D67" s="159">
        <f>IF(F66+SUM(E$17:E66)=D$10,F66,D$10-SUM(E$17:E66))</f>
        <v>0</v>
      </c>
      <c r="E67" s="160">
        <f>IF(+I14&lt;F66,I14,D67)</f>
        <v>0</v>
      </c>
      <c r="F67" s="159">
        <f t="shared" si="13"/>
        <v>0</v>
      </c>
      <c r="G67" s="163">
        <f t="shared" si="18"/>
        <v>0</v>
      </c>
      <c r="H67" s="142">
        <f t="shared" si="19"/>
        <v>0</v>
      </c>
      <c r="I67" s="156">
        <f t="shared" si="14"/>
        <v>0</v>
      </c>
      <c r="J67" s="156"/>
      <c r="K67" s="334"/>
      <c r="L67" s="158">
        <f t="shared" si="15"/>
        <v>0</v>
      </c>
      <c r="M67" s="334"/>
      <c r="N67" s="158">
        <f t="shared" si="16"/>
        <v>0</v>
      </c>
      <c r="O67" s="158">
        <f t="shared" si="17"/>
        <v>0</v>
      </c>
      <c r="P67" s="4"/>
    </row>
    <row r="68" spans="1:16">
      <c r="B68" s="9" t="str">
        <f t="shared" si="5"/>
        <v/>
      </c>
      <c r="C68" s="153">
        <f>IF(D11="","-",+C67+1)</f>
        <v>2061</v>
      </c>
      <c r="D68" s="159">
        <f>IF(F67+SUM(E$17:E67)=D$10,F67,D$10-SUM(E$17:E67))</f>
        <v>0</v>
      </c>
      <c r="E68" s="160">
        <f>IF(+I14&lt;F67,I14,D68)</f>
        <v>0</v>
      </c>
      <c r="F68" s="159">
        <f t="shared" si="13"/>
        <v>0</v>
      </c>
      <c r="G68" s="163">
        <f t="shared" si="18"/>
        <v>0</v>
      </c>
      <c r="H68" s="142">
        <f t="shared" si="19"/>
        <v>0</v>
      </c>
      <c r="I68" s="156">
        <f t="shared" si="14"/>
        <v>0</v>
      </c>
      <c r="J68" s="156"/>
      <c r="K68" s="334"/>
      <c r="L68" s="158">
        <f t="shared" si="15"/>
        <v>0</v>
      </c>
      <c r="M68" s="334"/>
      <c r="N68" s="158">
        <f t="shared" si="16"/>
        <v>0</v>
      </c>
      <c r="O68" s="158">
        <f t="shared" si="17"/>
        <v>0</v>
      </c>
      <c r="P68" s="4"/>
    </row>
    <row r="69" spans="1:16">
      <c r="B69" s="9" t="str">
        <f t="shared" si="5"/>
        <v/>
      </c>
      <c r="C69" s="153">
        <f>IF(D11="","-",+C68+1)</f>
        <v>2062</v>
      </c>
      <c r="D69" s="159">
        <f>IF(F68+SUM(E$17:E68)=D$10,F68,D$10-SUM(E$17:E68))</f>
        <v>0</v>
      </c>
      <c r="E69" s="160">
        <f>IF(+I14&lt;F68,I14,D69)</f>
        <v>0</v>
      </c>
      <c r="F69" s="159">
        <f t="shared" si="13"/>
        <v>0</v>
      </c>
      <c r="G69" s="163">
        <f t="shared" si="18"/>
        <v>0</v>
      </c>
      <c r="H69" s="142">
        <f t="shared" si="19"/>
        <v>0</v>
      </c>
      <c r="I69" s="156">
        <f t="shared" si="14"/>
        <v>0</v>
      </c>
      <c r="J69" s="156"/>
      <c r="K69" s="334"/>
      <c r="L69" s="158">
        <f t="shared" si="15"/>
        <v>0</v>
      </c>
      <c r="M69" s="334"/>
      <c r="N69" s="158">
        <f t="shared" si="16"/>
        <v>0</v>
      </c>
      <c r="O69" s="158">
        <f t="shared" si="17"/>
        <v>0</v>
      </c>
      <c r="P69" s="4"/>
    </row>
    <row r="70" spans="1:16">
      <c r="B70" s="9" t="str">
        <f t="shared" si="5"/>
        <v/>
      </c>
      <c r="C70" s="153">
        <f>IF(D11="","-",+C69+1)</f>
        <v>2063</v>
      </c>
      <c r="D70" s="159">
        <f>IF(F69+SUM(E$17:E69)=D$10,F69,D$10-SUM(E$17:E69))</f>
        <v>0</v>
      </c>
      <c r="E70" s="160">
        <f>IF(+I14&lt;F69,I14,D70)</f>
        <v>0</v>
      </c>
      <c r="F70" s="159">
        <f t="shared" si="13"/>
        <v>0</v>
      </c>
      <c r="G70" s="163">
        <f t="shared" si="18"/>
        <v>0</v>
      </c>
      <c r="H70" s="142">
        <f t="shared" si="19"/>
        <v>0</v>
      </c>
      <c r="I70" s="156">
        <f t="shared" si="14"/>
        <v>0</v>
      </c>
      <c r="J70" s="156"/>
      <c r="K70" s="334"/>
      <c r="L70" s="158">
        <f t="shared" si="15"/>
        <v>0</v>
      </c>
      <c r="M70" s="334"/>
      <c r="N70" s="158">
        <f t="shared" si="16"/>
        <v>0</v>
      </c>
      <c r="O70" s="158">
        <f t="shared" si="17"/>
        <v>0</v>
      </c>
      <c r="P70" s="4"/>
    </row>
    <row r="71" spans="1:16">
      <c r="B71" s="9" t="str">
        <f t="shared" si="5"/>
        <v/>
      </c>
      <c r="C71" s="153">
        <f>IF(D11="","-",+C70+1)</f>
        <v>2064</v>
      </c>
      <c r="D71" s="159">
        <f>IF(F70+SUM(E$17:E70)=D$10,F70,D$10-SUM(E$17:E70))</f>
        <v>0</v>
      </c>
      <c r="E71" s="160">
        <f>IF(+I14&lt;F70,I14,D71)</f>
        <v>0</v>
      </c>
      <c r="F71" s="159">
        <f t="shared" si="13"/>
        <v>0</v>
      </c>
      <c r="G71" s="163">
        <f t="shared" si="18"/>
        <v>0</v>
      </c>
      <c r="H71" s="142">
        <f t="shared" si="19"/>
        <v>0</v>
      </c>
      <c r="I71" s="156">
        <f t="shared" si="14"/>
        <v>0</v>
      </c>
      <c r="J71" s="156"/>
      <c r="K71" s="334"/>
      <c r="L71" s="158">
        <f t="shared" si="15"/>
        <v>0</v>
      </c>
      <c r="M71" s="334"/>
      <c r="N71" s="158">
        <f t="shared" si="16"/>
        <v>0</v>
      </c>
      <c r="O71" s="158">
        <f t="shared" si="17"/>
        <v>0</v>
      </c>
      <c r="P71" s="4"/>
    </row>
    <row r="72" spans="1:16" ht="13.5" thickBot="1">
      <c r="B72" s="9" t="str">
        <f t="shared" si="5"/>
        <v/>
      </c>
      <c r="C72" s="164">
        <f>IF(D11="","-",+C71+1)</f>
        <v>2065</v>
      </c>
      <c r="D72" s="165">
        <f>IF(F71+SUM(E$17:E71)=D$10,F71,D$10-SUM(E$17:E71))</f>
        <v>0</v>
      </c>
      <c r="E72" s="166">
        <f>IF(+I14&lt;F71,I14,D72)</f>
        <v>0</v>
      </c>
      <c r="F72" s="165">
        <f t="shared" si="13"/>
        <v>0</v>
      </c>
      <c r="G72" s="167">
        <f t="shared" si="18"/>
        <v>0</v>
      </c>
      <c r="H72" s="124">
        <f t="shared" si="19"/>
        <v>0</v>
      </c>
      <c r="I72" s="168">
        <f t="shared" si="14"/>
        <v>0</v>
      </c>
      <c r="J72" s="156"/>
      <c r="K72" s="335"/>
      <c r="L72" s="169">
        <f t="shared" si="15"/>
        <v>0</v>
      </c>
      <c r="M72" s="335"/>
      <c r="N72" s="169">
        <f t="shared" si="16"/>
        <v>0</v>
      </c>
      <c r="O72" s="169">
        <f t="shared" si="17"/>
        <v>0</v>
      </c>
      <c r="P72" s="4"/>
    </row>
    <row r="73" spans="1:16">
      <c r="C73" s="154" t="s">
        <v>73</v>
      </c>
      <c r="D73" s="111"/>
      <c r="E73" s="111">
        <f>SUM(E17:E72)</f>
        <v>88842.000000000044</v>
      </c>
      <c r="F73" s="111"/>
      <c r="G73" s="111">
        <f>SUM(G17:G72)</f>
        <v>312599.44286138483</v>
      </c>
      <c r="H73" s="111">
        <f>SUM(H17:H72)</f>
        <v>312599.44286138483</v>
      </c>
      <c r="I73" s="111">
        <f>SUM(I17:I72)</f>
        <v>0</v>
      </c>
      <c r="J73" s="111"/>
      <c r="K73" s="111"/>
      <c r="L73" s="111"/>
      <c r="M73" s="111"/>
      <c r="N73" s="111"/>
      <c r="O73" s="4"/>
      <c r="P73" s="4"/>
    </row>
    <row r="74" spans="1:16">
      <c r="D74" s="2"/>
      <c r="E74" s="1"/>
      <c r="F74" s="1"/>
      <c r="G74" s="1"/>
      <c r="H74" s="3"/>
      <c r="I74" s="3"/>
      <c r="J74" s="111"/>
      <c r="K74" s="3"/>
      <c r="L74" s="3"/>
      <c r="M74" s="3"/>
      <c r="N74" s="3"/>
      <c r="O74" s="1"/>
      <c r="P74" s="1"/>
    </row>
    <row r="75" spans="1:16">
      <c r="C75" s="170" t="s">
        <v>91</v>
      </c>
      <c r="D75" s="2"/>
      <c r="E75" s="1"/>
      <c r="F75" s="1"/>
      <c r="G75" s="1"/>
      <c r="H75" s="3"/>
      <c r="I75" s="3"/>
      <c r="J75" s="111"/>
      <c r="K75" s="3"/>
      <c r="L75" s="3"/>
      <c r="M75" s="3"/>
      <c r="N75" s="3"/>
      <c r="O75" s="1"/>
      <c r="P75" s="1"/>
    </row>
    <row r="76" spans="1:16">
      <c r="C76" s="121" t="s">
        <v>74</v>
      </c>
      <c r="D76" s="2"/>
      <c r="E76" s="1"/>
      <c r="F76" s="1"/>
      <c r="G76" s="1"/>
      <c r="H76" s="3"/>
      <c r="I76" s="3"/>
      <c r="J76" s="111"/>
      <c r="K76" s="3"/>
      <c r="L76" s="3"/>
      <c r="M76" s="3"/>
      <c r="N76" s="3"/>
      <c r="O76" s="4"/>
      <c r="P76" s="4"/>
    </row>
    <row r="77" spans="1:16" ht="18">
      <c r="C77" s="121" t="s">
        <v>75</v>
      </c>
      <c r="D77" s="154"/>
      <c r="E77" s="154"/>
      <c r="F77" s="154"/>
      <c r="G77" s="111"/>
      <c r="H77" s="111"/>
      <c r="I77" s="171"/>
      <c r="J77" s="171"/>
      <c r="K77" s="171"/>
      <c r="L77" s="171"/>
      <c r="M77" s="171"/>
      <c r="N77" s="171"/>
      <c r="O77" s="110"/>
      <c r="P77" s="4"/>
    </row>
    <row r="78" spans="1:16">
      <c r="C78" s="121"/>
      <c r="D78" s="154"/>
      <c r="E78" s="154"/>
      <c r="F78" s="154"/>
      <c r="G78" s="111"/>
      <c r="H78" s="111"/>
      <c r="I78" s="171"/>
      <c r="J78" s="171"/>
      <c r="K78" s="171"/>
      <c r="L78" s="171"/>
      <c r="M78" s="171"/>
      <c r="N78" s="171"/>
      <c r="O78" s="4"/>
      <c r="P78" s="1"/>
    </row>
    <row r="79" spans="1:16" ht="15">
      <c r="A79" s="241"/>
      <c r="B79" s="1"/>
      <c r="C79" s="21"/>
      <c r="D79" s="2"/>
      <c r="E79" s="1"/>
      <c r="F79" s="107"/>
      <c r="G79" s="1"/>
      <c r="H79" s="3"/>
      <c r="I79" s="1"/>
      <c r="J79" s="4"/>
      <c r="K79" s="1"/>
      <c r="L79" s="1"/>
      <c r="M79" s="1"/>
      <c r="N79" s="1"/>
    </row>
    <row r="80" spans="1:16" ht="18">
      <c r="B80" s="1"/>
      <c r="C80" s="242"/>
      <c r="D80" s="2"/>
      <c r="E80" s="1"/>
      <c r="F80" s="107"/>
      <c r="G80" s="1"/>
      <c r="H80" s="3"/>
      <c r="I80" s="1"/>
      <c r="J80" s="4"/>
      <c r="K80" s="1"/>
      <c r="L80" s="1"/>
      <c r="M80" s="1"/>
      <c r="N80" s="1"/>
      <c r="P80" s="244" t="s">
        <v>125</v>
      </c>
    </row>
    <row r="81" spans="1:17">
      <c r="B81" s="1"/>
      <c r="C81" s="242"/>
      <c r="D81" s="2"/>
      <c r="E81" s="1"/>
      <c r="F81" s="107"/>
      <c r="G81" s="1"/>
      <c r="H81" s="3"/>
      <c r="I81" s="1"/>
      <c r="J81" s="4"/>
      <c r="K81" s="1"/>
      <c r="L81" s="1"/>
      <c r="M81" s="1"/>
      <c r="N81" s="1"/>
      <c r="O81" s="1"/>
      <c r="P81" s="1"/>
    </row>
    <row r="82" spans="1:17">
      <c r="B82" s="1"/>
      <c r="C82" s="21"/>
      <c r="D82" s="2"/>
      <c r="E82" s="1"/>
      <c r="F82" s="107"/>
      <c r="G82" s="1"/>
      <c r="H82" s="3"/>
      <c r="I82" s="1"/>
      <c r="J82" s="4"/>
      <c r="K82" s="1"/>
      <c r="L82" s="1"/>
      <c r="M82" s="1"/>
      <c r="N82" s="1"/>
      <c r="O82" s="1"/>
      <c r="P82" s="1"/>
      <c r="Q82" s="1"/>
    </row>
    <row r="83" spans="1:17" ht="20.25">
      <c r="A83" s="243" t="s">
        <v>129</v>
      </c>
      <c r="B83" s="1"/>
      <c r="C83" s="21"/>
      <c r="D83" s="2"/>
      <c r="E83" s="1"/>
      <c r="F83" s="99"/>
      <c r="G83" s="99"/>
      <c r="H83" s="1"/>
      <c r="I83" s="3"/>
      <c r="K83" s="7"/>
      <c r="L83" s="109"/>
      <c r="M83" s="109"/>
      <c r="P83" s="110" t="str">
        <f ca="1">P1</f>
        <v>SWEPCO Project 25 of 73</v>
      </c>
      <c r="Q83" s="1"/>
    </row>
    <row r="84" spans="1:17" ht="18">
      <c r="B84" s="1"/>
      <c r="C84" s="1"/>
      <c r="D84" s="2"/>
      <c r="E84" s="1"/>
      <c r="F84" s="1"/>
      <c r="G84" s="1"/>
      <c r="H84" s="1"/>
      <c r="I84" s="3"/>
      <c r="J84" s="1"/>
      <c r="K84" s="4"/>
      <c r="L84" s="1"/>
      <c r="M84" s="1"/>
      <c r="P84" s="237" t="s">
        <v>123</v>
      </c>
      <c r="Q84" s="1"/>
    </row>
    <row r="85" spans="1:17" ht="18.75" thickBot="1">
      <c r="B85" s="5" t="s">
        <v>40</v>
      </c>
      <c r="C85" s="197" t="s">
        <v>78</v>
      </c>
      <c r="D85" s="2"/>
      <c r="E85" s="1"/>
      <c r="F85" s="1"/>
      <c r="G85" s="1"/>
      <c r="H85" s="1"/>
      <c r="I85" s="3"/>
      <c r="J85" s="3"/>
      <c r="K85" s="111"/>
      <c r="L85" s="3"/>
      <c r="M85" s="3"/>
      <c r="N85" s="3"/>
      <c r="O85" s="111"/>
      <c r="P85" s="1"/>
      <c r="Q85" s="1"/>
    </row>
    <row r="86" spans="1:17" ht="15.75" thickBot="1">
      <c r="C86" s="67"/>
      <c r="D86" s="2"/>
      <c r="E86" s="1"/>
      <c r="F86" s="1"/>
      <c r="G86" s="1"/>
      <c r="H86" s="1"/>
      <c r="I86" s="3"/>
      <c r="J86" s="3"/>
      <c r="K86" s="111"/>
      <c r="L86" s="265">
        <f>+J92</f>
        <v>2017</v>
      </c>
      <c r="M86" s="266" t="s">
        <v>7</v>
      </c>
      <c r="N86" s="270" t="s">
        <v>154</v>
      </c>
      <c r="O86" s="267" t="s">
        <v>9</v>
      </c>
      <c r="P86" s="1"/>
      <c r="Q86" s="1"/>
    </row>
    <row r="87" spans="1:17" ht="15">
      <c r="C87" s="235" t="s">
        <v>42</v>
      </c>
      <c r="D87" s="2"/>
      <c r="E87" s="1"/>
      <c r="F87" s="1"/>
      <c r="G87" s="1"/>
      <c r="H87" s="113"/>
      <c r="I87" s="1" t="s">
        <v>43</v>
      </c>
      <c r="J87" s="1"/>
      <c r="K87" s="261"/>
      <c r="L87" s="259" t="s">
        <v>381</v>
      </c>
      <c r="M87" s="198">
        <f>IF(J92&lt;D11,0,VLOOKUP(J92,C17:O72,9))</f>
        <v>11366.166201307635</v>
      </c>
      <c r="N87" s="198">
        <f>IF(J92&lt;D11,0,VLOOKUP(J92,C17:O72,11))</f>
        <v>11366.166201307635</v>
      </c>
      <c r="O87" s="199">
        <f>+N87-M87</f>
        <v>0</v>
      </c>
      <c r="P87" s="1"/>
      <c r="Q87" s="1"/>
    </row>
    <row r="88" spans="1:17" ht="15.75">
      <c r="C88" s="8"/>
      <c r="D88" s="2"/>
      <c r="E88" s="1"/>
      <c r="F88" s="1"/>
      <c r="G88" s="1"/>
      <c r="H88" s="1"/>
      <c r="I88" s="117"/>
      <c r="J88" s="117"/>
      <c r="K88" s="263"/>
      <c r="L88" s="264" t="s">
        <v>382</v>
      </c>
      <c r="M88" s="200">
        <f>IF(J92&lt;D11,0,VLOOKUP(J92,C99:P154,6))</f>
        <v>11242.874011372322</v>
      </c>
      <c r="N88" s="200">
        <f>IF(J92&lt;D11,0,VLOOKUP(J92,C99:P154,7))</f>
        <v>11242.874011372322</v>
      </c>
      <c r="O88" s="201">
        <f>+N88-M88</f>
        <v>0</v>
      </c>
      <c r="P88" s="1"/>
      <c r="Q88" s="1"/>
    </row>
    <row r="89" spans="1:17" ht="13.5" thickBot="1">
      <c r="C89" s="121" t="s">
        <v>79</v>
      </c>
      <c r="D89" s="274" t="str">
        <f>D7</f>
        <v>Replace switch at Diana*</v>
      </c>
      <c r="E89" s="1"/>
      <c r="F89" s="1"/>
      <c r="G89" s="1"/>
      <c r="H89" s="1"/>
      <c r="I89" s="3"/>
      <c r="J89" s="3"/>
      <c r="K89" s="262"/>
      <c r="L89" s="260" t="s">
        <v>151</v>
      </c>
      <c r="M89" s="203">
        <f>+M88-M87</f>
        <v>-123.29218993531322</v>
      </c>
      <c r="N89" s="203">
        <f>+N88-N87</f>
        <v>-123.29218993531322</v>
      </c>
      <c r="O89" s="204">
        <f>+O88-O87</f>
        <v>0</v>
      </c>
      <c r="P89" s="1"/>
      <c r="Q89" s="1"/>
    </row>
    <row r="90" spans="1:17" ht="13.5" thickBot="1">
      <c r="C90" s="170"/>
      <c r="D90" s="173" t="str">
        <f>D8</f>
        <v>DOES NOT MEET SPP $100,000 MINIMUM INVESTMENT FOR REGIONAL BPU SHARING.</v>
      </c>
      <c r="E90" s="107"/>
      <c r="F90" s="107"/>
      <c r="G90" s="107"/>
      <c r="H90" s="126"/>
      <c r="I90" s="3"/>
      <c r="J90" s="3"/>
      <c r="K90" s="111"/>
      <c r="L90" s="3"/>
      <c r="M90" s="3"/>
      <c r="N90" s="3"/>
      <c r="O90" s="111"/>
      <c r="P90" s="1"/>
      <c r="Q90" s="1"/>
    </row>
    <row r="91" spans="1:17" ht="13.5" thickBot="1">
      <c r="A91" s="103"/>
      <c r="C91" s="205" t="s">
        <v>80</v>
      </c>
      <c r="D91" s="224" t="str">
        <f>+D9</f>
        <v>TP2009012</v>
      </c>
      <c r="E91" s="206"/>
      <c r="F91" s="206"/>
      <c r="G91" s="206"/>
      <c r="H91" s="206"/>
      <c r="I91" s="206"/>
      <c r="J91" s="238"/>
      <c r="K91" s="207"/>
      <c r="P91" s="131"/>
      <c r="Q91" s="1"/>
    </row>
    <row r="92" spans="1:17">
      <c r="C92" s="136" t="s">
        <v>47</v>
      </c>
      <c r="D92" s="133">
        <f>IF(D11=I10,0,D10)</f>
        <v>88842</v>
      </c>
      <c r="E92" s="21" t="s">
        <v>81</v>
      </c>
      <c r="H92" s="134"/>
      <c r="I92" s="134"/>
      <c r="J92" s="135">
        <f>+'SWE.WS.G.BPU.ATRR.True-up'!M15</f>
        <v>2017</v>
      </c>
      <c r="K92" s="130"/>
      <c r="L92" s="111" t="s">
        <v>82</v>
      </c>
      <c r="P92" s="4"/>
      <c r="Q92" s="1"/>
    </row>
    <row r="93" spans="1:17">
      <c r="C93" s="136" t="s">
        <v>49</v>
      </c>
      <c r="D93" s="219">
        <f>IF(D11=I10,"",D11)</f>
        <v>2010</v>
      </c>
      <c r="E93" s="136" t="s">
        <v>50</v>
      </c>
      <c r="F93" s="134"/>
      <c r="G93" s="134"/>
      <c r="J93" s="138">
        <f>IF(H87="",0,'SWE.WS.G.BPU.ATRR.True-up'!$F$12)</f>
        <v>0</v>
      </c>
      <c r="K93" s="139"/>
      <c r="L93" t="str">
        <f>"          INPUT TRUE-UP ARR (WITH &amp; WITHOUT INCENTIVES) FROM EACH PRIOR YEAR"</f>
        <v xml:space="preserve">          INPUT TRUE-UP ARR (WITH &amp; WITHOUT INCENTIVES) FROM EACH PRIOR YEAR</v>
      </c>
      <c r="P93" s="4"/>
      <c r="Q93" s="1"/>
    </row>
    <row r="94" spans="1:17">
      <c r="C94" s="136" t="s">
        <v>51</v>
      </c>
      <c r="D94" s="218">
        <f>IF(D11=I10,"",D12)</f>
        <v>12</v>
      </c>
      <c r="E94" s="136" t="s">
        <v>52</v>
      </c>
      <c r="F94" s="134"/>
      <c r="G94" s="134"/>
      <c r="J94" s="140">
        <f>'SWE.WS.G.BPU.ATRR.True-up'!$F$80</f>
        <v>0.12147145768398206</v>
      </c>
      <c r="K94" s="141"/>
      <c r="L94" t="s">
        <v>83</v>
      </c>
      <c r="P94" s="4"/>
      <c r="Q94" s="1"/>
    </row>
    <row r="95" spans="1:17">
      <c r="C95" s="136" t="s">
        <v>54</v>
      </c>
      <c r="D95" s="138">
        <f>'SWE.WS.G.BPU.ATRR.True-up'!F$92</f>
        <v>42</v>
      </c>
      <c r="E95" s="136" t="s">
        <v>55</v>
      </c>
      <c r="F95" s="134"/>
      <c r="G95" s="134"/>
      <c r="J95" s="140">
        <f>IF(H87="",J94,'SWE.WS.G.BPU.ATRR.True-up'!$F$79)</f>
        <v>0.12147145768398206</v>
      </c>
      <c r="K95" s="58"/>
      <c r="L95" s="111" t="s">
        <v>56</v>
      </c>
      <c r="M95" s="58"/>
      <c r="N95" s="58"/>
      <c r="O95" s="58"/>
      <c r="P95" s="4"/>
      <c r="Q95" s="1"/>
    </row>
    <row r="96" spans="1:17" ht="13.5" thickBot="1">
      <c r="C96" s="136" t="s">
        <v>57</v>
      </c>
      <c r="D96" s="220" t="str">
        <f>+D14</f>
        <v>No</v>
      </c>
      <c r="E96" s="202" t="s">
        <v>59</v>
      </c>
      <c r="F96" s="208"/>
      <c r="G96" s="208"/>
      <c r="H96" s="209"/>
      <c r="I96" s="209"/>
      <c r="J96" s="124">
        <f>IF(D92=0,0,D92/D95)</f>
        <v>2115.2857142857142</v>
      </c>
      <c r="K96" s="111"/>
      <c r="L96" s="111"/>
      <c r="M96" s="111"/>
      <c r="N96" s="111"/>
      <c r="O96" s="111"/>
      <c r="P96" s="4"/>
      <c r="Q96" s="1"/>
    </row>
    <row r="97" spans="1:17" ht="38.25">
      <c r="A97" s="6"/>
      <c r="B97" s="6"/>
      <c r="C97" s="210" t="s">
        <v>47</v>
      </c>
      <c r="D97" s="211" t="s">
        <v>60</v>
      </c>
      <c r="E97" s="146" t="s">
        <v>61</v>
      </c>
      <c r="F97" s="146" t="s">
        <v>62</v>
      </c>
      <c r="G97" s="144" t="s">
        <v>84</v>
      </c>
      <c r="H97" s="434" t="s">
        <v>378</v>
      </c>
      <c r="I97" s="435" t="s">
        <v>379</v>
      </c>
      <c r="J97" s="210" t="s">
        <v>85</v>
      </c>
      <c r="K97" s="212"/>
      <c r="L97" s="271" t="s">
        <v>220</v>
      </c>
      <c r="M97" s="146" t="s">
        <v>86</v>
      </c>
      <c r="N97" s="271" t="s">
        <v>220</v>
      </c>
      <c r="O97" s="146" t="s">
        <v>86</v>
      </c>
      <c r="P97" s="146" t="s">
        <v>65</v>
      </c>
      <c r="Q97" s="1"/>
    </row>
    <row r="98" spans="1:17" ht="13.5" thickBot="1">
      <c r="C98" s="147" t="s">
        <v>66</v>
      </c>
      <c r="D98" s="213" t="s">
        <v>67</v>
      </c>
      <c r="E98" s="147" t="s">
        <v>68</v>
      </c>
      <c r="F98" s="147" t="s">
        <v>67</v>
      </c>
      <c r="G98" s="147" t="s">
        <v>67</v>
      </c>
      <c r="H98" s="407" t="s">
        <v>69</v>
      </c>
      <c r="I98" s="148" t="s">
        <v>70</v>
      </c>
      <c r="J98" s="149" t="s">
        <v>89</v>
      </c>
      <c r="K98" s="150"/>
      <c r="L98" s="151" t="s">
        <v>72</v>
      </c>
      <c r="M98" s="151" t="s">
        <v>72</v>
      </c>
      <c r="N98" s="151" t="s">
        <v>90</v>
      </c>
      <c r="O98" s="151" t="s">
        <v>90</v>
      </c>
      <c r="P98" s="151" t="s">
        <v>90</v>
      </c>
      <c r="Q98" s="1"/>
    </row>
    <row r="99" spans="1:17">
      <c r="C99" s="153">
        <f>IF(D93= "","-",D93)</f>
        <v>2010</v>
      </c>
      <c r="D99" s="357">
        <v>0</v>
      </c>
      <c r="E99" s="360">
        <v>0</v>
      </c>
      <c r="F99" s="361">
        <v>88842</v>
      </c>
      <c r="G99" s="365">
        <v>44421</v>
      </c>
      <c r="H99" s="362">
        <v>7333.2888535266693</v>
      </c>
      <c r="I99" s="363">
        <v>7333.2888535266693</v>
      </c>
      <c r="J99" s="158">
        <f t="shared" ref="J99:J130" si="20">+I99-H99</f>
        <v>0</v>
      </c>
      <c r="K99" s="158"/>
      <c r="L99" s="256">
        <f t="shared" ref="L99:L104" si="21">H99</f>
        <v>7333.2888535266693</v>
      </c>
      <c r="M99" s="172">
        <f t="shared" ref="M99:M130" si="22">IF(L99&lt;&gt;0,+H99-L99,0)</f>
        <v>0</v>
      </c>
      <c r="N99" s="256">
        <f t="shared" ref="N99:N104" si="23">I99</f>
        <v>7333.2888535266693</v>
      </c>
      <c r="O99" s="157">
        <f t="shared" ref="O99:O130" si="24">IF(N99&lt;&gt;0,+I99-N99,0)</f>
        <v>0</v>
      </c>
      <c r="P99" s="157">
        <f t="shared" ref="P99:P130" si="25">+O99-M99</f>
        <v>0</v>
      </c>
      <c r="Q99" s="1"/>
    </row>
    <row r="100" spans="1:17">
      <c r="B100" s="9" t="str">
        <f>IF(D100=F99,"","IU")</f>
        <v/>
      </c>
      <c r="C100" s="153">
        <f>IF(D93="","-",+C99+1)</f>
        <v>2011</v>
      </c>
      <c r="D100" s="357">
        <v>88842</v>
      </c>
      <c r="E100" s="360">
        <v>2115.2857142857142</v>
      </c>
      <c r="F100" s="361">
        <v>86726.71428571429</v>
      </c>
      <c r="G100" s="361">
        <v>87784.357142857145</v>
      </c>
      <c r="H100" s="360">
        <v>15316.288674280955</v>
      </c>
      <c r="I100" s="359">
        <v>15316.288674280955</v>
      </c>
      <c r="J100" s="158">
        <f t="shared" si="20"/>
        <v>0</v>
      </c>
      <c r="K100" s="158"/>
      <c r="L100" s="258">
        <f t="shared" si="21"/>
        <v>15316.288674280955</v>
      </c>
      <c r="M100" s="257">
        <f t="shared" si="22"/>
        <v>0</v>
      </c>
      <c r="N100" s="258">
        <f t="shared" si="23"/>
        <v>15316.288674280955</v>
      </c>
      <c r="O100" s="158">
        <f t="shared" si="24"/>
        <v>0</v>
      </c>
      <c r="P100" s="158">
        <f t="shared" si="25"/>
        <v>0</v>
      </c>
      <c r="Q100" s="1"/>
    </row>
    <row r="101" spans="1:17">
      <c r="B101" s="9" t="str">
        <f t="shared" ref="B101:B154" si="26">IF(D101=F100,"","IU")</f>
        <v/>
      </c>
      <c r="C101" s="153">
        <f>IF(D93="","-",+C100+1)</f>
        <v>2012</v>
      </c>
      <c r="D101" s="357">
        <v>86726.71428571429</v>
      </c>
      <c r="E101" s="360">
        <v>2115.2857142857142</v>
      </c>
      <c r="F101" s="361">
        <v>84611.42857142858</v>
      </c>
      <c r="G101" s="361">
        <v>85669.071428571435</v>
      </c>
      <c r="H101" s="360">
        <v>14721.826408325345</v>
      </c>
      <c r="I101" s="359">
        <v>14721.826408325345</v>
      </c>
      <c r="J101" s="158">
        <f t="shared" si="20"/>
        <v>0</v>
      </c>
      <c r="K101" s="158"/>
      <c r="L101" s="258">
        <f t="shared" si="21"/>
        <v>14721.826408325345</v>
      </c>
      <c r="M101" s="257">
        <f t="shared" si="22"/>
        <v>0</v>
      </c>
      <c r="N101" s="258">
        <f t="shared" si="23"/>
        <v>14721.826408325345</v>
      </c>
      <c r="O101" s="158">
        <f t="shared" si="24"/>
        <v>0</v>
      </c>
      <c r="P101" s="158">
        <f t="shared" si="25"/>
        <v>0</v>
      </c>
      <c r="Q101" s="1"/>
    </row>
    <row r="102" spans="1:17">
      <c r="B102" s="9" t="str">
        <f t="shared" si="26"/>
        <v/>
      </c>
      <c r="C102" s="153">
        <f>IF(D93="","-",+C101+1)</f>
        <v>2013</v>
      </c>
      <c r="D102" s="357">
        <v>84611.42857142858</v>
      </c>
      <c r="E102" s="360">
        <v>2115.2857142857142</v>
      </c>
      <c r="F102" s="361">
        <v>82496.14285714287</v>
      </c>
      <c r="G102" s="361">
        <v>83553.785714285725</v>
      </c>
      <c r="H102" s="360">
        <v>13419.419617970232</v>
      </c>
      <c r="I102" s="359">
        <v>13419.419617970232</v>
      </c>
      <c r="J102" s="158">
        <v>0</v>
      </c>
      <c r="K102" s="158"/>
      <c r="L102" s="258">
        <f t="shared" si="21"/>
        <v>13419.419617970232</v>
      </c>
      <c r="M102" s="257">
        <f>IF(L102&lt;&gt;0,+H102-L102,0)</f>
        <v>0</v>
      </c>
      <c r="N102" s="258">
        <f t="shared" si="23"/>
        <v>13419.419617970232</v>
      </c>
      <c r="O102" s="158">
        <f>IF(N102&lt;&gt;0,+I102-N102,0)</f>
        <v>0</v>
      </c>
      <c r="P102" s="158">
        <f>+O102-M102</f>
        <v>0</v>
      </c>
      <c r="Q102" s="1"/>
    </row>
    <row r="103" spans="1:17">
      <c r="B103" s="9" t="str">
        <f t="shared" si="26"/>
        <v/>
      </c>
      <c r="C103" s="153">
        <f>IF(D93="","-",+C102+1)</f>
        <v>2014</v>
      </c>
      <c r="D103" s="357">
        <v>82496.14285714287</v>
      </c>
      <c r="E103" s="360">
        <v>2115.2857142857142</v>
      </c>
      <c r="F103" s="361">
        <v>80380.857142857159</v>
      </c>
      <c r="G103" s="361">
        <v>81438.500000000015</v>
      </c>
      <c r="H103" s="360">
        <v>13184.68839231506</v>
      </c>
      <c r="I103" s="359">
        <v>13184.68839231506</v>
      </c>
      <c r="J103" s="158">
        <v>0</v>
      </c>
      <c r="K103" s="158"/>
      <c r="L103" s="258">
        <f t="shared" si="21"/>
        <v>13184.68839231506</v>
      </c>
      <c r="M103" s="257">
        <f>IF(L103&lt;&gt;0,+H103-L103,0)</f>
        <v>0</v>
      </c>
      <c r="N103" s="258">
        <f t="shared" si="23"/>
        <v>13184.68839231506</v>
      </c>
      <c r="O103" s="158">
        <f>IF(N103&lt;&gt;0,+I103-N103,0)</f>
        <v>0</v>
      </c>
      <c r="P103" s="158">
        <f>+O103-M103</f>
        <v>0</v>
      </c>
      <c r="Q103" s="1"/>
    </row>
    <row r="104" spans="1:17">
      <c r="B104" s="9" t="str">
        <f t="shared" si="26"/>
        <v/>
      </c>
      <c r="C104" s="153">
        <f>IF(D93="","-",+C103+1)</f>
        <v>2015</v>
      </c>
      <c r="D104" s="357">
        <v>80380.857142857159</v>
      </c>
      <c r="E104" s="360">
        <v>2115.2857142857142</v>
      </c>
      <c r="F104" s="361">
        <v>78265.571428571449</v>
      </c>
      <c r="G104" s="361">
        <v>79323.214285714304</v>
      </c>
      <c r="H104" s="360">
        <v>12567.616650151769</v>
      </c>
      <c r="I104" s="359">
        <v>12567.616650151769</v>
      </c>
      <c r="J104" s="158">
        <f t="shared" si="20"/>
        <v>0</v>
      </c>
      <c r="K104" s="158"/>
      <c r="L104" s="258">
        <f t="shared" si="21"/>
        <v>12567.616650151769</v>
      </c>
      <c r="M104" s="257">
        <f>IF(L104&lt;&gt;0,+H104-L104,0)</f>
        <v>0</v>
      </c>
      <c r="N104" s="258">
        <f t="shared" si="23"/>
        <v>12567.616650151769</v>
      </c>
      <c r="O104" s="158">
        <f>IF(N104&lt;&gt;0,+I104-N104,0)</f>
        <v>0</v>
      </c>
      <c r="P104" s="158">
        <f>+O104-M104</f>
        <v>0</v>
      </c>
      <c r="Q104" s="1"/>
    </row>
    <row r="105" spans="1:17">
      <c r="B105" s="9" t="str">
        <f t="shared" si="26"/>
        <v/>
      </c>
      <c r="C105" s="153">
        <f>IF(D93="","-",+C104+1)</f>
        <v>2016</v>
      </c>
      <c r="D105" s="357">
        <v>78265.571428571449</v>
      </c>
      <c r="E105" s="360">
        <v>2066.0930232558139</v>
      </c>
      <c r="F105" s="361">
        <v>76199.478405315633</v>
      </c>
      <c r="G105" s="361">
        <v>77232.524916943541</v>
      </c>
      <c r="H105" s="360">
        <v>11870.761156942419</v>
      </c>
      <c r="I105" s="359">
        <v>11870.761156942419</v>
      </c>
      <c r="J105" s="158">
        <v>0</v>
      </c>
      <c r="K105" s="158"/>
      <c r="L105" s="258">
        <f>H105</f>
        <v>11870.761156942419</v>
      </c>
      <c r="M105" s="257">
        <f>IF(L105&lt;&gt;0,+H105-L105,0)</f>
        <v>0</v>
      </c>
      <c r="N105" s="258">
        <f>I105</f>
        <v>11870.761156942419</v>
      </c>
      <c r="O105" s="158">
        <f>IF(N105&lt;&gt;0,+I105-N105,0)</f>
        <v>0</v>
      </c>
      <c r="P105" s="158">
        <f>+O105-M105</f>
        <v>0</v>
      </c>
      <c r="Q105" s="1"/>
    </row>
    <row r="106" spans="1:17">
      <c r="B106" s="9" t="str">
        <f t="shared" si="26"/>
        <v/>
      </c>
      <c r="C106" s="153">
        <f>IF(D93="","-",+C105+1)</f>
        <v>2017</v>
      </c>
      <c r="D106" s="154">
        <f>IF(F105+SUM(E$99:E105)=D$92,F105,D$92-SUM(E$99:E105))</f>
        <v>76199.478405315633</v>
      </c>
      <c r="E106" s="160">
        <f>IF(+J96&lt;F105,J96,D106)</f>
        <v>2115.2857142857142</v>
      </c>
      <c r="F106" s="159">
        <f t="shared" ref="F106:F131" si="27">+D106-E106</f>
        <v>74084.192691029923</v>
      </c>
      <c r="G106" s="159">
        <f t="shared" ref="G106:G130" si="28">+(F106+D106)/2</f>
        <v>75141.835548172778</v>
      </c>
      <c r="H106" s="163">
        <f t="shared" ref="H106:H130" si="29">+J$94*G106+E106</f>
        <v>11242.874011372322</v>
      </c>
      <c r="I106" s="253">
        <f t="shared" ref="I106:I130" si="30">+J$95*G106+E106</f>
        <v>11242.874011372322</v>
      </c>
      <c r="J106" s="158">
        <f t="shared" si="20"/>
        <v>0</v>
      </c>
      <c r="K106" s="158"/>
      <c r="L106" s="334"/>
      <c r="M106" s="158">
        <f t="shared" si="22"/>
        <v>0</v>
      </c>
      <c r="N106" s="334"/>
      <c r="O106" s="158">
        <f t="shared" si="24"/>
        <v>0</v>
      </c>
      <c r="P106" s="158">
        <f t="shared" si="25"/>
        <v>0</v>
      </c>
      <c r="Q106" s="1"/>
    </row>
    <row r="107" spans="1:17">
      <c r="B107" s="9" t="str">
        <f t="shared" si="26"/>
        <v/>
      </c>
      <c r="C107" s="153">
        <f>IF(D93="","-",+C106+1)</f>
        <v>2018</v>
      </c>
      <c r="D107" s="154">
        <f>IF(F106+SUM(E$99:E106)=D$92,F106,D$92-SUM(E$99:E106))</f>
        <v>74084.192691029923</v>
      </c>
      <c r="E107" s="160">
        <f>IF(+J96&lt;F106,J96,D107)</f>
        <v>2115.2857142857142</v>
      </c>
      <c r="F107" s="159">
        <f t="shared" si="27"/>
        <v>71968.906976744212</v>
      </c>
      <c r="G107" s="159">
        <f t="shared" si="28"/>
        <v>73026.549833887068</v>
      </c>
      <c r="H107" s="163">
        <f t="shared" si="29"/>
        <v>10985.927172239933</v>
      </c>
      <c r="I107" s="253">
        <f t="shared" si="30"/>
        <v>10985.927172239933</v>
      </c>
      <c r="J107" s="158">
        <f t="shared" si="20"/>
        <v>0</v>
      </c>
      <c r="K107" s="158"/>
      <c r="L107" s="334"/>
      <c r="M107" s="158">
        <f t="shared" si="22"/>
        <v>0</v>
      </c>
      <c r="N107" s="334"/>
      <c r="O107" s="158">
        <f t="shared" si="24"/>
        <v>0</v>
      </c>
      <c r="P107" s="158">
        <f t="shared" si="25"/>
        <v>0</v>
      </c>
      <c r="Q107" s="1"/>
    </row>
    <row r="108" spans="1:17">
      <c r="B108" s="9" t="str">
        <f t="shared" si="26"/>
        <v/>
      </c>
      <c r="C108" s="153">
        <f>IF(D93="","-",+C107+1)</f>
        <v>2019</v>
      </c>
      <c r="D108" s="154">
        <f>IF(F107+SUM(E$99:E107)=D$92,F107,D$92-SUM(E$99:E107))</f>
        <v>71968.906976744212</v>
      </c>
      <c r="E108" s="160">
        <f>IF(+J96&lt;F107,J96,D108)</f>
        <v>2115.2857142857142</v>
      </c>
      <c r="F108" s="159">
        <f t="shared" si="27"/>
        <v>69853.621262458502</v>
      </c>
      <c r="G108" s="159">
        <f t="shared" si="28"/>
        <v>70911.264119601357</v>
      </c>
      <c r="H108" s="163">
        <f t="shared" si="29"/>
        <v>10728.980333107545</v>
      </c>
      <c r="I108" s="253">
        <f t="shared" si="30"/>
        <v>10728.980333107545</v>
      </c>
      <c r="J108" s="158">
        <f t="shared" si="20"/>
        <v>0</v>
      </c>
      <c r="K108" s="158"/>
      <c r="L108" s="334"/>
      <c r="M108" s="158">
        <f t="shared" si="22"/>
        <v>0</v>
      </c>
      <c r="N108" s="334"/>
      <c r="O108" s="158">
        <f t="shared" si="24"/>
        <v>0</v>
      </c>
      <c r="P108" s="158">
        <f t="shared" si="25"/>
        <v>0</v>
      </c>
      <c r="Q108" s="1"/>
    </row>
    <row r="109" spans="1:17">
      <c r="B109" s="9" t="str">
        <f t="shared" si="26"/>
        <v/>
      </c>
      <c r="C109" s="153">
        <f>IF(D93="","-",+C108+1)</f>
        <v>2020</v>
      </c>
      <c r="D109" s="154">
        <f>IF(F108+SUM(E$99:E108)=D$92,F108,D$92-SUM(E$99:E108))</f>
        <v>69853.621262458502</v>
      </c>
      <c r="E109" s="160">
        <f>IF(+J96&lt;F108,J96,D109)</f>
        <v>2115.2857142857142</v>
      </c>
      <c r="F109" s="159">
        <f t="shared" si="27"/>
        <v>67738.335548172792</v>
      </c>
      <c r="G109" s="159">
        <f t="shared" si="28"/>
        <v>68795.978405315647</v>
      </c>
      <c r="H109" s="163">
        <f t="shared" si="29"/>
        <v>10472.033493975157</v>
      </c>
      <c r="I109" s="253">
        <f t="shared" si="30"/>
        <v>10472.033493975157</v>
      </c>
      <c r="J109" s="158">
        <f t="shared" si="20"/>
        <v>0</v>
      </c>
      <c r="K109" s="158"/>
      <c r="L109" s="334"/>
      <c r="M109" s="158">
        <f t="shared" si="22"/>
        <v>0</v>
      </c>
      <c r="N109" s="334"/>
      <c r="O109" s="158">
        <f t="shared" si="24"/>
        <v>0</v>
      </c>
      <c r="P109" s="158">
        <f t="shared" si="25"/>
        <v>0</v>
      </c>
      <c r="Q109" s="1"/>
    </row>
    <row r="110" spans="1:17">
      <c r="B110" s="9" t="str">
        <f t="shared" si="26"/>
        <v/>
      </c>
      <c r="C110" s="153">
        <f>IF(D93="","-",+C109+1)</f>
        <v>2021</v>
      </c>
      <c r="D110" s="154">
        <f>IF(F109+SUM(E$99:E109)=D$92,F109,D$92-SUM(E$99:E109))</f>
        <v>67738.335548172792</v>
      </c>
      <c r="E110" s="160">
        <f>IF(+J96&lt;F109,J96,D110)</f>
        <v>2115.2857142857142</v>
      </c>
      <c r="F110" s="159">
        <f t="shared" si="27"/>
        <v>65623.049833887082</v>
      </c>
      <c r="G110" s="159">
        <f t="shared" si="28"/>
        <v>66680.692691029937</v>
      </c>
      <c r="H110" s="163">
        <f t="shared" si="29"/>
        <v>10215.086654842769</v>
      </c>
      <c r="I110" s="253">
        <f t="shared" si="30"/>
        <v>10215.086654842769</v>
      </c>
      <c r="J110" s="158">
        <f t="shared" si="20"/>
        <v>0</v>
      </c>
      <c r="K110" s="158"/>
      <c r="L110" s="334"/>
      <c r="M110" s="158">
        <f t="shared" si="22"/>
        <v>0</v>
      </c>
      <c r="N110" s="334"/>
      <c r="O110" s="158">
        <f t="shared" si="24"/>
        <v>0</v>
      </c>
      <c r="P110" s="158">
        <f t="shared" si="25"/>
        <v>0</v>
      </c>
      <c r="Q110" s="1"/>
    </row>
    <row r="111" spans="1:17">
      <c r="B111" s="9" t="str">
        <f t="shared" si="26"/>
        <v/>
      </c>
      <c r="C111" s="153">
        <f>IF(D93="","-",+C110+1)</f>
        <v>2022</v>
      </c>
      <c r="D111" s="154">
        <f>IF(F110+SUM(E$99:E110)=D$92,F110,D$92-SUM(E$99:E110))</f>
        <v>65623.049833887082</v>
      </c>
      <c r="E111" s="160">
        <f>IF(+J96&lt;F110,J96,D111)</f>
        <v>2115.2857142857142</v>
      </c>
      <c r="F111" s="159">
        <f t="shared" si="27"/>
        <v>63507.764119601365</v>
      </c>
      <c r="G111" s="159">
        <f t="shared" si="28"/>
        <v>64565.406976744227</v>
      </c>
      <c r="H111" s="163">
        <f t="shared" si="29"/>
        <v>9958.1398157103813</v>
      </c>
      <c r="I111" s="253">
        <f t="shared" si="30"/>
        <v>9958.1398157103813</v>
      </c>
      <c r="J111" s="158">
        <f t="shared" si="20"/>
        <v>0</v>
      </c>
      <c r="K111" s="158"/>
      <c r="L111" s="334"/>
      <c r="M111" s="158">
        <f t="shared" si="22"/>
        <v>0</v>
      </c>
      <c r="N111" s="334"/>
      <c r="O111" s="158">
        <f t="shared" si="24"/>
        <v>0</v>
      </c>
      <c r="P111" s="158">
        <f t="shared" si="25"/>
        <v>0</v>
      </c>
      <c r="Q111" s="1"/>
    </row>
    <row r="112" spans="1:17">
      <c r="B112" s="9" t="str">
        <f t="shared" si="26"/>
        <v/>
      </c>
      <c r="C112" s="153">
        <f>IF(D93="","-",+C111+1)</f>
        <v>2023</v>
      </c>
      <c r="D112" s="154">
        <f>IF(F111+SUM(E$99:E111)=D$92,F111,D$92-SUM(E$99:E111))</f>
        <v>63507.764119601365</v>
      </c>
      <c r="E112" s="160">
        <f>IF(+J96&lt;F111,J96,D112)</f>
        <v>2115.2857142857142</v>
      </c>
      <c r="F112" s="159">
        <f t="shared" si="27"/>
        <v>61392.478405315647</v>
      </c>
      <c r="G112" s="159">
        <f t="shared" si="28"/>
        <v>62450.121262458502</v>
      </c>
      <c r="H112" s="163">
        <f t="shared" si="29"/>
        <v>9701.1929765779896</v>
      </c>
      <c r="I112" s="253">
        <f t="shared" si="30"/>
        <v>9701.1929765779896</v>
      </c>
      <c r="J112" s="158">
        <f t="shared" si="20"/>
        <v>0</v>
      </c>
      <c r="K112" s="158"/>
      <c r="L112" s="334"/>
      <c r="M112" s="158">
        <f t="shared" si="22"/>
        <v>0</v>
      </c>
      <c r="N112" s="334"/>
      <c r="O112" s="158">
        <f t="shared" si="24"/>
        <v>0</v>
      </c>
      <c r="P112" s="158">
        <f t="shared" si="25"/>
        <v>0</v>
      </c>
      <c r="Q112" s="1"/>
    </row>
    <row r="113" spans="2:17">
      <c r="B113" s="9" t="str">
        <f t="shared" si="26"/>
        <v/>
      </c>
      <c r="C113" s="153">
        <f>IF(D93="","-",+C112+1)</f>
        <v>2024</v>
      </c>
      <c r="D113" s="154">
        <f>IF(F112+SUM(E$99:E112)=D$92,F112,D$92-SUM(E$99:E112))</f>
        <v>61392.478405315647</v>
      </c>
      <c r="E113" s="160">
        <f>IF(+J96&lt;F112,J96,D113)</f>
        <v>2115.2857142857142</v>
      </c>
      <c r="F113" s="159">
        <f t="shared" si="27"/>
        <v>59277.19269102993</v>
      </c>
      <c r="G113" s="159">
        <f t="shared" si="28"/>
        <v>60334.835548172792</v>
      </c>
      <c r="H113" s="163">
        <f t="shared" si="29"/>
        <v>9444.2461374456016</v>
      </c>
      <c r="I113" s="253">
        <f t="shared" si="30"/>
        <v>9444.2461374456016</v>
      </c>
      <c r="J113" s="158">
        <f t="shared" si="20"/>
        <v>0</v>
      </c>
      <c r="K113" s="158"/>
      <c r="L113" s="334"/>
      <c r="M113" s="158">
        <f t="shared" si="22"/>
        <v>0</v>
      </c>
      <c r="N113" s="334"/>
      <c r="O113" s="158">
        <f t="shared" si="24"/>
        <v>0</v>
      </c>
      <c r="P113" s="158">
        <f t="shared" si="25"/>
        <v>0</v>
      </c>
      <c r="Q113" s="1"/>
    </row>
    <row r="114" spans="2:17">
      <c r="B114" s="9" t="str">
        <f t="shared" si="26"/>
        <v/>
      </c>
      <c r="C114" s="153">
        <f>IF(D93="","-",+C113+1)</f>
        <v>2025</v>
      </c>
      <c r="D114" s="154">
        <f>IF(F113+SUM(E$99:E113)=D$92,F113,D$92-SUM(E$99:E113))</f>
        <v>59277.19269102993</v>
      </c>
      <c r="E114" s="160">
        <f>IF(+J96&lt;F113,J96,D114)</f>
        <v>2115.2857142857142</v>
      </c>
      <c r="F114" s="159">
        <f t="shared" si="27"/>
        <v>57161.906976744212</v>
      </c>
      <c r="G114" s="159">
        <f t="shared" si="28"/>
        <v>58219.549833887068</v>
      </c>
      <c r="H114" s="163">
        <f t="shared" si="29"/>
        <v>9187.2992983132117</v>
      </c>
      <c r="I114" s="253">
        <f t="shared" si="30"/>
        <v>9187.2992983132117</v>
      </c>
      <c r="J114" s="158">
        <f t="shared" si="20"/>
        <v>0</v>
      </c>
      <c r="K114" s="158"/>
      <c r="L114" s="334"/>
      <c r="M114" s="158">
        <f t="shared" si="22"/>
        <v>0</v>
      </c>
      <c r="N114" s="334"/>
      <c r="O114" s="158">
        <f t="shared" si="24"/>
        <v>0</v>
      </c>
      <c r="P114" s="158">
        <f t="shared" si="25"/>
        <v>0</v>
      </c>
      <c r="Q114" s="1"/>
    </row>
    <row r="115" spans="2:17">
      <c r="B115" s="9"/>
      <c r="C115" s="153">
        <f>IF(D93="","-",+C114+1)</f>
        <v>2026</v>
      </c>
      <c r="D115" s="154">
        <f>IF(F114+SUM(E$99:E114)=D$92,F114,D$92-SUM(E$99:E114))</f>
        <v>57161.906976744212</v>
      </c>
      <c r="E115" s="160">
        <f>IF(+J96&lt;F114,J96,D115)</f>
        <v>2115.2857142857142</v>
      </c>
      <c r="F115" s="159">
        <f t="shared" si="27"/>
        <v>55046.621262458495</v>
      </c>
      <c r="G115" s="159">
        <f t="shared" si="28"/>
        <v>56104.264119601357</v>
      </c>
      <c r="H115" s="163">
        <f t="shared" si="29"/>
        <v>8930.3524591808236</v>
      </c>
      <c r="I115" s="253">
        <f t="shared" si="30"/>
        <v>8930.3524591808236</v>
      </c>
      <c r="J115" s="158">
        <f t="shared" si="20"/>
        <v>0</v>
      </c>
      <c r="K115" s="158"/>
      <c r="L115" s="334"/>
      <c r="M115" s="158">
        <f t="shared" si="22"/>
        <v>0</v>
      </c>
      <c r="N115" s="334"/>
      <c r="O115" s="158">
        <f t="shared" si="24"/>
        <v>0</v>
      </c>
      <c r="P115" s="158">
        <f t="shared" si="25"/>
        <v>0</v>
      </c>
      <c r="Q115" s="1"/>
    </row>
    <row r="116" spans="2:17">
      <c r="B116" s="9" t="str">
        <f t="shared" si="26"/>
        <v/>
      </c>
      <c r="C116" s="153">
        <f>IF(D93="","-",+C115+1)</f>
        <v>2027</v>
      </c>
      <c r="D116" s="154">
        <f>IF(F115+SUM(E$99:E115)=D$92,F115,D$92-SUM(E$99:E115))</f>
        <v>55046.621262458495</v>
      </c>
      <c r="E116" s="160">
        <f>IF(+J96&lt;F115,J96,D116)</f>
        <v>2115.2857142857142</v>
      </c>
      <c r="F116" s="159">
        <f t="shared" si="27"/>
        <v>52931.335548172778</v>
      </c>
      <c r="G116" s="159">
        <f t="shared" si="28"/>
        <v>53988.978405315633</v>
      </c>
      <c r="H116" s="163">
        <f t="shared" si="29"/>
        <v>8673.4056200484338</v>
      </c>
      <c r="I116" s="253">
        <f t="shared" si="30"/>
        <v>8673.4056200484338</v>
      </c>
      <c r="J116" s="158">
        <f t="shared" si="20"/>
        <v>0</v>
      </c>
      <c r="K116" s="158"/>
      <c r="L116" s="334"/>
      <c r="M116" s="158">
        <f t="shared" si="22"/>
        <v>0</v>
      </c>
      <c r="N116" s="334"/>
      <c r="O116" s="158">
        <f t="shared" si="24"/>
        <v>0</v>
      </c>
      <c r="P116" s="158">
        <f t="shared" si="25"/>
        <v>0</v>
      </c>
      <c r="Q116" s="1"/>
    </row>
    <row r="117" spans="2:17">
      <c r="B117" s="9" t="str">
        <f t="shared" si="26"/>
        <v/>
      </c>
      <c r="C117" s="153">
        <f>IF(D93="","-",+C116+1)</f>
        <v>2028</v>
      </c>
      <c r="D117" s="154">
        <f>IF(F116+SUM(E$99:E116)=D$92,F116,D$92-SUM(E$99:E116))</f>
        <v>52931.335548172778</v>
      </c>
      <c r="E117" s="160">
        <f>IF(+J96&lt;F116,J96,D117)</f>
        <v>2115.2857142857142</v>
      </c>
      <c r="F117" s="159">
        <f t="shared" si="27"/>
        <v>50816.04983388706</v>
      </c>
      <c r="G117" s="159">
        <f t="shared" si="28"/>
        <v>51873.692691029923</v>
      </c>
      <c r="H117" s="163">
        <f t="shared" si="29"/>
        <v>8416.4587809160439</v>
      </c>
      <c r="I117" s="253">
        <f t="shared" si="30"/>
        <v>8416.4587809160439</v>
      </c>
      <c r="J117" s="158">
        <f t="shared" si="20"/>
        <v>0</v>
      </c>
      <c r="K117" s="158"/>
      <c r="L117" s="334"/>
      <c r="M117" s="158">
        <f t="shared" si="22"/>
        <v>0</v>
      </c>
      <c r="N117" s="334"/>
      <c r="O117" s="158">
        <f t="shared" si="24"/>
        <v>0</v>
      </c>
      <c r="P117" s="158">
        <f t="shared" si="25"/>
        <v>0</v>
      </c>
      <c r="Q117" s="1"/>
    </row>
    <row r="118" spans="2:17">
      <c r="B118" s="9" t="str">
        <f t="shared" si="26"/>
        <v/>
      </c>
      <c r="C118" s="153">
        <f>IF(D93="","-",+C117+1)</f>
        <v>2029</v>
      </c>
      <c r="D118" s="154">
        <f>IF(F117+SUM(E$99:E117)=D$92,F117,D$92-SUM(E$99:E117))</f>
        <v>50816.04983388706</v>
      </c>
      <c r="E118" s="160">
        <f>IF(+J96&lt;F117,J96,D118)</f>
        <v>2115.2857142857142</v>
      </c>
      <c r="F118" s="159">
        <f t="shared" si="27"/>
        <v>48700.764119601343</v>
      </c>
      <c r="G118" s="159">
        <f t="shared" si="28"/>
        <v>49758.406976744198</v>
      </c>
      <c r="H118" s="163">
        <f t="shared" si="29"/>
        <v>8159.511941783654</v>
      </c>
      <c r="I118" s="253">
        <f t="shared" si="30"/>
        <v>8159.511941783654</v>
      </c>
      <c r="J118" s="158">
        <f t="shared" si="20"/>
        <v>0</v>
      </c>
      <c r="K118" s="158"/>
      <c r="L118" s="334"/>
      <c r="M118" s="158">
        <f t="shared" si="22"/>
        <v>0</v>
      </c>
      <c r="N118" s="334"/>
      <c r="O118" s="158">
        <f t="shared" si="24"/>
        <v>0</v>
      </c>
      <c r="P118" s="158">
        <f t="shared" si="25"/>
        <v>0</v>
      </c>
      <c r="Q118" s="1"/>
    </row>
    <row r="119" spans="2:17">
      <c r="B119" s="9" t="str">
        <f t="shared" si="26"/>
        <v/>
      </c>
      <c r="C119" s="153">
        <f>IF(D93="","-",+C118+1)</f>
        <v>2030</v>
      </c>
      <c r="D119" s="154">
        <f>IF(F118+SUM(E$99:E118)=D$92,F118,D$92-SUM(E$99:E118))</f>
        <v>48700.764119601343</v>
      </c>
      <c r="E119" s="160">
        <f>IF(+J96&lt;F118,J96,D119)</f>
        <v>2115.2857142857142</v>
      </c>
      <c r="F119" s="159">
        <f t="shared" si="27"/>
        <v>46585.478405315625</v>
      </c>
      <c r="G119" s="159">
        <f t="shared" si="28"/>
        <v>47643.121262458488</v>
      </c>
      <c r="H119" s="163">
        <f t="shared" si="29"/>
        <v>7902.565102651266</v>
      </c>
      <c r="I119" s="253">
        <f t="shared" si="30"/>
        <v>7902.565102651266</v>
      </c>
      <c r="J119" s="158">
        <f t="shared" si="20"/>
        <v>0</v>
      </c>
      <c r="K119" s="158"/>
      <c r="L119" s="334"/>
      <c r="M119" s="158">
        <f t="shared" si="22"/>
        <v>0</v>
      </c>
      <c r="N119" s="334"/>
      <c r="O119" s="158">
        <f t="shared" si="24"/>
        <v>0</v>
      </c>
      <c r="P119" s="158">
        <f t="shared" si="25"/>
        <v>0</v>
      </c>
      <c r="Q119" s="1"/>
    </row>
    <row r="120" spans="2:17">
      <c r="B120" s="9" t="str">
        <f t="shared" si="26"/>
        <v/>
      </c>
      <c r="C120" s="153">
        <f>IF(D93="","-",+C119+1)</f>
        <v>2031</v>
      </c>
      <c r="D120" s="154">
        <f>IF(F119+SUM(E$99:E119)=D$92,F119,D$92-SUM(E$99:E119))</f>
        <v>46585.478405315625</v>
      </c>
      <c r="E120" s="160">
        <f>IF(+J96&lt;F119,J96,D120)</f>
        <v>2115.2857142857142</v>
      </c>
      <c r="F120" s="159">
        <f t="shared" si="27"/>
        <v>44470.192691029908</v>
      </c>
      <c r="G120" s="159">
        <f t="shared" si="28"/>
        <v>45527.835548172763</v>
      </c>
      <c r="H120" s="163">
        <f t="shared" si="29"/>
        <v>7645.6182635188761</v>
      </c>
      <c r="I120" s="253">
        <f t="shared" si="30"/>
        <v>7645.6182635188761</v>
      </c>
      <c r="J120" s="158">
        <f t="shared" si="20"/>
        <v>0</v>
      </c>
      <c r="K120" s="158"/>
      <c r="L120" s="334"/>
      <c r="M120" s="158">
        <f t="shared" si="22"/>
        <v>0</v>
      </c>
      <c r="N120" s="334"/>
      <c r="O120" s="158">
        <f t="shared" si="24"/>
        <v>0</v>
      </c>
      <c r="P120" s="158">
        <f t="shared" si="25"/>
        <v>0</v>
      </c>
      <c r="Q120" s="1"/>
    </row>
    <row r="121" spans="2:17">
      <c r="B121" s="9" t="str">
        <f t="shared" si="26"/>
        <v/>
      </c>
      <c r="C121" s="153">
        <f>IF(D93="","-",+C120+1)</f>
        <v>2032</v>
      </c>
      <c r="D121" s="154">
        <f>IF(F120+SUM(E$99:E120)=D$92,F120,D$92-SUM(E$99:E120))</f>
        <v>44470.192691029908</v>
      </c>
      <c r="E121" s="160">
        <f>IF(+J96&lt;F120,J96,D121)</f>
        <v>2115.2857142857142</v>
      </c>
      <c r="F121" s="159">
        <f t="shared" si="27"/>
        <v>42354.906976744191</v>
      </c>
      <c r="G121" s="159">
        <f t="shared" si="28"/>
        <v>43412.549833887053</v>
      </c>
      <c r="H121" s="163">
        <f t="shared" si="29"/>
        <v>7388.6714243864881</v>
      </c>
      <c r="I121" s="253">
        <f t="shared" si="30"/>
        <v>7388.6714243864881</v>
      </c>
      <c r="J121" s="158">
        <f t="shared" si="20"/>
        <v>0</v>
      </c>
      <c r="K121" s="158"/>
      <c r="L121" s="334"/>
      <c r="M121" s="158">
        <f t="shared" si="22"/>
        <v>0</v>
      </c>
      <c r="N121" s="334"/>
      <c r="O121" s="158">
        <f t="shared" si="24"/>
        <v>0</v>
      </c>
      <c r="P121" s="158">
        <f t="shared" si="25"/>
        <v>0</v>
      </c>
      <c r="Q121" s="1"/>
    </row>
    <row r="122" spans="2:17">
      <c r="B122" s="9" t="str">
        <f t="shared" si="26"/>
        <v/>
      </c>
      <c r="C122" s="153">
        <f>IF(D93="","-",+C121+1)</f>
        <v>2033</v>
      </c>
      <c r="D122" s="154">
        <f>IF(F121+SUM(E$99:E121)=D$92,F121,D$92-SUM(E$99:E121))</f>
        <v>42354.906976744191</v>
      </c>
      <c r="E122" s="160">
        <f>IF(+J96&lt;F121,J96,D122)</f>
        <v>2115.2857142857142</v>
      </c>
      <c r="F122" s="159">
        <f t="shared" si="27"/>
        <v>40239.621262458473</v>
      </c>
      <c r="G122" s="159">
        <f t="shared" si="28"/>
        <v>41297.264119601328</v>
      </c>
      <c r="H122" s="163">
        <f t="shared" si="29"/>
        <v>7131.7245852540982</v>
      </c>
      <c r="I122" s="253">
        <f t="shared" si="30"/>
        <v>7131.7245852540982</v>
      </c>
      <c r="J122" s="158">
        <f t="shared" si="20"/>
        <v>0</v>
      </c>
      <c r="K122" s="158"/>
      <c r="L122" s="334"/>
      <c r="M122" s="158">
        <f t="shared" si="22"/>
        <v>0</v>
      </c>
      <c r="N122" s="334"/>
      <c r="O122" s="158">
        <f t="shared" si="24"/>
        <v>0</v>
      </c>
      <c r="P122" s="158">
        <f t="shared" si="25"/>
        <v>0</v>
      </c>
      <c r="Q122" s="1"/>
    </row>
    <row r="123" spans="2:17">
      <c r="B123" s="9" t="str">
        <f t="shared" si="26"/>
        <v/>
      </c>
      <c r="C123" s="153">
        <f>IF(D93="","-",+C122+1)</f>
        <v>2034</v>
      </c>
      <c r="D123" s="154">
        <f>IF(F122+SUM(E$99:E122)=D$92,F122,D$92-SUM(E$99:E122))</f>
        <v>40239.621262458473</v>
      </c>
      <c r="E123" s="160">
        <f>IF(+J96&lt;F122,J96,D123)</f>
        <v>2115.2857142857142</v>
      </c>
      <c r="F123" s="159">
        <f t="shared" si="27"/>
        <v>38124.335548172756</v>
      </c>
      <c r="G123" s="159">
        <f t="shared" si="28"/>
        <v>39181.978405315618</v>
      </c>
      <c r="H123" s="163">
        <f t="shared" si="29"/>
        <v>6874.7777461217083</v>
      </c>
      <c r="I123" s="253">
        <f t="shared" si="30"/>
        <v>6874.7777461217083</v>
      </c>
      <c r="J123" s="158">
        <f t="shared" si="20"/>
        <v>0</v>
      </c>
      <c r="K123" s="158"/>
      <c r="L123" s="334"/>
      <c r="M123" s="158">
        <f t="shared" si="22"/>
        <v>0</v>
      </c>
      <c r="N123" s="334"/>
      <c r="O123" s="158">
        <f t="shared" si="24"/>
        <v>0</v>
      </c>
      <c r="P123" s="158">
        <f t="shared" si="25"/>
        <v>0</v>
      </c>
      <c r="Q123" s="1"/>
    </row>
    <row r="124" spans="2:17">
      <c r="B124" s="9" t="str">
        <f t="shared" si="26"/>
        <v/>
      </c>
      <c r="C124" s="153">
        <f>IF(D93="","-",+C123+1)</f>
        <v>2035</v>
      </c>
      <c r="D124" s="154">
        <f>IF(F123+SUM(E$99:E123)=D$92,F123,D$92-SUM(E$99:E123))</f>
        <v>38124.335548172756</v>
      </c>
      <c r="E124" s="160">
        <f>IF(+J96&lt;F123,J96,D124)</f>
        <v>2115.2857142857142</v>
      </c>
      <c r="F124" s="159">
        <f t="shared" si="27"/>
        <v>36009.049833887038</v>
      </c>
      <c r="G124" s="159">
        <f t="shared" si="28"/>
        <v>37066.692691029893</v>
      </c>
      <c r="H124" s="163">
        <f t="shared" si="29"/>
        <v>6617.8309069893185</v>
      </c>
      <c r="I124" s="253">
        <f t="shared" si="30"/>
        <v>6617.8309069893185</v>
      </c>
      <c r="J124" s="158">
        <f t="shared" si="20"/>
        <v>0</v>
      </c>
      <c r="K124" s="158"/>
      <c r="L124" s="334"/>
      <c r="M124" s="158">
        <f t="shared" si="22"/>
        <v>0</v>
      </c>
      <c r="N124" s="334"/>
      <c r="O124" s="158">
        <f t="shared" si="24"/>
        <v>0</v>
      </c>
      <c r="P124" s="158">
        <f t="shared" si="25"/>
        <v>0</v>
      </c>
      <c r="Q124" s="1"/>
    </row>
    <row r="125" spans="2:17">
      <c r="B125" s="9" t="str">
        <f t="shared" si="26"/>
        <v/>
      </c>
      <c r="C125" s="153">
        <f>IF(D93="","-",+C124+1)</f>
        <v>2036</v>
      </c>
      <c r="D125" s="154">
        <f>IF(F124+SUM(E$99:E124)=D$92,F124,D$92-SUM(E$99:E124))</f>
        <v>36009.049833887038</v>
      </c>
      <c r="E125" s="160">
        <f>IF(+J96&lt;F124,J96,D125)</f>
        <v>2115.2857142857142</v>
      </c>
      <c r="F125" s="159">
        <f t="shared" si="27"/>
        <v>33893.764119601321</v>
      </c>
      <c r="G125" s="159">
        <f t="shared" si="28"/>
        <v>34951.406976744183</v>
      </c>
      <c r="H125" s="163">
        <f t="shared" si="29"/>
        <v>6360.8840678569304</v>
      </c>
      <c r="I125" s="253">
        <f t="shared" si="30"/>
        <v>6360.8840678569304</v>
      </c>
      <c r="J125" s="158">
        <f t="shared" si="20"/>
        <v>0</v>
      </c>
      <c r="K125" s="158"/>
      <c r="L125" s="334"/>
      <c r="M125" s="158">
        <f t="shared" si="22"/>
        <v>0</v>
      </c>
      <c r="N125" s="334"/>
      <c r="O125" s="158">
        <f t="shared" si="24"/>
        <v>0</v>
      </c>
      <c r="P125" s="158">
        <f t="shared" si="25"/>
        <v>0</v>
      </c>
      <c r="Q125" s="1"/>
    </row>
    <row r="126" spans="2:17">
      <c r="B126" s="9" t="str">
        <f t="shared" si="26"/>
        <v/>
      </c>
      <c r="C126" s="153">
        <f>IF(D93="","-",+C125+1)</f>
        <v>2037</v>
      </c>
      <c r="D126" s="154">
        <f>IF(F125+SUM(E$99:E125)=D$92,F125,D$92-SUM(E$99:E125))</f>
        <v>33893.764119601321</v>
      </c>
      <c r="E126" s="160">
        <f>IF(+J96&lt;F125,J96,D126)</f>
        <v>2115.2857142857142</v>
      </c>
      <c r="F126" s="159">
        <f t="shared" si="27"/>
        <v>31778.478405315607</v>
      </c>
      <c r="G126" s="159">
        <f t="shared" si="28"/>
        <v>32836.121262458466</v>
      </c>
      <c r="H126" s="163">
        <f t="shared" si="29"/>
        <v>6103.9372287245405</v>
      </c>
      <c r="I126" s="253">
        <f t="shared" si="30"/>
        <v>6103.9372287245405</v>
      </c>
      <c r="J126" s="158">
        <f t="shared" si="20"/>
        <v>0</v>
      </c>
      <c r="K126" s="158"/>
      <c r="L126" s="334"/>
      <c r="M126" s="158">
        <f t="shared" si="22"/>
        <v>0</v>
      </c>
      <c r="N126" s="334"/>
      <c r="O126" s="158">
        <f t="shared" si="24"/>
        <v>0</v>
      </c>
      <c r="P126" s="158">
        <f t="shared" si="25"/>
        <v>0</v>
      </c>
      <c r="Q126" s="1"/>
    </row>
    <row r="127" spans="2:17">
      <c r="B127" s="9" t="str">
        <f t="shared" si="26"/>
        <v/>
      </c>
      <c r="C127" s="153">
        <f>IF(D93="","-",+C126+1)</f>
        <v>2038</v>
      </c>
      <c r="D127" s="154">
        <f>IF(F126+SUM(E$99:E126)=D$92,F126,D$92-SUM(E$99:E126))</f>
        <v>31778.478405315607</v>
      </c>
      <c r="E127" s="160">
        <f>IF(+J96&lt;F126,J96,D127)</f>
        <v>2115.2857142857142</v>
      </c>
      <c r="F127" s="159">
        <f t="shared" si="27"/>
        <v>29663.192691029893</v>
      </c>
      <c r="G127" s="159">
        <f t="shared" si="28"/>
        <v>30720.835548172749</v>
      </c>
      <c r="H127" s="163">
        <f t="shared" si="29"/>
        <v>5846.9903895921525</v>
      </c>
      <c r="I127" s="253">
        <f t="shared" si="30"/>
        <v>5846.9903895921525</v>
      </c>
      <c r="J127" s="158">
        <f t="shared" si="20"/>
        <v>0</v>
      </c>
      <c r="K127" s="158"/>
      <c r="L127" s="334"/>
      <c r="M127" s="158">
        <f t="shared" si="22"/>
        <v>0</v>
      </c>
      <c r="N127" s="334"/>
      <c r="O127" s="158">
        <f t="shared" si="24"/>
        <v>0</v>
      </c>
      <c r="P127" s="158">
        <f t="shared" si="25"/>
        <v>0</v>
      </c>
      <c r="Q127" s="1"/>
    </row>
    <row r="128" spans="2:17">
      <c r="B128" s="9" t="str">
        <f t="shared" si="26"/>
        <v/>
      </c>
      <c r="C128" s="153">
        <f>IF(D93="","-",+C127+1)</f>
        <v>2039</v>
      </c>
      <c r="D128" s="154">
        <f>IF(F127+SUM(E$99:E127)=D$92,F127,D$92-SUM(E$99:E127))</f>
        <v>29663.192691029893</v>
      </c>
      <c r="E128" s="160">
        <f>IF(+J96&lt;F127,J96,D128)</f>
        <v>2115.2857142857142</v>
      </c>
      <c r="F128" s="159">
        <f t="shared" si="27"/>
        <v>27547.90697674418</v>
      </c>
      <c r="G128" s="159">
        <f t="shared" si="28"/>
        <v>28605.549833887038</v>
      </c>
      <c r="H128" s="163">
        <f t="shared" si="29"/>
        <v>5590.0435504597635</v>
      </c>
      <c r="I128" s="253">
        <f t="shared" si="30"/>
        <v>5590.0435504597635</v>
      </c>
      <c r="J128" s="158">
        <f t="shared" si="20"/>
        <v>0</v>
      </c>
      <c r="K128" s="158"/>
      <c r="L128" s="334"/>
      <c r="M128" s="158">
        <f t="shared" si="22"/>
        <v>0</v>
      </c>
      <c r="N128" s="334"/>
      <c r="O128" s="158">
        <f t="shared" si="24"/>
        <v>0</v>
      </c>
      <c r="P128" s="158">
        <f t="shared" si="25"/>
        <v>0</v>
      </c>
      <c r="Q128" s="1"/>
    </row>
    <row r="129" spans="2:17">
      <c r="B129" s="9" t="str">
        <f t="shared" si="26"/>
        <v/>
      </c>
      <c r="C129" s="153">
        <f>IF(D93="","-",+C128+1)</f>
        <v>2040</v>
      </c>
      <c r="D129" s="154">
        <f>IF(F128+SUM(E$99:E128)=D$92,F128,D$92-SUM(E$99:E128))</f>
        <v>27547.90697674418</v>
      </c>
      <c r="E129" s="160">
        <f>IF(+J96&lt;F128,J96,D129)</f>
        <v>2115.2857142857142</v>
      </c>
      <c r="F129" s="159">
        <f t="shared" si="27"/>
        <v>25432.621262458466</v>
      </c>
      <c r="G129" s="159">
        <f t="shared" si="28"/>
        <v>26490.264119601321</v>
      </c>
      <c r="H129" s="163">
        <f t="shared" si="29"/>
        <v>5333.0967113273746</v>
      </c>
      <c r="I129" s="253">
        <f t="shared" si="30"/>
        <v>5333.0967113273746</v>
      </c>
      <c r="J129" s="158">
        <f t="shared" si="20"/>
        <v>0</v>
      </c>
      <c r="K129" s="158"/>
      <c r="L129" s="334"/>
      <c r="M129" s="158">
        <f t="shared" si="22"/>
        <v>0</v>
      </c>
      <c r="N129" s="334"/>
      <c r="O129" s="158">
        <f t="shared" si="24"/>
        <v>0</v>
      </c>
      <c r="P129" s="158">
        <f t="shared" si="25"/>
        <v>0</v>
      </c>
      <c r="Q129" s="1"/>
    </row>
    <row r="130" spans="2:17">
      <c r="B130" s="9" t="str">
        <f t="shared" si="26"/>
        <v/>
      </c>
      <c r="C130" s="153">
        <f>IF(D93="","-",+C129+1)</f>
        <v>2041</v>
      </c>
      <c r="D130" s="154">
        <f>IF(F129+SUM(E$99:E129)=D$92,F129,D$92-SUM(E$99:E129))</f>
        <v>25432.621262458466</v>
      </c>
      <c r="E130" s="160">
        <f>IF(+J96&lt;F129,J96,D130)</f>
        <v>2115.2857142857142</v>
      </c>
      <c r="F130" s="159">
        <f t="shared" si="27"/>
        <v>23317.335548172752</v>
      </c>
      <c r="G130" s="159">
        <f t="shared" si="28"/>
        <v>24374.978405315611</v>
      </c>
      <c r="H130" s="163">
        <f t="shared" si="29"/>
        <v>5076.1498721949865</v>
      </c>
      <c r="I130" s="253">
        <f t="shared" si="30"/>
        <v>5076.1498721949865</v>
      </c>
      <c r="J130" s="158">
        <f t="shared" si="20"/>
        <v>0</v>
      </c>
      <c r="K130" s="158"/>
      <c r="L130" s="334"/>
      <c r="M130" s="158">
        <f t="shared" si="22"/>
        <v>0</v>
      </c>
      <c r="N130" s="334"/>
      <c r="O130" s="158">
        <f t="shared" si="24"/>
        <v>0</v>
      </c>
      <c r="P130" s="158">
        <f t="shared" si="25"/>
        <v>0</v>
      </c>
      <c r="Q130" s="1"/>
    </row>
    <row r="131" spans="2:17">
      <c r="B131" s="9" t="str">
        <f t="shared" si="26"/>
        <v/>
      </c>
      <c r="C131" s="153">
        <f>IF(D93="","-",+C130+1)</f>
        <v>2042</v>
      </c>
      <c r="D131" s="154">
        <f>IF(F130+SUM(E$99:E130)=D$92,F130,D$92-SUM(E$99:E130))</f>
        <v>23317.335548172752</v>
      </c>
      <c r="E131" s="160">
        <f>IF(+J96&lt;F130,J96,D131)</f>
        <v>2115.2857142857142</v>
      </c>
      <c r="F131" s="159">
        <f t="shared" si="27"/>
        <v>21202.049833887038</v>
      </c>
      <c r="G131" s="159">
        <f t="shared" ref="G131:G154" si="31">+(F131+D131)/2</f>
        <v>22259.692691029893</v>
      </c>
      <c r="H131" s="163">
        <f t="shared" ref="H131:H154" si="32">+J$94*G131+E131</f>
        <v>4819.2030330625967</v>
      </c>
      <c r="I131" s="253">
        <f t="shared" ref="I131:I154" si="33">+J$95*G131+E131</f>
        <v>4819.2030330625967</v>
      </c>
      <c r="J131" s="158">
        <f t="shared" ref="J131:J154" si="34">+I131-H131</f>
        <v>0</v>
      </c>
      <c r="K131" s="158"/>
      <c r="L131" s="334"/>
      <c r="M131" s="158">
        <f t="shared" ref="M131:M154" si="35">IF(L131&lt;&gt;0,+H131-L131,0)</f>
        <v>0</v>
      </c>
      <c r="N131" s="334"/>
      <c r="O131" s="158">
        <f t="shared" ref="O131:O154" si="36">IF(N131&lt;&gt;0,+I131-N131,0)</f>
        <v>0</v>
      </c>
      <c r="P131" s="158">
        <f t="shared" ref="P131:P154" si="37">+O131-M131</f>
        <v>0</v>
      </c>
      <c r="Q131" s="1"/>
    </row>
    <row r="132" spans="2:17">
      <c r="B132" s="9" t="str">
        <f t="shared" si="26"/>
        <v/>
      </c>
      <c r="C132" s="153">
        <f>IF(D93="","-",+C131+1)</f>
        <v>2043</v>
      </c>
      <c r="D132" s="154">
        <f>IF(F131+SUM(E$99:E131)=D$92,F131,D$92-SUM(E$99:E131))</f>
        <v>21202.049833887038</v>
      </c>
      <c r="E132" s="160">
        <f>IF(+J96&lt;F131,J96,D132)</f>
        <v>2115.2857142857142</v>
      </c>
      <c r="F132" s="159">
        <f t="shared" ref="F132:F154" si="38">+D132-E132</f>
        <v>19086.764119601325</v>
      </c>
      <c r="G132" s="159">
        <f t="shared" si="31"/>
        <v>20144.406976744183</v>
      </c>
      <c r="H132" s="163">
        <f t="shared" si="32"/>
        <v>4562.2561939302086</v>
      </c>
      <c r="I132" s="253">
        <f t="shared" si="33"/>
        <v>4562.2561939302086</v>
      </c>
      <c r="J132" s="158">
        <f t="shared" si="34"/>
        <v>0</v>
      </c>
      <c r="K132" s="158"/>
      <c r="L132" s="334"/>
      <c r="M132" s="158">
        <f t="shared" si="35"/>
        <v>0</v>
      </c>
      <c r="N132" s="334"/>
      <c r="O132" s="158">
        <f t="shared" si="36"/>
        <v>0</v>
      </c>
      <c r="P132" s="158">
        <f t="shared" si="37"/>
        <v>0</v>
      </c>
      <c r="Q132" s="1"/>
    </row>
    <row r="133" spans="2:17">
      <c r="B133" s="9" t="str">
        <f t="shared" si="26"/>
        <v/>
      </c>
      <c r="C133" s="153">
        <f>IF(D93="","-",+C132+1)</f>
        <v>2044</v>
      </c>
      <c r="D133" s="154">
        <f>IF(F132+SUM(E$99:E132)=D$92,F132,D$92-SUM(E$99:E132))</f>
        <v>19086.764119601325</v>
      </c>
      <c r="E133" s="160">
        <f>IF(+J96&lt;F132,J96,D133)</f>
        <v>2115.2857142857142</v>
      </c>
      <c r="F133" s="159">
        <f t="shared" si="38"/>
        <v>16971.478405315611</v>
      </c>
      <c r="G133" s="159">
        <f t="shared" si="31"/>
        <v>18029.121262458466</v>
      </c>
      <c r="H133" s="163">
        <f t="shared" si="32"/>
        <v>4305.3093547978187</v>
      </c>
      <c r="I133" s="253">
        <f t="shared" si="33"/>
        <v>4305.3093547978187</v>
      </c>
      <c r="J133" s="158">
        <f t="shared" si="34"/>
        <v>0</v>
      </c>
      <c r="K133" s="158"/>
      <c r="L133" s="334"/>
      <c r="M133" s="158">
        <f t="shared" si="35"/>
        <v>0</v>
      </c>
      <c r="N133" s="334"/>
      <c r="O133" s="158">
        <f t="shared" si="36"/>
        <v>0</v>
      </c>
      <c r="P133" s="158">
        <f t="shared" si="37"/>
        <v>0</v>
      </c>
      <c r="Q133" s="1"/>
    </row>
    <row r="134" spans="2:17">
      <c r="B134" s="9" t="str">
        <f t="shared" si="26"/>
        <v/>
      </c>
      <c r="C134" s="153">
        <f>IF(D93="","-",+C133+1)</f>
        <v>2045</v>
      </c>
      <c r="D134" s="154">
        <f>IF(F133+SUM(E$99:E133)=D$92,F133,D$92-SUM(E$99:E133))</f>
        <v>16971.478405315611</v>
      </c>
      <c r="E134" s="160">
        <f>IF(+J96&lt;F133,J96,D134)</f>
        <v>2115.2857142857142</v>
      </c>
      <c r="F134" s="159">
        <f t="shared" si="38"/>
        <v>14856.192691029897</v>
      </c>
      <c r="G134" s="159">
        <f t="shared" si="31"/>
        <v>15913.835548172754</v>
      </c>
      <c r="H134" s="163">
        <f t="shared" si="32"/>
        <v>4048.3625156654302</v>
      </c>
      <c r="I134" s="253">
        <f t="shared" si="33"/>
        <v>4048.3625156654302</v>
      </c>
      <c r="J134" s="158">
        <f t="shared" si="34"/>
        <v>0</v>
      </c>
      <c r="K134" s="158"/>
      <c r="L134" s="334"/>
      <c r="M134" s="158">
        <f t="shared" si="35"/>
        <v>0</v>
      </c>
      <c r="N134" s="334"/>
      <c r="O134" s="158">
        <f t="shared" si="36"/>
        <v>0</v>
      </c>
      <c r="P134" s="158">
        <f t="shared" si="37"/>
        <v>0</v>
      </c>
      <c r="Q134" s="1"/>
    </row>
    <row r="135" spans="2:17">
      <c r="B135" s="9" t="str">
        <f t="shared" si="26"/>
        <v/>
      </c>
      <c r="C135" s="153">
        <f>IF(D93="","-",+C134+1)</f>
        <v>2046</v>
      </c>
      <c r="D135" s="154">
        <f>IF(F134+SUM(E$99:E134)=D$92,F134,D$92-SUM(E$99:E134))</f>
        <v>14856.192691029897</v>
      </c>
      <c r="E135" s="160">
        <f>IF(+J96&lt;F134,J96,D135)</f>
        <v>2115.2857142857142</v>
      </c>
      <c r="F135" s="159">
        <f t="shared" si="38"/>
        <v>12740.906976744183</v>
      </c>
      <c r="G135" s="159">
        <f t="shared" si="31"/>
        <v>13798.54983388704</v>
      </c>
      <c r="H135" s="163">
        <f t="shared" si="32"/>
        <v>3791.4156765330417</v>
      </c>
      <c r="I135" s="253">
        <f t="shared" si="33"/>
        <v>3791.4156765330417</v>
      </c>
      <c r="J135" s="158">
        <f t="shared" si="34"/>
        <v>0</v>
      </c>
      <c r="K135" s="158"/>
      <c r="L135" s="334"/>
      <c r="M135" s="158">
        <f t="shared" si="35"/>
        <v>0</v>
      </c>
      <c r="N135" s="334"/>
      <c r="O135" s="158">
        <f t="shared" si="36"/>
        <v>0</v>
      </c>
      <c r="P135" s="158">
        <f t="shared" si="37"/>
        <v>0</v>
      </c>
      <c r="Q135" s="1"/>
    </row>
    <row r="136" spans="2:17">
      <c r="B136" s="9" t="str">
        <f t="shared" si="26"/>
        <v/>
      </c>
      <c r="C136" s="153">
        <f>IF(D93="","-",+C135+1)</f>
        <v>2047</v>
      </c>
      <c r="D136" s="154">
        <f>IF(F135+SUM(E$99:E135)=D$92,F135,D$92-SUM(E$99:E135))</f>
        <v>12740.906976744183</v>
      </c>
      <c r="E136" s="160">
        <f>IF(+J96&lt;F135,J96,D136)</f>
        <v>2115.2857142857142</v>
      </c>
      <c r="F136" s="159">
        <f t="shared" si="38"/>
        <v>10625.62126245847</v>
      </c>
      <c r="G136" s="159">
        <f t="shared" si="31"/>
        <v>11683.264119601326</v>
      </c>
      <c r="H136" s="163">
        <f t="shared" si="32"/>
        <v>3534.4688374006528</v>
      </c>
      <c r="I136" s="253">
        <f t="shared" si="33"/>
        <v>3534.4688374006528</v>
      </c>
      <c r="J136" s="158">
        <f t="shared" si="34"/>
        <v>0</v>
      </c>
      <c r="K136" s="158"/>
      <c r="L136" s="334"/>
      <c r="M136" s="158">
        <f t="shared" si="35"/>
        <v>0</v>
      </c>
      <c r="N136" s="334"/>
      <c r="O136" s="158">
        <f t="shared" si="36"/>
        <v>0</v>
      </c>
      <c r="P136" s="158">
        <f t="shared" si="37"/>
        <v>0</v>
      </c>
      <c r="Q136" s="1"/>
    </row>
    <row r="137" spans="2:17">
      <c r="B137" s="9" t="str">
        <f t="shared" si="26"/>
        <v/>
      </c>
      <c r="C137" s="153">
        <f>IF(D93="","-",+C136+1)</f>
        <v>2048</v>
      </c>
      <c r="D137" s="154">
        <f>IF(F136+SUM(E$99:E136)=D$92,F136,D$92-SUM(E$99:E136))</f>
        <v>10625.62126245847</v>
      </c>
      <c r="E137" s="160">
        <f>IF(+J96&lt;F136,J96,D137)</f>
        <v>2115.2857142857142</v>
      </c>
      <c r="F137" s="159">
        <f t="shared" si="38"/>
        <v>8510.3355481727558</v>
      </c>
      <c r="G137" s="159">
        <f t="shared" si="31"/>
        <v>9567.9784053156127</v>
      </c>
      <c r="H137" s="163">
        <f t="shared" si="32"/>
        <v>3277.5219982682638</v>
      </c>
      <c r="I137" s="253">
        <f t="shared" si="33"/>
        <v>3277.5219982682638</v>
      </c>
      <c r="J137" s="158">
        <f t="shared" si="34"/>
        <v>0</v>
      </c>
      <c r="K137" s="158"/>
      <c r="L137" s="334"/>
      <c r="M137" s="158">
        <f t="shared" si="35"/>
        <v>0</v>
      </c>
      <c r="N137" s="334"/>
      <c r="O137" s="158">
        <f t="shared" si="36"/>
        <v>0</v>
      </c>
      <c r="P137" s="158">
        <f t="shared" si="37"/>
        <v>0</v>
      </c>
      <c r="Q137" s="1"/>
    </row>
    <row r="138" spans="2:17">
      <c r="B138" s="9" t="str">
        <f t="shared" si="26"/>
        <v/>
      </c>
      <c r="C138" s="153">
        <f>IF(D93="","-",+C137+1)</f>
        <v>2049</v>
      </c>
      <c r="D138" s="154">
        <f>IF(F137+SUM(E$99:E137)=D$92,F137,D$92-SUM(E$99:E137))</f>
        <v>8510.3355481727558</v>
      </c>
      <c r="E138" s="160">
        <f>IF(+J96&lt;F137,J96,D138)</f>
        <v>2115.2857142857142</v>
      </c>
      <c r="F138" s="159">
        <f t="shared" si="38"/>
        <v>6395.049833887042</v>
      </c>
      <c r="G138" s="159">
        <f t="shared" si="31"/>
        <v>7452.6926910298989</v>
      </c>
      <c r="H138" s="163">
        <f t="shared" si="32"/>
        <v>3020.5751591358749</v>
      </c>
      <c r="I138" s="253">
        <f t="shared" si="33"/>
        <v>3020.5751591358749</v>
      </c>
      <c r="J138" s="158">
        <f t="shared" si="34"/>
        <v>0</v>
      </c>
      <c r="K138" s="158"/>
      <c r="L138" s="334"/>
      <c r="M138" s="158">
        <f t="shared" si="35"/>
        <v>0</v>
      </c>
      <c r="N138" s="334"/>
      <c r="O138" s="158">
        <f t="shared" si="36"/>
        <v>0</v>
      </c>
      <c r="P138" s="158">
        <f t="shared" si="37"/>
        <v>0</v>
      </c>
      <c r="Q138" s="1"/>
    </row>
    <row r="139" spans="2:17">
      <c r="B139" s="9" t="str">
        <f t="shared" si="26"/>
        <v/>
      </c>
      <c r="C139" s="153">
        <f>IF(D93="","-",+C138+1)</f>
        <v>2050</v>
      </c>
      <c r="D139" s="154">
        <f>IF(F138+SUM(E$99:E138)=D$92,F138,D$92-SUM(E$99:E138))</f>
        <v>6395.049833887042</v>
      </c>
      <c r="E139" s="160">
        <f>IF(+J96&lt;F138,J96,D139)</f>
        <v>2115.2857142857142</v>
      </c>
      <c r="F139" s="159">
        <f t="shared" si="38"/>
        <v>4279.7641196013283</v>
      </c>
      <c r="G139" s="159">
        <f t="shared" si="31"/>
        <v>5337.4069767441852</v>
      </c>
      <c r="H139" s="163">
        <f t="shared" si="32"/>
        <v>2763.6283200034859</v>
      </c>
      <c r="I139" s="253">
        <f t="shared" si="33"/>
        <v>2763.6283200034859</v>
      </c>
      <c r="J139" s="158">
        <f t="shared" si="34"/>
        <v>0</v>
      </c>
      <c r="K139" s="158"/>
      <c r="L139" s="334"/>
      <c r="M139" s="158">
        <f t="shared" si="35"/>
        <v>0</v>
      </c>
      <c r="N139" s="334"/>
      <c r="O139" s="158">
        <f t="shared" si="36"/>
        <v>0</v>
      </c>
      <c r="P139" s="158">
        <f t="shared" si="37"/>
        <v>0</v>
      </c>
      <c r="Q139" s="1"/>
    </row>
    <row r="140" spans="2:17">
      <c r="B140" s="9" t="str">
        <f t="shared" si="26"/>
        <v/>
      </c>
      <c r="C140" s="153">
        <f>IF(D93="","-",+C139+1)</f>
        <v>2051</v>
      </c>
      <c r="D140" s="154">
        <f>IF(F139+SUM(E$99:E139)=D$92,F139,D$92-SUM(E$99:E139))</f>
        <v>4279.7641196013283</v>
      </c>
      <c r="E140" s="160">
        <f>IF(+J96&lt;F139,J96,D140)</f>
        <v>2115.2857142857142</v>
      </c>
      <c r="F140" s="159">
        <f t="shared" si="38"/>
        <v>2164.4784053156141</v>
      </c>
      <c r="G140" s="159">
        <f t="shared" si="31"/>
        <v>3222.1212624584714</v>
      </c>
      <c r="H140" s="163">
        <f t="shared" si="32"/>
        <v>2506.6814808710974</v>
      </c>
      <c r="I140" s="253">
        <f t="shared" si="33"/>
        <v>2506.6814808710974</v>
      </c>
      <c r="J140" s="158">
        <f t="shared" si="34"/>
        <v>0</v>
      </c>
      <c r="K140" s="158"/>
      <c r="L140" s="334"/>
      <c r="M140" s="158">
        <f t="shared" si="35"/>
        <v>0</v>
      </c>
      <c r="N140" s="334"/>
      <c r="O140" s="158">
        <f t="shared" si="36"/>
        <v>0</v>
      </c>
      <c r="P140" s="158">
        <f t="shared" si="37"/>
        <v>0</v>
      </c>
      <c r="Q140" s="1"/>
    </row>
    <row r="141" spans="2:17">
      <c r="B141" s="9" t="str">
        <f t="shared" si="26"/>
        <v/>
      </c>
      <c r="C141" s="153">
        <f>IF(D93="","-",+C140+1)</f>
        <v>2052</v>
      </c>
      <c r="D141" s="154">
        <f>IF(F140+SUM(E$99:E140)=D$92,F140,D$92-SUM(E$99:E140))</f>
        <v>2164.4784053156141</v>
      </c>
      <c r="E141" s="160">
        <f>IF(+J96&lt;F140,J96,D141)</f>
        <v>2115.2857142857142</v>
      </c>
      <c r="F141" s="159">
        <f t="shared" si="38"/>
        <v>49.192691029899834</v>
      </c>
      <c r="G141" s="159">
        <f t="shared" si="31"/>
        <v>1106.8355481727569</v>
      </c>
      <c r="H141" s="163">
        <f t="shared" si="32"/>
        <v>2249.7346417387084</v>
      </c>
      <c r="I141" s="253">
        <f t="shared" si="33"/>
        <v>2249.7346417387084</v>
      </c>
      <c r="J141" s="158">
        <f t="shared" si="34"/>
        <v>0</v>
      </c>
      <c r="K141" s="158"/>
      <c r="L141" s="334"/>
      <c r="M141" s="158">
        <f t="shared" si="35"/>
        <v>0</v>
      </c>
      <c r="N141" s="334"/>
      <c r="O141" s="158">
        <f t="shared" si="36"/>
        <v>0</v>
      </c>
      <c r="P141" s="158">
        <f t="shared" si="37"/>
        <v>0</v>
      </c>
      <c r="Q141" s="1"/>
    </row>
    <row r="142" spans="2:17">
      <c r="B142" s="9" t="str">
        <f t="shared" si="26"/>
        <v/>
      </c>
      <c r="C142" s="153">
        <f>IF(D93="","-",+C141+1)</f>
        <v>2053</v>
      </c>
      <c r="D142" s="154">
        <f>IF(F141+SUM(E$99:E141)=D$92,F141,D$92-SUM(E$99:E141))</f>
        <v>49.192691029899834</v>
      </c>
      <c r="E142" s="160">
        <f>IF(+J96&lt;F141,J96,D142)</f>
        <v>49.192691029899834</v>
      </c>
      <c r="F142" s="159">
        <f t="shared" si="38"/>
        <v>0</v>
      </c>
      <c r="G142" s="159">
        <f t="shared" si="31"/>
        <v>24.596345514949917</v>
      </c>
      <c r="H142" s="163">
        <f t="shared" si="32"/>
        <v>52.180444973299672</v>
      </c>
      <c r="I142" s="253">
        <f t="shared" si="33"/>
        <v>52.180444973299672</v>
      </c>
      <c r="J142" s="158">
        <f t="shared" si="34"/>
        <v>0</v>
      </c>
      <c r="K142" s="158"/>
      <c r="L142" s="334"/>
      <c r="M142" s="158">
        <f t="shared" si="35"/>
        <v>0</v>
      </c>
      <c r="N142" s="334"/>
      <c r="O142" s="158">
        <f t="shared" si="36"/>
        <v>0</v>
      </c>
      <c r="P142" s="158">
        <f t="shared" si="37"/>
        <v>0</v>
      </c>
      <c r="Q142" s="1"/>
    </row>
    <row r="143" spans="2:17">
      <c r="B143" s="9" t="str">
        <f t="shared" si="26"/>
        <v/>
      </c>
      <c r="C143" s="153">
        <f>IF(D93="","-",+C142+1)</f>
        <v>2054</v>
      </c>
      <c r="D143" s="154">
        <f>IF(F142+SUM(E$99:E142)=D$92,F142,D$92-SUM(E$99:E142))</f>
        <v>0</v>
      </c>
      <c r="E143" s="160">
        <f>IF(+J96&lt;F142,J96,D143)</f>
        <v>0</v>
      </c>
      <c r="F143" s="159">
        <f t="shared" si="38"/>
        <v>0</v>
      </c>
      <c r="G143" s="159">
        <f t="shared" si="31"/>
        <v>0</v>
      </c>
      <c r="H143" s="163">
        <f t="shared" si="32"/>
        <v>0</v>
      </c>
      <c r="I143" s="253">
        <f t="shared" si="33"/>
        <v>0</v>
      </c>
      <c r="J143" s="158">
        <f t="shared" si="34"/>
        <v>0</v>
      </c>
      <c r="K143" s="158"/>
      <c r="L143" s="334"/>
      <c r="M143" s="158">
        <f t="shared" si="35"/>
        <v>0</v>
      </c>
      <c r="N143" s="334"/>
      <c r="O143" s="158">
        <f t="shared" si="36"/>
        <v>0</v>
      </c>
      <c r="P143" s="158">
        <f t="shared" si="37"/>
        <v>0</v>
      </c>
      <c r="Q143" s="1"/>
    </row>
    <row r="144" spans="2:17">
      <c r="B144" s="9" t="str">
        <f t="shared" si="26"/>
        <v/>
      </c>
      <c r="C144" s="153">
        <f>IF(D93="","-",+C143+1)</f>
        <v>2055</v>
      </c>
      <c r="D144" s="154">
        <f>IF(F143+SUM(E$99:E143)=D$92,F143,D$92-SUM(E$99:E143))</f>
        <v>0</v>
      </c>
      <c r="E144" s="160">
        <f>IF(+J96&lt;F143,J96,D144)</f>
        <v>0</v>
      </c>
      <c r="F144" s="159">
        <f t="shared" si="38"/>
        <v>0</v>
      </c>
      <c r="G144" s="159">
        <f t="shared" si="31"/>
        <v>0</v>
      </c>
      <c r="H144" s="163">
        <f t="shared" si="32"/>
        <v>0</v>
      </c>
      <c r="I144" s="253">
        <f t="shared" si="33"/>
        <v>0</v>
      </c>
      <c r="J144" s="158">
        <f t="shared" si="34"/>
        <v>0</v>
      </c>
      <c r="K144" s="158"/>
      <c r="L144" s="334"/>
      <c r="M144" s="158">
        <f t="shared" si="35"/>
        <v>0</v>
      </c>
      <c r="N144" s="334"/>
      <c r="O144" s="158">
        <f t="shared" si="36"/>
        <v>0</v>
      </c>
      <c r="P144" s="158">
        <f t="shared" si="37"/>
        <v>0</v>
      </c>
      <c r="Q144" s="1"/>
    </row>
    <row r="145" spans="2:17">
      <c r="B145" s="9" t="str">
        <f t="shared" si="26"/>
        <v/>
      </c>
      <c r="C145" s="153">
        <f>IF(D93="","-",+C144+1)</f>
        <v>2056</v>
      </c>
      <c r="D145" s="154">
        <f>IF(F144+SUM(E$99:E144)=D$92,F144,D$92-SUM(E$99:E144))</f>
        <v>0</v>
      </c>
      <c r="E145" s="160">
        <f>IF(+J96&lt;F144,J96,D145)</f>
        <v>0</v>
      </c>
      <c r="F145" s="159">
        <f t="shared" si="38"/>
        <v>0</v>
      </c>
      <c r="G145" s="159">
        <f t="shared" si="31"/>
        <v>0</v>
      </c>
      <c r="H145" s="163">
        <f t="shared" si="32"/>
        <v>0</v>
      </c>
      <c r="I145" s="253">
        <f t="shared" si="33"/>
        <v>0</v>
      </c>
      <c r="J145" s="158">
        <f t="shared" si="34"/>
        <v>0</v>
      </c>
      <c r="K145" s="158"/>
      <c r="L145" s="334"/>
      <c r="M145" s="158">
        <f t="shared" si="35"/>
        <v>0</v>
      </c>
      <c r="N145" s="334"/>
      <c r="O145" s="158">
        <f t="shared" si="36"/>
        <v>0</v>
      </c>
      <c r="P145" s="158">
        <f t="shared" si="37"/>
        <v>0</v>
      </c>
      <c r="Q145" s="1"/>
    </row>
    <row r="146" spans="2:17">
      <c r="B146" s="9" t="str">
        <f t="shared" si="26"/>
        <v/>
      </c>
      <c r="C146" s="153">
        <f>IF(D93="","-",+C145+1)</f>
        <v>2057</v>
      </c>
      <c r="D146" s="154">
        <f>IF(F145+SUM(E$99:E145)=D$92,F145,D$92-SUM(E$99:E145))</f>
        <v>0</v>
      </c>
      <c r="E146" s="160">
        <f>IF(+J96&lt;F145,J96,D146)</f>
        <v>0</v>
      </c>
      <c r="F146" s="159">
        <f t="shared" si="38"/>
        <v>0</v>
      </c>
      <c r="G146" s="159">
        <f t="shared" si="31"/>
        <v>0</v>
      </c>
      <c r="H146" s="163">
        <f t="shared" si="32"/>
        <v>0</v>
      </c>
      <c r="I146" s="253">
        <f t="shared" si="33"/>
        <v>0</v>
      </c>
      <c r="J146" s="158">
        <f t="shared" si="34"/>
        <v>0</v>
      </c>
      <c r="K146" s="158"/>
      <c r="L146" s="334"/>
      <c r="M146" s="158">
        <f t="shared" si="35"/>
        <v>0</v>
      </c>
      <c r="N146" s="334"/>
      <c r="O146" s="158">
        <f t="shared" si="36"/>
        <v>0</v>
      </c>
      <c r="P146" s="158">
        <f t="shared" si="37"/>
        <v>0</v>
      </c>
      <c r="Q146" s="1"/>
    </row>
    <row r="147" spans="2:17">
      <c r="B147" s="9" t="str">
        <f t="shared" si="26"/>
        <v/>
      </c>
      <c r="C147" s="153">
        <f>IF(D93="","-",+C146+1)</f>
        <v>2058</v>
      </c>
      <c r="D147" s="154">
        <f>IF(F146+SUM(E$99:E146)=D$92,F146,D$92-SUM(E$99:E146))</f>
        <v>0</v>
      </c>
      <c r="E147" s="160">
        <f>IF(+J96&lt;F146,J96,D147)</f>
        <v>0</v>
      </c>
      <c r="F147" s="159">
        <f t="shared" si="38"/>
        <v>0</v>
      </c>
      <c r="G147" s="159">
        <f t="shared" si="31"/>
        <v>0</v>
      </c>
      <c r="H147" s="163">
        <f t="shared" si="32"/>
        <v>0</v>
      </c>
      <c r="I147" s="253">
        <f t="shared" si="33"/>
        <v>0</v>
      </c>
      <c r="J147" s="158">
        <f t="shared" si="34"/>
        <v>0</v>
      </c>
      <c r="K147" s="158"/>
      <c r="L147" s="334"/>
      <c r="M147" s="158">
        <f t="shared" si="35"/>
        <v>0</v>
      </c>
      <c r="N147" s="334"/>
      <c r="O147" s="158">
        <f t="shared" si="36"/>
        <v>0</v>
      </c>
      <c r="P147" s="158">
        <f t="shared" si="37"/>
        <v>0</v>
      </c>
      <c r="Q147" s="1"/>
    </row>
    <row r="148" spans="2:17">
      <c r="B148" s="9" t="str">
        <f t="shared" si="26"/>
        <v/>
      </c>
      <c r="C148" s="153">
        <f>IF(D93="","-",+C147+1)</f>
        <v>2059</v>
      </c>
      <c r="D148" s="154">
        <f>IF(F147+SUM(E$99:E147)=D$92,F147,D$92-SUM(E$99:E147))</f>
        <v>0</v>
      </c>
      <c r="E148" s="160">
        <f>IF(+J96&lt;F147,J96,D148)</f>
        <v>0</v>
      </c>
      <c r="F148" s="159">
        <f t="shared" si="38"/>
        <v>0</v>
      </c>
      <c r="G148" s="159">
        <f t="shared" si="31"/>
        <v>0</v>
      </c>
      <c r="H148" s="163">
        <f t="shared" si="32"/>
        <v>0</v>
      </c>
      <c r="I148" s="253">
        <f t="shared" si="33"/>
        <v>0</v>
      </c>
      <c r="J148" s="158">
        <f t="shared" si="34"/>
        <v>0</v>
      </c>
      <c r="K148" s="158"/>
      <c r="L148" s="334"/>
      <c r="M148" s="158">
        <f t="shared" si="35"/>
        <v>0</v>
      </c>
      <c r="N148" s="334"/>
      <c r="O148" s="158">
        <f t="shared" si="36"/>
        <v>0</v>
      </c>
      <c r="P148" s="158">
        <f t="shared" si="37"/>
        <v>0</v>
      </c>
      <c r="Q148" s="1"/>
    </row>
    <row r="149" spans="2:17">
      <c r="B149" s="9" t="str">
        <f t="shared" si="26"/>
        <v/>
      </c>
      <c r="C149" s="153">
        <f>IF(D93="","-",+C148+1)</f>
        <v>2060</v>
      </c>
      <c r="D149" s="154">
        <f>IF(F148+SUM(E$99:E148)=D$92,F148,D$92-SUM(E$99:E148))</f>
        <v>0</v>
      </c>
      <c r="E149" s="160">
        <f>IF(+J96&lt;F148,J96,D149)</f>
        <v>0</v>
      </c>
      <c r="F149" s="159">
        <f t="shared" si="38"/>
        <v>0</v>
      </c>
      <c r="G149" s="159">
        <f t="shared" si="31"/>
        <v>0</v>
      </c>
      <c r="H149" s="163">
        <f t="shared" si="32"/>
        <v>0</v>
      </c>
      <c r="I149" s="253">
        <f t="shared" si="33"/>
        <v>0</v>
      </c>
      <c r="J149" s="158">
        <f t="shared" si="34"/>
        <v>0</v>
      </c>
      <c r="K149" s="158"/>
      <c r="L149" s="334"/>
      <c r="M149" s="158">
        <f t="shared" si="35"/>
        <v>0</v>
      </c>
      <c r="N149" s="334"/>
      <c r="O149" s="158">
        <f t="shared" si="36"/>
        <v>0</v>
      </c>
      <c r="P149" s="158">
        <f t="shared" si="37"/>
        <v>0</v>
      </c>
      <c r="Q149" s="1"/>
    </row>
    <row r="150" spans="2:17">
      <c r="B150" s="9" t="str">
        <f t="shared" si="26"/>
        <v/>
      </c>
      <c r="C150" s="153">
        <f>IF(D93="","-",+C149+1)</f>
        <v>2061</v>
      </c>
      <c r="D150" s="154">
        <f>IF(F149+SUM(E$99:E149)=D$92,F149,D$92-SUM(E$99:E149))</f>
        <v>0</v>
      </c>
      <c r="E150" s="160">
        <f>IF(+J96&lt;F149,J96,D150)</f>
        <v>0</v>
      </c>
      <c r="F150" s="159">
        <f t="shared" si="38"/>
        <v>0</v>
      </c>
      <c r="G150" s="159">
        <f t="shared" si="31"/>
        <v>0</v>
      </c>
      <c r="H150" s="163">
        <f t="shared" si="32"/>
        <v>0</v>
      </c>
      <c r="I150" s="253">
        <f t="shared" si="33"/>
        <v>0</v>
      </c>
      <c r="J150" s="158">
        <f t="shared" si="34"/>
        <v>0</v>
      </c>
      <c r="K150" s="158"/>
      <c r="L150" s="334"/>
      <c r="M150" s="158">
        <f t="shared" si="35"/>
        <v>0</v>
      </c>
      <c r="N150" s="334"/>
      <c r="O150" s="158">
        <f t="shared" si="36"/>
        <v>0</v>
      </c>
      <c r="P150" s="158">
        <f t="shared" si="37"/>
        <v>0</v>
      </c>
      <c r="Q150" s="1"/>
    </row>
    <row r="151" spans="2:17">
      <c r="B151" s="9" t="str">
        <f t="shared" si="26"/>
        <v/>
      </c>
      <c r="C151" s="153">
        <f>IF(D93="","-",+C150+1)</f>
        <v>2062</v>
      </c>
      <c r="D151" s="154">
        <f>IF(F150+SUM(E$99:E150)=D$92,F150,D$92-SUM(E$99:E150))</f>
        <v>0</v>
      </c>
      <c r="E151" s="160">
        <f>IF(+J96&lt;F150,J96,D151)</f>
        <v>0</v>
      </c>
      <c r="F151" s="159">
        <f t="shared" si="38"/>
        <v>0</v>
      </c>
      <c r="G151" s="159">
        <f t="shared" si="31"/>
        <v>0</v>
      </c>
      <c r="H151" s="163">
        <f t="shared" si="32"/>
        <v>0</v>
      </c>
      <c r="I151" s="253">
        <f t="shared" si="33"/>
        <v>0</v>
      </c>
      <c r="J151" s="158">
        <f t="shared" si="34"/>
        <v>0</v>
      </c>
      <c r="K151" s="158"/>
      <c r="L151" s="334"/>
      <c r="M151" s="158">
        <f t="shared" si="35"/>
        <v>0</v>
      </c>
      <c r="N151" s="334"/>
      <c r="O151" s="158">
        <f t="shared" si="36"/>
        <v>0</v>
      </c>
      <c r="P151" s="158">
        <f t="shared" si="37"/>
        <v>0</v>
      </c>
      <c r="Q151" s="1"/>
    </row>
    <row r="152" spans="2:17">
      <c r="B152" s="9" t="str">
        <f t="shared" si="26"/>
        <v/>
      </c>
      <c r="C152" s="153">
        <f>IF(D93="","-",+C151+1)</f>
        <v>2063</v>
      </c>
      <c r="D152" s="154">
        <f>IF(F151+SUM(E$99:E151)=D$92,F151,D$92-SUM(E$99:E151))</f>
        <v>0</v>
      </c>
      <c r="E152" s="160">
        <f>IF(+J96&lt;F151,J96,D152)</f>
        <v>0</v>
      </c>
      <c r="F152" s="159">
        <f t="shared" si="38"/>
        <v>0</v>
      </c>
      <c r="G152" s="159">
        <f t="shared" si="31"/>
        <v>0</v>
      </c>
      <c r="H152" s="163">
        <f t="shared" si="32"/>
        <v>0</v>
      </c>
      <c r="I152" s="253">
        <f t="shared" si="33"/>
        <v>0</v>
      </c>
      <c r="J152" s="158">
        <f t="shared" si="34"/>
        <v>0</v>
      </c>
      <c r="K152" s="158"/>
      <c r="L152" s="334"/>
      <c r="M152" s="158">
        <f t="shared" si="35"/>
        <v>0</v>
      </c>
      <c r="N152" s="334"/>
      <c r="O152" s="158">
        <f t="shared" si="36"/>
        <v>0</v>
      </c>
      <c r="P152" s="158">
        <f t="shared" si="37"/>
        <v>0</v>
      </c>
      <c r="Q152" s="1"/>
    </row>
    <row r="153" spans="2:17">
      <c r="B153" s="9" t="str">
        <f t="shared" si="26"/>
        <v/>
      </c>
      <c r="C153" s="153">
        <f>IF(D93="","-",+C152+1)</f>
        <v>2064</v>
      </c>
      <c r="D153" s="154">
        <f>IF(F152+SUM(E$99:E152)=D$92,F152,D$92-SUM(E$99:E152))</f>
        <v>0</v>
      </c>
      <c r="E153" s="160">
        <f>IF(+J96&lt;F152,J96,D153)</f>
        <v>0</v>
      </c>
      <c r="F153" s="159">
        <f t="shared" si="38"/>
        <v>0</v>
      </c>
      <c r="G153" s="159">
        <f t="shared" si="31"/>
        <v>0</v>
      </c>
      <c r="H153" s="163">
        <f t="shared" si="32"/>
        <v>0</v>
      </c>
      <c r="I153" s="253">
        <f t="shared" si="33"/>
        <v>0</v>
      </c>
      <c r="J153" s="158">
        <f t="shared" si="34"/>
        <v>0</v>
      </c>
      <c r="K153" s="158"/>
      <c r="L153" s="334"/>
      <c r="M153" s="158">
        <f t="shared" si="35"/>
        <v>0</v>
      </c>
      <c r="N153" s="334"/>
      <c r="O153" s="158">
        <f t="shared" si="36"/>
        <v>0</v>
      </c>
      <c r="P153" s="158">
        <f t="shared" si="37"/>
        <v>0</v>
      </c>
      <c r="Q153" s="1"/>
    </row>
    <row r="154" spans="2:17" ht="13.5" thickBot="1">
      <c r="B154" s="9" t="str">
        <f t="shared" si="26"/>
        <v/>
      </c>
      <c r="C154" s="164">
        <f>IF(D93="","-",+C153+1)</f>
        <v>2065</v>
      </c>
      <c r="D154" s="215">
        <f>IF(F153+SUM(E$99:E153)=D$92,F153,D$92-SUM(E$99:E153))</f>
        <v>0</v>
      </c>
      <c r="E154" s="166">
        <f>IF(+J96&lt;F153,J96,D154)</f>
        <v>0</v>
      </c>
      <c r="F154" s="165">
        <f t="shared" si="38"/>
        <v>0</v>
      </c>
      <c r="G154" s="165">
        <f t="shared" si="31"/>
        <v>0</v>
      </c>
      <c r="H154" s="167">
        <f t="shared" si="32"/>
        <v>0</v>
      </c>
      <c r="I154" s="254">
        <f t="shared" si="33"/>
        <v>0</v>
      </c>
      <c r="J154" s="169">
        <f t="shared" si="34"/>
        <v>0</v>
      </c>
      <c r="K154" s="158"/>
      <c r="L154" s="335"/>
      <c r="M154" s="169">
        <f t="shared" si="35"/>
        <v>0</v>
      </c>
      <c r="N154" s="335"/>
      <c r="O154" s="169">
        <f t="shared" si="36"/>
        <v>0</v>
      </c>
      <c r="P154" s="169">
        <f t="shared" si="37"/>
        <v>0</v>
      </c>
      <c r="Q154" s="1"/>
    </row>
    <row r="155" spans="2:17">
      <c r="C155" s="154" t="s">
        <v>73</v>
      </c>
      <c r="D155" s="111"/>
      <c r="E155" s="111">
        <f>SUM(E99:E154)</f>
        <v>88842</v>
      </c>
      <c r="F155" s="111"/>
      <c r="G155" s="111"/>
      <c r="H155" s="111">
        <f>SUM(H99:H154)</f>
        <v>331333.0259544843</v>
      </c>
      <c r="I155" s="111">
        <f>SUM(I99:I154)</f>
        <v>331333.0259544843</v>
      </c>
      <c r="J155" s="111">
        <f>SUM(J99:J154)</f>
        <v>0</v>
      </c>
      <c r="K155" s="111"/>
      <c r="L155" s="111"/>
      <c r="M155" s="111"/>
      <c r="N155" s="111"/>
      <c r="O155" s="111"/>
      <c r="P155" s="1"/>
      <c r="Q155" s="1"/>
    </row>
    <row r="156" spans="2:17">
      <c r="D156" s="2"/>
      <c r="E156" s="1"/>
      <c r="F156" s="1"/>
      <c r="G156" s="1"/>
      <c r="H156" s="1"/>
      <c r="I156" s="3"/>
      <c r="J156" s="3"/>
      <c r="K156" s="111"/>
      <c r="L156" s="3"/>
      <c r="M156" s="3"/>
      <c r="N156" s="3"/>
      <c r="O156" s="3"/>
      <c r="P156" s="1"/>
      <c r="Q156" s="1"/>
    </row>
    <row r="157" spans="2:17">
      <c r="C157" s="216" t="s">
        <v>87</v>
      </c>
      <c r="D157" s="2"/>
      <c r="E157" s="1"/>
      <c r="F157" s="1"/>
      <c r="G157" s="1"/>
      <c r="H157" s="1"/>
      <c r="I157" s="3"/>
      <c r="J157" s="3"/>
      <c r="K157" s="111"/>
      <c r="L157" s="3"/>
      <c r="M157" s="3"/>
      <c r="N157" s="3"/>
      <c r="O157" s="3"/>
      <c r="P157" s="1"/>
      <c r="Q157" s="1"/>
    </row>
    <row r="158" spans="2:17">
      <c r="D158" s="2"/>
      <c r="E158" s="1"/>
      <c r="F158" s="1"/>
      <c r="G158" s="1"/>
      <c r="H158" s="1"/>
      <c r="I158" s="3"/>
      <c r="J158" s="3"/>
      <c r="K158" s="111"/>
      <c r="L158" s="3"/>
      <c r="M158" s="3"/>
      <c r="N158" s="3"/>
      <c r="O158" s="3"/>
      <c r="P158" s="1"/>
      <c r="Q158" s="1"/>
    </row>
    <row r="159" spans="2:17">
      <c r="C159" s="170" t="s">
        <v>92</v>
      </c>
      <c r="D159" s="154"/>
      <c r="E159" s="154"/>
      <c r="F159" s="154"/>
      <c r="G159" s="154"/>
      <c r="H159" s="111"/>
      <c r="I159" s="111"/>
      <c r="J159" s="171"/>
      <c r="K159" s="171"/>
      <c r="L159" s="171"/>
      <c r="M159" s="171"/>
      <c r="N159" s="171"/>
      <c r="O159" s="171"/>
      <c r="P159" s="1"/>
      <c r="Q159" s="1"/>
    </row>
    <row r="160" spans="2:17">
      <c r="C160" s="217" t="s">
        <v>74</v>
      </c>
      <c r="D160" s="154"/>
      <c r="E160" s="154"/>
      <c r="F160" s="154"/>
      <c r="G160" s="154"/>
      <c r="H160" s="111"/>
      <c r="I160" s="111"/>
      <c r="J160" s="171"/>
      <c r="K160" s="171"/>
      <c r="L160" s="171"/>
      <c r="M160" s="171"/>
      <c r="N160" s="171"/>
      <c r="O160" s="171"/>
      <c r="P160" s="1"/>
      <c r="Q160" s="1"/>
    </row>
    <row r="161" spans="3:17">
      <c r="C161" s="217" t="s">
        <v>75</v>
      </c>
      <c r="D161" s="154"/>
      <c r="E161" s="154"/>
      <c r="F161" s="154"/>
      <c r="G161" s="154"/>
      <c r="H161" s="111"/>
      <c r="I161" s="111"/>
      <c r="J161" s="171"/>
      <c r="K161" s="171"/>
      <c r="L161" s="171"/>
      <c r="M161" s="171"/>
      <c r="N161" s="171"/>
      <c r="O161" s="171"/>
      <c r="P161" s="1"/>
      <c r="Q161" s="1"/>
    </row>
    <row r="162" spans="3:17" ht="18">
      <c r="C162" s="217"/>
      <c r="D162" s="154"/>
      <c r="E162" s="154"/>
      <c r="F162" s="154"/>
      <c r="G162" s="154"/>
      <c r="H162" s="111"/>
      <c r="I162" s="111"/>
      <c r="J162" s="171"/>
      <c r="K162" s="171"/>
      <c r="L162" s="171"/>
      <c r="M162" s="171"/>
      <c r="N162" s="171"/>
      <c r="P162" s="237" t="s">
        <v>126</v>
      </c>
      <c r="Q162" s="1"/>
    </row>
  </sheetData>
  <phoneticPr fontId="0" type="noConversion"/>
  <conditionalFormatting sqref="C17:C72">
    <cfRule type="cellIs" dxfId="115" priority="1" stopIfTrue="1" operator="equal">
      <formula>$I$10</formula>
    </cfRule>
  </conditionalFormatting>
  <conditionalFormatting sqref="C99:C154">
    <cfRule type="cellIs" dxfId="114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7"/>
  <dimension ref="A1:Q162"/>
  <sheetViews>
    <sheetView view="pageBreakPreview" zoomScale="75" zoomScaleNormal="100" zoomScaleSheetLayoutView="75" workbookViewId="0">
      <selection activeCell="C19" sqref="C19"/>
    </sheetView>
  </sheetViews>
  <sheetFormatPr defaultRowHeight="12.75" customHeight="1"/>
  <cols>
    <col min="1" max="1" width="4.7109375" customWidth="1"/>
    <col min="2" max="2" width="6.7109375" customWidth="1"/>
    <col min="3" max="3" width="23.28515625" customWidth="1"/>
    <col min="4" max="4" width="24" customWidth="1"/>
    <col min="5" max="8" width="17.7109375" customWidth="1"/>
    <col min="9" max="9" width="20.42578125" customWidth="1"/>
    <col min="10" max="10" width="16.42578125" customWidth="1"/>
    <col min="11" max="11" width="17.7109375" customWidth="1"/>
    <col min="12" max="12" width="16.140625" customWidth="1"/>
    <col min="13" max="13" width="17.7109375" customWidth="1"/>
    <col min="14" max="14" width="16.140625" customWidth="1"/>
    <col min="15" max="15" width="16.85546875" customWidth="1"/>
    <col min="16" max="16" width="24.42578125" customWidth="1"/>
    <col min="17" max="17" width="4.7109375" customWidth="1"/>
    <col min="23" max="23" width="9.140625" customWidth="1"/>
  </cols>
  <sheetData>
    <row r="1" spans="1:17" ht="20.25">
      <c r="A1" s="243" t="s">
        <v>128</v>
      </c>
      <c r="B1" s="1"/>
      <c r="C1" s="21"/>
      <c r="D1" s="2"/>
      <c r="E1" s="1"/>
      <c r="F1" s="99"/>
      <c r="G1" s="1"/>
      <c r="H1" s="3"/>
      <c r="J1" s="7"/>
      <c r="K1" s="109"/>
      <c r="L1" s="109"/>
      <c r="M1" s="109"/>
      <c r="P1" s="249" t="str">
        <f ca="1">"SWEPCO Project "&amp;RIGHT(MID(CELL("filename",$A$1),FIND("]",CELL("filename",$A$1))+1,256),2)&amp;" of "&amp;COUNT('S.001:S.xyz - blank'!$P$3)-1</f>
        <v>SWEPCO Project 26 of 73</v>
      </c>
      <c r="Q1" s="108"/>
    </row>
    <row r="2" spans="1:17" ht="18">
      <c r="B2" s="1"/>
      <c r="C2" s="1"/>
      <c r="D2" s="2"/>
      <c r="E2" s="1"/>
      <c r="F2" s="1"/>
      <c r="G2" s="1"/>
      <c r="H2" s="3"/>
      <c r="I2" s="1"/>
      <c r="J2" s="4"/>
      <c r="K2" s="1"/>
      <c r="L2" s="1"/>
      <c r="M2" s="1"/>
      <c r="N2" s="1"/>
      <c r="P2" s="237" t="s">
        <v>124</v>
      </c>
    </row>
    <row r="3" spans="1:17" ht="18.75">
      <c r="B3" s="5" t="s">
        <v>40</v>
      </c>
      <c r="C3" s="68" t="s">
        <v>41</v>
      </c>
      <c r="D3" s="2"/>
      <c r="E3" s="1"/>
      <c r="F3" s="1"/>
      <c r="G3" s="1"/>
      <c r="H3" s="3"/>
      <c r="I3" s="3"/>
      <c r="J3" s="111"/>
      <c r="K3" s="3"/>
      <c r="L3" s="3"/>
      <c r="M3" s="3"/>
      <c r="N3" s="3"/>
      <c r="O3" s="1" t="str">
        <f>RIGHT(N3,3)</f>
        <v/>
      </c>
      <c r="P3" s="239">
        <v>1</v>
      </c>
    </row>
    <row r="4" spans="1:17" ht="15.75" thickBot="1">
      <c r="C4" s="67"/>
      <c r="D4" s="2"/>
      <c r="E4" s="1"/>
      <c r="F4" s="1"/>
      <c r="G4" s="1"/>
      <c r="H4" s="3"/>
      <c r="I4" s="3"/>
      <c r="J4" s="111"/>
      <c r="K4" s="3"/>
      <c r="L4" s="3"/>
      <c r="M4" s="3"/>
      <c r="N4" s="3"/>
      <c r="O4" s="1"/>
      <c r="P4" s="1"/>
    </row>
    <row r="5" spans="1:17" ht="15">
      <c r="C5" s="112" t="s">
        <v>42</v>
      </c>
      <c r="D5" s="2"/>
      <c r="E5" s="1"/>
      <c r="F5" s="1"/>
      <c r="G5" s="113"/>
      <c r="H5" s="1" t="s">
        <v>43</v>
      </c>
      <c r="I5" s="1"/>
      <c r="J5" s="4"/>
      <c r="K5" s="268" t="s">
        <v>152</v>
      </c>
      <c r="L5" s="114"/>
      <c r="M5" s="115"/>
      <c r="N5" s="116">
        <f>VLOOKUP(I10,C17:I72,5)</f>
        <v>26174.394999763736</v>
      </c>
      <c r="P5" s="1"/>
    </row>
    <row r="6" spans="1:17" ht="15.75">
      <c r="C6" s="8"/>
      <c r="D6" s="2"/>
      <c r="E6" s="1"/>
      <c r="F6" s="1"/>
      <c r="G6" s="1"/>
      <c r="H6" s="117"/>
      <c r="I6" s="117"/>
      <c r="J6" s="118"/>
      <c r="K6" s="269" t="s">
        <v>153</v>
      </c>
      <c r="L6" s="119"/>
      <c r="M6" s="4"/>
      <c r="N6" s="120">
        <f>VLOOKUP(I10,C17:I72,6)</f>
        <v>26174.394999763736</v>
      </c>
      <c r="O6" s="1"/>
      <c r="P6" s="1"/>
    </row>
    <row r="7" spans="1:17" ht="13.5" thickBot="1">
      <c r="C7" s="121" t="s">
        <v>44</v>
      </c>
      <c r="D7" s="274" t="s">
        <v>260</v>
      </c>
      <c r="E7" s="1"/>
      <c r="F7" s="1"/>
      <c r="G7" s="170"/>
      <c r="H7" s="3"/>
      <c r="I7" s="3"/>
      <c r="J7" s="111"/>
      <c r="K7" s="122" t="s">
        <v>45</v>
      </c>
      <c r="L7" s="123"/>
      <c r="M7" s="123"/>
      <c r="N7" s="124">
        <f>+N6-N5</f>
        <v>0</v>
      </c>
      <c r="O7" s="1"/>
      <c r="P7" s="1"/>
    </row>
    <row r="8" spans="1:17" ht="13.5" thickBot="1">
      <c r="C8" s="125"/>
      <c r="D8" s="250" t="str">
        <f>IF(D10&lt;100000,"DOES NOT MEET SPP $100,000 MINIMUM INVESTMENT FOR REGIONAL BPU SHARING.","")</f>
        <v/>
      </c>
      <c r="E8" s="126"/>
      <c r="F8" s="126"/>
      <c r="G8" s="126"/>
      <c r="H8" s="126"/>
      <c r="I8" s="126"/>
      <c r="J8" s="101"/>
      <c r="K8" s="126"/>
      <c r="L8" s="126"/>
      <c r="M8" s="126"/>
      <c r="N8" s="126"/>
      <c r="O8" s="101"/>
      <c r="P8" s="21"/>
    </row>
    <row r="9" spans="1:17" ht="13.5" thickBot="1">
      <c r="A9" s="103"/>
      <c r="C9" s="127" t="s">
        <v>46</v>
      </c>
      <c r="D9" s="371" t="s">
        <v>264</v>
      </c>
      <c r="E9" s="401" t="s">
        <v>417</v>
      </c>
      <c r="F9" s="128"/>
      <c r="G9" s="128"/>
      <c r="H9" s="128"/>
      <c r="I9" s="129"/>
      <c r="J9" s="130"/>
      <c r="O9" s="131"/>
      <c r="P9" s="4"/>
    </row>
    <row r="10" spans="1:17">
      <c r="C10" s="132" t="s">
        <v>47</v>
      </c>
      <c r="D10" s="133">
        <v>249141</v>
      </c>
      <c r="E10" s="61" t="s">
        <v>459</v>
      </c>
      <c r="F10" s="131"/>
      <c r="G10" s="134"/>
      <c r="H10" s="134"/>
      <c r="I10" s="135">
        <f>+SWE.WS.F.BPU.ATRR.Projected!K17</f>
        <v>2019</v>
      </c>
      <c r="J10" s="130"/>
      <c r="K10" s="111" t="s">
        <v>48</v>
      </c>
      <c r="O10" s="4"/>
      <c r="P10" s="4"/>
    </row>
    <row r="11" spans="1:17">
      <c r="C11" s="136" t="s">
        <v>49</v>
      </c>
      <c r="D11" s="137">
        <v>2011</v>
      </c>
      <c r="E11" s="136" t="s">
        <v>50</v>
      </c>
      <c r="F11" s="134"/>
      <c r="G11" s="7"/>
      <c r="H11" s="7"/>
      <c r="I11" s="138">
        <v>0</v>
      </c>
      <c r="J11" s="139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4"/>
      <c r="P11" s="4"/>
    </row>
    <row r="12" spans="1:17">
      <c r="C12" s="136" t="s">
        <v>51</v>
      </c>
      <c r="D12" s="133">
        <v>6</v>
      </c>
      <c r="E12" s="136" t="s">
        <v>52</v>
      </c>
      <c r="F12" s="134"/>
      <c r="G12" s="7"/>
      <c r="H12" s="7"/>
      <c r="I12" s="140">
        <f>SWE.WS.F.BPU.ATRR.Projected!$F$76</f>
        <v>9.9555672459071778E-2</v>
      </c>
      <c r="J12" s="141"/>
      <c r="K12" t="s">
        <v>53</v>
      </c>
      <c r="O12" s="4"/>
      <c r="P12" s="4"/>
    </row>
    <row r="13" spans="1:17">
      <c r="C13" s="136" t="s">
        <v>54</v>
      </c>
      <c r="D13" s="138">
        <f>+SWE.WS.F.BPU.ATRR.Projected!F$87</f>
        <v>43</v>
      </c>
      <c r="E13" s="136" t="s">
        <v>55</v>
      </c>
      <c r="F13" s="134"/>
      <c r="G13" s="7"/>
      <c r="H13" s="7"/>
      <c r="I13" s="140">
        <f>IF(G5="",I12,SWE.WS.F.BPU.ATRR.Projected!$F$75)</f>
        <v>9.9555672459071778E-2</v>
      </c>
      <c r="J13" s="141"/>
      <c r="K13" s="111" t="s">
        <v>56</v>
      </c>
      <c r="L13" s="58"/>
      <c r="M13" s="58"/>
      <c r="N13" s="58"/>
      <c r="O13" s="4"/>
      <c r="P13" s="4"/>
    </row>
    <row r="14" spans="1:17" ht="13.5" thickBot="1">
      <c r="C14" s="136" t="s">
        <v>57</v>
      </c>
      <c r="D14" s="137" t="s">
        <v>58</v>
      </c>
      <c r="E14" s="4" t="s">
        <v>59</v>
      </c>
      <c r="F14" s="134"/>
      <c r="G14" s="7"/>
      <c r="H14" s="7"/>
      <c r="I14" s="142">
        <f>IF(D10=0,0,D10/D13)</f>
        <v>5793.9767441860467</v>
      </c>
      <c r="J14" s="111"/>
      <c r="K14" s="111"/>
      <c r="L14" s="111"/>
      <c r="M14" s="111"/>
      <c r="N14" s="111"/>
      <c r="O14" s="4"/>
      <c r="P14" s="4"/>
    </row>
    <row r="15" spans="1:17" ht="38.25">
      <c r="C15" s="143" t="s">
        <v>47</v>
      </c>
      <c r="D15" s="144" t="s">
        <v>60</v>
      </c>
      <c r="E15" s="144" t="s">
        <v>61</v>
      </c>
      <c r="F15" s="144" t="s">
        <v>62</v>
      </c>
      <c r="G15" s="434" t="s">
        <v>378</v>
      </c>
      <c r="H15" s="435" t="s">
        <v>379</v>
      </c>
      <c r="I15" s="351" t="s">
        <v>249</v>
      </c>
      <c r="J15" s="145"/>
      <c r="K15" s="271" t="s">
        <v>219</v>
      </c>
      <c r="L15" s="146" t="s">
        <v>64</v>
      </c>
      <c r="M15" s="271" t="s">
        <v>219</v>
      </c>
      <c r="N15" s="146" t="s">
        <v>64</v>
      </c>
      <c r="O15" s="146" t="s">
        <v>65</v>
      </c>
      <c r="P15" s="4"/>
    </row>
    <row r="16" spans="1:17" ht="13.5" thickBot="1">
      <c r="C16" s="147" t="s">
        <v>66</v>
      </c>
      <c r="D16" s="147" t="s">
        <v>67</v>
      </c>
      <c r="E16" s="147" t="s">
        <v>68</v>
      </c>
      <c r="F16" s="147" t="s">
        <v>67</v>
      </c>
      <c r="G16" s="408" t="s">
        <v>69</v>
      </c>
      <c r="H16" s="148" t="s">
        <v>70</v>
      </c>
      <c r="I16" s="149" t="s">
        <v>89</v>
      </c>
      <c r="J16" s="150" t="s">
        <v>71</v>
      </c>
      <c r="K16" s="151" t="s">
        <v>72</v>
      </c>
      <c r="L16" s="151" t="s">
        <v>72</v>
      </c>
      <c r="M16" s="151" t="s">
        <v>90</v>
      </c>
      <c r="N16" s="152" t="s">
        <v>90</v>
      </c>
      <c r="O16" s="151" t="s">
        <v>90</v>
      </c>
      <c r="P16" s="4"/>
    </row>
    <row r="17" spans="2:16">
      <c r="C17" s="153">
        <f>IF(D11= "","-",D11)</f>
        <v>2011</v>
      </c>
      <c r="D17" s="357">
        <v>91500</v>
      </c>
      <c r="E17" s="358">
        <v>0</v>
      </c>
      <c r="F17" s="357">
        <v>91500</v>
      </c>
      <c r="G17" s="358">
        <v>13154.497429496008</v>
      </c>
      <c r="H17" s="359">
        <v>13154.497429496008</v>
      </c>
      <c r="I17" s="368">
        <v>0</v>
      </c>
      <c r="J17" s="156"/>
      <c r="K17" s="256">
        <f t="shared" ref="K17:K22" si="0">G17</f>
        <v>13154.497429496008</v>
      </c>
      <c r="L17" s="172">
        <f t="shared" ref="L17:L48" si="1">IF(K17&lt;&gt;0,+G17-K17,0)</f>
        <v>0</v>
      </c>
      <c r="M17" s="256">
        <f t="shared" ref="M17:M22" si="2">H17</f>
        <v>13154.497429496008</v>
      </c>
      <c r="N17" s="157">
        <f t="shared" ref="N17:N48" si="3">IF(M17&lt;&gt;0,+H17-M17,0)</f>
        <v>0</v>
      </c>
      <c r="O17" s="158">
        <f t="shared" ref="O17:O48" si="4">+N17-L17</f>
        <v>0</v>
      </c>
      <c r="P17" s="4"/>
    </row>
    <row r="18" spans="2:16">
      <c r="B18" s="9" t="str">
        <f t="shared" ref="B18:B49" si="5">IF(D18=F17,"","IU")</f>
        <v>IU</v>
      </c>
      <c r="C18" s="153">
        <f>IF(D11="","-",+C17+1)</f>
        <v>2012</v>
      </c>
      <c r="D18" s="361">
        <v>249141</v>
      </c>
      <c r="E18" s="360">
        <v>5931.9285714285716</v>
      </c>
      <c r="F18" s="361">
        <v>243209.07142857142</v>
      </c>
      <c r="G18" s="360">
        <v>42102.015739943599</v>
      </c>
      <c r="H18" s="359">
        <v>42102.015739943599</v>
      </c>
      <c r="I18" s="368">
        <v>0</v>
      </c>
      <c r="J18" s="156"/>
      <c r="K18" s="258">
        <f t="shared" si="0"/>
        <v>42102.015739943599</v>
      </c>
      <c r="L18" s="257">
        <f t="shared" si="1"/>
        <v>0</v>
      </c>
      <c r="M18" s="258">
        <f t="shared" si="2"/>
        <v>42102.015739943599</v>
      </c>
      <c r="N18" s="158">
        <f t="shared" si="3"/>
        <v>0</v>
      </c>
      <c r="O18" s="158">
        <f t="shared" si="4"/>
        <v>0</v>
      </c>
      <c r="P18" s="4"/>
    </row>
    <row r="19" spans="2:16">
      <c r="B19" s="9" t="str">
        <f t="shared" si="5"/>
        <v/>
      </c>
      <c r="C19" s="153">
        <f>IF(D11="","-",+C18+1)</f>
        <v>2013</v>
      </c>
      <c r="D19" s="396">
        <v>243209.07142857142</v>
      </c>
      <c r="E19" s="397">
        <v>5931.9285714285716</v>
      </c>
      <c r="F19" s="396">
        <v>237277.14285714284</v>
      </c>
      <c r="G19" s="397">
        <v>39147.663443283265</v>
      </c>
      <c r="H19" s="395">
        <v>39147.663443283265</v>
      </c>
      <c r="I19" s="398">
        <v>0</v>
      </c>
      <c r="J19" s="156"/>
      <c r="K19" s="258">
        <f t="shared" si="0"/>
        <v>39147.663443283265</v>
      </c>
      <c r="L19" s="257">
        <f t="shared" ref="L19:L24" si="6">IF(K19&lt;&gt;0,+G19-K19,0)</f>
        <v>0</v>
      </c>
      <c r="M19" s="258">
        <f t="shared" si="2"/>
        <v>39147.663443283265</v>
      </c>
      <c r="N19" s="158">
        <f t="shared" ref="N19:N24" si="7">IF(M19&lt;&gt;0,+H19-M19,0)</f>
        <v>0</v>
      </c>
      <c r="O19" s="158">
        <f t="shared" si="4"/>
        <v>0</v>
      </c>
      <c r="P19" s="4"/>
    </row>
    <row r="20" spans="2:16">
      <c r="B20" s="9" t="str">
        <f t="shared" si="5"/>
        <v/>
      </c>
      <c r="C20" s="153">
        <f>IF(D11="","-",+C19+1)</f>
        <v>2014</v>
      </c>
      <c r="D20" s="396">
        <v>237277.14285714284</v>
      </c>
      <c r="E20" s="397">
        <v>5931.9285714285716</v>
      </c>
      <c r="F20" s="396">
        <v>231345.21428571426</v>
      </c>
      <c r="G20" s="397">
        <v>37142.829011918198</v>
      </c>
      <c r="H20" s="395">
        <v>37142.829011918198</v>
      </c>
      <c r="I20" s="398">
        <v>0</v>
      </c>
      <c r="J20" s="156"/>
      <c r="K20" s="258">
        <f t="shared" si="0"/>
        <v>37142.829011918198</v>
      </c>
      <c r="L20" s="257">
        <f t="shared" si="6"/>
        <v>0</v>
      </c>
      <c r="M20" s="258">
        <f t="shared" si="2"/>
        <v>37142.829011918198</v>
      </c>
      <c r="N20" s="158">
        <f t="shared" si="7"/>
        <v>0</v>
      </c>
      <c r="O20" s="158">
        <f>+N20-L20</f>
        <v>0</v>
      </c>
      <c r="P20" s="4"/>
    </row>
    <row r="21" spans="2:16">
      <c r="B21" s="9" t="str">
        <f t="shared" si="5"/>
        <v/>
      </c>
      <c r="C21" s="153">
        <f>IF(D12="","-",+C20+1)</f>
        <v>2015</v>
      </c>
      <c r="D21" s="396">
        <v>231345.21428571426</v>
      </c>
      <c r="E21" s="397">
        <v>5931.9285714285716</v>
      </c>
      <c r="F21" s="396">
        <v>225413.28571428568</v>
      </c>
      <c r="G21" s="397">
        <v>35619.940503574464</v>
      </c>
      <c r="H21" s="395">
        <v>35619.940503574464</v>
      </c>
      <c r="I21" s="156">
        <v>0</v>
      </c>
      <c r="J21" s="156"/>
      <c r="K21" s="258">
        <f t="shared" si="0"/>
        <v>35619.940503574464</v>
      </c>
      <c r="L21" s="257">
        <f t="shared" si="6"/>
        <v>0</v>
      </c>
      <c r="M21" s="258">
        <f t="shared" si="2"/>
        <v>35619.940503574464</v>
      </c>
      <c r="N21" s="158">
        <f t="shared" si="7"/>
        <v>0</v>
      </c>
      <c r="O21" s="158">
        <f>+N21-L21</f>
        <v>0</v>
      </c>
      <c r="P21" s="4"/>
    </row>
    <row r="22" spans="2:16">
      <c r="B22" s="9" t="str">
        <f t="shared" si="5"/>
        <v/>
      </c>
      <c r="C22" s="153">
        <f>IF(D11="","-",+C21+1)</f>
        <v>2016</v>
      </c>
      <c r="D22" s="396">
        <v>225413.28571428568</v>
      </c>
      <c r="E22" s="397">
        <v>5931.9285714285716</v>
      </c>
      <c r="F22" s="396">
        <v>219481.3571428571</v>
      </c>
      <c r="G22" s="397">
        <v>34482.05802568973</v>
      </c>
      <c r="H22" s="395">
        <v>34482.05802568973</v>
      </c>
      <c r="I22" s="156">
        <f t="shared" ref="I22:I49" si="8">H22-G22</f>
        <v>0</v>
      </c>
      <c r="J22" s="156"/>
      <c r="K22" s="258">
        <f t="shared" si="0"/>
        <v>34482.05802568973</v>
      </c>
      <c r="L22" s="257">
        <f t="shared" si="6"/>
        <v>0</v>
      </c>
      <c r="M22" s="258">
        <f t="shared" si="2"/>
        <v>34482.05802568973</v>
      </c>
      <c r="N22" s="158">
        <f t="shared" si="7"/>
        <v>0</v>
      </c>
      <c r="O22" s="158">
        <f>+N22-L22</f>
        <v>0</v>
      </c>
      <c r="P22" s="4"/>
    </row>
    <row r="23" spans="2:16">
      <c r="B23" s="9" t="str">
        <f t="shared" si="5"/>
        <v/>
      </c>
      <c r="C23" s="153">
        <f>IF(D11="","-",+C22+1)</f>
        <v>2017</v>
      </c>
      <c r="D23" s="396">
        <v>219481.3571428571</v>
      </c>
      <c r="E23" s="397">
        <v>5793.9767441860467</v>
      </c>
      <c r="F23" s="396">
        <v>213687.38039867106</v>
      </c>
      <c r="G23" s="397">
        <v>32627.162932907937</v>
      </c>
      <c r="H23" s="395">
        <v>32627.162932907937</v>
      </c>
      <c r="I23" s="156">
        <v>0</v>
      </c>
      <c r="J23" s="156"/>
      <c r="K23" s="258">
        <f>G23</f>
        <v>32627.162932907937</v>
      </c>
      <c r="L23" s="257">
        <f t="shared" si="6"/>
        <v>0</v>
      </c>
      <c r="M23" s="258">
        <f>H23</f>
        <v>32627.162932907937</v>
      </c>
      <c r="N23" s="158">
        <f t="shared" si="7"/>
        <v>0</v>
      </c>
      <c r="O23" s="158">
        <f>+N23-L23</f>
        <v>0</v>
      </c>
      <c r="P23" s="4"/>
    </row>
    <row r="24" spans="2:16">
      <c r="B24" s="9" t="str">
        <f t="shared" si="5"/>
        <v/>
      </c>
      <c r="C24" s="153">
        <f>IF(D11="","-",+C23+1)</f>
        <v>2018</v>
      </c>
      <c r="D24" s="396">
        <v>213687.38039867106</v>
      </c>
      <c r="E24" s="397">
        <v>6076.6097560975613</v>
      </c>
      <c r="F24" s="396">
        <v>207610.77064257348</v>
      </c>
      <c r="G24" s="397">
        <v>29644.91516610191</v>
      </c>
      <c r="H24" s="395">
        <v>29644.91516610191</v>
      </c>
      <c r="I24" s="156">
        <f t="shared" si="8"/>
        <v>0</v>
      </c>
      <c r="J24" s="156"/>
      <c r="K24" s="258">
        <f>G24</f>
        <v>29644.91516610191</v>
      </c>
      <c r="L24" s="257">
        <f t="shared" si="6"/>
        <v>0</v>
      </c>
      <c r="M24" s="258">
        <f>H24</f>
        <v>29644.91516610191</v>
      </c>
      <c r="N24" s="158">
        <f t="shared" si="7"/>
        <v>0</v>
      </c>
      <c r="O24" s="158">
        <f>+N24-L24</f>
        <v>0</v>
      </c>
      <c r="P24" s="4"/>
    </row>
    <row r="25" spans="2:16">
      <c r="B25" s="9" t="str">
        <f t="shared" si="5"/>
        <v/>
      </c>
      <c r="C25" s="153">
        <f>IF(D11="","-",+C24+1)</f>
        <v>2019</v>
      </c>
      <c r="D25" s="159">
        <f>IF(F24+SUM(E$17:E24)=D$10,F24,D$10-SUM(E$17:E24))</f>
        <v>207610.77064257348</v>
      </c>
      <c r="E25" s="160">
        <f>IF(+I14&lt;F24,I14,D25)</f>
        <v>5793.9767441860467</v>
      </c>
      <c r="F25" s="159">
        <f t="shared" ref="F25:F49" si="9">+D25-E25</f>
        <v>201816.79389838743</v>
      </c>
      <c r="G25" s="161">
        <f t="shared" ref="G25:G54" si="10">+I$12*((D25+F25)/2)+E25</f>
        <v>26174.394999763736</v>
      </c>
      <c r="H25" s="142">
        <f t="shared" ref="H25:H54" si="11">+I$13*((D25+F25)/2)+E25</f>
        <v>26174.394999763736</v>
      </c>
      <c r="I25" s="156">
        <f t="shared" si="8"/>
        <v>0</v>
      </c>
      <c r="J25" s="156"/>
      <c r="K25" s="334"/>
      <c r="L25" s="158">
        <f t="shared" si="1"/>
        <v>0</v>
      </c>
      <c r="M25" s="334"/>
      <c r="N25" s="158">
        <f t="shared" si="3"/>
        <v>0</v>
      </c>
      <c r="O25" s="158">
        <f t="shared" si="4"/>
        <v>0</v>
      </c>
      <c r="P25" s="4"/>
    </row>
    <row r="26" spans="2:16">
      <c r="B26" s="9" t="str">
        <f t="shared" si="5"/>
        <v/>
      </c>
      <c r="C26" s="153">
        <f>IF(D11="","-",+C25+1)</f>
        <v>2020</v>
      </c>
      <c r="D26" s="159">
        <f>IF(F25+SUM(E$17:E25)=D$10,F25,D$10-SUM(E$17:E25))</f>
        <v>201816.79389838743</v>
      </c>
      <c r="E26" s="160">
        <f>IF(+I14&lt;F25,I14,D26)</f>
        <v>5793.9767441860467</v>
      </c>
      <c r="F26" s="159">
        <f t="shared" si="9"/>
        <v>196022.81715420139</v>
      </c>
      <c r="G26" s="161">
        <f t="shared" si="10"/>
        <v>25597.571748784067</v>
      </c>
      <c r="H26" s="142">
        <f t="shared" si="11"/>
        <v>25597.571748784067</v>
      </c>
      <c r="I26" s="156">
        <f t="shared" si="8"/>
        <v>0</v>
      </c>
      <c r="J26" s="156"/>
      <c r="K26" s="334"/>
      <c r="L26" s="158">
        <f t="shared" si="1"/>
        <v>0</v>
      </c>
      <c r="M26" s="334"/>
      <c r="N26" s="158">
        <f t="shared" si="3"/>
        <v>0</v>
      </c>
      <c r="O26" s="158">
        <f t="shared" si="4"/>
        <v>0</v>
      </c>
      <c r="P26" s="4"/>
    </row>
    <row r="27" spans="2:16">
      <c r="B27" s="9" t="str">
        <f t="shared" si="5"/>
        <v/>
      </c>
      <c r="C27" s="153">
        <f>IF(D11="","-",+C26+1)</f>
        <v>2021</v>
      </c>
      <c r="D27" s="159">
        <f>IF(F26+SUM(E$17:E26)=D$10,F26,D$10-SUM(E$17:E26))</f>
        <v>196022.81715420139</v>
      </c>
      <c r="E27" s="160">
        <f>IF(+I14&lt;F26,I14,D27)</f>
        <v>5793.9767441860467</v>
      </c>
      <c r="F27" s="159">
        <f t="shared" si="9"/>
        <v>190228.84041001534</v>
      </c>
      <c r="G27" s="161">
        <f t="shared" si="10"/>
        <v>25020.748497804405</v>
      </c>
      <c r="H27" s="142">
        <f t="shared" si="11"/>
        <v>25020.748497804405</v>
      </c>
      <c r="I27" s="156">
        <f t="shared" si="8"/>
        <v>0</v>
      </c>
      <c r="J27" s="156"/>
      <c r="K27" s="334"/>
      <c r="L27" s="158">
        <f t="shared" si="1"/>
        <v>0</v>
      </c>
      <c r="M27" s="334"/>
      <c r="N27" s="158">
        <f t="shared" si="3"/>
        <v>0</v>
      </c>
      <c r="O27" s="158">
        <f t="shared" si="4"/>
        <v>0</v>
      </c>
      <c r="P27" s="4"/>
    </row>
    <row r="28" spans="2:16">
      <c r="B28" s="9" t="str">
        <f t="shared" si="5"/>
        <v/>
      </c>
      <c r="C28" s="153">
        <f>IF(D11="","-",+C27+1)</f>
        <v>2022</v>
      </c>
      <c r="D28" s="159">
        <f>IF(F27+SUM(E$17:E27)=D$10,F27,D$10-SUM(E$17:E27))</f>
        <v>190228.84041001534</v>
      </c>
      <c r="E28" s="160">
        <f>IF(+I14&lt;F27,I14,D28)</f>
        <v>5793.9767441860467</v>
      </c>
      <c r="F28" s="159">
        <f t="shared" si="9"/>
        <v>184434.8636658293</v>
      </c>
      <c r="G28" s="161">
        <f t="shared" si="10"/>
        <v>24443.925246824736</v>
      </c>
      <c r="H28" s="142">
        <f t="shared" si="11"/>
        <v>24443.925246824736</v>
      </c>
      <c r="I28" s="156">
        <f t="shared" si="8"/>
        <v>0</v>
      </c>
      <c r="J28" s="156"/>
      <c r="K28" s="334"/>
      <c r="L28" s="158">
        <f t="shared" si="1"/>
        <v>0</v>
      </c>
      <c r="M28" s="334"/>
      <c r="N28" s="158">
        <f t="shared" si="3"/>
        <v>0</v>
      </c>
      <c r="O28" s="158">
        <f t="shared" si="4"/>
        <v>0</v>
      </c>
      <c r="P28" s="4"/>
    </row>
    <row r="29" spans="2:16">
      <c r="B29" s="9" t="str">
        <f t="shared" si="5"/>
        <v/>
      </c>
      <c r="C29" s="153">
        <f>IF(D11="","-",+C28+1)</f>
        <v>2023</v>
      </c>
      <c r="D29" s="159">
        <f>IF(F28+SUM(E$17:E28)=D$10,F28,D$10-SUM(E$17:E28))</f>
        <v>184434.8636658293</v>
      </c>
      <c r="E29" s="160">
        <f>IF(+I14&lt;F28,I14,D29)</f>
        <v>5793.9767441860467</v>
      </c>
      <c r="F29" s="159">
        <f t="shared" si="9"/>
        <v>178640.88692164325</v>
      </c>
      <c r="G29" s="161">
        <f t="shared" si="10"/>
        <v>23867.101995845074</v>
      </c>
      <c r="H29" s="142">
        <f t="shared" si="11"/>
        <v>23867.101995845074</v>
      </c>
      <c r="I29" s="156">
        <f t="shared" si="8"/>
        <v>0</v>
      </c>
      <c r="J29" s="156"/>
      <c r="K29" s="334"/>
      <c r="L29" s="158">
        <f t="shared" si="1"/>
        <v>0</v>
      </c>
      <c r="M29" s="334"/>
      <c r="N29" s="158">
        <f t="shared" si="3"/>
        <v>0</v>
      </c>
      <c r="O29" s="158">
        <f t="shared" si="4"/>
        <v>0</v>
      </c>
      <c r="P29" s="4"/>
    </row>
    <row r="30" spans="2:16">
      <c r="B30" s="9" t="str">
        <f t="shared" si="5"/>
        <v/>
      </c>
      <c r="C30" s="153">
        <f>IF(D11="","-",+C29+1)</f>
        <v>2024</v>
      </c>
      <c r="D30" s="159">
        <f>IF(F29+SUM(E$17:E29)=D$10,F29,D$10-SUM(E$17:E29))</f>
        <v>178640.88692164325</v>
      </c>
      <c r="E30" s="160">
        <f>IF(+I14&lt;F29,I14,D30)</f>
        <v>5793.9767441860467</v>
      </c>
      <c r="F30" s="159">
        <f t="shared" si="9"/>
        <v>172846.9101774572</v>
      </c>
      <c r="G30" s="161">
        <f t="shared" si="10"/>
        <v>23290.278744865405</v>
      </c>
      <c r="H30" s="142">
        <f t="shared" si="11"/>
        <v>23290.278744865405</v>
      </c>
      <c r="I30" s="156">
        <f t="shared" si="8"/>
        <v>0</v>
      </c>
      <c r="J30" s="156"/>
      <c r="K30" s="334"/>
      <c r="L30" s="158">
        <f t="shared" si="1"/>
        <v>0</v>
      </c>
      <c r="M30" s="334"/>
      <c r="N30" s="158">
        <f t="shared" si="3"/>
        <v>0</v>
      </c>
      <c r="O30" s="158">
        <f t="shared" si="4"/>
        <v>0</v>
      </c>
      <c r="P30" s="4"/>
    </row>
    <row r="31" spans="2:16">
      <c r="B31" s="9" t="str">
        <f t="shared" si="5"/>
        <v/>
      </c>
      <c r="C31" s="153">
        <f>IF(D11="","-",+C30+1)</f>
        <v>2025</v>
      </c>
      <c r="D31" s="159">
        <f>IF(F30+SUM(E$17:E30)=D$10,F30,D$10-SUM(E$17:E30))</f>
        <v>172846.9101774572</v>
      </c>
      <c r="E31" s="160">
        <f>IF(+I14&lt;F30,I14,D31)</f>
        <v>5793.9767441860467</v>
      </c>
      <c r="F31" s="159">
        <f t="shared" si="9"/>
        <v>167052.93343327116</v>
      </c>
      <c r="G31" s="161">
        <f t="shared" si="10"/>
        <v>22713.455493885744</v>
      </c>
      <c r="H31" s="142">
        <f t="shared" si="11"/>
        <v>22713.455493885744</v>
      </c>
      <c r="I31" s="156">
        <f t="shared" si="8"/>
        <v>0</v>
      </c>
      <c r="J31" s="156"/>
      <c r="K31" s="334"/>
      <c r="L31" s="158">
        <f t="shared" si="1"/>
        <v>0</v>
      </c>
      <c r="M31" s="334"/>
      <c r="N31" s="158">
        <f t="shared" si="3"/>
        <v>0</v>
      </c>
      <c r="O31" s="158">
        <f t="shared" si="4"/>
        <v>0</v>
      </c>
      <c r="P31" s="4"/>
    </row>
    <row r="32" spans="2:16">
      <c r="B32" s="9" t="str">
        <f t="shared" si="5"/>
        <v/>
      </c>
      <c r="C32" s="153">
        <f>IF(D11="","-",+C31+1)</f>
        <v>2026</v>
      </c>
      <c r="D32" s="159">
        <f>IF(F31+SUM(E$17:E31)=D$10,F31,D$10-SUM(E$17:E31))</f>
        <v>167052.93343327116</v>
      </c>
      <c r="E32" s="160">
        <f>IF(+I14&lt;F31,I14,D32)</f>
        <v>5793.9767441860467</v>
      </c>
      <c r="F32" s="159">
        <f t="shared" si="9"/>
        <v>161258.95668908511</v>
      </c>
      <c r="G32" s="161">
        <f t="shared" si="10"/>
        <v>22136.632242906078</v>
      </c>
      <c r="H32" s="142">
        <f t="shared" si="11"/>
        <v>22136.632242906078</v>
      </c>
      <c r="I32" s="156">
        <f t="shared" si="8"/>
        <v>0</v>
      </c>
      <c r="J32" s="156"/>
      <c r="K32" s="334"/>
      <c r="L32" s="158">
        <f t="shared" si="1"/>
        <v>0</v>
      </c>
      <c r="M32" s="334"/>
      <c r="N32" s="158">
        <f t="shared" si="3"/>
        <v>0</v>
      </c>
      <c r="O32" s="158">
        <f t="shared" si="4"/>
        <v>0</v>
      </c>
      <c r="P32" s="4"/>
    </row>
    <row r="33" spans="2:16">
      <c r="B33" s="9" t="str">
        <f t="shared" si="5"/>
        <v/>
      </c>
      <c r="C33" s="153">
        <f>IF(D11="","-",+C32+1)</f>
        <v>2027</v>
      </c>
      <c r="D33" s="159">
        <f>IF(F32+SUM(E$17:E32)=D$10,F32,D$10-SUM(E$17:E32))</f>
        <v>161258.95668908511</v>
      </c>
      <c r="E33" s="160">
        <f>IF(+I14&lt;F32,I14,D33)</f>
        <v>5793.9767441860467</v>
      </c>
      <c r="F33" s="159">
        <f t="shared" si="9"/>
        <v>155464.97994489907</v>
      </c>
      <c r="G33" s="161">
        <f t="shared" si="10"/>
        <v>21559.808991926417</v>
      </c>
      <c r="H33" s="142">
        <f t="shared" si="11"/>
        <v>21559.808991926417</v>
      </c>
      <c r="I33" s="156">
        <f t="shared" si="8"/>
        <v>0</v>
      </c>
      <c r="J33" s="156"/>
      <c r="K33" s="334"/>
      <c r="L33" s="158">
        <f t="shared" si="1"/>
        <v>0</v>
      </c>
      <c r="M33" s="334"/>
      <c r="N33" s="158">
        <f t="shared" si="3"/>
        <v>0</v>
      </c>
      <c r="O33" s="158">
        <f t="shared" si="4"/>
        <v>0</v>
      </c>
      <c r="P33" s="4"/>
    </row>
    <row r="34" spans="2:16">
      <c r="B34" s="9" t="str">
        <f t="shared" si="5"/>
        <v/>
      </c>
      <c r="C34" s="153">
        <f>IF(D11="","-",+C33+1)</f>
        <v>2028</v>
      </c>
      <c r="D34" s="159">
        <f>IF(F33+SUM(E$17:E33)=D$10,F33,D$10-SUM(E$17:E33))</f>
        <v>155464.97994489907</v>
      </c>
      <c r="E34" s="160">
        <f>IF(+I14&lt;F33,I14,D34)</f>
        <v>5793.9767441860467</v>
      </c>
      <c r="F34" s="159">
        <f t="shared" si="9"/>
        <v>149671.00320071302</v>
      </c>
      <c r="G34" s="161">
        <f t="shared" si="10"/>
        <v>20982.985740946748</v>
      </c>
      <c r="H34" s="142">
        <f t="shared" si="11"/>
        <v>20982.985740946748</v>
      </c>
      <c r="I34" s="156">
        <f t="shared" si="8"/>
        <v>0</v>
      </c>
      <c r="J34" s="156"/>
      <c r="K34" s="334"/>
      <c r="L34" s="158">
        <f t="shared" si="1"/>
        <v>0</v>
      </c>
      <c r="M34" s="334"/>
      <c r="N34" s="158">
        <f t="shared" si="3"/>
        <v>0</v>
      </c>
      <c r="O34" s="158">
        <f t="shared" si="4"/>
        <v>0</v>
      </c>
      <c r="P34" s="4"/>
    </row>
    <row r="35" spans="2:16">
      <c r="B35" s="9" t="str">
        <f t="shared" si="5"/>
        <v/>
      </c>
      <c r="C35" s="153">
        <f>IF(D11="","-",+C34+1)</f>
        <v>2029</v>
      </c>
      <c r="D35" s="159">
        <f>IF(F34+SUM(E$17:E34)=D$10,F34,D$10-SUM(E$17:E34))</f>
        <v>149671.00320071302</v>
      </c>
      <c r="E35" s="160">
        <f>IF(+I14&lt;F34,I14,D35)</f>
        <v>5793.9767441860467</v>
      </c>
      <c r="F35" s="159">
        <f t="shared" si="9"/>
        <v>143877.02645652698</v>
      </c>
      <c r="G35" s="161">
        <f t="shared" si="10"/>
        <v>20406.162489967086</v>
      </c>
      <c r="H35" s="142">
        <f t="shared" si="11"/>
        <v>20406.162489967086</v>
      </c>
      <c r="I35" s="156">
        <f t="shared" si="8"/>
        <v>0</v>
      </c>
      <c r="J35" s="156"/>
      <c r="K35" s="334"/>
      <c r="L35" s="158">
        <f t="shared" si="1"/>
        <v>0</v>
      </c>
      <c r="M35" s="334"/>
      <c r="N35" s="158">
        <f t="shared" si="3"/>
        <v>0</v>
      </c>
      <c r="O35" s="158">
        <f t="shared" si="4"/>
        <v>0</v>
      </c>
      <c r="P35" s="4"/>
    </row>
    <row r="36" spans="2:16">
      <c r="B36" s="9" t="str">
        <f t="shared" si="5"/>
        <v/>
      </c>
      <c r="C36" s="153">
        <f>IF(D11="","-",+C35+1)</f>
        <v>2030</v>
      </c>
      <c r="D36" s="159">
        <f>IF(F35+SUM(E$17:E35)=D$10,F35,D$10-SUM(E$17:E35))</f>
        <v>143877.02645652698</v>
      </c>
      <c r="E36" s="160">
        <f>IF(+I14&lt;F35,I14,D36)</f>
        <v>5793.9767441860467</v>
      </c>
      <c r="F36" s="159">
        <f t="shared" si="9"/>
        <v>138083.04971234093</v>
      </c>
      <c r="G36" s="161">
        <f t="shared" si="10"/>
        <v>19829.339238987417</v>
      </c>
      <c r="H36" s="142">
        <f t="shared" si="11"/>
        <v>19829.339238987417</v>
      </c>
      <c r="I36" s="156">
        <f t="shared" si="8"/>
        <v>0</v>
      </c>
      <c r="J36" s="156"/>
      <c r="K36" s="334"/>
      <c r="L36" s="158">
        <f t="shared" si="1"/>
        <v>0</v>
      </c>
      <c r="M36" s="334"/>
      <c r="N36" s="158">
        <f t="shared" si="3"/>
        <v>0</v>
      </c>
      <c r="O36" s="158">
        <f t="shared" si="4"/>
        <v>0</v>
      </c>
      <c r="P36" s="4"/>
    </row>
    <row r="37" spans="2:16">
      <c r="B37" s="9" t="str">
        <f t="shared" si="5"/>
        <v/>
      </c>
      <c r="C37" s="153">
        <f>IF(D11="","-",+C36+1)</f>
        <v>2031</v>
      </c>
      <c r="D37" s="159">
        <f>IF(F36+SUM(E$17:E36)=D$10,F36,D$10-SUM(E$17:E36))</f>
        <v>138083.04971234093</v>
      </c>
      <c r="E37" s="160">
        <f>IF(+I14&lt;F36,I14,D37)</f>
        <v>5793.9767441860467</v>
      </c>
      <c r="F37" s="159">
        <f t="shared" si="9"/>
        <v>132289.07296815488</v>
      </c>
      <c r="G37" s="161">
        <f t="shared" si="10"/>
        <v>19252.515988007755</v>
      </c>
      <c r="H37" s="142">
        <f t="shared" si="11"/>
        <v>19252.515988007755</v>
      </c>
      <c r="I37" s="156">
        <f t="shared" si="8"/>
        <v>0</v>
      </c>
      <c r="J37" s="156"/>
      <c r="K37" s="334"/>
      <c r="L37" s="158">
        <f t="shared" si="1"/>
        <v>0</v>
      </c>
      <c r="M37" s="334"/>
      <c r="N37" s="158">
        <f t="shared" si="3"/>
        <v>0</v>
      </c>
      <c r="O37" s="158">
        <f t="shared" si="4"/>
        <v>0</v>
      </c>
      <c r="P37" s="4"/>
    </row>
    <row r="38" spans="2:16">
      <c r="B38" s="9" t="str">
        <f t="shared" si="5"/>
        <v/>
      </c>
      <c r="C38" s="153">
        <f>IF(D11="","-",+C37+1)</f>
        <v>2032</v>
      </c>
      <c r="D38" s="159">
        <f>IF(F37+SUM(E$17:E37)=D$10,F37,D$10-SUM(E$17:E37))</f>
        <v>132289.07296815488</v>
      </c>
      <c r="E38" s="160">
        <f>IF(+I14&lt;F37,I14,D38)</f>
        <v>5793.9767441860467</v>
      </c>
      <c r="F38" s="159">
        <f t="shared" si="9"/>
        <v>126495.09622396884</v>
      </c>
      <c r="G38" s="161">
        <f t="shared" si="10"/>
        <v>18675.69273702809</v>
      </c>
      <c r="H38" s="142">
        <f t="shared" si="11"/>
        <v>18675.69273702809</v>
      </c>
      <c r="I38" s="156">
        <f t="shared" si="8"/>
        <v>0</v>
      </c>
      <c r="J38" s="156"/>
      <c r="K38" s="334"/>
      <c r="L38" s="158">
        <f t="shared" si="1"/>
        <v>0</v>
      </c>
      <c r="M38" s="334"/>
      <c r="N38" s="158">
        <f t="shared" si="3"/>
        <v>0</v>
      </c>
      <c r="O38" s="158">
        <f t="shared" si="4"/>
        <v>0</v>
      </c>
      <c r="P38" s="4"/>
    </row>
    <row r="39" spans="2:16">
      <c r="B39" s="9" t="str">
        <f t="shared" si="5"/>
        <v/>
      </c>
      <c r="C39" s="153">
        <f>IF(D11="","-",+C38+1)</f>
        <v>2033</v>
      </c>
      <c r="D39" s="159">
        <f>IF(F38+SUM(E$17:E38)=D$10,F38,D$10-SUM(E$17:E38))</f>
        <v>126495.09622396884</v>
      </c>
      <c r="E39" s="160">
        <f>IF(+I14&lt;F38,I14,D39)</f>
        <v>5793.9767441860467</v>
      </c>
      <c r="F39" s="159">
        <f t="shared" si="9"/>
        <v>120701.11947978279</v>
      </c>
      <c r="G39" s="161">
        <f t="shared" si="10"/>
        <v>18098.869486048425</v>
      </c>
      <c r="H39" s="142">
        <f t="shared" si="11"/>
        <v>18098.869486048425</v>
      </c>
      <c r="I39" s="156">
        <f t="shared" si="8"/>
        <v>0</v>
      </c>
      <c r="J39" s="156"/>
      <c r="K39" s="334"/>
      <c r="L39" s="158">
        <f t="shared" si="1"/>
        <v>0</v>
      </c>
      <c r="M39" s="334"/>
      <c r="N39" s="158">
        <f t="shared" si="3"/>
        <v>0</v>
      </c>
      <c r="O39" s="158">
        <f t="shared" si="4"/>
        <v>0</v>
      </c>
      <c r="P39" s="4"/>
    </row>
    <row r="40" spans="2:16">
      <c r="B40" s="9" t="str">
        <f t="shared" si="5"/>
        <v/>
      </c>
      <c r="C40" s="153">
        <f>IF(D11="","-",+C39+1)</f>
        <v>2034</v>
      </c>
      <c r="D40" s="159">
        <f>IF(F39+SUM(E$17:E39)=D$10,F39,D$10-SUM(E$17:E39))</f>
        <v>120701.11947978279</v>
      </c>
      <c r="E40" s="160">
        <f>IF(+I14&lt;F39,I14,D40)</f>
        <v>5793.9767441860467</v>
      </c>
      <c r="F40" s="159">
        <f t="shared" si="9"/>
        <v>114907.14273559675</v>
      </c>
      <c r="G40" s="161">
        <f t="shared" si="10"/>
        <v>17522.046235068759</v>
      </c>
      <c r="H40" s="142">
        <f t="shared" si="11"/>
        <v>17522.046235068759</v>
      </c>
      <c r="I40" s="156">
        <f t="shared" si="8"/>
        <v>0</v>
      </c>
      <c r="J40" s="156"/>
      <c r="K40" s="334"/>
      <c r="L40" s="158">
        <f t="shared" si="1"/>
        <v>0</v>
      </c>
      <c r="M40" s="334"/>
      <c r="N40" s="158">
        <f t="shared" si="3"/>
        <v>0</v>
      </c>
      <c r="O40" s="158">
        <f t="shared" si="4"/>
        <v>0</v>
      </c>
      <c r="P40" s="4"/>
    </row>
    <row r="41" spans="2:16">
      <c r="B41" s="9" t="str">
        <f t="shared" si="5"/>
        <v/>
      </c>
      <c r="C41" s="153">
        <f>IF(D11="","-",+C40+1)</f>
        <v>2035</v>
      </c>
      <c r="D41" s="159">
        <f>IF(F40+SUM(E$17:E40)=D$10,F40,D$10-SUM(E$17:E40))</f>
        <v>114907.14273559675</v>
      </c>
      <c r="E41" s="160">
        <f>IF(+I14&lt;F40,I14,D41)</f>
        <v>5793.9767441860467</v>
      </c>
      <c r="F41" s="159">
        <f t="shared" si="9"/>
        <v>109113.1659914107</v>
      </c>
      <c r="G41" s="161">
        <f t="shared" si="10"/>
        <v>16945.222984089094</v>
      </c>
      <c r="H41" s="142">
        <f t="shared" si="11"/>
        <v>16945.222984089094</v>
      </c>
      <c r="I41" s="156">
        <f t="shared" si="8"/>
        <v>0</v>
      </c>
      <c r="J41" s="156"/>
      <c r="K41" s="334"/>
      <c r="L41" s="158">
        <f t="shared" si="1"/>
        <v>0</v>
      </c>
      <c r="M41" s="334"/>
      <c r="N41" s="158">
        <f t="shared" si="3"/>
        <v>0</v>
      </c>
      <c r="O41" s="158">
        <f t="shared" si="4"/>
        <v>0</v>
      </c>
      <c r="P41" s="4"/>
    </row>
    <row r="42" spans="2:16">
      <c r="B42" s="9" t="str">
        <f t="shared" si="5"/>
        <v/>
      </c>
      <c r="C42" s="153">
        <f>IF(D11="","-",+C41+1)</f>
        <v>2036</v>
      </c>
      <c r="D42" s="159">
        <f>IF(F41+SUM(E$17:E41)=D$10,F41,D$10-SUM(E$17:E41))</f>
        <v>109113.1659914107</v>
      </c>
      <c r="E42" s="160">
        <f>IF(+I14&lt;F41,I14,D42)</f>
        <v>5793.9767441860467</v>
      </c>
      <c r="F42" s="159">
        <f t="shared" si="9"/>
        <v>103319.18924722465</v>
      </c>
      <c r="G42" s="161">
        <f t="shared" si="10"/>
        <v>16368.399733109429</v>
      </c>
      <c r="H42" s="142">
        <f t="shared" si="11"/>
        <v>16368.399733109429</v>
      </c>
      <c r="I42" s="156">
        <f t="shared" si="8"/>
        <v>0</v>
      </c>
      <c r="J42" s="156"/>
      <c r="K42" s="334"/>
      <c r="L42" s="158">
        <f t="shared" si="1"/>
        <v>0</v>
      </c>
      <c r="M42" s="334"/>
      <c r="N42" s="158">
        <f t="shared" si="3"/>
        <v>0</v>
      </c>
      <c r="O42" s="158">
        <f t="shared" si="4"/>
        <v>0</v>
      </c>
      <c r="P42" s="4"/>
    </row>
    <row r="43" spans="2:16">
      <c r="B43" s="9" t="str">
        <f t="shared" si="5"/>
        <v/>
      </c>
      <c r="C43" s="153">
        <f>IF(D11="","-",+C42+1)</f>
        <v>2037</v>
      </c>
      <c r="D43" s="159">
        <f>IF(F42+SUM(E$17:E42)=D$10,F42,D$10-SUM(E$17:E42))</f>
        <v>103319.18924722465</v>
      </c>
      <c r="E43" s="160">
        <f>IF(+I14&lt;F42,I14,D43)</f>
        <v>5793.9767441860467</v>
      </c>
      <c r="F43" s="159">
        <f t="shared" si="9"/>
        <v>97525.212503038609</v>
      </c>
      <c r="G43" s="161">
        <f t="shared" si="10"/>
        <v>15791.576482129763</v>
      </c>
      <c r="H43" s="142">
        <f t="shared" si="11"/>
        <v>15791.576482129763</v>
      </c>
      <c r="I43" s="156">
        <f t="shared" si="8"/>
        <v>0</v>
      </c>
      <c r="J43" s="156"/>
      <c r="K43" s="334"/>
      <c r="L43" s="158">
        <f t="shared" si="1"/>
        <v>0</v>
      </c>
      <c r="M43" s="334"/>
      <c r="N43" s="158">
        <f t="shared" si="3"/>
        <v>0</v>
      </c>
      <c r="O43" s="158">
        <f t="shared" si="4"/>
        <v>0</v>
      </c>
      <c r="P43" s="4"/>
    </row>
    <row r="44" spans="2:16">
      <c r="B44" s="9" t="str">
        <f t="shared" si="5"/>
        <v/>
      </c>
      <c r="C44" s="153">
        <f>IF(D11="","-",+C43+1)</f>
        <v>2038</v>
      </c>
      <c r="D44" s="159">
        <f>IF(F43+SUM(E$17:E43)=D$10,F43,D$10-SUM(E$17:E43))</f>
        <v>97525.212503038609</v>
      </c>
      <c r="E44" s="160">
        <f>IF(+I14&lt;F43,I14,D44)</f>
        <v>5793.9767441860467</v>
      </c>
      <c r="F44" s="159">
        <f t="shared" si="9"/>
        <v>91731.235758852563</v>
      </c>
      <c r="G44" s="161">
        <f t="shared" si="10"/>
        <v>15214.753231150098</v>
      </c>
      <c r="H44" s="142">
        <f t="shared" si="11"/>
        <v>15214.753231150098</v>
      </c>
      <c r="I44" s="156">
        <f t="shared" si="8"/>
        <v>0</v>
      </c>
      <c r="J44" s="156"/>
      <c r="K44" s="334"/>
      <c r="L44" s="158">
        <f t="shared" si="1"/>
        <v>0</v>
      </c>
      <c r="M44" s="334"/>
      <c r="N44" s="158">
        <f t="shared" si="3"/>
        <v>0</v>
      </c>
      <c r="O44" s="158">
        <f t="shared" si="4"/>
        <v>0</v>
      </c>
      <c r="P44" s="4"/>
    </row>
    <row r="45" spans="2:16">
      <c r="B45" s="9" t="str">
        <f t="shared" si="5"/>
        <v/>
      </c>
      <c r="C45" s="153">
        <f>IF(D11="","-",+C44+1)</f>
        <v>2039</v>
      </c>
      <c r="D45" s="159">
        <f>IF(F44+SUM(E$17:E44)=D$10,F44,D$10-SUM(E$17:E44))</f>
        <v>91731.235758852563</v>
      </c>
      <c r="E45" s="160">
        <f>IF(+I14&lt;F44,I14,D45)</f>
        <v>5793.9767441860467</v>
      </c>
      <c r="F45" s="159">
        <f t="shared" si="9"/>
        <v>85937.259014666517</v>
      </c>
      <c r="G45" s="161">
        <f t="shared" si="10"/>
        <v>14637.929980170433</v>
      </c>
      <c r="H45" s="142">
        <f t="shared" si="11"/>
        <v>14637.929980170433</v>
      </c>
      <c r="I45" s="156">
        <f t="shared" si="8"/>
        <v>0</v>
      </c>
      <c r="J45" s="156"/>
      <c r="K45" s="334"/>
      <c r="L45" s="158">
        <f t="shared" si="1"/>
        <v>0</v>
      </c>
      <c r="M45" s="334"/>
      <c r="N45" s="158">
        <f t="shared" si="3"/>
        <v>0</v>
      </c>
      <c r="O45" s="158">
        <f t="shared" si="4"/>
        <v>0</v>
      </c>
      <c r="P45" s="4"/>
    </row>
    <row r="46" spans="2:16">
      <c r="B46" s="9" t="str">
        <f t="shared" si="5"/>
        <v/>
      </c>
      <c r="C46" s="153">
        <f>IF(D11="","-",+C45+1)</f>
        <v>2040</v>
      </c>
      <c r="D46" s="159">
        <f>IF(F45+SUM(E$17:E45)=D$10,F45,D$10-SUM(E$17:E45))</f>
        <v>85937.259014666517</v>
      </c>
      <c r="E46" s="160">
        <f>IF(+I14&lt;F45,I14,D46)</f>
        <v>5793.9767441860467</v>
      </c>
      <c r="F46" s="159">
        <f t="shared" si="9"/>
        <v>80143.282270480471</v>
      </c>
      <c r="G46" s="161">
        <f t="shared" si="10"/>
        <v>14061.106729190768</v>
      </c>
      <c r="H46" s="142">
        <f t="shared" si="11"/>
        <v>14061.106729190768</v>
      </c>
      <c r="I46" s="156">
        <f t="shared" si="8"/>
        <v>0</v>
      </c>
      <c r="J46" s="156"/>
      <c r="K46" s="334"/>
      <c r="L46" s="158">
        <f t="shared" si="1"/>
        <v>0</v>
      </c>
      <c r="M46" s="334"/>
      <c r="N46" s="158">
        <f t="shared" si="3"/>
        <v>0</v>
      </c>
      <c r="O46" s="158">
        <f t="shared" si="4"/>
        <v>0</v>
      </c>
      <c r="P46" s="4"/>
    </row>
    <row r="47" spans="2:16">
      <c r="B47" s="9" t="str">
        <f t="shared" si="5"/>
        <v/>
      </c>
      <c r="C47" s="153">
        <f>IF(D11="","-",+C46+1)</f>
        <v>2041</v>
      </c>
      <c r="D47" s="159">
        <f>IF(F46+SUM(E$17:E46)=D$10,F46,D$10-SUM(E$17:E46))</f>
        <v>80143.282270480471</v>
      </c>
      <c r="E47" s="160">
        <f>IF(+I14&lt;F46,I14,D47)</f>
        <v>5793.9767441860467</v>
      </c>
      <c r="F47" s="159">
        <f t="shared" si="9"/>
        <v>74349.305526294425</v>
      </c>
      <c r="G47" s="161">
        <f t="shared" si="10"/>
        <v>13484.283478211102</v>
      </c>
      <c r="H47" s="142">
        <f t="shared" si="11"/>
        <v>13484.283478211102</v>
      </c>
      <c r="I47" s="156">
        <f t="shared" si="8"/>
        <v>0</v>
      </c>
      <c r="J47" s="156"/>
      <c r="K47" s="334"/>
      <c r="L47" s="158">
        <f t="shared" si="1"/>
        <v>0</v>
      </c>
      <c r="M47" s="334"/>
      <c r="N47" s="158">
        <f t="shared" si="3"/>
        <v>0</v>
      </c>
      <c r="O47" s="158">
        <f t="shared" si="4"/>
        <v>0</v>
      </c>
      <c r="P47" s="4"/>
    </row>
    <row r="48" spans="2:16">
      <c r="B48" s="9" t="str">
        <f t="shared" si="5"/>
        <v/>
      </c>
      <c r="C48" s="153">
        <f>IF(D11="","-",+C47+1)</f>
        <v>2042</v>
      </c>
      <c r="D48" s="159">
        <f>IF(F47+SUM(E$17:E47)=D$10,F47,D$10-SUM(E$17:E47))</f>
        <v>74349.305526294425</v>
      </c>
      <c r="E48" s="160">
        <f>IF(+I14&lt;F47,I14,D48)</f>
        <v>5793.9767441860467</v>
      </c>
      <c r="F48" s="159">
        <f t="shared" si="9"/>
        <v>68555.32878210838</v>
      </c>
      <c r="G48" s="161">
        <f t="shared" si="10"/>
        <v>12907.460227231437</v>
      </c>
      <c r="H48" s="142">
        <f t="shared" si="11"/>
        <v>12907.460227231437</v>
      </c>
      <c r="I48" s="156">
        <f t="shared" si="8"/>
        <v>0</v>
      </c>
      <c r="J48" s="156"/>
      <c r="K48" s="334"/>
      <c r="L48" s="158">
        <f t="shared" si="1"/>
        <v>0</v>
      </c>
      <c r="M48" s="334"/>
      <c r="N48" s="158">
        <f t="shared" si="3"/>
        <v>0</v>
      </c>
      <c r="O48" s="158">
        <f t="shared" si="4"/>
        <v>0</v>
      </c>
      <c r="P48" s="4"/>
    </row>
    <row r="49" spans="2:17">
      <c r="B49" s="9" t="str">
        <f t="shared" si="5"/>
        <v/>
      </c>
      <c r="C49" s="153">
        <f>IF(D11="","-",+C48+1)</f>
        <v>2043</v>
      </c>
      <c r="D49" s="159">
        <f>IF(F48+SUM(E$17:E48)=D$10,F48,D$10-SUM(E$17:E48))</f>
        <v>68555.32878210838</v>
      </c>
      <c r="E49" s="160">
        <f>IF(+I14&lt;F48,I14,D49)</f>
        <v>5793.9767441860467</v>
      </c>
      <c r="F49" s="159">
        <f t="shared" si="9"/>
        <v>62761.352037922334</v>
      </c>
      <c r="G49" s="161">
        <f t="shared" si="10"/>
        <v>12330.636976251772</v>
      </c>
      <c r="H49" s="142">
        <f t="shared" si="11"/>
        <v>12330.636976251772</v>
      </c>
      <c r="I49" s="156">
        <f t="shared" si="8"/>
        <v>0</v>
      </c>
      <c r="J49" s="156"/>
      <c r="K49" s="334"/>
      <c r="L49" s="158">
        <f t="shared" ref="L49:L72" si="12">IF(K49&lt;&gt;0,+G49-K49,0)</f>
        <v>0</v>
      </c>
      <c r="M49" s="334"/>
      <c r="N49" s="158">
        <f t="shared" ref="N49:N72" si="13">IF(M49&lt;&gt;0,+H49-M49,0)</f>
        <v>0</v>
      </c>
      <c r="O49" s="158">
        <f t="shared" ref="O49:O72" si="14">+N49-L49</f>
        <v>0</v>
      </c>
      <c r="P49" s="4"/>
    </row>
    <row r="50" spans="2:17">
      <c r="B50" s="9" t="str">
        <f t="shared" ref="B50:B72" si="15">IF(D50=F49,"","IU")</f>
        <v/>
      </c>
      <c r="C50" s="153">
        <f>IF(D11="","-",+C49+1)</f>
        <v>2044</v>
      </c>
      <c r="D50" s="159">
        <f>IF(F49+SUM(E$17:E49)=D$10,F49,D$10-SUM(E$17:E49))</f>
        <v>62761.352037922334</v>
      </c>
      <c r="E50" s="160">
        <f>IF(+I14&lt;F49,I14,D50)</f>
        <v>5793.9767441860467</v>
      </c>
      <c r="F50" s="159">
        <f t="shared" ref="F50:F72" si="16">+D50-E50</f>
        <v>56967.375293736288</v>
      </c>
      <c r="G50" s="161">
        <f t="shared" si="10"/>
        <v>11753.813725272106</v>
      </c>
      <c r="H50" s="142">
        <f t="shared" si="11"/>
        <v>11753.813725272106</v>
      </c>
      <c r="I50" s="156">
        <f t="shared" ref="I50:I72" si="17">H50-G50</f>
        <v>0</v>
      </c>
      <c r="J50" s="156"/>
      <c r="K50" s="334"/>
      <c r="L50" s="158">
        <f t="shared" si="12"/>
        <v>0</v>
      </c>
      <c r="M50" s="334"/>
      <c r="N50" s="158">
        <f t="shared" si="13"/>
        <v>0</v>
      </c>
      <c r="O50" s="158">
        <f t="shared" si="14"/>
        <v>0</v>
      </c>
      <c r="P50" s="4"/>
    </row>
    <row r="51" spans="2:17">
      <c r="B51" s="9" t="str">
        <f t="shared" si="15"/>
        <v/>
      </c>
      <c r="C51" s="153">
        <f>IF(D11="","-",+C50+1)</f>
        <v>2045</v>
      </c>
      <c r="D51" s="159">
        <f>IF(F50+SUM(E$17:E50)=D$10,F50,D$10-SUM(E$17:E50))</f>
        <v>56967.375293736288</v>
      </c>
      <c r="E51" s="160">
        <f>IF(+I14&lt;F50,I14,D51)</f>
        <v>5793.9767441860467</v>
      </c>
      <c r="F51" s="159">
        <f t="shared" si="16"/>
        <v>51173.398549550242</v>
      </c>
      <c r="G51" s="161">
        <f t="shared" si="10"/>
        <v>11176.990474292441</v>
      </c>
      <c r="H51" s="142">
        <f t="shared" si="11"/>
        <v>11176.990474292441</v>
      </c>
      <c r="I51" s="156">
        <f t="shared" si="17"/>
        <v>0</v>
      </c>
      <c r="J51" s="156"/>
      <c r="K51" s="334"/>
      <c r="L51" s="158">
        <f t="shared" si="12"/>
        <v>0</v>
      </c>
      <c r="M51" s="334"/>
      <c r="N51" s="158">
        <f t="shared" si="13"/>
        <v>0</v>
      </c>
      <c r="O51" s="158">
        <f t="shared" si="14"/>
        <v>0</v>
      </c>
      <c r="P51" s="4"/>
    </row>
    <row r="52" spans="2:17">
      <c r="B52" s="9" t="str">
        <f t="shared" si="15"/>
        <v/>
      </c>
      <c r="C52" s="153">
        <f>IF(D11="","-",+C51+1)</f>
        <v>2046</v>
      </c>
      <c r="D52" s="159">
        <f>IF(F51+SUM(E$17:E51)=D$10,F51,D$10-SUM(E$17:E51))</f>
        <v>51173.398549550242</v>
      </c>
      <c r="E52" s="160">
        <f>IF(+I14&lt;F51,I14,D52)</f>
        <v>5793.9767441860467</v>
      </c>
      <c r="F52" s="159">
        <f t="shared" si="16"/>
        <v>45379.421805364196</v>
      </c>
      <c r="G52" s="161">
        <f t="shared" si="10"/>
        <v>10600.167223312776</v>
      </c>
      <c r="H52" s="142">
        <f t="shared" si="11"/>
        <v>10600.167223312776</v>
      </c>
      <c r="I52" s="156">
        <f t="shared" si="17"/>
        <v>0</v>
      </c>
      <c r="J52" s="156"/>
      <c r="K52" s="334"/>
      <c r="L52" s="158">
        <f t="shared" si="12"/>
        <v>0</v>
      </c>
      <c r="M52" s="334"/>
      <c r="N52" s="158">
        <f t="shared" si="13"/>
        <v>0</v>
      </c>
      <c r="O52" s="158">
        <f t="shared" si="14"/>
        <v>0</v>
      </c>
      <c r="P52" s="4"/>
    </row>
    <row r="53" spans="2:17">
      <c r="B53" s="9" t="str">
        <f t="shared" si="15"/>
        <v/>
      </c>
      <c r="C53" s="153">
        <f>IF(D11="","-",+C52+1)</f>
        <v>2047</v>
      </c>
      <c r="D53" s="159">
        <f>IF(F52+SUM(E$17:E52)=D$10,F52,D$10-SUM(E$17:E52))</f>
        <v>45379.421805364196</v>
      </c>
      <c r="E53" s="160">
        <f>IF(+I14&lt;F52,I14,D53)</f>
        <v>5793.9767441860467</v>
      </c>
      <c r="F53" s="159">
        <f t="shared" si="16"/>
        <v>39585.44506117815</v>
      </c>
      <c r="G53" s="161">
        <f t="shared" si="10"/>
        <v>10023.343972333112</v>
      </c>
      <c r="H53" s="142">
        <f t="shared" si="11"/>
        <v>10023.343972333112</v>
      </c>
      <c r="I53" s="156">
        <f t="shared" si="17"/>
        <v>0</v>
      </c>
      <c r="J53" s="156"/>
      <c r="K53" s="334"/>
      <c r="L53" s="158">
        <f t="shared" si="12"/>
        <v>0</v>
      </c>
      <c r="M53" s="334"/>
      <c r="N53" s="158">
        <f t="shared" si="13"/>
        <v>0</v>
      </c>
      <c r="O53" s="158">
        <f t="shared" si="14"/>
        <v>0</v>
      </c>
      <c r="P53" s="4"/>
    </row>
    <row r="54" spans="2:17">
      <c r="B54" s="9" t="str">
        <f t="shared" si="15"/>
        <v/>
      </c>
      <c r="C54" s="153">
        <f>IF(D11="","-",+C53+1)</f>
        <v>2048</v>
      </c>
      <c r="D54" s="159">
        <f>IF(F53+SUM(E$17:E53)=D$10,F53,D$10-SUM(E$17:E53))</f>
        <v>39585.44506117815</v>
      </c>
      <c r="E54" s="160">
        <f>IF(+I14&lt;F53,I14,D54)</f>
        <v>5793.9767441860467</v>
      </c>
      <c r="F54" s="159">
        <f t="shared" si="16"/>
        <v>33791.468316992105</v>
      </c>
      <c r="G54" s="161">
        <f t="shared" si="10"/>
        <v>9446.5207213534468</v>
      </c>
      <c r="H54" s="142">
        <f t="shared" si="11"/>
        <v>9446.5207213534468</v>
      </c>
      <c r="I54" s="156">
        <f t="shared" si="17"/>
        <v>0</v>
      </c>
      <c r="J54" s="156"/>
      <c r="K54" s="334"/>
      <c r="L54" s="158">
        <f t="shared" si="12"/>
        <v>0</v>
      </c>
      <c r="M54" s="334"/>
      <c r="N54" s="158">
        <f t="shared" si="13"/>
        <v>0</v>
      </c>
      <c r="O54" s="158">
        <f t="shared" si="14"/>
        <v>0</v>
      </c>
      <c r="P54" s="4"/>
    </row>
    <row r="55" spans="2:17">
      <c r="B55" s="9" t="str">
        <f t="shared" si="15"/>
        <v/>
      </c>
      <c r="C55" s="153">
        <f>IF(D11="","-",+C54+1)</f>
        <v>2049</v>
      </c>
      <c r="D55" s="159">
        <f>IF(F54+SUM(E$17:E54)=D$10,F54,D$10-SUM(E$17:E54))</f>
        <v>33791.468316992105</v>
      </c>
      <c r="E55" s="160">
        <f>IF(+I14&lt;F54,I14,D55)</f>
        <v>5793.9767441860467</v>
      </c>
      <c r="F55" s="159">
        <f t="shared" si="16"/>
        <v>27997.491572806059</v>
      </c>
      <c r="G55" s="161">
        <f t="shared" ref="G55:G72" si="18">+I$12*((D55+F55)/2)+E55</f>
        <v>8869.6974703737815</v>
      </c>
      <c r="H55" s="142">
        <f t="shared" ref="H55:H72" si="19">+I$13*((D55+F55)/2)+E55</f>
        <v>8869.6974703737815</v>
      </c>
      <c r="I55" s="156">
        <f t="shared" si="17"/>
        <v>0</v>
      </c>
      <c r="J55" s="156"/>
      <c r="K55" s="334"/>
      <c r="L55" s="158">
        <f t="shared" si="12"/>
        <v>0</v>
      </c>
      <c r="M55" s="334"/>
      <c r="N55" s="158">
        <f t="shared" si="13"/>
        <v>0</v>
      </c>
      <c r="O55" s="158">
        <f t="shared" si="14"/>
        <v>0</v>
      </c>
      <c r="P55" s="4"/>
    </row>
    <row r="56" spans="2:17">
      <c r="B56" s="9" t="str">
        <f t="shared" si="15"/>
        <v/>
      </c>
      <c r="C56" s="153">
        <f>IF(D11="","-",+C55+1)</f>
        <v>2050</v>
      </c>
      <c r="D56" s="159">
        <f>IF(F55+SUM(E$17:E55)=D$10,F55,D$10-SUM(E$17:E55))</f>
        <v>27997.491572806059</v>
      </c>
      <c r="E56" s="160">
        <f>IF(+I14&lt;F55,I14,D56)</f>
        <v>5793.9767441860467</v>
      </c>
      <c r="F56" s="159">
        <f t="shared" si="16"/>
        <v>22203.514828620013</v>
      </c>
      <c r="G56" s="161">
        <f t="shared" si="18"/>
        <v>8292.8742193941162</v>
      </c>
      <c r="H56" s="142">
        <f t="shared" si="19"/>
        <v>8292.8742193941162</v>
      </c>
      <c r="I56" s="156">
        <f t="shared" si="17"/>
        <v>0</v>
      </c>
      <c r="J56" s="156"/>
      <c r="K56" s="334"/>
      <c r="L56" s="158">
        <f t="shared" si="12"/>
        <v>0</v>
      </c>
      <c r="M56" s="334"/>
      <c r="N56" s="158">
        <f t="shared" si="13"/>
        <v>0</v>
      </c>
      <c r="O56" s="158">
        <f t="shared" si="14"/>
        <v>0</v>
      </c>
      <c r="P56" s="4"/>
    </row>
    <row r="57" spans="2:17">
      <c r="B57" s="9" t="str">
        <f t="shared" si="15"/>
        <v/>
      </c>
      <c r="C57" s="153">
        <f>IF(D11="","-",+C56+1)</f>
        <v>2051</v>
      </c>
      <c r="D57" s="159">
        <f>IF(F56+SUM(E$17:E56)=D$10,F56,D$10-SUM(E$17:E56))</f>
        <v>22203.514828620013</v>
      </c>
      <c r="E57" s="160">
        <f>IF(+I14&lt;F56,I14,D57)</f>
        <v>5793.9767441860467</v>
      </c>
      <c r="F57" s="159">
        <f t="shared" si="16"/>
        <v>16409.538084433967</v>
      </c>
      <c r="G57" s="161">
        <f t="shared" si="18"/>
        <v>7716.0509684144517</v>
      </c>
      <c r="H57" s="142">
        <f t="shared" si="19"/>
        <v>7716.0509684144517</v>
      </c>
      <c r="I57" s="156">
        <f t="shared" si="17"/>
        <v>0</v>
      </c>
      <c r="J57" s="156"/>
      <c r="K57" s="334"/>
      <c r="L57" s="158">
        <f t="shared" si="12"/>
        <v>0</v>
      </c>
      <c r="M57" s="334"/>
      <c r="N57" s="158">
        <f t="shared" si="13"/>
        <v>0</v>
      </c>
      <c r="O57" s="158">
        <f t="shared" si="14"/>
        <v>0</v>
      </c>
      <c r="P57" s="4"/>
    </row>
    <row r="58" spans="2:17">
      <c r="B58" s="9" t="str">
        <f t="shared" si="15"/>
        <v/>
      </c>
      <c r="C58" s="153">
        <f>IF(D11="","-",+C57+1)</f>
        <v>2052</v>
      </c>
      <c r="D58" s="159">
        <f>IF(F57+SUM(E$17:E57)=D$10,F57,D$10-SUM(E$17:E57))</f>
        <v>16409.538084433967</v>
      </c>
      <c r="E58" s="160">
        <f>IF(+I14&lt;F57,I14,D58)</f>
        <v>5793.9767441860467</v>
      </c>
      <c r="F58" s="159">
        <f t="shared" si="16"/>
        <v>10615.561340247921</v>
      </c>
      <c r="G58" s="161">
        <f t="shared" si="18"/>
        <v>7139.2277174347864</v>
      </c>
      <c r="H58" s="142">
        <f t="shared" si="19"/>
        <v>7139.2277174347864</v>
      </c>
      <c r="I58" s="156">
        <f t="shared" si="17"/>
        <v>0</v>
      </c>
      <c r="J58" s="156"/>
      <c r="K58" s="334"/>
      <c r="L58" s="158">
        <f t="shared" si="12"/>
        <v>0</v>
      </c>
      <c r="M58" s="334"/>
      <c r="N58" s="158">
        <f t="shared" si="13"/>
        <v>0</v>
      </c>
      <c r="O58" s="158">
        <f t="shared" si="14"/>
        <v>0</v>
      </c>
      <c r="P58" s="4"/>
      <c r="Q58" t="str">
        <f>IF(ROUND(Q57,0)=ROUND(SUM(Q18:Q56),0),"","Error -- check allocations above).")</f>
        <v/>
      </c>
    </row>
    <row r="59" spans="2:17">
      <c r="B59" s="9" t="str">
        <f t="shared" si="15"/>
        <v/>
      </c>
      <c r="C59" s="153">
        <f>IF(D11="","-",+C58+1)</f>
        <v>2053</v>
      </c>
      <c r="D59" s="159">
        <f>IF(F58+SUM(E$17:E58)=D$10,F58,D$10-SUM(E$17:E58))</f>
        <v>10615.561340247921</v>
      </c>
      <c r="E59" s="160">
        <f>IF(+I14&lt;F58,I14,D59)</f>
        <v>5793.9767441860467</v>
      </c>
      <c r="F59" s="159">
        <f t="shared" si="16"/>
        <v>4821.5845960618744</v>
      </c>
      <c r="G59" s="161">
        <f t="shared" si="18"/>
        <v>6562.4044664551211</v>
      </c>
      <c r="H59" s="142">
        <f t="shared" si="19"/>
        <v>6562.4044664551211</v>
      </c>
      <c r="I59" s="156">
        <f t="shared" si="17"/>
        <v>0</v>
      </c>
      <c r="J59" s="156"/>
      <c r="K59" s="334"/>
      <c r="L59" s="158">
        <f t="shared" si="12"/>
        <v>0</v>
      </c>
      <c r="M59" s="334"/>
      <c r="N59" s="158">
        <f t="shared" si="13"/>
        <v>0</v>
      </c>
      <c r="O59" s="158">
        <f t="shared" si="14"/>
        <v>0</v>
      </c>
      <c r="P59" s="4"/>
    </row>
    <row r="60" spans="2:17">
      <c r="B60" s="9" t="str">
        <f t="shared" si="15"/>
        <v/>
      </c>
      <c r="C60" s="153">
        <f>IF(D11="","-",+C59+1)</f>
        <v>2054</v>
      </c>
      <c r="D60" s="159">
        <f>IF(F59+SUM(E$17:E59)=D$10,F59,D$10-SUM(E$17:E59))</f>
        <v>4821.5845960618744</v>
      </c>
      <c r="E60" s="160">
        <f>IF(+I14&lt;F59,I14,D60)</f>
        <v>4821.5845960618744</v>
      </c>
      <c r="F60" s="159">
        <f t="shared" si="16"/>
        <v>0</v>
      </c>
      <c r="G60" s="161">
        <f t="shared" si="18"/>
        <v>5061.5926444514953</v>
      </c>
      <c r="H60" s="142">
        <f t="shared" si="19"/>
        <v>5061.5926444514953</v>
      </c>
      <c r="I60" s="156">
        <f t="shared" si="17"/>
        <v>0</v>
      </c>
      <c r="J60" s="156"/>
      <c r="K60" s="334"/>
      <c r="L60" s="158">
        <f t="shared" si="12"/>
        <v>0</v>
      </c>
      <c r="M60" s="334"/>
      <c r="N60" s="158">
        <f t="shared" si="13"/>
        <v>0</v>
      </c>
      <c r="O60" s="158">
        <f t="shared" si="14"/>
        <v>0</v>
      </c>
      <c r="P60" s="4"/>
    </row>
    <row r="61" spans="2:17">
      <c r="B61" s="9" t="str">
        <f t="shared" si="15"/>
        <v/>
      </c>
      <c r="C61" s="153">
        <f>IF(D11="","-",+C60+1)</f>
        <v>2055</v>
      </c>
      <c r="D61" s="159">
        <f>IF(F60+SUM(E$17:E60)=D$10,F60,D$10-SUM(E$17:E60))</f>
        <v>0</v>
      </c>
      <c r="E61" s="160">
        <f>IF(+I14&lt;F60,I14,D61)</f>
        <v>0</v>
      </c>
      <c r="F61" s="159">
        <f t="shared" si="16"/>
        <v>0</v>
      </c>
      <c r="G61" s="163">
        <f t="shared" si="18"/>
        <v>0</v>
      </c>
      <c r="H61" s="142">
        <f t="shared" si="19"/>
        <v>0</v>
      </c>
      <c r="I61" s="156">
        <f t="shared" si="17"/>
        <v>0</v>
      </c>
      <c r="J61" s="156"/>
      <c r="K61" s="334"/>
      <c r="L61" s="158">
        <f t="shared" si="12"/>
        <v>0</v>
      </c>
      <c r="M61" s="334"/>
      <c r="N61" s="158">
        <f t="shared" si="13"/>
        <v>0</v>
      </c>
      <c r="O61" s="158">
        <f t="shared" si="14"/>
        <v>0</v>
      </c>
      <c r="P61" s="4"/>
    </row>
    <row r="62" spans="2:17">
      <c r="B62" s="9" t="str">
        <f t="shared" si="15"/>
        <v/>
      </c>
      <c r="C62" s="153">
        <f>IF(D11="","-",+C61+1)</f>
        <v>2056</v>
      </c>
      <c r="D62" s="159">
        <f>IF(F61+SUM(E$17:E61)=D$10,F61,D$10-SUM(E$17:E61))</f>
        <v>0</v>
      </c>
      <c r="E62" s="160">
        <f>IF(+I14&lt;F61,I14,D62)</f>
        <v>0</v>
      </c>
      <c r="F62" s="159">
        <f t="shared" si="16"/>
        <v>0</v>
      </c>
      <c r="G62" s="163">
        <f t="shared" si="18"/>
        <v>0</v>
      </c>
      <c r="H62" s="142">
        <f t="shared" si="19"/>
        <v>0</v>
      </c>
      <c r="I62" s="156">
        <f t="shared" si="17"/>
        <v>0</v>
      </c>
      <c r="J62" s="156"/>
      <c r="K62" s="334"/>
      <c r="L62" s="158">
        <f t="shared" si="12"/>
        <v>0</v>
      </c>
      <c r="M62" s="334"/>
      <c r="N62" s="158">
        <f t="shared" si="13"/>
        <v>0</v>
      </c>
      <c r="O62" s="158">
        <f t="shared" si="14"/>
        <v>0</v>
      </c>
      <c r="P62" s="4"/>
    </row>
    <row r="63" spans="2:17">
      <c r="B63" s="9" t="str">
        <f t="shared" si="15"/>
        <v/>
      </c>
      <c r="C63" s="153">
        <f>IF(D11="","-",+C62+1)</f>
        <v>2057</v>
      </c>
      <c r="D63" s="159">
        <f>IF(F62+SUM(E$17:E62)=D$10,F62,D$10-SUM(E$17:E62))</f>
        <v>0</v>
      </c>
      <c r="E63" s="160">
        <f>IF(+I14&lt;F62,I14,D63)</f>
        <v>0</v>
      </c>
      <c r="F63" s="159">
        <f t="shared" si="16"/>
        <v>0</v>
      </c>
      <c r="G63" s="163">
        <f t="shared" si="18"/>
        <v>0</v>
      </c>
      <c r="H63" s="142">
        <f t="shared" si="19"/>
        <v>0</v>
      </c>
      <c r="I63" s="156">
        <f t="shared" si="17"/>
        <v>0</v>
      </c>
      <c r="J63" s="156"/>
      <c r="K63" s="334"/>
      <c r="L63" s="158">
        <f t="shared" si="12"/>
        <v>0</v>
      </c>
      <c r="M63" s="334"/>
      <c r="N63" s="158">
        <f t="shared" si="13"/>
        <v>0</v>
      </c>
      <c r="O63" s="158">
        <f t="shared" si="14"/>
        <v>0</v>
      </c>
      <c r="P63" s="4"/>
    </row>
    <row r="64" spans="2:17">
      <c r="B64" s="9" t="str">
        <f t="shared" si="15"/>
        <v/>
      </c>
      <c r="C64" s="153">
        <f>IF(D11="","-",+C63+1)</f>
        <v>2058</v>
      </c>
      <c r="D64" s="159">
        <f>IF(F63+SUM(E$17:E63)=D$10,F63,D$10-SUM(E$17:E63))</f>
        <v>0</v>
      </c>
      <c r="E64" s="160">
        <f>IF(+I14&lt;F63,I14,D64)</f>
        <v>0</v>
      </c>
      <c r="F64" s="159">
        <f t="shared" si="16"/>
        <v>0</v>
      </c>
      <c r="G64" s="163">
        <f t="shared" si="18"/>
        <v>0</v>
      </c>
      <c r="H64" s="142">
        <f t="shared" si="19"/>
        <v>0</v>
      </c>
      <c r="I64" s="156">
        <f t="shared" si="17"/>
        <v>0</v>
      </c>
      <c r="J64" s="156"/>
      <c r="K64" s="334"/>
      <c r="L64" s="158">
        <f t="shared" si="12"/>
        <v>0</v>
      </c>
      <c r="M64" s="334"/>
      <c r="N64" s="158">
        <f t="shared" si="13"/>
        <v>0</v>
      </c>
      <c r="O64" s="158">
        <f t="shared" si="14"/>
        <v>0</v>
      </c>
      <c r="P64" s="4"/>
    </row>
    <row r="65" spans="1:16">
      <c r="B65" s="9" t="str">
        <f t="shared" si="15"/>
        <v/>
      </c>
      <c r="C65" s="153">
        <f>IF(D11="","-",+C64+1)</f>
        <v>2059</v>
      </c>
      <c r="D65" s="159">
        <f>IF(F64+SUM(E$17:E64)=D$10,F64,D$10-SUM(E$17:E64))</f>
        <v>0</v>
      </c>
      <c r="E65" s="160">
        <f>IF(+I14&lt;F64,I14,D65)</f>
        <v>0</v>
      </c>
      <c r="F65" s="159">
        <f t="shared" si="16"/>
        <v>0</v>
      </c>
      <c r="G65" s="163">
        <f t="shared" si="18"/>
        <v>0</v>
      </c>
      <c r="H65" s="142">
        <f t="shared" si="19"/>
        <v>0</v>
      </c>
      <c r="I65" s="156">
        <f t="shared" si="17"/>
        <v>0</v>
      </c>
      <c r="J65" s="156"/>
      <c r="K65" s="334"/>
      <c r="L65" s="158">
        <f t="shared" si="12"/>
        <v>0</v>
      </c>
      <c r="M65" s="334"/>
      <c r="N65" s="158">
        <f t="shared" si="13"/>
        <v>0</v>
      </c>
      <c r="O65" s="158">
        <f t="shared" si="14"/>
        <v>0</v>
      </c>
      <c r="P65" s="4"/>
    </row>
    <row r="66" spans="1:16">
      <c r="B66" s="9" t="str">
        <f t="shared" si="15"/>
        <v/>
      </c>
      <c r="C66" s="153">
        <f>IF(D11="","-",+C65+1)</f>
        <v>2060</v>
      </c>
      <c r="D66" s="159">
        <f>IF(F65+SUM(E$17:E65)=D$10,F65,D$10-SUM(E$17:E65))</f>
        <v>0</v>
      </c>
      <c r="E66" s="160">
        <f>IF(+I14&lt;F65,I14,D66)</f>
        <v>0</v>
      </c>
      <c r="F66" s="159">
        <f t="shared" si="16"/>
        <v>0</v>
      </c>
      <c r="G66" s="163">
        <f t="shared" si="18"/>
        <v>0</v>
      </c>
      <c r="H66" s="142">
        <f t="shared" si="19"/>
        <v>0</v>
      </c>
      <c r="I66" s="156">
        <f t="shared" si="17"/>
        <v>0</v>
      </c>
      <c r="J66" s="156"/>
      <c r="K66" s="334"/>
      <c r="L66" s="158">
        <f t="shared" si="12"/>
        <v>0</v>
      </c>
      <c r="M66" s="334"/>
      <c r="N66" s="158">
        <f t="shared" si="13"/>
        <v>0</v>
      </c>
      <c r="O66" s="158">
        <f t="shared" si="14"/>
        <v>0</v>
      </c>
      <c r="P66" s="4"/>
    </row>
    <row r="67" spans="1:16">
      <c r="B67" s="9" t="str">
        <f t="shared" si="15"/>
        <v/>
      </c>
      <c r="C67" s="153">
        <f>IF(D11="","-",+C66+1)</f>
        <v>2061</v>
      </c>
      <c r="D67" s="159">
        <f>IF(F66+SUM(E$17:E66)=D$10,F66,D$10-SUM(E$17:E66))</f>
        <v>0</v>
      </c>
      <c r="E67" s="160">
        <f>IF(+I14&lt;F66,I14,D67)</f>
        <v>0</v>
      </c>
      <c r="F67" s="159">
        <f t="shared" si="16"/>
        <v>0</v>
      </c>
      <c r="G67" s="163">
        <f t="shared" si="18"/>
        <v>0</v>
      </c>
      <c r="H67" s="142">
        <f t="shared" si="19"/>
        <v>0</v>
      </c>
      <c r="I67" s="156">
        <f t="shared" si="17"/>
        <v>0</v>
      </c>
      <c r="J67" s="156"/>
      <c r="K67" s="334"/>
      <c r="L67" s="158">
        <f t="shared" si="12"/>
        <v>0</v>
      </c>
      <c r="M67" s="334"/>
      <c r="N67" s="158">
        <f t="shared" si="13"/>
        <v>0</v>
      </c>
      <c r="O67" s="158">
        <f t="shared" si="14"/>
        <v>0</v>
      </c>
      <c r="P67" s="4"/>
    </row>
    <row r="68" spans="1:16">
      <c r="B68" s="9" t="str">
        <f t="shared" si="15"/>
        <v/>
      </c>
      <c r="C68" s="153">
        <f>IF(D11="","-",+C67+1)</f>
        <v>2062</v>
      </c>
      <c r="D68" s="159">
        <f>IF(F67+SUM(E$17:E67)=D$10,F67,D$10-SUM(E$17:E67))</f>
        <v>0</v>
      </c>
      <c r="E68" s="160">
        <f>IF(+I14&lt;F67,I14,D68)</f>
        <v>0</v>
      </c>
      <c r="F68" s="159">
        <f t="shared" si="16"/>
        <v>0</v>
      </c>
      <c r="G68" s="163">
        <f t="shared" si="18"/>
        <v>0</v>
      </c>
      <c r="H68" s="142">
        <f t="shared" si="19"/>
        <v>0</v>
      </c>
      <c r="I68" s="156">
        <f t="shared" si="17"/>
        <v>0</v>
      </c>
      <c r="J68" s="156"/>
      <c r="K68" s="334"/>
      <c r="L68" s="158">
        <f t="shared" si="12"/>
        <v>0</v>
      </c>
      <c r="M68" s="334"/>
      <c r="N68" s="158">
        <f t="shared" si="13"/>
        <v>0</v>
      </c>
      <c r="O68" s="158">
        <f t="shared" si="14"/>
        <v>0</v>
      </c>
      <c r="P68" s="4"/>
    </row>
    <row r="69" spans="1:16">
      <c r="B69" s="9" t="str">
        <f t="shared" si="15"/>
        <v/>
      </c>
      <c r="C69" s="153">
        <f>IF(D11="","-",+C68+1)</f>
        <v>2063</v>
      </c>
      <c r="D69" s="159">
        <f>IF(F68+SUM(E$17:E68)=D$10,F68,D$10-SUM(E$17:E68))</f>
        <v>0</v>
      </c>
      <c r="E69" s="160">
        <f>IF(+I14&lt;F68,I14,D69)</f>
        <v>0</v>
      </c>
      <c r="F69" s="159">
        <f t="shared" si="16"/>
        <v>0</v>
      </c>
      <c r="G69" s="163">
        <f t="shared" si="18"/>
        <v>0</v>
      </c>
      <c r="H69" s="142">
        <f t="shared" si="19"/>
        <v>0</v>
      </c>
      <c r="I69" s="156">
        <f t="shared" si="17"/>
        <v>0</v>
      </c>
      <c r="J69" s="156"/>
      <c r="K69" s="334"/>
      <c r="L69" s="158">
        <f t="shared" si="12"/>
        <v>0</v>
      </c>
      <c r="M69" s="334"/>
      <c r="N69" s="158">
        <f t="shared" si="13"/>
        <v>0</v>
      </c>
      <c r="O69" s="158">
        <f t="shared" si="14"/>
        <v>0</v>
      </c>
      <c r="P69" s="4"/>
    </row>
    <row r="70" spans="1:16">
      <c r="B70" s="9" t="str">
        <f t="shared" si="15"/>
        <v/>
      </c>
      <c r="C70" s="153">
        <f>IF(D11="","-",+C69+1)</f>
        <v>2064</v>
      </c>
      <c r="D70" s="159">
        <f>IF(F69+SUM(E$17:E69)=D$10,F69,D$10-SUM(E$17:E69))</f>
        <v>0</v>
      </c>
      <c r="E70" s="160">
        <f>IF(+I14&lt;F69,I14,D70)</f>
        <v>0</v>
      </c>
      <c r="F70" s="159">
        <f t="shared" si="16"/>
        <v>0</v>
      </c>
      <c r="G70" s="163">
        <f t="shared" si="18"/>
        <v>0</v>
      </c>
      <c r="H70" s="142">
        <f t="shared" si="19"/>
        <v>0</v>
      </c>
      <c r="I70" s="156">
        <f t="shared" si="17"/>
        <v>0</v>
      </c>
      <c r="J70" s="156"/>
      <c r="K70" s="334"/>
      <c r="L70" s="158">
        <f t="shared" si="12"/>
        <v>0</v>
      </c>
      <c r="M70" s="334"/>
      <c r="N70" s="158">
        <f t="shared" si="13"/>
        <v>0</v>
      </c>
      <c r="O70" s="158">
        <f t="shared" si="14"/>
        <v>0</v>
      </c>
      <c r="P70" s="4"/>
    </row>
    <row r="71" spans="1:16">
      <c r="B71" s="9" t="str">
        <f t="shared" si="15"/>
        <v/>
      </c>
      <c r="C71" s="153">
        <f>IF(D11="","-",+C70+1)</f>
        <v>2065</v>
      </c>
      <c r="D71" s="159">
        <f>IF(F70+SUM(E$17:E70)=D$10,F70,D$10-SUM(E$17:E70))</f>
        <v>0</v>
      </c>
      <c r="E71" s="160">
        <f>IF(+I14&lt;F70,I14,D71)</f>
        <v>0</v>
      </c>
      <c r="F71" s="159">
        <f t="shared" si="16"/>
        <v>0</v>
      </c>
      <c r="G71" s="163">
        <f t="shared" si="18"/>
        <v>0</v>
      </c>
      <c r="H71" s="142">
        <f t="shared" si="19"/>
        <v>0</v>
      </c>
      <c r="I71" s="156">
        <f t="shared" si="17"/>
        <v>0</v>
      </c>
      <c r="J71" s="156"/>
      <c r="K71" s="334"/>
      <c r="L71" s="158">
        <f t="shared" si="12"/>
        <v>0</v>
      </c>
      <c r="M71" s="334"/>
      <c r="N71" s="158">
        <f t="shared" si="13"/>
        <v>0</v>
      </c>
      <c r="O71" s="158">
        <f t="shared" si="14"/>
        <v>0</v>
      </c>
      <c r="P71" s="4"/>
    </row>
    <row r="72" spans="1:16" ht="13.5" thickBot="1">
      <c r="B72" s="9" t="str">
        <f t="shared" si="15"/>
        <v/>
      </c>
      <c r="C72" s="164">
        <f>IF(D11="","-",+C71+1)</f>
        <v>2066</v>
      </c>
      <c r="D72" s="165">
        <f>IF(F71+SUM(E$17:E71)=D$10,F71,D$10-SUM(E$17:E71))</f>
        <v>0</v>
      </c>
      <c r="E72" s="166">
        <f>IF(+I14&lt;F71,I14,D72)</f>
        <v>0</v>
      </c>
      <c r="F72" s="165">
        <f t="shared" si="16"/>
        <v>0</v>
      </c>
      <c r="G72" s="167">
        <f t="shared" si="18"/>
        <v>0</v>
      </c>
      <c r="H72" s="124">
        <f t="shared" si="19"/>
        <v>0</v>
      </c>
      <c r="I72" s="168">
        <f t="shared" si="17"/>
        <v>0</v>
      </c>
      <c r="J72" s="156"/>
      <c r="K72" s="335"/>
      <c r="L72" s="169">
        <f t="shared" si="12"/>
        <v>0</v>
      </c>
      <c r="M72" s="335"/>
      <c r="N72" s="169">
        <f t="shared" si="13"/>
        <v>0</v>
      </c>
      <c r="O72" s="169">
        <f t="shared" si="14"/>
        <v>0</v>
      </c>
      <c r="P72" s="4"/>
    </row>
    <row r="73" spans="1:16">
      <c r="C73" s="154" t="s">
        <v>73</v>
      </c>
      <c r="D73" s="111"/>
      <c r="E73" s="111">
        <f>SUM(E17:E72)</f>
        <v>249140.99999999997</v>
      </c>
      <c r="F73" s="111"/>
      <c r="G73" s="111">
        <f>SUM(G17:G72)</f>
        <v>841876.66555619671</v>
      </c>
      <c r="H73" s="111">
        <f>SUM(H17:H72)</f>
        <v>841876.66555619671</v>
      </c>
      <c r="I73" s="111">
        <f>SUM(I17:I72)</f>
        <v>0</v>
      </c>
      <c r="J73" s="111"/>
      <c r="K73" s="111"/>
      <c r="L73" s="111"/>
      <c r="M73" s="111"/>
      <c r="N73" s="111"/>
      <c r="O73" s="4"/>
      <c r="P73" s="4"/>
    </row>
    <row r="74" spans="1:16">
      <c r="D74" s="2"/>
      <c r="E74" s="1"/>
      <c r="F74" s="1"/>
      <c r="G74" s="1"/>
      <c r="H74" s="3"/>
      <c r="I74" s="3"/>
      <c r="J74" s="111"/>
      <c r="K74" s="3"/>
      <c r="L74" s="3"/>
      <c r="M74" s="3"/>
      <c r="N74" s="3"/>
      <c r="O74" s="1"/>
      <c r="P74" s="1"/>
    </row>
    <row r="75" spans="1:16">
      <c r="C75" s="170" t="s">
        <v>91</v>
      </c>
      <c r="D75" s="2"/>
      <c r="E75" s="1"/>
      <c r="F75" s="1"/>
      <c r="G75" s="1"/>
      <c r="H75" s="3"/>
      <c r="I75" s="3"/>
      <c r="J75" s="111"/>
      <c r="K75" s="3"/>
      <c r="L75" s="3"/>
      <c r="M75" s="3"/>
      <c r="N75" s="3"/>
      <c r="O75" s="1"/>
      <c r="P75" s="1"/>
    </row>
    <row r="76" spans="1:16">
      <c r="C76" s="121" t="s">
        <v>74</v>
      </c>
      <c r="D76" s="2"/>
      <c r="E76" s="1"/>
      <c r="F76" s="1"/>
      <c r="G76" s="1"/>
      <c r="H76" s="3"/>
      <c r="I76" s="3"/>
      <c r="J76" s="111"/>
      <c r="K76" s="3"/>
      <c r="L76" s="3"/>
      <c r="M76" s="3"/>
      <c r="N76" s="3"/>
      <c r="O76" s="4"/>
      <c r="P76" s="4"/>
    </row>
    <row r="77" spans="1:16" ht="18">
      <c r="C77" s="121" t="s">
        <v>75</v>
      </c>
      <c r="D77" s="154"/>
      <c r="E77" s="154"/>
      <c r="F77" s="154"/>
      <c r="G77" s="111"/>
      <c r="H77" s="111"/>
      <c r="I77" s="171"/>
      <c r="J77" s="171"/>
      <c r="K77" s="171"/>
      <c r="L77" s="171"/>
      <c r="M77" s="171"/>
      <c r="N77" s="171"/>
      <c r="O77" s="110"/>
      <c r="P77" s="4"/>
    </row>
    <row r="78" spans="1:16">
      <c r="C78" s="121"/>
      <c r="D78" s="154"/>
      <c r="E78" s="154"/>
      <c r="F78" s="154"/>
      <c r="G78" s="111"/>
      <c r="H78" s="111"/>
      <c r="I78" s="171"/>
      <c r="J78" s="171"/>
      <c r="K78" s="171"/>
      <c r="L78" s="171"/>
      <c r="M78" s="171"/>
      <c r="N78" s="171"/>
      <c r="O78" s="4"/>
      <c r="P78" s="1"/>
    </row>
    <row r="79" spans="1:16" ht="15">
      <c r="A79" s="241"/>
      <c r="B79" s="1"/>
      <c r="C79" s="21"/>
      <c r="D79" s="2"/>
      <c r="E79" s="1"/>
      <c r="F79" s="107"/>
      <c r="G79" s="1"/>
      <c r="H79" s="3"/>
      <c r="I79" s="1"/>
      <c r="J79" s="4"/>
      <c r="K79" s="1"/>
      <c r="L79" s="1"/>
      <c r="M79" s="1"/>
      <c r="N79" s="1"/>
    </row>
    <row r="80" spans="1:16" ht="18">
      <c r="B80" s="1"/>
      <c r="C80" s="242"/>
      <c r="D80" s="2"/>
      <c r="E80" s="1"/>
      <c r="F80" s="107"/>
      <c r="G80" s="1"/>
      <c r="H80" s="3"/>
      <c r="I80" s="1"/>
      <c r="J80" s="4"/>
      <c r="K80" s="1"/>
      <c r="L80" s="1"/>
      <c r="M80" s="1"/>
      <c r="N80" s="1"/>
      <c r="P80" s="244" t="s">
        <v>125</v>
      </c>
    </row>
    <row r="81" spans="1:17">
      <c r="B81" s="1"/>
      <c r="C81" s="242"/>
      <c r="D81" s="2"/>
      <c r="E81" s="1"/>
      <c r="F81" s="107"/>
      <c r="G81" s="1"/>
      <c r="H81" s="3"/>
      <c r="I81" s="1"/>
      <c r="J81" s="4"/>
      <c r="K81" s="1"/>
      <c r="L81" s="1"/>
      <c r="M81" s="1"/>
      <c r="N81" s="1"/>
      <c r="O81" s="1"/>
      <c r="P81" s="1"/>
    </row>
    <row r="82" spans="1:17">
      <c r="B82" s="1"/>
      <c r="C82" s="21"/>
      <c r="D82" s="2"/>
      <c r="E82" s="1"/>
      <c r="F82" s="107"/>
      <c r="G82" s="1"/>
      <c r="H82" s="3"/>
      <c r="I82" s="1"/>
      <c r="J82" s="4"/>
      <c r="K82" s="1"/>
      <c r="L82" s="1"/>
      <c r="M82" s="1"/>
      <c r="N82" s="1"/>
      <c r="O82" s="1"/>
      <c r="P82" s="1"/>
      <c r="Q82" s="1"/>
    </row>
    <row r="83" spans="1:17" ht="20.25">
      <c r="A83" s="243" t="s">
        <v>129</v>
      </c>
      <c r="B83" s="1"/>
      <c r="C83" s="21"/>
      <c r="D83" s="2"/>
      <c r="E83" s="1"/>
      <c r="F83" s="99"/>
      <c r="G83" s="99"/>
      <c r="H83" s="1"/>
      <c r="I83" s="3"/>
      <c r="K83" s="7"/>
      <c r="L83" s="109"/>
      <c r="M83" s="109"/>
      <c r="P83" s="110" t="str">
        <f ca="1">P1</f>
        <v>SWEPCO Project 26 of 73</v>
      </c>
      <c r="Q83" s="1"/>
    </row>
    <row r="84" spans="1:17" ht="18">
      <c r="B84" s="1"/>
      <c r="C84" s="1"/>
      <c r="D84" s="2"/>
      <c r="E84" s="1"/>
      <c r="F84" s="1"/>
      <c r="G84" s="1"/>
      <c r="H84" s="1"/>
      <c r="I84" s="3"/>
      <c r="J84" s="1"/>
      <c r="K84" s="4"/>
      <c r="L84" s="1"/>
      <c r="M84" s="1"/>
      <c r="P84" s="237" t="s">
        <v>123</v>
      </c>
      <c r="Q84" s="1"/>
    </row>
    <row r="85" spans="1:17" ht="18.75" thickBot="1">
      <c r="B85" s="5" t="s">
        <v>40</v>
      </c>
      <c r="C85" s="197" t="s">
        <v>78</v>
      </c>
      <c r="D85" s="2"/>
      <c r="E85" s="1"/>
      <c r="F85" s="1"/>
      <c r="G85" s="1"/>
      <c r="H85" s="1"/>
      <c r="I85" s="3"/>
      <c r="J85" s="3"/>
      <c r="K85" s="111"/>
      <c r="L85" s="3"/>
      <c r="M85" s="3"/>
      <c r="N85" s="3"/>
      <c r="O85" s="111"/>
      <c r="P85" s="1"/>
      <c r="Q85" s="1"/>
    </row>
    <row r="86" spans="1:17" ht="15.75" thickBot="1">
      <c r="C86" s="67"/>
      <c r="D86" s="2"/>
      <c r="E86" s="1"/>
      <c r="F86" s="1"/>
      <c r="G86" s="1"/>
      <c r="H86" s="1"/>
      <c r="I86" s="3"/>
      <c r="J86" s="3"/>
      <c r="K86" s="111"/>
      <c r="L86" s="265">
        <f>+J92</f>
        <v>2017</v>
      </c>
      <c r="M86" s="266" t="s">
        <v>7</v>
      </c>
      <c r="N86" s="270" t="s">
        <v>154</v>
      </c>
      <c r="O86" s="267" t="s">
        <v>9</v>
      </c>
      <c r="P86" s="1"/>
      <c r="Q86" s="1"/>
    </row>
    <row r="87" spans="1:17" ht="15">
      <c r="C87" s="235" t="s">
        <v>42</v>
      </c>
      <c r="D87" s="2"/>
      <c r="E87" s="1"/>
      <c r="F87" s="1"/>
      <c r="G87" s="1"/>
      <c r="H87" s="113"/>
      <c r="I87" s="1" t="s">
        <v>43</v>
      </c>
      <c r="J87" s="1"/>
      <c r="K87" s="261"/>
      <c r="L87" s="259" t="s">
        <v>381</v>
      </c>
      <c r="M87" s="198">
        <f>IF(J92&lt;D11,0,VLOOKUP(J92,C17:O72,9))</f>
        <v>32627.162932907937</v>
      </c>
      <c r="N87" s="198">
        <f>IF(J92&lt;D11,0,VLOOKUP(J92,C17:O72,11))</f>
        <v>32627.162932907937</v>
      </c>
      <c r="O87" s="199">
        <f>+N87-M87</f>
        <v>0</v>
      </c>
      <c r="P87" s="1"/>
      <c r="Q87" s="1"/>
    </row>
    <row r="88" spans="1:17" ht="15.75">
      <c r="C88" s="8"/>
      <c r="D88" s="2"/>
      <c r="E88" s="1"/>
      <c r="F88" s="1"/>
      <c r="G88" s="1"/>
      <c r="H88" s="1"/>
      <c r="I88" s="117"/>
      <c r="J88" s="117"/>
      <c r="K88" s="263"/>
      <c r="L88" s="264" t="s">
        <v>382</v>
      </c>
      <c r="M88" s="200">
        <f>IF(J92&lt;D11,0,VLOOKUP(J92,C99:P154,6))</f>
        <v>31888.846157126722</v>
      </c>
      <c r="N88" s="200">
        <f>IF(J92&lt;D11,0,VLOOKUP(J92,C99:P154,7))</f>
        <v>31888.846157126722</v>
      </c>
      <c r="O88" s="201">
        <f>+N88-M88</f>
        <v>0</v>
      </c>
      <c r="P88" s="1"/>
      <c r="Q88" s="1"/>
    </row>
    <row r="89" spans="1:17" ht="13.5" thickBot="1">
      <c r="C89" s="121" t="s">
        <v>79</v>
      </c>
      <c r="D89" s="274" t="str">
        <f>D7</f>
        <v>Whitney repl CB and Switches</v>
      </c>
      <c r="E89" s="1"/>
      <c r="F89" s="1"/>
      <c r="G89" s="1"/>
      <c r="H89" s="1"/>
      <c r="I89" s="3"/>
      <c r="J89" s="3"/>
      <c r="K89" s="262"/>
      <c r="L89" s="260" t="s">
        <v>151</v>
      </c>
      <c r="M89" s="203">
        <f>+M88-M87</f>
        <v>-738.31677578121526</v>
      </c>
      <c r="N89" s="203">
        <f>+N88-N87</f>
        <v>-738.31677578121526</v>
      </c>
      <c r="O89" s="204">
        <f>+O88-O87</f>
        <v>0</v>
      </c>
      <c r="P89" s="1"/>
      <c r="Q89" s="1"/>
    </row>
    <row r="90" spans="1:17" ht="13.5" thickBot="1">
      <c r="C90" s="170"/>
      <c r="D90" s="173" t="str">
        <f>D8</f>
        <v/>
      </c>
      <c r="E90" s="107"/>
      <c r="F90" s="107"/>
      <c r="G90" s="107"/>
      <c r="H90" s="126"/>
      <c r="I90" s="3"/>
      <c r="J90" s="3"/>
      <c r="K90" s="111"/>
      <c r="L90" s="3"/>
      <c r="M90" s="3"/>
      <c r="N90" s="3"/>
      <c r="O90" s="111"/>
      <c r="P90" s="1"/>
      <c r="Q90" s="1"/>
    </row>
    <row r="91" spans="1:17" ht="13.5" thickBot="1">
      <c r="A91" s="103"/>
      <c r="C91" s="205" t="s">
        <v>80</v>
      </c>
      <c r="D91" s="224" t="str">
        <f>+D9</f>
        <v>PID 452, UIP 10586</v>
      </c>
      <c r="E91" s="206"/>
      <c r="F91" s="206"/>
      <c r="G91" s="206"/>
      <c r="H91" s="206"/>
      <c r="I91" s="206"/>
      <c r="J91" s="238"/>
      <c r="K91" s="207"/>
      <c r="P91" s="131"/>
      <c r="Q91" s="1"/>
    </row>
    <row r="92" spans="1:17">
      <c r="C92" s="136" t="s">
        <v>47</v>
      </c>
      <c r="D92" s="133">
        <f>IF(D11=I10,0,D10)</f>
        <v>249141</v>
      </c>
      <c r="E92" s="21" t="s">
        <v>81</v>
      </c>
      <c r="H92" s="134"/>
      <c r="I92" s="134"/>
      <c r="J92" s="135">
        <f>+'SWE.WS.G.BPU.ATRR.True-up'!M15</f>
        <v>2017</v>
      </c>
      <c r="K92" s="130"/>
      <c r="L92" s="111" t="s">
        <v>82</v>
      </c>
      <c r="P92" s="4"/>
      <c r="Q92" s="1"/>
    </row>
    <row r="93" spans="1:17">
      <c r="C93" s="136" t="s">
        <v>49</v>
      </c>
      <c r="D93" s="219">
        <f>IF(D11=I10,"",D11)</f>
        <v>2011</v>
      </c>
      <c r="E93" s="136" t="s">
        <v>50</v>
      </c>
      <c r="F93" s="134"/>
      <c r="G93" s="134"/>
      <c r="J93" s="138">
        <f>IF(H87="",0,'SWE.WS.G.BPU.ATRR.True-up'!$F$12)</f>
        <v>0</v>
      </c>
      <c r="K93" s="139"/>
      <c r="L93" t="str">
        <f>"          INPUT TRUE-UP ARR (WITH &amp; WITHOUT INCENTIVES) FROM EACH PRIOR YEAR"</f>
        <v xml:space="preserve">          INPUT TRUE-UP ARR (WITH &amp; WITHOUT INCENTIVES) FROM EACH PRIOR YEAR</v>
      </c>
      <c r="P93" s="4"/>
      <c r="Q93" s="1"/>
    </row>
    <row r="94" spans="1:17">
      <c r="C94" s="136" t="s">
        <v>51</v>
      </c>
      <c r="D94" s="218">
        <f>IF(D11=I10,"",D12)</f>
        <v>6</v>
      </c>
      <c r="E94" s="136" t="s">
        <v>52</v>
      </c>
      <c r="F94" s="134"/>
      <c r="G94" s="134"/>
      <c r="J94" s="140">
        <f>'SWE.WS.G.BPU.ATRR.True-up'!$F$80</f>
        <v>0.12147145768398206</v>
      </c>
      <c r="K94" s="141"/>
      <c r="L94" t="s">
        <v>83</v>
      </c>
      <c r="P94" s="4"/>
      <c r="Q94" s="1"/>
    </row>
    <row r="95" spans="1:17">
      <c r="C95" s="136" t="s">
        <v>54</v>
      </c>
      <c r="D95" s="138">
        <f>'SWE.WS.G.BPU.ATRR.True-up'!F$92</f>
        <v>42</v>
      </c>
      <c r="E95" s="136" t="s">
        <v>55</v>
      </c>
      <c r="F95" s="134"/>
      <c r="G95" s="134"/>
      <c r="J95" s="140">
        <f>IF(H87="",J94,'SWE.WS.G.BPU.ATRR.True-up'!$F$79)</f>
        <v>0.12147145768398206</v>
      </c>
      <c r="K95" s="58"/>
      <c r="L95" s="111" t="s">
        <v>56</v>
      </c>
      <c r="M95" s="58"/>
      <c r="N95" s="58"/>
      <c r="O95" s="58"/>
      <c r="P95" s="4"/>
      <c r="Q95" s="1"/>
    </row>
    <row r="96" spans="1:17" ht="13.5" thickBot="1">
      <c r="C96" s="136" t="s">
        <v>57</v>
      </c>
      <c r="D96" s="220" t="str">
        <f>+D14</f>
        <v>No</v>
      </c>
      <c r="E96" s="202" t="s">
        <v>59</v>
      </c>
      <c r="F96" s="208"/>
      <c r="G96" s="208"/>
      <c r="H96" s="209"/>
      <c r="I96" s="209"/>
      <c r="J96" s="124">
        <f>IF(D92=0,0,D92/D95)</f>
        <v>5931.9285714285716</v>
      </c>
      <c r="K96" s="111"/>
      <c r="L96" s="111"/>
      <c r="M96" s="111"/>
      <c r="N96" s="111"/>
      <c r="O96" s="111"/>
      <c r="P96" s="4"/>
      <c r="Q96" s="1"/>
    </row>
    <row r="97" spans="1:17" ht="38.25">
      <c r="A97" s="6"/>
      <c r="B97" s="6"/>
      <c r="C97" s="210" t="s">
        <v>47</v>
      </c>
      <c r="D97" s="211" t="s">
        <v>60</v>
      </c>
      <c r="E97" s="146" t="s">
        <v>61</v>
      </c>
      <c r="F97" s="146" t="s">
        <v>62</v>
      </c>
      <c r="G97" s="144" t="s">
        <v>84</v>
      </c>
      <c r="H97" s="434" t="s">
        <v>378</v>
      </c>
      <c r="I97" s="435" t="s">
        <v>379</v>
      </c>
      <c r="J97" s="210" t="s">
        <v>85</v>
      </c>
      <c r="K97" s="212"/>
      <c r="L97" s="271" t="s">
        <v>220</v>
      </c>
      <c r="M97" s="146" t="s">
        <v>86</v>
      </c>
      <c r="N97" s="271" t="s">
        <v>220</v>
      </c>
      <c r="O97" s="146" t="s">
        <v>86</v>
      </c>
      <c r="P97" s="146" t="s">
        <v>65</v>
      </c>
      <c r="Q97" s="1"/>
    </row>
    <row r="98" spans="1:17" ht="13.5" thickBot="1">
      <c r="C98" s="147" t="s">
        <v>66</v>
      </c>
      <c r="D98" s="213" t="s">
        <v>67</v>
      </c>
      <c r="E98" s="147" t="s">
        <v>68</v>
      </c>
      <c r="F98" s="147" t="s">
        <v>67</v>
      </c>
      <c r="G98" s="147" t="s">
        <v>67</v>
      </c>
      <c r="H98" s="407" t="s">
        <v>69</v>
      </c>
      <c r="I98" s="148" t="s">
        <v>70</v>
      </c>
      <c r="J98" s="149" t="s">
        <v>89</v>
      </c>
      <c r="K98" s="150"/>
      <c r="L98" s="151" t="s">
        <v>72</v>
      </c>
      <c r="M98" s="151" t="s">
        <v>72</v>
      </c>
      <c r="N98" s="151" t="s">
        <v>90</v>
      </c>
      <c r="O98" s="151" t="s">
        <v>90</v>
      </c>
      <c r="P98" s="151" t="s">
        <v>90</v>
      </c>
      <c r="Q98" s="1"/>
    </row>
    <row r="99" spans="1:17">
      <c r="C99" s="153">
        <f>IF(D93= "","-",D93)</f>
        <v>2011</v>
      </c>
      <c r="D99" s="357">
        <v>0</v>
      </c>
      <c r="E99" s="360">
        <v>2965.9642857142858</v>
      </c>
      <c r="F99" s="361">
        <v>246175.03571428571</v>
      </c>
      <c r="G99" s="365">
        <v>123087.51785714286</v>
      </c>
      <c r="H99" s="362">
        <v>21475.853068363114</v>
      </c>
      <c r="I99" s="363">
        <v>21475.853068363114</v>
      </c>
      <c r="J99" s="403">
        <f t="shared" ref="J99:J130" si="20">+I99-H99</f>
        <v>0</v>
      </c>
      <c r="K99" s="158"/>
      <c r="L99" s="256">
        <f t="shared" ref="L99:L104" si="21">H99</f>
        <v>21475.853068363114</v>
      </c>
      <c r="M99" s="172">
        <f t="shared" ref="M99:M130" si="22">IF(L99&lt;&gt;0,+H99-L99,0)</f>
        <v>0</v>
      </c>
      <c r="N99" s="256">
        <f t="shared" ref="N99:N104" si="23">I99</f>
        <v>21475.853068363114</v>
      </c>
      <c r="O99" s="157">
        <f t="shared" ref="O99:O130" si="24">IF(N99&lt;&gt;0,+I99-N99,0)</f>
        <v>0</v>
      </c>
      <c r="P99" s="157">
        <f t="shared" ref="P99:P130" si="25">+O99-M99</f>
        <v>0</v>
      </c>
      <c r="Q99" s="1"/>
    </row>
    <row r="100" spans="1:17">
      <c r="B100" s="9" t="str">
        <f t="shared" ref="B100:B131" si="26">IF(D100=F99,"","IU")</f>
        <v/>
      </c>
      <c r="C100" s="153">
        <f>IF(D93="","-",+C99+1)</f>
        <v>2012</v>
      </c>
      <c r="D100" s="357">
        <v>246175.03571428571</v>
      </c>
      <c r="E100" s="360">
        <v>5931.9285714285716</v>
      </c>
      <c r="F100" s="361">
        <v>240243.10714285713</v>
      </c>
      <c r="G100" s="361">
        <v>243209.07142857142</v>
      </c>
      <c r="H100" s="360">
        <v>41721.09968063391</v>
      </c>
      <c r="I100" s="359">
        <v>41721.09968063391</v>
      </c>
      <c r="J100" s="403">
        <f t="shared" si="20"/>
        <v>0</v>
      </c>
      <c r="K100" s="158"/>
      <c r="L100" s="258">
        <f t="shared" si="21"/>
        <v>41721.09968063391</v>
      </c>
      <c r="M100" s="257">
        <f t="shared" si="22"/>
        <v>0</v>
      </c>
      <c r="N100" s="258">
        <f t="shared" si="23"/>
        <v>41721.09968063391</v>
      </c>
      <c r="O100" s="158">
        <f t="shared" si="24"/>
        <v>0</v>
      </c>
      <c r="P100" s="158">
        <f t="shared" si="25"/>
        <v>0</v>
      </c>
      <c r="Q100" s="1"/>
    </row>
    <row r="101" spans="1:17">
      <c r="B101" s="9" t="str">
        <f t="shared" si="26"/>
        <v/>
      </c>
      <c r="C101" s="153">
        <f>IF(D93="","-",+C100+1)</f>
        <v>2013</v>
      </c>
      <c r="D101" s="357">
        <v>240243.10714285713</v>
      </c>
      <c r="E101" s="360">
        <v>5931.9285714285716</v>
      </c>
      <c r="F101" s="361">
        <v>234311.17857142855</v>
      </c>
      <c r="G101" s="361">
        <v>237277.14285714284</v>
      </c>
      <c r="H101" s="360">
        <v>38033.557147693406</v>
      </c>
      <c r="I101" s="359">
        <v>38033.557147693406</v>
      </c>
      <c r="J101" s="403">
        <v>0</v>
      </c>
      <c r="K101" s="158"/>
      <c r="L101" s="258">
        <f t="shared" si="21"/>
        <v>38033.557147693406</v>
      </c>
      <c r="M101" s="257">
        <f>IF(L101&lt;&gt;0,+H101-L101,0)</f>
        <v>0</v>
      </c>
      <c r="N101" s="258">
        <f t="shared" si="23"/>
        <v>38033.557147693406</v>
      </c>
      <c r="O101" s="158">
        <f>IF(N101&lt;&gt;0,+I101-N101,0)</f>
        <v>0</v>
      </c>
      <c r="P101" s="158">
        <f>+O101-M101</f>
        <v>0</v>
      </c>
      <c r="Q101" s="1"/>
    </row>
    <row r="102" spans="1:17">
      <c r="B102" s="9" t="str">
        <f t="shared" si="26"/>
        <v/>
      </c>
      <c r="C102" s="153">
        <f>IF(D93="","-",+C101+1)</f>
        <v>2014</v>
      </c>
      <c r="D102" s="357">
        <v>234311.17857142855</v>
      </c>
      <c r="E102" s="360">
        <v>5931.9285714285716</v>
      </c>
      <c r="F102" s="361">
        <v>228379.24999999997</v>
      </c>
      <c r="G102" s="361">
        <v>231345.21428571426</v>
      </c>
      <c r="H102" s="360">
        <v>37377.170497097119</v>
      </c>
      <c r="I102" s="359">
        <v>37377.170497097119</v>
      </c>
      <c r="J102" s="158">
        <v>0</v>
      </c>
      <c r="K102" s="158"/>
      <c r="L102" s="258">
        <f t="shared" si="21"/>
        <v>37377.170497097119</v>
      </c>
      <c r="M102" s="257">
        <f>IF(L102&lt;&gt;0,+H102-L102,0)</f>
        <v>0</v>
      </c>
      <c r="N102" s="258">
        <f t="shared" si="23"/>
        <v>37377.170497097119</v>
      </c>
      <c r="O102" s="158">
        <f>IF(N102&lt;&gt;0,+I102-N102,0)</f>
        <v>0</v>
      </c>
      <c r="P102" s="158">
        <f>+O102-M102</f>
        <v>0</v>
      </c>
      <c r="Q102" s="1"/>
    </row>
    <row r="103" spans="1:17">
      <c r="B103" s="9" t="str">
        <f t="shared" si="26"/>
        <v/>
      </c>
      <c r="C103" s="153">
        <f>IF(D93="","-",+C102+1)</f>
        <v>2015</v>
      </c>
      <c r="D103" s="357">
        <v>228379.24999999997</v>
      </c>
      <c r="E103" s="360">
        <v>5931.9285714285716</v>
      </c>
      <c r="F103" s="361">
        <v>222447.32142857139</v>
      </c>
      <c r="G103" s="361">
        <v>225413.28571428568</v>
      </c>
      <c r="H103" s="360">
        <v>35634.384288114808</v>
      </c>
      <c r="I103" s="359">
        <v>35634.384288114808</v>
      </c>
      <c r="J103" s="158">
        <f t="shared" si="20"/>
        <v>0</v>
      </c>
      <c r="K103" s="158"/>
      <c r="L103" s="258">
        <f t="shared" si="21"/>
        <v>35634.384288114808</v>
      </c>
      <c r="M103" s="257">
        <f>IF(L103&lt;&gt;0,+H103-L103,0)</f>
        <v>0</v>
      </c>
      <c r="N103" s="258">
        <f t="shared" si="23"/>
        <v>35634.384288114808</v>
      </c>
      <c r="O103" s="158">
        <f>IF(N103&lt;&gt;0,+I103-N103,0)</f>
        <v>0</v>
      </c>
      <c r="P103" s="158">
        <f>+O103-M103</f>
        <v>0</v>
      </c>
      <c r="Q103" s="1"/>
    </row>
    <row r="104" spans="1:17">
      <c r="B104" s="9" t="str">
        <f t="shared" si="26"/>
        <v/>
      </c>
      <c r="C104" s="153">
        <f>IF(D93="","-",+C103+1)</f>
        <v>2016</v>
      </c>
      <c r="D104" s="357">
        <v>222447.32142857139</v>
      </c>
      <c r="E104" s="360">
        <v>5793.9767441860467</v>
      </c>
      <c r="F104" s="361">
        <v>216653.34468438535</v>
      </c>
      <c r="G104" s="361">
        <v>219550.33305647835</v>
      </c>
      <c r="H104" s="360">
        <v>33665.888954411937</v>
      </c>
      <c r="I104" s="359">
        <v>33665.888954411937</v>
      </c>
      <c r="J104" s="158">
        <v>0</v>
      </c>
      <c r="K104" s="158"/>
      <c r="L104" s="258">
        <f t="shared" si="21"/>
        <v>33665.888954411937</v>
      </c>
      <c r="M104" s="257">
        <f>IF(L104&lt;&gt;0,+H104-L104,0)</f>
        <v>0</v>
      </c>
      <c r="N104" s="258">
        <f t="shared" si="23"/>
        <v>33665.888954411937</v>
      </c>
      <c r="O104" s="158">
        <f>IF(N104&lt;&gt;0,+I104-N104,0)</f>
        <v>0</v>
      </c>
      <c r="P104" s="158">
        <f>+O104-M104</f>
        <v>0</v>
      </c>
      <c r="Q104" s="1"/>
    </row>
    <row r="105" spans="1:17">
      <c r="B105" s="9" t="str">
        <f t="shared" si="26"/>
        <v/>
      </c>
      <c r="C105" s="153">
        <f>IF(D93="","-",+C104+1)</f>
        <v>2017</v>
      </c>
      <c r="D105" s="154">
        <f>IF(F104+SUM(E$99:E104)=D$92,F104,D$92-SUM(E$99:E104))</f>
        <v>216653.34468438535</v>
      </c>
      <c r="E105" s="160">
        <f>IF(+J96&lt;F104,J96,D105)</f>
        <v>5931.9285714285716</v>
      </c>
      <c r="F105" s="159">
        <f t="shared" ref="F105:F131" si="27">+D105-E105</f>
        <v>210721.41611295677</v>
      </c>
      <c r="G105" s="159">
        <f t="shared" ref="G105:G130" si="28">+(F105+D105)/2</f>
        <v>213687.38039867106</v>
      </c>
      <c r="H105" s="163">
        <f t="shared" ref="H105:H130" si="29">+J$94*G105+E105</f>
        <v>31888.846157126722</v>
      </c>
      <c r="I105" s="253">
        <f t="shared" ref="I105:I130" si="30">+J$95*G105+E105</f>
        <v>31888.846157126722</v>
      </c>
      <c r="J105" s="158">
        <f t="shared" si="20"/>
        <v>0</v>
      </c>
      <c r="K105" s="158"/>
      <c r="L105" s="334"/>
      <c r="M105" s="158">
        <f t="shared" si="22"/>
        <v>0</v>
      </c>
      <c r="N105" s="334"/>
      <c r="O105" s="158">
        <f t="shared" si="24"/>
        <v>0</v>
      </c>
      <c r="P105" s="158">
        <f t="shared" si="25"/>
        <v>0</v>
      </c>
      <c r="Q105" s="1"/>
    </row>
    <row r="106" spans="1:17">
      <c r="B106" s="9" t="str">
        <f t="shared" si="26"/>
        <v/>
      </c>
      <c r="C106" s="153">
        <f>IF(D93="","-",+C105+1)</f>
        <v>2018</v>
      </c>
      <c r="D106" s="154">
        <f>IF(F105+SUM(E$99:E105)=D$92,F105,D$92-SUM(E$99:E105))</f>
        <v>210721.41611295677</v>
      </c>
      <c r="E106" s="160">
        <f>IF(+J96&lt;F105,J96,D106)</f>
        <v>5931.9285714285716</v>
      </c>
      <c r="F106" s="159">
        <f t="shared" si="27"/>
        <v>204789.48754152819</v>
      </c>
      <c r="G106" s="159">
        <f t="shared" si="28"/>
        <v>207755.45182724248</v>
      </c>
      <c r="H106" s="163">
        <f t="shared" si="29"/>
        <v>31168.28614667803</v>
      </c>
      <c r="I106" s="253">
        <f t="shared" si="30"/>
        <v>31168.28614667803</v>
      </c>
      <c r="J106" s="158">
        <f t="shared" si="20"/>
        <v>0</v>
      </c>
      <c r="K106" s="158"/>
      <c r="L106" s="334"/>
      <c r="M106" s="158">
        <f t="shared" si="22"/>
        <v>0</v>
      </c>
      <c r="N106" s="334"/>
      <c r="O106" s="158">
        <f t="shared" si="24"/>
        <v>0</v>
      </c>
      <c r="P106" s="158">
        <f t="shared" si="25"/>
        <v>0</v>
      </c>
      <c r="Q106" s="1"/>
    </row>
    <row r="107" spans="1:17">
      <c r="B107" s="9" t="str">
        <f t="shared" si="26"/>
        <v/>
      </c>
      <c r="C107" s="153">
        <f>IF(D93="","-",+C106+1)</f>
        <v>2019</v>
      </c>
      <c r="D107" s="154">
        <f>IF(F106+SUM(E$99:E106)=D$92,F106,D$92-SUM(E$99:E106))</f>
        <v>204789.48754152819</v>
      </c>
      <c r="E107" s="160">
        <f>IF(+J96&lt;F106,J96,D107)</f>
        <v>5931.9285714285716</v>
      </c>
      <c r="F107" s="159">
        <f t="shared" si="27"/>
        <v>198857.55897009961</v>
      </c>
      <c r="G107" s="159">
        <f t="shared" si="28"/>
        <v>201823.5232558139</v>
      </c>
      <c r="H107" s="163">
        <f t="shared" si="29"/>
        <v>30447.726136229339</v>
      </c>
      <c r="I107" s="253">
        <f t="shared" si="30"/>
        <v>30447.726136229339</v>
      </c>
      <c r="J107" s="158">
        <f t="shared" si="20"/>
        <v>0</v>
      </c>
      <c r="K107" s="158"/>
      <c r="L107" s="334"/>
      <c r="M107" s="158">
        <f t="shared" si="22"/>
        <v>0</v>
      </c>
      <c r="N107" s="334"/>
      <c r="O107" s="158">
        <f t="shared" si="24"/>
        <v>0</v>
      </c>
      <c r="P107" s="158">
        <f t="shared" si="25"/>
        <v>0</v>
      </c>
      <c r="Q107" s="1"/>
    </row>
    <row r="108" spans="1:17">
      <c r="B108" s="9" t="str">
        <f t="shared" si="26"/>
        <v/>
      </c>
      <c r="C108" s="153">
        <f>IF(D93="","-",+C107+1)</f>
        <v>2020</v>
      </c>
      <c r="D108" s="154">
        <f>IF(F107+SUM(E$99:E107)=D$92,F107,D$92-SUM(E$99:E107))</f>
        <v>198857.55897009961</v>
      </c>
      <c r="E108" s="160">
        <f>IF(+J96&lt;F107,J96,D108)</f>
        <v>5931.9285714285716</v>
      </c>
      <c r="F108" s="159">
        <f t="shared" si="27"/>
        <v>192925.63039867103</v>
      </c>
      <c r="G108" s="159">
        <f t="shared" si="28"/>
        <v>195891.59468438532</v>
      </c>
      <c r="H108" s="163">
        <f t="shared" si="29"/>
        <v>29727.166125780648</v>
      </c>
      <c r="I108" s="253">
        <f t="shared" si="30"/>
        <v>29727.166125780648</v>
      </c>
      <c r="J108" s="158">
        <f t="shared" si="20"/>
        <v>0</v>
      </c>
      <c r="K108" s="158"/>
      <c r="L108" s="334"/>
      <c r="M108" s="158">
        <f t="shared" si="22"/>
        <v>0</v>
      </c>
      <c r="N108" s="334"/>
      <c r="O108" s="158">
        <f t="shared" si="24"/>
        <v>0</v>
      </c>
      <c r="P108" s="158">
        <f t="shared" si="25"/>
        <v>0</v>
      </c>
      <c r="Q108" s="1"/>
    </row>
    <row r="109" spans="1:17">
      <c r="B109" s="9" t="str">
        <f t="shared" si="26"/>
        <v/>
      </c>
      <c r="C109" s="153">
        <f>IF(D93="","-",+C108+1)</f>
        <v>2021</v>
      </c>
      <c r="D109" s="154">
        <f>IF(F108+SUM(E$99:E108)=D$92,F108,D$92-SUM(E$99:E108))</f>
        <v>192925.63039867103</v>
      </c>
      <c r="E109" s="160">
        <f>IF(+J96&lt;F108,J96,D109)</f>
        <v>5931.9285714285716</v>
      </c>
      <c r="F109" s="159">
        <f t="shared" si="27"/>
        <v>186993.70182724245</v>
      </c>
      <c r="G109" s="159">
        <f t="shared" si="28"/>
        <v>189959.66611295674</v>
      </c>
      <c r="H109" s="163">
        <f t="shared" si="29"/>
        <v>29006.606115331957</v>
      </c>
      <c r="I109" s="253">
        <f t="shared" si="30"/>
        <v>29006.606115331957</v>
      </c>
      <c r="J109" s="158">
        <f t="shared" si="20"/>
        <v>0</v>
      </c>
      <c r="K109" s="158"/>
      <c r="L109" s="334"/>
      <c r="M109" s="158">
        <f t="shared" si="22"/>
        <v>0</v>
      </c>
      <c r="N109" s="334"/>
      <c r="O109" s="158">
        <f t="shared" si="24"/>
        <v>0</v>
      </c>
      <c r="P109" s="158">
        <f t="shared" si="25"/>
        <v>0</v>
      </c>
      <c r="Q109" s="1"/>
    </row>
    <row r="110" spans="1:17">
      <c r="B110" s="9" t="str">
        <f t="shared" si="26"/>
        <v/>
      </c>
      <c r="C110" s="153">
        <f>IF(D93="","-",+C109+1)</f>
        <v>2022</v>
      </c>
      <c r="D110" s="154">
        <f>IF(F109+SUM(E$99:E109)=D$92,F109,D$92-SUM(E$99:E109))</f>
        <v>186993.70182724245</v>
      </c>
      <c r="E110" s="160">
        <f>IF(+J96&lt;F109,J96,D110)</f>
        <v>5931.9285714285716</v>
      </c>
      <c r="F110" s="159">
        <f t="shared" si="27"/>
        <v>181061.77325581387</v>
      </c>
      <c r="G110" s="159">
        <f t="shared" si="28"/>
        <v>184027.73754152816</v>
      </c>
      <c r="H110" s="163">
        <f t="shared" si="29"/>
        <v>28286.046104883266</v>
      </c>
      <c r="I110" s="253">
        <f t="shared" si="30"/>
        <v>28286.046104883266</v>
      </c>
      <c r="J110" s="158">
        <f t="shared" si="20"/>
        <v>0</v>
      </c>
      <c r="K110" s="158"/>
      <c r="L110" s="334"/>
      <c r="M110" s="158">
        <f t="shared" si="22"/>
        <v>0</v>
      </c>
      <c r="N110" s="334"/>
      <c r="O110" s="158">
        <f t="shared" si="24"/>
        <v>0</v>
      </c>
      <c r="P110" s="158">
        <f t="shared" si="25"/>
        <v>0</v>
      </c>
      <c r="Q110" s="1"/>
    </row>
    <row r="111" spans="1:17">
      <c r="B111" s="9" t="str">
        <f t="shared" si="26"/>
        <v/>
      </c>
      <c r="C111" s="153">
        <f>IF(D93="","-",+C110+1)</f>
        <v>2023</v>
      </c>
      <c r="D111" s="154">
        <f>IF(F110+SUM(E$99:E110)=D$92,F110,D$92-SUM(E$99:E110))</f>
        <v>181061.77325581387</v>
      </c>
      <c r="E111" s="160">
        <f>IF(+J96&lt;F110,J96,D111)</f>
        <v>5931.9285714285716</v>
      </c>
      <c r="F111" s="159">
        <f t="shared" si="27"/>
        <v>175129.84468438529</v>
      </c>
      <c r="G111" s="159">
        <f t="shared" si="28"/>
        <v>178095.80897009958</v>
      </c>
      <c r="H111" s="163">
        <f t="shared" si="29"/>
        <v>27565.486094434575</v>
      </c>
      <c r="I111" s="253">
        <f t="shared" si="30"/>
        <v>27565.486094434575</v>
      </c>
      <c r="J111" s="158">
        <f t="shared" si="20"/>
        <v>0</v>
      </c>
      <c r="K111" s="158"/>
      <c r="L111" s="334"/>
      <c r="M111" s="158">
        <f t="shared" si="22"/>
        <v>0</v>
      </c>
      <c r="N111" s="334"/>
      <c r="O111" s="158">
        <f t="shared" si="24"/>
        <v>0</v>
      </c>
      <c r="P111" s="158">
        <f t="shared" si="25"/>
        <v>0</v>
      </c>
      <c r="Q111" s="1"/>
    </row>
    <row r="112" spans="1:17">
      <c r="B112" s="9" t="str">
        <f t="shared" si="26"/>
        <v/>
      </c>
      <c r="C112" s="153">
        <f>IF(D93="","-",+C111+1)</f>
        <v>2024</v>
      </c>
      <c r="D112" s="154">
        <f>IF(F111+SUM(E$99:E111)=D$92,F111,D$92-SUM(E$99:E111))</f>
        <v>175129.84468438529</v>
      </c>
      <c r="E112" s="160">
        <f>IF(+J96&lt;F111,J96,D112)</f>
        <v>5931.9285714285716</v>
      </c>
      <c r="F112" s="159">
        <f t="shared" si="27"/>
        <v>169197.91611295671</v>
      </c>
      <c r="G112" s="159">
        <f t="shared" si="28"/>
        <v>172163.880398671</v>
      </c>
      <c r="H112" s="163">
        <f t="shared" si="29"/>
        <v>26844.926083985883</v>
      </c>
      <c r="I112" s="253">
        <f t="shared" si="30"/>
        <v>26844.926083985883</v>
      </c>
      <c r="J112" s="158">
        <f t="shared" si="20"/>
        <v>0</v>
      </c>
      <c r="K112" s="158"/>
      <c r="L112" s="334"/>
      <c r="M112" s="158">
        <f t="shared" si="22"/>
        <v>0</v>
      </c>
      <c r="N112" s="334"/>
      <c r="O112" s="158">
        <f t="shared" si="24"/>
        <v>0</v>
      </c>
      <c r="P112" s="158">
        <f t="shared" si="25"/>
        <v>0</v>
      </c>
      <c r="Q112" s="1"/>
    </row>
    <row r="113" spans="2:17">
      <c r="B113" s="9" t="str">
        <f t="shared" si="26"/>
        <v/>
      </c>
      <c r="C113" s="153">
        <f>IF(D93="","-",+C112+1)</f>
        <v>2025</v>
      </c>
      <c r="D113" s="154">
        <f>IF(F112+SUM(E$99:E112)=D$92,F112,D$92-SUM(E$99:E112))</f>
        <v>169197.91611295671</v>
      </c>
      <c r="E113" s="160">
        <f>IF(+J96&lt;F112,J96,D113)</f>
        <v>5931.9285714285716</v>
      </c>
      <c r="F113" s="159">
        <f t="shared" si="27"/>
        <v>163265.98754152813</v>
      </c>
      <c r="G113" s="159">
        <f t="shared" si="28"/>
        <v>166231.95182724242</v>
      </c>
      <c r="H113" s="163">
        <f t="shared" si="29"/>
        <v>26124.366073537192</v>
      </c>
      <c r="I113" s="253">
        <f t="shared" si="30"/>
        <v>26124.366073537192</v>
      </c>
      <c r="J113" s="158">
        <f t="shared" si="20"/>
        <v>0</v>
      </c>
      <c r="K113" s="158"/>
      <c r="L113" s="334"/>
      <c r="M113" s="158">
        <f t="shared" si="22"/>
        <v>0</v>
      </c>
      <c r="N113" s="334"/>
      <c r="O113" s="158">
        <f t="shared" si="24"/>
        <v>0</v>
      </c>
      <c r="P113" s="158">
        <f t="shared" si="25"/>
        <v>0</v>
      </c>
      <c r="Q113" s="1"/>
    </row>
    <row r="114" spans="2:17">
      <c r="B114" s="9" t="str">
        <f t="shared" si="26"/>
        <v/>
      </c>
      <c r="C114" s="153">
        <f>IF(D93="","-",+C113+1)</f>
        <v>2026</v>
      </c>
      <c r="D114" s="154">
        <f>IF(F113+SUM(E$99:E113)=D$92,F113,D$92-SUM(E$99:E113))</f>
        <v>163265.98754152813</v>
      </c>
      <c r="E114" s="160">
        <f>IF(+J96&lt;F113,J96,D114)</f>
        <v>5931.9285714285716</v>
      </c>
      <c r="F114" s="159">
        <f t="shared" si="27"/>
        <v>157334.05897009955</v>
      </c>
      <c r="G114" s="159">
        <f t="shared" si="28"/>
        <v>160300.02325581384</v>
      </c>
      <c r="H114" s="163">
        <f t="shared" si="29"/>
        <v>25403.806063088501</v>
      </c>
      <c r="I114" s="253">
        <f t="shared" si="30"/>
        <v>25403.806063088501</v>
      </c>
      <c r="J114" s="158">
        <f t="shared" si="20"/>
        <v>0</v>
      </c>
      <c r="K114" s="158"/>
      <c r="L114" s="334"/>
      <c r="M114" s="158">
        <f t="shared" si="22"/>
        <v>0</v>
      </c>
      <c r="N114" s="334"/>
      <c r="O114" s="158">
        <f t="shared" si="24"/>
        <v>0</v>
      </c>
      <c r="P114" s="158">
        <f t="shared" si="25"/>
        <v>0</v>
      </c>
      <c r="Q114" s="1"/>
    </row>
    <row r="115" spans="2:17">
      <c r="B115" s="9" t="str">
        <f t="shared" si="26"/>
        <v/>
      </c>
      <c r="C115" s="153">
        <f>IF(D93="","-",+C114+1)</f>
        <v>2027</v>
      </c>
      <c r="D115" s="154">
        <f>IF(F114+SUM(E$99:E114)=D$92,F114,D$92-SUM(E$99:E114))</f>
        <v>157334.05897009955</v>
      </c>
      <c r="E115" s="160">
        <f>IF(+J96&lt;F114,J96,D115)</f>
        <v>5931.9285714285716</v>
      </c>
      <c r="F115" s="159">
        <f t="shared" si="27"/>
        <v>151402.13039867097</v>
      </c>
      <c r="G115" s="159">
        <f t="shared" si="28"/>
        <v>154368.09468438526</v>
      </c>
      <c r="H115" s="163">
        <f t="shared" si="29"/>
        <v>24683.246052639814</v>
      </c>
      <c r="I115" s="253">
        <f t="shared" si="30"/>
        <v>24683.246052639814</v>
      </c>
      <c r="J115" s="158">
        <f t="shared" si="20"/>
        <v>0</v>
      </c>
      <c r="K115" s="158"/>
      <c r="L115" s="334"/>
      <c r="M115" s="158">
        <f t="shared" si="22"/>
        <v>0</v>
      </c>
      <c r="N115" s="334"/>
      <c r="O115" s="158">
        <f t="shared" si="24"/>
        <v>0</v>
      </c>
      <c r="P115" s="158">
        <f t="shared" si="25"/>
        <v>0</v>
      </c>
      <c r="Q115" s="1"/>
    </row>
    <row r="116" spans="2:17">
      <c r="B116" s="9" t="str">
        <f t="shared" si="26"/>
        <v/>
      </c>
      <c r="C116" s="153">
        <f>IF(D93="","-",+C115+1)</f>
        <v>2028</v>
      </c>
      <c r="D116" s="154">
        <f>IF(F115+SUM(E$99:E115)=D$92,F115,D$92-SUM(E$99:E115))</f>
        <v>151402.13039867097</v>
      </c>
      <c r="E116" s="160">
        <f>IF(+J96&lt;F115,J96,D116)</f>
        <v>5931.9285714285716</v>
      </c>
      <c r="F116" s="159">
        <f t="shared" si="27"/>
        <v>145470.20182724239</v>
      </c>
      <c r="G116" s="159">
        <f t="shared" si="28"/>
        <v>148436.16611295668</v>
      </c>
      <c r="H116" s="163">
        <f t="shared" si="29"/>
        <v>23962.686042191122</v>
      </c>
      <c r="I116" s="253">
        <f t="shared" si="30"/>
        <v>23962.686042191122</v>
      </c>
      <c r="J116" s="158">
        <f t="shared" si="20"/>
        <v>0</v>
      </c>
      <c r="K116" s="158"/>
      <c r="L116" s="334"/>
      <c r="M116" s="158">
        <f t="shared" si="22"/>
        <v>0</v>
      </c>
      <c r="N116" s="334"/>
      <c r="O116" s="158">
        <f t="shared" si="24"/>
        <v>0</v>
      </c>
      <c r="P116" s="158">
        <f t="shared" si="25"/>
        <v>0</v>
      </c>
      <c r="Q116" s="1"/>
    </row>
    <row r="117" spans="2:17">
      <c r="B117" s="9" t="str">
        <f t="shared" si="26"/>
        <v/>
      </c>
      <c r="C117" s="153">
        <f>IF(D93="","-",+C116+1)</f>
        <v>2029</v>
      </c>
      <c r="D117" s="154">
        <f>IF(F116+SUM(E$99:E116)=D$92,F116,D$92-SUM(E$99:E116))</f>
        <v>145470.20182724239</v>
      </c>
      <c r="E117" s="160">
        <f>IF(+J96&lt;F116,J96,D117)</f>
        <v>5931.9285714285716</v>
      </c>
      <c r="F117" s="159">
        <f t="shared" si="27"/>
        <v>139538.27325581381</v>
      </c>
      <c r="G117" s="159">
        <f t="shared" si="28"/>
        <v>142504.2375415281</v>
      </c>
      <c r="H117" s="163">
        <f t="shared" si="29"/>
        <v>23242.126031742431</v>
      </c>
      <c r="I117" s="253">
        <f t="shared" si="30"/>
        <v>23242.126031742431</v>
      </c>
      <c r="J117" s="158">
        <f t="shared" si="20"/>
        <v>0</v>
      </c>
      <c r="K117" s="158"/>
      <c r="L117" s="334"/>
      <c r="M117" s="158">
        <f t="shared" si="22"/>
        <v>0</v>
      </c>
      <c r="N117" s="334"/>
      <c r="O117" s="158">
        <f t="shared" si="24"/>
        <v>0</v>
      </c>
      <c r="P117" s="158">
        <f t="shared" si="25"/>
        <v>0</v>
      </c>
      <c r="Q117" s="1"/>
    </row>
    <row r="118" spans="2:17">
      <c r="B118" s="9" t="str">
        <f t="shared" si="26"/>
        <v/>
      </c>
      <c r="C118" s="153">
        <f>IF(D93="","-",+C117+1)</f>
        <v>2030</v>
      </c>
      <c r="D118" s="154">
        <f>IF(F117+SUM(E$99:E117)=D$92,F117,D$92-SUM(E$99:E117))</f>
        <v>139538.27325581381</v>
      </c>
      <c r="E118" s="160">
        <f>IF(+J96&lt;F117,J96,D118)</f>
        <v>5931.9285714285716</v>
      </c>
      <c r="F118" s="159">
        <f t="shared" si="27"/>
        <v>133606.34468438523</v>
      </c>
      <c r="G118" s="159">
        <f t="shared" si="28"/>
        <v>136572.30897009952</v>
      </c>
      <c r="H118" s="163">
        <f t="shared" si="29"/>
        <v>22521.56602129374</v>
      </c>
      <c r="I118" s="253">
        <f t="shared" si="30"/>
        <v>22521.56602129374</v>
      </c>
      <c r="J118" s="158">
        <f t="shared" si="20"/>
        <v>0</v>
      </c>
      <c r="K118" s="158"/>
      <c r="L118" s="334"/>
      <c r="M118" s="158">
        <f t="shared" si="22"/>
        <v>0</v>
      </c>
      <c r="N118" s="334"/>
      <c r="O118" s="158">
        <f t="shared" si="24"/>
        <v>0</v>
      </c>
      <c r="P118" s="158">
        <f t="shared" si="25"/>
        <v>0</v>
      </c>
      <c r="Q118" s="1"/>
    </row>
    <row r="119" spans="2:17">
      <c r="B119" s="9" t="str">
        <f t="shared" si="26"/>
        <v/>
      </c>
      <c r="C119" s="153">
        <f>IF(D93="","-",+C118+1)</f>
        <v>2031</v>
      </c>
      <c r="D119" s="154">
        <f>IF(F118+SUM(E$99:E118)=D$92,F118,D$92-SUM(E$99:E118))</f>
        <v>133606.34468438523</v>
      </c>
      <c r="E119" s="160">
        <f>IF(+J96&lt;F118,J96,D119)</f>
        <v>5931.9285714285716</v>
      </c>
      <c r="F119" s="159">
        <f t="shared" si="27"/>
        <v>127674.41611295666</v>
      </c>
      <c r="G119" s="159">
        <f t="shared" si="28"/>
        <v>130640.38039867094</v>
      </c>
      <c r="H119" s="163">
        <f t="shared" si="29"/>
        <v>21801.006010845049</v>
      </c>
      <c r="I119" s="253">
        <f t="shared" si="30"/>
        <v>21801.006010845049</v>
      </c>
      <c r="J119" s="158">
        <f t="shared" si="20"/>
        <v>0</v>
      </c>
      <c r="K119" s="158"/>
      <c r="L119" s="334"/>
      <c r="M119" s="158">
        <f t="shared" si="22"/>
        <v>0</v>
      </c>
      <c r="N119" s="334"/>
      <c r="O119" s="158">
        <f t="shared" si="24"/>
        <v>0</v>
      </c>
      <c r="P119" s="158">
        <f t="shared" si="25"/>
        <v>0</v>
      </c>
      <c r="Q119" s="1"/>
    </row>
    <row r="120" spans="2:17">
      <c r="B120" s="9" t="str">
        <f t="shared" si="26"/>
        <v/>
      </c>
      <c r="C120" s="153">
        <f>IF(D93="","-",+C119+1)</f>
        <v>2032</v>
      </c>
      <c r="D120" s="154">
        <f>IF(F119+SUM(E$99:E119)=D$92,F119,D$92-SUM(E$99:E119))</f>
        <v>127674.41611295666</v>
      </c>
      <c r="E120" s="160">
        <f>IF(+J96&lt;F119,J96,D120)</f>
        <v>5931.9285714285716</v>
      </c>
      <c r="F120" s="159">
        <f t="shared" si="27"/>
        <v>121742.4875415281</v>
      </c>
      <c r="G120" s="159">
        <f t="shared" si="28"/>
        <v>124708.45182724239</v>
      </c>
      <c r="H120" s="163">
        <f t="shared" si="29"/>
        <v>21080.446000396361</v>
      </c>
      <c r="I120" s="253">
        <f t="shared" si="30"/>
        <v>21080.446000396361</v>
      </c>
      <c r="J120" s="158">
        <f t="shared" si="20"/>
        <v>0</v>
      </c>
      <c r="K120" s="158"/>
      <c r="L120" s="334"/>
      <c r="M120" s="158">
        <f t="shared" si="22"/>
        <v>0</v>
      </c>
      <c r="N120" s="334"/>
      <c r="O120" s="158">
        <f t="shared" si="24"/>
        <v>0</v>
      </c>
      <c r="P120" s="158">
        <f t="shared" si="25"/>
        <v>0</v>
      </c>
      <c r="Q120" s="1"/>
    </row>
    <row r="121" spans="2:17">
      <c r="B121" s="9" t="str">
        <f t="shared" si="26"/>
        <v/>
      </c>
      <c r="C121" s="153">
        <f>IF(D93="","-",+C120+1)</f>
        <v>2033</v>
      </c>
      <c r="D121" s="154">
        <f>IF(F120+SUM(E$99:E120)=D$92,F120,D$92-SUM(E$99:E120))</f>
        <v>121742.4875415281</v>
      </c>
      <c r="E121" s="160">
        <f>IF(+J96&lt;F120,J96,D121)</f>
        <v>5931.9285714285716</v>
      </c>
      <c r="F121" s="159">
        <f t="shared" si="27"/>
        <v>115810.55897009953</v>
      </c>
      <c r="G121" s="159">
        <f t="shared" si="28"/>
        <v>118776.52325581381</v>
      </c>
      <c r="H121" s="163">
        <f t="shared" si="29"/>
        <v>20359.88598994767</v>
      </c>
      <c r="I121" s="253">
        <f t="shared" si="30"/>
        <v>20359.88598994767</v>
      </c>
      <c r="J121" s="158">
        <f t="shared" si="20"/>
        <v>0</v>
      </c>
      <c r="K121" s="158"/>
      <c r="L121" s="334"/>
      <c r="M121" s="158">
        <f t="shared" si="22"/>
        <v>0</v>
      </c>
      <c r="N121" s="334"/>
      <c r="O121" s="158">
        <f t="shared" si="24"/>
        <v>0</v>
      </c>
      <c r="P121" s="158">
        <f t="shared" si="25"/>
        <v>0</v>
      </c>
      <c r="Q121" s="1"/>
    </row>
    <row r="122" spans="2:17">
      <c r="B122" s="9" t="str">
        <f t="shared" si="26"/>
        <v/>
      </c>
      <c r="C122" s="153">
        <f>IF(D93="","-",+C121+1)</f>
        <v>2034</v>
      </c>
      <c r="D122" s="154">
        <f>IF(F121+SUM(E$99:E121)=D$92,F121,D$92-SUM(E$99:E121))</f>
        <v>115810.55897009953</v>
      </c>
      <c r="E122" s="160">
        <f>IF(+J96&lt;F121,J96,D122)</f>
        <v>5931.9285714285716</v>
      </c>
      <c r="F122" s="159">
        <f t="shared" si="27"/>
        <v>109878.63039867097</v>
      </c>
      <c r="G122" s="159">
        <f t="shared" si="28"/>
        <v>112844.59468438526</v>
      </c>
      <c r="H122" s="163">
        <f t="shared" si="29"/>
        <v>19639.325979498983</v>
      </c>
      <c r="I122" s="253">
        <f t="shared" si="30"/>
        <v>19639.325979498983</v>
      </c>
      <c r="J122" s="158">
        <f t="shared" si="20"/>
        <v>0</v>
      </c>
      <c r="K122" s="158"/>
      <c r="L122" s="334"/>
      <c r="M122" s="158">
        <f t="shared" si="22"/>
        <v>0</v>
      </c>
      <c r="N122" s="334"/>
      <c r="O122" s="158">
        <f t="shared" si="24"/>
        <v>0</v>
      </c>
      <c r="P122" s="158">
        <f t="shared" si="25"/>
        <v>0</v>
      </c>
      <c r="Q122" s="1"/>
    </row>
    <row r="123" spans="2:17">
      <c r="B123" s="9" t="str">
        <f t="shared" si="26"/>
        <v/>
      </c>
      <c r="C123" s="153">
        <f>IF(D93="","-",+C122+1)</f>
        <v>2035</v>
      </c>
      <c r="D123" s="154">
        <f>IF(F122+SUM(E$99:E122)=D$92,F122,D$92-SUM(E$99:E122))</f>
        <v>109878.63039867097</v>
      </c>
      <c r="E123" s="160">
        <f>IF(+J96&lt;F122,J96,D123)</f>
        <v>5931.9285714285716</v>
      </c>
      <c r="F123" s="159">
        <f t="shared" si="27"/>
        <v>103946.7018272424</v>
      </c>
      <c r="G123" s="159">
        <f t="shared" si="28"/>
        <v>106912.66611295668</v>
      </c>
      <c r="H123" s="163">
        <f t="shared" si="29"/>
        <v>18918.765969050291</v>
      </c>
      <c r="I123" s="253">
        <f t="shared" si="30"/>
        <v>18918.765969050291</v>
      </c>
      <c r="J123" s="158">
        <f t="shared" si="20"/>
        <v>0</v>
      </c>
      <c r="K123" s="158"/>
      <c r="L123" s="334"/>
      <c r="M123" s="158">
        <f t="shared" si="22"/>
        <v>0</v>
      </c>
      <c r="N123" s="334"/>
      <c r="O123" s="158">
        <f t="shared" si="24"/>
        <v>0</v>
      </c>
      <c r="P123" s="158">
        <f t="shared" si="25"/>
        <v>0</v>
      </c>
      <c r="Q123" s="1"/>
    </row>
    <row r="124" spans="2:17">
      <c r="B124" s="9" t="str">
        <f t="shared" si="26"/>
        <v/>
      </c>
      <c r="C124" s="153">
        <f>IF(D93="","-",+C123+1)</f>
        <v>2036</v>
      </c>
      <c r="D124" s="154">
        <f>IF(F123+SUM(E$99:E123)=D$92,F123,D$92-SUM(E$99:E123))</f>
        <v>103946.7018272424</v>
      </c>
      <c r="E124" s="160">
        <f>IF(+J96&lt;F123,J96,D124)</f>
        <v>5931.9285714285716</v>
      </c>
      <c r="F124" s="159">
        <f t="shared" si="27"/>
        <v>98014.773255813838</v>
      </c>
      <c r="G124" s="159">
        <f t="shared" si="28"/>
        <v>100980.73754152813</v>
      </c>
      <c r="H124" s="163">
        <f t="shared" si="29"/>
        <v>18198.205958601604</v>
      </c>
      <c r="I124" s="253">
        <f t="shared" si="30"/>
        <v>18198.205958601604</v>
      </c>
      <c r="J124" s="158">
        <f t="shared" si="20"/>
        <v>0</v>
      </c>
      <c r="K124" s="158"/>
      <c r="L124" s="334"/>
      <c r="M124" s="158">
        <f t="shared" si="22"/>
        <v>0</v>
      </c>
      <c r="N124" s="334"/>
      <c r="O124" s="158">
        <f t="shared" si="24"/>
        <v>0</v>
      </c>
      <c r="P124" s="158">
        <f t="shared" si="25"/>
        <v>0</v>
      </c>
      <c r="Q124" s="1"/>
    </row>
    <row r="125" spans="2:17">
      <c r="B125" s="9" t="str">
        <f t="shared" si="26"/>
        <v/>
      </c>
      <c r="C125" s="153">
        <f>IF(D93="","-",+C124+1)</f>
        <v>2037</v>
      </c>
      <c r="D125" s="154">
        <f>IF(F124+SUM(E$99:E124)=D$92,F124,D$92-SUM(E$99:E124))</f>
        <v>98014.773255813838</v>
      </c>
      <c r="E125" s="160">
        <f>IF(+J96&lt;F124,J96,D125)</f>
        <v>5931.9285714285716</v>
      </c>
      <c r="F125" s="159">
        <f t="shared" si="27"/>
        <v>92082.844684385273</v>
      </c>
      <c r="G125" s="159">
        <f t="shared" si="28"/>
        <v>95048.808970099548</v>
      </c>
      <c r="H125" s="163">
        <f t="shared" si="29"/>
        <v>17477.645948152913</v>
      </c>
      <c r="I125" s="253">
        <f t="shared" si="30"/>
        <v>17477.645948152913</v>
      </c>
      <c r="J125" s="158">
        <f t="shared" si="20"/>
        <v>0</v>
      </c>
      <c r="K125" s="158"/>
      <c r="L125" s="334"/>
      <c r="M125" s="158">
        <f t="shared" si="22"/>
        <v>0</v>
      </c>
      <c r="N125" s="334"/>
      <c r="O125" s="158">
        <f t="shared" si="24"/>
        <v>0</v>
      </c>
      <c r="P125" s="158">
        <f t="shared" si="25"/>
        <v>0</v>
      </c>
      <c r="Q125" s="1"/>
    </row>
    <row r="126" spans="2:17">
      <c r="B126" s="9" t="str">
        <f t="shared" si="26"/>
        <v/>
      </c>
      <c r="C126" s="153">
        <f>IF(D93="","-",+C125+1)</f>
        <v>2038</v>
      </c>
      <c r="D126" s="154">
        <f>IF(F125+SUM(E$99:E125)=D$92,F125,D$92-SUM(E$99:E125))</f>
        <v>92082.844684385273</v>
      </c>
      <c r="E126" s="160">
        <f>IF(+J96&lt;F125,J96,D126)</f>
        <v>5931.9285714285716</v>
      </c>
      <c r="F126" s="159">
        <f t="shared" si="27"/>
        <v>86150.916112956707</v>
      </c>
      <c r="G126" s="159">
        <f t="shared" si="28"/>
        <v>89116.880398670997</v>
      </c>
      <c r="H126" s="163">
        <f t="shared" si="29"/>
        <v>16757.085937704225</v>
      </c>
      <c r="I126" s="253">
        <f t="shared" si="30"/>
        <v>16757.085937704225</v>
      </c>
      <c r="J126" s="158">
        <f t="shared" si="20"/>
        <v>0</v>
      </c>
      <c r="K126" s="158"/>
      <c r="L126" s="334"/>
      <c r="M126" s="158">
        <f t="shared" si="22"/>
        <v>0</v>
      </c>
      <c r="N126" s="334"/>
      <c r="O126" s="158">
        <f t="shared" si="24"/>
        <v>0</v>
      </c>
      <c r="P126" s="158">
        <f t="shared" si="25"/>
        <v>0</v>
      </c>
      <c r="Q126" s="1"/>
    </row>
    <row r="127" spans="2:17">
      <c r="B127" s="9" t="str">
        <f t="shared" si="26"/>
        <v/>
      </c>
      <c r="C127" s="153">
        <f>IF(D93="","-",+C126+1)</f>
        <v>2039</v>
      </c>
      <c r="D127" s="154">
        <f>IF(F126+SUM(E$99:E126)=D$92,F126,D$92-SUM(E$99:E126))</f>
        <v>86150.916112956707</v>
      </c>
      <c r="E127" s="160">
        <f>IF(+J96&lt;F126,J96,D127)</f>
        <v>5931.9285714285716</v>
      </c>
      <c r="F127" s="159">
        <f t="shared" si="27"/>
        <v>80218.987541528142</v>
      </c>
      <c r="G127" s="159">
        <f t="shared" si="28"/>
        <v>83184.951827242417</v>
      </c>
      <c r="H127" s="163">
        <f t="shared" si="29"/>
        <v>16036.525927255534</v>
      </c>
      <c r="I127" s="253">
        <f t="shared" si="30"/>
        <v>16036.525927255534</v>
      </c>
      <c r="J127" s="158">
        <f t="shared" si="20"/>
        <v>0</v>
      </c>
      <c r="K127" s="158"/>
      <c r="L127" s="334"/>
      <c r="M127" s="158">
        <f t="shared" si="22"/>
        <v>0</v>
      </c>
      <c r="N127" s="334"/>
      <c r="O127" s="158">
        <f t="shared" si="24"/>
        <v>0</v>
      </c>
      <c r="P127" s="158">
        <f t="shared" si="25"/>
        <v>0</v>
      </c>
      <c r="Q127" s="1"/>
    </row>
    <row r="128" spans="2:17">
      <c r="B128" s="9" t="str">
        <f t="shared" si="26"/>
        <v/>
      </c>
      <c r="C128" s="153">
        <f>IF(D93="","-",+C127+1)</f>
        <v>2040</v>
      </c>
      <c r="D128" s="154">
        <f>IF(F127+SUM(E$99:E127)=D$92,F127,D$92-SUM(E$99:E127))</f>
        <v>80218.987541528142</v>
      </c>
      <c r="E128" s="160">
        <f>IF(+J96&lt;F127,J96,D128)</f>
        <v>5931.9285714285716</v>
      </c>
      <c r="F128" s="159">
        <f t="shared" si="27"/>
        <v>74287.058970099577</v>
      </c>
      <c r="G128" s="159">
        <f t="shared" si="28"/>
        <v>77253.023255813867</v>
      </c>
      <c r="H128" s="163">
        <f t="shared" si="29"/>
        <v>15315.965916806847</v>
      </c>
      <c r="I128" s="253">
        <f t="shared" si="30"/>
        <v>15315.965916806847</v>
      </c>
      <c r="J128" s="158">
        <f t="shared" si="20"/>
        <v>0</v>
      </c>
      <c r="K128" s="158"/>
      <c r="L128" s="334"/>
      <c r="M128" s="158">
        <f t="shared" si="22"/>
        <v>0</v>
      </c>
      <c r="N128" s="334"/>
      <c r="O128" s="158">
        <f t="shared" si="24"/>
        <v>0</v>
      </c>
      <c r="P128" s="158">
        <f t="shared" si="25"/>
        <v>0</v>
      </c>
      <c r="Q128" s="1"/>
    </row>
    <row r="129" spans="2:17">
      <c r="B129" s="9" t="str">
        <f t="shared" si="26"/>
        <v/>
      </c>
      <c r="C129" s="153">
        <f>IF(D93="","-",+C128+1)</f>
        <v>2041</v>
      </c>
      <c r="D129" s="154">
        <f>IF(F128+SUM(E$99:E128)=D$92,F128,D$92-SUM(E$99:E128))</f>
        <v>74287.058970099577</v>
      </c>
      <c r="E129" s="160">
        <f>IF(+J96&lt;F128,J96,D129)</f>
        <v>5931.9285714285716</v>
      </c>
      <c r="F129" s="159">
        <f t="shared" si="27"/>
        <v>68355.130398671012</v>
      </c>
      <c r="G129" s="159">
        <f t="shared" si="28"/>
        <v>71321.094684385287</v>
      </c>
      <c r="H129" s="163">
        <f t="shared" si="29"/>
        <v>14595.405906358155</v>
      </c>
      <c r="I129" s="253">
        <f t="shared" si="30"/>
        <v>14595.405906358155</v>
      </c>
      <c r="J129" s="158">
        <f t="shared" si="20"/>
        <v>0</v>
      </c>
      <c r="K129" s="158"/>
      <c r="L129" s="334"/>
      <c r="M129" s="158">
        <f t="shared" si="22"/>
        <v>0</v>
      </c>
      <c r="N129" s="334"/>
      <c r="O129" s="158">
        <f t="shared" si="24"/>
        <v>0</v>
      </c>
      <c r="P129" s="158">
        <f t="shared" si="25"/>
        <v>0</v>
      </c>
      <c r="Q129" s="1"/>
    </row>
    <row r="130" spans="2:17">
      <c r="B130" s="9" t="str">
        <f t="shared" si="26"/>
        <v/>
      </c>
      <c r="C130" s="153">
        <f>IF(D93="","-",+C129+1)</f>
        <v>2042</v>
      </c>
      <c r="D130" s="154">
        <f>IF(F129+SUM(E$99:E129)=D$92,F129,D$92-SUM(E$99:E129))</f>
        <v>68355.130398671012</v>
      </c>
      <c r="E130" s="160">
        <f>IF(+J96&lt;F129,J96,D130)</f>
        <v>5931.9285714285716</v>
      </c>
      <c r="F130" s="159">
        <f t="shared" si="27"/>
        <v>62423.201827242439</v>
      </c>
      <c r="G130" s="159">
        <f t="shared" si="28"/>
        <v>65389.166112956722</v>
      </c>
      <c r="H130" s="163">
        <f t="shared" si="29"/>
        <v>13874.845895909468</v>
      </c>
      <c r="I130" s="253">
        <f t="shared" si="30"/>
        <v>13874.845895909468</v>
      </c>
      <c r="J130" s="158">
        <f t="shared" si="20"/>
        <v>0</v>
      </c>
      <c r="K130" s="158"/>
      <c r="L130" s="334"/>
      <c r="M130" s="158">
        <f t="shared" si="22"/>
        <v>0</v>
      </c>
      <c r="N130" s="334"/>
      <c r="O130" s="158">
        <f t="shared" si="24"/>
        <v>0</v>
      </c>
      <c r="P130" s="158">
        <f t="shared" si="25"/>
        <v>0</v>
      </c>
      <c r="Q130" s="1"/>
    </row>
    <row r="131" spans="2:17">
      <c r="B131" s="9" t="str">
        <f t="shared" si="26"/>
        <v/>
      </c>
      <c r="C131" s="153">
        <f>IF(D93="","-",+C130+1)</f>
        <v>2043</v>
      </c>
      <c r="D131" s="154">
        <f>IF(F130+SUM(E$99:E130)=D$92,F130,D$92-SUM(E$99:E130))</f>
        <v>62423.201827242439</v>
      </c>
      <c r="E131" s="160">
        <f>IF(+J96&lt;F130,J96,D131)</f>
        <v>5931.9285714285716</v>
      </c>
      <c r="F131" s="159">
        <f t="shared" si="27"/>
        <v>56491.273255813867</v>
      </c>
      <c r="G131" s="159">
        <f t="shared" ref="G131:G154" si="31">+(F131+D131)/2</f>
        <v>59457.237541528157</v>
      </c>
      <c r="H131" s="163">
        <f t="shared" ref="H131:H154" si="32">+J$94*G131+E131</f>
        <v>13154.285885460778</v>
      </c>
      <c r="I131" s="253">
        <f t="shared" ref="I131:I154" si="33">+J$95*G131+E131</f>
        <v>13154.285885460778</v>
      </c>
      <c r="J131" s="158">
        <f t="shared" ref="J131:J154" si="34">+I131-H131</f>
        <v>0</v>
      </c>
      <c r="K131" s="158"/>
      <c r="L131" s="334"/>
      <c r="M131" s="158">
        <f t="shared" ref="M131:M154" si="35">IF(L131&lt;&gt;0,+H131-L131,0)</f>
        <v>0</v>
      </c>
      <c r="N131" s="334"/>
      <c r="O131" s="158">
        <f t="shared" ref="O131:O154" si="36">IF(N131&lt;&gt;0,+I131-N131,0)</f>
        <v>0</v>
      </c>
      <c r="P131" s="158">
        <f t="shared" ref="P131:P154" si="37">+O131-M131</f>
        <v>0</v>
      </c>
      <c r="Q131" s="1"/>
    </row>
    <row r="132" spans="2:17">
      <c r="B132" s="9" t="str">
        <f t="shared" ref="B132:B154" si="38">IF(D132=F131,"","IU")</f>
        <v/>
      </c>
      <c r="C132" s="153">
        <f>IF(D93="","-",+C131+1)</f>
        <v>2044</v>
      </c>
      <c r="D132" s="154">
        <f>IF(F131+SUM(E$99:E131)=D$92,F131,D$92-SUM(E$99:E131))</f>
        <v>56491.273255813867</v>
      </c>
      <c r="E132" s="160">
        <f>IF(+J96&lt;F131,J96,D132)</f>
        <v>5931.9285714285716</v>
      </c>
      <c r="F132" s="159">
        <f t="shared" ref="F132:F154" si="39">+D132-E132</f>
        <v>50559.344684385294</v>
      </c>
      <c r="G132" s="159">
        <f t="shared" si="31"/>
        <v>53525.308970099577</v>
      </c>
      <c r="H132" s="163">
        <f t="shared" si="32"/>
        <v>12433.725875012087</v>
      </c>
      <c r="I132" s="253">
        <f t="shared" si="33"/>
        <v>12433.725875012087</v>
      </c>
      <c r="J132" s="158">
        <f t="shared" si="34"/>
        <v>0</v>
      </c>
      <c r="K132" s="158"/>
      <c r="L132" s="334"/>
      <c r="M132" s="158">
        <f t="shared" si="35"/>
        <v>0</v>
      </c>
      <c r="N132" s="334"/>
      <c r="O132" s="158">
        <f t="shared" si="36"/>
        <v>0</v>
      </c>
      <c r="P132" s="158">
        <f t="shared" si="37"/>
        <v>0</v>
      </c>
      <c r="Q132" s="1"/>
    </row>
    <row r="133" spans="2:17">
      <c r="B133" s="9" t="str">
        <f t="shared" si="38"/>
        <v/>
      </c>
      <c r="C133" s="153">
        <f>IF(D93="","-",+C132+1)</f>
        <v>2045</v>
      </c>
      <c r="D133" s="154">
        <f>IF(F132+SUM(E$99:E132)=D$92,F132,D$92-SUM(E$99:E132))</f>
        <v>50559.344684385294</v>
      </c>
      <c r="E133" s="160">
        <f>IF(+J96&lt;F132,J96,D133)</f>
        <v>5931.9285714285716</v>
      </c>
      <c r="F133" s="159">
        <f t="shared" si="39"/>
        <v>44627.416112956722</v>
      </c>
      <c r="G133" s="159">
        <f t="shared" si="31"/>
        <v>47593.380398671012</v>
      </c>
      <c r="H133" s="163">
        <f t="shared" si="32"/>
        <v>11713.165864563398</v>
      </c>
      <c r="I133" s="253">
        <f t="shared" si="33"/>
        <v>11713.165864563398</v>
      </c>
      <c r="J133" s="158">
        <f t="shared" si="34"/>
        <v>0</v>
      </c>
      <c r="K133" s="158"/>
      <c r="L133" s="334"/>
      <c r="M133" s="158">
        <f t="shared" si="35"/>
        <v>0</v>
      </c>
      <c r="N133" s="334"/>
      <c r="O133" s="158">
        <f t="shared" si="36"/>
        <v>0</v>
      </c>
      <c r="P133" s="158">
        <f t="shared" si="37"/>
        <v>0</v>
      </c>
      <c r="Q133" s="1"/>
    </row>
    <row r="134" spans="2:17">
      <c r="B134" s="9" t="str">
        <f t="shared" si="38"/>
        <v/>
      </c>
      <c r="C134" s="153">
        <f>IF(D93="","-",+C133+1)</f>
        <v>2046</v>
      </c>
      <c r="D134" s="154">
        <f>IF(F133+SUM(E$99:E133)=D$92,F133,D$92-SUM(E$99:E133))</f>
        <v>44627.416112956722</v>
      </c>
      <c r="E134" s="160">
        <f>IF(+J96&lt;F133,J96,D134)</f>
        <v>5931.9285714285716</v>
      </c>
      <c r="F134" s="159">
        <f t="shared" si="39"/>
        <v>38695.487541528149</v>
      </c>
      <c r="G134" s="159">
        <f t="shared" si="31"/>
        <v>41661.451827242432</v>
      </c>
      <c r="H134" s="163">
        <f t="shared" si="32"/>
        <v>10992.605854114707</v>
      </c>
      <c r="I134" s="253">
        <f t="shared" si="33"/>
        <v>10992.605854114707</v>
      </c>
      <c r="J134" s="158">
        <f t="shared" si="34"/>
        <v>0</v>
      </c>
      <c r="K134" s="158"/>
      <c r="L134" s="334"/>
      <c r="M134" s="158">
        <f t="shared" si="35"/>
        <v>0</v>
      </c>
      <c r="N134" s="334"/>
      <c r="O134" s="158">
        <f t="shared" si="36"/>
        <v>0</v>
      </c>
      <c r="P134" s="158">
        <f t="shared" si="37"/>
        <v>0</v>
      </c>
      <c r="Q134" s="1"/>
    </row>
    <row r="135" spans="2:17">
      <c r="B135" s="9" t="str">
        <f t="shared" si="38"/>
        <v/>
      </c>
      <c r="C135" s="153">
        <f>IF(D93="","-",+C134+1)</f>
        <v>2047</v>
      </c>
      <c r="D135" s="154">
        <f>IF(F134+SUM(E$99:E134)=D$92,F134,D$92-SUM(E$99:E134))</f>
        <v>38695.487541528149</v>
      </c>
      <c r="E135" s="160">
        <f>IF(+J96&lt;F134,J96,D135)</f>
        <v>5931.9285714285716</v>
      </c>
      <c r="F135" s="159">
        <f t="shared" si="39"/>
        <v>32763.558970099577</v>
      </c>
      <c r="G135" s="159">
        <f t="shared" si="31"/>
        <v>35729.523255813867</v>
      </c>
      <c r="H135" s="163">
        <f t="shared" si="32"/>
        <v>10272.045843666019</v>
      </c>
      <c r="I135" s="253">
        <f t="shared" si="33"/>
        <v>10272.045843666019</v>
      </c>
      <c r="J135" s="158">
        <f t="shared" si="34"/>
        <v>0</v>
      </c>
      <c r="K135" s="158"/>
      <c r="L135" s="334"/>
      <c r="M135" s="158">
        <f t="shared" si="35"/>
        <v>0</v>
      </c>
      <c r="N135" s="334"/>
      <c r="O135" s="158">
        <f t="shared" si="36"/>
        <v>0</v>
      </c>
      <c r="P135" s="158">
        <f t="shared" si="37"/>
        <v>0</v>
      </c>
      <c r="Q135" s="1"/>
    </row>
    <row r="136" spans="2:17">
      <c r="B136" s="9" t="str">
        <f t="shared" si="38"/>
        <v/>
      </c>
      <c r="C136" s="153">
        <f>IF(D93="","-",+C135+1)</f>
        <v>2048</v>
      </c>
      <c r="D136" s="154">
        <f>IF(F135+SUM(E$99:E135)=D$92,F135,D$92-SUM(E$99:E135))</f>
        <v>32763.558970099577</v>
      </c>
      <c r="E136" s="160">
        <f>IF(+J96&lt;F135,J96,D136)</f>
        <v>5931.9285714285716</v>
      </c>
      <c r="F136" s="159">
        <f t="shared" si="39"/>
        <v>26831.630398671005</v>
      </c>
      <c r="G136" s="159">
        <f t="shared" si="31"/>
        <v>29797.594684385291</v>
      </c>
      <c r="H136" s="163">
        <f t="shared" si="32"/>
        <v>9551.485833217328</v>
      </c>
      <c r="I136" s="253">
        <f t="shared" si="33"/>
        <v>9551.485833217328</v>
      </c>
      <c r="J136" s="158">
        <f t="shared" si="34"/>
        <v>0</v>
      </c>
      <c r="K136" s="158"/>
      <c r="L136" s="334"/>
      <c r="M136" s="158">
        <f t="shared" si="35"/>
        <v>0</v>
      </c>
      <c r="N136" s="334"/>
      <c r="O136" s="158">
        <f t="shared" si="36"/>
        <v>0</v>
      </c>
      <c r="P136" s="158">
        <f t="shared" si="37"/>
        <v>0</v>
      </c>
      <c r="Q136" s="1"/>
    </row>
    <row r="137" spans="2:17">
      <c r="B137" s="9" t="str">
        <f t="shared" si="38"/>
        <v/>
      </c>
      <c r="C137" s="153">
        <f>IF(D93="","-",+C136+1)</f>
        <v>2049</v>
      </c>
      <c r="D137" s="154">
        <f>IF(F136+SUM(E$99:E136)=D$92,F136,D$92-SUM(E$99:E136))</f>
        <v>26831.630398671005</v>
      </c>
      <c r="E137" s="160">
        <f>IF(+J96&lt;F136,J96,D137)</f>
        <v>5931.9285714285716</v>
      </c>
      <c r="F137" s="159">
        <f t="shared" si="39"/>
        <v>20899.701827242432</v>
      </c>
      <c r="G137" s="159">
        <f t="shared" si="31"/>
        <v>23865.666112956718</v>
      </c>
      <c r="H137" s="163">
        <f t="shared" si="32"/>
        <v>8830.9258227686387</v>
      </c>
      <c r="I137" s="253">
        <f t="shared" si="33"/>
        <v>8830.9258227686387</v>
      </c>
      <c r="J137" s="158">
        <f t="shared" si="34"/>
        <v>0</v>
      </c>
      <c r="K137" s="158"/>
      <c r="L137" s="334"/>
      <c r="M137" s="158">
        <f t="shared" si="35"/>
        <v>0</v>
      </c>
      <c r="N137" s="334"/>
      <c r="O137" s="158">
        <f t="shared" si="36"/>
        <v>0</v>
      </c>
      <c r="P137" s="158">
        <f t="shared" si="37"/>
        <v>0</v>
      </c>
      <c r="Q137" s="1"/>
    </row>
    <row r="138" spans="2:17">
      <c r="B138" s="9" t="str">
        <f t="shared" si="38"/>
        <v/>
      </c>
      <c r="C138" s="153">
        <f>IF(D93="","-",+C137+1)</f>
        <v>2050</v>
      </c>
      <c r="D138" s="154">
        <f>IF(F137+SUM(E$99:E137)=D$92,F137,D$92-SUM(E$99:E137))</f>
        <v>20899.701827242432</v>
      </c>
      <c r="E138" s="160">
        <f>IF(+J96&lt;F137,J96,D138)</f>
        <v>5931.9285714285716</v>
      </c>
      <c r="F138" s="159">
        <f t="shared" si="39"/>
        <v>14967.77325581386</v>
      </c>
      <c r="G138" s="159">
        <f t="shared" si="31"/>
        <v>17933.737541528146</v>
      </c>
      <c r="H138" s="163">
        <f t="shared" si="32"/>
        <v>8110.3658123199475</v>
      </c>
      <c r="I138" s="253">
        <f t="shared" si="33"/>
        <v>8110.3658123199475</v>
      </c>
      <c r="J138" s="158">
        <f t="shared" si="34"/>
        <v>0</v>
      </c>
      <c r="K138" s="158"/>
      <c r="L138" s="334"/>
      <c r="M138" s="158">
        <f t="shared" si="35"/>
        <v>0</v>
      </c>
      <c r="N138" s="334"/>
      <c r="O138" s="158">
        <f t="shared" si="36"/>
        <v>0</v>
      </c>
      <c r="P138" s="158">
        <f t="shared" si="37"/>
        <v>0</v>
      </c>
      <c r="Q138" s="1"/>
    </row>
    <row r="139" spans="2:17">
      <c r="B139" s="9" t="str">
        <f t="shared" si="38"/>
        <v/>
      </c>
      <c r="C139" s="153">
        <f>IF(D93="","-",+C138+1)</f>
        <v>2051</v>
      </c>
      <c r="D139" s="154">
        <f>IF(F138+SUM(E$99:E138)=D$92,F138,D$92-SUM(E$99:E138))</f>
        <v>14967.77325581386</v>
      </c>
      <c r="E139" s="160">
        <f>IF(+J96&lt;F138,J96,D139)</f>
        <v>5931.9285714285716</v>
      </c>
      <c r="F139" s="159">
        <f t="shared" si="39"/>
        <v>9035.8446843852871</v>
      </c>
      <c r="G139" s="159">
        <f t="shared" si="31"/>
        <v>12001.808970099573</v>
      </c>
      <c r="H139" s="163">
        <f t="shared" si="32"/>
        <v>7389.8058018712582</v>
      </c>
      <c r="I139" s="253">
        <f t="shared" si="33"/>
        <v>7389.8058018712582</v>
      </c>
      <c r="J139" s="158">
        <f t="shared" si="34"/>
        <v>0</v>
      </c>
      <c r="K139" s="158"/>
      <c r="L139" s="334"/>
      <c r="M139" s="158">
        <f t="shared" si="35"/>
        <v>0</v>
      </c>
      <c r="N139" s="334"/>
      <c r="O139" s="158">
        <f t="shared" si="36"/>
        <v>0</v>
      </c>
      <c r="P139" s="158">
        <f t="shared" si="37"/>
        <v>0</v>
      </c>
      <c r="Q139" s="1"/>
    </row>
    <row r="140" spans="2:17">
      <c r="B140" s="9" t="str">
        <f t="shared" si="38"/>
        <v/>
      </c>
      <c r="C140" s="153">
        <f>IF(D93="","-",+C139+1)</f>
        <v>2052</v>
      </c>
      <c r="D140" s="154">
        <f>IF(F139+SUM(E$99:E139)=D$92,F139,D$92-SUM(E$99:E139))</f>
        <v>9035.8446843852871</v>
      </c>
      <c r="E140" s="160">
        <f>IF(+J96&lt;F139,J96,D140)</f>
        <v>5931.9285714285716</v>
      </c>
      <c r="F140" s="159">
        <f t="shared" si="39"/>
        <v>3103.9161129567156</v>
      </c>
      <c r="G140" s="159">
        <f t="shared" si="31"/>
        <v>6069.8803986710009</v>
      </c>
      <c r="H140" s="163">
        <f t="shared" si="32"/>
        <v>6669.2457914225679</v>
      </c>
      <c r="I140" s="253">
        <f t="shared" si="33"/>
        <v>6669.2457914225679</v>
      </c>
      <c r="J140" s="158">
        <f t="shared" si="34"/>
        <v>0</v>
      </c>
      <c r="K140" s="158"/>
      <c r="L140" s="334"/>
      <c r="M140" s="158">
        <f t="shared" si="35"/>
        <v>0</v>
      </c>
      <c r="N140" s="334"/>
      <c r="O140" s="158">
        <f t="shared" si="36"/>
        <v>0</v>
      </c>
      <c r="P140" s="158">
        <f t="shared" si="37"/>
        <v>0</v>
      </c>
      <c r="Q140" s="1"/>
    </row>
    <row r="141" spans="2:17">
      <c r="B141" s="9" t="str">
        <f t="shared" si="38"/>
        <v/>
      </c>
      <c r="C141" s="153">
        <f>IF(D93="","-",+C140+1)</f>
        <v>2053</v>
      </c>
      <c r="D141" s="154">
        <f>IF(F140+SUM(E$99:E140)=D$92,F140,D$92-SUM(E$99:E140))</f>
        <v>3103.9161129567156</v>
      </c>
      <c r="E141" s="160">
        <f>IF(+J96&lt;F140,J96,D141)</f>
        <v>3103.9161129567156</v>
      </c>
      <c r="F141" s="159">
        <f t="shared" si="39"/>
        <v>0</v>
      </c>
      <c r="G141" s="159">
        <f t="shared" si="31"/>
        <v>1551.9580564783578</v>
      </c>
      <c r="H141" s="163">
        <f t="shared" si="32"/>
        <v>3292.4347203415414</v>
      </c>
      <c r="I141" s="253">
        <f t="shared" si="33"/>
        <v>3292.4347203415414</v>
      </c>
      <c r="J141" s="158">
        <f t="shared" si="34"/>
        <v>0</v>
      </c>
      <c r="K141" s="158"/>
      <c r="L141" s="334"/>
      <c r="M141" s="158">
        <f t="shared" si="35"/>
        <v>0</v>
      </c>
      <c r="N141" s="334"/>
      <c r="O141" s="158">
        <f t="shared" si="36"/>
        <v>0</v>
      </c>
      <c r="P141" s="158">
        <f t="shared" si="37"/>
        <v>0</v>
      </c>
      <c r="Q141" s="1"/>
    </row>
    <row r="142" spans="2:17">
      <c r="B142" s="9" t="str">
        <f t="shared" si="38"/>
        <v/>
      </c>
      <c r="C142" s="153">
        <f>IF(D93="","-",+C141+1)</f>
        <v>2054</v>
      </c>
      <c r="D142" s="154">
        <f>IF(F141+SUM(E$99:E141)=D$92,F141,D$92-SUM(E$99:E141))</f>
        <v>0</v>
      </c>
      <c r="E142" s="160">
        <f>IF(+J96&lt;F141,J96,D142)</f>
        <v>0</v>
      </c>
      <c r="F142" s="159">
        <f t="shared" si="39"/>
        <v>0</v>
      </c>
      <c r="G142" s="159">
        <f t="shared" si="31"/>
        <v>0</v>
      </c>
      <c r="H142" s="163">
        <f t="shared" si="32"/>
        <v>0</v>
      </c>
      <c r="I142" s="253">
        <f t="shared" si="33"/>
        <v>0</v>
      </c>
      <c r="J142" s="158">
        <f t="shared" si="34"/>
        <v>0</v>
      </c>
      <c r="K142" s="158"/>
      <c r="L142" s="334"/>
      <c r="M142" s="158">
        <f t="shared" si="35"/>
        <v>0</v>
      </c>
      <c r="N142" s="334"/>
      <c r="O142" s="158">
        <f t="shared" si="36"/>
        <v>0</v>
      </c>
      <c r="P142" s="158">
        <f t="shared" si="37"/>
        <v>0</v>
      </c>
      <c r="Q142" s="1"/>
    </row>
    <row r="143" spans="2:17">
      <c r="B143" s="9" t="str">
        <f t="shared" si="38"/>
        <v/>
      </c>
      <c r="C143" s="153">
        <f>IF(D93="","-",+C142+1)</f>
        <v>2055</v>
      </c>
      <c r="D143" s="154">
        <f>IF(F142+SUM(E$99:E142)=D$92,F142,D$92-SUM(E$99:E142))</f>
        <v>0</v>
      </c>
      <c r="E143" s="160">
        <f>IF(+J96&lt;F142,J96,D143)</f>
        <v>0</v>
      </c>
      <c r="F143" s="159">
        <f t="shared" si="39"/>
        <v>0</v>
      </c>
      <c r="G143" s="159">
        <f t="shared" si="31"/>
        <v>0</v>
      </c>
      <c r="H143" s="163">
        <f t="shared" si="32"/>
        <v>0</v>
      </c>
      <c r="I143" s="253">
        <f t="shared" si="33"/>
        <v>0</v>
      </c>
      <c r="J143" s="158">
        <f t="shared" si="34"/>
        <v>0</v>
      </c>
      <c r="K143" s="158"/>
      <c r="L143" s="334"/>
      <c r="M143" s="158">
        <f t="shared" si="35"/>
        <v>0</v>
      </c>
      <c r="N143" s="334"/>
      <c r="O143" s="158">
        <f t="shared" si="36"/>
        <v>0</v>
      </c>
      <c r="P143" s="158">
        <f t="shared" si="37"/>
        <v>0</v>
      </c>
      <c r="Q143" s="1"/>
    </row>
    <row r="144" spans="2:17">
      <c r="B144" s="9" t="str">
        <f t="shared" si="38"/>
        <v/>
      </c>
      <c r="C144" s="153">
        <f>IF(D93="","-",+C143+1)</f>
        <v>2056</v>
      </c>
      <c r="D144" s="154">
        <f>IF(F143+SUM(E$99:E143)=D$92,F143,D$92-SUM(E$99:E143))</f>
        <v>0</v>
      </c>
      <c r="E144" s="160">
        <f>IF(+J96&lt;F143,J96,D144)</f>
        <v>0</v>
      </c>
      <c r="F144" s="159">
        <f t="shared" si="39"/>
        <v>0</v>
      </c>
      <c r="G144" s="159">
        <f t="shared" si="31"/>
        <v>0</v>
      </c>
      <c r="H144" s="163">
        <f t="shared" si="32"/>
        <v>0</v>
      </c>
      <c r="I144" s="253">
        <f t="shared" si="33"/>
        <v>0</v>
      </c>
      <c r="J144" s="158">
        <f t="shared" si="34"/>
        <v>0</v>
      </c>
      <c r="K144" s="158"/>
      <c r="L144" s="334"/>
      <c r="M144" s="158">
        <f t="shared" si="35"/>
        <v>0</v>
      </c>
      <c r="N144" s="334"/>
      <c r="O144" s="158">
        <f t="shared" si="36"/>
        <v>0</v>
      </c>
      <c r="P144" s="158">
        <f t="shared" si="37"/>
        <v>0</v>
      </c>
      <c r="Q144" s="1"/>
    </row>
    <row r="145" spans="2:17">
      <c r="B145" s="9" t="str">
        <f t="shared" si="38"/>
        <v/>
      </c>
      <c r="C145" s="153">
        <f>IF(D93="","-",+C144+1)</f>
        <v>2057</v>
      </c>
      <c r="D145" s="154">
        <f>IF(F144+SUM(E$99:E144)=D$92,F144,D$92-SUM(E$99:E144))</f>
        <v>0</v>
      </c>
      <c r="E145" s="160">
        <f>IF(+J96&lt;F144,J96,D145)</f>
        <v>0</v>
      </c>
      <c r="F145" s="159">
        <f t="shared" si="39"/>
        <v>0</v>
      </c>
      <c r="G145" s="159">
        <f t="shared" si="31"/>
        <v>0</v>
      </c>
      <c r="H145" s="163">
        <f t="shared" si="32"/>
        <v>0</v>
      </c>
      <c r="I145" s="253">
        <f t="shared" si="33"/>
        <v>0</v>
      </c>
      <c r="J145" s="158">
        <f t="shared" si="34"/>
        <v>0</v>
      </c>
      <c r="K145" s="158"/>
      <c r="L145" s="334"/>
      <c r="M145" s="158">
        <f t="shared" si="35"/>
        <v>0</v>
      </c>
      <c r="N145" s="334"/>
      <c r="O145" s="158">
        <f t="shared" si="36"/>
        <v>0</v>
      </c>
      <c r="P145" s="158">
        <f t="shared" si="37"/>
        <v>0</v>
      </c>
      <c r="Q145" s="1"/>
    </row>
    <row r="146" spans="2:17">
      <c r="B146" s="9" t="str">
        <f t="shared" si="38"/>
        <v/>
      </c>
      <c r="C146" s="153">
        <f>IF(D93="","-",+C145+1)</f>
        <v>2058</v>
      </c>
      <c r="D146" s="154">
        <f>IF(F145+SUM(E$99:E145)=D$92,F145,D$92-SUM(E$99:E145))</f>
        <v>0</v>
      </c>
      <c r="E146" s="160">
        <f>IF(+J96&lt;F145,J96,D146)</f>
        <v>0</v>
      </c>
      <c r="F146" s="159">
        <f t="shared" si="39"/>
        <v>0</v>
      </c>
      <c r="G146" s="159">
        <f t="shared" si="31"/>
        <v>0</v>
      </c>
      <c r="H146" s="163">
        <f t="shared" si="32"/>
        <v>0</v>
      </c>
      <c r="I146" s="253">
        <f t="shared" si="33"/>
        <v>0</v>
      </c>
      <c r="J146" s="158">
        <f t="shared" si="34"/>
        <v>0</v>
      </c>
      <c r="K146" s="158"/>
      <c r="L146" s="334"/>
      <c r="M146" s="158">
        <f t="shared" si="35"/>
        <v>0</v>
      </c>
      <c r="N146" s="334"/>
      <c r="O146" s="158">
        <f t="shared" si="36"/>
        <v>0</v>
      </c>
      <c r="P146" s="158">
        <f t="shared" si="37"/>
        <v>0</v>
      </c>
      <c r="Q146" s="1"/>
    </row>
    <row r="147" spans="2:17">
      <c r="B147" s="9" t="str">
        <f t="shared" si="38"/>
        <v/>
      </c>
      <c r="C147" s="153">
        <f>IF(D93="","-",+C146+1)</f>
        <v>2059</v>
      </c>
      <c r="D147" s="154">
        <f>IF(F146+SUM(E$99:E146)=D$92,F146,D$92-SUM(E$99:E146))</f>
        <v>0</v>
      </c>
      <c r="E147" s="160">
        <f>IF(+J96&lt;F146,J96,D147)</f>
        <v>0</v>
      </c>
      <c r="F147" s="159">
        <f t="shared" si="39"/>
        <v>0</v>
      </c>
      <c r="G147" s="159">
        <f t="shared" si="31"/>
        <v>0</v>
      </c>
      <c r="H147" s="163">
        <f t="shared" si="32"/>
        <v>0</v>
      </c>
      <c r="I147" s="253">
        <f t="shared" si="33"/>
        <v>0</v>
      </c>
      <c r="J147" s="158">
        <f t="shared" si="34"/>
        <v>0</v>
      </c>
      <c r="K147" s="158"/>
      <c r="L147" s="334"/>
      <c r="M147" s="158">
        <f t="shared" si="35"/>
        <v>0</v>
      </c>
      <c r="N147" s="334"/>
      <c r="O147" s="158">
        <f t="shared" si="36"/>
        <v>0</v>
      </c>
      <c r="P147" s="158">
        <f t="shared" si="37"/>
        <v>0</v>
      </c>
      <c r="Q147" s="1"/>
    </row>
    <row r="148" spans="2:17">
      <c r="B148" s="9" t="str">
        <f t="shared" si="38"/>
        <v/>
      </c>
      <c r="C148" s="153">
        <f>IF(D93="","-",+C147+1)</f>
        <v>2060</v>
      </c>
      <c r="D148" s="154">
        <f>IF(F147+SUM(E$99:E147)=D$92,F147,D$92-SUM(E$99:E147))</f>
        <v>0</v>
      </c>
      <c r="E148" s="160">
        <f>IF(+J96&lt;F147,J96,D148)</f>
        <v>0</v>
      </c>
      <c r="F148" s="159">
        <f t="shared" si="39"/>
        <v>0</v>
      </c>
      <c r="G148" s="159">
        <f t="shared" si="31"/>
        <v>0</v>
      </c>
      <c r="H148" s="163">
        <f t="shared" si="32"/>
        <v>0</v>
      </c>
      <c r="I148" s="253">
        <f t="shared" si="33"/>
        <v>0</v>
      </c>
      <c r="J148" s="158">
        <f t="shared" si="34"/>
        <v>0</v>
      </c>
      <c r="K148" s="158"/>
      <c r="L148" s="334"/>
      <c r="M148" s="158">
        <f t="shared" si="35"/>
        <v>0</v>
      </c>
      <c r="N148" s="334"/>
      <c r="O148" s="158">
        <f t="shared" si="36"/>
        <v>0</v>
      </c>
      <c r="P148" s="158">
        <f t="shared" si="37"/>
        <v>0</v>
      </c>
      <c r="Q148" s="1"/>
    </row>
    <row r="149" spans="2:17">
      <c r="B149" s="9" t="str">
        <f t="shared" si="38"/>
        <v/>
      </c>
      <c r="C149" s="153">
        <f>IF(D93="","-",+C148+1)</f>
        <v>2061</v>
      </c>
      <c r="D149" s="154">
        <f>IF(F148+SUM(E$99:E148)=D$92,F148,D$92-SUM(E$99:E148))</f>
        <v>0</v>
      </c>
      <c r="E149" s="160">
        <f>IF(+J96&lt;F148,J96,D149)</f>
        <v>0</v>
      </c>
      <c r="F149" s="159">
        <f t="shared" si="39"/>
        <v>0</v>
      </c>
      <c r="G149" s="159">
        <f t="shared" si="31"/>
        <v>0</v>
      </c>
      <c r="H149" s="163">
        <f t="shared" si="32"/>
        <v>0</v>
      </c>
      <c r="I149" s="253">
        <f t="shared" si="33"/>
        <v>0</v>
      </c>
      <c r="J149" s="158">
        <f t="shared" si="34"/>
        <v>0</v>
      </c>
      <c r="K149" s="158"/>
      <c r="L149" s="334"/>
      <c r="M149" s="158">
        <f t="shared" si="35"/>
        <v>0</v>
      </c>
      <c r="N149" s="334"/>
      <c r="O149" s="158">
        <f t="shared" si="36"/>
        <v>0</v>
      </c>
      <c r="P149" s="158">
        <f t="shared" si="37"/>
        <v>0</v>
      </c>
      <c r="Q149" s="1"/>
    </row>
    <row r="150" spans="2:17">
      <c r="B150" s="9" t="str">
        <f t="shared" si="38"/>
        <v/>
      </c>
      <c r="C150" s="153">
        <f>IF(D93="","-",+C149+1)</f>
        <v>2062</v>
      </c>
      <c r="D150" s="154">
        <f>IF(F149+SUM(E$99:E149)=D$92,F149,D$92-SUM(E$99:E149))</f>
        <v>0</v>
      </c>
      <c r="E150" s="160">
        <f>IF(+J96&lt;F149,J96,D150)</f>
        <v>0</v>
      </c>
      <c r="F150" s="159">
        <f t="shared" si="39"/>
        <v>0</v>
      </c>
      <c r="G150" s="159">
        <f t="shared" si="31"/>
        <v>0</v>
      </c>
      <c r="H150" s="163">
        <f t="shared" si="32"/>
        <v>0</v>
      </c>
      <c r="I150" s="253">
        <f t="shared" si="33"/>
        <v>0</v>
      </c>
      <c r="J150" s="158">
        <f t="shared" si="34"/>
        <v>0</v>
      </c>
      <c r="K150" s="158"/>
      <c r="L150" s="334"/>
      <c r="M150" s="158">
        <f t="shared" si="35"/>
        <v>0</v>
      </c>
      <c r="N150" s="334"/>
      <c r="O150" s="158">
        <f t="shared" si="36"/>
        <v>0</v>
      </c>
      <c r="P150" s="158">
        <f t="shared" si="37"/>
        <v>0</v>
      </c>
      <c r="Q150" s="1"/>
    </row>
    <row r="151" spans="2:17">
      <c r="B151" s="9" t="str">
        <f t="shared" si="38"/>
        <v/>
      </c>
      <c r="C151" s="153">
        <f>IF(D93="","-",+C150+1)</f>
        <v>2063</v>
      </c>
      <c r="D151" s="154">
        <f>IF(F150+SUM(E$99:E150)=D$92,F150,D$92-SUM(E$99:E150))</f>
        <v>0</v>
      </c>
      <c r="E151" s="160">
        <f>IF(+J96&lt;F150,J96,D151)</f>
        <v>0</v>
      </c>
      <c r="F151" s="159">
        <f t="shared" si="39"/>
        <v>0</v>
      </c>
      <c r="G151" s="159">
        <f t="shared" si="31"/>
        <v>0</v>
      </c>
      <c r="H151" s="163">
        <f t="shared" si="32"/>
        <v>0</v>
      </c>
      <c r="I151" s="253">
        <f t="shared" si="33"/>
        <v>0</v>
      </c>
      <c r="J151" s="158">
        <f t="shared" si="34"/>
        <v>0</v>
      </c>
      <c r="K151" s="158"/>
      <c r="L151" s="334"/>
      <c r="M151" s="158">
        <f t="shared" si="35"/>
        <v>0</v>
      </c>
      <c r="N151" s="334"/>
      <c r="O151" s="158">
        <f t="shared" si="36"/>
        <v>0</v>
      </c>
      <c r="P151" s="158">
        <f t="shared" si="37"/>
        <v>0</v>
      </c>
      <c r="Q151" s="1"/>
    </row>
    <row r="152" spans="2:17">
      <c r="B152" s="9" t="str">
        <f t="shared" si="38"/>
        <v/>
      </c>
      <c r="C152" s="153">
        <f>IF(D93="","-",+C151+1)</f>
        <v>2064</v>
      </c>
      <c r="D152" s="154">
        <f>IF(F151+SUM(E$99:E151)=D$92,F151,D$92-SUM(E$99:E151))</f>
        <v>0</v>
      </c>
      <c r="E152" s="160">
        <f>IF(+J96&lt;F151,J96,D152)</f>
        <v>0</v>
      </c>
      <c r="F152" s="159">
        <f t="shared" si="39"/>
        <v>0</v>
      </c>
      <c r="G152" s="159">
        <f t="shared" si="31"/>
        <v>0</v>
      </c>
      <c r="H152" s="163">
        <f t="shared" si="32"/>
        <v>0</v>
      </c>
      <c r="I152" s="253">
        <f t="shared" si="33"/>
        <v>0</v>
      </c>
      <c r="J152" s="158">
        <f t="shared" si="34"/>
        <v>0</v>
      </c>
      <c r="K152" s="158"/>
      <c r="L152" s="334"/>
      <c r="M152" s="158">
        <f t="shared" si="35"/>
        <v>0</v>
      </c>
      <c r="N152" s="334"/>
      <c r="O152" s="158">
        <f t="shared" si="36"/>
        <v>0</v>
      </c>
      <c r="P152" s="158">
        <f t="shared" si="37"/>
        <v>0</v>
      </c>
      <c r="Q152" s="1"/>
    </row>
    <row r="153" spans="2:17">
      <c r="B153" s="9" t="str">
        <f t="shared" si="38"/>
        <v/>
      </c>
      <c r="C153" s="153">
        <f>IF(D93="","-",+C152+1)</f>
        <v>2065</v>
      </c>
      <c r="D153" s="154">
        <f>IF(F152+SUM(E$99:E152)=D$92,F152,D$92-SUM(E$99:E152))</f>
        <v>0</v>
      </c>
      <c r="E153" s="160">
        <f>IF(+J96&lt;F152,J96,D153)</f>
        <v>0</v>
      </c>
      <c r="F153" s="159">
        <f t="shared" si="39"/>
        <v>0</v>
      </c>
      <c r="G153" s="159">
        <f t="shared" si="31"/>
        <v>0</v>
      </c>
      <c r="H153" s="163">
        <f t="shared" si="32"/>
        <v>0</v>
      </c>
      <c r="I153" s="253">
        <f t="shared" si="33"/>
        <v>0</v>
      </c>
      <c r="J153" s="158">
        <f t="shared" si="34"/>
        <v>0</v>
      </c>
      <c r="K153" s="158"/>
      <c r="L153" s="334"/>
      <c r="M153" s="158">
        <f t="shared" si="35"/>
        <v>0</v>
      </c>
      <c r="N153" s="334"/>
      <c r="O153" s="158">
        <f t="shared" si="36"/>
        <v>0</v>
      </c>
      <c r="P153" s="158">
        <f t="shared" si="37"/>
        <v>0</v>
      </c>
      <c r="Q153" s="1"/>
    </row>
    <row r="154" spans="2:17" ht="13.5" thickBot="1">
      <c r="B154" s="9" t="str">
        <f t="shared" si="38"/>
        <v/>
      </c>
      <c r="C154" s="164">
        <f>IF(D93="","-",+C153+1)</f>
        <v>2066</v>
      </c>
      <c r="D154" s="215">
        <f>IF(F153+SUM(E$99:E153)=D$92,F153,D$92-SUM(E$99:E153))</f>
        <v>0</v>
      </c>
      <c r="E154" s="166">
        <f>IF(+J96&lt;F153,J96,D154)</f>
        <v>0</v>
      </c>
      <c r="F154" s="165">
        <f t="shared" si="39"/>
        <v>0</v>
      </c>
      <c r="G154" s="165">
        <f t="shared" si="31"/>
        <v>0</v>
      </c>
      <c r="H154" s="167">
        <f t="shared" si="32"/>
        <v>0</v>
      </c>
      <c r="I154" s="254">
        <f t="shared" si="33"/>
        <v>0</v>
      </c>
      <c r="J154" s="169">
        <f t="shared" si="34"/>
        <v>0</v>
      </c>
      <c r="K154" s="158"/>
      <c r="L154" s="335"/>
      <c r="M154" s="169">
        <f t="shared" si="35"/>
        <v>0</v>
      </c>
      <c r="N154" s="335"/>
      <c r="O154" s="169">
        <f t="shared" si="36"/>
        <v>0</v>
      </c>
      <c r="P154" s="169">
        <f t="shared" si="37"/>
        <v>0</v>
      </c>
      <c r="Q154" s="1"/>
    </row>
    <row r="155" spans="2:17">
      <c r="C155" s="154" t="s">
        <v>73</v>
      </c>
      <c r="D155" s="111"/>
      <c r="E155" s="111">
        <f>SUM(E99:E154)</f>
        <v>249141</v>
      </c>
      <c r="F155" s="111"/>
      <c r="G155" s="111"/>
      <c r="H155" s="111">
        <f>SUM(H99:H154)</f>
        <v>905246.04343054292</v>
      </c>
      <c r="I155" s="111">
        <f>SUM(I99:I154)</f>
        <v>905246.04343054292</v>
      </c>
      <c r="J155" s="111">
        <f>SUM(J99:J154)</f>
        <v>0</v>
      </c>
      <c r="K155" s="111"/>
      <c r="L155" s="111"/>
      <c r="M155" s="111"/>
      <c r="N155" s="111"/>
      <c r="O155" s="111"/>
      <c r="P155" s="1"/>
      <c r="Q155" s="1"/>
    </row>
    <row r="156" spans="2:17">
      <c r="D156" s="2"/>
      <c r="E156" s="1"/>
      <c r="F156" s="1"/>
      <c r="G156" s="1"/>
      <c r="H156" s="1"/>
      <c r="I156" s="3"/>
      <c r="J156" s="3"/>
      <c r="K156" s="111"/>
      <c r="L156" s="3"/>
      <c r="M156" s="3"/>
      <c r="N156" s="3"/>
      <c r="O156" s="3"/>
      <c r="P156" s="1"/>
      <c r="Q156" s="1"/>
    </row>
    <row r="157" spans="2:17">
      <c r="C157" s="216" t="s">
        <v>87</v>
      </c>
      <c r="D157" s="2"/>
      <c r="E157" s="1"/>
      <c r="F157" s="1"/>
      <c r="G157" s="1"/>
      <c r="H157" s="1"/>
      <c r="I157" s="3"/>
      <c r="J157" s="3"/>
      <c r="K157" s="111"/>
      <c r="L157" s="3"/>
      <c r="M157" s="3"/>
      <c r="N157" s="3"/>
      <c r="O157" s="3"/>
      <c r="P157" s="1"/>
      <c r="Q157" s="1"/>
    </row>
    <row r="158" spans="2:17">
      <c r="D158" s="2"/>
      <c r="E158" s="1"/>
      <c r="F158" s="1"/>
      <c r="G158" s="1"/>
      <c r="H158" s="1"/>
      <c r="I158" s="3"/>
      <c r="J158" s="3"/>
      <c r="K158" s="111"/>
      <c r="L158" s="3"/>
      <c r="M158" s="3"/>
      <c r="N158" s="3"/>
      <c r="O158" s="3"/>
      <c r="P158" s="1"/>
      <c r="Q158" s="1"/>
    </row>
    <row r="159" spans="2:17">
      <c r="C159" s="170" t="s">
        <v>92</v>
      </c>
      <c r="D159" s="154"/>
      <c r="E159" s="154"/>
      <c r="F159" s="154"/>
      <c r="G159" s="154"/>
      <c r="H159" s="111"/>
      <c r="I159" s="111"/>
      <c r="J159" s="171"/>
      <c r="K159" s="171"/>
      <c r="L159" s="171"/>
      <c r="M159" s="171"/>
      <c r="N159" s="171"/>
      <c r="O159" s="171"/>
      <c r="P159" s="1"/>
      <c r="Q159" s="1"/>
    </row>
    <row r="160" spans="2:17">
      <c r="C160" s="217" t="s">
        <v>74</v>
      </c>
      <c r="D160" s="154"/>
      <c r="E160" s="154"/>
      <c r="F160" s="154"/>
      <c r="G160" s="154"/>
      <c r="H160" s="111"/>
      <c r="I160" s="111"/>
      <c r="J160" s="171"/>
      <c r="K160" s="171"/>
      <c r="L160" s="171"/>
      <c r="M160" s="171"/>
      <c r="N160" s="171"/>
      <c r="O160" s="171"/>
      <c r="P160" s="1"/>
      <c r="Q160" s="1"/>
    </row>
    <row r="161" spans="3:17">
      <c r="C161" s="217" t="s">
        <v>75</v>
      </c>
      <c r="D161" s="154"/>
      <c r="E161" s="154"/>
      <c r="F161" s="154"/>
      <c r="G161" s="154"/>
      <c r="H161" s="111"/>
      <c r="I161" s="111"/>
      <c r="J161" s="171"/>
      <c r="K161" s="171"/>
      <c r="L161" s="171"/>
      <c r="M161" s="171"/>
      <c r="N161" s="171"/>
      <c r="O161" s="171"/>
      <c r="P161" s="1"/>
      <c r="Q161" s="1"/>
    </row>
    <row r="162" spans="3:17" ht="18">
      <c r="C162" s="217"/>
      <c r="D162" s="154"/>
      <c r="E162" s="154"/>
      <c r="F162" s="154"/>
      <c r="G162" s="154"/>
      <c r="H162" s="111"/>
      <c r="I162" s="111"/>
      <c r="J162" s="171"/>
      <c r="K162" s="171"/>
      <c r="L162" s="171"/>
      <c r="M162" s="171"/>
      <c r="N162" s="171"/>
      <c r="P162" s="237" t="s">
        <v>126</v>
      </c>
      <c r="Q162" s="1"/>
    </row>
  </sheetData>
  <phoneticPr fontId="0" type="noConversion"/>
  <conditionalFormatting sqref="C17:C72">
    <cfRule type="cellIs" dxfId="113" priority="1" stopIfTrue="1" operator="equal">
      <formula>$I$10</formula>
    </cfRule>
  </conditionalFormatting>
  <conditionalFormatting sqref="C99:C154">
    <cfRule type="cellIs" dxfId="112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0"/>
  <dimension ref="A1:S136"/>
  <sheetViews>
    <sheetView topLeftCell="D1" zoomScaleNormal="100" zoomScaleSheetLayoutView="75" workbookViewId="0">
      <selection activeCell="C19" sqref="C19"/>
    </sheetView>
  </sheetViews>
  <sheetFormatPr defaultRowHeight="12.75" customHeight="1"/>
  <cols>
    <col min="1" max="1" width="4.7109375" customWidth="1"/>
    <col min="2" max="2" width="6.7109375" customWidth="1"/>
    <col min="3" max="3" width="20.7109375" customWidth="1"/>
    <col min="4" max="4" width="17.7109375" customWidth="1"/>
    <col min="5" max="5" width="22.7109375" customWidth="1"/>
    <col min="6" max="9" width="17.7109375" customWidth="1"/>
    <col min="10" max="10" width="17.7109375" bestFit="1" customWidth="1"/>
    <col min="11" max="11" width="2.140625" customWidth="1"/>
    <col min="12" max="15" width="17.7109375" customWidth="1"/>
    <col min="16" max="16" width="19.5703125" customWidth="1"/>
    <col min="17" max="17" width="2.140625" customWidth="1"/>
    <col min="18" max="18" width="16.42578125" customWidth="1"/>
    <col min="19" max="19" width="52.42578125" customWidth="1"/>
  </cols>
  <sheetData>
    <row r="1" spans="1:19" ht="18">
      <c r="A1" s="485" t="str">
        <f>SWE.WS.F.BPU.ATRR.Projected!A1</f>
        <v xml:space="preserve">AEP West SPP Member Companies </v>
      </c>
      <c r="B1" s="492"/>
      <c r="C1" s="492"/>
      <c r="D1" s="492"/>
      <c r="E1" s="492"/>
      <c r="F1" s="492"/>
      <c r="G1" s="492"/>
      <c r="H1" s="492"/>
      <c r="I1" s="492"/>
      <c r="J1" s="492"/>
      <c r="K1" s="492"/>
      <c r="Q1" s="7"/>
      <c r="R1" s="7"/>
    </row>
    <row r="2" spans="1:19" ht="18">
      <c r="A2" s="485" t="str">
        <f>SWE.WS.F.BPU.ATRR.Projected!A2</f>
        <v>Actual/Projected 2019 Rate Year Cost of Service Formula Rate</v>
      </c>
      <c r="B2" s="492"/>
      <c r="C2" s="492"/>
      <c r="D2" s="492"/>
      <c r="E2" s="492"/>
      <c r="F2" s="492"/>
      <c r="G2" s="492"/>
      <c r="H2" s="492"/>
      <c r="I2" s="492"/>
      <c r="J2" s="492"/>
      <c r="K2" s="492"/>
      <c r="Q2" s="235" t="s">
        <v>106</v>
      </c>
      <c r="R2" s="7"/>
    </row>
    <row r="3" spans="1:19" ht="18">
      <c r="A3" s="488" t="s">
        <v>121</v>
      </c>
      <c r="B3" s="487"/>
      <c r="C3" s="487"/>
      <c r="D3" s="487"/>
      <c r="E3" s="487"/>
      <c r="F3" s="487"/>
      <c r="G3" s="487"/>
      <c r="H3" s="487"/>
      <c r="I3" s="487"/>
      <c r="J3" s="487"/>
      <c r="K3" s="487"/>
      <c r="Q3" s="7"/>
      <c r="R3" s="7"/>
    </row>
    <row r="4" spans="1:19" ht="18">
      <c r="A4" s="493" t="str">
        <f>SWE.WS.F.BPU.ATRR.Projected!A4</f>
        <v>SOUTHWESTERN ELECTRIC POWER COMPANY</v>
      </c>
      <c r="B4" s="494"/>
      <c r="C4" s="494"/>
      <c r="D4" s="494"/>
      <c r="E4" s="494"/>
      <c r="F4" s="494"/>
      <c r="G4" s="494"/>
      <c r="H4" s="494"/>
      <c r="I4" s="494"/>
      <c r="J4" s="494"/>
      <c r="K4" s="494"/>
      <c r="N4" s="473"/>
      <c r="Q4" s="7"/>
      <c r="R4" s="7"/>
    </row>
    <row r="5" spans="1:19" ht="20.25">
      <c r="A5" s="175"/>
      <c r="C5" s="68"/>
      <c r="D5" s="9"/>
      <c r="I5" s="10"/>
      <c r="K5" s="7"/>
      <c r="Q5" s="7"/>
      <c r="R5" s="7"/>
    </row>
    <row r="6" spans="1:19">
      <c r="D6" s="9"/>
      <c r="I6" s="10"/>
      <c r="K6" s="7"/>
      <c r="Q6" s="7"/>
      <c r="R6" s="7"/>
    </row>
    <row r="7" spans="1:19" ht="36.75" customHeight="1">
      <c r="B7" s="5" t="s">
        <v>0</v>
      </c>
      <c r="C7" s="483" t="str">
        <f>"Calculate Return and Income Taxes with "&amp;F12&amp;" basis point ROE increase for Projects Qualified for Incentive."</f>
        <v>Calculate Return and Income Taxes with 0 basis point ROE increase for Projects Qualified for Incentive.</v>
      </c>
      <c r="D7" s="484"/>
      <c r="E7" s="484"/>
      <c r="F7" s="484"/>
      <c r="G7" s="484"/>
      <c r="H7" s="484"/>
      <c r="I7" s="484"/>
      <c r="K7" s="7"/>
      <c r="L7" s="491" t="s">
        <v>477</v>
      </c>
      <c r="M7" s="491"/>
      <c r="N7" s="491"/>
      <c r="O7" s="491"/>
      <c r="P7" s="491"/>
      <c r="Q7" s="7"/>
      <c r="R7" s="7"/>
    </row>
    <row r="8" spans="1:19" ht="15.75" customHeight="1">
      <c r="C8" s="6"/>
      <c r="D8" s="6"/>
      <c r="E8" s="6"/>
      <c r="F8" s="6"/>
      <c r="G8" s="6"/>
      <c r="H8" s="6"/>
      <c r="I8" s="6"/>
      <c r="K8" s="7"/>
      <c r="L8" s="491"/>
      <c r="M8" s="491"/>
      <c r="N8" s="491"/>
      <c r="O8" s="491"/>
      <c r="P8" s="491"/>
      <c r="Q8" s="7"/>
      <c r="R8" s="7"/>
    </row>
    <row r="9" spans="1:19" ht="15.75">
      <c r="C9" s="8" t="str">
        <f>"A.   Determine 'R' with hypothetical "&amp;F12&amp;" basis point increase in ROE for Identified Projects"</f>
        <v>A.   Determine 'R' with hypothetical 0 basis point increase in ROE for Identified Projects</v>
      </c>
      <c r="D9" s="9"/>
      <c r="I9" s="10"/>
      <c r="K9" s="7"/>
      <c r="L9" s="491"/>
      <c r="M9" s="491"/>
      <c r="N9" s="491"/>
      <c r="O9" s="491"/>
      <c r="P9" s="491"/>
      <c r="Q9" s="7"/>
      <c r="R9" s="7"/>
    </row>
    <row r="10" spans="1:19">
      <c r="D10" s="9"/>
      <c r="I10" s="10"/>
      <c r="K10" s="7"/>
      <c r="Q10" s="7"/>
      <c r="R10" s="7"/>
    </row>
    <row r="11" spans="1:19">
      <c r="C11" s="11" t="str">
        <f>S104</f>
        <v xml:space="preserve">   ROE w/o incentives  (True-Up TCOS, ln 135)</v>
      </c>
      <c r="D11" s="9"/>
      <c r="E11" s="12"/>
      <c r="F11" s="13">
        <f>+R104</f>
        <v>0.112</v>
      </c>
      <c r="G11" s="13"/>
      <c r="H11" s="14"/>
      <c r="I11" s="15"/>
      <c r="J11" s="16"/>
      <c r="K11" s="17"/>
      <c r="L11" s="16"/>
      <c r="M11" s="16"/>
      <c r="N11" s="16"/>
      <c r="O11" s="16"/>
      <c r="P11" s="16"/>
      <c r="Q11" s="17"/>
      <c r="R11" s="4"/>
      <c r="S11" s="1"/>
    </row>
    <row r="12" spans="1:19" ht="15" thickBot="1">
      <c r="C12" s="11" t="s">
        <v>1</v>
      </c>
      <c r="D12" s="9"/>
      <c r="E12" s="12"/>
      <c r="F12" s="460">
        <f>R105</f>
        <v>0</v>
      </c>
      <c r="G12" s="176" t="s">
        <v>150</v>
      </c>
      <c r="L12" s="16"/>
      <c r="M12" s="16"/>
      <c r="N12" s="16"/>
      <c r="O12" s="16"/>
      <c r="P12" s="16"/>
      <c r="Q12" s="17"/>
      <c r="R12" s="4"/>
      <c r="S12" s="1"/>
    </row>
    <row r="13" spans="1:19">
      <c r="C13" s="11" t="str">
        <f>"   ROE with additional "&amp;F12&amp;" basis point incentive"</f>
        <v xml:space="preserve">   ROE with additional 0 basis point incentive</v>
      </c>
      <c r="D13" s="12"/>
      <c r="E13" s="12"/>
      <c r="F13" s="19">
        <f>IF((F11+(F12/10000)&gt;0.1245),"ERROR",F11+(F12/10000))</f>
        <v>0.112</v>
      </c>
      <c r="G13" s="20" t="s">
        <v>476</v>
      </c>
      <c r="I13" s="16"/>
      <c r="J13" s="16"/>
      <c r="K13" s="17"/>
      <c r="L13" s="177" t="s">
        <v>76</v>
      </c>
      <c r="M13" s="178"/>
      <c r="N13" s="178"/>
      <c r="O13" s="178"/>
      <c r="P13" s="179"/>
      <c r="Q13" s="17"/>
      <c r="R13" s="4"/>
      <c r="S13" s="1"/>
    </row>
    <row r="14" spans="1:19">
      <c r="C14" s="11" t="s">
        <v>479</v>
      </c>
      <c r="D14" s="9"/>
      <c r="E14" s="12"/>
      <c r="F14" s="19"/>
      <c r="G14" s="19"/>
      <c r="H14" s="12"/>
      <c r="I14" s="16"/>
      <c r="J14" s="16"/>
      <c r="K14" s="17"/>
      <c r="L14" s="29"/>
      <c r="M14" s="17"/>
      <c r="N14" s="17" t="s">
        <v>7</v>
      </c>
      <c r="O14" s="17" t="s">
        <v>8</v>
      </c>
      <c r="P14" s="31" t="s">
        <v>9</v>
      </c>
      <c r="Q14" s="17"/>
      <c r="R14" s="4"/>
      <c r="S14" s="1"/>
    </row>
    <row r="15" spans="1:19">
      <c r="C15" s="17"/>
      <c r="D15" s="22" t="s">
        <v>3</v>
      </c>
      <c r="E15" s="22" t="s">
        <v>4</v>
      </c>
      <c r="F15" s="23" t="s">
        <v>5</v>
      </c>
      <c r="G15" s="23"/>
      <c r="H15" s="12"/>
      <c r="I15" s="16"/>
      <c r="J15" s="16"/>
      <c r="K15" s="17"/>
      <c r="L15" s="29" t="s">
        <v>77</v>
      </c>
      <c r="M15" s="222">
        <f>+R103</f>
        <v>2017</v>
      </c>
      <c r="N15" s="7"/>
      <c r="O15" s="7"/>
      <c r="P15" s="37"/>
      <c r="Q15" s="17"/>
      <c r="R15" s="4"/>
      <c r="S15" s="1"/>
    </row>
    <row r="16" spans="1:19">
      <c r="C16" s="24" t="s">
        <v>6</v>
      </c>
      <c r="D16" s="25">
        <f>R106</f>
        <v>0.53143702710549356</v>
      </c>
      <c r="E16" s="26">
        <f>R107</f>
        <v>4.5986342017089905E-2</v>
      </c>
      <c r="F16" s="180">
        <f>E16*D16</f>
        <v>2.4438844889018707E-2</v>
      </c>
      <c r="G16" s="180"/>
      <c r="H16" s="12"/>
      <c r="I16" s="16"/>
      <c r="J16" s="27"/>
      <c r="K16" s="28"/>
      <c r="L16" s="36"/>
      <c r="M16" s="181" t="s">
        <v>482</v>
      </c>
      <c r="N16" s="471">
        <f>SUM('S.001:S.xyz - blank'!M87)</f>
        <v>86612871.407630518</v>
      </c>
      <c r="O16" s="182">
        <f>SUM('S.001:S.xyz - blank'!N87)</f>
        <v>86612871.407630518</v>
      </c>
      <c r="P16" s="183">
        <f>+O16-N16</f>
        <v>0</v>
      </c>
      <c r="Q16" s="28"/>
      <c r="R16" s="4"/>
      <c r="S16" s="1"/>
    </row>
    <row r="17" spans="3:19" ht="13.5" thickBot="1">
      <c r="C17" s="24" t="s">
        <v>10</v>
      </c>
      <c r="D17" s="25">
        <f>R108</f>
        <v>0</v>
      </c>
      <c r="E17" s="26">
        <f>R109</f>
        <v>0</v>
      </c>
      <c r="F17" s="180">
        <f>E17*D17</f>
        <v>0</v>
      </c>
      <c r="G17" s="180"/>
      <c r="H17" s="33"/>
      <c r="I17" s="33"/>
      <c r="J17" s="34"/>
      <c r="K17" s="35"/>
      <c r="L17" s="36"/>
      <c r="M17" s="181" t="s">
        <v>483</v>
      </c>
      <c r="N17" s="472">
        <f>SUM('S.001:S.xyz - blank'!M88)</f>
        <v>86327441.697800845</v>
      </c>
      <c r="O17" s="184">
        <f>SUM('S.001:S.xyz - blank'!N88)</f>
        <v>86327441.697800845</v>
      </c>
      <c r="P17" s="42">
        <f>+O17-N17</f>
        <v>0</v>
      </c>
      <c r="Q17" s="35"/>
      <c r="R17" s="4"/>
      <c r="S17" s="1"/>
    </row>
    <row r="18" spans="3:19">
      <c r="C18" s="38" t="s">
        <v>11</v>
      </c>
      <c r="D18" s="25">
        <f>R110</f>
        <v>0.46856297289450644</v>
      </c>
      <c r="E18" s="26">
        <f>+F13</f>
        <v>0.112</v>
      </c>
      <c r="F18" s="185">
        <f>E18*D18</f>
        <v>5.2479052964184723E-2</v>
      </c>
      <c r="G18" s="185"/>
      <c r="H18" s="33"/>
      <c r="I18" s="33"/>
      <c r="J18" s="19"/>
      <c r="K18" s="35"/>
      <c r="L18" s="36"/>
      <c r="M18" s="181" t="str">
        <f>"True-up Adjustment For "&amp;M15&amp;""</f>
        <v>True-up Adjustment For 2017</v>
      </c>
      <c r="N18" s="182">
        <f>ROUND(N17-N16,0)</f>
        <v>-285430</v>
      </c>
      <c r="O18" s="186">
        <f>+O17-O16</f>
        <v>-285429.70982967317</v>
      </c>
      <c r="P18" s="187">
        <f>+P17-P16</f>
        <v>0</v>
      </c>
      <c r="Q18" s="35"/>
      <c r="R18" s="4"/>
      <c r="S18" s="1"/>
    </row>
    <row r="19" spans="3:19">
      <c r="C19" s="11"/>
      <c r="D19" s="12"/>
      <c r="E19" s="43" t="s">
        <v>13</v>
      </c>
      <c r="F19" s="180">
        <f>SUM(F16:F18)</f>
        <v>7.6917897853203437E-2</v>
      </c>
      <c r="G19" s="180"/>
      <c r="H19" s="188"/>
      <c r="I19" s="33"/>
      <c r="J19" s="34"/>
      <c r="K19" s="35"/>
      <c r="L19" s="36"/>
      <c r="M19" s="7"/>
      <c r="N19" s="226"/>
      <c r="O19" s="226"/>
      <c r="P19" s="226" t="str">
        <f>IF(P18=SUM('S.001:S.xyz - blank'!O89),"","ERROR")</f>
        <v/>
      </c>
      <c r="Q19" s="35"/>
      <c r="R19" s="4"/>
      <c r="S19" s="1"/>
    </row>
    <row r="20" spans="3:19" ht="13.5" thickBot="1">
      <c r="D20" s="44"/>
      <c r="E20" s="44"/>
      <c r="F20" s="33"/>
      <c r="G20" s="33"/>
      <c r="H20" s="33"/>
      <c r="I20" s="33"/>
      <c r="J20" s="33"/>
      <c r="K20" s="45"/>
      <c r="L20" s="189"/>
      <c r="M20" s="40"/>
      <c r="N20" s="190"/>
      <c r="O20" s="190"/>
      <c r="P20" s="42"/>
      <c r="Q20" s="45"/>
      <c r="R20" s="4"/>
      <c r="S20" s="1"/>
    </row>
    <row r="21" spans="3:19" ht="15.75">
      <c r="C21" s="8" t="str">
        <f>"B.   Determine Return using 'R' with hypothetical "&amp;F12&amp;" basis point ROE increase for Identified Projects."</f>
        <v>B.   Determine Return using 'R' with hypothetical 0 basis point ROE increase for Identified Projects.</v>
      </c>
      <c r="D21" s="44"/>
      <c r="E21" s="44"/>
      <c r="F21" s="47"/>
      <c r="G21" s="47"/>
      <c r="H21" s="33"/>
      <c r="I21" s="12"/>
      <c r="J21" s="33"/>
      <c r="K21" s="45"/>
      <c r="L21" s="33"/>
      <c r="M21" s="33"/>
      <c r="N21" s="33"/>
      <c r="O21" s="33"/>
      <c r="P21" s="33"/>
      <c r="Q21" s="45"/>
      <c r="R21" s="4"/>
      <c r="S21" s="1"/>
    </row>
    <row r="22" spans="3:19">
      <c r="C22" s="17"/>
      <c r="D22" s="44"/>
      <c r="E22" s="44"/>
      <c r="F22" s="45"/>
      <c r="G22" s="45"/>
      <c r="H22" s="45"/>
      <c r="I22" s="45"/>
      <c r="J22" s="45"/>
      <c r="K22" s="45"/>
      <c r="L22" s="46" t="s">
        <v>14</v>
      </c>
      <c r="M22" s="45"/>
      <c r="N22" s="45"/>
      <c r="O22" s="45"/>
      <c r="P22" s="45"/>
      <c r="Q22" s="45"/>
      <c r="R22" s="4"/>
      <c r="S22" s="1"/>
    </row>
    <row r="23" spans="3:19">
      <c r="C23" s="11" t="str">
        <f>S111</f>
        <v xml:space="preserve">   Rate Base  (True-Up TCOS, ln 63)</v>
      </c>
      <c r="D23" s="12"/>
      <c r="E23" s="49">
        <f>R111</f>
        <v>850665218.46968555</v>
      </c>
      <c r="F23" s="50"/>
      <c r="G23" s="50"/>
      <c r="H23" s="45"/>
      <c r="I23" s="45"/>
      <c r="J23" s="45"/>
      <c r="K23" s="45"/>
      <c r="L23" t="s">
        <v>15</v>
      </c>
      <c r="M23" s="45"/>
      <c r="N23" s="45"/>
      <c r="O23" s="45"/>
      <c r="P23" s="50"/>
      <c r="Q23" s="45"/>
      <c r="R23" s="4"/>
      <c r="S23" s="1"/>
    </row>
    <row r="24" spans="3:19">
      <c r="C24" s="17" t="s">
        <v>16</v>
      </c>
      <c r="D24" s="14"/>
      <c r="E24" s="51">
        <f>F19</f>
        <v>7.6917897853203437E-2</v>
      </c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"/>
      <c r="S24" s="1"/>
    </row>
    <row r="25" spans="3:19">
      <c r="C25" s="52" t="s">
        <v>17</v>
      </c>
      <c r="D25" s="52"/>
      <c r="E25" s="34">
        <f>E23*E24</f>
        <v>65431380.381524257</v>
      </c>
      <c r="F25" s="45"/>
      <c r="G25" s="45"/>
      <c r="H25" s="45"/>
      <c r="I25" s="45"/>
      <c r="J25" s="35"/>
      <c r="K25" s="35"/>
      <c r="L25" s="35"/>
      <c r="M25" s="35"/>
      <c r="N25" s="340"/>
      <c r="O25" s="35"/>
      <c r="P25" s="45"/>
      <c r="Q25" s="35"/>
      <c r="R25" s="4"/>
      <c r="S25" s="1"/>
    </row>
    <row r="26" spans="3:19">
      <c r="C26" s="53"/>
      <c r="D26" s="16"/>
      <c r="E26" s="16"/>
      <c r="F26" s="45"/>
      <c r="G26" s="45"/>
      <c r="H26" s="45"/>
      <c r="I26" s="45"/>
      <c r="J26" s="35"/>
      <c r="K26" s="35"/>
      <c r="L26" s="35"/>
      <c r="M26" s="35"/>
      <c r="N26" s="226"/>
      <c r="O26" s="35"/>
      <c r="P26" s="45"/>
      <c r="Q26" s="35"/>
      <c r="R26" s="4"/>
      <c r="S26" s="1"/>
    </row>
    <row r="27" spans="3:19" ht="15.75">
      <c r="C27" s="8" t="str">
        <f>"C.   Determine Income Taxes using Return with hypothetical "&amp;F12&amp;" basis point ROE increase for Identified Projects."</f>
        <v>C.   Determine Income Taxes using Return with hypothetical 0 basis point ROE increase for Identified Projects.</v>
      </c>
      <c r="D27" s="54"/>
      <c r="E27" s="54"/>
      <c r="F27" s="55"/>
      <c r="G27" s="55"/>
      <c r="H27" s="55"/>
      <c r="I27" s="55"/>
      <c r="J27" s="56"/>
      <c r="K27" s="56"/>
      <c r="L27" s="56"/>
      <c r="M27" s="56"/>
      <c r="N27" s="338"/>
      <c r="O27" s="56"/>
      <c r="P27" s="55"/>
      <c r="Q27" s="56"/>
      <c r="R27" s="4"/>
      <c r="S27" s="1"/>
    </row>
    <row r="28" spans="3:19">
      <c r="C28" s="11"/>
      <c r="D28" s="16"/>
      <c r="E28" s="16"/>
      <c r="F28" s="45"/>
      <c r="G28" s="45"/>
      <c r="H28" s="45"/>
      <c r="I28" s="45"/>
      <c r="J28" s="35"/>
      <c r="K28" s="35"/>
      <c r="L28" s="35"/>
      <c r="M28" s="35"/>
      <c r="N28" s="35"/>
      <c r="O28" s="35"/>
      <c r="P28" s="45"/>
      <c r="Q28" s="35"/>
      <c r="R28" s="4"/>
      <c r="S28" s="1"/>
    </row>
    <row r="29" spans="3:19">
      <c r="C29" s="17" t="s">
        <v>18</v>
      </c>
      <c r="D29" s="43"/>
      <c r="E29" s="57">
        <f>E25</f>
        <v>65431380.381524257</v>
      </c>
      <c r="F29" s="45"/>
      <c r="G29" s="45"/>
      <c r="H29" s="45"/>
      <c r="I29" s="45"/>
      <c r="J29" s="45"/>
      <c r="K29" s="45"/>
      <c r="L29" s="45"/>
      <c r="M29" s="45"/>
      <c r="N29" s="339"/>
      <c r="O29" s="45"/>
      <c r="P29" s="45"/>
      <c r="Q29" s="45"/>
      <c r="R29" s="4"/>
      <c r="S29" s="1"/>
    </row>
    <row r="30" spans="3:19">
      <c r="C30" s="11" t="str">
        <f>S112</f>
        <v xml:space="preserve">   Tax Rate  (True-Up TCOS, ln 95)</v>
      </c>
      <c r="D30" s="43"/>
      <c r="E30" s="58">
        <f>R112</f>
        <v>0.38061500000000004</v>
      </c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"/>
      <c r="S30" s="1"/>
    </row>
    <row r="31" spans="3:19">
      <c r="C31" s="17" t="s">
        <v>19</v>
      </c>
      <c r="D31" s="2"/>
      <c r="E31" s="19">
        <f>IF(F16&gt;0,($E30/(1-$E30))*(1-$F16/$F19),0)</f>
        <v>0.41926035603623313</v>
      </c>
      <c r="F31" s="1"/>
      <c r="G31" s="1"/>
      <c r="H31" s="1"/>
      <c r="I31" s="3"/>
      <c r="J31" s="1"/>
      <c r="K31" s="4"/>
      <c r="L31" s="1"/>
      <c r="M31" s="1"/>
      <c r="N31" s="1"/>
      <c r="O31" s="1"/>
      <c r="P31" s="1"/>
      <c r="Q31" s="4"/>
      <c r="R31" s="4"/>
      <c r="S31" s="99"/>
    </row>
    <row r="32" spans="3:19">
      <c r="C32" s="53" t="s">
        <v>20</v>
      </c>
      <c r="D32" s="2"/>
      <c r="E32" s="60">
        <f>E29*E31</f>
        <v>27432783.834700059</v>
      </c>
      <c r="F32" s="1"/>
      <c r="G32" s="1"/>
      <c r="H32" s="1"/>
      <c r="I32" s="3"/>
      <c r="J32" s="1"/>
      <c r="K32" s="4"/>
      <c r="L32" s="1"/>
      <c r="M32" s="1"/>
      <c r="N32" s="1"/>
      <c r="O32" s="1"/>
      <c r="P32" s="1"/>
      <c r="Q32" s="4"/>
      <c r="R32" s="4"/>
      <c r="S32" s="1"/>
    </row>
    <row r="33" spans="2:19" ht="15">
      <c r="C33" s="11" t="str">
        <f>S113</f>
        <v xml:space="preserve">   ITC Adjustment  (True-Up TCOS, ln 102)</v>
      </c>
      <c r="D33" s="62"/>
      <c r="E33" s="65">
        <f>R113</f>
        <v>-414983.49090406374</v>
      </c>
      <c r="F33" s="62"/>
      <c r="G33" s="62"/>
      <c r="H33" s="62"/>
      <c r="I33" s="62"/>
      <c r="J33" s="62"/>
      <c r="K33" s="62"/>
      <c r="L33" s="62"/>
      <c r="M33" s="62"/>
      <c r="N33" s="62"/>
      <c r="O33" s="62"/>
      <c r="P33" s="64"/>
      <c r="Q33" s="62"/>
      <c r="R33" s="4"/>
      <c r="S33" s="1"/>
    </row>
    <row r="34" spans="2:19" ht="15">
      <c r="C34" s="11" t="str">
        <f>S114</f>
        <v xml:space="preserve">   Excess DFIT Adjustment  (TCOS, ln 107)</v>
      </c>
      <c r="D34" s="62"/>
      <c r="E34" s="65">
        <f>R114</f>
        <v>0</v>
      </c>
      <c r="F34" s="62"/>
      <c r="G34" s="62"/>
      <c r="H34" s="62"/>
      <c r="I34" s="62"/>
      <c r="J34" s="62"/>
      <c r="K34" s="62"/>
      <c r="L34" s="62"/>
      <c r="M34" s="62"/>
      <c r="N34" s="62"/>
      <c r="O34" s="62"/>
      <c r="P34" s="64"/>
      <c r="Q34" s="62"/>
      <c r="R34" s="4"/>
      <c r="S34" s="1"/>
    </row>
    <row r="35" spans="2:19" ht="15">
      <c r="C35" s="11" t="str">
        <f>S115</f>
        <v xml:space="preserve">   Tax Effect of Permanent and Flow Through Differences (TCOS, ln 108)</v>
      </c>
      <c r="D35" s="62"/>
      <c r="E35" s="63">
        <f>R115</f>
        <v>0</v>
      </c>
      <c r="F35" s="62"/>
      <c r="G35" s="62"/>
      <c r="H35" s="62"/>
      <c r="I35" s="62"/>
      <c r="J35" s="62"/>
      <c r="K35" s="62"/>
      <c r="L35" s="62"/>
      <c r="M35" s="62"/>
      <c r="N35" s="62"/>
      <c r="O35" s="62"/>
      <c r="P35" s="64"/>
      <c r="Q35" s="62"/>
      <c r="R35" s="4"/>
      <c r="S35" s="1"/>
    </row>
    <row r="36" spans="2:19" ht="15">
      <c r="C36" s="53" t="s">
        <v>21</v>
      </c>
      <c r="D36" s="62"/>
      <c r="E36" s="65">
        <f>E32+E33+E34+E35</f>
        <v>27017800.343795996</v>
      </c>
      <c r="F36" s="62"/>
      <c r="G36" s="62"/>
      <c r="H36" s="62"/>
      <c r="I36" s="62"/>
      <c r="J36" s="62"/>
      <c r="K36" s="62"/>
      <c r="L36" s="62"/>
      <c r="M36" s="62"/>
      <c r="N36" s="62"/>
      <c r="O36" s="62"/>
      <c r="P36" s="66"/>
      <c r="Q36" s="62"/>
      <c r="R36" s="4"/>
      <c r="S36" s="1"/>
    </row>
    <row r="37" spans="2:19" ht="12.75" customHeight="1">
      <c r="C37" s="67"/>
      <c r="D37" s="62"/>
      <c r="E37" s="62"/>
      <c r="F37" s="62"/>
      <c r="G37" s="62"/>
      <c r="H37" s="62"/>
      <c r="I37" s="62"/>
      <c r="J37" s="62"/>
      <c r="K37" s="62"/>
      <c r="L37" s="62"/>
      <c r="M37" s="62"/>
      <c r="N37" s="62"/>
      <c r="O37" s="62"/>
      <c r="P37" s="66"/>
      <c r="Q37" s="62"/>
      <c r="R37" s="4"/>
      <c r="S37" s="1"/>
    </row>
    <row r="38" spans="2:19" ht="18.75">
      <c r="B38" s="5" t="s">
        <v>22</v>
      </c>
      <c r="C38" s="68" t="str">
        <f>"Calculate Net Plant Carrying Charge Rate (Fixed Charge Rate or FCR) with hypothetical "&amp;F12&amp;" basis point"</f>
        <v>Calculate Net Plant Carrying Charge Rate (Fixed Charge Rate or FCR) with hypothetical 0 basis point</v>
      </c>
      <c r="D38" s="62"/>
      <c r="E38" s="62"/>
      <c r="F38" s="62"/>
      <c r="G38" s="62"/>
      <c r="H38" s="62"/>
      <c r="I38" s="62"/>
      <c r="J38" s="62"/>
      <c r="K38" s="62"/>
      <c r="L38" s="62"/>
      <c r="M38" s="62"/>
      <c r="N38" s="62"/>
      <c r="O38" s="62"/>
      <c r="P38" s="66"/>
      <c r="Q38" s="62"/>
      <c r="R38" s="4"/>
      <c r="S38" s="1"/>
    </row>
    <row r="39" spans="2:19" ht="18.75" customHeight="1">
      <c r="B39" s="5"/>
      <c r="C39" s="68" t="str">
        <f>"ROE increase."</f>
        <v>ROE increase.</v>
      </c>
      <c r="D39" s="62"/>
      <c r="E39" s="62"/>
      <c r="F39" s="62"/>
      <c r="G39" s="62"/>
      <c r="H39" s="62"/>
      <c r="I39" s="62"/>
      <c r="J39" s="62"/>
      <c r="K39" s="62"/>
      <c r="L39" s="62"/>
      <c r="M39" s="62"/>
      <c r="N39" s="62"/>
      <c r="O39" s="62"/>
      <c r="P39" s="66"/>
      <c r="Q39" s="62"/>
      <c r="R39" s="4"/>
      <c r="S39" s="1"/>
    </row>
    <row r="40" spans="2:19" ht="12.75" customHeight="1">
      <c r="C40" s="67"/>
      <c r="D40" s="62"/>
      <c r="E40" s="62"/>
      <c r="F40" s="62"/>
      <c r="G40" s="62"/>
      <c r="H40" s="62"/>
      <c r="I40" s="62"/>
      <c r="J40" s="62"/>
      <c r="K40" s="62"/>
      <c r="L40" s="62"/>
      <c r="M40" s="62"/>
      <c r="N40" s="62"/>
      <c r="O40" s="62"/>
      <c r="P40" s="66"/>
      <c r="Q40" s="62"/>
      <c r="R40" s="4"/>
      <c r="S40" s="1"/>
    </row>
    <row r="41" spans="2:19" ht="15.75">
      <c r="C41" s="8" t="s">
        <v>23</v>
      </c>
      <c r="D41" s="62"/>
      <c r="E41" s="62"/>
      <c r="F41" s="69"/>
      <c r="G41" s="69"/>
      <c r="H41" s="62"/>
      <c r="I41" s="62"/>
      <c r="J41" s="62"/>
      <c r="K41" s="62"/>
      <c r="L41" s="62"/>
      <c r="M41" s="62"/>
      <c r="N41" s="62"/>
      <c r="O41" s="62"/>
      <c r="P41" s="66"/>
      <c r="Q41" s="62"/>
      <c r="R41" s="4"/>
      <c r="S41" s="1"/>
    </row>
    <row r="42" spans="2:19">
      <c r="B42" s="1"/>
      <c r="C42" s="70"/>
      <c r="D42" s="71"/>
      <c r="E42" s="71"/>
      <c r="F42" s="71"/>
      <c r="G42" s="71"/>
      <c r="H42" s="71"/>
      <c r="I42" s="71"/>
      <c r="J42" s="71"/>
      <c r="K42" s="71"/>
      <c r="L42" s="71"/>
      <c r="M42" s="71"/>
      <c r="N42" s="71"/>
      <c r="O42" s="71"/>
      <c r="P42" s="65"/>
      <c r="Q42" s="71"/>
      <c r="R42" s="4"/>
      <c r="S42" s="1"/>
    </row>
    <row r="43" spans="2:19" ht="12.75" customHeight="1">
      <c r="B43" s="1"/>
      <c r="C43" s="11" t="str">
        <f>S116</f>
        <v xml:space="preserve">   Net Revenue Requirement  (True-Up TCOS, ln 109)</v>
      </c>
      <c r="D43" s="71"/>
      <c r="E43" s="71"/>
      <c r="F43" s="65">
        <f>R116</f>
        <v>169321480.87117857</v>
      </c>
      <c r="G43" s="65"/>
      <c r="H43" s="71"/>
      <c r="I43" s="71"/>
      <c r="J43" s="71"/>
      <c r="K43" s="71"/>
      <c r="L43" s="71"/>
      <c r="M43" s="71"/>
      <c r="N43" s="71"/>
      <c r="O43" s="71"/>
      <c r="P43" s="65"/>
      <c r="Q43" s="71"/>
      <c r="R43" s="4"/>
      <c r="S43" s="1"/>
    </row>
    <row r="44" spans="2:19">
      <c r="B44" s="1"/>
      <c r="C44" s="11" t="str">
        <f>S117</f>
        <v xml:space="preserve">   Return  (True-Up TCOS, ln 104)</v>
      </c>
      <c r="D44" s="71"/>
      <c r="E44" s="71"/>
      <c r="F44" s="65">
        <f>R117</f>
        <v>65431380.381524257</v>
      </c>
      <c r="G44" s="72"/>
      <c r="H44" s="73"/>
      <c r="I44" s="73"/>
      <c r="J44" s="73"/>
      <c r="K44" s="73"/>
      <c r="L44" s="73"/>
      <c r="M44" s="73"/>
      <c r="N44" s="73"/>
      <c r="O44" s="73"/>
      <c r="P44" s="65"/>
      <c r="Q44" s="73"/>
      <c r="R44" s="4"/>
      <c r="S44" s="1"/>
    </row>
    <row r="45" spans="2:19">
      <c r="B45" s="1"/>
      <c r="C45" s="11" t="str">
        <f>S118</f>
        <v xml:space="preserve">   Income Taxes  (True-Up TCOS, ln 103)</v>
      </c>
      <c r="D45" s="71"/>
      <c r="E45" s="71"/>
      <c r="F45" s="65">
        <f>R118</f>
        <v>27017800.343795996</v>
      </c>
      <c r="G45" s="65"/>
      <c r="H45" s="71"/>
      <c r="I45" s="71"/>
      <c r="J45" s="74"/>
      <c r="K45" s="74"/>
      <c r="L45" s="74"/>
      <c r="M45" s="74"/>
      <c r="N45" s="74"/>
      <c r="O45" s="74"/>
      <c r="P45" s="71"/>
      <c r="Q45" s="74"/>
      <c r="R45" s="4"/>
      <c r="S45" s="1"/>
    </row>
    <row r="46" spans="2:19">
      <c r="B46" s="1"/>
      <c r="C46" s="11" t="str">
        <f>S119</f>
        <v xml:space="preserve">  Gross Margin Taxes  (True-Up TCOS, ln 108)</v>
      </c>
      <c r="D46" s="71"/>
      <c r="E46" s="71"/>
      <c r="F46" s="63">
        <f>R119</f>
        <v>146986.15438894159</v>
      </c>
      <c r="G46" s="65"/>
      <c r="H46" s="71"/>
      <c r="I46" s="71"/>
      <c r="J46" s="74"/>
      <c r="K46" s="74"/>
      <c r="L46" s="74"/>
      <c r="M46" s="74"/>
      <c r="N46" s="74"/>
      <c r="O46" s="74"/>
      <c r="P46" s="71"/>
      <c r="Q46" s="74"/>
      <c r="R46" s="4"/>
      <c r="S46" s="1"/>
    </row>
    <row r="47" spans="2:19">
      <c r="B47" s="1"/>
      <c r="C47" s="21" t="s">
        <v>24</v>
      </c>
      <c r="D47" s="71"/>
      <c r="E47" s="71"/>
      <c r="F47" s="72">
        <f>F43-F44-F45-F46</f>
        <v>76725313.991469368</v>
      </c>
      <c r="G47" s="72"/>
      <c r="H47" s="75"/>
      <c r="I47" s="71"/>
      <c r="J47" s="75"/>
      <c r="K47" s="75"/>
      <c r="L47" s="75"/>
      <c r="M47" s="75"/>
      <c r="N47" s="75"/>
      <c r="O47" s="75"/>
      <c r="P47" s="75"/>
      <c r="Q47" s="75"/>
      <c r="R47" s="4"/>
      <c r="S47" s="1"/>
    </row>
    <row r="48" spans="2:19">
      <c r="B48" s="1"/>
      <c r="C48" s="70"/>
      <c r="D48" s="71"/>
      <c r="E48" s="71"/>
      <c r="F48" s="65"/>
      <c r="G48" s="65"/>
      <c r="H48" s="76"/>
      <c r="I48" s="77"/>
      <c r="J48" s="77"/>
      <c r="K48" s="77"/>
      <c r="L48" s="77"/>
      <c r="M48" s="77"/>
      <c r="N48" s="77"/>
      <c r="O48" s="77"/>
      <c r="P48" s="77"/>
      <c r="Q48" s="77"/>
      <c r="R48" s="4"/>
      <c r="S48" s="1"/>
    </row>
    <row r="49" spans="2:19" ht="15.75">
      <c r="B49" s="1"/>
      <c r="C49" s="8" t="str">
        <f>"B.   Determine Net Revenue Requirement with hypothetical "&amp;F12&amp;" basis point increase in ROE."</f>
        <v>B.   Determine Net Revenue Requirement with hypothetical 0 basis point increase in ROE.</v>
      </c>
      <c r="D49" s="78"/>
      <c r="E49" s="78"/>
      <c r="F49" s="65"/>
      <c r="G49" s="65"/>
      <c r="H49" s="76"/>
      <c r="I49" s="77"/>
      <c r="J49" s="77"/>
      <c r="K49" s="77"/>
      <c r="L49" s="77"/>
      <c r="M49" s="77"/>
      <c r="N49" s="77"/>
      <c r="O49" s="77"/>
      <c r="P49" s="77"/>
      <c r="Q49" s="77"/>
      <c r="R49" s="4"/>
      <c r="S49" s="1"/>
    </row>
    <row r="50" spans="2:19">
      <c r="B50" s="1"/>
      <c r="C50" s="70"/>
      <c r="D50" s="78"/>
      <c r="E50" s="78"/>
      <c r="F50" s="65"/>
      <c r="G50" s="65"/>
      <c r="H50" s="76"/>
      <c r="I50" s="77"/>
      <c r="J50" s="77"/>
      <c r="K50" s="77"/>
      <c r="L50" s="77"/>
      <c r="M50" s="77"/>
      <c r="N50" s="77"/>
      <c r="O50" s="77"/>
      <c r="P50" s="77"/>
      <c r="Q50" s="77"/>
      <c r="R50" s="4"/>
      <c r="S50" s="1"/>
    </row>
    <row r="51" spans="2:19">
      <c r="B51" s="1"/>
      <c r="C51" s="70" t="str">
        <f>C47</f>
        <v xml:space="preserve">   Net Revenue Requirement, Less Return and Taxes</v>
      </c>
      <c r="D51" s="78"/>
      <c r="E51" s="78"/>
      <c r="F51" s="65">
        <f>F47</f>
        <v>76725313.991469368</v>
      </c>
      <c r="G51" s="65"/>
      <c r="H51" s="71"/>
      <c r="I51" s="71"/>
      <c r="J51" s="71"/>
      <c r="K51" s="71"/>
      <c r="L51" s="71"/>
      <c r="M51" s="71"/>
      <c r="N51" s="71"/>
      <c r="O51" s="71"/>
      <c r="P51" s="81"/>
      <c r="Q51" s="71"/>
      <c r="R51" s="4"/>
      <c r="S51" s="1"/>
    </row>
    <row r="52" spans="2:19">
      <c r="B52" s="1"/>
      <c r="C52" s="17" t="s">
        <v>88</v>
      </c>
      <c r="D52" s="83"/>
      <c r="E52" s="21"/>
      <c r="F52" s="84">
        <f>E25</f>
        <v>65431380.381524257</v>
      </c>
      <c r="G52" s="84"/>
      <c r="H52" s="21"/>
      <c r="I52" s="85"/>
      <c r="J52" s="21"/>
      <c r="K52" s="21"/>
      <c r="L52" s="21"/>
      <c r="M52" s="21"/>
      <c r="N52" s="21"/>
      <c r="O52" s="21"/>
      <c r="P52" s="21"/>
      <c r="Q52" s="21"/>
      <c r="R52" s="4"/>
      <c r="S52" s="1"/>
    </row>
    <row r="53" spans="2:19" ht="12.75" customHeight="1">
      <c r="B53" s="1"/>
      <c r="C53" s="11" t="s">
        <v>25</v>
      </c>
      <c r="D53" s="71"/>
      <c r="E53" s="71"/>
      <c r="F53" s="191">
        <f>E36</f>
        <v>27017800.343795996</v>
      </c>
      <c r="G53" s="86"/>
      <c r="H53" s="1"/>
      <c r="I53" s="3"/>
      <c r="J53" s="1"/>
      <c r="K53" s="4"/>
      <c r="L53" s="1"/>
      <c r="M53" s="1"/>
      <c r="N53" s="1"/>
      <c r="O53" s="1"/>
      <c r="P53" s="1"/>
      <c r="Q53" s="4"/>
      <c r="R53" s="4"/>
      <c r="S53" s="1"/>
    </row>
    <row r="54" spans="2:19">
      <c r="B54" s="1"/>
      <c r="C54" s="21" t="str">
        <f>"   Net Revenue Requirement, with "&amp;F12&amp;" Basis Point ROE increase"</f>
        <v xml:space="preserve">   Net Revenue Requirement, with 0 Basis Point ROE increase</v>
      </c>
      <c r="D54" s="2"/>
      <c r="E54" s="1"/>
      <c r="F54" s="60">
        <f>SUM(F51:F53)</f>
        <v>169174494.7167896</v>
      </c>
      <c r="G54" s="60"/>
      <c r="H54" s="1"/>
      <c r="I54" s="3"/>
      <c r="J54" s="1"/>
      <c r="K54" s="4"/>
      <c r="L54" s="1"/>
      <c r="M54" s="1"/>
      <c r="N54" s="1"/>
      <c r="O54" s="1"/>
      <c r="P54" s="1"/>
      <c r="Q54" s="4"/>
      <c r="R54" s="4"/>
      <c r="S54" s="1"/>
    </row>
    <row r="55" spans="2:19">
      <c r="B55" s="1"/>
      <c r="C55" s="61" t="str">
        <f>"   Gross Margin Tax with "&amp;F12&amp;" Basis Point ROE Increase (II C. below)"</f>
        <v xml:space="preserve">   Gross Margin Tax with 0 Basis Point ROE Increase (II C. below)</v>
      </c>
      <c r="D55" s="87"/>
      <c r="E55" s="87"/>
      <c r="F55" s="88">
        <f>+F70</f>
        <v>146986.15438894159</v>
      </c>
      <c r="G55" s="84"/>
      <c r="H55" s="1"/>
      <c r="I55" s="3"/>
      <c r="J55" s="1"/>
      <c r="K55" s="4"/>
      <c r="L55" s="1"/>
      <c r="M55" s="1"/>
      <c r="N55" s="1"/>
      <c r="O55" s="1"/>
      <c r="P55" s="1"/>
      <c r="Q55" s="4"/>
      <c r="R55" s="4"/>
      <c r="S55" s="1"/>
    </row>
    <row r="56" spans="2:19">
      <c r="B56" s="1"/>
      <c r="C56" s="21" t="s">
        <v>26</v>
      </c>
      <c r="D56" s="2"/>
      <c r="E56" s="1"/>
      <c r="F56" s="89">
        <f>+F54+F55</f>
        <v>169321480.87117854</v>
      </c>
      <c r="G56" s="89"/>
      <c r="H56" s="1"/>
      <c r="I56" s="3"/>
      <c r="J56" s="1"/>
      <c r="K56" s="4"/>
      <c r="L56" s="1"/>
      <c r="M56" s="1"/>
      <c r="N56" s="1"/>
      <c r="O56" s="1"/>
      <c r="P56" s="1"/>
      <c r="Q56" s="4"/>
      <c r="R56" s="4"/>
      <c r="S56" s="1"/>
    </row>
    <row r="57" spans="2:19">
      <c r="B57" s="1"/>
      <c r="C57" s="11" t="str">
        <f>S120</f>
        <v xml:space="preserve">   Less: Depreciation  (True-Up TCOS, ln 82)</v>
      </c>
      <c r="D57" s="2"/>
      <c r="E57" s="1"/>
      <c r="F57" s="90">
        <f>R120</f>
        <v>36524825.690247476</v>
      </c>
      <c r="G57" s="90"/>
      <c r="H57" s="1"/>
      <c r="I57" s="3"/>
      <c r="J57" s="1"/>
      <c r="K57" s="4"/>
      <c r="L57" s="1"/>
      <c r="M57" s="1"/>
      <c r="N57" s="1"/>
      <c r="O57" s="1"/>
      <c r="P57" s="1"/>
      <c r="Q57" s="4"/>
      <c r="R57" s="4"/>
      <c r="S57" s="1"/>
    </row>
    <row r="58" spans="2:19">
      <c r="B58" s="1"/>
      <c r="C58" s="21" t="str">
        <f>"   Net Rev. Req, w/"&amp;F12&amp;" Basis Point ROE increase, less Depreciation"</f>
        <v xml:space="preserve">   Net Rev. Req, w/0 Basis Point ROE increase, less Depreciation</v>
      </c>
      <c r="D58" s="2"/>
      <c r="E58" s="1"/>
      <c r="F58" s="60">
        <f>F56-F57</f>
        <v>132796655.18093106</v>
      </c>
      <c r="G58" s="60"/>
      <c r="H58" s="1"/>
      <c r="I58" s="3"/>
      <c r="J58" s="1"/>
      <c r="K58" s="4"/>
      <c r="L58" s="1"/>
      <c r="M58" s="1"/>
      <c r="N58" s="1"/>
      <c r="O58" s="1"/>
      <c r="P58" s="1"/>
      <c r="Q58" s="4"/>
      <c r="R58" s="4"/>
      <c r="S58" s="1"/>
    </row>
    <row r="59" spans="2:19">
      <c r="B59" s="1"/>
      <c r="C59" s="1"/>
      <c r="D59" s="2"/>
      <c r="E59" s="1"/>
      <c r="F59" s="1"/>
      <c r="G59" s="1"/>
      <c r="H59" s="1"/>
      <c r="I59" s="3"/>
      <c r="J59" s="1"/>
      <c r="K59" s="4"/>
      <c r="L59" s="1"/>
      <c r="M59" s="1"/>
      <c r="N59" s="1"/>
      <c r="O59" s="1"/>
      <c r="P59" s="1"/>
      <c r="Q59" s="4" t="str">
        <f>IF(ROUND(Q58,0)=ROUND(SUM(Q17:Q57),0),"","Error -- check allocations above).")</f>
        <v/>
      </c>
      <c r="R59" s="4"/>
      <c r="S59" s="1"/>
    </row>
    <row r="60" spans="2:19" ht="15.75">
      <c r="B60" s="1"/>
      <c r="C60" s="91" t="str">
        <f>"C.   Determine Gross Margin Tax with hypothetical "&amp;F12&amp;" basis point increase in ROE."</f>
        <v>C.   Determine Gross Margin Tax with hypothetical 0 basis point increase in ROE.</v>
      </c>
      <c r="D60" s="92"/>
      <c r="E60" s="92"/>
      <c r="F60" s="93"/>
      <c r="G60" s="93"/>
      <c r="H60" s="18"/>
      <c r="I60" s="3"/>
      <c r="J60" s="1"/>
      <c r="K60" s="4"/>
      <c r="L60" s="1"/>
      <c r="M60" s="1"/>
      <c r="N60" s="1"/>
      <c r="O60" s="1"/>
      <c r="P60" s="1"/>
      <c r="Q60" s="4"/>
      <c r="R60" s="4"/>
      <c r="S60" s="1"/>
    </row>
    <row r="61" spans="2:19">
      <c r="B61" s="1"/>
      <c r="C61" s="61" t="str">
        <f>"   Net Revenue Requirement before Gross Margin Taxes, with "&amp;F12&amp;" "</f>
        <v xml:space="preserve">   Net Revenue Requirement before Gross Margin Taxes, with 0 </v>
      </c>
      <c r="D61" s="92"/>
      <c r="E61" s="92"/>
      <c r="F61" s="93">
        <f>+F54</f>
        <v>169174494.7167896</v>
      </c>
      <c r="G61" s="93"/>
      <c r="H61" s="18"/>
      <c r="I61" s="3"/>
      <c r="J61" s="1"/>
      <c r="K61" s="4"/>
      <c r="L61" s="1"/>
      <c r="M61" s="1"/>
      <c r="N61" s="1"/>
      <c r="O61" s="1"/>
      <c r="P61" s="1"/>
      <c r="Q61" s="4"/>
      <c r="R61" s="4"/>
      <c r="S61" s="1"/>
    </row>
    <row r="62" spans="2:19">
      <c r="B62" s="1"/>
      <c r="C62" s="61" t="s">
        <v>27</v>
      </c>
      <c r="D62" s="92"/>
      <c r="E62" s="92"/>
      <c r="F62" s="93"/>
      <c r="G62" s="93"/>
      <c r="H62" s="18"/>
      <c r="I62" s="3"/>
      <c r="J62" s="1"/>
      <c r="K62" s="4"/>
      <c r="L62" s="1"/>
      <c r="M62" s="1"/>
      <c r="N62" s="1"/>
      <c r="O62" s="1"/>
      <c r="P62" s="1"/>
      <c r="Q62" s="4"/>
      <c r="R62" s="4"/>
      <c r="S62" s="1"/>
    </row>
    <row r="63" spans="2:19">
      <c r="B63" s="1"/>
      <c r="C63" s="21" t="str">
        <f>S121</f>
        <v xml:space="preserve">       Apportionment Factor to Texas (Worksheet K, ln 12)</v>
      </c>
      <c r="D63" s="59"/>
      <c r="E63" s="18"/>
      <c r="F63" s="95">
        <f>R121</f>
        <v>0.39458224543080939</v>
      </c>
      <c r="G63" s="141"/>
      <c r="H63" s="18"/>
      <c r="I63" s="3"/>
      <c r="J63" s="1"/>
      <c r="K63" s="4"/>
      <c r="L63" s="1"/>
      <c r="M63" s="1"/>
      <c r="N63" s="1"/>
      <c r="O63" s="1"/>
      <c r="P63" s="1"/>
      <c r="Q63" s="4"/>
      <c r="R63" s="4"/>
      <c r="S63" s="1"/>
    </row>
    <row r="64" spans="2:19">
      <c r="B64" s="1"/>
      <c r="C64" s="21" t="s">
        <v>28</v>
      </c>
      <c r="D64" s="59"/>
      <c r="E64" s="18"/>
      <c r="F64" s="93">
        <f>+F63*F61</f>
        <v>66753251.994973443</v>
      </c>
      <c r="G64" s="93"/>
      <c r="H64" s="18"/>
      <c r="I64" s="3"/>
      <c r="J64" s="1"/>
      <c r="K64" s="4"/>
      <c r="L64" s="1"/>
      <c r="M64" s="1"/>
      <c r="N64" s="1"/>
      <c r="O64" s="1"/>
      <c r="P64" s="1"/>
      <c r="Q64" s="4"/>
      <c r="R64" s="4"/>
      <c r="S64" s="1"/>
    </row>
    <row r="65" spans="2:19">
      <c r="B65" s="1"/>
      <c r="C65" s="21" t="s">
        <v>475</v>
      </c>
      <c r="D65" s="59"/>
      <c r="E65" s="18"/>
      <c r="F65" s="467">
        <v>0.22</v>
      </c>
      <c r="G65" s="192"/>
      <c r="H65" s="18"/>
      <c r="I65" s="3"/>
      <c r="J65" s="1"/>
      <c r="K65" s="4"/>
      <c r="L65" s="1"/>
      <c r="M65" s="1"/>
      <c r="N65" s="1"/>
      <c r="O65" s="1"/>
      <c r="P65" s="1"/>
      <c r="Q65" s="4"/>
      <c r="R65" s="4"/>
      <c r="S65" s="1"/>
    </row>
    <row r="66" spans="2:19">
      <c r="B66" s="1"/>
      <c r="C66" s="21" t="s">
        <v>29</v>
      </c>
      <c r="D66" s="59"/>
      <c r="E66" s="18"/>
      <c r="F66" s="93">
        <f>+F64*F65</f>
        <v>14685715.438894158</v>
      </c>
      <c r="G66" s="93"/>
      <c r="H66" s="18"/>
      <c r="I66" s="3"/>
      <c r="J66" s="1"/>
      <c r="K66" s="4"/>
      <c r="L66" s="1"/>
      <c r="M66" s="1"/>
      <c r="N66" s="1"/>
      <c r="O66" s="1"/>
      <c r="P66" s="1"/>
      <c r="Q66" s="4"/>
      <c r="R66" s="4"/>
      <c r="S66" s="1"/>
    </row>
    <row r="67" spans="2:19">
      <c r="B67" s="1"/>
      <c r="C67" s="21" t="s">
        <v>30</v>
      </c>
      <c r="D67" s="59"/>
      <c r="E67" s="18"/>
      <c r="F67" s="467">
        <v>0.01</v>
      </c>
      <c r="G67" s="192"/>
      <c r="H67" s="18"/>
      <c r="I67" s="3"/>
      <c r="J67" s="1"/>
      <c r="K67" s="4"/>
      <c r="L67" s="1"/>
      <c r="M67" s="1"/>
      <c r="N67" s="1"/>
      <c r="O67" s="1"/>
      <c r="P67" s="1"/>
      <c r="Q67" s="4"/>
      <c r="R67" s="4"/>
      <c r="S67" s="1"/>
    </row>
    <row r="68" spans="2:19">
      <c r="B68" s="1"/>
      <c r="C68" s="21" t="s">
        <v>31</v>
      </c>
      <c r="D68" s="59"/>
      <c r="E68" s="18"/>
      <c r="F68" s="93">
        <f>+F66*F67</f>
        <v>146857.15438894159</v>
      </c>
      <c r="G68" s="93"/>
      <c r="H68" s="18"/>
      <c r="I68" s="3"/>
      <c r="J68" s="1"/>
      <c r="K68" s="4"/>
      <c r="L68" s="1"/>
      <c r="M68" s="1"/>
      <c r="N68" s="1"/>
      <c r="O68" s="1"/>
      <c r="P68" s="1"/>
      <c r="Q68" s="4"/>
      <c r="R68" s="4"/>
      <c r="S68" s="1"/>
    </row>
    <row r="69" spans="2:19">
      <c r="B69" s="1"/>
      <c r="C69" s="21" t="s">
        <v>32</v>
      </c>
      <c r="D69" s="59"/>
      <c r="E69" s="18"/>
      <c r="F69" s="96">
        <f>+ROUND((F68*F65*F63)/(1-F67)*F67,0)</f>
        <v>129</v>
      </c>
      <c r="G69" s="193"/>
      <c r="H69" s="18"/>
      <c r="I69" s="3"/>
      <c r="J69" s="1"/>
      <c r="K69" s="4"/>
      <c r="L69" s="1"/>
      <c r="M69" s="1"/>
      <c r="N69" s="1"/>
      <c r="O69" s="1"/>
      <c r="P69" s="1"/>
      <c r="Q69" s="4"/>
      <c r="R69" s="4"/>
      <c r="S69" s="1"/>
    </row>
    <row r="70" spans="2:19">
      <c r="B70" s="1"/>
      <c r="C70" s="21" t="s">
        <v>33</v>
      </c>
      <c r="D70" s="59"/>
      <c r="E70" s="18"/>
      <c r="F70" s="93">
        <f>+F68+F69</f>
        <v>146986.15438894159</v>
      </c>
      <c r="G70" s="93"/>
      <c r="H70" s="18"/>
      <c r="I70" s="3"/>
      <c r="J70" s="1"/>
      <c r="K70" s="4"/>
      <c r="L70" s="1"/>
      <c r="M70" s="1"/>
      <c r="N70" s="1"/>
      <c r="O70" s="1"/>
      <c r="P70" s="1"/>
      <c r="Q70" s="4"/>
      <c r="R70" s="4"/>
      <c r="S70" s="1"/>
    </row>
    <row r="71" spans="2:19">
      <c r="B71" s="1"/>
      <c r="C71" s="1"/>
      <c r="D71" s="2"/>
      <c r="E71" s="1"/>
      <c r="F71" s="1"/>
      <c r="G71" s="1"/>
      <c r="H71" s="1"/>
      <c r="I71" s="3"/>
      <c r="J71" s="1"/>
      <c r="K71" s="4"/>
      <c r="L71" s="1"/>
      <c r="M71" s="1"/>
      <c r="N71" s="1"/>
      <c r="O71" s="1"/>
      <c r="P71" s="1"/>
      <c r="Q71" s="4"/>
      <c r="R71" s="4"/>
      <c r="S71" s="1"/>
    </row>
    <row r="72" spans="2:19" ht="15.75">
      <c r="B72" s="1"/>
      <c r="C72" s="8" t="str">
        <f>"D.   Determine FCR with hypothetical "&amp;F12&amp;" basis point ROE increase."</f>
        <v>D.   Determine FCR with hypothetical 0 basis point ROE increase.</v>
      </c>
      <c r="D72" s="2"/>
      <c r="E72" s="1"/>
      <c r="F72" s="1"/>
      <c r="G72" s="1"/>
      <c r="H72" s="1"/>
      <c r="I72" s="10"/>
      <c r="J72" s="1"/>
      <c r="K72" s="4"/>
      <c r="L72" s="1"/>
      <c r="M72" s="1"/>
      <c r="N72" s="1"/>
      <c r="O72" s="1"/>
      <c r="P72" s="1"/>
      <c r="Q72" s="4"/>
      <c r="R72" s="4"/>
      <c r="S72" s="1"/>
    </row>
    <row r="73" spans="2:19">
      <c r="B73" s="1"/>
      <c r="C73" s="1"/>
      <c r="D73" s="2"/>
      <c r="E73" s="1"/>
      <c r="F73" s="1"/>
      <c r="G73" s="1"/>
      <c r="H73" s="1"/>
      <c r="I73" s="3"/>
      <c r="J73" s="1"/>
      <c r="K73" s="4"/>
      <c r="L73" s="1"/>
      <c r="M73" s="1"/>
      <c r="N73" s="1"/>
      <c r="O73" s="1"/>
      <c r="P73" s="1"/>
      <c r="Q73" s="4"/>
      <c r="R73" s="4"/>
      <c r="S73" s="1"/>
    </row>
    <row r="74" spans="2:19">
      <c r="B74" s="1"/>
      <c r="C74" s="70" t="str">
        <f>S122</f>
        <v xml:space="preserve">   Net Transmission Plant  (True-Up TCOS, ln 39)</v>
      </c>
      <c r="D74" s="2"/>
      <c r="E74" s="1"/>
      <c r="F74" s="60">
        <f>R122</f>
        <v>1093233404.0677478</v>
      </c>
      <c r="G74" s="60"/>
      <c r="I74" s="10"/>
      <c r="J74" s="1"/>
      <c r="K74" s="4"/>
      <c r="L74" s="1"/>
      <c r="M74" s="1"/>
      <c r="N74" s="1"/>
      <c r="O74" s="1"/>
      <c r="P74" s="1"/>
      <c r="Q74" s="4"/>
      <c r="R74" s="4"/>
      <c r="S74" s="1"/>
    </row>
    <row r="75" spans="2:19" ht="15">
      <c r="B75" s="1"/>
      <c r="C75" s="21" t="str">
        <f>"   Net Revenue Requirement, with "&amp;F12&amp;" Basis Point ROE increase"</f>
        <v xml:space="preserve">   Net Revenue Requirement, with 0 Basis Point ROE increase</v>
      </c>
      <c r="D75" s="2"/>
      <c r="E75" s="1"/>
      <c r="F75" s="194">
        <f>+F56</f>
        <v>169321480.87117854</v>
      </c>
      <c r="G75" s="194"/>
      <c r="I75" s="10"/>
      <c r="J75" s="1"/>
      <c r="K75" s="4"/>
      <c r="L75" s="1"/>
      <c r="M75" s="1"/>
      <c r="N75" s="1"/>
      <c r="O75" s="1"/>
      <c r="P75" s="1"/>
      <c r="Q75" s="4"/>
      <c r="R75" s="4"/>
      <c r="S75" s="1"/>
    </row>
    <row r="76" spans="2:19">
      <c r="B76" s="1"/>
      <c r="C76" s="21" t="str">
        <f>"   FCR with "&amp;F12&amp;" Basis Point increase in ROE"</f>
        <v xml:space="preserve">   FCR with 0 Basis Point increase in ROE</v>
      </c>
      <c r="D76" s="2"/>
      <c r="E76" s="1"/>
      <c r="F76" s="99">
        <f>IF(F74=0,0,F75/F74)</f>
        <v>0.15488136407208214</v>
      </c>
      <c r="G76" s="99"/>
      <c r="I76" s="10"/>
      <c r="J76" s="1"/>
      <c r="K76" s="4"/>
      <c r="L76" s="1"/>
      <c r="M76" s="1"/>
      <c r="N76" s="1"/>
      <c r="O76" s="1"/>
      <c r="P76" s="1"/>
      <c r="Q76" s="4"/>
      <c r="R76" s="4"/>
      <c r="S76" s="1"/>
    </row>
    <row r="77" spans="2:19">
      <c r="B77" s="1"/>
      <c r="D77" s="2"/>
      <c r="E77" s="1"/>
      <c r="F77" s="18"/>
      <c r="G77" s="18"/>
      <c r="H77" s="195"/>
      <c r="I77" s="10"/>
      <c r="J77" s="1"/>
      <c r="K77" s="4"/>
      <c r="L77" s="1"/>
      <c r="M77" s="1"/>
      <c r="N77" s="1"/>
      <c r="O77" s="1"/>
      <c r="P77" s="1"/>
      <c r="Q77" s="4"/>
      <c r="R77" s="4"/>
      <c r="S77" s="1"/>
    </row>
    <row r="78" spans="2:19">
      <c r="B78" s="1"/>
      <c r="C78" s="21" t="str">
        <f>"   Net Rev. Req, w / "&amp;F12&amp;" Basis Point ROE increase, less Dep."</f>
        <v xml:space="preserve">   Net Rev. Req, w / 0 Basis Point ROE increase, less Dep.</v>
      </c>
      <c r="D78" s="2"/>
      <c r="E78" s="1"/>
      <c r="F78" s="60">
        <f>+F58</f>
        <v>132796655.18093106</v>
      </c>
      <c r="G78" s="60"/>
      <c r="I78" s="10"/>
      <c r="J78" s="1"/>
      <c r="K78" s="4"/>
      <c r="L78" s="1"/>
      <c r="M78" s="1"/>
      <c r="N78" s="1"/>
      <c r="O78" s="1"/>
      <c r="P78" s="1"/>
      <c r="Q78" s="4"/>
      <c r="R78" s="4"/>
      <c r="S78" s="1"/>
    </row>
    <row r="79" spans="2:19">
      <c r="B79" s="1"/>
      <c r="C79" s="21" t="str">
        <f>"   FCR with "&amp;F12&amp;" Basis Point ROE increase, less Depreciation"</f>
        <v xml:space="preserve">   FCR with 0 Basis Point ROE increase, less Depreciation</v>
      </c>
      <c r="D79" s="2"/>
      <c r="E79" s="1"/>
      <c r="F79" s="99">
        <f>IF(F74=0,0,F78/F74)</f>
        <v>0.12147145768398203</v>
      </c>
      <c r="G79" s="99"/>
      <c r="H79" s="97"/>
      <c r="I79" s="10"/>
      <c r="J79" s="1"/>
      <c r="K79" s="4"/>
      <c r="L79" s="1"/>
      <c r="M79" s="1"/>
      <c r="N79" s="1"/>
      <c r="O79" s="1"/>
      <c r="P79" s="1"/>
      <c r="Q79" s="4"/>
      <c r="R79" s="4"/>
      <c r="S79" s="1"/>
    </row>
    <row r="80" spans="2:19">
      <c r="B80" s="1"/>
      <c r="C80" s="70" t="str">
        <f>S123</f>
        <v xml:space="preserve">   FCR less Depreciation  (True-Up TCOS, ln 12)</v>
      </c>
      <c r="D80" s="2"/>
      <c r="E80" s="1"/>
      <c r="F80" s="100">
        <f>R123</f>
        <v>0.12147145768398206</v>
      </c>
      <c r="G80" s="100"/>
      <c r="H80" s="196"/>
      <c r="I80" s="10"/>
      <c r="J80" s="1"/>
      <c r="K80" s="4"/>
      <c r="L80" s="1"/>
      <c r="M80" s="1"/>
      <c r="N80" s="1"/>
      <c r="O80" s="1"/>
      <c r="P80" s="1"/>
      <c r="Q80" s="4"/>
      <c r="R80" s="4"/>
      <c r="S80" s="1"/>
    </row>
    <row r="81" spans="2:19">
      <c r="B81" s="1"/>
      <c r="C81" s="21" t="str">
        <f>"   Incremental FCR with "&amp;F12&amp;" Basis Point ROE increase, less Depreciation"</f>
        <v xml:space="preserve">   Incremental FCR with 0 Basis Point ROE increase, less Depreciation</v>
      </c>
      <c r="D81" s="2"/>
      <c r="E81" s="1"/>
      <c r="F81" s="99">
        <f>F79-F80</f>
        <v>0</v>
      </c>
      <c r="G81" s="99"/>
      <c r="I81" s="10"/>
      <c r="J81" s="1"/>
      <c r="K81" s="4"/>
      <c r="L81" s="1"/>
      <c r="M81" s="1"/>
      <c r="N81" s="1"/>
      <c r="O81" s="1"/>
      <c r="P81" s="1"/>
      <c r="Q81" s="4"/>
      <c r="R81" s="4"/>
      <c r="S81" s="1"/>
    </row>
    <row r="82" spans="2:19">
      <c r="B82" s="1"/>
      <c r="C82" s="21"/>
      <c r="D82" s="2"/>
      <c r="E82" s="1"/>
      <c r="F82" s="99"/>
      <c r="G82" s="99"/>
      <c r="H82" s="1"/>
      <c r="I82" s="3"/>
      <c r="J82" s="1"/>
      <c r="K82" s="4"/>
      <c r="L82" s="1"/>
      <c r="M82" s="1"/>
      <c r="N82" s="1"/>
      <c r="O82" s="1"/>
      <c r="P82" s="1"/>
      <c r="Q82" s="4"/>
      <c r="R82" s="4"/>
      <c r="S82" s="1"/>
    </row>
    <row r="83" spans="2:19" ht="18.75">
      <c r="B83" s="5" t="s">
        <v>34</v>
      </c>
      <c r="C83" s="68" t="s">
        <v>35</v>
      </c>
      <c r="D83" s="2"/>
      <c r="E83" s="1"/>
      <c r="F83" s="99"/>
      <c r="G83" s="99"/>
      <c r="H83" s="1"/>
      <c r="I83" s="3"/>
      <c r="J83" s="1"/>
      <c r="K83" s="4"/>
      <c r="L83" s="1"/>
      <c r="M83" s="1"/>
      <c r="N83" s="1"/>
      <c r="O83" s="1"/>
      <c r="P83" s="1"/>
      <c r="Q83" s="4"/>
      <c r="R83" s="4"/>
      <c r="S83" s="1"/>
    </row>
    <row r="84" spans="2:19" ht="12.75" customHeight="1">
      <c r="B84" s="5"/>
      <c r="C84" s="68"/>
      <c r="D84" s="2"/>
      <c r="E84" s="1"/>
      <c r="F84" s="99"/>
      <c r="G84" s="99"/>
      <c r="H84" s="1"/>
      <c r="I84" s="3"/>
      <c r="J84" s="1"/>
      <c r="K84" s="4"/>
      <c r="L84" s="1"/>
      <c r="M84" s="1"/>
      <c r="N84" s="1"/>
      <c r="O84" s="1"/>
      <c r="P84" s="1"/>
      <c r="Q84" s="4"/>
      <c r="R84" s="4"/>
      <c r="S84" s="1"/>
    </row>
    <row r="85" spans="2:19" ht="12.75" customHeight="1">
      <c r="B85" s="5"/>
      <c r="C85" s="21" t="str">
        <f>+S124</f>
        <v>Transmission Plant @ Beginning of Period (P.206, ln 58)</v>
      </c>
      <c r="D85" s="2"/>
      <c r="F85" s="94">
        <f>R124</f>
        <v>1584069792</v>
      </c>
      <c r="G85" s="1"/>
      <c r="I85" s="3"/>
      <c r="J85" s="1"/>
      <c r="K85" s="4"/>
      <c r="L85" s="1"/>
      <c r="M85" s="1"/>
      <c r="N85" s="1"/>
      <c r="O85" s="1"/>
      <c r="P85" s="1"/>
      <c r="Q85" s="4"/>
      <c r="R85" s="4"/>
      <c r="S85" s="1"/>
    </row>
    <row r="86" spans="2:19" ht="12.75" customHeight="1">
      <c r="B86" s="5"/>
      <c r="C86" s="21" t="str">
        <f>+S125</f>
        <v>Transmission Plant @ End of Period (P.207, ln 58)</v>
      </c>
      <c r="D86" s="2"/>
      <c r="F86" s="102">
        <f>R125</f>
        <v>1679310700</v>
      </c>
      <c r="G86" s="1"/>
      <c r="I86" s="3"/>
      <c r="J86" s="1"/>
      <c r="K86" s="4"/>
      <c r="L86" s="1"/>
      <c r="M86" s="1"/>
      <c r="N86" s="1"/>
      <c r="O86" s="1"/>
      <c r="P86" s="1"/>
      <c r="Q86" s="4"/>
      <c r="R86" s="4"/>
      <c r="S86" s="1"/>
    </row>
    <row r="87" spans="2:19" ht="12.75" customHeight="1">
      <c r="B87" s="5"/>
      <c r="C87" s="21"/>
      <c r="D87" s="2"/>
      <c r="F87" s="3">
        <f>+F86+F85</f>
        <v>3263380492</v>
      </c>
      <c r="G87" s="3"/>
      <c r="H87" s="1"/>
      <c r="I87" s="3"/>
      <c r="J87" s="1"/>
      <c r="K87" s="4"/>
      <c r="L87" s="1"/>
      <c r="M87" s="1"/>
      <c r="N87" s="1"/>
      <c r="O87" s="1"/>
      <c r="P87" s="1"/>
      <c r="Q87" s="4"/>
      <c r="R87" s="4"/>
      <c r="S87" s="1"/>
    </row>
    <row r="88" spans="2:19">
      <c r="B88" s="1"/>
      <c r="C88" s="21" t="str">
        <f>+S126</f>
        <v xml:space="preserve">Transmission Plant Average Balance for 2017 </v>
      </c>
      <c r="D88" s="59"/>
      <c r="E88" s="103"/>
      <c r="F88" s="85">
        <f>+F87/2</f>
        <v>1631690246</v>
      </c>
      <c r="G88" s="85"/>
      <c r="I88" s="3"/>
      <c r="J88" s="1"/>
      <c r="K88" s="4"/>
      <c r="L88" s="1"/>
      <c r="M88" s="1"/>
      <c r="N88" s="1"/>
      <c r="O88" s="1"/>
      <c r="P88" s="1"/>
      <c r="Q88" s="4"/>
      <c r="R88" s="4"/>
      <c r="S88" s="1"/>
    </row>
    <row r="89" spans="2:19">
      <c r="B89" s="1"/>
      <c r="C89" s="11" t="str">
        <f>S127</f>
        <v>Annual Depreciation Expense  (True-Up TCOS,  ln 82)</v>
      </c>
      <c r="D89" s="59"/>
      <c r="E89" s="18"/>
      <c r="F89" s="85">
        <f>R127</f>
        <v>38531854</v>
      </c>
      <c r="G89" s="85"/>
      <c r="I89" s="3"/>
      <c r="J89" s="1"/>
      <c r="K89" s="4"/>
      <c r="L89" s="1"/>
      <c r="M89" s="1"/>
      <c r="N89" s="1"/>
      <c r="O89" s="1"/>
      <c r="P89" s="1"/>
      <c r="Q89" s="4"/>
      <c r="R89" s="4"/>
      <c r="S89" s="1"/>
    </row>
    <row r="90" spans="2:19">
      <c r="B90" s="1"/>
      <c r="C90" s="21" t="s">
        <v>37</v>
      </c>
      <c r="D90" s="2"/>
      <c r="E90" s="1"/>
      <c r="F90" s="99">
        <f>IF(F88=0,0,F89/F88)</f>
        <v>2.3614686730192049E-2</v>
      </c>
      <c r="G90" s="99"/>
      <c r="H90" s="1"/>
      <c r="I90" s="105"/>
      <c r="J90" s="1"/>
      <c r="K90" s="4"/>
      <c r="L90" s="1"/>
      <c r="M90" s="1"/>
      <c r="N90" s="1"/>
      <c r="O90" s="1"/>
      <c r="P90" s="1"/>
      <c r="Q90" s="4"/>
      <c r="R90" s="4"/>
      <c r="S90" s="1"/>
    </row>
    <row r="91" spans="2:19">
      <c r="B91" s="1"/>
      <c r="C91" s="21" t="s">
        <v>38</v>
      </c>
      <c r="D91" s="2"/>
      <c r="E91" s="1"/>
      <c r="F91" s="106">
        <f>IF(F90=0,0,1/F90)</f>
        <v>42.346528303569301</v>
      </c>
      <c r="G91" s="106"/>
      <c r="H91" s="1"/>
      <c r="I91" s="3"/>
      <c r="J91" s="1"/>
      <c r="K91" s="4"/>
      <c r="L91" s="1"/>
      <c r="M91" s="1"/>
      <c r="N91" s="1"/>
      <c r="O91" s="1"/>
      <c r="P91" s="1"/>
      <c r="Q91" s="4"/>
      <c r="R91" s="4"/>
      <c r="S91" s="1"/>
    </row>
    <row r="92" spans="2:19">
      <c r="B92" s="1"/>
      <c r="C92" s="21" t="s">
        <v>39</v>
      </c>
      <c r="D92" s="2"/>
      <c r="E92" s="1"/>
      <c r="F92" s="107">
        <f>ROUND(F91,0)</f>
        <v>42</v>
      </c>
      <c r="G92" s="107"/>
      <c r="H92" s="1"/>
      <c r="I92" s="3"/>
      <c r="J92" s="1"/>
      <c r="K92" s="4"/>
      <c r="L92" s="1"/>
      <c r="M92" s="1"/>
      <c r="N92" s="1"/>
      <c r="O92" s="1"/>
      <c r="P92" s="1"/>
      <c r="Q92" s="4"/>
      <c r="R92" s="4"/>
      <c r="S92" s="1"/>
    </row>
    <row r="93" spans="2:19">
      <c r="B93" s="1"/>
      <c r="C93" s="21"/>
      <c r="D93" s="2"/>
      <c r="E93" s="1"/>
      <c r="F93" s="107"/>
      <c r="G93" s="107"/>
      <c r="H93" s="1"/>
      <c r="I93" s="3"/>
      <c r="J93" s="1"/>
      <c r="K93" s="4"/>
      <c r="L93" s="1"/>
      <c r="M93" s="1"/>
      <c r="N93" s="1"/>
      <c r="O93" s="1"/>
      <c r="P93" s="1"/>
      <c r="Q93" s="4"/>
      <c r="R93" s="4"/>
      <c r="S93" s="1"/>
    </row>
    <row r="94" spans="2:19">
      <c r="B94" s="1"/>
      <c r="C94" s="21"/>
      <c r="D94" s="2"/>
      <c r="E94" s="1"/>
      <c r="F94" s="107"/>
      <c r="G94" s="107"/>
      <c r="H94" s="1"/>
      <c r="I94" s="3"/>
      <c r="J94" s="1"/>
      <c r="K94" s="4"/>
      <c r="L94" s="1"/>
      <c r="M94" s="1"/>
      <c r="N94" s="1"/>
      <c r="O94" s="1"/>
      <c r="P94" s="1"/>
      <c r="Q94" s="4"/>
      <c r="R94" s="4"/>
      <c r="S94" s="1"/>
    </row>
    <row r="95" spans="2:19">
      <c r="B95" s="1"/>
      <c r="C95" s="21"/>
      <c r="D95" s="2"/>
      <c r="E95" s="1"/>
      <c r="F95" s="107"/>
      <c r="G95" s="107"/>
      <c r="H95" s="1"/>
      <c r="I95" s="3"/>
      <c r="J95" s="1"/>
      <c r="K95" s="4"/>
      <c r="L95" s="1"/>
      <c r="M95" s="1"/>
      <c r="N95" s="1"/>
      <c r="O95" s="1"/>
      <c r="P95" s="1"/>
      <c r="Q95" s="4"/>
      <c r="R95" s="4"/>
      <c r="S95" s="1"/>
    </row>
    <row r="96" spans="2:19">
      <c r="C96" s="1"/>
      <c r="D96" s="2"/>
      <c r="E96" s="1"/>
      <c r="F96" s="1"/>
      <c r="G96" s="1"/>
      <c r="H96" s="1"/>
      <c r="I96" s="3"/>
      <c r="J96" s="1"/>
      <c r="K96" s="4"/>
      <c r="L96" s="1"/>
      <c r="M96" s="1"/>
      <c r="N96" s="1"/>
      <c r="O96" s="1"/>
      <c r="P96" s="1"/>
      <c r="Q96" s="4"/>
      <c r="R96" s="228" t="s">
        <v>107</v>
      </c>
      <c r="S96" s="227" t="s">
        <v>113</v>
      </c>
    </row>
    <row r="97" spans="3:19">
      <c r="C97" s="1"/>
      <c r="D97" s="2"/>
      <c r="E97" s="1"/>
      <c r="F97" s="1"/>
      <c r="G97" s="1"/>
      <c r="H97" s="1"/>
      <c r="I97" s="3"/>
      <c r="J97" s="1"/>
      <c r="K97" s="4"/>
      <c r="L97" s="1"/>
      <c r="M97" s="1"/>
      <c r="N97" s="1"/>
      <c r="O97" s="1"/>
      <c r="P97" s="1"/>
      <c r="Q97" s="4"/>
    </row>
    <row r="98" spans="3:19">
      <c r="C98" s="235" t="s">
        <v>104</v>
      </c>
      <c r="J98" s="7"/>
      <c r="L98" s="235" t="s">
        <v>103</v>
      </c>
      <c r="N98" s="1"/>
      <c r="O98" s="1"/>
      <c r="P98" s="1"/>
      <c r="Q98" s="4"/>
    </row>
    <row r="99" spans="3:19">
      <c r="C99" s="1"/>
      <c r="D99" s="2"/>
      <c r="E99" s="1"/>
      <c r="F99" s="1"/>
      <c r="G99" s="1"/>
      <c r="H99" s="1"/>
      <c r="I99" s="3"/>
      <c r="J99" s="1"/>
      <c r="K99" s="4"/>
      <c r="L99" s="1"/>
      <c r="M99" s="1"/>
      <c r="N99" s="1"/>
      <c r="O99" s="1"/>
      <c r="P99" s="1"/>
      <c r="Q99" s="4"/>
      <c r="S99" s="227" t="s">
        <v>101</v>
      </c>
    </row>
    <row r="100" spans="3:19">
      <c r="C100" s="1"/>
      <c r="D100" s="2"/>
      <c r="E100" s="1"/>
      <c r="F100" s="1"/>
      <c r="G100" s="1"/>
      <c r="H100" s="1"/>
      <c r="I100" s="3"/>
      <c r="J100" s="1"/>
      <c r="K100" s="4"/>
      <c r="L100" s="1"/>
      <c r="M100" s="1"/>
      <c r="N100" s="1"/>
      <c r="O100" s="1"/>
      <c r="P100" s="1"/>
      <c r="Q100" s="4"/>
      <c r="R100" s="228" t="s">
        <v>98</v>
      </c>
      <c r="S100" s="231" t="s">
        <v>115</v>
      </c>
    </row>
    <row r="101" spans="3:19" ht="13.5" thickBot="1">
      <c r="C101" s="1"/>
      <c r="D101" s="2"/>
      <c r="E101" s="1"/>
      <c r="F101" s="1"/>
      <c r="G101" s="1"/>
      <c r="H101" s="1"/>
      <c r="I101" s="3"/>
      <c r="J101" s="1"/>
      <c r="K101" s="4"/>
      <c r="L101" s="1"/>
      <c r="M101" s="1"/>
      <c r="N101" s="1"/>
      <c r="O101" s="1"/>
      <c r="P101" s="1"/>
      <c r="Q101" s="4"/>
      <c r="R101" s="230" t="s">
        <v>133</v>
      </c>
    </row>
    <row r="102" spans="3:19">
      <c r="C102" s="1"/>
      <c r="D102" s="2"/>
      <c r="E102" s="1"/>
      <c r="F102" s="1"/>
      <c r="G102" s="1"/>
      <c r="H102" s="1"/>
      <c r="I102" s="3"/>
      <c r="J102" s="1"/>
      <c r="K102" s="4"/>
      <c r="L102" s="1"/>
      <c r="M102" s="1"/>
      <c r="N102" s="1"/>
      <c r="O102" s="1"/>
      <c r="P102" s="1"/>
      <c r="Q102" s="4"/>
      <c r="R102" s="375" t="s">
        <v>155</v>
      </c>
      <c r="S102" s="236" t="s">
        <v>122</v>
      </c>
    </row>
    <row r="103" spans="3:19">
      <c r="C103" s="1"/>
      <c r="D103" s="2"/>
      <c r="E103" s="1"/>
      <c r="F103" s="1"/>
      <c r="G103" s="1"/>
      <c r="H103" s="1"/>
      <c r="I103" s="3"/>
      <c r="J103" s="1"/>
      <c r="K103" s="4"/>
      <c r="L103" s="1"/>
      <c r="M103" s="1"/>
      <c r="N103" s="1"/>
      <c r="O103" s="1"/>
      <c r="P103" s="1"/>
      <c r="Q103" s="4"/>
      <c r="R103" s="376">
        <v>2017</v>
      </c>
      <c r="S103" s="443" t="s">
        <v>77</v>
      </c>
    </row>
    <row r="104" spans="3:19">
      <c r="C104" s="1"/>
      <c r="D104" s="2"/>
      <c r="E104" s="1"/>
      <c r="F104" s="1"/>
      <c r="G104" s="1"/>
      <c r="H104" s="1"/>
      <c r="I104" s="3"/>
      <c r="J104" s="1"/>
      <c r="K104" s="4"/>
      <c r="L104" s="1"/>
      <c r="M104" s="1"/>
      <c r="N104" s="1"/>
      <c r="O104" s="1"/>
      <c r="P104" s="1"/>
      <c r="Q104" s="4"/>
      <c r="R104" s="450">
        <v>0.112</v>
      </c>
      <c r="S104" s="443" t="s">
        <v>501</v>
      </c>
    </row>
    <row r="105" spans="3:19">
      <c r="C105" s="1"/>
      <c r="D105" s="2"/>
      <c r="E105" s="1"/>
      <c r="F105" s="1"/>
      <c r="G105" s="1"/>
      <c r="H105" s="1"/>
      <c r="I105" s="3"/>
      <c r="J105" s="1"/>
      <c r="K105" s="4"/>
      <c r="L105" s="1"/>
      <c r="M105" s="1"/>
      <c r="N105" s="1"/>
      <c r="O105" s="1"/>
      <c r="P105" s="1"/>
      <c r="Q105" s="4"/>
      <c r="R105" s="454">
        <v>0</v>
      </c>
      <c r="S105" s="443" t="s">
        <v>1</v>
      </c>
    </row>
    <row r="106" spans="3:19">
      <c r="C106" s="1"/>
      <c r="D106" s="2"/>
      <c r="E106" s="1"/>
      <c r="F106" s="1"/>
      <c r="G106" s="1"/>
      <c r="H106" s="1"/>
      <c r="I106" s="3"/>
      <c r="J106" s="1"/>
      <c r="K106" s="4"/>
      <c r="L106" s="1"/>
      <c r="M106" s="1"/>
      <c r="N106" s="1"/>
      <c r="O106" s="1"/>
      <c r="P106" s="1"/>
      <c r="Q106" s="4"/>
      <c r="R106" s="450">
        <v>0.53143702710549356</v>
      </c>
      <c r="S106" s="444" t="s">
        <v>93</v>
      </c>
    </row>
    <row r="107" spans="3:19">
      <c r="C107" s="1"/>
      <c r="D107" s="2"/>
      <c r="E107" s="1"/>
      <c r="F107" s="1"/>
      <c r="G107" s="1"/>
      <c r="H107" s="1"/>
      <c r="I107" s="3"/>
      <c r="J107" s="1"/>
      <c r="K107" s="4"/>
      <c r="L107" s="1"/>
      <c r="M107" s="1"/>
      <c r="N107" s="1"/>
      <c r="O107" s="1"/>
      <c r="P107" s="1"/>
      <c r="Q107" s="4"/>
      <c r="R107" s="451">
        <v>4.5986342017089905E-2</v>
      </c>
      <c r="S107" s="444" t="s">
        <v>94</v>
      </c>
    </row>
    <row r="108" spans="3:19">
      <c r="C108" s="1"/>
      <c r="D108" s="2"/>
      <c r="E108" s="1"/>
      <c r="F108" s="1"/>
      <c r="G108" s="1"/>
      <c r="H108" s="1"/>
      <c r="I108" s="3"/>
      <c r="J108" s="1"/>
      <c r="K108" s="4"/>
      <c r="L108" s="1"/>
      <c r="M108" s="1"/>
      <c r="N108" s="1"/>
      <c r="O108" s="1"/>
      <c r="P108" s="1"/>
      <c r="Q108" s="4"/>
      <c r="R108" s="450">
        <v>0</v>
      </c>
      <c r="S108" s="444" t="s">
        <v>95</v>
      </c>
    </row>
    <row r="109" spans="3:19">
      <c r="C109" s="1"/>
      <c r="D109" s="2"/>
      <c r="E109" s="1"/>
      <c r="F109" s="1"/>
      <c r="G109" s="1"/>
      <c r="H109" s="1"/>
      <c r="I109" s="3"/>
      <c r="J109" s="1"/>
      <c r="K109" s="4"/>
      <c r="L109" s="1"/>
      <c r="M109" s="1"/>
      <c r="N109" s="1"/>
      <c r="O109" s="1"/>
      <c r="P109" s="1"/>
      <c r="Q109" s="4"/>
      <c r="R109" s="451">
        <v>0</v>
      </c>
      <c r="S109" s="444" t="s">
        <v>96</v>
      </c>
    </row>
    <row r="110" spans="3:19">
      <c r="C110" s="1"/>
      <c r="D110" s="2"/>
      <c r="E110" s="1"/>
      <c r="F110" s="1"/>
      <c r="G110" s="1"/>
      <c r="H110" s="1"/>
      <c r="I110" s="3"/>
      <c r="J110" s="1"/>
      <c r="K110" s="4"/>
      <c r="L110" s="1"/>
      <c r="M110" s="1"/>
      <c r="N110" s="1"/>
      <c r="O110" s="1"/>
      <c r="P110" s="1"/>
      <c r="Q110" s="4"/>
      <c r="R110" s="450">
        <v>0.46856297289450644</v>
      </c>
      <c r="S110" s="445" t="s">
        <v>97</v>
      </c>
    </row>
    <row r="111" spans="3:19">
      <c r="C111" s="1"/>
      <c r="D111" s="2"/>
      <c r="E111" s="1"/>
      <c r="F111" s="1"/>
      <c r="G111" s="1"/>
      <c r="H111" s="1"/>
      <c r="I111" s="3"/>
      <c r="J111" s="1"/>
      <c r="K111" s="4"/>
      <c r="L111" s="1"/>
      <c r="M111" s="1"/>
      <c r="N111" s="1"/>
      <c r="O111" s="1"/>
      <c r="P111" s="1"/>
      <c r="Q111" s="4"/>
      <c r="R111" s="438">
        <v>850665218.46968555</v>
      </c>
      <c r="S111" s="446" t="s">
        <v>484</v>
      </c>
    </row>
    <row r="112" spans="3:19">
      <c r="C112" s="1"/>
      <c r="D112" s="2"/>
      <c r="E112" s="1"/>
      <c r="F112" s="1"/>
      <c r="G112" s="1"/>
      <c r="H112" s="1"/>
      <c r="I112" s="3"/>
      <c r="J112" s="1"/>
      <c r="K112" s="4"/>
      <c r="L112" s="1"/>
      <c r="M112" s="1"/>
      <c r="N112" s="1"/>
      <c r="O112" s="1"/>
      <c r="P112" s="1"/>
      <c r="Q112" s="4"/>
      <c r="R112" s="439">
        <v>0.38061500000000004</v>
      </c>
      <c r="S112" s="443" t="s">
        <v>502</v>
      </c>
    </row>
    <row r="113" spans="3:19">
      <c r="C113" s="1"/>
      <c r="D113" s="2"/>
      <c r="E113" s="1"/>
      <c r="F113" s="1"/>
      <c r="G113" s="1"/>
      <c r="H113" s="1"/>
      <c r="I113" s="3"/>
      <c r="J113" s="1"/>
      <c r="K113" s="4"/>
      <c r="L113" s="1"/>
      <c r="M113" s="1"/>
      <c r="N113" s="1"/>
      <c r="O113" s="1"/>
      <c r="P113" s="1"/>
      <c r="Q113" s="4"/>
      <c r="R113" s="438">
        <v>-414983.49090406374</v>
      </c>
      <c r="S113" s="443" t="s">
        <v>503</v>
      </c>
    </row>
    <row r="114" spans="3:19">
      <c r="C114" s="1"/>
      <c r="D114" s="2"/>
      <c r="E114" s="1"/>
      <c r="F114" s="1"/>
      <c r="G114" s="1"/>
      <c r="H114" s="1"/>
      <c r="I114" s="3"/>
      <c r="J114" s="1"/>
      <c r="K114" s="4"/>
      <c r="L114" s="1"/>
      <c r="M114" s="1"/>
      <c r="N114" s="1"/>
      <c r="O114" s="1"/>
      <c r="P114" s="1"/>
      <c r="Q114" s="4"/>
      <c r="R114" s="438">
        <v>0</v>
      </c>
      <c r="S114" s="443" t="s">
        <v>383</v>
      </c>
    </row>
    <row r="115" spans="3:19">
      <c r="C115" s="1"/>
      <c r="D115" s="2"/>
      <c r="E115" s="1"/>
      <c r="F115" s="1"/>
      <c r="G115" s="1"/>
      <c r="H115" s="1"/>
      <c r="I115" s="3"/>
      <c r="J115" s="1"/>
      <c r="K115" s="4"/>
      <c r="L115" s="1"/>
      <c r="M115" s="1"/>
      <c r="N115" s="1"/>
      <c r="O115" s="1"/>
      <c r="P115" s="1"/>
      <c r="Q115" s="4"/>
      <c r="R115" s="438">
        <v>0</v>
      </c>
      <c r="S115" s="443" t="s">
        <v>385</v>
      </c>
    </row>
    <row r="116" spans="3:19">
      <c r="C116" s="1"/>
      <c r="D116" s="2"/>
      <c r="E116" s="1"/>
      <c r="F116" s="1"/>
      <c r="G116" s="1"/>
      <c r="H116" s="1"/>
      <c r="I116" s="3"/>
      <c r="J116" s="1"/>
      <c r="K116" s="4"/>
      <c r="L116" s="1"/>
      <c r="M116" s="1"/>
      <c r="N116" s="1"/>
      <c r="O116" s="1"/>
      <c r="P116" s="1"/>
      <c r="Q116" s="4"/>
      <c r="R116" s="438">
        <v>169321480.87117857</v>
      </c>
      <c r="S116" s="443" t="s">
        <v>504</v>
      </c>
    </row>
    <row r="117" spans="3:19">
      <c r="C117" s="1"/>
      <c r="D117" s="2"/>
      <c r="E117" s="1"/>
      <c r="F117" s="1"/>
      <c r="G117" s="1"/>
      <c r="H117" s="1"/>
      <c r="I117" s="3"/>
      <c r="J117" s="1"/>
      <c r="K117" s="4"/>
      <c r="L117" s="1"/>
      <c r="M117" s="1"/>
      <c r="N117" s="1"/>
      <c r="O117" s="1"/>
      <c r="P117" s="1"/>
      <c r="Q117" s="4"/>
      <c r="R117" s="438">
        <v>65431380.381524257</v>
      </c>
      <c r="S117" s="443" t="s">
        <v>505</v>
      </c>
    </row>
    <row r="118" spans="3:19">
      <c r="C118" s="1"/>
      <c r="D118" s="2"/>
      <c r="E118" s="1"/>
      <c r="F118" s="1"/>
      <c r="G118" s="1"/>
      <c r="H118" s="1"/>
      <c r="I118" s="3"/>
      <c r="J118" s="1"/>
      <c r="K118" s="4"/>
      <c r="L118" s="1"/>
      <c r="M118" s="1"/>
      <c r="N118" s="1"/>
      <c r="O118" s="1"/>
      <c r="P118" s="1"/>
      <c r="Q118" s="4"/>
      <c r="R118" s="438">
        <v>27017800.343795996</v>
      </c>
      <c r="S118" s="443" t="s">
        <v>506</v>
      </c>
    </row>
    <row r="119" spans="3:19">
      <c r="C119" s="1"/>
      <c r="D119" s="2"/>
      <c r="E119" s="1"/>
      <c r="F119" s="1"/>
      <c r="G119" s="1"/>
      <c r="H119" s="1"/>
      <c r="I119" s="3"/>
      <c r="J119" s="1"/>
      <c r="K119" s="4"/>
      <c r="L119" s="1"/>
      <c r="M119" s="1"/>
      <c r="N119" s="1"/>
      <c r="O119" s="1"/>
      <c r="P119" s="1"/>
      <c r="Q119" s="4"/>
      <c r="R119" s="438">
        <v>146986.15438894159</v>
      </c>
      <c r="S119" s="443" t="s">
        <v>507</v>
      </c>
    </row>
    <row r="120" spans="3:19">
      <c r="C120" s="1"/>
      <c r="D120" s="2"/>
      <c r="E120" s="1"/>
      <c r="F120" s="1"/>
      <c r="G120" s="1"/>
      <c r="H120" s="1"/>
      <c r="I120" s="3"/>
      <c r="J120" s="1"/>
      <c r="K120" s="4"/>
      <c r="L120" s="1"/>
      <c r="M120" s="1"/>
      <c r="N120" s="1"/>
      <c r="O120" s="1"/>
      <c r="P120" s="1"/>
      <c r="Q120" s="4"/>
      <c r="R120" s="438">
        <v>36524825.690247476</v>
      </c>
      <c r="S120" s="443" t="s">
        <v>508</v>
      </c>
    </row>
    <row r="121" spans="3:19">
      <c r="C121" s="1"/>
      <c r="D121" s="2"/>
      <c r="E121" s="1"/>
      <c r="F121" s="1"/>
      <c r="G121" s="1"/>
      <c r="H121" s="1"/>
      <c r="I121" s="3"/>
      <c r="J121" s="1"/>
      <c r="K121" s="4"/>
      <c r="L121" s="1"/>
      <c r="M121" s="1"/>
      <c r="N121" s="1"/>
      <c r="O121" s="1"/>
      <c r="P121" s="1"/>
      <c r="Q121" s="4"/>
      <c r="R121" s="439">
        <v>0.39458224543080939</v>
      </c>
      <c r="S121" s="443" t="s">
        <v>100</v>
      </c>
    </row>
    <row r="122" spans="3:19">
      <c r="C122" s="1"/>
      <c r="D122" s="2"/>
      <c r="E122" s="1"/>
      <c r="F122" s="1"/>
      <c r="G122" s="1"/>
      <c r="H122" s="1"/>
      <c r="I122" s="3"/>
      <c r="J122" s="1"/>
      <c r="K122" s="4"/>
      <c r="L122" s="1"/>
      <c r="M122" s="1"/>
      <c r="N122" s="1"/>
      <c r="O122" s="1"/>
      <c r="P122" s="1"/>
      <c r="Q122" s="4"/>
      <c r="R122" s="438">
        <v>1093233404.0677478</v>
      </c>
      <c r="S122" s="443" t="s">
        <v>485</v>
      </c>
    </row>
    <row r="123" spans="3:19">
      <c r="C123" s="1"/>
      <c r="D123" s="2"/>
      <c r="E123" s="1"/>
      <c r="F123" s="1"/>
      <c r="G123" s="1"/>
      <c r="H123" s="1"/>
      <c r="I123" s="3"/>
      <c r="J123" s="1"/>
      <c r="K123" s="4"/>
      <c r="L123" s="1"/>
      <c r="M123" s="1"/>
      <c r="N123" s="1"/>
      <c r="O123" s="1"/>
      <c r="P123" s="1"/>
      <c r="Q123" s="4"/>
      <c r="R123" s="439">
        <v>0.12147145768398206</v>
      </c>
      <c r="S123" s="447" t="s">
        <v>486</v>
      </c>
    </row>
    <row r="124" spans="3:19">
      <c r="C124" s="1"/>
      <c r="D124" s="2"/>
      <c r="E124" s="1"/>
      <c r="F124" s="1"/>
      <c r="G124" s="1"/>
      <c r="H124" s="1"/>
      <c r="I124" s="3"/>
      <c r="J124" s="1"/>
      <c r="K124" s="4"/>
      <c r="L124" s="1"/>
      <c r="M124" s="1"/>
      <c r="N124" s="1"/>
      <c r="O124" s="1"/>
      <c r="P124" s="1"/>
      <c r="Q124" s="4"/>
      <c r="R124" s="440">
        <v>1584069792</v>
      </c>
      <c r="S124" s="444" t="s">
        <v>487</v>
      </c>
    </row>
    <row r="125" spans="3:19">
      <c r="C125" s="1"/>
      <c r="D125" s="2"/>
      <c r="E125" s="1"/>
      <c r="F125" s="1"/>
      <c r="G125" s="1"/>
      <c r="H125" s="1"/>
      <c r="I125" s="3"/>
      <c r="J125" s="1"/>
      <c r="K125" s="4"/>
      <c r="L125" s="1"/>
      <c r="M125" s="1"/>
      <c r="N125" s="1"/>
      <c r="O125" s="1"/>
      <c r="P125" s="1"/>
      <c r="Q125" s="4"/>
      <c r="R125" s="441">
        <v>1679310700</v>
      </c>
      <c r="S125" s="445" t="s">
        <v>488</v>
      </c>
    </row>
    <row r="126" spans="3:19">
      <c r="C126" s="1"/>
      <c r="D126" s="2"/>
      <c r="E126" s="1"/>
      <c r="F126" s="1"/>
      <c r="G126" s="1"/>
      <c r="H126" s="1"/>
      <c r="I126" s="3"/>
      <c r="J126" s="1"/>
      <c r="K126" s="4"/>
      <c r="L126" s="1"/>
      <c r="M126" s="1"/>
      <c r="N126" s="1"/>
      <c r="O126" s="1"/>
      <c r="P126" s="1"/>
      <c r="Q126" s="4"/>
      <c r="R126" s="453"/>
      <c r="S126" s="448" t="s">
        <v>509</v>
      </c>
    </row>
    <row r="127" spans="3:19" ht="13.5" thickBot="1">
      <c r="C127" s="1"/>
      <c r="D127" s="2"/>
      <c r="E127" s="1"/>
      <c r="F127" s="1"/>
      <c r="G127" s="1"/>
      <c r="H127" s="1"/>
      <c r="I127" s="3"/>
      <c r="J127" s="1"/>
      <c r="K127" s="4"/>
      <c r="L127" s="1"/>
      <c r="M127" s="1"/>
      <c r="N127" s="1"/>
      <c r="O127" s="1"/>
      <c r="P127" s="1"/>
      <c r="Q127" s="4"/>
      <c r="R127" s="452">
        <v>38531854</v>
      </c>
      <c r="S127" s="449" t="s">
        <v>510</v>
      </c>
    </row>
    <row r="128" spans="3:19">
      <c r="C128" s="1"/>
      <c r="D128" s="2"/>
      <c r="E128" s="1"/>
      <c r="F128" s="1"/>
      <c r="G128" s="1"/>
      <c r="H128" s="1"/>
      <c r="I128" s="3"/>
      <c r="J128" s="1"/>
      <c r="K128" s="4"/>
      <c r="L128" s="1"/>
      <c r="M128" s="1"/>
      <c r="N128" s="1"/>
      <c r="O128" s="1"/>
      <c r="P128" s="1"/>
      <c r="Q128" s="4"/>
      <c r="R128" s="1"/>
      <c r="S128" s="1"/>
    </row>
    <row r="129" spans="3:19">
      <c r="C129" s="1"/>
      <c r="D129" s="2"/>
      <c r="E129" s="1"/>
      <c r="F129" s="1"/>
      <c r="G129" s="1"/>
      <c r="H129" s="1"/>
      <c r="I129" s="3"/>
      <c r="J129" s="1"/>
      <c r="K129" s="4"/>
      <c r="L129" s="1"/>
      <c r="M129" s="1"/>
      <c r="N129" s="1"/>
      <c r="O129" s="1"/>
      <c r="P129" s="1"/>
      <c r="Q129" s="4"/>
      <c r="R129" s="228" t="s">
        <v>99</v>
      </c>
      <c r="S129" s="1" t="s">
        <v>111</v>
      </c>
    </row>
    <row r="130" spans="3:19" ht="13.5" thickBot="1">
      <c r="C130" s="1"/>
      <c r="D130" s="2"/>
      <c r="E130" s="1"/>
      <c r="F130" s="1"/>
      <c r="G130" s="1"/>
      <c r="H130" s="1"/>
      <c r="I130" s="3"/>
      <c r="J130" s="1"/>
      <c r="K130" s="4"/>
      <c r="L130" s="1"/>
      <c r="M130" s="1"/>
      <c r="N130" s="1"/>
      <c r="O130" s="1"/>
      <c r="P130" s="1"/>
      <c r="Q130" s="4"/>
      <c r="R130" s="230" t="s">
        <v>134</v>
      </c>
      <c r="S130" s="1"/>
    </row>
    <row r="131" spans="3:19">
      <c r="C131" s="1"/>
      <c r="D131" s="2"/>
      <c r="E131" s="1"/>
      <c r="F131" s="1"/>
      <c r="G131" s="1"/>
      <c r="H131" s="1"/>
      <c r="I131" s="3"/>
      <c r="J131" s="1"/>
      <c r="K131" s="4"/>
      <c r="L131" s="1"/>
      <c r="M131" s="1"/>
      <c r="N131" s="1"/>
      <c r="O131" s="1"/>
      <c r="P131" s="1"/>
      <c r="Q131" s="4"/>
      <c r="R131" s="429">
        <f>+N16</f>
        <v>86612871.407630518</v>
      </c>
      <c r="S131" t="s">
        <v>116</v>
      </c>
    </row>
    <row r="132" spans="3:19">
      <c r="C132" s="1"/>
      <c r="D132" s="2"/>
      <c r="E132" s="1"/>
      <c r="F132" s="1"/>
      <c r="G132" s="1"/>
      <c r="H132" s="1"/>
      <c r="I132" s="3"/>
      <c r="J132" s="1"/>
      <c r="K132" s="4"/>
      <c r="L132" s="1"/>
      <c r="M132" s="1"/>
      <c r="N132" s="1"/>
      <c r="O132" s="1"/>
      <c r="P132" s="1"/>
      <c r="Q132" s="4"/>
      <c r="R132" s="430">
        <f>+O16</f>
        <v>86612871.407630518</v>
      </c>
      <c r="S132" t="s">
        <v>117</v>
      </c>
    </row>
    <row r="133" spans="3:19">
      <c r="C133" s="1"/>
      <c r="D133" s="2"/>
      <c r="E133" s="1"/>
      <c r="F133" s="1"/>
      <c r="G133" s="1"/>
      <c r="H133" s="1"/>
      <c r="I133" s="3"/>
      <c r="J133" s="1"/>
      <c r="K133" s="4"/>
      <c r="L133" s="1"/>
      <c r="M133" s="1"/>
      <c r="N133" s="1"/>
      <c r="O133" s="1"/>
      <c r="P133" s="1"/>
      <c r="Q133" s="4"/>
      <c r="R133" s="430">
        <f>+N17</f>
        <v>86327441.697800845</v>
      </c>
      <c r="S133" t="s">
        <v>118</v>
      </c>
    </row>
    <row r="134" spans="3:19" ht="13.5" thickBot="1">
      <c r="C134" s="1"/>
      <c r="D134" s="2"/>
      <c r="E134" s="1"/>
      <c r="F134" s="1"/>
      <c r="G134" s="1"/>
      <c r="H134" s="1"/>
      <c r="I134" s="3"/>
      <c r="J134" s="1"/>
      <c r="K134" s="4"/>
      <c r="L134" s="1"/>
      <c r="M134" s="1"/>
      <c r="N134" s="1"/>
      <c r="O134" s="1"/>
      <c r="P134" s="1"/>
      <c r="Q134" s="4"/>
      <c r="R134" s="431">
        <f>+O17</f>
        <v>86327441.697800845</v>
      </c>
      <c r="S134" t="s">
        <v>119</v>
      </c>
    </row>
    <row r="135" spans="3:19">
      <c r="C135" s="1"/>
      <c r="D135" s="2"/>
      <c r="E135" s="1"/>
      <c r="F135" s="1"/>
      <c r="G135" s="1"/>
      <c r="H135" s="1"/>
      <c r="I135" s="3"/>
      <c r="J135" s="1"/>
      <c r="K135" s="4"/>
      <c r="L135" s="1"/>
      <c r="M135" s="1"/>
      <c r="N135" s="1"/>
      <c r="O135" s="1"/>
      <c r="P135" s="1"/>
      <c r="Q135" s="4"/>
      <c r="R135" s="1"/>
      <c r="S135" s="1"/>
    </row>
    <row r="136" spans="3:19">
      <c r="C136" s="1"/>
      <c r="D136" s="2"/>
      <c r="E136" s="1"/>
      <c r="F136" s="1"/>
      <c r="G136" s="1"/>
      <c r="H136" s="1"/>
      <c r="I136" s="3"/>
      <c r="J136" s="1"/>
      <c r="K136" s="4"/>
      <c r="L136" s="1"/>
      <c r="M136" s="1"/>
      <c r="N136" s="1"/>
      <c r="O136" s="1"/>
      <c r="P136" s="1"/>
      <c r="Q136" s="4"/>
      <c r="R136" s="228" t="s">
        <v>109</v>
      </c>
      <c r="S136" s="227" t="s">
        <v>114</v>
      </c>
    </row>
  </sheetData>
  <mergeCells count="6">
    <mergeCell ref="L7:P9"/>
    <mergeCell ref="C7:I7"/>
    <mergeCell ref="A1:K1"/>
    <mergeCell ref="A2:K2"/>
    <mergeCell ref="A3:K3"/>
    <mergeCell ref="A4:K4"/>
  </mergeCells>
  <phoneticPr fontId="0" type="noConversion"/>
  <printOptions horizontalCentered="1"/>
  <pageMargins left="0.25" right="0.25" top="0.75" bottom="0.25" header="0.25" footer="0.5"/>
  <pageSetup scale="41" fitToHeight="5" orientation="landscape" horizontalDpi="1200" verticalDpi="1200" r:id="rId1"/>
  <headerFooter alignWithMargins="0">
    <oddHeader xml:space="preserve">&amp;R&amp;16AEP - SPP Formula Rate
SWEPCO TCOS - WS G
Page: &amp;P of &amp;N
</oddHeader>
    <oddFooter>&amp;L&amp;A</oddFooter>
  </headerFooter>
  <legacy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8"/>
  <dimension ref="A1:Q162"/>
  <sheetViews>
    <sheetView view="pageBreakPreview" zoomScale="75" zoomScaleNormal="100" zoomScaleSheetLayoutView="75" workbookViewId="0">
      <selection activeCell="C19" sqref="C19"/>
    </sheetView>
  </sheetViews>
  <sheetFormatPr defaultRowHeight="12.75" customHeight="1"/>
  <cols>
    <col min="1" max="1" width="4.7109375" customWidth="1"/>
    <col min="2" max="2" width="6.7109375" customWidth="1"/>
    <col min="3" max="3" width="23.28515625" customWidth="1"/>
    <col min="4" max="8" width="17.7109375" customWidth="1"/>
    <col min="9" max="9" width="20.42578125" customWidth="1"/>
    <col min="10" max="10" width="16.42578125" customWidth="1"/>
    <col min="11" max="11" width="17.7109375" customWidth="1"/>
    <col min="12" max="12" width="16.140625" customWidth="1"/>
    <col min="13" max="13" width="17.7109375" customWidth="1"/>
    <col min="14" max="14" width="16.140625" customWidth="1"/>
    <col min="15" max="15" width="16.85546875" customWidth="1"/>
    <col min="16" max="16" width="24.42578125" customWidth="1"/>
    <col min="17" max="17" width="4.7109375" customWidth="1"/>
    <col min="23" max="23" width="9.140625" customWidth="1"/>
  </cols>
  <sheetData>
    <row r="1" spans="1:17" ht="20.25">
      <c r="A1" s="243" t="s">
        <v>128</v>
      </c>
      <c r="B1" s="1"/>
      <c r="C1" s="21"/>
      <c r="D1" s="2"/>
      <c r="E1" s="1"/>
      <c r="F1" s="99"/>
      <c r="G1" s="1"/>
      <c r="H1" s="3"/>
      <c r="J1" s="7"/>
      <c r="K1" s="109"/>
      <c r="L1" s="109"/>
      <c r="M1" s="109"/>
      <c r="P1" s="249" t="str">
        <f ca="1">"SWEPCO Project "&amp;RIGHT(MID(CELL("filename",$A$1),FIND("]",CELL("filename",$A$1))+1,256),2)&amp;" of "&amp;COUNT('S.001:S.xyz - blank'!$P$3)-1</f>
        <v>SWEPCO Project 27 of 73</v>
      </c>
      <c r="Q1" s="108"/>
    </row>
    <row r="2" spans="1:17" ht="18">
      <c r="B2" s="1"/>
      <c r="C2" s="1"/>
      <c r="D2" s="2"/>
      <c r="E2" s="1"/>
      <c r="F2" s="1"/>
      <c r="G2" s="1"/>
      <c r="H2" s="3"/>
      <c r="I2" s="1"/>
      <c r="J2" s="4"/>
      <c r="K2" s="1"/>
      <c r="L2" s="1"/>
      <c r="M2" s="1"/>
      <c r="N2" s="1"/>
      <c r="P2" s="237" t="s">
        <v>124</v>
      </c>
    </row>
    <row r="3" spans="1:17" ht="18.75">
      <c r="B3" s="5" t="s">
        <v>40</v>
      </c>
      <c r="C3" s="68" t="s">
        <v>41</v>
      </c>
      <c r="D3" s="2"/>
      <c r="E3" s="1"/>
      <c r="F3" s="1"/>
      <c r="G3" s="1"/>
      <c r="H3" s="3"/>
      <c r="I3" s="3"/>
      <c r="J3" s="111"/>
      <c r="K3" s="3"/>
      <c r="L3" s="3"/>
      <c r="M3" s="3"/>
      <c r="N3" s="3"/>
      <c r="O3" s="1" t="str">
        <f>RIGHT(N3,3)</f>
        <v/>
      </c>
      <c r="P3" s="239">
        <v>1</v>
      </c>
    </row>
    <row r="4" spans="1:17" ht="15.75" thickBot="1">
      <c r="C4" s="67"/>
      <c r="D4" s="2"/>
      <c r="E4" s="1"/>
      <c r="F4" s="1"/>
      <c r="G4" s="1"/>
      <c r="H4" s="3"/>
      <c r="I4" s="3"/>
      <c r="J4" s="111"/>
      <c r="K4" s="3"/>
      <c r="L4" s="3"/>
      <c r="M4" s="3"/>
      <c r="N4" s="3"/>
      <c r="O4" s="1"/>
      <c r="P4" s="1"/>
    </row>
    <row r="5" spans="1:17" ht="15">
      <c r="C5" s="112" t="s">
        <v>42</v>
      </c>
      <c r="D5" s="2"/>
      <c r="E5" s="1"/>
      <c r="F5" s="1"/>
      <c r="G5" s="113"/>
      <c r="H5" s="1" t="s">
        <v>43</v>
      </c>
      <c r="I5" s="1"/>
      <c r="J5" s="4"/>
      <c r="K5" s="268" t="s">
        <v>152</v>
      </c>
      <c r="L5" s="114"/>
      <c r="M5" s="115"/>
      <c r="N5" s="116">
        <f>VLOOKUP(I10,C17:I72,5)</f>
        <v>44709.254787961065</v>
      </c>
      <c r="P5" s="1"/>
    </row>
    <row r="6" spans="1:17" ht="15.75">
      <c r="C6" s="8"/>
      <c r="D6" s="2"/>
      <c r="E6" s="1"/>
      <c r="F6" s="1"/>
      <c r="G6" s="1"/>
      <c r="H6" s="117"/>
      <c r="I6" s="117"/>
      <c r="J6" s="118"/>
      <c r="K6" s="269" t="s">
        <v>153</v>
      </c>
      <c r="L6" s="119"/>
      <c r="M6" s="4"/>
      <c r="N6" s="120">
        <f>VLOOKUP(I10,C17:I72,6)</f>
        <v>44709.254787961065</v>
      </c>
      <c r="O6" s="1"/>
      <c r="P6" s="1"/>
    </row>
    <row r="7" spans="1:17" ht="13.5" thickBot="1">
      <c r="C7" s="121" t="s">
        <v>44</v>
      </c>
      <c r="D7" s="274" t="s">
        <v>266</v>
      </c>
      <c r="E7" s="1"/>
      <c r="F7" s="1"/>
      <c r="G7" s="170"/>
      <c r="H7" s="3"/>
      <c r="I7" s="3"/>
      <c r="J7" s="111"/>
      <c r="K7" s="122" t="s">
        <v>45</v>
      </c>
      <c r="L7" s="123"/>
      <c r="M7" s="123"/>
      <c r="N7" s="124">
        <f>+N6-N5</f>
        <v>0</v>
      </c>
      <c r="O7" s="1"/>
      <c r="P7" s="1"/>
    </row>
    <row r="8" spans="1:17" ht="13.5" thickBot="1">
      <c r="C8" s="125"/>
      <c r="D8" s="250" t="str">
        <f>IF(D10&lt;100000,"DOES NOT MEET SPP $100,000 MINIMUM INVESTMENT FOR REGIONAL BPU SHARING.","")</f>
        <v/>
      </c>
      <c r="E8" s="126"/>
      <c r="F8" s="126"/>
      <c r="G8" s="126"/>
      <c r="H8" s="126"/>
      <c r="I8" s="126"/>
      <c r="J8" s="101"/>
      <c r="K8" s="126"/>
      <c r="L8" s="126"/>
      <c r="M8" s="126"/>
      <c r="N8" s="126"/>
      <c r="O8" s="101"/>
      <c r="P8" s="21"/>
    </row>
    <row r="9" spans="1:17" ht="13.5" thickBot="1">
      <c r="A9" s="103"/>
      <c r="C9" s="127" t="s">
        <v>46</v>
      </c>
      <c r="D9" s="371" t="s">
        <v>265</v>
      </c>
      <c r="E9" s="401" t="s">
        <v>418</v>
      </c>
      <c r="F9" s="128"/>
      <c r="G9" s="128"/>
      <c r="H9" s="128"/>
      <c r="I9" s="129"/>
      <c r="J9" s="130"/>
      <c r="O9" s="131"/>
      <c r="P9" s="4"/>
    </row>
    <row r="10" spans="1:17">
      <c r="C10" s="132" t="s">
        <v>47</v>
      </c>
      <c r="D10" s="133">
        <v>421517</v>
      </c>
      <c r="E10" s="61" t="s">
        <v>459</v>
      </c>
      <c r="F10" s="131"/>
      <c r="G10" s="134"/>
      <c r="H10" s="134"/>
      <c r="I10" s="135">
        <f>+SWE.WS.F.BPU.ATRR.Projected!K17</f>
        <v>2019</v>
      </c>
      <c r="J10" s="130"/>
      <c r="K10" s="111" t="s">
        <v>48</v>
      </c>
      <c r="O10" s="4"/>
      <c r="P10" s="4"/>
    </row>
    <row r="11" spans="1:17">
      <c r="C11" s="136" t="s">
        <v>49</v>
      </c>
      <c r="D11" s="137">
        <v>2012</v>
      </c>
      <c r="E11" s="136" t="s">
        <v>50</v>
      </c>
      <c r="F11" s="134"/>
      <c r="G11" s="7"/>
      <c r="H11" s="7"/>
      <c r="I11" s="138">
        <v>0</v>
      </c>
      <c r="J11" s="139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4"/>
      <c r="P11" s="4"/>
    </row>
    <row r="12" spans="1:17">
      <c r="C12" s="136" t="s">
        <v>51</v>
      </c>
      <c r="D12" s="133">
        <v>6</v>
      </c>
      <c r="E12" s="136" t="s">
        <v>52</v>
      </c>
      <c r="F12" s="134"/>
      <c r="G12" s="7"/>
      <c r="H12" s="7"/>
      <c r="I12" s="140">
        <f>SWE.WS.F.BPU.ATRR.Projected!$F$76</f>
        <v>9.9555672459071778E-2</v>
      </c>
      <c r="J12" s="141"/>
      <c r="K12" t="s">
        <v>53</v>
      </c>
      <c r="O12" s="4"/>
      <c r="P12" s="4"/>
    </row>
    <row r="13" spans="1:17">
      <c r="C13" s="136" t="s">
        <v>54</v>
      </c>
      <c r="D13" s="138">
        <f>+SWE.WS.F.BPU.ATRR.Projected!F$87</f>
        <v>43</v>
      </c>
      <c r="E13" s="136" t="s">
        <v>55</v>
      </c>
      <c r="F13" s="134"/>
      <c r="G13" s="7"/>
      <c r="H13" s="7"/>
      <c r="I13" s="140">
        <f>IF(G5="",I12,SWE.WS.F.BPU.ATRR.Projected!$F$75)</f>
        <v>9.9555672459071778E-2</v>
      </c>
      <c r="J13" s="141"/>
      <c r="K13" s="111" t="s">
        <v>56</v>
      </c>
      <c r="L13" s="58"/>
      <c r="M13" s="58"/>
      <c r="N13" s="58"/>
      <c r="O13" s="4"/>
      <c r="P13" s="4"/>
    </row>
    <row r="14" spans="1:17" ht="13.5" thickBot="1">
      <c r="C14" s="136" t="s">
        <v>57</v>
      </c>
      <c r="D14" s="137" t="s">
        <v>58</v>
      </c>
      <c r="E14" s="4" t="s">
        <v>59</v>
      </c>
      <c r="F14" s="134"/>
      <c r="G14" s="7"/>
      <c r="H14" s="7"/>
      <c r="I14" s="142">
        <f>IF(D10=0,0,D10/D13)</f>
        <v>9802.7209302325573</v>
      </c>
      <c r="J14" s="111"/>
      <c r="K14" s="111"/>
      <c r="L14" s="111"/>
      <c r="M14" s="111"/>
      <c r="N14" s="111"/>
      <c r="O14" s="4"/>
      <c r="P14" s="4"/>
    </row>
    <row r="15" spans="1:17" ht="38.25">
      <c r="C15" s="143" t="s">
        <v>47</v>
      </c>
      <c r="D15" s="144" t="s">
        <v>60</v>
      </c>
      <c r="E15" s="144" t="s">
        <v>61</v>
      </c>
      <c r="F15" s="144" t="s">
        <v>62</v>
      </c>
      <c r="G15" s="434" t="s">
        <v>378</v>
      </c>
      <c r="H15" s="435" t="s">
        <v>379</v>
      </c>
      <c r="I15" s="351" t="s">
        <v>249</v>
      </c>
      <c r="J15" s="145"/>
      <c r="K15" s="271" t="s">
        <v>219</v>
      </c>
      <c r="L15" s="146" t="s">
        <v>64</v>
      </c>
      <c r="M15" s="271" t="s">
        <v>219</v>
      </c>
      <c r="N15" s="146" t="s">
        <v>64</v>
      </c>
      <c r="O15" s="146" t="s">
        <v>65</v>
      </c>
      <c r="P15" s="4"/>
    </row>
    <row r="16" spans="1:17" ht="13.5" thickBot="1">
      <c r="C16" s="147" t="s">
        <v>66</v>
      </c>
      <c r="D16" s="147" t="s">
        <v>67</v>
      </c>
      <c r="E16" s="147" t="s">
        <v>68</v>
      </c>
      <c r="F16" s="147" t="s">
        <v>67</v>
      </c>
      <c r="G16" s="408" t="s">
        <v>69</v>
      </c>
      <c r="H16" s="148" t="s">
        <v>70</v>
      </c>
      <c r="I16" s="149" t="s">
        <v>89</v>
      </c>
      <c r="J16" s="150" t="s">
        <v>71</v>
      </c>
      <c r="K16" s="151" t="s">
        <v>72</v>
      </c>
      <c r="L16" s="151" t="s">
        <v>72</v>
      </c>
      <c r="M16" s="151" t="s">
        <v>90</v>
      </c>
      <c r="N16" s="152" t="s">
        <v>90</v>
      </c>
      <c r="O16" s="151" t="s">
        <v>90</v>
      </c>
      <c r="P16" s="4"/>
    </row>
    <row r="17" spans="2:16">
      <c r="C17" s="153">
        <f>IF(D11= "","-",D11)</f>
        <v>2012</v>
      </c>
      <c r="D17" s="357">
        <v>450200</v>
      </c>
      <c r="E17" s="358">
        <v>5359.5238095238092</v>
      </c>
      <c r="F17" s="357">
        <v>444840.47619047621</v>
      </c>
      <c r="G17" s="358">
        <v>71516.261736212298</v>
      </c>
      <c r="H17" s="359">
        <v>71516.261736212298</v>
      </c>
      <c r="I17" s="368">
        <v>0</v>
      </c>
      <c r="J17" s="156"/>
      <c r="K17" s="256">
        <f t="shared" ref="K17:K22" si="0">G17</f>
        <v>71516.261736212298</v>
      </c>
      <c r="L17" s="172">
        <f t="shared" ref="L17:L48" si="1">IF(K17&lt;&gt;0,+G17-K17,0)</f>
        <v>0</v>
      </c>
      <c r="M17" s="256">
        <f t="shared" ref="M17:M22" si="2">H17</f>
        <v>71516.261736212298</v>
      </c>
      <c r="N17" s="157">
        <f t="shared" ref="N17:N48" si="3">IF(M17&lt;&gt;0,+H17-M17,0)</f>
        <v>0</v>
      </c>
      <c r="O17" s="158">
        <f t="shared" ref="O17:O48" si="4">+N17-L17</f>
        <v>0</v>
      </c>
      <c r="P17" s="4"/>
    </row>
    <row r="18" spans="2:16">
      <c r="B18" s="9" t="str">
        <f t="shared" ref="B18:B49" si="5">IF(D18=F17,"","IU")</f>
        <v>IU</v>
      </c>
      <c r="C18" s="153">
        <f>IF(D11="","-",+C17+1)</f>
        <v>2013</v>
      </c>
      <c r="D18" s="396">
        <v>424657.47619047621</v>
      </c>
      <c r="E18" s="397">
        <v>10238.5</v>
      </c>
      <c r="F18" s="396">
        <v>414418.97619047621</v>
      </c>
      <c r="G18" s="397">
        <v>68251.803233746105</v>
      </c>
      <c r="H18" s="395">
        <v>68251.803233746105</v>
      </c>
      <c r="I18" s="398">
        <v>0</v>
      </c>
      <c r="J18" s="156"/>
      <c r="K18" s="258">
        <f t="shared" si="0"/>
        <v>68251.803233746105</v>
      </c>
      <c r="L18" s="257">
        <f t="shared" ref="L18:L23" si="6">IF(K18&lt;&gt;0,+G18-K18,0)</f>
        <v>0</v>
      </c>
      <c r="M18" s="258">
        <f t="shared" si="2"/>
        <v>68251.803233746105</v>
      </c>
      <c r="N18" s="158">
        <f t="shared" ref="N18:N23" si="7">IF(M18&lt;&gt;0,+H18-M18,0)</f>
        <v>0</v>
      </c>
      <c r="O18" s="158">
        <f t="shared" ref="O18:O23" si="8">+N18-L18</f>
        <v>0</v>
      </c>
      <c r="P18" s="4"/>
    </row>
    <row r="19" spans="2:16">
      <c r="B19" s="9" t="str">
        <f t="shared" si="5"/>
        <v/>
      </c>
      <c r="C19" s="153">
        <f>IF(D11="","-",+C18+1)</f>
        <v>2014</v>
      </c>
      <c r="D19" s="396">
        <v>414418.97619047621</v>
      </c>
      <c r="E19" s="397">
        <v>10238.5</v>
      </c>
      <c r="F19" s="396">
        <v>404180.47619047621</v>
      </c>
      <c r="G19" s="397">
        <v>64766.693467581994</v>
      </c>
      <c r="H19" s="395">
        <v>64766.693467581994</v>
      </c>
      <c r="I19" s="398">
        <v>0</v>
      </c>
      <c r="J19" s="156"/>
      <c r="K19" s="258">
        <f t="shared" si="0"/>
        <v>64766.693467581994</v>
      </c>
      <c r="L19" s="257">
        <f t="shared" si="6"/>
        <v>0</v>
      </c>
      <c r="M19" s="258">
        <f t="shared" si="2"/>
        <v>64766.693467581994</v>
      </c>
      <c r="N19" s="158">
        <f t="shared" si="7"/>
        <v>0</v>
      </c>
      <c r="O19" s="158">
        <f t="shared" si="8"/>
        <v>0</v>
      </c>
      <c r="P19" s="4"/>
    </row>
    <row r="20" spans="2:16">
      <c r="B20" s="9" t="str">
        <f t="shared" si="5"/>
        <v>IU</v>
      </c>
      <c r="C20" s="153">
        <f>IF(D11="","-",+C19+1)</f>
        <v>2015</v>
      </c>
      <c r="D20" s="396">
        <v>395680.47619047621</v>
      </c>
      <c r="E20" s="397">
        <v>10036.119047619048</v>
      </c>
      <c r="F20" s="396">
        <v>385644.35714285716</v>
      </c>
      <c r="G20" s="397">
        <v>60827.332352293794</v>
      </c>
      <c r="H20" s="395">
        <v>60827.332352293794</v>
      </c>
      <c r="I20" s="156">
        <v>0</v>
      </c>
      <c r="J20" s="156"/>
      <c r="K20" s="258">
        <f t="shared" si="0"/>
        <v>60827.332352293794</v>
      </c>
      <c r="L20" s="257">
        <f t="shared" si="6"/>
        <v>0</v>
      </c>
      <c r="M20" s="258">
        <f t="shared" si="2"/>
        <v>60827.332352293794</v>
      </c>
      <c r="N20" s="158">
        <f t="shared" si="7"/>
        <v>0</v>
      </c>
      <c r="O20" s="158">
        <f t="shared" si="8"/>
        <v>0</v>
      </c>
      <c r="P20" s="4"/>
    </row>
    <row r="21" spans="2:16">
      <c r="B21" s="9" t="str">
        <f t="shared" si="5"/>
        <v/>
      </c>
      <c r="C21" s="153">
        <f>IF(D12="","-",+C20+1)</f>
        <v>2016</v>
      </c>
      <c r="D21" s="396">
        <v>385644.35714285716</v>
      </c>
      <c r="E21" s="397">
        <v>10036.119047619048</v>
      </c>
      <c r="F21" s="396">
        <v>375608.23809523811</v>
      </c>
      <c r="G21" s="397">
        <v>58895.229275947575</v>
      </c>
      <c r="H21" s="395">
        <v>58895.229275947575</v>
      </c>
      <c r="I21" s="156">
        <f t="shared" ref="I21:I49" si="9">H21-G21</f>
        <v>0</v>
      </c>
      <c r="J21" s="156"/>
      <c r="K21" s="258">
        <f t="shared" si="0"/>
        <v>58895.229275947575</v>
      </c>
      <c r="L21" s="257">
        <f t="shared" si="6"/>
        <v>0</v>
      </c>
      <c r="M21" s="258">
        <f t="shared" si="2"/>
        <v>58895.229275947575</v>
      </c>
      <c r="N21" s="158">
        <f t="shared" si="7"/>
        <v>0</v>
      </c>
      <c r="O21" s="158">
        <f t="shared" si="8"/>
        <v>0</v>
      </c>
      <c r="P21" s="4"/>
    </row>
    <row r="22" spans="2:16">
      <c r="B22" s="9" t="str">
        <f t="shared" si="5"/>
        <v/>
      </c>
      <c r="C22" s="153">
        <f>IF(D11="","-",+C21+1)</f>
        <v>2017</v>
      </c>
      <c r="D22" s="396">
        <v>375608.23809523811</v>
      </c>
      <c r="E22" s="397">
        <v>9802.7209302325573</v>
      </c>
      <c r="F22" s="396">
        <v>365805.51716500556</v>
      </c>
      <c r="G22" s="397">
        <v>55730.535228858629</v>
      </c>
      <c r="H22" s="395">
        <v>55730.535228858629</v>
      </c>
      <c r="I22" s="156">
        <v>0</v>
      </c>
      <c r="J22" s="156"/>
      <c r="K22" s="258">
        <f t="shared" si="0"/>
        <v>55730.535228858629</v>
      </c>
      <c r="L22" s="257">
        <f t="shared" si="6"/>
        <v>0</v>
      </c>
      <c r="M22" s="258">
        <f t="shared" si="2"/>
        <v>55730.535228858629</v>
      </c>
      <c r="N22" s="158">
        <f t="shared" si="7"/>
        <v>0</v>
      </c>
      <c r="O22" s="158">
        <f t="shared" si="8"/>
        <v>0</v>
      </c>
      <c r="P22" s="4"/>
    </row>
    <row r="23" spans="2:16">
      <c r="B23" s="9" t="str">
        <f t="shared" si="5"/>
        <v/>
      </c>
      <c r="C23" s="153">
        <f>IF(D11="","-",+C22+1)</f>
        <v>2018</v>
      </c>
      <c r="D23" s="396">
        <v>365805.51716500556</v>
      </c>
      <c r="E23" s="397">
        <v>10280.90243902439</v>
      </c>
      <c r="F23" s="396">
        <v>355524.61472598114</v>
      </c>
      <c r="G23" s="397">
        <v>50633.628430886543</v>
      </c>
      <c r="H23" s="395">
        <v>50633.628430886543</v>
      </c>
      <c r="I23" s="156">
        <f t="shared" si="9"/>
        <v>0</v>
      </c>
      <c r="J23" s="156"/>
      <c r="K23" s="258">
        <f>G23</f>
        <v>50633.628430886543</v>
      </c>
      <c r="L23" s="257">
        <f t="shared" si="6"/>
        <v>0</v>
      </c>
      <c r="M23" s="258">
        <f>H23</f>
        <v>50633.628430886543</v>
      </c>
      <c r="N23" s="158">
        <f t="shared" si="7"/>
        <v>0</v>
      </c>
      <c r="O23" s="158">
        <f t="shared" si="8"/>
        <v>0</v>
      </c>
      <c r="P23" s="4"/>
    </row>
    <row r="24" spans="2:16">
      <c r="B24" s="9" t="str">
        <f t="shared" si="5"/>
        <v/>
      </c>
      <c r="C24" s="153">
        <f>IF(D11="","-",+C23+1)</f>
        <v>2019</v>
      </c>
      <c r="D24" s="159">
        <f>IF(F23+SUM(E$17:E23)=D$10,F23,D$10-SUM(E$17:E23))</f>
        <v>355524.61472598114</v>
      </c>
      <c r="E24" s="160">
        <f>IF(+I14&lt;F23,I14,D24)</f>
        <v>9802.7209302325573</v>
      </c>
      <c r="F24" s="159">
        <f t="shared" ref="F24:F49" si="10">+D24-E24</f>
        <v>345721.89379574859</v>
      </c>
      <c r="G24" s="161">
        <f t="shared" ref="G24:G53" si="11">+I$12*((D24+F24)/2)+E24</f>
        <v>44709.254787961065</v>
      </c>
      <c r="H24" s="142">
        <f t="shared" ref="H24:H53" si="12">+I$13*((D24+F24)/2)+E24</f>
        <v>44709.254787961065</v>
      </c>
      <c r="I24" s="156">
        <f t="shared" si="9"/>
        <v>0</v>
      </c>
      <c r="J24" s="156"/>
      <c r="K24" s="334"/>
      <c r="L24" s="158">
        <f t="shared" si="1"/>
        <v>0</v>
      </c>
      <c r="M24" s="334"/>
      <c r="N24" s="158">
        <f t="shared" si="3"/>
        <v>0</v>
      </c>
      <c r="O24" s="158">
        <f t="shared" si="4"/>
        <v>0</v>
      </c>
      <c r="P24" s="4"/>
    </row>
    <row r="25" spans="2:16">
      <c r="B25" s="9" t="str">
        <f t="shared" si="5"/>
        <v/>
      </c>
      <c r="C25" s="153">
        <f>IF(D11="","-",+C24+1)</f>
        <v>2020</v>
      </c>
      <c r="D25" s="159">
        <f>IF(F24+SUM(E$17:E24)=D$10,F24,D$10-SUM(E$17:E24))</f>
        <v>345721.89379574859</v>
      </c>
      <c r="E25" s="160">
        <f>IF(+I14&lt;F24,I14,D25)</f>
        <v>9802.7209302325573</v>
      </c>
      <c r="F25" s="159">
        <f t="shared" si="10"/>
        <v>335919.17286551604</v>
      </c>
      <c r="G25" s="161">
        <f t="shared" si="11"/>
        <v>43733.338313823144</v>
      </c>
      <c r="H25" s="142">
        <f t="shared" si="12"/>
        <v>43733.338313823144</v>
      </c>
      <c r="I25" s="156">
        <f t="shared" si="9"/>
        <v>0</v>
      </c>
      <c r="J25" s="156"/>
      <c r="K25" s="334"/>
      <c r="L25" s="158">
        <f t="shared" si="1"/>
        <v>0</v>
      </c>
      <c r="M25" s="334"/>
      <c r="N25" s="158">
        <f t="shared" si="3"/>
        <v>0</v>
      </c>
      <c r="O25" s="158">
        <f t="shared" si="4"/>
        <v>0</v>
      </c>
      <c r="P25" s="4"/>
    </row>
    <row r="26" spans="2:16">
      <c r="B26" s="9" t="str">
        <f t="shared" si="5"/>
        <v/>
      </c>
      <c r="C26" s="153">
        <f>IF(D11="","-",+C25+1)</f>
        <v>2021</v>
      </c>
      <c r="D26" s="159">
        <f>IF(F25+SUM(E$17:E25)=D$10,F25,D$10-SUM(E$17:E25))</f>
        <v>335919.17286551604</v>
      </c>
      <c r="E26" s="160">
        <f>IF(+I14&lt;F25,I14,D26)</f>
        <v>9802.7209302325573</v>
      </c>
      <c r="F26" s="159">
        <f t="shared" si="10"/>
        <v>326116.45193528349</v>
      </c>
      <c r="G26" s="161">
        <f t="shared" si="11"/>
        <v>42757.421839685223</v>
      </c>
      <c r="H26" s="142">
        <f t="shared" si="12"/>
        <v>42757.421839685223</v>
      </c>
      <c r="I26" s="156">
        <f t="shared" si="9"/>
        <v>0</v>
      </c>
      <c r="J26" s="156"/>
      <c r="K26" s="334"/>
      <c r="L26" s="158">
        <f t="shared" si="1"/>
        <v>0</v>
      </c>
      <c r="M26" s="334"/>
      <c r="N26" s="158">
        <f t="shared" si="3"/>
        <v>0</v>
      </c>
      <c r="O26" s="158">
        <f t="shared" si="4"/>
        <v>0</v>
      </c>
      <c r="P26" s="4"/>
    </row>
    <row r="27" spans="2:16">
      <c r="B27" s="9" t="str">
        <f t="shared" si="5"/>
        <v/>
      </c>
      <c r="C27" s="153">
        <f>IF(D11="","-",+C26+1)</f>
        <v>2022</v>
      </c>
      <c r="D27" s="159">
        <f>IF(F26+SUM(E$17:E26)=D$10,F26,D$10-SUM(E$17:E26))</f>
        <v>326116.45193528349</v>
      </c>
      <c r="E27" s="160">
        <f>IF(+I14&lt;F26,I14,D27)</f>
        <v>9802.7209302325573</v>
      </c>
      <c r="F27" s="159">
        <f t="shared" si="10"/>
        <v>316313.73100505094</v>
      </c>
      <c r="G27" s="161">
        <f t="shared" si="11"/>
        <v>41781.505365547302</v>
      </c>
      <c r="H27" s="142">
        <f t="shared" si="12"/>
        <v>41781.505365547302</v>
      </c>
      <c r="I27" s="156">
        <f t="shared" si="9"/>
        <v>0</v>
      </c>
      <c r="J27" s="156"/>
      <c r="K27" s="334"/>
      <c r="L27" s="158">
        <f t="shared" si="1"/>
        <v>0</v>
      </c>
      <c r="M27" s="334"/>
      <c r="N27" s="158">
        <f t="shared" si="3"/>
        <v>0</v>
      </c>
      <c r="O27" s="158">
        <f t="shared" si="4"/>
        <v>0</v>
      </c>
      <c r="P27" s="4"/>
    </row>
    <row r="28" spans="2:16">
      <c r="B28" s="9" t="str">
        <f t="shared" si="5"/>
        <v/>
      </c>
      <c r="C28" s="153">
        <f>IF(D11="","-",+C27+1)</f>
        <v>2023</v>
      </c>
      <c r="D28" s="159">
        <f>IF(F27+SUM(E$17:E27)=D$10,F27,D$10-SUM(E$17:E27))</f>
        <v>316313.73100505094</v>
      </c>
      <c r="E28" s="160">
        <f>IF(+I14&lt;F27,I14,D28)</f>
        <v>9802.7209302325573</v>
      </c>
      <c r="F28" s="159">
        <f t="shared" si="10"/>
        <v>306511.01007481839</v>
      </c>
      <c r="G28" s="161">
        <f t="shared" si="11"/>
        <v>40805.588891409381</v>
      </c>
      <c r="H28" s="142">
        <f t="shared" si="12"/>
        <v>40805.588891409381</v>
      </c>
      <c r="I28" s="156">
        <f t="shared" si="9"/>
        <v>0</v>
      </c>
      <c r="J28" s="156"/>
      <c r="K28" s="334"/>
      <c r="L28" s="158">
        <f t="shared" si="1"/>
        <v>0</v>
      </c>
      <c r="M28" s="334"/>
      <c r="N28" s="158">
        <f t="shared" si="3"/>
        <v>0</v>
      </c>
      <c r="O28" s="158">
        <f t="shared" si="4"/>
        <v>0</v>
      </c>
      <c r="P28" s="4"/>
    </row>
    <row r="29" spans="2:16">
      <c r="B29" s="9" t="str">
        <f t="shared" si="5"/>
        <v/>
      </c>
      <c r="C29" s="153">
        <f>IF(D11="","-",+C28+1)</f>
        <v>2024</v>
      </c>
      <c r="D29" s="159">
        <f>IF(F28+SUM(E$17:E28)=D$10,F28,D$10-SUM(E$17:E28))</f>
        <v>306511.01007481839</v>
      </c>
      <c r="E29" s="160">
        <f>IF(+I14&lt;F28,I14,D29)</f>
        <v>9802.7209302325573</v>
      </c>
      <c r="F29" s="159">
        <f t="shared" si="10"/>
        <v>296708.28914458584</v>
      </c>
      <c r="G29" s="161">
        <f t="shared" si="11"/>
        <v>39829.672417271468</v>
      </c>
      <c r="H29" s="142">
        <f t="shared" si="12"/>
        <v>39829.672417271468</v>
      </c>
      <c r="I29" s="156">
        <f t="shared" si="9"/>
        <v>0</v>
      </c>
      <c r="J29" s="156"/>
      <c r="K29" s="334"/>
      <c r="L29" s="158">
        <f t="shared" si="1"/>
        <v>0</v>
      </c>
      <c r="M29" s="334"/>
      <c r="N29" s="158">
        <f t="shared" si="3"/>
        <v>0</v>
      </c>
      <c r="O29" s="158">
        <f t="shared" si="4"/>
        <v>0</v>
      </c>
      <c r="P29" s="4"/>
    </row>
    <row r="30" spans="2:16">
      <c r="B30" s="9" t="str">
        <f t="shared" si="5"/>
        <v/>
      </c>
      <c r="C30" s="153">
        <f>IF(D11="","-",+C29+1)</f>
        <v>2025</v>
      </c>
      <c r="D30" s="159">
        <f>IF(F29+SUM(E$17:E29)=D$10,F29,D$10-SUM(E$17:E29))</f>
        <v>296708.28914458584</v>
      </c>
      <c r="E30" s="160">
        <f>IF(+I14&lt;F29,I14,D30)</f>
        <v>9802.7209302325573</v>
      </c>
      <c r="F30" s="159">
        <f t="shared" si="10"/>
        <v>286905.56821435329</v>
      </c>
      <c r="G30" s="161">
        <f t="shared" si="11"/>
        <v>38853.755943133547</v>
      </c>
      <c r="H30" s="142">
        <f t="shared" si="12"/>
        <v>38853.755943133547</v>
      </c>
      <c r="I30" s="156">
        <f t="shared" si="9"/>
        <v>0</v>
      </c>
      <c r="J30" s="156"/>
      <c r="K30" s="334"/>
      <c r="L30" s="158">
        <f t="shared" si="1"/>
        <v>0</v>
      </c>
      <c r="M30" s="334"/>
      <c r="N30" s="158">
        <f t="shared" si="3"/>
        <v>0</v>
      </c>
      <c r="O30" s="158">
        <f t="shared" si="4"/>
        <v>0</v>
      </c>
      <c r="P30" s="4"/>
    </row>
    <row r="31" spans="2:16">
      <c r="B31" s="9" t="str">
        <f t="shared" si="5"/>
        <v/>
      </c>
      <c r="C31" s="153">
        <f>IF(D11="","-",+C30+1)</f>
        <v>2026</v>
      </c>
      <c r="D31" s="159">
        <f>IF(F30+SUM(E$17:E30)=D$10,F30,D$10-SUM(E$17:E30))</f>
        <v>286905.56821435329</v>
      </c>
      <c r="E31" s="160">
        <f>IF(+I14&lt;F30,I14,D31)</f>
        <v>9802.7209302325573</v>
      </c>
      <c r="F31" s="159">
        <f t="shared" si="10"/>
        <v>277102.84728412074</v>
      </c>
      <c r="G31" s="161">
        <f t="shared" si="11"/>
        <v>37877.839468995633</v>
      </c>
      <c r="H31" s="142">
        <f t="shared" si="12"/>
        <v>37877.839468995633</v>
      </c>
      <c r="I31" s="156">
        <f t="shared" si="9"/>
        <v>0</v>
      </c>
      <c r="J31" s="156"/>
      <c r="K31" s="334"/>
      <c r="L31" s="158">
        <f t="shared" si="1"/>
        <v>0</v>
      </c>
      <c r="M31" s="334"/>
      <c r="N31" s="158">
        <f t="shared" si="3"/>
        <v>0</v>
      </c>
      <c r="O31" s="158">
        <f t="shared" si="4"/>
        <v>0</v>
      </c>
      <c r="P31" s="4"/>
    </row>
    <row r="32" spans="2:16">
      <c r="B32" s="9" t="str">
        <f t="shared" si="5"/>
        <v/>
      </c>
      <c r="C32" s="153">
        <f>IF(D11="","-",+C31+1)</f>
        <v>2027</v>
      </c>
      <c r="D32" s="159">
        <f>IF(F31+SUM(E$17:E31)=D$10,F31,D$10-SUM(E$17:E31))</f>
        <v>277102.84728412074</v>
      </c>
      <c r="E32" s="160">
        <f>IF(+I14&lt;F31,I14,D32)</f>
        <v>9802.7209302325573</v>
      </c>
      <c r="F32" s="159">
        <f t="shared" si="10"/>
        <v>267300.12635388819</v>
      </c>
      <c r="G32" s="161">
        <f t="shared" si="11"/>
        <v>36901.922994857712</v>
      </c>
      <c r="H32" s="142">
        <f t="shared" si="12"/>
        <v>36901.922994857712</v>
      </c>
      <c r="I32" s="156">
        <f t="shared" si="9"/>
        <v>0</v>
      </c>
      <c r="J32" s="156"/>
      <c r="K32" s="334"/>
      <c r="L32" s="158">
        <f t="shared" si="1"/>
        <v>0</v>
      </c>
      <c r="M32" s="334"/>
      <c r="N32" s="158">
        <f t="shared" si="3"/>
        <v>0</v>
      </c>
      <c r="O32" s="158">
        <f t="shared" si="4"/>
        <v>0</v>
      </c>
      <c r="P32" s="4"/>
    </row>
    <row r="33" spans="2:16">
      <c r="B33" s="9" t="str">
        <f t="shared" si="5"/>
        <v/>
      </c>
      <c r="C33" s="153">
        <f>IF(D11="","-",+C32+1)</f>
        <v>2028</v>
      </c>
      <c r="D33" s="159">
        <f>IF(F32+SUM(E$17:E32)=D$10,F32,D$10-SUM(E$17:E32))</f>
        <v>267300.12635388819</v>
      </c>
      <c r="E33" s="160">
        <f>IF(+I14&lt;F32,I14,D33)</f>
        <v>9802.7209302325573</v>
      </c>
      <c r="F33" s="159">
        <f t="shared" si="10"/>
        <v>257497.40542365564</v>
      </c>
      <c r="G33" s="161">
        <f t="shared" si="11"/>
        <v>35926.006520719791</v>
      </c>
      <c r="H33" s="142">
        <f t="shared" si="12"/>
        <v>35926.006520719791</v>
      </c>
      <c r="I33" s="156">
        <f t="shared" si="9"/>
        <v>0</v>
      </c>
      <c r="J33" s="156"/>
      <c r="K33" s="334"/>
      <c r="L33" s="158">
        <f t="shared" si="1"/>
        <v>0</v>
      </c>
      <c r="M33" s="334"/>
      <c r="N33" s="158">
        <f t="shared" si="3"/>
        <v>0</v>
      </c>
      <c r="O33" s="158">
        <f t="shared" si="4"/>
        <v>0</v>
      </c>
      <c r="P33" s="4"/>
    </row>
    <row r="34" spans="2:16">
      <c r="B34" s="9" t="str">
        <f t="shared" si="5"/>
        <v/>
      </c>
      <c r="C34" s="153">
        <f>IF(D11="","-",+C33+1)</f>
        <v>2029</v>
      </c>
      <c r="D34" s="159">
        <f>IF(F33+SUM(E$17:E33)=D$10,F33,D$10-SUM(E$17:E33))</f>
        <v>257497.40542365564</v>
      </c>
      <c r="E34" s="160">
        <f>IF(+I14&lt;F33,I14,D34)</f>
        <v>9802.7209302325573</v>
      </c>
      <c r="F34" s="159">
        <f t="shared" si="10"/>
        <v>247694.68449342309</v>
      </c>
      <c r="G34" s="161">
        <f t="shared" si="11"/>
        <v>34950.09004658187</v>
      </c>
      <c r="H34" s="142">
        <f t="shared" si="12"/>
        <v>34950.09004658187</v>
      </c>
      <c r="I34" s="156">
        <f t="shared" si="9"/>
        <v>0</v>
      </c>
      <c r="J34" s="156"/>
      <c r="K34" s="334"/>
      <c r="L34" s="158">
        <f t="shared" si="1"/>
        <v>0</v>
      </c>
      <c r="M34" s="334"/>
      <c r="N34" s="158">
        <f t="shared" si="3"/>
        <v>0</v>
      </c>
      <c r="O34" s="158">
        <f t="shared" si="4"/>
        <v>0</v>
      </c>
      <c r="P34" s="4"/>
    </row>
    <row r="35" spans="2:16">
      <c r="B35" s="9" t="str">
        <f t="shared" si="5"/>
        <v/>
      </c>
      <c r="C35" s="153">
        <f>IF(D11="","-",+C34+1)</f>
        <v>2030</v>
      </c>
      <c r="D35" s="159">
        <f>IF(F34+SUM(E$17:E34)=D$10,F34,D$10-SUM(E$17:E34))</f>
        <v>247694.68449342309</v>
      </c>
      <c r="E35" s="160">
        <f>IF(+I14&lt;F34,I14,D35)</f>
        <v>9802.7209302325573</v>
      </c>
      <c r="F35" s="159">
        <f t="shared" si="10"/>
        <v>237891.96356319054</v>
      </c>
      <c r="G35" s="161">
        <f t="shared" si="11"/>
        <v>33974.17357244395</v>
      </c>
      <c r="H35" s="142">
        <f t="shared" si="12"/>
        <v>33974.17357244395</v>
      </c>
      <c r="I35" s="156">
        <f t="shared" si="9"/>
        <v>0</v>
      </c>
      <c r="J35" s="156"/>
      <c r="K35" s="334"/>
      <c r="L35" s="158">
        <f t="shared" si="1"/>
        <v>0</v>
      </c>
      <c r="M35" s="334"/>
      <c r="N35" s="158">
        <f t="shared" si="3"/>
        <v>0</v>
      </c>
      <c r="O35" s="158">
        <f t="shared" si="4"/>
        <v>0</v>
      </c>
      <c r="P35" s="4"/>
    </row>
    <row r="36" spans="2:16">
      <c r="B36" s="9" t="str">
        <f t="shared" si="5"/>
        <v/>
      </c>
      <c r="C36" s="153">
        <f>IF(D11="","-",+C35+1)</f>
        <v>2031</v>
      </c>
      <c r="D36" s="159">
        <f>IF(F35+SUM(E$17:E35)=D$10,F35,D$10-SUM(E$17:E35))</f>
        <v>237891.96356319054</v>
      </c>
      <c r="E36" s="160">
        <f>IF(+I14&lt;F35,I14,D36)</f>
        <v>9802.7209302325573</v>
      </c>
      <c r="F36" s="159">
        <f t="shared" si="10"/>
        <v>228089.24263295799</v>
      </c>
      <c r="G36" s="161">
        <f t="shared" si="11"/>
        <v>32998.257098306029</v>
      </c>
      <c r="H36" s="142">
        <f t="shared" si="12"/>
        <v>32998.257098306029</v>
      </c>
      <c r="I36" s="156">
        <f t="shared" si="9"/>
        <v>0</v>
      </c>
      <c r="J36" s="156"/>
      <c r="K36" s="334"/>
      <c r="L36" s="158">
        <f t="shared" si="1"/>
        <v>0</v>
      </c>
      <c r="M36" s="334"/>
      <c r="N36" s="158">
        <f t="shared" si="3"/>
        <v>0</v>
      </c>
      <c r="O36" s="158">
        <f t="shared" si="4"/>
        <v>0</v>
      </c>
      <c r="P36" s="4"/>
    </row>
    <row r="37" spans="2:16">
      <c r="B37" s="9" t="str">
        <f t="shared" si="5"/>
        <v/>
      </c>
      <c r="C37" s="153">
        <f>IF(D11="","-",+C36+1)</f>
        <v>2032</v>
      </c>
      <c r="D37" s="159">
        <f>IF(F36+SUM(E$17:E36)=D$10,F36,D$10-SUM(E$17:E36))</f>
        <v>228089.24263295799</v>
      </c>
      <c r="E37" s="160">
        <f>IF(+I14&lt;F36,I14,D37)</f>
        <v>9802.7209302325573</v>
      </c>
      <c r="F37" s="159">
        <f t="shared" si="10"/>
        <v>218286.52170272544</v>
      </c>
      <c r="G37" s="161">
        <f t="shared" si="11"/>
        <v>32022.340624168115</v>
      </c>
      <c r="H37" s="142">
        <f t="shared" si="12"/>
        <v>32022.340624168115</v>
      </c>
      <c r="I37" s="156">
        <f t="shared" si="9"/>
        <v>0</v>
      </c>
      <c r="J37" s="156"/>
      <c r="K37" s="334"/>
      <c r="L37" s="158">
        <f t="shared" si="1"/>
        <v>0</v>
      </c>
      <c r="M37" s="334"/>
      <c r="N37" s="158">
        <f t="shared" si="3"/>
        <v>0</v>
      </c>
      <c r="O37" s="158">
        <f t="shared" si="4"/>
        <v>0</v>
      </c>
      <c r="P37" s="4"/>
    </row>
    <row r="38" spans="2:16">
      <c r="B38" s="9" t="str">
        <f t="shared" si="5"/>
        <v/>
      </c>
      <c r="C38" s="153">
        <f>IF(D11="","-",+C37+1)</f>
        <v>2033</v>
      </c>
      <c r="D38" s="159">
        <f>IF(F37+SUM(E$17:E37)=D$10,F37,D$10-SUM(E$17:E37))</f>
        <v>218286.52170272544</v>
      </c>
      <c r="E38" s="160">
        <f>IF(+I14&lt;F37,I14,D38)</f>
        <v>9802.7209302325573</v>
      </c>
      <c r="F38" s="159">
        <f t="shared" si="10"/>
        <v>208483.80077249289</v>
      </c>
      <c r="G38" s="161">
        <f t="shared" si="11"/>
        <v>31046.424150030194</v>
      </c>
      <c r="H38" s="142">
        <f t="shared" si="12"/>
        <v>31046.424150030194</v>
      </c>
      <c r="I38" s="156">
        <f t="shared" si="9"/>
        <v>0</v>
      </c>
      <c r="J38" s="156"/>
      <c r="K38" s="334"/>
      <c r="L38" s="158">
        <f t="shared" si="1"/>
        <v>0</v>
      </c>
      <c r="M38" s="334"/>
      <c r="N38" s="158">
        <f t="shared" si="3"/>
        <v>0</v>
      </c>
      <c r="O38" s="158">
        <f t="shared" si="4"/>
        <v>0</v>
      </c>
      <c r="P38" s="4"/>
    </row>
    <row r="39" spans="2:16">
      <c r="B39" s="9" t="str">
        <f t="shared" si="5"/>
        <v/>
      </c>
      <c r="C39" s="153">
        <f>IF(D11="","-",+C38+1)</f>
        <v>2034</v>
      </c>
      <c r="D39" s="159">
        <f>IF(F38+SUM(E$17:E38)=D$10,F38,D$10-SUM(E$17:E38))</f>
        <v>208483.80077249289</v>
      </c>
      <c r="E39" s="160">
        <f>IF(+I14&lt;F38,I14,D39)</f>
        <v>9802.7209302325573</v>
      </c>
      <c r="F39" s="159">
        <f t="shared" si="10"/>
        <v>198681.07984226034</v>
      </c>
      <c r="G39" s="161">
        <f t="shared" si="11"/>
        <v>30070.507675892277</v>
      </c>
      <c r="H39" s="142">
        <f t="shared" si="12"/>
        <v>30070.507675892277</v>
      </c>
      <c r="I39" s="156">
        <f t="shared" si="9"/>
        <v>0</v>
      </c>
      <c r="J39" s="156"/>
      <c r="K39" s="334"/>
      <c r="L39" s="158">
        <f t="shared" si="1"/>
        <v>0</v>
      </c>
      <c r="M39" s="334"/>
      <c r="N39" s="158">
        <f t="shared" si="3"/>
        <v>0</v>
      </c>
      <c r="O39" s="158">
        <f t="shared" si="4"/>
        <v>0</v>
      </c>
      <c r="P39" s="4"/>
    </row>
    <row r="40" spans="2:16">
      <c r="B40" s="9" t="str">
        <f t="shared" si="5"/>
        <v/>
      </c>
      <c r="C40" s="153">
        <f>IF(D11="","-",+C39+1)</f>
        <v>2035</v>
      </c>
      <c r="D40" s="159">
        <f>IF(F39+SUM(E$17:E39)=D$10,F39,D$10-SUM(E$17:E39))</f>
        <v>198681.07984226034</v>
      </c>
      <c r="E40" s="160">
        <f>IF(+I14&lt;F39,I14,D40)</f>
        <v>9802.7209302325573</v>
      </c>
      <c r="F40" s="159">
        <f t="shared" si="10"/>
        <v>188878.35891202779</v>
      </c>
      <c r="G40" s="161">
        <f t="shared" si="11"/>
        <v>29094.591201754356</v>
      </c>
      <c r="H40" s="142">
        <f t="shared" si="12"/>
        <v>29094.591201754356</v>
      </c>
      <c r="I40" s="156">
        <f t="shared" si="9"/>
        <v>0</v>
      </c>
      <c r="J40" s="156"/>
      <c r="K40" s="334"/>
      <c r="L40" s="158">
        <f t="shared" si="1"/>
        <v>0</v>
      </c>
      <c r="M40" s="334"/>
      <c r="N40" s="158">
        <f t="shared" si="3"/>
        <v>0</v>
      </c>
      <c r="O40" s="158">
        <f t="shared" si="4"/>
        <v>0</v>
      </c>
      <c r="P40" s="4"/>
    </row>
    <row r="41" spans="2:16">
      <c r="B41" s="9" t="str">
        <f t="shared" si="5"/>
        <v/>
      </c>
      <c r="C41" s="153">
        <f>IF(D11="","-",+C40+1)</f>
        <v>2036</v>
      </c>
      <c r="D41" s="159">
        <f>IF(F40+SUM(E$17:E40)=D$10,F40,D$10-SUM(E$17:E40))</f>
        <v>188878.35891202779</v>
      </c>
      <c r="E41" s="160">
        <f>IF(+I14&lt;F40,I14,D41)</f>
        <v>9802.7209302325573</v>
      </c>
      <c r="F41" s="159">
        <f t="shared" si="10"/>
        <v>179075.63798179524</v>
      </c>
      <c r="G41" s="161">
        <f t="shared" si="11"/>
        <v>28118.674727616439</v>
      </c>
      <c r="H41" s="142">
        <f t="shared" si="12"/>
        <v>28118.674727616439</v>
      </c>
      <c r="I41" s="156">
        <f t="shared" si="9"/>
        <v>0</v>
      </c>
      <c r="J41" s="156"/>
      <c r="K41" s="334"/>
      <c r="L41" s="158">
        <f t="shared" si="1"/>
        <v>0</v>
      </c>
      <c r="M41" s="334"/>
      <c r="N41" s="158">
        <f t="shared" si="3"/>
        <v>0</v>
      </c>
      <c r="O41" s="158">
        <f t="shared" si="4"/>
        <v>0</v>
      </c>
      <c r="P41" s="4"/>
    </row>
    <row r="42" spans="2:16">
      <c r="B42" s="9" t="str">
        <f t="shared" si="5"/>
        <v/>
      </c>
      <c r="C42" s="153">
        <f>IF(D11="","-",+C41+1)</f>
        <v>2037</v>
      </c>
      <c r="D42" s="159">
        <f>IF(F41+SUM(E$17:E41)=D$10,F41,D$10-SUM(E$17:E41))</f>
        <v>179075.63798179524</v>
      </c>
      <c r="E42" s="160">
        <f>IF(+I14&lt;F41,I14,D42)</f>
        <v>9802.7209302325573</v>
      </c>
      <c r="F42" s="159">
        <f t="shared" si="10"/>
        <v>169272.91705156269</v>
      </c>
      <c r="G42" s="161">
        <f t="shared" si="11"/>
        <v>27142.758253478518</v>
      </c>
      <c r="H42" s="142">
        <f t="shared" si="12"/>
        <v>27142.758253478518</v>
      </c>
      <c r="I42" s="156">
        <f t="shared" si="9"/>
        <v>0</v>
      </c>
      <c r="J42" s="156"/>
      <c r="K42" s="334"/>
      <c r="L42" s="158">
        <f t="shared" si="1"/>
        <v>0</v>
      </c>
      <c r="M42" s="334"/>
      <c r="N42" s="158">
        <f t="shared" si="3"/>
        <v>0</v>
      </c>
      <c r="O42" s="158">
        <f t="shared" si="4"/>
        <v>0</v>
      </c>
      <c r="P42" s="4"/>
    </row>
    <row r="43" spans="2:16">
      <c r="B43" s="9" t="str">
        <f t="shared" si="5"/>
        <v/>
      </c>
      <c r="C43" s="153">
        <f>IF(D11="","-",+C42+1)</f>
        <v>2038</v>
      </c>
      <c r="D43" s="159">
        <f>IF(F42+SUM(E$17:E42)=D$10,F42,D$10-SUM(E$17:E42))</f>
        <v>169272.91705156269</v>
      </c>
      <c r="E43" s="160">
        <f>IF(+I14&lt;F42,I14,D43)</f>
        <v>9802.7209302325573</v>
      </c>
      <c r="F43" s="159">
        <f t="shared" si="10"/>
        <v>159470.19612133014</v>
      </c>
      <c r="G43" s="161">
        <f t="shared" si="11"/>
        <v>26166.841779340597</v>
      </c>
      <c r="H43" s="142">
        <f t="shared" si="12"/>
        <v>26166.841779340597</v>
      </c>
      <c r="I43" s="156">
        <f t="shared" si="9"/>
        <v>0</v>
      </c>
      <c r="J43" s="156"/>
      <c r="K43" s="334"/>
      <c r="L43" s="158">
        <f t="shared" si="1"/>
        <v>0</v>
      </c>
      <c r="M43" s="334"/>
      <c r="N43" s="158">
        <f t="shared" si="3"/>
        <v>0</v>
      </c>
      <c r="O43" s="158">
        <f t="shared" si="4"/>
        <v>0</v>
      </c>
      <c r="P43" s="4"/>
    </row>
    <row r="44" spans="2:16">
      <c r="B44" s="9" t="str">
        <f t="shared" si="5"/>
        <v/>
      </c>
      <c r="C44" s="153">
        <f>IF(D11="","-",+C43+1)</f>
        <v>2039</v>
      </c>
      <c r="D44" s="159">
        <f>IF(F43+SUM(E$17:E43)=D$10,F43,D$10-SUM(E$17:E43))</f>
        <v>159470.19612133014</v>
      </c>
      <c r="E44" s="160">
        <f>IF(+I14&lt;F43,I14,D44)</f>
        <v>9802.7209302325573</v>
      </c>
      <c r="F44" s="159">
        <f t="shared" si="10"/>
        <v>149667.47519109759</v>
      </c>
      <c r="G44" s="161">
        <f t="shared" si="11"/>
        <v>25190.92530520268</v>
      </c>
      <c r="H44" s="142">
        <f t="shared" si="12"/>
        <v>25190.92530520268</v>
      </c>
      <c r="I44" s="156">
        <f t="shared" si="9"/>
        <v>0</v>
      </c>
      <c r="J44" s="156"/>
      <c r="K44" s="334"/>
      <c r="L44" s="158">
        <f t="shared" si="1"/>
        <v>0</v>
      </c>
      <c r="M44" s="334"/>
      <c r="N44" s="158">
        <f t="shared" si="3"/>
        <v>0</v>
      </c>
      <c r="O44" s="158">
        <f t="shared" si="4"/>
        <v>0</v>
      </c>
      <c r="P44" s="4"/>
    </row>
    <row r="45" spans="2:16">
      <c r="B45" s="9" t="str">
        <f t="shared" si="5"/>
        <v/>
      </c>
      <c r="C45" s="153">
        <f>IF(D11="","-",+C44+1)</f>
        <v>2040</v>
      </c>
      <c r="D45" s="159">
        <f>IF(F44+SUM(E$17:E44)=D$10,F44,D$10-SUM(E$17:E44))</f>
        <v>149667.47519109759</v>
      </c>
      <c r="E45" s="160">
        <f>IF(+I14&lt;F44,I14,D45)</f>
        <v>9802.7209302325573</v>
      </c>
      <c r="F45" s="159">
        <f t="shared" si="10"/>
        <v>139864.75426086504</v>
      </c>
      <c r="G45" s="161">
        <f t="shared" si="11"/>
        <v>24215.008831064762</v>
      </c>
      <c r="H45" s="142">
        <f t="shared" si="12"/>
        <v>24215.008831064762</v>
      </c>
      <c r="I45" s="156">
        <f t="shared" si="9"/>
        <v>0</v>
      </c>
      <c r="J45" s="156"/>
      <c r="K45" s="334"/>
      <c r="L45" s="158">
        <f t="shared" si="1"/>
        <v>0</v>
      </c>
      <c r="M45" s="334"/>
      <c r="N45" s="158">
        <f t="shared" si="3"/>
        <v>0</v>
      </c>
      <c r="O45" s="158">
        <f t="shared" si="4"/>
        <v>0</v>
      </c>
      <c r="P45" s="4"/>
    </row>
    <row r="46" spans="2:16">
      <c r="B46" s="9" t="str">
        <f t="shared" si="5"/>
        <v/>
      </c>
      <c r="C46" s="153">
        <f>IF(D11="","-",+C45+1)</f>
        <v>2041</v>
      </c>
      <c r="D46" s="159">
        <f>IF(F45+SUM(E$17:E45)=D$10,F45,D$10-SUM(E$17:E45))</f>
        <v>139864.75426086504</v>
      </c>
      <c r="E46" s="160">
        <f>IF(+I14&lt;F45,I14,D46)</f>
        <v>9802.7209302325573</v>
      </c>
      <c r="F46" s="159">
        <f t="shared" si="10"/>
        <v>130062.03333063249</v>
      </c>
      <c r="G46" s="161">
        <f t="shared" si="11"/>
        <v>23239.092356926842</v>
      </c>
      <c r="H46" s="142">
        <f t="shared" si="12"/>
        <v>23239.092356926842</v>
      </c>
      <c r="I46" s="156">
        <f t="shared" si="9"/>
        <v>0</v>
      </c>
      <c r="J46" s="156"/>
      <c r="K46" s="334"/>
      <c r="L46" s="158">
        <f t="shared" si="1"/>
        <v>0</v>
      </c>
      <c r="M46" s="334"/>
      <c r="N46" s="158">
        <f t="shared" si="3"/>
        <v>0</v>
      </c>
      <c r="O46" s="158">
        <f t="shared" si="4"/>
        <v>0</v>
      </c>
      <c r="P46" s="4"/>
    </row>
    <row r="47" spans="2:16">
      <c r="B47" s="9" t="str">
        <f t="shared" si="5"/>
        <v/>
      </c>
      <c r="C47" s="153">
        <f>IF(D11="","-",+C46+1)</f>
        <v>2042</v>
      </c>
      <c r="D47" s="159">
        <f>IF(F46+SUM(E$17:E46)=D$10,F46,D$10-SUM(E$17:E46))</f>
        <v>130062.03333063249</v>
      </c>
      <c r="E47" s="160">
        <f>IF(+I14&lt;F46,I14,D47)</f>
        <v>9802.7209302325573</v>
      </c>
      <c r="F47" s="159">
        <f t="shared" si="10"/>
        <v>120259.31240039994</v>
      </c>
      <c r="G47" s="161">
        <f t="shared" si="11"/>
        <v>22263.175882788921</v>
      </c>
      <c r="H47" s="142">
        <f t="shared" si="12"/>
        <v>22263.175882788921</v>
      </c>
      <c r="I47" s="156">
        <f t="shared" si="9"/>
        <v>0</v>
      </c>
      <c r="J47" s="156"/>
      <c r="K47" s="334"/>
      <c r="L47" s="158">
        <f t="shared" si="1"/>
        <v>0</v>
      </c>
      <c r="M47" s="334"/>
      <c r="N47" s="158">
        <f t="shared" si="3"/>
        <v>0</v>
      </c>
      <c r="O47" s="158">
        <f t="shared" si="4"/>
        <v>0</v>
      </c>
      <c r="P47" s="4"/>
    </row>
    <row r="48" spans="2:16">
      <c r="B48" s="9" t="str">
        <f t="shared" si="5"/>
        <v/>
      </c>
      <c r="C48" s="153">
        <f>IF(D11="","-",+C47+1)</f>
        <v>2043</v>
      </c>
      <c r="D48" s="159">
        <f>IF(F47+SUM(E$17:E47)=D$10,F47,D$10-SUM(E$17:E47))</f>
        <v>120259.31240039994</v>
      </c>
      <c r="E48" s="160">
        <f>IF(+I14&lt;F47,I14,D48)</f>
        <v>9802.7209302325573</v>
      </c>
      <c r="F48" s="159">
        <f t="shared" si="10"/>
        <v>110456.59147016739</v>
      </c>
      <c r="G48" s="161">
        <f t="shared" si="11"/>
        <v>21287.259408651003</v>
      </c>
      <c r="H48" s="142">
        <f t="shared" si="12"/>
        <v>21287.259408651003</v>
      </c>
      <c r="I48" s="156">
        <f t="shared" si="9"/>
        <v>0</v>
      </c>
      <c r="J48" s="156"/>
      <c r="K48" s="334"/>
      <c r="L48" s="158">
        <f t="shared" si="1"/>
        <v>0</v>
      </c>
      <c r="M48" s="334"/>
      <c r="N48" s="158">
        <f t="shared" si="3"/>
        <v>0</v>
      </c>
      <c r="O48" s="158">
        <f t="shared" si="4"/>
        <v>0</v>
      </c>
      <c r="P48" s="4"/>
    </row>
    <row r="49" spans="2:17">
      <c r="B49" s="9" t="str">
        <f t="shared" si="5"/>
        <v/>
      </c>
      <c r="C49" s="153">
        <f>IF(D11="","-",+C48+1)</f>
        <v>2044</v>
      </c>
      <c r="D49" s="159">
        <f>IF(F48+SUM(E$17:E48)=D$10,F48,D$10-SUM(E$17:E48))</f>
        <v>110456.59147016739</v>
      </c>
      <c r="E49" s="160">
        <f>IF(+I14&lt;F48,I14,D49)</f>
        <v>9802.7209302325573</v>
      </c>
      <c r="F49" s="159">
        <f t="shared" si="10"/>
        <v>100653.87053993484</v>
      </c>
      <c r="G49" s="161">
        <f t="shared" si="11"/>
        <v>20311.342934513086</v>
      </c>
      <c r="H49" s="142">
        <f t="shared" si="12"/>
        <v>20311.342934513086</v>
      </c>
      <c r="I49" s="156">
        <f t="shared" si="9"/>
        <v>0</v>
      </c>
      <c r="J49" s="156"/>
      <c r="K49" s="334"/>
      <c r="L49" s="158">
        <f t="shared" ref="L49:L72" si="13">IF(K49&lt;&gt;0,+G49-K49,0)</f>
        <v>0</v>
      </c>
      <c r="M49" s="334"/>
      <c r="N49" s="158">
        <f t="shared" ref="N49:N72" si="14">IF(M49&lt;&gt;0,+H49-M49,0)</f>
        <v>0</v>
      </c>
      <c r="O49" s="158">
        <f t="shared" ref="O49:O72" si="15">+N49-L49</f>
        <v>0</v>
      </c>
      <c r="P49" s="4"/>
    </row>
    <row r="50" spans="2:17">
      <c r="B50" s="9" t="str">
        <f t="shared" ref="B50:B72" si="16">IF(D50=F49,"","IU")</f>
        <v/>
      </c>
      <c r="C50" s="153">
        <f>IF(D11="","-",+C49+1)</f>
        <v>2045</v>
      </c>
      <c r="D50" s="159">
        <f>IF(F49+SUM(E$17:E49)=D$10,F49,D$10-SUM(E$17:E49))</f>
        <v>100653.87053993484</v>
      </c>
      <c r="E50" s="160">
        <f>IF(+I14&lt;F49,I14,D50)</f>
        <v>9802.7209302325573</v>
      </c>
      <c r="F50" s="159">
        <f t="shared" ref="F50:F72" si="17">+D50-E50</f>
        <v>90851.14960970229</v>
      </c>
      <c r="G50" s="161">
        <f t="shared" si="11"/>
        <v>19335.426460375165</v>
      </c>
      <c r="H50" s="142">
        <f t="shared" si="12"/>
        <v>19335.426460375165</v>
      </c>
      <c r="I50" s="156">
        <f t="shared" ref="I50:I72" si="18">H50-G50</f>
        <v>0</v>
      </c>
      <c r="J50" s="156"/>
      <c r="K50" s="334"/>
      <c r="L50" s="158">
        <f t="shared" si="13"/>
        <v>0</v>
      </c>
      <c r="M50" s="334"/>
      <c r="N50" s="158">
        <f t="shared" si="14"/>
        <v>0</v>
      </c>
      <c r="O50" s="158">
        <f t="shared" si="15"/>
        <v>0</v>
      </c>
      <c r="P50" s="4"/>
    </row>
    <row r="51" spans="2:17">
      <c r="B51" s="9" t="str">
        <f t="shared" si="16"/>
        <v/>
      </c>
      <c r="C51" s="153">
        <f>IF(D11="","-",+C50+1)</f>
        <v>2046</v>
      </c>
      <c r="D51" s="159">
        <f>IF(F50+SUM(E$17:E50)=D$10,F50,D$10-SUM(E$17:E50))</f>
        <v>90851.14960970229</v>
      </c>
      <c r="E51" s="160">
        <f>IF(+I14&lt;F50,I14,D51)</f>
        <v>9802.7209302325573</v>
      </c>
      <c r="F51" s="159">
        <f t="shared" si="17"/>
        <v>81048.42867946974</v>
      </c>
      <c r="G51" s="161">
        <f t="shared" si="11"/>
        <v>18359.509986237244</v>
      </c>
      <c r="H51" s="142">
        <f t="shared" si="12"/>
        <v>18359.509986237244</v>
      </c>
      <c r="I51" s="156">
        <f t="shared" si="18"/>
        <v>0</v>
      </c>
      <c r="J51" s="156"/>
      <c r="K51" s="334"/>
      <c r="L51" s="158">
        <f t="shared" si="13"/>
        <v>0</v>
      </c>
      <c r="M51" s="334"/>
      <c r="N51" s="158">
        <f t="shared" si="14"/>
        <v>0</v>
      </c>
      <c r="O51" s="158">
        <f t="shared" si="15"/>
        <v>0</v>
      </c>
      <c r="P51" s="4"/>
    </row>
    <row r="52" spans="2:17">
      <c r="B52" s="9" t="str">
        <f t="shared" si="16"/>
        <v/>
      </c>
      <c r="C52" s="153">
        <f>IF(D11="","-",+C51+1)</f>
        <v>2047</v>
      </c>
      <c r="D52" s="159">
        <f>IF(F51+SUM(E$17:E51)=D$10,F51,D$10-SUM(E$17:E51))</f>
        <v>81048.42867946974</v>
      </c>
      <c r="E52" s="160">
        <f>IF(+I14&lt;F51,I14,D52)</f>
        <v>9802.7209302325573</v>
      </c>
      <c r="F52" s="159">
        <f t="shared" si="17"/>
        <v>71245.70774923719</v>
      </c>
      <c r="G52" s="161">
        <f t="shared" si="11"/>
        <v>17383.593512099327</v>
      </c>
      <c r="H52" s="142">
        <f t="shared" si="12"/>
        <v>17383.593512099327</v>
      </c>
      <c r="I52" s="156">
        <f t="shared" si="18"/>
        <v>0</v>
      </c>
      <c r="J52" s="156"/>
      <c r="K52" s="334"/>
      <c r="L52" s="158">
        <f t="shared" si="13"/>
        <v>0</v>
      </c>
      <c r="M52" s="334"/>
      <c r="N52" s="158">
        <f t="shared" si="14"/>
        <v>0</v>
      </c>
      <c r="O52" s="158">
        <f t="shared" si="15"/>
        <v>0</v>
      </c>
      <c r="P52" s="4"/>
    </row>
    <row r="53" spans="2:17">
      <c r="B53" s="9" t="str">
        <f t="shared" si="16"/>
        <v/>
      </c>
      <c r="C53" s="153">
        <f>IF(D11="","-",+C52+1)</f>
        <v>2048</v>
      </c>
      <c r="D53" s="159">
        <f>IF(F52+SUM(E$17:E52)=D$10,F52,D$10-SUM(E$17:E52))</f>
        <v>71245.70774923719</v>
      </c>
      <c r="E53" s="160">
        <f>IF(+I14&lt;F52,I14,D53)</f>
        <v>9802.7209302325573</v>
      </c>
      <c r="F53" s="159">
        <f t="shared" si="17"/>
        <v>61442.986819004633</v>
      </c>
      <c r="G53" s="161">
        <f t="shared" si="11"/>
        <v>16407.677037961406</v>
      </c>
      <c r="H53" s="142">
        <f t="shared" si="12"/>
        <v>16407.677037961406</v>
      </c>
      <c r="I53" s="156">
        <f t="shared" si="18"/>
        <v>0</v>
      </c>
      <c r="J53" s="156"/>
      <c r="K53" s="334"/>
      <c r="L53" s="158">
        <f t="shared" si="13"/>
        <v>0</v>
      </c>
      <c r="M53" s="334"/>
      <c r="N53" s="158">
        <f t="shared" si="14"/>
        <v>0</v>
      </c>
      <c r="O53" s="158">
        <f t="shared" si="15"/>
        <v>0</v>
      </c>
      <c r="P53" s="4"/>
    </row>
    <row r="54" spans="2:17">
      <c r="B54" s="9" t="str">
        <f t="shared" si="16"/>
        <v/>
      </c>
      <c r="C54" s="153">
        <f>IF(D11="","-",+C53+1)</f>
        <v>2049</v>
      </c>
      <c r="D54" s="159">
        <f>IF(F53+SUM(E$17:E53)=D$10,F53,D$10-SUM(E$17:E53))</f>
        <v>61442.986819004633</v>
      </c>
      <c r="E54" s="160">
        <f>IF(+I14&lt;F53,I14,D54)</f>
        <v>9802.7209302325573</v>
      </c>
      <c r="F54" s="159">
        <f t="shared" si="17"/>
        <v>51640.265888772075</v>
      </c>
      <c r="G54" s="161">
        <f t="shared" ref="G54:G72" si="19">+I$12*((D54+F54)/2)+E54</f>
        <v>15431.760563823487</v>
      </c>
      <c r="H54" s="142">
        <f t="shared" ref="H54:H72" si="20">+I$13*((D54+F54)/2)+E54</f>
        <v>15431.760563823487</v>
      </c>
      <c r="I54" s="156">
        <f t="shared" si="18"/>
        <v>0</v>
      </c>
      <c r="J54" s="156"/>
      <c r="K54" s="334"/>
      <c r="L54" s="158">
        <f t="shared" si="13"/>
        <v>0</v>
      </c>
      <c r="M54" s="334"/>
      <c r="N54" s="158">
        <f t="shared" si="14"/>
        <v>0</v>
      </c>
      <c r="O54" s="158">
        <f t="shared" si="15"/>
        <v>0</v>
      </c>
      <c r="P54" s="4"/>
    </row>
    <row r="55" spans="2:17">
      <c r="B55" s="9" t="str">
        <f t="shared" si="16"/>
        <v/>
      </c>
      <c r="C55" s="153">
        <f>IF(D11="","-",+C54+1)</f>
        <v>2050</v>
      </c>
      <c r="D55" s="159">
        <f>IF(F54+SUM(E$17:E54)=D$10,F54,D$10-SUM(E$17:E54))</f>
        <v>51640.265888772075</v>
      </c>
      <c r="E55" s="160">
        <f>IF(+I14&lt;F54,I14,D55)</f>
        <v>9802.7209302325573</v>
      </c>
      <c r="F55" s="159">
        <f t="shared" si="17"/>
        <v>41837.544958539518</v>
      </c>
      <c r="G55" s="161">
        <f t="shared" si="19"/>
        <v>14455.844089685568</v>
      </c>
      <c r="H55" s="142">
        <f t="shared" si="20"/>
        <v>14455.844089685568</v>
      </c>
      <c r="I55" s="156">
        <f t="shared" si="18"/>
        <v>0</v>
      </c>
      <c r="J55" s="156"/>
      <c r="K55" s="334"/>
      <c r="L55" s="158">
        <f t="shared" si="13"/>
        <v>0</v>
      </c>
      <c r="M55" s="334"/>
      <c r="N55" s="158">
        <f t="shared" si="14"/>
        <v>0</v>
      </c>
      <c r="O55" s="158">
        <f t="shared" si="15"/>
        <v>0</v>
      </c>
      <c r="P55" s="4"/>
    </row>
    <row r="56" spans="2:17">
      <c r="B56" s="9" t="str">
        <f t="shared" si="16"/>
        <v/>
      </c>
      <c r="C56" s="153">
        <f>IF(D11="","-",+C55+1)</f>
        <v>2051</v>
      </c>
      <c r="D56" s="159">
        <f>IF(F55+SUM(E$17:E55)=D$10,F55,D$10-SUM(E$17:E55))</f>
        <v>41837.544958539518</v>
      </c>
      <c r="E56" s="160">
        <f>IF(+I14&lt;F55,I14,D56)</f>
        <v>9802.7209302325573</v>
      </c>
      <c r="F56" s="159">
        <f t="shared" si="17"/>
        <v>32034.824028306961</v>
      </c>
      <c r="G56" s="161">
        <f t="shared" si="19"/>
        <v>13479.927615547647</v>
      </c>
      <c r="H56" s="142">
        <f t="shared" si="20"/>
        <v>13479.927615547647</v>
      </c>
      <c r="I56" s="156">
        <f t="shared" si="18"/>
        <v>0</v>
      </c>
      <c r="J56" s="156"/>
      <c r="K56" s="334"/>
      <c r="L56" s="158">
        <f t="shared" si="13"/>
        <v>0</v>
      </c>
      <c r="M56" s="334"/>
      <c r="N56" s="158">
        <f t="shared" si="14"/>
        <v>0</v>
      </c>
      <c r="O56" s="158">
        <f t="shared" si="15"/>
        <v>0</v>
      </c>
      <c r="P56" s="4"/>
    </row>
    <row r="57" spans="2:17">
      <c r="B57" s="9" t="str">
        <f t="shared" si="16"/>
        <v/>
      </c>
      <c r="C57" s="153">
        <f>IF(D11="","-",+C56+1)</f>
        <v>2052</v>
      </c>
      <c r="D57" s="159">
        <f>IF(F56+SUM(E$17:E56)=D$10,F56,D$10-SUM(E$17:E56))</f>
        <v>32034.824028306961</v>
      </c>
      <c r="E57" s="160">
        <f>IF(+I14&lt;F56,I14,D57)</f>
        <v>9802.7209302325573</v>
      </c>
      <c r="F57" s="159">
        <f t="shared" si="17"/>
        <v>22232.103098074404</v>
      </c>
      <c r="G57" s="161">
        <f t="shared" si="19"/>
        <v>12504.011141409726</v>
      </c>
      <c r="H57" s="142">
        <f t="shared" si="20"/>
        <v>12504.011141409726</v>
      </c>
      <c r="I57" s="156">
        <f t="shared" si="18"/>
        <v>0</v>
      </c>
      <c r="J57" s="156"/>
      <c r="K57" s="334"/>
      <c r="L57" s="158">
        <f t="shared" si="13"/>
        <v>0</v>
      </c>
      <c r="M57" s="334"/>
      <c r="N57" s="158">
        <f t="shared" si="14"/>
        <v>0</v>
      </c>
      <c r="O57" s="158">
        <f t="shared" si="15"/>
        <v>0</v>
      </c>
      <c r="P57" s="4"/>
    </row>
    <row r="58" spans="2:17">
      <c r="B58" s="9" t="str">
        <f t="shared" si="16"/>
        <v/>
      </c>
      <c r="C58" s="153">
        <f>IF(D11="","-",+C57+1)</f>
        <v>2053</v>
      </c>
      <c r="D58" s="159">
        <f>IF(F57+SUM(E$17:E57)=D$10,F57,D$10-SUM(E$17:E57))</f>
        <v>22232.103098074404</v>
      </c>
      <c r="E58" s="160">
        <f>IF(+I14&lt;F57,I14,D58)</f>
        <v>9802.7209302325573</v>
      </c>
      <c r="F58" s="159">
        <f t="shared" si="17"/>
        <v>12429.382167841846</v>
      </c>
      <c r="G58" s="161">
        <f t="shared" si="19"/>
        <v>11528.094667271807</v>
      </c>
      <c r="H58" s="142">
        <f t="shared" si="20"/>
        <v>11528.094667271807</v>
      </c>
      <c r="I58" s="156">
        <f t="shared" si="18"/>
        <v>0</v>
      </c>
      <c r="J58" s="156"/>
      <c r="K58" s="334"/>
      <c r="L58" s="158">
        <f t="shared" si="13"/>
        <v>0</v>
      </c>
      <c r="M58" s="334"/>
      <c r="N58" s="158">
        <f t="shared" si="14"/>
        <v>0</v>
      </c>
      <c r="O58" s="158">
        <f t="shared" si="15"/>
        <v>0</v>
      </c>
      <c r="P58" s="4"/>
      <c r="Q58" t="str">
        <f>IF(ROUND(Q57,0)=ROUND(SUM(Q18:Q56),0),"","Error -- check allocations above).")</f>
        <v/>
      </c>
    </row>
    <row r="59" spans="2:17">
      <c r="B59" s="9" t="str">
        <f t="shared" si="16"/>
        <v/>
      </c>
      <c r="C59" s="153">
        <f>IF(D11="","-",+C58+1)</f>
        <v>2054</v>
      </c>
      <c r="D59" s="159">
        <f>IF(F58+SUM(E$17:E58)=D$10,F58,D$10-SUM(E$17:E58))</f>
        <v>12429.382167841846</v>
      </c>
      <c r="E59" s="160">
        <f>IF(+I14&lt;F58,I14,D59)</f>
        <v>9802.7209302325573</v>
      </c>
      <c r="F59" s="159">
        <f t="shared" si="17"/>
        <v>2626.6612376092889</v>
      </c>
      <c r="G59" s="161">
        <f t="shared" si="19"/>
        <v>10552.178193133888</v>
      </c>
      <c r="H59" s="142">
        <f t="shared" si="20"/>
        <v>10552.178193133888</v>
      </c>
      <c r="I59" s="156">
        <f t="shared" si="18"/>
        <v>0</v>
      </c>
      <c r="J59" s="156"/>
      <c r="K59" s="334"/>
      <c r="L59" s="158">
        <f t="shared" si="13"/>
        <v>0</v>
      </c>
      <c r="M59" s="334"/>
      <c r="N59" s="158">
        <f t="shared" si="14"/>
        <v>0</v>
      </c>
      <c r="O59" s="158">
        <f t="shared" si="15"/>
        <v>0</v>
      </c>
      <c r="P59" s="4"/>
    </row>
    <row r="60" spans="2:17">
      <c r="B60" s="9" t="str">
        <f t="shared" si="16"/>
        <v/>
      </c>
      <c r="C60" s="153">
        <f>IF(D11="","-",+C59+1)</f>
        <v>2055</v>
      </c>
      <c r="D60" s="159">
        <f>IF(F59+SUM(E$17:E59)=D$10,F59,D$10-SUM(E$17:E59))</f>
        <v>2626.6612376092889</v>
      </c>
      <c r="E60" s="160">
        <f>IF(+I14&lt;F59,I14,D60)</f>
        <v>2626.6612376092889</v>
      </c>
      <c r="F60" s="159">
        <f t="shared" si="17"/>
        <v>0</v>
      </c>
      <c r="G60" s="161">
        <f t="shared" si="19"/>
        <v>2757.4107505254742</v>
      </c>
      <c r="H60" s="142">
        <f t="shared" si="20"/>
        <v>2757.4107505254742</v>
      </c>
      <c r="I60" s="156">
        <f t="shared" si="18"/>
        <v>0</v>
      </c>
      <c r="J60" s="156"/>
      <c r="K60" s="334"/>
      <c r="L60" s="158">
        <f t="shared" si="13"/>
        <v>0</v>
      </c>
      <c r="M60" s="334"/>
      <c r="N60" s="158">
        <f t="shared" si="14"/>
        <v>0</v>
      </c>
      <c r="O60" s="158">
        <f t="shared" si="15"/>
        <v>0</v>
      </c>
      <c r="P60" s="4"/>
    </row>
    <row r="61" spans="2:17">
      <c r="B61" s="9" t="str">
        <f t="shared" si="16"/>
        <v/>
      </c>
      <c r="C61" s="153">
        <f>IF(D11="","-",+C60+1)</f>
        <v>2056</v>
      </c>
      <c r="D61" s="159">
        <f>IF(F60+SUM(E$17:E60)=D$10,F60,D$10-SUM(E$17:E60))</f>
        <v>0</v>
      </c>
      <c r="E61" s="160">
        <f>IF(+I14&lt;F60,I14,D61)</f>
        <v>0</v>
      </c>
      <c r="F61" s="159">
        <f t="shared" si="17"/>
        <v>0</v>
      </c>
      <c r="G61" s="163">
        <f t="shared" si="19"/>
        <v>0</v>
      </c>
      <c r="H61" s="142">
        <f t="shared" si="20"/>
        <v>0</v>
      </c>
      <c r="I61" s="156">
        <f t="shared" si="18"/>
        <v>0</v>
      </c>
      <c r="J61" s="156"/>
      <c r="K61" s="334"/>
      <c r="L61" s="158">
        <f t="shared" si="13"/>
        <v>0</v>
      </c>
      <c r="M61" s="334"/>
      <c r="N61" s="158">
        <f t="shared" si="14"/>
        <v>0</v>
      </c>
      <c r="O61" s="158">
        <f t="shared" si="15"/>
        <v>0</v>
      </c>
      <c r="P61" s="4"/>
    </row>
    <row r="62" spans="2:17">
      <c r="B62" s="9" t="str">
        <f t="shared" si="16"/>
        <v/>
      </c>
      <c r="C62" s="153">
        <f>IF(D11="","-",+C61+1)</f>
        <v>2057</v>
      </c>
      <c r="D62" s="159">
        <f>IF(F61+SUM(E$17:E61)=D$10,F61,D$10-SUM(E$17:E61))</f>
        <v>0</v>
      </c>
      <c r="E62" s="160">
        <f>IF(+I14&lt;F61,I14,D62)</f>
        <v>0</v>
      </c>
      <c r="F62" s="159">
        <f t="shared" si="17"/>
        <v>0</v>
      </c>
      <c r="G62" s="163">
        <f t="shared" si="19"/>
        <v>0</v>
      </c>
      <c r="H62" s="142">
        <f t="shared" si="20"/>
        <v>0</v>
      </c>
      <c r="I62" s="156">
        <f t="shared" si="18"/>
        <v>0</v>
      </c>
      <c r="J62" s="156"/>
      <c r="K62" s="334"/>
      <c r="L62" s="158">
        <f t="shared" si="13"/>
        <v>0</v>
      </c>
      <c r="M62" s="334"/>
      <c r="N62" s="158">
        <f t="shared" si="14"/>
        <v>0</v>
      </c>
      <c r="O62" s="158">
        <f t="shared" si="15"/>
        <v>0</v>
      </c>
      <c r="P62" s="4"/>
    </row>
    <row r="63" spans="2:17">
      <c r="B63" s="9" t="str">
        <f t="shared" si="16"/>
        <v/>
      </c>
      <c r="C63" s="153">
        <f>IF(D11="","-",+C62+1)</f>
        <v>2058</v>
      </c>
      <c r="D63" s="159">
        <f>IF(F62+SUM(E$17:E62)=D$10,F62,D$10-SUM(E$17:E62))</f>
        <v>0</v>
      </c>
      <c r="E63" s="160">
        <f>IF(+I14&lt;F62,I14,D63)</f>
        <v>0</v>
      </c>
      <c r="F63" s="159">
        <f t="shared" si="17"/>
        <v>0</v>
      </c>
      <c r="G63" s="163">
        <f t="shared" si="19"/>
        <v>0</v>
      </c>
      <c r="H63" s="142">
        <f t="shared" si="20"/>
        <v>0</v>
      </c>
      <c r="I63" s="156">
        <f t="shared" si="18"/>
        <v>0</v>
      </c>
      <c r="J63" s="156"/>
      <c r="K63" s="334"/>
      <c r="L63" s="158">
        <f t="shared" si="13"/>
        <v>0</v>
      </c>
      <c r="M63" s="334"/>
      <c r="N63" s="158">
        <f t="shared" si="14"/>
        <v>0</v>
      </c>
      <c r="O63" s="158">
        <f t="shared" si="15"/>
        <v>0</v>
      </c>
      <c r="P63" s="4"/>
    </row>
    <row r="64" spans="2:17">
      <c r="B64" s="9" t="str">
        <f t="shared" si="16"/>
        <v/>
      </c>
      <c r="C64" s="153">
        <f>IF(D11="","-",+C63+1)</f>
        <v>2059</v>
      </c>
      <c r="D64" s="159">
        <f>IF(F63+SUM(E$17:E63)=D$10,F63,D$10-SUM(E$17:E63))</f>
        <v>0</v>
      </c>
      <c r="E64" s="160">
        <f>IF(+I14&lt;F63,I14,D64)</f>
        <v>0</v>
      </c>
      <c r="F64" s="159">
        <f t="shared" si="17"/>
        <v>0</v>
      </c>
      <c r="G64" s="163">
        <f t="shared" si="19"/>
        <v>0</v>
      </c>
      <c r="H64" s="142">
        <f t="shared" si="20"/>
        <v>0</v>
      </c>
      <c r="I64" s="156">
        <f t="shared" si="18"/>
        <v>0</v>
      </c>
      <c r="J64" s="156"/>
      <c r="K64" s="334"/>
      <c r="L64" s="158">
        <f t="shared" si="13"/>
        <v>0</v>
      </c>
      <c r="M64" s="334"/>
      <c r="N64" s="158">
        <f t="shared" si="14"/>
        <v>0</v>
      </c>
      <c r="O64" s="158">
        <f t="shared" si="15"/>
        <v>0</v>
      </c>
      <c r="P64" s="4"/>
    </row>
    <row r="65" spans="1:16">
      <c r="B65" s="9" t="str">
        <f t="shared" si="16"/>
        <v/>
      </c>
      <c r="C65" s="153">
        <f>IF(D11="","-",+C64+1)</f>
        <v>2060</v>
      </c>
      <c r="D65" s="159">
        <f>IF(F64+SUM(E$17:E64)=D$10,F64,D$10-SUM(E$17:E64))</f>
        <v>0</v>
      </c>
      <c r="E65" s="160">
        <f>IF(+I14&lt;F64,I14,D65)</f>
        <v>0</v>
      </c>
      <c r="F65" s="159">
        <f t="shared" si="17"/>
        <v>0</v>
      </c>
      <c r="G65" s="163">
        <f t="shared" si="19"/>
        <v>0</v>
      </c>
      <c r="H65" s="142">
        <f t="shared" si="20"/>
        <v>0</v>
      </c>
      <c r="I65" s="156">
        <f t="shared" si="18"/>
        <v>0</v>
      </c>
      <c r="J65" s="156"/>
      <c r="K65" s="334"/>
      <c r="L65" s="158">
        <f t="shared" si="13"/>
        <v>0</v>
      </c>
      <c r="M65" s="334"/>
      <c r="N65" s="158">
        <f t="shared" si="14"/>
        <v>0</v>
      </c>
      <c r="O65" s="158">
        <f t="shared" si="15"/>
        <v>0</v>
      </c>
      <c r="P65" s="4"/>
    </row>
    <row r="66" spans="1:16">
      <c r="B66" s="9" t="str">
        <f t="shared" si="16"/>
        <v/>
      </c>
      <c r="C66" s="153">
        <f>IF(D11="","-",+C65+1)</f>
        <v>2061</v>
      </c>
      <c r="D66" s="159">
        <f>IF(F65+SUM(E$17:E65)=D$10,F65,D$10-SUM(E$17:E65))</f>
        <v>0</v>
      </c>
      <c r="E66" s="160">
        <f>IF(+I14&lt;F65,I14,D66)</f>
        <v>0</v>
      </c>
      <c r="F66" s="159">
        <f t="shared" si="17"/>
        <v>0</v>
      </c>
      <c r="G66" s="163">
        <f t="shared" si="19"/>
        <v>0</v>
      </c>
      <c r="H66" s="142">
        <f t="shared" si="20"/>
        <v>0</v>
      </c>
      <c r="I66" s="156">
        <f t="shared" si="18"/>
        <v>0</v>
      </c>
      <c r="J66" s="156"/>
      <c r="K66" s="334"/>
      <c r="L66" s="158">
        <f t="shared" si="13"/>
        <v>0</v>
      </c>
      <c r="M66" s="334"/>
      <c r="N66" s="158">
        <f t="shared" si="14"/>
        <v>0</v>
      </c>
      <c r="O66" s="158">
        <f t="shared" si="15"/>
        <v>0</v>
      </c>
      <c r="P66" s="4"/>
    </row>
    <row r="67" spans="1:16">
      <c r="B67" s="9" t="str">
        <f t="shared" si="16"/>
        <v/>
      </c>
      <c r="C67" s="153">
        <f>IF(D11="","-",+C66+1)</f>
        <v>2062</v>
      </c>
      <c r="D67" s="159">
        <f>IF(F66+SUM(E$17:E66)=D$10,F66,D$10-SUM(E$17:E66))</f>
        <v>0</v>
      </c>
      <c r="E67" s="160">
        <f>IF(+I14&lt;F66,I14,D67)</f>
        <v>0</v>
      </c>
      <c r="F67" s="159">
        <f t="shared" si="17"/>
        <v>0</v>
      </c>
      <c r="G67" s="163">
        <f t="shared" si="19"/>
        <v>0</v>
      </c>
      <c r="H67" s="142">
        <f t="shared" si="20"/>
        <v>0</v>
      </c>
      <c r="I67" s="156">
        <f t="shared" si="18"/>
        <v>0</v>
      </c>
      <c r="J67" s="156"/>
      <c r="K67" s="334"/>
      <c r="L67" s="158">
        <f t="shared" si="13"/>
        <v>0</v>
      </c>
      <c r="M67" s="334"/>
      <c r="N67" s="158">
        <f t="shared" si="14"/>
        <v>0</v>
      </c>
      <c r="O67" s="158">
        <f t="shared" si="15"/>
        <v>0</v>
      </c>
      <c r="P67" s="4"/>
    </row>
    <row r="68" spans="1:16">
      <c r="B68" s="9" t="str">
        <f t="shared" si="16"/>
        <v/>
      </c>
      <c r="C68" s="153">
        <f>IF(D11="","-",+C67+1)</f>
        <v>2063</v>
      </c>
      <c r="D68" s="159">
        <f>IF(F67+SUM(E$17:E67)=D$10,F67,D$10-SUM(E$17:E67))</f>
        <v>0</v>
      </c>
      <c r="E68" s="160">
        <f>IF(+I14&lt;F67,I14,D68)</f>
        <v>0</v>
      </c>
      <c r="F68" s="159">
        <f t="shared" si="17"/>
        <v>0</v>
      </c>
      <c r="G68" s="163">
        <f t="shared" si="19"/>
        <v>0</v>
      </c>
      <c r="H68" s="142">
        <f t="shared" si="20"/>
        <v>0</v>
      </c>
      <c r="I68" s="156">
        <f t="shared" si="18"/>
        <v>0</v>
      </c>
      <c r="J68" s="156"/>
      <c r="K68" s="334"/>
      <c r="L68" s="158">
        <f t="shared" si="13"/>
        <v>0</v>
      </c>
      <c r="M68" s="334"/>
      <c r="N68" s="158">
        <f t="shared" si="14"/>
        <v>0</v>
      </c>
      <c r="O68" s="158">
        <f t="shared" si="15"/>
        <v>0</v>
      </c>
      <c r="P68" s="4"/>
    </row>
    <row r="69" spans="1:16">
      <c r="B69" s="9" t="str">
        <f t="shared" si="16"/>
        <v/>
      </c>
      <c r="C69" s="153">
        <f>IF(D11="","-",+C68+1)</f>
        <v>2064</v>
      </c>
      <c r="D69" s="159">
        <f>IF(F68+SUM(E$17:E68)=D$10,F68,D$10-SUM(E$17:E68))</f>
        <v>0</v>
      </c>
      <c r="E69" s="160">
        <f>IF(+I14&lt;F68,I14,D69)</f>
        <v>0</v>
      </c>
      <c r="F69" s="159">
        <f t="shared" si="17"/>
        <v>0</v>
      </c>
      <c r="G69" s="163">
        <f t="shared" si="19"/>
        <v>0</v>
      </c>
      <c r="H69" s="142">
        <f t="shared" si="20"/>
        <v>0</v>
      </c>
      <c r="I69" s="156">
        <f t="shared" si="18"/>
        <v>0</v>
      </c>
      <c r="J69" s="156"/>
      <c r="K69" s="334"/>
      <c r="L69" s="158">
        <f t="shared" si="13"/>
        <v>0</v>
      </c>
      <c r="M69" s="334"/>
      <c r="N69" s="158">
        <f t="shared" si="14"/>
        <v>0</v>
      </c>
      <c r="O69" s="158">
        <f t="shared" si="15"/>
        <v>0</v>
      </c>
      <c r="P69" s="4"/>
    </row>
    <row r="70" spans="1:16">
      <c r="B70" s="9" t="str">
        <f t="shared" si="16"/>
        <v/>
      </c>
      <c r="C70" s="153">
        <f>IF(D11="","-",+C69+1)</f>
        <v>2065</v>
      </c>
      <c r="D70" s="159">
        <f>IF(F69+SUM(E$17:E69)=D$10,F69,D$10-SUM(E$17:E69))</f>
        <v>0</v>
      </c>
      <c r="E70" s="160">
        <f>IF(+I14&lt;F69,I14,D70)</f>
        <v>0</v>
      </c>
      <c r="F70" s="159">
        <f t="shared" si="17"/>
        <v>0</v>
      </c>
      <c r="G70" s="163">
        <f t="shared" si="19"/>
        <v>0</v>
      </c>
      <c r="H70" s="142">
        <f t="shared" si="20"/>
        <v>0</v>
      </c>
      <c r="I70" s="156">
        <f t="shared" si="18"/>
        <v>0</v>
      </c>
      <c r="J70" s="156"/>
      <c r="K70" s="334"/>
      <c r="L70" s="158">
        <f t="shared" si="13"/>
        <v>0</v>
      </c>
      <c r="M70" s="334"/>
      <c r="N70" s="158">
        <f t="shared" si="14"/>
        <v>0</v>
      </c>
      <c r="O70" s="158">
        <f t="shared" si="15"/>
        <v>0</v>
      </c>
      <c r="P70" s="4"/>
    </row>
    <row r="71" spans="1:16">
      <c r="B71" s="9" t="str">
        <f t="shared" si="16"/>
        <v/>
      </c>
      <c r="C71" s="153">
        <f>IF(D11="","-",+C70+1)</f>
        <v>2066</v>
      </c>
      <c r="D71" s="159">
        <f>IF(F70+SUM(E$17:E70)=D$10,F70,D$10-SUM(E$17:E70))</f>
        <v>0</v>
      </c>
      <c r="E71" s="160">
        <f>IF(+I14&lt;F70,I14,D71)</f>
        <v>0</v>
      </c>
      <c r="F71" s="159">
        <f t="shared" si="17"/>
        <v>0</v>
      </c>
      <c r="G71" s="163">
        <f t="shared" si="19"/>
        <v>0</v>
      </c>
      <c r="H71" s="142">
        <f t="shared" si="20"/>
        <v>0</v>
      </c>
      <c r="I71" s="156">
        <f t="shared" si="18"/>
        <v>0</v>
      </c>
      <c r="J71" s="156"/>
      <c r="K71" s="334"/>
      <c r="L71" s="158">
        <f t="shared" si="13"/>
        <v>0</v>
      </c>
      <c r="M71" s="334"/>
      <c r="N71" s="158">
        <f t="shared" si="14"/>
        <v>0</v>
      </c>
      <c r="O71" s="158">
        <f t="shared" si="15"/>
        <v>0</v>
      </c>
      <c r="P71" s="4"/>
    </row>
    <row r="72" spans="1:16" ht="13.5" thickBot="1">
      <c r="B72" s="9" t="str">
        <f t="shared" si="16"/>
        <v/>
      </c>
      <c r="C72" s="164">
        <f>IF(D11="","-",+C71+1)</f>
        <v>2067</v>
      </c>
      <c r="D72" s="165">
        <f>IF(F71+SUM(E$17:E71)=D$10,F71,D$10-SUM(E$17:E71))</f>
        <v>0</v>
      </c>
      <c r="E72" s="166">
        <f>IF(+I14&lt;F71,I14,D72)</f>
        <v>0</v>
      </c>
      <c r="F72" s="165">
        <f t="shared" si="17"/>
        <v>0</v>
      </c>
      <c r="G72" s="167">
        <f t="shared" si="19"/>
        <v>0</v>
      </c>
      <c r="H72" s="124">
        <f t="shared" si="20"/>
        <v>0</v>
      </c>
      <c r="I72" s="168">
        <f t="shared" si="18"/>
        <v>0</v>
      </c>
      <c r="J72" s="156"/>
      <c r="K72" s="335"/>
      <c r="L72" s="169">
        <f t="shared" si="13"/>
        <v>0</v>
      </c>
      <c r="M72" s="335"/>
      <c r="N72" s="169">
        <f t="shared" si="14"/>
        <v>0</v>
      </c>
      <c r="O72" s="169">
        <f t="shared" si="15"/>
        <v>0</v>
      </c>
      <c r="P72" s="4"/>
    </row>
    <row r="73" spans="1:16">
      <c r="C73" s="154" t="s">
        <v>73</v>
      </c>
      <c r="D73" s="111"/>
      <c r="E73" s="111">
        <f>SUM(E17:E72)</f>
        <v>421516.99999999994</v>
      </c>
      <c r="F73" s="111"/>
      <c r="G73" s="111">
        <f>SUM(G17:G72)</f>
        <v>1428084.6881357597</v>
      </c>
      <c r="H73" s="111">
        <f>SUM(H17:H72)</f>
        <v>1428084.6881357597</v>
      </c>
      <c r="I73" s="111">
        <f>SUM(I17:I72)</f>
        <v>0</v>
      </c>
      <c r="J73" s="111"/>
      <c r="K73" s="111"/>
      <c r="L73" s="111"/>
      <c r="M73" s="111"/>
      <c r="N73" s="111"/>
      <c r="O73" s="4"/>
      <c r="P73" s="4"/>
    </row>
    <row r="74" spans="1:16">
      <c r="D74" s="2"/>
      <c r="E74" s="1"/>
      <c r="F74" s="1"/>
      <c r="G74" s="1"/>
      <c r="H74" s="3"/>
      <c r="I74" s="3"/>
      <c r="J74" s="111"/>
      <c r="K74" s="3"/>
      <c r="L74" s="3"/>
      <c r="M74" s="3"/>
      <c r="N74" s="3"/>
      <c r="O74" s="1"/>
      <c r="P74" s="1"/>
    </row>
    <row r="75" spans="1:16">
      <c r="C75" s="170" t="s">
        <v>91</v>
      </c>
      <c r="D75" s="2"/>
      <c r="E75" s="1"/>
      <c r="F75" s="1"/>
      <c r="G75" s="1"/>
      <c r="H75" s="3"/>
      <c r="I75" s="3"/>
      <c r="J75" s="111"/>
      <c r="K75" s="3"/>
      <c r="L75" s="3"/>
      <c r="M75" s="3"/>
      <c r="N75" s="3"/>
      <c r="O75" s="1"/>
      <c r="P75" s="1"/>
    </row>
    <row r="76" spans="1:16">
      <c r="C76" s="121" t="s">
        <v>74</v>
      </c>
      <c r="D76" s="2"/>
      <c r="E76" s="1"/>
      <c r="F76" s="1"/>
      <c r="G76" s="1"/>
      <c r="H76" s="3"/>
      <c r="I76" s="3"/>
      <c r="J76" s="111"/>
      <c r="K76" s="3"/>
      <c r="L76" s="3"/>
      <c r="M76" s="3"/>
      <c r="N76" s="3"/>
      <c r="O76" s="4"/>
      <c r="P76" s="4"/>
    </row>
    <row r="77" spans="1:16" ht="18">
      <c r="C77" s="121" t="s">
        <v>75</v>
      </c>
      <c r="D77" s="154"/>
      <c r="E77" s="154"/>
      <c r="F77" s="154"/>
      <c r="G77" s="111"/>
      <c r="H77" s="111"/>
      <c r="I77" s="171"/>
      <c r="J77" s="171"/>
      <c r="K77" s="171"/>
      <c r="L77" s="171"/>
      <c r="M77" s="171"/>
      <c r="N77" s="171"/>
      <c r="O77" s="110"/>
      <c r="P77" s="4"/>
    </row>
    <row r="78" spans="1:16">
      <c r="C78" s="121"/>
      <c r="D78" s="154"/>
      <c r="E78" s="154"/>
      <c r="F78" s="154"/>
      <c r="G78" s="111"/>
      <c r="H78" s="111"/>
      <c r="I78" s="171"/>
      <c r="J78" s="171"/>
      <c r="K78" s="171"/>
      <c r="L78" s="171"/>
      <c r="M78" s="171"/>
      <c r="N78" s="171"/>
      <c r="O78" s="4"/>
      <c r="P78" s="1"/>
    </row>
    <row r="79" spans="1:16" ht="15">
      <c r="A79" s="241"/>
      <c r="B79" s="1"/>
      <c r="C79" s="21"/>
      <c r="D79" s="2"/>
      <c r="E79" s="1"/>
      <c r="F79" s="107"/>
      <c r="G79" s="1"/>
      <c r="H79" s="3"/>
      <c r="I79" s="1"/>
      <c r="J79" s="4"/>
      <c r="K79" s="1"/>
      <c r="L79" s="1"/>
      <c r="M79" s="1"/>
      <c r="N79" s="1"/>
    </row>
    <row r="80" spans="1:16" ht="18">
      <c r="B80" s="1"/>
      <c r="C80" s="242"/>
      <c r="D80" s="2"/>
      <c r="E80" s="1"/>
      <c r="F80" s="107"/>
      <c r="G80" s="1"/>
      <c r="H80" s="3"/>
      <c r="I80" s="1"/>
      <c r="J80" s="4"/>
      <c r="K80" s="1"/>
      <c r="L80" s="1"/>
      <c r="M80" s="1"/>
      <c r="N80" s="1"/>
      <c r="P80" s="244" t="s">
        <v>125</v>
      </c>
    </row>
    <row r="81" spans="1:17">
      <c r="B81" s="1"/>
      <c r="C81" s="242"/>
      <c r="D81" s="2"/>
      <c r="E81" s="1"/>
      <c r="F81" s="107"/>
      <c r="G81" s="1"/>
      <c r="H81" s="3"/>
      <c r="I81" s="1"/>
      <c r="J81" s="4"/>
      <c r="K81" s="1"/>
      <c r="L81" s="1"/>
      <c r="M81" s="1"/>
      <c r="N81" s="1"/>
      <c r="O81" s="1"/>
      <c r="P81" s="1"/>
    </row>
    <row r="82" spans="1:17">
      <c r="B82" s="1"/>
      <c r="C82" s="21"/>
      <c r="D82" s="2"/>
      <c r="E82" s="1"/>
      <c r="F82" s="107"/>
      <c r="G82" s="1"/>
      <c r="H82" s="3"/>
      <c r="I82" s="1"/>
      <c r="J82" s="4"/>
      <c r="K82" s="1"/>
      <c r="L82" s="1"/>
      <c r="M82" s="1"/>
      <c r="N82" s="1"/>
      <c r="O82" s="1"/>
      <c r="P82" s="1"/>
      <c r="Q82" s="1"/>
    </row>
    <row r="83" spans="1:17" ht="20.25">
      <c r="A83" s="243" t="s">
        <v>129</v>
      </c>
      <c r="B83" s="1"/>
      <c r="C83" s="21"/>
      <c r="D83" s="2"/>
      <c r="E83" s="1"/>
      <c r="F83" s="99"/>
      <c r="G83" s="99"/>
      <c r="H83" s="1"/>
      <c r="I83" s="3"/>
      <c r="K83" s="7"/>
      <c r="L83" s="109"/>
      <c r="M83" s="109"/>
      <c r="P83" s="110" t="str">
        <f ca="1">P1</f>
        <v>SWEPCO Project 27 of 73</v>
      </c>
      <c r="Q83" s="1"/>
    </row>
    <row r="84" spans="1:17" ht="18">
      <c r="B84" s="1"/>
      <c r="C84" s="1"/>
      <c r="D84" s="2"/>
      <c r="E84" s="1"/>
      <c r="F84" s="1"/>
      <c r="G84" s="1"/>
      <c r="H84" s="1"/>
      <c r="I84" s="3"/>
      <c r="J84" s="1"/>
      <c r="K84" s="4"/>
      <c r="L84" s="1"/>
      <c r="M84" s="1"/>
      <c r="P84" s="237" t="s">
        <v>123</v>
      </c>
      <c r="Q84" s="1"/>
    </row>
    <row r="85" spans="1:17" ht="18.75" thickBot="1">
      <c r="B85" s="5" t="s">
        <v>40</v>
      </c>
      <c r="C85" s="197" t="s">
        <v>78</v>
      </c>
      <c r="D85" s="2"/>
      <c r="E85" s="1"/>
      <c r="F85" s="1"/>
      <c r="G85" s="1"/>
      <c r="H85" s="1"/>
      <c r="I85" s="3"/>
      <c r="J85" s="3"/>
      <c r="K85" s="111"/>
      <c r="L85" s="3"/>
      <c r="M85" s="3"/>
      <c r="N85" s="3"/>
      <c r="O85" s="111"/>
      <c r="P85" s="1"/>
      <c r="Q85" s="1"/>
    </row>
    <row r="86" spans="1:17" ht="15.75" thickBot="1">
      <c r="C86" s="67"/>
      <c r="D86" s="2"/>
      <c r="E86" s="1"/>
      <c r="F86" s="1"/>
      <c r="G86" s="1"/>
      <c r="H86" s="1"/>
      <c r="I86" s="3"/>
      <c r="J86" s="3"/>
      <c r="K86" s="111"/>
      <c r="L86" s="265">
        <f>+J92</f>
        <v>2017</v>
      </c>
      <c r="M86" s="266" t="s">
        <v>7</v>
      </c>
      <c r="N86" s="270" t="s">
        <v>154</v>
      </c>
      <c r="O86" s="267" t="s">
        <v>9</v>
      </c>
      <c r="P86" s="1"/>
      <c r="Q86" s="1"/>
    </row>
    <row r="87" spans="1:17" ht="15">
      <c r="C87" s="235" t="s">
        <v>42</v>
      </c>
      <c r="D87" s="2"/>
      <c r="E87" s="1"/>
      <c r="F87" s="1"/>
      <c r="G87" s="1"/>
      <c r="H87" s="113"/>
      <c r="I87" s="1" t="s">
        <v>43</v>
      </c>
      <c r="J87" s="1"/>
      <c r="K87" s="261"/>
      <c r="L87" s="259" t="s">
        <v>381</v>
      </c>
      <c r="M87" s="198">
        <f>IF(J92&lt;D11,0,VLOOKUP(J92,C17:O72,9))</f>
        <v>55730.535228858629</v>
      </c>
      <c r="N87" s="198">
        <f>IF(J92&lt;D11,0,VLOOKUP(J92,C17:O72,11))</f>
        <v>55730.535228858629</v>
      </c>
      <c r="O87" s="199">
        <f>+N87-M87</f>
        <v>0</v>
      </c>
      <c r="P87" s="1"/>
      <c r="Q87" s="1"/>
    </row>
    <row r="88" spans="1:17" ht="15.75">
      <c r="C88" s="8"/>
      <c r="D88" s="2"/>
      <c r="E88" s="1"/>
      <c r="F88" s="1"/>
      <c r="G88" s="1"/>
      <c r="H88" s="1"/>
      <c r="I88" s="117"/>
      <c r="J88" s="117"/>
      <c r="K88" s="263"/>
      <c r="L88" s="264" t="s">
        <v>382</v>
      </c>
      <c r="M88" s="200">
        <f>IF(J92&lt;D11,0,VLOOKUP(J92,C99:P154,6))</f>
        <v>55134.369370776643</v>
      </c>
      <c r="N88" s="200">
        <f>IF(J92&lt;D11,0,VLOOKUP(J92,C99:P154,7))</f>
        <v>55134.369370776643</v>
      </c>
      <c r="O88" s="201">
        <f>+N88-M88</f>
        <v>0</v>
      </c>
      <c r="P88" s="1"/>
      <c r="Q88" s="1"/>
    </row>
    <row r="89" spans="1:17" ht="13.5" thickBot="1">
      <c r="C89" s="121" t="s">
        <v>79</v>
      </c>
      <c r="D89" s="274" t="str">
        <f>D7</f>
        <v>Linwood - Powell Street 138 kV</v>
      </c>
      <c r="E89" s="1"/>
      <c r="F89" s="1"/>
      <c r="G89" s="1"/>
      <c r="H89" s="1"/>
      <c r="I89" s="3"/>
      <c r="J89" s="3"/>
      <c r="K89" s="262"/>
      <c r="L89" s="260" t="s">
        <v>151</v>
      </c>
      <c r="M89" s="203">
        <f>+M88-M87</f>
        <v>-596.16585808198579</v>
      </c>
      <c r="N89" s="203">
        <f>+N88-N87</f>
        <v>-596.16585808198579</v>
      </c>
      <c r="O89" s="204">
        <f>+O88-O87</f>
        <v>0</v>
      </c>
      <c r="P89" s="1"/>
      <c r="Q89" s="1"/>
    </row>
    <row r="90" spans="1:17" ht="13.5" thickBot="1">
      <c r="C90" s="170"/>
      <c r="D90" s="173" t="str">
        <f>D8</f>
        <v/>
      </c>
      <c r="E90" s="107"/>
      <c r="F90" s="107"/>
      <c r="G90" s="107"/>
      <c r="H90" s="126"/>
      <c r="I90" s="3"/>
      <c r="J90" s="3"/>
      <c r="K90" s="111"/>
      <c r="L90" s="3"/>
      <c r="M90" s="3"/>
      <c r="N90" s="3"/>
      <c r="O90" s="111"/>
      <c r="P90" s="1"/>
      <c r="Q90" s="1"/>
    </row>
    <row r="91" spans="1:17" ht="13.5" thickBot="1">
      <c r="A91" s="103"/>
      <c r="C91" s="205" t="s">
        <v>80</v>
      </c>
      <c r="D91" s="224" t="str">
        <f>+D9</f>
        <v>TP2009015</v>
      </c>
      <c r="E91" s="206"/>
      <c r="F91" s="206"/>
      <c r="G91" s="206"/>
      <c r="H91" s="206"/>
      <c r="I91" s="206"/>
      <c r="J91" s="238"/>
      <c r="K91" s="207"/>
      <c r="P91" s="131"/>
      <c r="Q91" s="1"/>
    </row>
    <row r="92" spans="1:17">
      <c r="C92" s="136" t="s">
        <v>47</v>
      </c>
      <c r="D92" s="133">
        <v>421517</v>
      </c>
      <c r="E92" s="21" t="s">
        <v>81</v>
      </c>
      <c r="H92" s="134"/>
      <c r="I92" s="134"/>
      <c r="J92" s="135">
        <f>+'SWE.WS.G.BPU.ATRR.True-up'!M15</f>
        <v>2017</v>
      </c>
      <c r="K92" s="130"/>
      <c r="L92" s="111" t="s">
        <v>82</v>
      </c>
      <c r="P92" s="4"/>
      <c r="Q92" s="1"/>
    </row>
    <row r="93" spans="1:17">
      <c r="C93" s="136" t="s">
        <v>49</v>
      </c>
      <c r="D93" s="219">
        <f>IF(D11=I10,"",D11)</f>
        <v>2012</v>
      </c>
      <c r="E93" s="136" t="s">
        <v>50</v>
      </c>
      <c r="F93" s="134"/>
      <c r="G93" s="134"/>
      <c r="J93" s="138">
        <f>IF(H87="",0,'SWE.WS.G.BPU.ATRR.True-up'!$F$12)</f>
        <v>0</v>
      </c>
      <c r="K93" s="139"/>
      <c r="L93" t="str">
        <f>"          INPUT TRUE-UP ARR (WITH &amp; WITHOUT INCENTIVES) FROM EACH PRIOR YEAR"</f>
        <v xml:space="preserve">          INPUT TRUE-UP ARR (WITH &amp; WITHOUT INCENTIVES) FROM EACH PRIOR YEAR</v>
      </c>
      <c r="P93" s="4"/>
      <c r="Q93" s="1"/>
    </row>
    <row r="94" spans="1:17">
      <c r="C94" s="136" t="s">
        <v>51</v>
      </c>
      <c r="D94" s="218">
        <f>IF(D11=I10,"",D12)</f>
        <v>6</v>
      </c>
      <c r="E94" s="136" t="s">
        <v>52</v>
      </c>
      <c r="F94" s="134"/>
      <c r="G94" s="134"/>
      <c r="J94" s="140">
        <f>'SWE.WS.G.BPU.ATRR.True-up'!$F$80</f>
        <v>0.12147145768398206</v>
      </c>
      <c r="K94" s="141"/>
      <c r="L94" t="s">
        <v>83</v>
      </c>
      <c r="P94" s="4"/>
      <c r="Q94" s="1"/>
    </row>
    <row r="95" spans="1:17">
      <c r="C95" s="136" t="s">
        <v>54</v>
      </c>
      <c r="D95" s="138">
        <f>'SWE.WS.G.BPU.ATRR.True-up'!F$92</f>
        <v>42</v>
      </c>
      <c r="E95" s="136" t="s">
        <v>55</v>
      </c>
      <c r="F95" s="134"/>
      <c r="G95" s="134"/>
      <c r="J95" s="140">
        <f>IF(H87="",J94,'SWE.WS.G.BPU.ATRR.True-up'!$F$79)</f>
        <v>0.12147145768398206</v>
      </c>
      <c r="K95" s="58"/>
      <c r="L95" s="111" t="s">
        <v>56</v>
      </c>
      <c r="M95" s="58"/>
      <c r="N95" s="58"/>
      <c r="O95" s="58"/>
      <c r="P95" s="4"/>
      <c r="Q95" s="1"/>
    </row>
    <row r="96" spans="1:17" ht="13.5" thickBot="1">
      <c r="C96" s="136" t="s">
        <v>57</v>
      </c>
      <c r="D96" s="220" t="str">
        <f>+D14</f>
        <v>No</v>
      </c>
      <c r="E96" s="202" t="s">
        <v>59</v>
      </c>
      <c r="F96" s="208"/>
      <c r="G96" s="208"/>
      <c r="H96" s="209"/>
      <c r="I96" s="209"/>
      <c r="J96" s="124">
        <f>IF(D92=0,0,D92/D95)</f>
        <v>10036.119047619048</v>
      </c>
      <c r="K96" s="111"/>
      <c r="L96" s="111"/>
      <c r="M96" s="111"/>
      <c r="N96" s="111"/>
      <c r="O96" s="111"/>
      <c r="P96" s="4"/>
      <c r="Q96" s="1"/>
    </row>
    <row r="97" spans="1:17" ht="38.25">
      <c r="A97" s="6"/>
      <c r="B97" s="6"/>
      <c r="C97" s="210" t="s">
        <v>47</v>
      </c>
      <c r="D97" s="211" t="s">
        <v>60</v>
      </c>
      <c r="E97" s="146" t="s">
        <v>61</v>
      </c>
      <c r="F97" s="146" t="s">
        <v>62</v>
      </c>
      <c r="G97" s="144" t="s">
        <v>84</v>
      </c>
      <c r="H97" s="434" t="s">
        <v>378</v>
      </c>
      <c r="I97" s="435" t="s">
        <v>379</v>
      </c>
      <c r="J97" s="210" t="s">
        <v>85</v>
      </c>
      <c r="K97" s="212"/>
      <c r="L97" s="271" t="s">
        <v>220</v>
      </c>
      <c r="M97" s="146" t="s">
        <v>86</v>
      </c>
      <c r="N97" s="271" t="s">
        <v>220</v>
      </c>
      <c r="O97" s="146" t="s">
        <v>86</v>
      </c>
      <c r="P97" s="146" t="s">
        <v>65</v>
      </c>
      <c r="Q97" s="1"/>
    </row>
    <row r="98" spans="1:17" ht="13.5" thickBot="1">
      <c r="C98" s="147" t="s">
        <v>66</v>
      </c>
      <c r="D98" s="213" t="s">
        <v>67</v>
      </c>
      <c r="E98" s="147" t="s">
        <v>68</v>
      </c>
      <c r="F98" s="147" t="s">
        <v>67</v>
      </c>
      <c r="G98" s="147" t="s">
        <v>67</v>
      </c>
      <c r="H98" s="407" t="s">
        <v>69</v>
      </c>
      <c r="I98" s="148" t="s">
        <v>70</v>
      </c>
      <c r="J98" s="149" t="s">
        <v>89</v>
      </c>
      <c r="K98" s="150"/>
      <c r="L98" s="151" t="s">
        <v>72</v>
      </c>
      <c r="M98" s="151" t="s">
        <v>72</v>
      </c>
      <c r="N98" s="151" t="s">
        <v>90</v>
      </c>
      <c r="O98" s="151" t="s">
        <v>90</v>
      </c>
      <c r="P98" s="151" t="s">
        <v>90</v>
      </c>
      <c r="Q98" s="1"/>
    </row>
    <row r="99" spans="1:17" ht="13.5" thickBot="1">
      <c r="C99" s="153">
        <f>IF(D93= "","-",D93)</f>
        <v>2012</v>
      </c>
      <c r="D99" s="357">
        <v>0</v>
      </c>
      <c r="E99" s="360">
        <v>5119.25</v>
      </c>
      <c r="F99" s="361">
        <v>424897.75</v>
      </c>
      <c r="G99" s="365">
        <v>212448.875</v>
      </c>
      <c r="H99" s="362">
        <v>36381.937261919113</v>
      </c>
      <c r="I99" s="363">
        <v>36381.937261919113</v>
      </c>
      <c r="J99" s="403">
        <f t="shared" ref="J99:J130" si="21">+I99-H99</f>
        <v>0</v>
      </c>
      <c r="K99" s="158"/>
      <c r="L99" s="256">
        <f>H99</f>
        <v>36381.937261919113</v>
      </c>
      <c r="M99" s="172">
        <f t="shared" ref="M99:M130" si="22">IF(L99&lt;&gt;0,+H99-L99,0)</f>
        <v>0</v>
      </c>
      <c r="N99" s="256">
        <f>I99</f>
        <v>36381.937261919113</v>
      </c>
      <c r="O99" s="157">
        <f t="shared" ref="O99:O130" si="23">IF(N99&lt;&gt;0,+I99-N99,0)</f>
        <v>0</v>
      </c>
      <c r="P99" s="157">
        <f t="shared" ref="P99:P130" si="24">+O99-M99</f>
        <v>0</v>
      </c>
      <c r="Q99" s="1"/>
    </row>
    <row r="100" spans="1:17" ht="13.5" thickBot="1">
      <c r="B100" s="9" t="str">
        <f t="shared" ref="B100:B131" si="25">IF(D100=F99,"","IU")</f>
        <v/>
      </c>
      <c r="C100" s="153">
        <f>IF(D93="","-",+C99+1)</f>
        <v>2013</v>
      </c>
      <c r="D100" s="357">
        <v>424897.75</v>
      </c>
      <c r="E100" s="360">
        <v>10238.5</v>
      </c>
      <c r="F100" s="361">
        <v>414659.25</v>
      </c>
      <c r="G100" s="365">
        <v>419778.5</v>
      </c>
      <c r="H100" s="362">
        <v>67031.047857906437</v>
      </c>
      <c r="I100" s="363">
        <v>67031.047857906437</v>
      </c>
      <c r="J100" s="403">
        <v>0</v>
      </c>
      <c r="K100" s="158"/>
      <c r="L100" s="256">
        <f>H100</f>
        <v>67031.047857906437</v>
      </c>
      <c r="M100" s="172">
        <f>IF(L100&lt;&gt;0,+H100-L100,0)</f>
        <v>0</v>
      </c>
      <c r="N100" s="256">
        <f>I100</f>
        <v>67031.047857906437</v>
      </c>
      <c r="O100" s="157">
        <f>IF(N100&lt;&gt;0,+I100-N100,0)</f>
        <v>0</v>
      </c>
      <c r="P100" s="157">
        <f>+O100-M100</f>
        <v>0</v>
      </c>
      <c r="Q100" s="1"/>
    </row>
    <row r="101" spans="1:17" ht="13.5" thickBot="1">
      <c r="B101" s="9" t="str">
        <f t="shared" si="25"/>
        <v>IU</v>
      </c>
      <c r="C101" s="153">
        <f>IF(D93="","-",+C100+1)</f>
        <v>2014</v>
      </c>
      <c r="D101" s="357">
        <v>406159.25</v>
      </c>
      <c r="E101" s="360">
        <v>10036.119047619048</v>
      </c>
      <c r="F101" s="361">
        <v>396123.13095238095</v>
      </c>
      <c r="G101" s="365">
        <v>401141.19047619047</v>
      </c>
      <c r="H101" s="362">
        <v>64560.617511183853</v>
      </c>
      <c r="I101" s="363">
        <v>64560.617511183853</v>
      </c>
      <c r="J101" s="158">
        <v>0</v>
      </c>
      <c r="K101" s="158"/>
      <c r="L101" s="256">
        <f>H101</f>
        <v>64560.617511183853</v>
      </c>
      <c r="M101" s="172">
        <f>IF(L101&lt;&gt;0,+H101-L101,0)</f>
        <v>0</v>
      </c>
      <c r="N101" s="256">
        <f>I101</f>
        <v>64560.617511183853</v>
      </c>
      <c r="O101" s="157">
        <f>IF(N101&lt;&gt;0,+I101-N101,0)</f>
        <v>0</v>
      </c>
      <c r="P101" s="157">
        <f>+O101-M101</f>
        <v>0</v>
      </c>
      <c r="Q101" s="1"/>
    </row>
    <row r="102" spans="1:17" ht="13.5" thickBot="1">
      <c r="B102" s="9" t="str">
        <f t="shared" si="25"/>
        <v/>
      </c>
      <c r="C102" s="153">
        <f>IF(D93="","-",+C101+1)</f>
        <v>2015</v>
      </c>
      <c r="D102" s="357">
        <v>396123.13095238095</v>
      </c>
      <c r="E102" s="360">
        <v>10036.119047619048</v>
      </c>
      <c r="F102" s="361">
        <v>386087.01190476189</v>
      </c>
      <c r="G102" s="365">
        <v>391105.07142857142</v>
      </c>
      <c r="H102" s="362">
        <v>61571.595440980236</v>
      </c>
      <c r="I102" s="363">
        <v>61571.595440980236</v>
      </c>
      <c r="J102" s="158">
        <f t="shared" si="21"/>
        <v>0</v>
      </c>
      <c r="K102" s="158"/>
      <c r="L102" s="256">
        <f>H102</f>
        <v>61571.595440980236</v>
      </c>
      <c r="M102" s="172">
        <f>IF(L102&lt;&gt;0,+H102-L102,0)</f>
        <v>0</v>
      </c>
      <c r="N102" s="256">
        <f>I102</f>
        <v>61571.595440980236</v>
      </c>
      <c r="O102" s="157">
        <f>IF(N102&lt;&gt;0,+I102-N102,0)</f>
        <v>0</v>
      </c>
      <c r="P102" s="157">
        <f>+O102-M102</f>
        <v>0</v>
      </c>
      <c r="Q102" s="1"/>
    </row>
    <row r="103" spans="1:17">
      <c r="B103" s="9" t="str">
        <f t="shared" si="25"/>
        <v/>
      </c>
      <c r="C103" s="153">
        <f>IF(D93="","-",+C102+1)</f>
        <v>2016</v>
      </c>
      <c r="D103" s="357">
        <v>386087.01190476189</v>
      </c>
      <c r="E103" s="360">
        <v>9802.7209302325573</v>
      </c>
      <c r="F103" s="361">
        <v>376284.29097452934</v>
      </c>
      <c r="G103" s="365">
        <v>381185.65143964562</v>
      </c>
      <c r="H103" s="362">
        <v>58194.234916187183</v>
      </c>
      <c r="I103" s="363">
        <v>58194.234916187183</v>
      </c>
      <c r="J103" s="158">
        <v>0</v>
      </c>
      <c r="K103" s="158"/>
      <c r="L103" s="256">
        <f>H103</f>
        <v>58194.234916187183</v>
      </c>
      <c r="M103" s="172">
        <f>IF(L103&lt;&gt;0,+H103-L103,0)</f>
        <v>0</v>
      </c>
      <c r="N103" s="256">
        <f>I103</f>
        <v>58194.234916187183</v>
      </c>
      <c r="O103" s="157">
        <f>IF(N103&lt;&gt;0,+I103-N103,0)</f>
        <v>0</v>
      </c>
      <c r="P103" s="157">
        <f>+O103-M103</f>
        <v>0</v>
      </c>
      <c r="Q103" s="1"/>
    </row>
    <row r="104" spans="1:17">
      <c r="B104" s="9" t="str">
        <f t="shared" si="25"/>
        <v/>
      </c>
      <c r="C104" s="153">
        <f>IF(D93="","-",+C103+1)</f>
        <v>2017</v>
      </c>
      <c r="D104" s="154">
        <f>IF(F103+SUM(E$99:E103)=D$92,F103,D$92-SUM(E$99:E103))</f>
        <v>376284.29097452934</v>
      </c>
      <c r="E104" s="160">
        <f>IF(+J96&lt;F103,J96,D104)</f>
        <v>10036.119047619048</v>
      </c>
      <c r="F104" s="159">
        <f t="shared" ref="F104:F131" si="26">+D104-E104</f>
        <v>366248.17192691029</v>
      </c>
      <c r="G104" s="159">
        <f t="shared" ref="G104:G130" si="27">+(F104+D104)/2</f>
        <v>371266.23145071982</v>
      </c>
      <c r="H104" s="163">
        <f t="shared" ref="H104:H130" si="28">+J$94*G104+E104</f>
        <v>55134.369370776643</v>
      </c>
      <c r="I104" s="253">
        <f t="shared" ref="I104:I130" si="29">+J$95*G104+E104</f>
        <v>55134.369370776643</v>
      </c>
      <c r="J104" s="158">
        <f t="shared" si="21"/>
        <v>0</v>
      </c>
      <c r="K104" s="158"/>
      <c r="L104" s="334"/>
      <c r="M104" s="158">
        <f t="shared" si="22"/>
        <v>0</v>
      </c>
      <c r="N104" s="334"/>
      <c r="O104" s="158">
        <f t="shared" si="23"/>
        <v>0</v>
      </c>
      <c r="P104" s="158">
        <f t="shared" si="24"/>
        <v>0</v>
      </c>
      <c r="Q104" s="1"/>
    </row>
    <row r="105" spans="1:17">
      <c r="B105" s="9" t="str">
        <f t="shared" si="25"/>
        <v/>
      </c>
      <c r="C105" s="153">
        <f>IF(D93="","-",+C104+1)</f>
        <v>2018</v>
      </c>
      <c r="D105" s="154">
        <f>IF(F104+SUM(E$99:E104)=D$92,F104,D$92-SUM(E$99:E104))</f>
        <v>366248.17192691029</v>
      </c>
      <c r="E105" s="160">
        <f>IF(+J96&lt;F104,J96,D105)</f>
        <v>10036.119047619048</v>
      </c>
      <c r="F105" s="159">
        <f t="shared" si="26"/>
        <v>356212.05287929124</v>
      </c>
      <c r="G105" s="159">
        <f t="shared" si="27"/>
        <v>361230.11240310076</v>
      </c>
      <c r="H105" s="163">
        <f t="shared" si="28"/>
        <v>53915.267360572383</v>
      </c>
      <c r="I105" s="253">
        <f t="shared" si="29"/>
        <v>53915.267360572383</v>
      </c>
      <c r="J105" s="158">
        <f t="shared" si="21"/>
        <v>0</v>
      </c>
      <c r="K105" s="158"/>
      <c r="L105" s="334"/>
      <c r="M105" s="158">
        <f t="shared" si="22"/>
        <v>0</v>
      </c>
      <c r="N105" s="334"/>
      <c r="O105" s="158">
        <f t="shared" si="23"/>
        <v>0</v>
      </c>
      <c r="P105" s="158">
        <f t="shared" si="24"/>
        <v>0</v>
      </c>
      <c r="Q105" s="1"/>
    </row>
    <row r="106" spans="1:17">
      <c r="B106" s="9" t="str">
        <f t="shared" si="25"/>
        <v/>
      </c>
      <c r="C106" s="153">
        <f>IF(D93="","-",+C105+1)</f>
        <v>2019</v>
      </c>
      <c r="D106" s="154">
        <f>IF(F105+SUM(E$99:E105)=D$92,F105,D$92-SUM(E$99:E105))</f>
        <v>356212.05287929124</v>
      </c>
      <c r="E106" s="160">
        <f>IF(+J96&lt;F105,J96,D106)</f>
        <v>10036.119047619048</v>
      </c>
      <c r="F106" s="159">
        <f t="shared" si="26"/>
        <v>346175.93383167218</v>
      </c>
      <c r="G106" s="159">
        <f t="shared" si="27"/>
        <v>351193.99335548171</v>
      </c>
      <c r="H106" s="163">
        <f t="shared" si="28"/>
        <v>52696.165350368115</v>
      </c>
      <c r="I106" s="253">
        <f t="shared" si="29"/>
        <v>52696.165350368115</v>
      </c>
      <c r="J106" s="158">
        <f t="shared" si="21"/>
        <v>0</v>
      </c>
      <c r="K106" s="158"/>
      <c r="L106" s="334"/>
      <c r="M106" s="158">
        <f t="shared" si="22"/>
        <v>0</v>
      </c>
      <c r="N106" s="334"/>
      <c r="O106" s="158">
        <f t="shared" si="23"/>
        <v>0</v>
      </c>
      <c r="P106" s="158">
        <f t="shared" si="24"/>
        <v>0</v>
      </c>
      <c r="Q106" s="1"/>
    </row>
    <row r="107" spans="1:17">
      <c r="B107" s="9" t="str">
        <f t="shared" si="25"/>
        <v/>
      </c>
      <c r="C107" s="153">
        <f>IF(D93="","-",+C106+1)</f>
        <v>2020</v>
      </c>
      <c r="D107" s="154">
        <f>IF(F106+SUM(E$99:E106)=D$92,F106,D$92-SUM(E$99:E106))</f>
        <v>346175.93383167218</v>
      </c>
      <c r="E107" s="160">
        <f>IF(+J96&lt;F106,J96,D107)</f>
        <v>10036.119047619048</v>
      </c>
      <c r="F107" s="159">
        <f t="shared" si="26"/>
        <v>336139.81478405313</v>
      </c>
      <c r="G107" s="159">
        <f t="shared" si="27"/>
        <v>341157.87430786266</v>
      </c>
      <c r="H107" s="163">
        <f t="shared" si="28"/>
        <v>51477.063340163855</v>
      </c>
      <c r="I107" s="253">
        <f t="shared" si="29"/>
        <v>51477.063340163855</v>
      </c>
      <c r="J107" s="158">
        <f t="shared" si="21"/>
        <v>0</v>
      </c>
      <c r="K107" s="158"/>
      <c r="L107" s="334"/>
      <c r="M107" s="158">
        <f t="shared" si="22"/>
        <v>0</v>
      </c>
      <c r="N107" s="334"/>
      <c r="O107" s="158">
        <f t="shared" si="23"/>
        <v>0</v>
      </c>
      <c r="P107" s="158">
        <f t="shared" si="24"/>
        <v>0</v>
      </c>
      <c r="Q107" s="1"/>
    </row>
    <row r="108" spans="1:17">
      <c r="B108" s="9" t="str">
        <f t="shared" si="25"/>
        <v/>
      </c>
      <c r="C108" s="153">
        <f>IF(D93="","-",+C107+1)</f>
        <v>2021</v>
      </c>
      <c r="D108" s="154">
        <f>IF(F107+SUM(E$99:E107)=D$92,F107,D$92-SUM(E$99:E107))</f>
        <v>336139.81478405313</v>
      </c>
      <c r="E108" s="160">
        <f>IF(+J96&lt;F107,J96,D108)</f>
        <v>10036.119047619048</v>
      </c>
      <c r="F108" s="159">
        <f t="shared" si="26"/>
        <v>326103.69573643408</v>
      </c>
      <c r="G108" s="159">
        <f t="shared" si="27"/>
        <v>331121.7552602436</v>
      </c>
      <c r="H108" s="163">
        <f t="shared" si="28"/>
        <v>50257.961329959588</v>
      </c>
      <c r="I108" s="253">
        <f t="shared" si="29"/>
        <v>50257.961329959588</v>
      </c>
      <c r="J108" s="158">
        <f t="shared" si="21"/>
        <v>0</v>
      </c>
      <c r="K108" s="158"/>
      <c r="L108" s="334"/>
      <c r="M108" s="158">
        <f t="shared" si="22"/>
        <v>0</v>
      </c>
      <c r="N108" s="334"/>
      <c r="O108" s="158">
        <f t="shared" si="23"/>
        <v>0</v>
      </c>
      <c r="P108" s="158">
        <f t="shared" si="24"/>
        <v>0</v>
      </c>
      <c r="Q108" s="1"/>
    </row>
    <row r="109" spans="1:17">
      <c r="B109" s="9" t="str">
        <f t="shared" si="25"/>
        <v/>
      </c>
      <c r="C109" s="153">
        <f>IF(D93="","-",+C108+1)</f>
        <v>2022</v>
      </c>
      <c r="D109" s="154">
        <f>IF(F108+SUM(E$99:E108)=D$92,F108,D$92-SUM(E$99:E108))</f>
        <v>326103.69573643408</v>
      </c>
      <c r="E109" s="160">
        <f>IF(+J96&lt;F108,J96,D109)</f>
        <v>10036.119047619048</v>
      </c>
      <c r="F109" s="159">
        <f t="shared" si="26"/>
        <v>316067.57668881502</v>
      </c>
      <c r="G109" s="159">
        <f t="shared" si="27"/>
        <v>321085.63621262455</v>
      </c>
      <c r="H109" s="163">
        <f t="shared" si="28"/>
        <v>49038.859319755327</v>
      </c>
      <c r="I109" s="253">
        <f t="shared" si="29"/>
        <v>49038.859319755327</v>
      </c>
      <c r="J109" s="158">
        <f t="shared" si="21"/>
        <v>0</v>
      </c>
      <c r="K109" s="158"/>
      <c r="L109" s="334"/>
      <c r="M109" s="158">
        <f t="shared" si="22"/>
        <v>0</v>
      </c>
      <c r="N109" s="334"/>
      <c r="O109" s="158">
        <f t="shared" si="23"/>
        <v>0</v>
      </c>
      <c r="P109" s="158">
        <f t="shared" si="24"/>
        <v>0</v>
      </c>
      <c r="Q109" s="1"/>
    </row>
    <row r="110" spans="1:17">
      <c r="B110" s="9" t="str">
        <f t="shared" si="25"/>
        <v/>
      </c>
      <c r="C110" s="153">
        <f>IF(D93="","-",+C109+1)</f>
        <v>2023</v>
      </c>
      <c r="D110" s="154">
        <f>IF(F109+SUM(E$99:E109)=D$92,F109,D$92-SUM(E$99:E109))</f>
        <v>316067.57668881502</v>
      </c>
      <c r="E110" s="160">
        <f>IF(+J96&lt;F109,J96,D110)</f>
        <v>10036.119047619048</v>
      </c>
      <c r="F110" s="159">
        <f t="shared" si="26"/>
        <v>306031.45764119597</v>
      </c>
      <c r="G110" s="159">
        <f t="shared" si="27"/>
        <v>311049.5171650055</v>
      </c>
      <c r="H110" s="163">
        <f t="shared" si="28"/>
        <v>47819.75730955106</v>
      </c>
      <c r="I110" s="253">
        <f t="shared" si="29"/>
        <v>47819.75730955106</v>
      </c>
      <c r="J110" s="158">
        <f t="shared" si="21"/>
        <v>0</v>
      </c>
      <c r="K110" s="158"/>
      <c r="L110" s="334"/>
      <c r="M110" s="158">
        <f t="shared" si="22"/>
        <v>0</v>
      </c>
      <c r="N110" s="334"/>
      <c r="O110" s="158">
        <f t="shared" si="23"/>
        <v>0</v>
      </c>
      <c r="P110" s="158">
        <f t="shared" si="24"/>
        <v>0</v>
      </c>
      <c r="Q110" s="1"/>
    </row>
    <row r="111" spans="1:17">
      <c r="B111" s="9" t="str">
        <f t="shared" si="25"/>
        <v/>
      </c>
      <c r="C111" s="153">
        <f>IF(D93="","-",+C110+1)</f>
        <v>2024</v>
      </c>
      <c r="D111" s="154">
        <f>IF(F110+SUM(E$99:E110)=D$92,F110,D$92-SUM(E$99:E110))</f>
        <v>306031.45764119597</v>
      </c>
      <c r="E111" s="160">
        <f>IF(+J96&lt;F110,J96,D111)</f>
        <v>10036.119047619048</v>
      </c>
      <c r="F111" s="159">
        <f t="shared" si="26"/>
        <v>295995.33859357692</v>
      </c>
      <c r="G111" s="159">
        <f t="shared" si="27"/>
        <v>301013.39811738644</v>
      </c>
      <c r="H111" s="163">
        <f t="shared" si="28"/>
        <v>46600.655299346799</v>
      </c>
      <c r="I111" s="253">
        <f t="shared" si="29"/>
        <v>46600.655299346799</v>
      </c>
      <c r="J111" s="158">
        <f t="shared" si="21"/>
        <v>0</v>
      </c>
      <c r="K111" s="158"/>
      <c r="L111" s="334"/>
      <c r="M111" s="158">
        <f t="shared" si="22"/>
        <v>0</v>
      </c>
      <c r="N111" s="334"/>
      <c r="O111" s="158">
        <f t="shared" si="23"/>
        <v>0</v>
      </c>
      <c r="P111" s="158">
        <f t="shared" si="24"/>
        <v>0</v>
      </c>
      <c r="Q111" s="1"/>
    </row>
    <row r="112" spans="1:17">
      <c r="B112" s="9" t="str">
        <f t="shared" si="25"/>
        <v/>
      </c>
      <c r="C112" s="153">
        <f>IF(D93="","-",+C111+1)</f>
        <v>2025</v>
      </c>
      <c r="D112" s="154">
        <f>IF(F111+SUM(E$99:E111)=D$92,F111,D$92-SUM(E$99:E111))</f>
        <v>295995.33859357692</v>
      </c>
      <c r="E112" s="160">
        <f>IF(+J96&lt;F111,J96,D112)</f>
        <v>10036.119047619048</v>
      </c>
      <c r="F112" s="159">
        <f t="shared" si="26"/>
        <v>285959.21954595787</v>
      </c>
      <c r="G112" s="159">
        <f t="shared" si="27"/>
        <v>290977.27906976739</v>
      </c>
      <c r="H112" s="163">
        <f t="shared" si="28"/>
        <v>45381.553289142532</v>
      </c>
      <c r="I112" s="253">
        <f t="shared" si="29"/>
        <v>45381.553289142532</v>
      </c>
      <c r="J112" s="158">
        <f t="shared" si="21"/>
        <v>0</v>
      </c>
      <c r="K112" s="158"/>
      <c r="L112" s="334"/>
      <c r="M112" s="158">
        <f t="shared" si="22"/>
        <v>0</v>
      </c>
      <c r="N112" s="334"/>
      <c r="O112" s="158">
        <f t="shared" si="23"/>
        <v>0</v>
      </c>
      <c r="P112" s="158">
        <f t="shared" si="24"/>
        <v>0</v>
      </c>
      <c r="Q112" s="1"/>
    </row>
    <row r="113" spans="2:17">
      <c r="B113" s="9" t="str">
        <f t="shared" si="25"/>
        <v/>
      </c>
      <c r="C113" s="153">
        <f>IF(D93="","-",+C112+1)</f>
        <v>2026</v>
      </c>
      <c r="D113" s="154">
        <f>IF(F112+SUM(E$99:E112)=D$92,F112,D$92-SUM(E$99:E112))</f>
        <v>285959.21954595787</v>
      </c>
      <c r="E113" s="160">
        <f>IF(+J96&lt;F112,J96,D113)</f>
        <v>10036.119047619048</v>
      </c>
      <c r="F113" s="159">
        <f t="shared" si="26"/>
        <v>275923.10049833881</v>
      </c>
      <c r="G113" s="159">
        <f t="shared" si="27"/>
        <v>280941.16002214834</v>
      </c>
      <c r="H113" s="163">
        <f t="shared" si="28"/>
        <v>44162.451278938272</v>
      </c>
      <c r="I113" s="253">
        <f t="shared" si="29"/>
        <v>44162.451278938272</v>
      </c>
      <c r="J113" s="158">
        <f t="shared" si="21"/>
        <v>0</v>
      </c>
      <c r="K113" s="158"/>
      <c r="L113" s="334"/>
      <c r="M113" s="158">
        <f t="shared" si="22"/>
        <v>0</v>
      </c>
      <c r="N113" s="334"/>
      <c r="O113" s="158">
        <f t="shared" si="23"/>
        <v>0</v>
      </c>
      <c r="P113" s="158">
        <f t="shared" si="24"/>
        <v>0</v>
      </c>
      <c r="Q113" s="1"/>
    </row>
    <row r="114" spans="2:17">
      <c r="B114" s="9" t="str">
        <f t="shared" si="25"/>
        <v/>
      </c>
      <c r="C114" s="153">
        <f>IF(D93="","-",+C113+1)</f>
        <v>2027</v>
      </c>
      <c r="D114" s="154">
        <f>IF(F113+SUM(E$99:E113)=D$92,F113,D$92-SUM(E$99:E113))</f>
        <v>275923.10049833881</v>
      </c>
      <c r="E114" s="160">
        <f>IF(+J96&lt;F113,J96,D114)</f>
        <v>10036.119047619048</v>
      </c>
      <c r="F114" s="159">
        <f t="shared" si="26"/>
        <v>265886.98145071976</v>
      </c>
      <c r="G114" s="159">
        <f t="shared" si="27"/>
        <v>270905.04097452929</v>
      </c>
      <c r="H114" s="163">
        <f t="shared" si="28"/>
        <v>42943.349268734004</v>
      </c>
      <c r="I114" s="253">
        <f t="shared" si="29"/>
        <v>42943.349268734004</v>
      </c>
      <c r="J114" s="158">
        <f t="shared" si="21"/>
        <v>0</v>
      </c>
      <c r="K114" s="158"/>
      <c r="L114" s="334"/>
      <c r="M114" s="158">
        <f t="shared" si="22"/>
        <v>0</v>
      </c>
      <c r="N114" s="334"/>
      <c r="O114" s="158">
        <f t="shared" si="23"/>
        <v>0</v>
      </c>
      <c r="P114" s="158">
        <f t="shared" si="24"/>
        <v>0</v>
      </c>
      <c r="Q114" s="1"/>
    </row>
    <row r="115" spans="2:17">
      <c r="B115" s="9" t="str">
        <f t="shared" si="25"/>
        <v/>
      </c>
      <c r="C115" s="153">
        <f>IF(D93="","-",+C114+1)</f>
        <v>2028</v>
      </c>
      <c r="D115" s="154">
        <f>IF(F114+SUM(E$99:E114)=D$92,F114,D$92-SUM(E$99:E114))</f>
        <v>265886.98145071976</v>
      </c>
      <c r="E115" s="160">
        <f>IF(+J96&lt;F114,J96,D115)</f>
        <v>10036.119047619048</v>
      </c>
      <c r="F115" s="159">
        <f t="shared" si="26"/>
        <v>255850.86240310071</v>
      </c>
      <c r="G115" s="159">
        <f t="shared" si="27"/>
        <v>260868.92192691023</v>
      </c>
      <c r="H115" s="163">
        <f t="shared" si="28"/>
        <v>41724.247258529744</v>
      </c>
      <c r="I115" s="253">
        <f t="shared" si="29"/>
        <v>41724.247258529744</v>
      </c>
      <c r="J115" s="158">
        <f t="shared" si="21"/>
        <v>0</v>
      </c>
      <c r="K115" s="158"/>
      <c r="L115" s="334"/>
      <c r="M115" s="158">
        <f t="shared" si="22"/>
        <v>0</v>
      </c>
      <c r="N115" s="334"/>
      <c r="O115" s="158">
        <f t="shared" si="23"/>
        <v>0</v>
      </c>
      <c r="P115" s="158">
        <f t="shared" si="24"/>
        <v>0</v>
      </c>
      <c r="Q115" s="1"/>
    </row>
    <row r="116" spans="2:17">
      <c r="B116" s="9" t="str">
        <f t="shared" si="25"/>
        <v/>
      </c>
      <c r="C116" s="153">
        <f>IF(D93="","-",+C115+1)</f>
        <v>2029</v>
      </c>
      <c r="D116" s="154">
        <f>IF(F115+SUM(E$99:E115)=D$92,F115,D$92-SUM(E$99:E115))</f>
        <v>255850.86240310071</v>
      </c>
      <c r="E116" s="160">
        <f>IF(+J96&lt;F115,J96,D116)</f>
        <v>10036.119047619048</v>
      </c>
      <c r="F116" s="159">
        <f t="shared" si="26"/>
        <v>245814.74335548165</v>
      </c>
      <c r="G116" s="159">
        <f t="shared" si="27"/>
        <v>250832.80287929118</v>
      </c>
      <c r="H116" s="163">
        <f t="shared" si="28"/>
        <v>40505.145248325476</v>
      </c>
      <c r="I116" s="253">
        <f t="shared" si="29"/>
        <v>40505.145248325476</v>
      </c>
      <c r="J116" s="158">
        <f t="shared" si="21"/>
        <v>0</v>
      </c>
      <c r="K116" s="158"/>
      <c r="L116" s="334"/>
      <c r="M116" s="158">
        <f t="shared" si="22"/>
        <v>0</v>
      </c>
      <c r="N116" s="334"/>
      <c r="O116" s="158">
        <f t="shared" si="23"/>
        <v>0</v>
      </c>
      <c r="P116" s="158">
        <f t="shared" si="24"/>
        <v>0</v>
      </c>
      <c r="Q116" s="1"/>
    </row>
    <row r="117" spans="2:17">
      <c r="B117" s="9" t="str">
        <f t="shared" si="25"/>
        <v/>
      </c>
      <c r="C117" s="153">
        <f>IF(D93="","-",+C116+1)</f>
        <v>2030</v>
      </c>
      <c r="D117" s="154">
        <f>IF(F116+SUM(E$99:E116)=D$92,F116,D$92-SUM(E$99:E116))</f>
        <v>245814.74335548165</v>
      </c>
      <c r="E117" s="160">
        <f>IF(+J96&lt;F116,J96,D117)</f>
        <v>10036.119047619048</v>
      </c>
      <c r="F117" s="159">
        <f t="shared" si="26"/>
        <v>235778.6243078626</v>
      </c>
      <c r="G117" s="159">
        <f t="shared" si="27"/>
        <v>240796.68383167213</v>
      </c>
      <c r="H117" s="163">
        <f t="shared" si="28"/>
        <v>39286.043238121216</v>
      </c>
      <c r="I117" s="253">
        <f t="shared" si="29"/>
        <v>39286.043238121216</v>
      </c>
      <c r="J117" s="158">
        <f t="shared" si="21"/>
        <v>0</v>
      </c>
      <c r="K117" s="158"/>
      <c r="L117" s="334"/>
      <c r="M117" s="158">
        <f t="shared" si="22"/>
        <v>0</v>
      </c>
      <c r="N117" s="334"/>
      <c r="O117" s="158">
        <f t="shared" si="23"/>
        <v>0</v>
      </c>
      <c r="P117" s="158">
        <f t="shared" si="24"/>
        <v>0</v>
      </c>
      <c r="Q117" s="1"/>
    </row>
    <row r="118" spans="2:17">
      <c r="B118" s="9" t="str">
        <f t="shared" si="25"/>
        <v/>
      </c>
      <c r="C118" s="153">
        <f>IF(D93="","-",+C117+1)</f>
        <v>2031</v>
      </c>
      <c r="D118" s="154">
        <f>IF(F117+SUM(E$99:E117)=D$92,F117,D$92-SUM(E$99:E117))</f>
        <v>235778.6243078626</v>
      </c>
      <c r="E118" s="160">
        <f>IF(+J96&lt;F117,J96,D118)</f>
        <v>10036.119047619048</v>
      </c>
      <c r="F118" s="159">
        <f t="shared" si="26"/>
        <v>225742.50526024355</v>
      </c>
      <c r="G118" s="159">
        <f t="shared" si="27"/>
        <v>230760.56478405307</v>
      </c>
      <c r="H118" s="163">
        <f t="shared" si="28"/>
        <v>38066.941227916948</v>
      </c>
      <c r="I118" s="253">
        <f t="shared" si="29"/>
        <v>38066.941227916948</v>
      </c>
      <c r="J118" s="158">
        <f t="shared" si="21"/>
        <v>0</v>
      </c>
      <c r="K118" s="158"/>
      <c r="L118" s="334"/>
      <c r="M118" s="158">
        <f t="shared" si="22"/>
        <v>0</v>
      </c>
      <c r="N118" s="334"/>
      <c r="O118" s="158">
        <f t="shared" si="23"/>
        <v>0</v>
      </c>
      <c r="P118" s="158">
        <f t="shared" si="24"/>
        <v>0</v>
      </c>
      <c r="Q118" s="1"/>
    </row>
    <row r="119" spans="2:17">
      <c r="B119" s="9" t="str">
        <f t="shared" si="25"/>
        <v/>
      </c>
      <c r="C119" s="153">
        <f>IF(D93="","-",+C118+1)</f>
        <v>2032</v>
      </c>
      <c r="D119" s="154">
        <f>IF(F118+SUM(E$99:E118)=D$92,F118,D$92-SUM(E$99:E118))</f>
        <v>225742.50526024355</v>
      </c>
      <c r="E119" s="160">
        <f>IF(+J96&lt;F118,J96,D119)</f>
        <v>10036.119047619048</v>
      </c>
      <c r="F119" s="159">
        <f t="shared" si="26"/>
        <v>215706.38621262449</v>
      </c>
      <c r="G119" s="159">
        <f t="shared" si="27"/>
        <v>220724.44573643402</v>
      </c>
      <c r="H119" s="163">
        <f t="shared" si="28"/>
        <v>36847.839217712688</v>
      </c>
      <c r="I119" s="253">
        <f t="shared" si="29"/>
        <v>36847.839217712688</v>
      </c>
      <c r="J119" s="158">
        <f t="shared" si="21"/>
        <v>0</v>
      </c>
      <c r="K119" s="158"/>
      <c r="L119" s="334"/>
      <c r="M119" s="158">
        <f t="shared" si="22"/>
        <v>0</v>
      </c>
      <c r="N119" s="334"/>
      <c r="O119" s="158">
        <f t="shared" si="23"/>
        <v>0</v>
      </c>
      <c r="P119" s="158">
        <f t="shared" si="24"/>
        <v>0</v>
      </c>
      <c r="Q119" s="1"/>
    </row>
    <row r="120" spans="2:17">
      <c r="B120" s="9" t="str">
        <f t="shared" si="25"/>
        <v/>
      </c>
      <c r="C120" s="153">
        <f>IF(D93="","-",+C119+1)</f>
        <v>2033</v>
      </c>
      <c r="D120" s="154">
        <f>IF(F119+SUM(E$99:E119)=D$92,F119,D$92-SUM(E$99:E119))</f>
        <v>215706.38621262449</v>
      </c>
      <c r="E120" s="160">
        <f>IF(+J96&lt;F119,J96,D120)</f>
        <v>10036.119047619048</v>
      </c>
      <c r="F120" s="159">
        <f t="shared" si="26"/>
        <v>205670.26716500544</v>
      </c>
      <c r="G120" s="159">
        <f t="shared" si="27"/>
        <v>210688.32668881497</v>
      </c>
      <c r="H120" s="163">
        <f t="shared" si="28"/>
        <v>35628.73720750842</v>
      </c>
      <c r="I120" s="253">
        <f t="shared" si="29"/>
        <v>35628.73720750842</v>
      </c>
      <c r="J120" s="158">
        <f t="shared" si="21"/>
        <v>0</v>
      </c>
      <c r="K120" s="158"/>
      <c r="L120" s="334"/>
      <c r="M120" s="158">
        <f t="shared" si="22"/>
        <v>0</v>
      </c>
      <c r="N120" s="334"/>
      <c r="O120" s="158">
        <f t="shared" si="23"/>
        <v>0</v>
      </c>
      <c r="P120" s="158">
        <f t="shared" si="24"/>
        <v>0</v>
      </c>
      <c r="Q120" s="1"/>
    </row>
    <row r="121" spans="2:17">
      <c r="B121" s="9" t="str">
        <f t="shared" si="25"/>
        <v/>
      </c>
      <c r="C121" s="153">
        <f>IF(D93="","-",+C120+1)</f>
        <v>2034</v>
      </c>
      <c r="D121" s="154">
        <f>IF(F120+SUM(E$99:E120)=D$92,F120,D$92-SUM(E$99:E120))</f>
        <v>205670.26716500544</v>
      </c>
      <c r="E121" s="160">
        <f>IF(+J96&lt;F120,J96,D121)</f>
        <v>10036.119047619048</v>
      </c>
      <c r="F121" s="159">
        <f t="shared" si="26"/>
        <v>195634.14811738639</v>
      </c>
      <c r="G121" s="159">
        <f t="shared" si="27"/>
        <v>200652.20764119591</v>
      </c>
      <c r="H121" s="163">
        <f t="shared" si="28"/>
        <v>34409.63519730416</v>
      </c>
      <c r="I121" s="253">
        <f t="shared" si="29"/>
        <v>34409.63519730416</v>
      </c>
      <c r="J121" s="158">
        <f t="shared" si="21"/>
        <v>0</v>
      </c>
      <c r="K121" s="158"/>
      <c r="L121" s="334"/>
      <c r="M121" s="158">
        <f t="shared" si="22"/>
        <v>0</v>
      </c>
      <c r="N121" s="334"/>
      <c r="O121" s="158">
        <f t="shared" si="23"/>
        <v>0</v>
      </c>
      <c r="P121" s="158">
        <f t="shared" si="24"/>
        <v>0</v>
      </c>
      <c r="Q121" s="1"/>
    </row>
    <row r="122" spans="2:17">
      <c r="B122" s="9" t="str">
        <f t="shared" si="25"/>
        <v/>
      </c>
      <c r="C122" s="153">
        <f>IF(D93="","-",+C121+1)</f>
        <v>2035</v>
      </c>
      <c r="D122" s="154">
        <f>IF(F121+SUM(E$99:E121)=D$92,F121,D$92-SUM(E$99:E121))</f>
        <v>195634.14811738639</v>
      </c>
      <c r="E122" s="160">
        <f>IF(+J96&lt;F121,J96,D122)</f>
        <v>10036.119047619048</v>
      </c>
      <c r="F122" s="159">
        <f t="shared" si="26"/>
        <v>185598.02906976733</v>
      </c>
      <c r="G122" s="159">
        <f t="shared" si="27"/>
        <v>190616.08859357686</v>
      </c>
      <c r="H122" s="163">
        <f t="shared" si="28"/>
        <v>33190.533187099893</v>
      </c>
      <c r="I122" s="253">
        <f t="shared" si="29"/>
        <v>33190.533187099893</v>
      </c>
      <c r="J122" s="158">
        <f t="shared" si="21"/>
        <v>0</v>
      </c>
      <c r="K122" s="158"/>
      <c r="L122" s="334"/>
      <c r="M122" s="158">
        <f t="shared" si="22"/>
        <v>0</v>
      </c>
      <c r="N122" s="334"/>
      <c r="O122" s="158">
        <f t="shared" si="23"/>
        <v>0</v>
      </c>
      <c r="P122" s="158">
        <f t="shared" si="24"/>
        <v>0</v>
      </c>
      <c r="Q122" s="1"/>
    </row>
    <row r="123" spans="2:17">
      <c r="B123" s="9" t="str">
        <f t="shared" si="25"/>
        <v/>
      </c>
      <c r="C123" s="153">
        <f>IF(D93="","-",+C122+1)</f>
        <v>2036</v>
      </c>
      <c r="D123" s="154">
        <f>IF(F122+SUM(E$99:E122)=D$92,F122,D$92-SUM(E$99:E122))</f>
        <v>185598.02906976733</v>
      </c>
      <c r="E123" s="160">
        <f>IF(+J96&lt;F122,J96,D123)</f>
        <v>10036.119047619048</v>
      </c>
      <c r="F123" s="159">
        <f t="shared" si="26"/>
        <v>175561.91002214828</v>
      </c>
      <c r="G123" s="159">
        <f t="shared" si="27"/>
        <v>180579.96954595781</v>
      </c>
      <c r="H123" s="163">
        <f t="shared" si="28"/>
        <v>31971.431176895632</v>
      </c>
      <c r="I123" s="253">
        <f t="shared" si="29"/>
        <v>31971.431176895632</v>
      </c>
      <c r="J123" s="158">
        <f t="shared" si="21"/>
        <v>0</v>
      </c>
      <c r="K123" s="158"/>
      <c r="L123" s="334"/>
      <c r="M123" s="158">
        <f t="shared" si="22"/>
        <v>0</v>
      </c>
      <c r="N123" s="334"/>
      <c r="O123" s="158">
        <f t="shared" si="23"/>
        <v>0</v>
      </c>
      <c r="P123" s="158">
        <f t="shared" si="24"/>
        <v>0</v>
      </c>
      <c r="Q123" s="1"/>
    </row>
    <row r="124" spans="2:17">
      <c r="B124" s="9" t="str">
        <f t="shared" si="25"/>
        <v/>
      </c>
      <c r="C124" s="153">
        <f>IF(D93="","-",+C123+1)</f>
        <v>2037</v>
      </c>
      <c r="D124" s="154">
        <f>IF(F123+SUM(E$99:E123)=D$92,F123,D$92-SUM(E$99:E123))</f>
        <v>175561.91002214828</v>
      </c>
      <c r="E124" s="160">
        <f>IF(+J96&lt;F123,J96,D124)</f>
        <v>10036.119047619048</v>
      </c>
      <c r="F124" s="159">
        <f t="shared" si="26"/>
        <v>165525.79097452923</v>
      </c>
      <c r="G124" s="159">
        <f t="shared" si="27"/>
        <v>170543.85049833875</v>
      </c>
      <c r="H124" s="163">
        <f t="shared" si="28"/>
        <v>30752.329166691365</v>
      </c>
      <c r="I124" s="253">
        <f t="shared" si="29"/>
        <v>30752.329166691365</v>
      </c>
      <c r="J124" s="158">
        <f t="shared" si="21"/>
        <v>0</v>
      </c>
      <c r="K124" s="158"/>
      <c r="L124" s="334"/>
      <c r="M124" s="158">
        <f t="shared" si="22"/>
        <v>0</v>
      </c>
      <c r="N124" s="334"/>
      <c r="O124" s="158">
        <f t="shared" si="23"/>
        <v>0</v>
      </c>
      <c r="P124" s="158">
        <f t="shared" si="24"/>
        <v>0</v>
      </c>
      <c r="Q124" s="1"/>
    </row>
    <row r="125" spans="2:17">
      <c r="B125" s="9" t="str">
        <f t="shared" si="25"/>
        <v/>
      </c>
      <c r="C125" s="153">
        <f>IF(D93="","-",+C124+1)</f>
        <v>2038</v>
      </c>
      <c r="D125" s="154">
        <f>IF(F124+SUM(E$99:E124)=D$92,F124,D$92-SUM(E$99:E124))</f>
        <v>165525.79097452923</v>
      </c>
      <c r="E125" s="160">
        <f>IF(+J96&lt;F124,J96,D125)</f>
        <v>10036.119047619048</v>
      </c>
      <c r="F125" s="159">
        <f t="shared" si="26"/>
        <v>155489.67192691017</v>
      </c>
      <c r="G125" s="159">
        <f t="shared" si="27"/>
        <v>160507.7314507197</v>
      </c>
      <c r="H125" s="163">
        <f t="shared" si="28"/>
        <v>29533.227156487104</v>
      </c>
      <c r="I125" s="253">
        <f t="shared" si="29"/>
        <v>29533.227156487104</v>
      </c>
      <c r="J125" s="158">
        <f t="shared" si="21"/>
        <v>0</v>
      </c>
      <c r="K125" s="158"/>
      <c r="L125" s="334"/>
      <c r="M125" s="158">
        <f t="shared" si="22"/>
        <v>0</v>
      </c>
      <c r="N125" s="334"/>
      <c r="O125" s="158">
        <f t="shared" si="23"/>
        <v>0</v>
      </c>
      <c r="P125" s="158">
        <f t="shared" si="24"/>
        <v>0</v>
      </c>
      <c r="Q125" s="1"/>
    </row>
    <row r="126" spans="2:17">
      <c r="B126" s="9" t="str">
        <f t="shared" si="25"/>
        <v/>
      </c>
      <c r="C126" s="153">
        <f>IF(D93="","-",+C125+1)</f>
        <v>2039</v>
      </c>
      <c r="D126" s="154">
        <f>IF(F125+SUM(E$99:E125)=D$92,F125,D$92-SUM(E$99:E125))</f>
        <v>155489.67192691017</v>
      </c>
      <c r="E126" s="160">
        <f>IF(+J96&lt;F125,J96,D126)</f>
        <v>10036.119047619048</v>
      </c>
      <c r="F126" s="159">
        <f t="shared" si="26"/>
        <v>145453.55287929112</v>
      </c>
      <c r="G126" s="159">
        <f t="shared" si="27"/>
        <v>150471.61240310065</v>
      </c>
      <c r="H126" s="163">
        <f t="shared" si="28"/>
        <v>28314.125146282837</v>
      </c>
      <c r="I126" s="253">
        <f t="shared" si="29"/>
        <v>28314.125146282837</v>
      </c>
      <c r="J126" s="158">
        <f t="shared" si="21"/>
        <v>0</v>
      </c>
      <c r="K126" s="158"/>
      <c r="L126" s="334"/>
      <c r="M126" s="158">
        <f t="shared" si="22"/>
        <v>0</v>
      </c>
      <c r="N126" s="334"/>
      <c r="O126" s="158">
        <f t="shared" si="23"/>
        <v>0</v>
      </c>
      <c r="P126" s="158">
        <f t="shared" si="24"/>
        <v>0</v>
      </c>
      <c r="Q126" s="1"/>
    </row>
    <row r="127" spans="2:17">
      <c r="B127" s="9" t="str">
        <f t="shared" si="25"/>
        <v/>
      </c>
      <c r="C127" s="153">
        <f>IF(D93="","-",+C126+1)</f>
        <v>2040</v>
      </c>
      <c r="D127" s="154">
        <f>IF(F126+SUM(E$99:E126)=D$92,F126,D$92-SUM(E$99:E126))</f>
        <v>145453.55287929112</v>
      </c>
      <c r="E127" s="160">
        <f>IF(+J96&lt;F126,J96,D127)</f>
        <v>10036.119047619048</v>
      </c>
      <c r="F127" s="159">
        <f t="shared" si="26"/>
        <v>135417.43383167207</v>
      </c>
      <c r="G127" s="159">
        <f t="shared" si="27"/>
        <v>140435.49335548159</v>
      </c>
      <c r="H127" s="163">
        <f t="shared" si="28"/>
        <v>27095.023136078576</v>
      </c>
      <c r="I127" s="253">
        <f t="shared" si="29"/>
        <v>27095.023136078576</v>
      </c>
      <c r="J127" s="158">
        <f t="shared" si="21"/>
        <v>0</v>
      </c>
      <c r="K127" s="158"/>
      <c r="L127" s="334"/>
      <c r="M127" s="158">
        <f t="shared" si="22"/>
        <v>0</v>
      </c>
      <c r="N127" s="334"/>
      <c r="O127" s="158">
        <f t="shared" si="23"/>
        <v>0</v>
      </c>
      <c r="P127" s="158">
        <f t="shared" si="24"/>
        <v>0</v>
      </c>
      <c r="Q127" s="1"/>
    </row>
    <row r="128" spans="2:17">
      <c r="B128" s="9" t="str">
        <f t="shared" si="25"/>
        <v/>
      </c>
      <c r="C128" s="153">
        <f>IF(D93="","-",+C127+1)</f>
        <v>2041</v>
      </c>
      <c r="D128" s="154">
        <f>IF(F127+SUM(E$99:E127)=D$92,F127,D$92-SUM(E$99:E127))</f>
        <v>135417.43383167207</v>
      </c>
      <c r="E128" s="160">
        <f>IF(+J96&lt;F127,J96,D128)</f>
        <v>10036.119047619048</v>
      </c>
      <c r="F128" s="159">
        <f t="shared" si="26"/>
        <v>125381.31478405301</v>
      </c>
      <c r="G128" s="159">
        <f t="shared" si="27"/>
        <v>130399.37430786254</v>
      </c>
      <c r="H128" s="163">
        <f t="shared" si="28"/>
        <v>25875.921125874309</v>
      </c>
      <c r="I128" s="253">
        <f t="shared" si="29"/>
        <v>25875.921125874309</v>
      </c>
      <c r="J128" s="158">
        <f t="shared" si="21"/>
        <v>0</v>
      </c>
      <c r="K128" s="158"/>
      <c r="L128" s="334"/>
      <c r="M128" s="158">
        <f t="shared" si="22"/>
        <v>0</v>
      </c>
      <c r="N128" s="334"/>
      <c r="O128" s="158">
        <f t="shared" si="23"/>
        <v>0</v>
      </c>
      <c r="P128" s="158">
        <f t="shared" si="24"/>
        <v>0</v>
      </c>
      <c r="Q128" s="1"/>
    </row>
    <row r="129" spans="2:17">
      <c r="B129" s="9" t="str">
        <f t="shared" si="25"/>
        <v/>
      </c>
      <c r="C129" s="153">
        <f>IF(D93="","-",+C128+1)</f>
        <v>2042</v>
      </c>
      <c r="D129" s="154">
        <f>IF(F128+SUM(E$99:E128)=D$92,F128,D$92-SUM(E$99:E128))</f>
        <v>125381.31478405301</v>
      </c>
      <c r="E129" s="160">
        <f>IF(+J96&lt;F128,J96,D129)</f>
        <v>10036.119047619048</v>
      </c>
      <c r="F129" s="159">
        <f t="shared" si="26"/>
        <v>115345.19573643396</v>
      </c>
      <c r="G129" s="159">
        <f t="shared" si="27"/>
        <v>120363.25526024349</v>
      </c>
      <c r="H129" s="163">
        <f t="shared" si="28"/>
        <v>24656.819115670045</v>
      </c>
      <c r="I129" s="253">
        <f t="shared" si="29"/>
        <v>24656.819115670045</v>
      </c>
      <c r="J129" s="158">
        <f t="shared" si="21"/>
        <v>0</v>
      </c>
      <c r="K129" s="158"/>
      <c r="L129" s="334"/>
      <c r="M129" s="158">
        <f t="shared" si="22"/>
        <v>0</v>
      </c>
      <c r="N129" s="334"/>
      <c r="O129" s="158">
        <f t="shared" si="23"/>
        <v>0</v>
      </c>
      <c r="P129" s="158">
        <f t="shared" si="24"/>
        <v>0</v>
      </c>
      <c r="Q129" s="1"/>
    </row>
    <row r="130" spans="2:17">
      <c r="B130" s="9" t="str">
        <f t="shared" si="25"/>
        <v/>
      </c>
      <c r="C130" s="153">
        <f>IF(D93="","-",+C129+1)</f>
        <v>2043</v>
      </c>
      <c r="D130" s="154">
        <f>IF(F129+SUM(E$99:E129)=D$92,F129,D$92-SUM(E$99:E129))</f>
        <v>115345.19573643396</v>
      </c>
      <c r="E130" s="160">
        <f>IF(+J96&lt;F129,J96,D130)</f>
        <v>10036.119047619048</v>
      </c>
      <c r="F130" s="159">
        <f t="shared" si="26"/>
        <v>105309.07668881491</v>
      </c>
      <c r="G130" s="159">
        <f t="shared" si="27"/>
        <v>110327.13621262443</v>
      </c>
      <c r="H130" s="163">
        <f t="shared" si="28"/>
        <v>23437.717105465781</v>
      </c>
      <c r="I130" s="253">
        <f t="shared" si="29"/>
        <v>23437.717105465781</v>
      </c>
      <c r="J130" s="158">
        <f t="shared" si="21"/>
        <v>0</v>
      </c>
      <c r="K130" s="158"/>
      <c r="L130" s="334"/>
      <c r="M130" s="158">
        <f t="shared" si="22"/>
        <v>0</v>
      </c>
      <c r="N130" s="334"/>
      <c r="O130" s="158">
        <f t="shared" si="23"/>
        <v>0</v>
      </c>
      <c r="P130" s="158">
        <f t="shared" si="24"/>
        <v>0</v>
      </c>
      <c r="Q130" s="1"/>
    </row>
    <row r="131" spans="2:17">
      <c r="B131" s="9" t="str">
        <f t="shared" si="25"/>
        <v/>
      </c>
      <c r="C131" s="153">
        <f>IF(D93="","-",+C130+1)</f>
        <v>2044</v>
      </c>
      <c r="D131" s="154">
        <f>IF(F130+SUM(E$99:E130)=D$92,F130,D$92-SUM(E$99:E130))</f>
        <v>105309.07668881491</v>
      </c>
      <c r="E131" s="160">
        <f>IF(+J96&lt;F130,J96,D131)</f>
        <v>10036.119047619048</v>
      </c>
      <c r="F131" s="159">
        <f t="shared" si="26"/>
        <v>95272.957641195855</v>
      </c>
      <c r="G131" s="159">
        <f t="shared" ref="G131:G154" si="30">+(F131+D131)/2</f>
        <v>100291.01716500538</v>
      </c>
      <c r="H131" s="163">
        <f t="shared" ref="H131:H154" si="31">+J$94*G131+E131</f>
        <v>22218.615095261517</v>
      </c>
      <c r="I131" s="253">
        <f t="shared" ref="I131:I154" si="32">+J$95*G131+E131</f>
        <v>22218.615095261517</v>
      </c>
      <c r="J131" s="158">
        <f t="shared" ref="J131:J154" si="33">+I131-H131</f>
        <v>0</v>
      </c>
      <c r="K131" s="158"/>
      <c r="L131" s="334"/>
      <c r="M131" s="158">
        <f t="shared" ref="M131:M154" si="34">IF(L131&lt;&gt;0,+H131-L131,0)</f>
        <v>0</v>
      </c>
      <c r="N131" s="334"/>
      <c r="O131" s="158">
        <f t="shared" ref="O131:O154" si="35">IF(N131&lt;&gt;0,+I131-N131,0)</f>
        <v>0</v>
      </c>
      <c r="P131" s="158">
        <f t="shared" ref="P131:P154" si="36">+O131-M131</f>
        <v>0</v>
      </c>
      <c r="Q131" s="1"/>
    </row>
    <row r="132" spans="2:17">
      <c r="B132" s="9" t="str">
        <f t="shared" ref="B132:B154" si="37">IF(D132=F131,"","IU")</f>
        <v/>
      </c>
      <c r="C132" s="153">
        <f>IF(D93="","-",+C131+1)</f>
        <v>2045</v>
      </c>
      <c r="D132" s="154">
        <f>IF(F131+SUM(E$99:E131)=D$92,F131,D$92-SUM(E$99:E131))</f>
        <v>95272.957641195855</v>
      </c>
      <c r="E132" s="160">
        <f>IF(+J96&lt;F131,J96,D132)</f>
        <v>10036.119047619048</v>
      </c>
      <c r="F132" s="159">
        <f t="shared" ref="F132:F154" si="38">+D132-E132</f>
        <v>85236.838593576802</v>
      </c>
      <c r="G132" s="159">
        <f t="shared" si="30"/>
        <v>90254.898117386329</v>
      </c>
      <c r="H132" s="163">
        <f t="shared" si="31"/>
        <v>20999.513085057253</v>
      </c>
      <c r="I132" s="253">
        <f t="shared" si="32"/>
        <v>20999.513085057253</v>
      </c>
      <c r="J132" s="158">
        <f t="shared" si="33"/>
        <v>0</v>
      </c>
      <c r="K132" s="158"/>
      <c r="L132" s="334"/>
      <c r="M132" s="158">
        <f t="shared" si="34"/>
        <v>0</v>
      </c>
      <c r="N132" s="334"/>
      <c r="O132" s="158">
        <f t="shared" si="35"/>
        <v>0</v>
      </c>
      <c r="P132" s="158">
        <f t="shared" si="36"/>
        <v>0</v>
      </c>
      <c r="Q132" s="1"/>
    </row>
    <row r="133" spans="2:17">
      <c r="B133" s="9" t="str">
        <f t="shared" si="37"/>
        <v/>
      </c>
      <c r="C133" s="153">
        <f>IF(D93="","-",+C132+1)</f>
        <v>2046</v>
      </c>
      <c r="D133" s="154">
        <f>IF(F132+SUM(E$99:E132)=D$92,F132,D$92-SUM(E$99:E132))</f>
        <v>85236.838593576802</v>
      </c>
      <c r="E133" s="160">
        <f>IF(+J96&lt;F132,J96,D133)</f>
        <v>10036.119047619048</v>
      </c>
      <c r="F133" s="159">
        <f t="shared" si="38"/>
        <v>75200.719545957749</v>
      </c>
      <c r="G133" s="159">
        <f t="shared" si="30"/>
        <v>80218.779069767275</v>
      </c>
      <c r="H133" s="163">
        <f t="shared" si="31"/>
        <v>19780.411074852989</v>
      </c>
      <c r="I133" s="253">
        <f t="shared" si="32"/>
        <v>19780.411074852989</v>
      </c>
      <c r="J133" s="158">
        <f t="shared" si="33"/>
        <v>0</v>
      </c>
      <c r="K133" s="158"/>
      <c r="L133" s="334"/>
      <c r="M133" s="158">
        <f t="shared" si="34"/>
        <v>0</v>
      </c>
      <c r="N133" s="334"/>
      <c r="O133" s="158">
        <f t="shared" si="35"/>
        <v>0</v>
      </c>
      <c r="P133" s="158">
        <f t="shared" si="36"/>
        <v>0</v>
      </c>
      <c r="Q133" s="1"/>
    </row>
    <row r="134" spans="2:17">
      <c r="B134" s="9" t="str">
        <f t="shared" si="37"/>
        <v/>
      </c>
      <c r="C134" s="153">
        <f>IF(D93="","-",+C133+1)</f>
        <v>2047</v>
      </c>
      <c r="D134" s="154">
        <f>IF(F133+SUM(E$99:E133)=D$92,F133,D$92-SUM(E$99:E133))</f>
        <v>75200.719545957749</v>
      </c>
      <c r="E134" s="160">
        <f>IF(+J96&lt;F133,J96,D134)</f>
        <v>10036.119047619048</v>
      </c>
      <c r="F134" s="159">
        <f t="shared" si="38"/>
        <v>65164.600498338703</v>
      </c>
      <c r="G134" s="159">
        <f t="shared" si="30"/>
        <v>70182.660022148222</v>
      </c>
      <c r="H134" s="163">
        <f t="shared" si="31"/>
        <v>18561.309064648725</v>
      </c>
      <c r="I134" s="253">
        <f t="shared" si="32"/>
        <v>18561.309064648725</v>
      </c>
      <c r="J134" s="158">
        <f t="shared" si="33"/>
        <v>0</v>
      </c>
      <c r="K134" s="158"/>
      <c r="L134" s="334"/>
      <c r="M134" s="158">
        <f t="shared" si="34"/>
        <v>0</v>
      </c>
      <c r="N134" s="334"/>
      <c r="O134" s="158">
        <f t="shared" si="35"/>
        <v>0</v>
      </c>
      <c r="P134" s="158">
        <f t="shared" si="36"/>
        <v>0</v>
      </c>
      <c r="Q134" s="1"/>
    </row>
    <row r="135" spans="2:17">
      <c r="B135" s="9" t="str">
        <f t="shared" si="37"/>
        <v/>
      </c>
      <c r="C135" s="153">
        <f>IF(D93="","-",+C134+1)</f>
        <v>2048</v>
      </c>
      <c r="D135" s="154">
        <f>IF(F134+SUM(E$99:E134)=D$92,F134,D$92-SUM(E$99:E134))</f>
        <v>65164.600498338703</v>
      </c>
      <c r="E135" s="160">
        <f>IF(+J96&lt;F134,J96,D135)</f>
        <v>10036.119047619048</v>
      </c>
      <c r="F135" s="159">
        <f t="shared" si="38"/>
        <v>55128.481450719657</v>
      </c>
      <c r="G135" s="159">
        <f t="shared" si="30"/>
        <v>60146.540974529184</v>
      </c>
      <c r="H135" s="163">
        <f t="shared" si="31"/>
        <v>17342.207054444461</v>
      </c>
      <c r="I135" s="253">
        <f t="shared" si="32"/>
        <v>17342.207054444461</v>
      </c>
      <c r="J135" s="158">
        <f t="shared" si="33"/>
        <v>0</v>
      </c>
      <c r="K135" s="158"/>
      <c r="L135" s="334"/>
      <c r="M135" s="158">
        <f t="shared" si="34"/>
        <v>0</v>
      </c>
      <c r="N135" s="334"/>
      <c r="O135" s="158">
        <f t="shared" si="35"/>
        <v>0</v>
      </c>
      <c r="P135" s="158">
        <f t="shared" si="36"/>
        <v>0</v>
      </c>
      <c r="Q135" s="1"/>
    </row>
    <row r="136" spans="2:17">
      <c r="B136" s="9" t="str">
        <f t="shared" si="37"/>
        <v/>
      </c>
      <c r="C136" s="153">
        <f>IF(D93="","-",+C135+1)</f>
        <v>2049</v>
      </c>
      <c r="D136" s="154">
        <f>IF(F135+SUM(E$99:E135)=D$92,F135,D$92-SUM(E$99:E135))</f>
        <v>55128.481450719657</v>
      </c>
      <c r="E136" s="160">
        <f>IF(+J96&lt;F135,J96,D136)</f>
        <v>10036.119047619048</v>
      </c>
      <c r="F136" s="159">
        <f t="shared" si="38"/>
        <v>45092.362403100611</v>
      </c>
      <c r="G136" s="159">
        <f t="shared" si="30"/>
        <v>50110.42192691013</v>
      </c>
      <c r="H136" s="163">
        <f t="shared" si="31"/>
        <v>16123.105044240197</v>
      </c>
      <c r="I136" s="253">
        <f t="shared" si="32"/>
        <v>16123.105044240197</v>
      </c>
      <c r="J136" s="158">
        <f t="shared" si="33"/>
        <v>0</v>
      </c>
      <c r="K136" s="158"/>
      <c r="L136" s="334"/>
      <c r="M136" s="158">
        <f t="shared" si="34"/>
        <v>0</v>
      </c>
      <c r="N136" s="334"/>
      <c r="O136" s="158">
        <f t="shared" si="35"/>
        <v>0</v>
      </c>
      <c r="P136" s="158">
        <f t="shared" si="36"/>
        <v>0</v>
      </c>
      <c r="Q136" s="1"/>
    </row>
    <row r="137" spans="2:17">
      <c r="B137" s="9" t="str">
        <f t="shared" si="37"/>
        <v/>
      </c>
      <c r="C137" s="153">
        <f>IF(D93="","-",+C136+1)</f>
        <v>2050</v>
      </c>
      <c r="D137" s="154">
        <f>IF(F136+SUM(E$99:E136)=D$92,F136,D$92-SUM(E$99:E136))</f>
        <v>45092.362403100611</v>
      </c>
      <c r="E137" s="160">
        <f>IF(+J96&lt;F136,J96,D137)</f>
        <v>10036.119047619048</v>
      </c>
      <c r="F137" s="159">
        <f t="shared" si="38"/>
        <v>35056.243355481565</v>
      </c>
      <c r="G137" s="159">
        <f t="shared" si="30"/>
        <v>40074.302879291092</v>
      </c>
      <c r="H137" s="163">
        <f t="shared" si="31"/>
        <v>14904.003034035937</v>
      </c>
      <c r="I137" s="253">
        <f t="shared" si="32"/>
        <v>14904.003034035937</v>
      </c>
      <c r="J137" s="158">
        <f t="shared" si="33"/>
        <v>0</v>
      </c>
      <c r="K137" s="158"/>
      <c r="L137" s="334"/>
      <c r="M137" s="158">
        <f t="shared" si="34"/>
        <v>0</v>
      </c>
      <c r="N137" s="334"/>
      <c r="O137" s="158">
        <f t="shared" si="35"/>
        <v>0</v>
      </c>
      <c r="P137" s="158">
        <f t="shared" si="36"/>
        <v>0</v>
      </c>
      <c r="Q137" s="1"/>
    </row>
    <row r="138" spans="2:17">
      <c r="B138" s="9" t="str">
        <f t="shared" si="37"/>
        <v/>
      </c>
      <c r="C138" s="153">
        <f>IF(D93="","-",+C137+1)</f>
        <v>2051</v>
      </c>
      <c r="D138" s="154">
        <f>IF(F137+SUM(E$99:E137)=D$92,F137,D$92-SUM(E$99:E137))</f>
        <v>35056.243355481565</v>
      </c>
      <c r="E138" s="160">
        <f>IF(+J96&lt;F137,J96,D138)</f>
        <v>10036.119047619048</v>
      </c>
      <c r="F138" s="159">
        <f t="shared" si="38"/>
        <v>25020.124307862519</v>
      </c>
      <c r="G138" s="159">
        <f t="shared" si="30"/>
        <v>30038.183831672042</v>
      </c>
      <c r="H138" s="163">
        <f t="shared" si="31"/>
        <v>13684.901023831673</v>
      </c>
      <c r="I138" s="253">
        <f t="shared" si="32"/>
        <v>13684.901023831673</v>
      </c>
      <c r="J138" s="158">
        <f t="shared" si="33"/>
        <v>0</v>
      </c>
      <c r="K138" s="158"/>
      <c r="L138" s="334"/>
      <c r="M138" s="158">
        <f t="shared" si="34"/>
        <v>0</v>
      </c>
      <c r="N138" s="334"/>
      <c r="O138" s="158">
        <f t="shared" si="35"/>
        <v>0</v>
      </c>
      <c r="P138" s="158">
        <f t="shared" si="36"/>
        <v>0</v>
      </c>
      <c r="Q138" s="1"/>
    </row>
    <row r="139" spans="2:17">
      <c r="B139" s="9" t="str">
        <f t="shared" si="37"/>
        <v/>
      </c>
      <c r="C139" s="153">
        <f>IF(D93="","-",+C138+1)</f>
        <v>2052</v>
      </c>
      <c r="D139" s="154">
        <f>IF(F138+SUM(E$99:E138)=D$92,F138,D$92-SUM(E$99:E138))</f>
        <v>25020.124307862519</v>
      </c>
      <c r="E139" s="160">
        <f>IF(+J96&lt;F138,J96,D139)</f>
        <v>10036.119047619048</v>
      </c>
      <c r="F139" s="159">
        <f t="shared" si="38"/>
        <v>14984.005260243472</v>
      </c>
      <c r="G139" s="159">
        <f t="shared" si="30"/>
        <v>20002.064784052996</v>
      </c>
      <c r="H139" s="163">
        <f t="shared" si="31"/>
        <v>12465.799013627409</v>
      </c>
      <c r="I139" s="253">
        <f t="shared" si="32"/>
        <v>12465.799013627409</v>
      </c>
      <c r="J139" s="158">
        <f t="shared" si="33"/>
        <v>0</v>
      </c>
      <c r="K139" s="158"/>
      <c r="L139" s="334"/>
      <c r="M139" s="158">
        <f t="shared" si="34"/>
        <v>0</v>
      </c>
      <c r="N139" s="334"/>
      <c r="O139" s="158">
        <f t="shared" si="35"/>
        <v>0</v>
      </c>
      <c r="P139" s="158">
        <f t="shared" si="36"/>
        <v>0</v>
      </c>
      <c r="Q139" s="1"/>
    </row>
    <row r="140" spans="2:17">
      <c r="B140" s="9" t="str">
        <f t="shared" si="37"/>
        <v/>
      </c>
      <c r="C140" s="153">
        <f>IF(D93="","-",+C139+1)</f>
        <v>2053</v>
      </c>
      <c r="D140" s="154">
        <f>IF(F139+SUM(E$99:E139)=D$92,F139,D$92-SUM(E$99:E139))</f>
        <v>14984.005260243472</v>
      </c>
      <c r="E140" s="160">
        <f>IF(+J96&lt;F139,J96,D140)</f>
        <v>10036.119047619048</v>
      </c>
      <c r="F140" s="159">
        <f t="shared" si="38"/>
        <v>4947.8862126244239</v>
      </c>
      <c r="G140" s="159">
        <f t="shared" si="30"/>
        <v>9965.9457364339469</v>
      </c>
      <c r="H140" s="163">
        <f t="shared" si="31"/>
        <v>11246.697003423145</v>
      </c>
      <c r="I140" s="253">
        <f t="shared" si="32"/>
        <v>11246.697003423145</v>
      </c>
      <c r="J140" s="158">
        <f t="shared" si="33"/>
        <v>0</v>
      </c>
      <c r="K140" s="158"/>
      <c r="L140" s="334"/>
      <c r="M140" s="158">
        <f t="shared" si="34"/>
        <v>0</v>
      </c>
      <c r="N140" s="334"/>
      <c r="O140" s="158">
        <f t="shared" si="35"/>
        <v>0</v>
      </c>
      <c r="P140" s="158">
        <f t="shared" si="36"/>
        <v>0</v>
      </c>
      <c r="Q140" s="1"/>
    </row>
    <row r="141" spans="2:17">
      <c r="B141" s="9" t="str">
        <f t="shared" si="37"/>
        <v/>
      </c>
      <c r="C141" s="153">
        <f>IF(D93="","-",+C140+1)</f>
        <v>2054</v>
      </c>
      <c r="D141" s="154">
        <f>IF(F140+SUM(E$99:E140)=D$92,F140,D$92-SUM(E$99:E140))</f>
        <v>4947.8862126244239</v>
      </c>
      <c r="E141" s="160">
        <f>IF(+J96&lt;F140,J96,D141)</f>
        <v>4947.8862126244239</v>
      </c>
      <c r="F141" s="159">
        <f t="shared" si="38"/>
        <v>0</v>
      </c>
      <c r="G141" s="159">
        <f t="shared" si="30"/>
        <v>2473.943106312212</v>
      </c>
      <c r="H141" s="163">
        <f t="shared" si="31"/>
        <v>5248.3996879754068</v>
      </c>
      <c r="I141" s="253">
        <f t="shared" si="32"/>
        <v>5248.3996879754068</v>
      </c>
      <c r="J141" s="158">
        <f t="shared" si="33"/>
        <v>0</v>
      </c>
      <c r="K141" s="158"/>
      <c r="L141" s="334"/>
      <c r="M141" s="158">
        <f t="shared" si="34"/>
        <v>0</v>
      </c>
      <c r="N141" s="334"/>
      <c r="O141" s="158">
        <f t="shared" si="35"/>
        <v>0</v>
      </c>
      <c r="P141" s="158">
        <f t="shared" si="36"/>
        <v>0</v>
      </c>
      <c r="Q141" s="1"/>
    </row>
    <row r="142" spans="2:17">
      <c r="B142" s="9" t="str">
        <f t="shared" si="37"/>
        <v/>
      </c>
      <c r="C142" s="153">
        <f>IF(D93="","-",+C141+1)</f>
        <v>2055</v>
      </c>
      <c r="D142" s="154">
        <f>IF(F141+SUM(E$99:E141)=D$92,F141,D$92-SUM(E$99:E141))</f>
        <v>0</v>
      </c>
      <c r="E142" s="160">
        <f>IF(+J96&lt;F141,J96,D142)</f>
        <v>0</v>
      </c>
      <c r="F142" s="159">
        <f t="shared" si="38"/>
        <v>0</v>
      </c>
      <c r="G142" s="159">
        <f t="shared" si="30"/>
        <v>0</v>
      </c>
      <c r="H142" s="163">
        <f t="shared" si="31"/>
        <v>0</v>
      </c>
      <c r="I142" s="253">
        <f t="shared" si="32"/>
        <v>0</v>
      </c>
      <c r="J142" s="158">
        <f t="shared" si="33"/>
        <v>0</v>
      </c>
      <c r="K142" s="158"/>
      <c r="L142" s="334"/>
      <c r="M142" s="158">
        <f t="shared" si="34"/>
        <v>0</v>
      </c>
      <c r="N142" s="334"/>
      <c r="O142" s="158">
        <f t="shared" si="35"/>
        <v>0</v>
      </c>
      <c r="P142" s="158">
        <f t="shared" si="36"/>
        <v>0</v>
      </c>
      <c r="Q142" s="1"/>
    </row>
    <row r="143" spans="2:17">
      <c r="B143" s="9" t="str">
        <f t="shared" si="37"/>
        <v/>
      </c>
      <c r="C143" s="153">
        <f>IF(D93="","-",+C142+1)</f>
        <v>2056</v>
      </c>
      <c r="D143" s="154">
        <f>IF(F142+SUM(E$99:E142)=D$92,F142,D$92-SUM(E$99:E142))</f>
        <v>0</v>
      </c>
      <c r="E143" s="160">
        <f>IF(+J96&lt;F142,J96,D143)</f>
        <v>0</v>
      </c>
      <c r="F143" s="159">
        <f t="shared" si="38"/>
        <v>0</v>
      </c>
      <c r="G143" s="159">
        <f t="shared" si="30"/>
        <v>0</v>
      </c>
      <c r="H143" s="163">
        <f t="shared" si="31"/>
        <v>0</v>
      </c>
      <c r="I143" s="253">
        <f t="shared" si="32"/>
        <v>0</v>
      </c>
      <c r="J143" s="158">
        <f t="shared" si="33"/>
        <v>0</v>
      </c>
      <c r="K143" s="158"/>
      <c r="L143" s="334"/>
      <c r="M143" s="158">
        <f t="shared" si="34"/>
        <v>0</v>
      </c>
      <c r="N143" s="334"/>
      <c r="O143" s="158">
        <f t="shared" si="35"/>
        <v>0</v>
      </c>
      <c r="P143" s="158">
        <f t="shared" si="36"/>
        <v>0</v>
      </c>
      <c r="Q143" s="1"/>
    </row>
    <row r="144" spans="2:17">
      <c r="B144" s="9" t="str">
        <f t="shared" si="37"/>
        <v/>
      </c>
      <c r="C144" s="153">
        <f>IF(D93="","-",+C143+1)</f>
        <v>2057</v>
      </c>
      <c r="D144" s="154">
        <f>IF(F143+SUM(E$99:E143)=D$92,F143,D$92-SUM(E$99:E143))</f>
        <v>0</v>
      </c>
      <c r="E144" s="160">
        <f>IF(+J96&lt;F143,J96,D144)</f>
        <v>0</v>
      </c>
      <c r="F144" s="159">
        <f t="shared" si="38"/>
        <v>0</v>
      </c>
      <c r="G144" s="159">
        <f t="shared" si="30"/>
        <v>0</v>
      </c>
      <c r="H144" s="163">
        <f t="shared" si="31"/>
        <v>0</v>
      </c>
      <c r="I144" s="253">
        <f t="shared" si="32"/>
        <v>0</v>
      </c>
      <c r="J144" s="158">
        <f t="shared" si="33"/>
        <v>0</v>
      </c>
      <c r="K144" s="158"/>
      <c r="L144" s="334"/>
      <c r="M144" s="158">
        <f t="shared" si="34"/>
        <v>0</v>
      </c>
      <c r="N144" s="334"/>
      <c r="O144" s="158">
        <f t="shared" si="35"/>
        <v>0</v>
      </c>
      <c r="P144" s="158">
        <f t="shared" si="36"/>
        <v>0</v>
      </c>
      <c r="Q144" s="1"/>
    </row>
    <row r="145" spans="2:17">
      <c r="B145" s="9" t="str">
        <f t="shared" si="37"/>
        <v/>
      </c>
      <c r="C145" s="153">
        <f>IF(D93="","-",+C144+1)</f>
        <v>2058</v>
      </c>
      <c r="D145" s="154">
        <f>IF(F144+SUM(E$99:E144)=D$92,F144,D$92-SUM(E$99:E144))</f>
        <v>0</v>
      </c>
      <c r="E145" s="160">
        <f>IF(+J96&lt;F144,J96,D145)</f>
        <v>0</v>
      </c>
      <c r="F145" s="159">
        <f t="shared" si="38"/>
        <v>0</v>
      </c>
      <c r="G145" s="159">
        <f t="shared" si="30"/>
        <v>0</v>
      </c>
      <c r="H145" s="163">
        <f t="shared" si="31"/>
        <v>0</v>
      </c>
      <c r="I145" s="253">
        <f t="shared" si="32"/>
        <v>0</v>
      </c>
      <c r="J145" s="158">
        <f t="shared" si="33"/>
        <v>0</v>
      </c>
      <c r="K145" s="158"/>
      <c r="L145" s="334"/>
      <c r="M145" s="158">
        <f t="shared" si="34"/>
        <v>0</v>
      </c>
      <c r="N145" s="334"/>
      <c r="O145" s="158">
        <f t="shared" si="35"/>
        <v>0</v>
      </c>
      <c r="P145" s="158">
        <f t="shared" si="36"/>
        <v>0</v>
      </c>
      <c r="Q145" s="1"/>
    </row>
    <row r="146" spans="2:17">
      <c r="B146" s="9" t="str">
        <f t="shared" si="37"/>
        <v/>
      </c>
      <c r="C146" s="153">
        <f>IF(D93="","-",+C145+1)</f>
        <v>2059</v>
      </c>
      <c r="D146" s="154">
        <f>IF(F145+SUM(E$99:E145)=D$92,F145,D$92-SUM(E$99:E145))</f>
        <v>0</v>
      </c>
      <c r="E146" s="160">
        <f>IF(+J96&lt;F145,J96,D146)</f>
        <v>0</v>
      </c>
      <c r="F146" s="159">
        <f t="shared" si="38"/>
        <v>0</v>
      </c>
      <c r="G146" s="159">
        <f t="shared" si="30"/>
        <v>0</v>
      </c>
      <c r="H146" s="163">
        <f t="shared" si="31"/>
        <v>0</v>
      </c>
      <c r="I146" s="253">
        <f t="shared" si="32"/>
        <v>0</v>
      </c>
      <c r="J146" s="158">
        <f t="shared" si="33"/>
        <v>0</v>
      </c>
      <c r="K146" s="158"/>
      <c r="L146" s="334"/>
      <c r="M146" s="158">
        <f t="shared" si="34"/>
        <v>0</v>
      </c>
      <c r="N146" s="334"/>
      <c r="O146" s="158">
        <f t="shared" si="35"/>
        <v>0</v>
      </c>
      <c r="P146" s="158">
        <f t="shared" si="36"/>
        <v>0</v>
      </c>
      <c r="Q146" s="1"/>
    </row>
    <row r="147" spans="2:17">
      <c r="B147" s="9" t="str">
        <f t="shared" si="37"/>
        <v/>
      </c>
      <c r="C147" s="153">
        <f>IF(D93="","-",+C146+1)</f>
        <v>2060</v>
      </c>
      <c r="D147" s="154">
        <f>IF(F146+SUM(E$99:E146)=D$92,F146,D$92-SUM(E$99:E146))</f>
        <v>0</v>
      </c>
      <c r="E147" s="160">
        <f>IF(+J96&lt;F146,J96,D147)</f>
        <v>0</v>
      </c>
      <c r="F147" s="159">
        <f t="shared" si="38"/>
        <v>0</v>
      </c>
      <c r="G147" s="159">
        <f t="shared" si="30"/>
        <v>0</v>
      </c>
      <c r="H147" s="163">
        <f t="shared" si="31"/>
        <v>0</v>
      </c>
      <c r="I147" s="253">
        <f t="shared" si="32"/>
        <v>0</v>
      </c>
      <c r="J147" s="158">
        <f t="shared" si="33"/>
        <v>0</v>
      </c>
      <c r="K147" s="158"/>
      <c r="L147" s="334"/>
      <c r="M147" s="158">
        <f t="shared" si="34"/>
        <v>0</v>
      </c>
      <c r="N147" s="334"/>
      <c r="O147" s="158">
        <f t="shared" si="35"/>
        <v>0</v>
      </c>
      <c r="P147" s="158">
        <f t="shared" si="36"/>
        <v>0</v>
      </c>
      <c r="Q147" s="1"/>
    </row>
    <row r="148" spans="2:17">
      <c r="B148" s="9" t="str">
        <f t="shared" si="37"/>
        <v/>
      </c>
      <c r="C148" s="153">
        <f>IF(D93="","-",+C147+1)</f>
        <v>2061</v>
      </c>
      <c r="D148" s="154">
        <f>IF(F147+SUM(E$99:E147)=D$92,F147,D$92-SUM(E$99:E147))</f>
        <v>0</v>
      </c>
      <c r="E148" s="160">
        <f>IF(+J96&lt;F147,J96,D148)</f>
        <v>0</v>
      </c>
      <c r="F148" s="159">
        <f t="shared" si="38"/>
        <v>0</v>
      </c>
      <c r="G148" s="159">
        <f t="shared" si="30"/>
        <v>0</v>
      </c>
      <c r="H148" s="163">
        <f t="shared" si="31"/>
        <v>0</v>
      </c>
      <c r="I148" s="253">
        <f t="shared" si="32"/>
        <v>0</v>
      </c>
      <c r="J148" s="158">
        <f t="shared" si="33"/>
        <v>0</v>
      </c>
      <c r="K148" s="158"/>
      <c r="L148" s="334"/>
      <c r="M148" s="158">
        <f t="shared" si="34"/>
        <v>0</v>
      </c>
      <c r="N148" s="334"/>
      <c r="O148" s="158">
        <f t="shared" si="35"/>
        <v>0</v>
      </c>
      <c r="P148" s="158">
        <f t="shared" si="36"/>
        <v>0</v>
      </c>
      <c r="Q148" s="1"/>
    </row>
    <row r="149" spans="2:17">
      <c r="B149" s="9" t="str">
        <f t="shared" si="37"/>
        <v/>
      </c>
      <c r="C149" s="153">
        <f>IF(D93="","-",+C148+1)</f>
        <v>2062</v>
      </c>
      <c r="D149" s="154">
        <f>IF(F148+SUM(E$99:E148)=D$92,F148,D$92-SUM(E$99:E148))</f>
        <v>0</v>
      </c>
      <c r="E149" s="160">
        <f>IF(+J96&lt;F148,J96,D149)</f>
        <v>0</v>
      </c>
      <c r="F149" s="159">
        <f t="shared" si="38"/>
        <v>0</v>
      </c>
      <c r="G149" s="159">
        <f t="shared" si="30"/>
        <v>0</v>
      </c>
      <c r="H149" s="163">
        <f t="shared" si="31"/>
        <v>0</v>
      </c>
      <c r="I149" s="253">
        <f t="shared" si="32"/>
        <v>0</v>
      </c>
      <c r="J149" s="158">
        <f t="shared" si="33"/>
        <v>0</v>
      </c>
      <c r="K149" s="158"/>
      <c r="L149" s="334"/>
      <c r="M149" s="158">
        <f t="shared" si="34"/>
        <v>0</v>
      </c>
      <c r="N149" s="334"/>
      <c r="O149" s="158">
        <f t="shared" si="35"/>
        <v>0</v>
      </c>
      <c r="P149" s="158">
        <f t="shared" si="36"/>
        <v>0</v>
      </c>
      <c r="Q149" s="1"/>
    </row>
    <row r="150" spans="2:17">
      <c r="B150" s="9" t="str">
        <f t="shared" si="37"/>
        <v/>
      </c>
      <c r="C150" s="153">
        <f>IF(D93="","-",+C149+1)</f>
        <v>2063</v>
      </c>
      <c r="D150" s="154">
        <f>IF(F149+SUM(E$99:E149)=D$92,F149,D$92-SUM(E$99:E149))</f>
        <v>0</v>
      </c>
      <c r="E150" s="160">
        <f>IF(+J96&lt;F149,J96,D150)</f>
        <v>0</v>
      </c>
      <c r="F150" s="159">
        <f t="shared" si="38"/>
        <v>0</v>
      </c>
      <c r="G150" s="159">
        <f t="shared" si="30"/>
        <v>0</v>
      </c>
      <c r="H150" s="163">
        <f t="shared" si="31"/>
        <v>0</v>
      </c>
      <c r="I150" s="253">
        <f t="shared" si="32"/>
        <v>0</v>
      </c>
      <c r="J150" s="158">
        <f t="shared" si="33"/>
        <v>0</v>
      </c>
      <c r="K150" s="158"/>
      <c r="L150" s="334"/>
      <c r="M150" s="158">
        <f t="shared" si="34"/>
        <v>0</v>
      </c>
      <c r="N150" s="334"/>
      <c r="O150" s="158">
        <f t="shared" si="35"/>
        <v>0</v>
      </c>
      <c r="P150" s="158">
        <f t="shared" si="36"/>
        <v>0</v>
      </c>
      <c r="Q150" s="1"/>
    </row>
    <row r="151" spans="2:17">
      <c r="B151" s="9" t="str">
        <f t="shared" si="37"/>
        <v/>
      </c>
      <c r="C151" s="153">
        <f>IF(D93="","-",+C150+1)</f>
        <v>2064</v>
      </c>
      <c r="D151" s="154">
        <f>IF(F150+SUM(E$99:E150)=D$92,F150,D$92-SUM(E$99:E150))</f>
        <v>0</v>
      </c>
      <c r="E151" s="160">
        <f>IF(+J96&lt;F150,J96,D151)</f>
        <v>0</v>
      </c>
      <c r="F151" s="159">
        <f t="shared" si="38"/>
        <v>0</v>
      </c>
      <c r="G151" s="159">
        <f t="shared" si="30"/>
        <v>0</v>
      </c>
      <c r="H151" s="163">
        <f t="shared" si="31"/>
        <v>0</v>
      </c>
      <c r="I151" s="253">
        <f t="shared" si="32"/>
        <v>0</v>
      </c>
      <c r="J151" s="158">
        <f t="shared" si="33"/>
        <v>0</v>
      </c>
      <c r="K151" s="158"/>
      <c r="L151" s="334"/>
      <c r="M151" s="158">
        <f t="shared" si="34"/>
        <v>0</v>
      </c>
      <c r="N151" s="334"/>
      <c r="O151" s="158">
        <f t="shared" si="35"/>
        <v>0</v>
      </c>
      <c r="P151" s="158">
        <f t="shared" si="36"/>
        <v>0</v>
      </c>
      <c r="Q151" s="1"/>
    </row>
    <row r="152" spans="2:17">
      <c r="B152" s="9" t="str">
        <f t="shared" si="37"/>
        <v/>
      </c>
      <c r="C152" s="153">
        <f>IF(D93="","-",+C151+1)</f>
        <v>2065</v>
      </c>
      <c r="D152" s="154">
        <f>IF(F151+SUM(E$99:E151)=D$92,F151,D$92-SUM(E$99:E151))</f>
        <v>0</v>
      </c>
      <c r="E152" s="160">
        <f>IF(+J96&lt;F151,J96,D152)</f>
        <v>0</v>
      </c>
      <c r="F152" s="159">
        <f t="shared" si="38"/>
        <v>0</v>
      </c>
      <c r="G152" s="159">
        <f t="shared" si="30"/>
        <v>0</v>
      </c>
      <c r="H152" s="163">
        <f t="shared" si="31"/>
        <v>0</v>
      </c>
      <c r="I152" s="253">
        <f t="shared" si="32"/>
        <v>0</v>
      </c>
      <c r="J152" s="158">
        <f t="shared" si="33"/>
        <v>0</v>
      </c>
      <c r="K152" s="158"/>
      <c r="L152" s="334"/>
      <c r="M152" s="158">
        <f t="shared" si="34"/>
        <v>0</v>
      </c>
      <c r="N152" s="334"/>
      <c r="O152" s="158">
        <f t="shared" si="35"/>
        <v>0</v>
      </c>
      <c r="P152" s="158">
        <f t="shared" si="36"/>
        <v>0</v>
      </c>
      <c r="Q152" s="1"/>
    </row>
    <row r="153" spans="2:17">
      <c r="B153" s="9" t="str">
        <f t="shared" si="37"/>
        <v/>
      </c>
      <c r="C153" s="153">
        <f>IF(D93="","-",+C152+1)</f>
        <v>2066</v>
      </c>
      <c r="D153" s="154">
        <f>IF(F152+SUM(E$99:E152)=D$92,F152,D$92-SUM(E$99:E152))</f>
        <v>0</v>
      </c>
      <c r="E153" s="160">
        <f>IF(+J96&lt;F152,J96,D153)</f>
        <v>0</v>
      </c>
      <c r="F153" s="159">
        <f t="shared" si="38"/>
        <v>0</v>
      </c>
      <c r="G153" s="159">
        <f t="shared" si="30"/>
        <v>0</v>
      </c>
      <c r="H153" s="163">
        <f t="shared" si="31"/>
        <v>0</v>
      </c>
      <c r="I153" s="253">
        <f t="shared" si="32"/>
        <v>0</v>
      </c>
      <c r="J153" s="158">
        <f t="shared" si="33"/>
        <v>0</v>
      </c>
      <c r="K153" s="158"/>
      <c r="L153" s="334"/>
      <c r="M153" s="158">
        <f t="shared" si="34"/>
        <v>0</v>
      </c>
      <c r="N153" s="334"/>
      <c r="O153" s="158">
        <f t="shared" si="35"/>
        <v>0</v>
      </c>
      <c r="P153" s="158">
        <f t="shared" si="36"/>
        <v>0</v>
      </c>
      <c r="Q153" s="1"/>
    </row>
    <row r="154" spans="2:17" ht="13.5" thickBot="1">
      <c r="B154" s="9" t="str">
        <f t="shared" si="37"/>
        <v/>
      </c>
      <c r="C154" s="164">
        <f>IF(D93="","-",+C153+1)</f>
        <v>2067</v>
      </c>
      <c r="D154" s="215">
        <f>IF(F153+SUM(E$99:E153)=D$92,F153,D$92-SUM(E$99:E153))</f>
        <v>0</v>
      </c>
      <c r="E154" s="166">
        <f>IF(+J96&lt;F153,J96,D154)</f>
        <v>0</v>
      </c>
      <c r="F154" s="165">
        <f t="shared" si="38"/>
        <v>0</v>
      </c>
      <c r="G154" s="165">
        <f t="shared" si="30"/>
        <v>0</v>
      </c>
      <c r="H154" s="167">
        <f t="shared" si="31"/>
        <v>0</v>
      </c>
      <c r="I154" s="254">
        <f t="shared" si="32"/>
        <v>0</v>
      </c>
      <c r="J154" s="169">
        <f t="shared" si="33"/>
        <v>0</v>
      </c>
      <c r="K154" s="158"/>
      <c r="L154" s="335"/>
      <c r="M154" s="169">
        <f t="shared" si="34"/>
        <v>0</v>
      </c>
      <c r="N154" s="335"/>
      <c r="O154" s="169">
        <f t="shared" si="35"/>
        <v>0</v>
      </c>
      <c r="P154" s="169">
        <f t="shared" si="36"/>
        <v>0</v>
      </c>
      <c r="Q154" s="1"/>
    </row>
    <row r="155" spans="2:17">
      <c r="C155" s="154" t="s">
        <v>73</v>
      </c>
      <c r="D155" s="111"/>
      <c r="E155" s="111">
        <f>SUM(E99:E154)</f>
        <v>421517</v>
      </c>
      <c r="F155" s="111"/>
      <c r="G155" s="111"/>
      <c r="H155" s="111">
        <f>SUM(H99:H154)</f>
        <v>1521037.5605988484</v>
      </c>
      <c r="I155" s="111">
        <f>SUM(I99:I154)</f>
        <v>1521037.5605988484</v>
      </c>
      <c r="J155" s="111">
        <f>SUM(J99:J154)</f>
        <v>0</v>
      </c>
      <c r="K155" s="111"/>
      <c r="L155" s="111"/>
      <c r="M155" s="111"/>
      <c r="N155" s="111"/>
      <c r="O155" s="111"/>
      <c r="P155" s="1"/>
      <c r="Q155" s="1"/>
    </row>
    <row r="156" spans="2:17">
      <c r="D156" s="2"/>
      <c r="E156" s="1"/>
      <c r="F156" s="1"/>
      <c r="G156" s="1"/>
      <c r="H156" s="1"/>
      <c r="I156" s="3"/>
      <c r="J156" s="3"/>
      <c r="K156" s="111"/>
      <c r="L156" s="3"/>
      <c r="M156" s="3"/>
      <c r="N156" s="3"/>
      <c r="O156" s="3"/>
      <c r="P156" s="1"/>
      <c r="Q156" s="1"/>
    </row>
    <row r="157" spans="2:17">
      <c r="C157" s="216" t="s">
        <v>87</v>
      </c>
      <c r="D157" s="2"/>
      <c r="E157" s="1"/>
      <c r="F157" s="1"/>
      <c r="G157" s="1"/>
      <c r="H157" s="1"/>
      <c r="I157" s="3"/>
      <c r="J157" s="3"/>
      <c r="K157" s="111"/>
      <c r="L157" s="3"/>
      <c r="M157" s="3"/>
      <c r="N157" s="3"/>
      <c r="O157" s="3"/>
      <c r="P157" s="1"/>
      <c r="Q157" s="1"/>
    </row>
    <row r="158" spans="2:17">
      <c r="D158" s="2"/>
      <c r="E158" s="1"/>
      <c r="F158" s="1"/>
      <c r="G158" s="1"/>
      <c r="H158" s="1"/>
      <c r="I158" s="3"/>
      <c r="J158" s="3"/>
      <c r="K158" s="111"/>
      <c r="L158" s="3"/>
      <c r="M158" s="3"/>
      <c r="N158" s="3"/>
      <c r="O158" s="3"/>
      <c r="P158" s="1"/>
      <c r="Q158" s="1"/>
    </row>
    <row r="159" spans="2:17">
      <c r="C159" s="170" t="s">
        <v>92</v>
      </c>
      <c r="D159" s="154"/>
      <c r="E159" s="154"/>
      <c r="F159" s="154"/>
      <c r="G159" s="154"/>
      <c r="H159" s="111"/>
      <c r="I159" s="111"/>
      <c r="J159" s="171"/>
      <c r="K159" s="171"/>
      <c r="L159" s="171"/>
      <c r="M159" s="171"/>
      <c r="N159" s="171"/>
      <c r="O159" s="171"/>
      <c r="P159" s="1"/>
      <c r="Q159" s="1"/>
    </row>
    <row r="160" spans="2:17">
      <c r="C160" s="217" t="s">
        <v>74</v>
      </c>
      <c r="D160" s="154"/>
      <c r="E160" s="154"/>
      <c r="F160" s="154"/>
      <c r="G160" s="154"/>
      <c r="H160" s="111"/>
      <c r="I160" s="111"/>
      <c r="J160" s="171"/>
      <c r="K160" s="171"/>
      <c r="L160" s="171"/>
      <c r="M160" s="171"/>
      <c r="N160" s="171"/>
      <c r="O160" s="171"/>
      <c r="P160" s="1"/>
      <c r="Q160" s="1"/>
    </row>
    <row r="161" spans="3:17">
      <c r="C161" s="217" t="s">
        <v>75</v>
      </c>
      <c r="D161" s="154"/>
      <c r="E161" s="154"/>
      <c r="F161" s="154"/>
      <c r="G161" s="154"/>
      <c r="H161" s="111"/>
      <c r="I161" s="111"/>
      <c r="J161" s="171"/>
      <c r="K161" s="171"/>
      <c r="L161" s="171"/>
      <c r="M161" s="171"/>
      <c r="N161" s="171"/>
      <c r="O161" s="171"/>
      <c r="P161" s="1"/>
      <c r="Q161" s="1"/>
    </row>
    <row r="162" spans="3:17" ht="18">
      <c r="C162" s="217"/>
      <c r="D162" s="154"/>
      <c r="E162" s="154"/>
      <c r="F162" s="154"/>
      <c r="G162" s="154"/>
      <c r="H162" s="111"/>
      <c r="I162" s="111"/>
      <c r="J162" s="171"/>
      <c r="K162" s="171"/>
      <c r="L162" s="171"/>
      <c r="M162" s="171"/>
      <c r="N162" s="171"/>
      <c r="P162" s="237" t="s">
        <v>126</v>
      </c>
      <c r="Q162" s="1"/>
    </row>
  </sheetData>
  <phoneticPr fontId="0" type="noConversion"/>
  <conditionalFormatting sqref="C17:C72">
    <cfRule type="cellIs" dxfId="111" priority="1" stopIfTrue="1" operator="equal">
      <formula>$I$10</formula>
    </cfRule>
  </conditionalFormatting>
  <conditionalFormatting sqref="C99:C154">
    <cfRule type="cellIs" dxfId="110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9"/>
  <dimension ref="A1:Q162"/>
  <sheetViews>
    <sheetView view="pageBreakPreview" zoomScale="75" zoomScaleNormal="100" zoomScaleSheetLayoutView="75" workbookViewId="0">
      <selection activeCell="C19" sqref="C19"/>
    </sheetView>
  </sheetViews>
  <sheetFormatPr defaultRowHeight="12.75" customHeight="1"/>
  <cols>
    <col min="1" max="1" width="4.7109375" customWidth="1"/>
    <col min="2" max="2" width="6.7109375" customWidth="1"/>
    <col min="3" max="3" width="23.28515625" customWidth="1"/>
    <col min="4" max="8" width="17.7109375" customWidth="1"/>
    <col min="9" max="9" width="20.42578125" customWidth="1"/>
    <col min="10" max="10" width="16.42578125" customWidth="1"/>
    <col min="11" max="11" width="17.7109375" customWidth="1"/>
    <col min="12" max="12" width="16.140625" customWidth="1"/>
    <col min="13" max="13" width="17.7109375" customWidth="1"/>
    <col min="14" max="14" width="16.140625" customWidth="1"/>
    <col min="15" max="15" width="16.85546875" customWidth="1"/>
    <col min="16" max="16" width="24.42578125" customWidth="1"/>
    <col min="17" max="17" width="4.7109375" customWidth="1"/>
    <col min="23" max="23" width="9.140625" customWidth="1"/>
  </cols>
  <sheetData>
    <row r="1" spans="1:17" ht="20.25">
      <c r="A1" s="243" t="s">
        <v>128</v>
      </c>
      <c r="B1" s="1"/>
      <c r="C1" s="21"/>
      <c r="D1" s="2"/>
      <c r="E1" s="1"/>
      <c r="F1" s="99"/>
      <c r="G1" s="1"/>
      <c r="H1" s="3"/>
      <c r="J1" s="7"/>
      <c r="K1" s="109"/>
      <c r="L1" s="109"/>
      <c r="M1" s="109"/>
      <c r="P1" s="249" t="str">
        <f ca="1">"SWEPCO Project "&amp;RIGHT(MID(CELL("filename",$A$1),FIND("]",CELL("filename",$A$1))+1,256),2)&amp;" of "&amp;COUNT('S.001:S.xyz - blank'!$P$3)-1</f>
        <v>SWEPCO Project 28 of 73</v>
      </c>
      <c r="Q1" s="108"/>
    </row>
    <row r="2" spans="1:17" ht="18">
      <c r="B2" s="1"/>
      <c r="C2" s="1"/>
      <c r="D2" s="2"/>
      <c r="E2" s="1"/>
      <c r="F2" s="1"/>
      <c r="G2" s="1"/>
      <c r="H2" s="3"/>
      <c r="I2" s="1"/>
      <c r="J2" s="4"/>
      <c r="K2" s="1"/>
      <c r="L2" s="1"/>
      <c r="M2" s="1"/>
      <c r="N2" s="1"/>
      <c r="P2" s="237" t="s">
        <v>124</v>
      </c>
    </row>
    <row r="3" spans="1:17" ht="18.75">
      <c r="B3" s="5" t="s">
        <v>40</v>
      </c>
      <c r="C3" s="68" t="s">
        <v>41</v>
      </c>
      <c r="D3" s="2"/>
      <c r="E3" s="1"/>
      <c r="F3" s="1"/>
      <c r="G3" s="1"/>
      <c r="H3" s="3"/>
      <c r="I3" s="3"/>
      <c r="J3" s="111"/>
      <c r="K3" s="3"/>
      <c r="L3" s="3"/>
      <c r="M3" s="3"/>
      <c r="N3" s="3"/>
      <c r="O3" s="1" t="str">
        <f>RIGHT(N3,3)</f>
        <v/>
      </c>
      <c r="P3" s="239">
        <v>1</v>
      </c>
    </row>
    <row r="4" spans="1:17" ht="15.75" thickBot="1">
      <c r="C4" s="67"/>
      <c r="D4" s="2"/>
      <c r="E4" s="1"/>
      <c r="F4" s="1"/>
      <c r="G4" s="1"/>
      <c r="H4" s="3"/>
      <c r="I4" s="3"/>
      <c r="J4" s="111"/>
      <c r="K4" s="3"/>
      <c r="L4" s="3"/>
      <c r="M4" s="3"/>
      <c r="N4" s="3"/>
      <c r="O4" s="1"/>
      <c r="P4" s="1"/>
    </row>
    <row r="5" spans="1:17" ht="15">
      <c r="C5" s="112" t="s">
        <v>42</v>
      </c>
      <c r="D5" s="2"/>
      <c r="E5" s="1"/>
      <c r="F5" s="1"/>
      <c r="G5" s="113"/>
      <c r="H5" s="1" t="s">
        <v>43</v>
      </c>
      <c r="I5" s="1"/>
      <c r="J5" s="4"/>
      <c r="K5" s="268" t="s">
        <v>152</v>
      </c>
      <c r="L5" s="114"/>
      <c r="M5" s="115"/>
      <c r="N5" s="116">
        <f>VLOOKUP(I10,C17:I72,5)</f>
        <v>559091.91573083529</v>
      </c>
      <c r="P5" s="1"/>
    </row>
    <row r="6" spans="1:17" ht="15.75">
      <c r="C6" s="8"/>
      <c r="D6" s="2"/>
      <c r="E6" s="1"/>
      <c r="F6" s="1"/>
      <c r="G6" s="1"/>
      <c r="H6" s="117"/>
      <c r="I6" s="117"/>
      <c r="J6" s="118"/>
      <c r="K6" s="269" t="s">
        <v>153</v>
      </c>
      <c r="L6" s="119"/>
      <c r="M6" s="4"/>
      <c r="N6" s="120">
        <f>VLOOKUP(I10,C17:I72,6)</f>
        <v>559091.91573083529</v>
      </c>
      <c r="O6" s="1"/>
      <c r="P6" s="1"/>
    </row>
    <row r="7" spans="1:17" ht="13.5" thickBot="1">
      <c r="C7" s="121" t="s">
        <v>44</v>
      </c>
      <c r="D7" s="274" t="s">
        <v>268</v>
      </c>
      <c r="E7" s="1"/>
      <c r="F7" s="1"/>
      <c r="G7" s="170"/>
      <c r="H7" s="3"/>
      <c r="I7" s="3"/>
      <c r="J7" s="111"/>
      <c r="K7" s="122" t="s">
        <v>45</v>
      </c>
      <c r="L7" s="123"/>
      <c r="M7" s="123"/>
      <c r="N7" s="124">
        <f>+N6-N5</f>
        <v>0</v>
      </c>
      <c r="O7" s="1"/>
      <c r="P7" s="1"/>
    </row>
    <row r="8" spans="1:17" ht="13.5" thickBot="1">
      <c r="C8" s="125"/>
      <c r="D8" s="250" t="str">
        <f>IF(D10&lt;100000,"DOES NOT MEET SPP $100,000 MINIMUM INVESTMENT FOR REGIONAL BPU SHARING.","")</f>
        <v/>
      </c>
      <c r="E8" s="126"/>
      <c r="F8" s="126"/>
      <c r="G8" s="126"/>
      <c r="H8" s="126"/>
      <c r="I8" s="126"/>
      <c r="J8" s="101"/>
      <c r="K8" s="126"/>
      <c r="L8" s="126"/>
      <c r="M8" s="126"/>
      <c r="N8" s="126"/>
      <c r="O8" s="101"/>
      <c r="P8" s="21"/>
    </row>
    <row r="9" spans="1:17" ht="13.5" thickBot="1">
      <c r="A9" s="103"/>
      <c r="C9" s="127" t="s">
        <v>46</v>
      </c>
      <c r="D9" s="371" t="s">
        <v>267</v>
      </c>
      <c r="E9" s="401" t="s">
        <v>419</v>
      </c>
      <c r="F9" s="128"/>
      <c r="G9" s="128"/>
      <c r="H9" s="128"/>
      <c r="I9" s="129"/>
      <c r="J9" s="130"/>
      <c r="O9" s="131"/>
      <c r="P9" s="4"/>
    </row>
    <row r="10" spans="1:17">
      <c r="C10" s="132" t="s">
        <v>47</v>
      </c>
      <c r="D10" s="133">
        <v>5268479</v>
      </c>
      <c r="E10" s="61" t="s">
        <v>459</v>
      </c>
      <c r="F10" s="131"/>
      <c r="G10" s="134"/>
      <c r="H10" s="134"/>
      <c r="I10" s="135">
        <f>+SWE.WS.F.BPU.ATRR.Projected!K17</f>
        <v>2019</v>
      </c>
      <c r="J10" s="130"/>
      <c r="K10" s="111" t="s">
        <v>48</v>
      </c>
      <c r="O10" s="4"/>
      <c r="P10" s="4"/>
    </row>
    <row r="11" spans="1:17">
      <c r="C11" s="136" t="s">
        <v>49</v>
      </c>
      <c r="D11" s="137">
        <v>2012</v>
      </c>
      <c r="E11" s="136" t="s">
        <v>50</v>
      </c>
      <c r="F11" s="134"/>
      <c r="G11" s="7"/>
      <c r="H11" s="7"/>
      <c r="I11" s="138">
        <v>0</v>
      </c>
      <c r="J11" s="139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4"/>
      <c r="P11" s="4"/>
    </row>
    <row r="12" spans="1:17">
      <c r="C12" s="136" t="s">
        <v>51</v>
      </c>
      <c r="D12" s="133">
        <v>6</v>
      </c>
      <c r="E12" s="136" t="s">
        <v>52</v>
      </c>
      <c r="F12" s="134"/>
      <c r="G12" s="7"/>
      <c r="H12" s="7"/>
      <c r="I12" s="140">
        <f>SWE.WS.F.BPU.ATRR.Projected!$F$76</f>
        <v>9.9555672459071778E-2</v>
      </c>
      <c r="J12" s="141"/>
      <c r="K12" t="s">
        <v>53</v>
      </c>
      <c r="O12" s="4"/>
      <c r="P12" s="4"/>
    </row>
    <row r="13" spans="1:17">
      <c r="C13" s="136" t="s">
        <v>54</v>
      </c>
      <c r="D13" s="138">
        <f>+SWE.WS.F.BPU.ATRR.Projected!F$87</f>
        <v>43</v>
      </c>
      <c r="E13" s="136" t="s">
        <v>55</v>
      </c>
      <c r="F13" s="134"/>
      <c r="G13" s="7"/>
      <c r="H13" s="7"/>
      <c r="I13" s="140">
        <f>IF(G5="",I12,SWE.WS.F.BPU.ATRR.Projected!$F$75)</f>
        <v>9.9555672459071778E-2</v>
      </c>
      <c r="J13" s="141"/>
      <c r="K13" s="111" t="s">
        <v>56</v>
      </c>
      <c r="L13" s="58"/>
      <c r="M13" s="58"/>
      <c r="N13" s="58"/>
      <c r="O13" s="4"/>
      <c r="P13" s="4"/>
    </row>
    <row r="14" spans="1:17" ht="13.5" thickBot="1">
      <c r="C14" s="136" t="s">
        <v>57</v>
      </c>
      <c r="D14" s="137" t="s">
        <v>58</v>
      </c>
      <c r="E14" s="4" t="s">
        <v>59</v>
      </c>
      <c r="F14" s="134"/>
      <c r="G14" s="7"/>
      <c r="H14" s="7"/>
      <c r="I14" s="142">
        <f>IF(D10=0,0,D10/D13)</f>
        <v>122522.76744186046</v>
      </c>
      <c r="J14" s="111"/>
      <c r="K14" s="111"/>
      <c r="L14" s="111"/>
      <c r="M14" s="111"/>
      <c r="N14" s="111"/>
      <c r="O14" s="4"/>
      <c r="P14" s="4"/>
    </row>
    <row r="15" spans="1:17" ht="38.25">
      <c r="C15" s="143" t="s">
        <v>47</v>
      </c>
      <c r="D15" s="144" t="s">
        <v>60</v>
      </c>
      <c r="E15" s="144" t="s">
        <v>61</v>
      </c>
      <c r="F15" s="144" t="s">
        <v>62</v>
      </c>
      <c r="G15" s="434" t="s">
        <v>378</v>
      </c>
      <c r="H15" s="435" t="s">
        <v>379</v>
      </c>
      <c r="I15" s="351" t="s">
        <v>249</v>
      </c>
      <c r="J15" s="145"/>
      <c r="K15" s="271" t="s">
        <v>219</v>
      </c>
      <c r="L15" s="146" t="s">
        <v>64</v>
      </c>
      <c r="M15" s="271" t="s">
        <v>219</v>
      </c>
      <c r="N15" s="146" t="s">
        <v>64</v>
      </c>
      <c r="O15" s="146" t="s">
        <v>65</v>
      </c>
      <c r="P15" s="4"/>
    </row>
    <row r="16" spans="1:17" ht="13.5" thickBot="1">
      <c r="C16" s="147" t="s">
        <v>66</v>
      </c>
      <c r="D16" s="147" t="s">
        <v>67</v>
      </c>
      <c r="E16" s="147" t="s">
        <v>68</v>
      </c>
      <c r="F16" s="147" t="s">
        <v>67</v>
      </c>
      <c r="G16" s="408" t="s">
        <v>69</v>
      </c>
      <c r="H16" s="148" t="s">
        <v>70</v>
      </c>
      <c r="I16" s="149" t="s">
        <v>89</v>
      </c>
      <c r="J16" s="150" t="s">
        <v>71</v>
      </c>
      <c r="K16" s="151" t="s">
        <v>72</v>
      </c>
      <c r="L16" s="151" t="s">
        <v>72</v>
      </c>
      <c r="M16" s="151" t="s">
        <v>90</v>
      </c>
      <c r="N16" s="152" t="s">
        <v>90</v>
      </c>
      <c r="O16" s="151" t="s">
        <v>90</v>
      </c>
      <c r="P16" s="4"/>
    </row>
    <row r="17" spans="2:16">
      <c r="C17" s="153">
        <f>IF(D11= "","-",D11)</f>
        <v>2012</v>
      </c>
      <c r="D17" s="357">
        <v>5819300</v>
      </c>
      <c r="E17" s="358">
        <v>69277.380952380947</v>
      </c>
      <c r="F17" s="357">
        <v>5750022.6190476194</v>
      </c>
      <c r="G17" s="358">
        <v>924421.55024775688</v>
      </c>
      <c r="H17" s="359">
        <v>924421.55024775688</v>
      </c>
      <c r="I17" s="368">
        <v>0</v>
      </c>
      <c r="J17" s="156"/>
      <c r="K17" s="256">
        <f t="shared" ref="K17:K22" si="0">G17</f>
        <v>924421.55024775688</v>
      </c>
      <c r="L17" s="172">
        <f t="shared" ref="L17:L48" si="1">IF(K17&lt;&gt;0,+G17-K17,0)</f>
        <v>0</v>
      </c>
      <c r="M17" s="256">
        <f t="shared" ref="M17:M22" si="2">H17</f>
        <v>924421.55024775688</v>
      </c>
      <c r="N17" s="157">
        <f t="shared" ref="N17:N48" si="3">IF(M17&lt;&gt;0,+H17-M17,0)</f>
        <v>0</v>
      </c>
      <c r="O17" s="158">
        <f t="shared" ref="O17:O48" si="4">+N17-L17</f>
        <v>0</v>
      </c>
      <c r="P17" s="4"/>
    </row>
    <row r="18" spans="2:16">
      <c r="B18" s="9" t="str">
        <f t="shared" ref="B18:B49" si="5">IF(D18=F17,"","IU")</f>
        <v>IU</v>
      </c>
      <c r="C18" s="153">
        <f>IF(D11="","-",+C17+1)</f>
        <v>2013</v>
      </c>
      <c r="D18" s="396">
        <v>5198431.6190476194</v>
      </c>
      <c r="E18" s="397">
        <v>125421.64285714286</v>
      </c>
      <c r="F18" s="396">
        <v>5073009.9761904767</v>
      </c>
      <c r="G18" s="397">
        <v>835577.50676548237</v>
      </c>
      <c r="H18" s="395">
        <v>835577.50676548237</v>
      </c>
      <c r="I18" s="398">
        <v>0</v>
      </c>
      <c r="J18" s="156"/>
      <c r="K18" s="258">
        <f t="shared" si="0"/>
        <v>835577.50676548237</v>
      </c>
      <c r="L18" s="257">
        <f t="shared" ref="L18:L23" si="6">IF(K18&lt;&gt;0,+G18-K18,0)</f>
        <v>0</v>
      </c>
      <c r="M18" s="258">
        <f t="shared" si="2"/>
        <v>835577.50676548237</v>
      </c>
      <c r="N18" s="158">
        <f t="shared" ref="N18:N23" si="7">IF(M18&lt;&gt;0,+H18-M18,0)</f>
        <v>0</v>
      </c>
      <c r="O18" s="158">
        <f t="shared" ref="O18:O23" si="8">+N18-L18</f>
        <v>0</v>
      </c>
      <c r="P18" s="4"/>
    </row>
    <row r="19" spans="2:16">
      <c r="B19" s="9" t="str">
        <f t="shared" si="5"/>
        <v>IU</v>
      </c>
      <c r="C19" s="153">
        <f>IF(D11="","-",+C18+1)</f>
        <v>2014</v>
      </c>
      <c r="D19" s="396">
        <v>5073787.9761904757</v>
      </c>
      <c r="E19" s="397">
        <v>125440.16666666667</v>
      </c>
      <c r="F19" s="396">
        <v>4948347.8095238088</v>
      </c>
      <c r="G19" s="397">
        <v>793024.28464727127</v>
      </c>
      <c r="H19" s="395">
        <v>793024.28464727127</v>
      </c>
      <c r="I19" s="398">
        <v>0</v>
      </c>
      <c r="J19" s="156"/>
      <c r="K19" s="258">
        <f t="shared" si="0"/>
        <v>793024.28464727127</v>
      </c>
      <c r="L19" s="257">
        <f t="shared" si="6"/>
        <v>0</v>
      </c>
      <c r="M19" s="258">
        <f t="shared" si="2"/>
        <v>793024.28464727127</v>
      </c>
      <c r="N19" s="158">
        <f t="shared" si="7"/>
        <v>0</v>
      </c>
      <c r="O19" s="158">
        <f t="shared" si="8"/>
        <v>0</v>
      </c>
      <c r="P19" s="4"/>
    </row>
    <row r="20" spans="2:16">
      <c r="B20" s="9" t="str">
        <f t="shared" si="5"/>
        <v/>
      </c>
      <c r="C20" s="153">
        <f>IF(D11="","-",+C19+1)</f>
        <v>2015</v>
      </c>
      <c r="D20" s="396">
        <v>4948347.8095238088</v>
      </c>
      <c r="E20" s="397">
        <v>125440.16666666667</v>
      </c>
      <c r="F20" s="396">
        <v>4822907.6428571418</v>
      </c>
      <c r="G20" s="397">
        <v>760640.25789050967</v>
      </c>
      <c r="H20" s="395">
        <v>760640.25789050967</v>
      </c>
      <c r="I20" s="156">
        <v>0</v>
      </c>
      <c r="J20" s="156"/>
      <c r="K20" s="258">
        <f t="shared" si="0"/>
        <v>760640.25789050967</v>
      </c>
      <c r="L20" s="257">
        <f t="shared" si="6"/>
        <v>0</v>
      </c>
      <c r="M20" s="258">
        <f t="shared" si="2"/>
        <v>760640.25789050967</v>
      </c>
      <c r="N20" s="158">
        <f t="shared" si="7"/>
        <v>0</v>
      </c>
      <c r="O20" s="158">
        <f t="shared" si="8"/>
        <v>0</v>
      </c>
      <c r="P20" s="4"/>
    </row>
    <row r="21" spans="2:16">
      <c r="B21" s="9" t="str">
        <f t="shared" si="5"/>
        <v>IU</v>
      </c>
      <c r="C21" s="153">
        <f>IF(D12="","-",+C20+1)</f>
        <v>2016</v>
      </c>
      <c r="D21" s="396">
        <v>4822899.6428571427</v>
      </c>
      <c r="E21" s="397">
        <v>125439.97619047618</v>
      </c>
      <c r="F21" s="396">
        <v>4697459.666666667</v>
      </c>
      <c r="G21" s="397">
        <v>736485.41228285304</v>
      </c>
      <c r="H21" s="395">
        <v>736485.41228285304</v>
      </c>
      <c r="I21" s="156">
        <f t="shared" ref="I21:I48" si="9">H21-G21</f>
        <v>0</v>
      </c>
      <c r="J21" s="156"/>
      <c r="K21" s="258">
        <f t="shared" si="0"/>
        <v>736485.41228285304</v>
      </c>
      <c r="L21" s="257">
        <f t="shared" si="6"/>
        <v>0</v>
      </c>
      <c r="M21" s="258">
        <f t="shared" si="2"/>
        <v>736485.41228285304</v>
      </c>
      <c r="N21" s="158">
        <f t="shared" si="7"/>
        <v>0</v>
      </c>
      <c r="O21" s="158">
        <f t="shared" si="8"/>
        <v>0</v>
      </c>
      <c r="P21" s="4"/>
    </row>
    <row r="22" spans="2:16">
      <c r="B22" s="9" t="str">
        <f t="shared" si="5"/>
        <v/>
      </c>
      <c r="C22" s="153">
        <f>IF(D11="","-",+C21+1)</f>
        <v>2017</v>
      </c>
      <c r="D22" s="396">
        <v>4697459.666666667</v>
      </c>
      <c r="E22" s="397">
        <v>122522.76744186046</v>
      </c>
      <c r="F22" s="396">
        <v>4574936.8992248066</v>
      </c>
      <c r="G22" s="397">
        <v>696913.1190640803</v>
      </c>
      <c r="H22" s="395">
        <v>696913.1190640803</v>
      </c>
      <c r="I22" s="156">
        <v>0</v>
      </c>
      <c r="J22" s="156"/>
      <c r="K22" s="258">
        <f t="shared" si="0"/>
        <v>696913.1190640803</v>
      </c>
      <c r="L22" s="257">
        <f t="shared" si="6"/>
        <v>0</v>
      </c>
      <c r="M22" s="258">
        <f t="shared" si="2"/>
        <v>696913.1190640803</v>
      </c>
      <c r="N22" s="158">
        <f t="shared" si="7"/>
        <v>0</v>
      </c>
      <c r="O22" s="158">
        <f t="shared" si="8"/>
        <v>0</v>
      </c>
      <c r="P22" s="4"/>
    </row>
    <row r="23" spans="2:16">
      <c r="B23" s="9" t="str">
        <f t="shared" si="5"/>
        <v/>
      </c>
      <c r="C23" s="153">
        <f>IF(D11="","-",+C22+1)</f>
        <v>2018</v>
      </c>
      <c r="D23" s="396">
        <v>4574936.8992248066</v>
      </c>
      <c r="E23" s="397">
        <v>128499.48780487805</v>
      </c>
      <c r="F23" s="396">
        <v>4446437.4114199281</v>
      </c>
      <c r="G23" s="397">
        <v>633174.15690976928</v>
      </c>
      <c r="H23" s="395">
        <v>633174.15690976928</v>
      </c>
      <c r="I23" s="156">
        <f t="shared" si="9"/>
        <v>0</v>
      </c>
      <c r="J23" s="156"/>
      <c r="K23" s="258">
        <f>G23</f>
        <v>633174.15690976928</v>
      </c>
      <c r="L23" s="257">
        <f t="shared" si="6"/>
        <v>0</v>
      </c>
      <c r="M23" s="258">
        <f>H23</f>
        <v>633174.15690976928</v>
      </c>
      <c r="N23" s="158">
        <f t="shared" si="7"/>
        <v>0</v>
      </c>
      <c r="O23" s="158">
        <f t="shared" si="8"/>
        <v>0</v>
      </c>
      <c r="P23" s="4"/>
    </row>
    <row r="24" spans="2:16">
      <c r="B24" s="9" t="str">
        <f t="shared" si="5"/>
        <v/>
      </c>
      <c r="C24" s="153">
        <f>IF(D11="","-",+C23+1)</f>
        <v>2019</v>
      </c>
      <c r="D24" s="159">
        <f>IF(F23+SUM(E$17:E23)=D$10,F23,D$10-SUM(E$17:E23))</f>
        <v>4446437.4114199281</v>
      </c>
      <c r="E24" s="160">
        <f>IF(+I14&lt;F23,I14,D24)</f>
        <v>122522.76744186046</v>
      </c>
      <c r="F24" s="159">
        <f t="shared" ref="F24:F48" si="10">+D24-E24</f>
        <v>4323914.6439780677</v>
      </c>
      <c r="G24" s="161">
        <f t="shared" ref="G24:G53" si="11">+I$12*((D24+F24)/2)+E24</f>
        <v>559091.91573083529</v>
      </c>
      <c r="H24" s="142">
        <f t="shared" ref="H24:H53" si="12">+I$13*((D24+F24)/2)+E24</f>
        <v>559091.91573083529</v>
      </c>
      <c r="I24" s="156">
        <f t="shared" si="9"/>
        <v>0</v>
      </c>
      <c r="J24" s="156"/>
      <c r="K24" s="334"/>
      <c r="L24" s="158">
        <f t="shared" si="1"/>
        <v>0</v>
      </c>
      <c r="M24" s="334"/>
      <c r="N24" s="158">
        <f t="shared" si="3"/>
        <v>0</v>
      </c>
      <c r="O24" s="158">
        <f t="shared" si="4"/>
        <v>0</v>
      </c>
      <c r="P24" s="4"/>
    </row>
    <row r="25" spans="2:16">
      <c r="B25" s="9" t="str">
        <f t="shared" si="5"/>
        <v/>
      </c>
      <c r="C25" s="153">
        <f>IF(D11="","-",+C24+1)</f>
        <v>2020</v>
      </c>
      <c r="D25" s="159">
        <f>IF(F24+SUM(E$17:E24)=D$10,F24,D$10-SUM(E$17:E24))</f>
        <v>4323914.6439780677</v>
      </c>
      <c r="E25" s="160">
        <f>IF(+I14&lt;F24,I14,D25)</f>
        <v>122522.76744186046</v>
      </c>
      <c r="F25" s="159">
        <f t="shared" si="10"/>
        <v>4201391.8765362073</v>
      </c>
      <c r="G25" s="161">
        <f t="shared" si="11"/>
        <v>546894.07922661456</v>
      </c>
      <c r="H25" s="142">
        <f t="shared" si="12"/>
        <v>546894.07922661456</v>
      </c>
      <c r="I25" s="156">
        <f t="shared" si="9"/>
        <v>0</v>
      </c>
      <c r="J25" s="156"/>
      <c r="K25" s="334"/>
      <c r="L25" s="158">
        <f t="shared" si="1"/>
        <v>0</v>
      </c>
      <c r="M25" s="334"/>
      <c r="N25" s="158">
        <f t="shared" si="3"/>
        <v>0</v>
      </c>
      <c r="O25" s="158">
        <f t="shared" si="4"/>
        <v>0</v>
      </c>
      <c r="P25" s="4"/>
    </row>
    <row r="26" spans="2:16">
      <c r="B26" s="9" t="str">
        <f t="shared" si="5"/>
        <v/>
      </c>
      <c r="C26" s="153">
        <f>IF(D11="","-",+C25+1)</f>
        <v>2021</v>
      </c>
      <c r="D26" s="159">
        <f>IF(F25+SUM(E$17:E25)=D$10,F25,D$10-SUM(E$17:E25))</f>
        <v>4201391.8765362073</v>
      </c>
      <c r="E26" s="160">
        <f>IF(+I14&lt;F25,I14,D26)</f>
        <v>122522.76744186046</v>
      </c>
      <c r="F26" s="159">
        <f t="shared" si="10"/>
        <v>4078869.1090943469</v>
      </c>
      <c r="G26" s="161">
        <f t="shared" si="11"/>
        <v>534696.2427223936</v>
      </c>
      <c r="H26" s="142">
        <f t="shared" si="12"/>
        <v>534696.2427223936</v>
      </c>
      <c r="I26" s="156">
        <f t="shared" si="9"/>
        <v>0</v>
      </c>
      <c r="J26" s="156"/>
      <c r="K26" s="334"/>
      <c r="L26" s="158">
        <f t="shared" si="1"/>
        <v>0</v>
      </c>
      <c r="M26" s="334"/>
      <c r="N26" s="158">
        <f t="shared" si="3"/>
        <v>0</v>
      </c>
      <c r="O26" s="158">
        <f t="shared" si="4"/>
        <v>0</v>
      </c>
      <c r="P26" s="4"/>
    </row>
    <row r="27" spans="2:16">
      <c r="B27" s="9" t="str">
        <f t="shared" si="5"/>
        <v/>
      </c>
      <c r="C27" s="153">
        <f>IF(D11="","-",+C26+1)</f>
        <v>2022</v>
      </c>
      <c r="D27" s="159">
        <f>IF(F26+SUM(E$17:E26)=D$10,F26,D$10-SUM(E$17:E26))</f>
        <v>4078869.1090943469</v>
      </c>
      <c r="E27" s="160">
        <f>IF(+I14&lt;F26,I14,D27)</f>
        <v>122522.76744186046</v>
      </c>
      <c r="F27" s="159">
        <f t="shared" si="10"/>
        <v>3956346.3416524865</v>
      </c>
      <c r="G27" s="161">
        <f t="shared" si="11"/>
        <v>522498.40621817275</v>
      </c>
      <c r="H27" s="142">
        <f t="shared" si="12"/>
        <v>522498.40621817275</v>
      </c>
      <c r="I27" s="156">
        <f t="shared" si="9"/>
        <v>0</v>
      </c>
      <c r="J27" s="156"/>
      <c r="K27" s="334"/>
      <c r="L27" s="158">
        <f t="shared" si="1"/>
        <v>0</v>
      </c>
      <c r="M27" s="334"/>
      <c r="N27" s="158">
        <f t="shared" si="3"/>
        <v>0</v>
      </c>
      <c r="O27" s="158">
        <f t="shared" si="4"/>
        <v>0</v>
      </c>
      <c r="P27" s="4"/>
    </row>
    <row r="28" spans="2:16">
      <c r="B28" s="9" t="str">
        <f t="shared" si="5"/>
        <v/>
      </c>
      <c r="C28" s="153">
        <f>IF(D11="","-",+C27+1)</f>
        <v>2023</v>
      </c>
      <c r="D28" s="159">
        <f>IF(F27+SUM(E$17:E27)=D$10,F27,D$10-SUM(E$17:E27))</f>
        <v>3956346.3416524865</v>
      </c>
      <c r="E28" s="160">
        <f>IF(+I14&lt;F27,I14,D28)</f>
        <v>122522.76744186046</v>
      </c>
      <c r="F28" s="159">
        <f t="shared" si="10"/>
        <v>3833823.5742106261</v>
      </c>
      <c r="G28" s="161">
        <f t="shared" si="11"/>
        <v>510300.56971395185</v>
      </c>
      <c r="H28" s="142">
        <f t="shared" si="12"/>
        <v>510300.56971395185</v>
      </c>
      <c r="I28" s="156">
        <f t="shared" si="9"/>
        <v>0</v>
      </c>
      <c r="J28" s="156"/>
      <c r="K28" s="334"/>
      <c r="L28" s="158">
        <f t="shared" si="1"/>
        <v>0</v>
      </c>
      <c r="M28" s="334"/>
      <c r="N28" s="158">
        <f t="shared" si="3"/>
        <v>0</v>
      </c>
      <c r="O28" s="158">
        <f t="shared" si="4"/>
        <v>0</v>
      </c>
      <c r="P28" s="4"/>
    </row>
    <row r="29" spans="2:16">
      <c r="B29" s="9" t="str">
        <f t="shared" si="5"/>
        <v/>
      </c>
      <c r="C29" s="153">
        <f>IF(D11="","-",+C28+1)</f>
        <v>2024</v>
      </c>
      <c r="D29" s="159">
        <f>IF(F28+SUM(E$17:E28)=D$10,F28,D$10-SUM(E$17:E28))</f>
        <v>3833823.5742106261</v>
      </c>
      <c r="E29" s="160">
        <f>IF(+I14&lt;F28,I14,D29)</f>
        <v>122522.76744186046</v>
      </c>
      <c r="F29" s="159">
        <f t="shared" si="10"/>
        <v>3711300.8067687657</v>
      </c>
      <c r="G29" s="161">
        <f t="shared" si="11"/>
        <v>498102.733209731</v>
      </c>
      <c r="H29" s="142">
        <f t="shared" si="12"/>
        <v>498102.733209731</v>
      </c>
      <c r="I29" s="156">
        <f t="shared" si="9"/>
        <v>0</v>
      </c>
      <c r="J29" s="156"/>
      <c r="K29" s="334"/>
      <c r="L29" s="158">
        <f t="shared" si="1"/>
        <v>0</v>
      </c>
      <c r="M29" s="334"/>
      <c r="N29" s="158">
        <f t="shared" si="3"/>
        <v>0</v>
      </c>
      <c r="O29" s="158">
        <f t="shared" si="4"/>
        <v>0</v>
      </c>
      <c r="P29" s="4"/>
    </row>
    <row r="30" spans="2:16">
      <c r="B30" s="9" t="str">
        <f t="shared" si="5"/>
        <v/>
      </c>
      <c r="C30" s="153">
        <f>IF(D11="","-",+C29+1)</f>
        <v>2025</v>
      </c>
      <c r="D30" s="159">
        <f>IF(F29+SUM(E$17:E29)=D$10,F29,D$10-SUM(E$17:E29))</f>
        <v>3711300.8067687657</v>
      </c>
      <c r="E30" s="160">
        <f>IF(+I14&lt;F29,I14,D30)</f>
        <v>122522.76744186046</v>
      </c>
      <c r="F30" s="159">
        <f t="shared" si="10"/>
        <v>3588778.0393269053</v>
      </c>
      <c r="G30" s="161">
        <f t="shared" si="11"/>
        <v>485904.89670551009</v>
      </c>
      <c r="H30" s="142">
        <f t="shared" si="12"/>
        <v>485904.89670551009</v>
      </c>
      <c r="I30" s="156">
        <f t="shared" si="9"/>
        <v>0</v>
      </c>
      <c r="J30" s="156"/>
      <c r="K30" s="334"/>
      <c r="L30" s="158">
        <f t="shared" si="1"/>
        <v>0</v>
      </c>
      <c r="M30" s="334"/>
      <c r="N30" s="158">
        <f t="shared" si="3"/>
        <v>0</v>
      </c>
      <c r="O30" s="158">
        <f t="shared" si="4"/>
        <v>0</v>
      </c>
      <c r="P30" s="4"/>
    </row>
    <row r="31" spans="2:16">
      <c r="B31" s="9" t="str">
        <f t="shared" si="5"/>
        <v/>
      </c>
      <c r="C31" s="153">
        <f>IF(D11="","-",+C30+1)</f>
        <v>2026</v>
      </c>
      <c r="D31" s="159">
        <f>IF(F30+SUM(E$17:E30)=D$10,F30,D$10-SUM(E$17:E30))</f>
        <v>3588778.0393269053</v>
      </c>
      <c r="E31" s="160">
        <f>IF(+I14&lt;F30,I14,D31)</f>
        <v>122522.76744186046</v>
      </c>
      <c r="F31" s="159">
        <f t="shared" si="10"/>
        <v>3466255.2718850449</v>
      </c>
      <c r="G31" s="161">
        <f t="shared" si="11"/>
        <v>473707.06020128919</v>
      </c>
      <c r="H31" s="142">
        <f t="shared" si="12"/>
        <v>473707.06020128919</v>
      </c>
      <c r="I31" s="156">
        <f t="shared" si="9"/>
        <v>0</v>
      </c>
      <c r="J31" s="156"/>
      <c r="K31" s="334"/>
      <c r="L31" s="158">
        <f t="shared" si="1"/>
        <v>0</v>
      </c>
      <c r="M31" s="334"/>
      <c r="N31" s="158">
        <f t="shared" si="3"/>
        <v>0</v>
      </c>
      <c r="O31" s="158">
        <f t="shared" si="4"/>
        <v>0</v>
      </c>
      <c r="P31" s="4"/>
    </row>
    <row r="32" spans="2:16">
      <c r="B32" s="9" t="str">
        <f t="shared" si="5"/>
        <v/>
      </c>
      <c r="C32" s="153">
        <f>IF(D11="","-",+C31+1)</f>
        <v>2027</v>
      </c>
      <c r="D32" s="159">
        <f>IF(F31+SUM(E$17:E31)=D$10,F31,D$10-SUM(E$17:E31))</f>
        <v>3466255.2718850449</v>
      </c>
      <c r="E32" s="160">
        <f>IF(+I14&lt;F31,I14,D32)</f>
        <v>122522.76744186046</v>
      </c>
      <c r="F32" s="159">
        <f t="shared" si="10"/>
        <v>3343732.5044431845</v>
      </c>
      <c r="G32" s="161">
        <f t="shared" si="11"/>
        <v>461509.22369706834</v>
      </c>
      <c r="H32" s="142">
        <f t="shared" si="12"/>
        <v>461509.22369706834</v>
      </c>
      <c r="I32" s="156">
        <f t="shared" si="9"/>
        <v>0</v>
      </c>
      <c r="J32" s="156"/>
      <c r="K32" s="334"/>
      <c r="L32" s="158">
        <f t="shared" si="1"/>
        <v>0</v>
      </c>
      <c r="M32" s="334"/>
      <c r="N32" s="158">
        <f t="shared" si="3"/>
        <v>0</v>
      </c>
      <c r="O32" s="158">
        <f t="shared" si="4"/>
        <v>0</v>
      </c>
      <c r="P32" s="4"/>
    </row>
    <row r="33" spans="2:16">
      <c r="B33" s="9" t="str">
        <f t="shared" si="5"/>
        <v/>
      </c>
      <c r="C33" s="153">
        <f>IF(D11="","-",+C32+1)</f>
        <v>2028</v>
      </c>
      <c r="D33" s="159">
        <f>IF(F32+SUM(E$17:E32)=D$10,F32,D$10-SUM(E$17:E32))</f>
        <v>3343732.5044431845</v>
      </c>
      <c r="E33" s="160">
        <f>IF(+I14&lt;F32,I14,D33)</f>
        <v>122522.76744186046</v>
      </c>
      <c r="F33" s="159">
        <f t="shared" si="10"/>
        <v>3221209.7370013241</v>
      </c>
      <c r="G33" s="161">
        <f t="shared" si="11"/>
        <v>449311.38719284744</v>
      </c>
      <c r="H33" s="142">
        <f t="shared" si="12"/>
        <v>449311.38719284744</v>
      </c>
      <c r="I33" s="156">
        <f t="shared" si="9"/>
        <v>0</v>
      </c>
      <c r="J33" s="156"/>
      <c r="K33" s="334"/>
      <c r="L33" s="158">
        <f t="shared" si="1"/>
        <v>0</v>
      </c>
      <c r="M33" s="334"/>
      <c r="N33" s="158">
        <f t="shared" si="3"/>
        <v>0</v>
      </c>
      <c r="O33" s="158">
        <f t="shared" si="4"/>
        <v>0</v>
      </c>
      <c r="P33" s="4"/>
    </row>
    <row r="34" spans="2:16">
      <c r="B34" s="9" t="str">
        <f t="shared" si="5"/>
        <v/>
      </c>
      <c r="C34" s="153">
        <f>IF(D11="","-",+C33+1)</f>
        <v>2029</v>
      </c>
      <c r="D34" s="159">
        <f>IF(F33+SUM(E$17:E33)=D$10,F33,D$10-SUM(E$17:E33))</f>
        <v>3221209.7370013241</v>
      </c>
      <c r="E34" s="160">
        <f>IF(+I14&lt;F33,I14,D34)</f>
        <v>122522.76744186046</v>
      </c>
      <c r="F34" s="159">
        <f t="shared" si="10"/>
        <v>3098686.9695594637</v>
      </c>
      <c r="G34" s="161">
        <f t="shared" si="11"/>
        <v>437113.55068862659</v>
      </c>
      <c r="H34" s="142">
        <f t="shared" si="12"/>
        <v>437113.55068862659</v>
      </c>
      <c r="I34" s="156">
        <f t="shared" si="9"/>
        <v>0</v>
      </c>
      <c r="J34" s="156"/>
      <c r="K34" s="334"/>
      <c r="L34" s="158">
        <f t="shared" si="1"/>
        <v>0</v>
      </c>
      <c r="M34" s="334"/>
      <c r="N34" s="158">
        <f t="shared" si="3"/>
        <v>0</v>
      </c>
      <c r="O34" s="158">
        <f t="shared" si="4"/>
        <v>0</v>
      </c>
      <c r="P34" s="4"/>
    </row>
    <row r="35" spans="2:16">
      <c r="B35" s="9" t="str">
        <f t="shared" si="5"/>
        <v/>
      </c>
      <c r="C35" s="153">
        <f>IF(D11="","-",+C34+1)</f>
        <v>2030</v>
      </c>
      <c r="D35" s="159">
        <f>IF(F34+SUM(E$17:E34)=D$10,F34,D$10-SUM(E$17:E34))</f>
        <v>3098686.9695594637</v>
      </c>
      <c r="E35" s="160">
        <f>IF(+I14&lt;F34,I14,D35)</f>
        <v>122522.76744186046</v>
      </c>
      <c r="F35" s="159">
        <f t="shared" si="10"/>
        <v>2976164.2021176033</v>
      </c>
      <c r="G35" s="161">
        <f t="shared" si="11"/>
        <v>424915.71418440569</v>
      </c>
      <c r="H35" s="142">
        <f t="shared" si="12"/>
        <v>424915.71418440569</v>
      </c>
      <c r="I35" s="156">
        <f t="shared" si="9"/>
        <v>0</v>
      </c>
      <c r="J35" s="156"/>
      <c r="K35" s="334"/>
      <c r="L35" s="158">
        <f t="shared" si="1"/>
        <v>0</v>
      </c>
      <c r="M35" s="334"/>
      <c r="N35" s="158">
        <f t="shared" si="3"/>
        <v>0</v>
      </c>
      <c r="O35" s="158">
        <f t="shared" si="4"/>
        <v>0</v>
      </c>
      <c r="P35" s="4"/>
    </row>
    <row r="36" spans="2:16">
      <c r="B36" s="9" t="str">
        <f t="shared" si="5"/>
        <v/>
      </c>
      <c r="C36" s="153">
        <f>IF(D11="","-",+C35+1)</f>
        <v>2031</v>
      </c>
      <c r="D36" s="159">
        <f>IF(F35+SUM(E$17:E35)=D$10,F35,D$10-SUM(E$17:E35))</f>
        <v>2976164.2021176033</v>
      </c>
      <c r="E36" s="160">
        <f>IF(+I14&lt;F35,I14,D36)</f>
        <v>122522.76744186046</v>
      </c>
      <c r="F36" s="159">
        <f t="shared" si="10"/>
        <v>2853641.4346757429</v>
      </c>
      <c r="G36" s="161">
        <f t="shared" si="11"/>
        <v>412717.87768018484</v>
      </c>
      <c r="H36" s="142">
        <f t="shared" si="12"/>
        <v>412717.87768018484</v>
      </c>
      <c r="I36" s="156">
        <f t="shared" si="9"/>
        <v>0</v>
      </c>
      <c r="J36" s="156"/>
      <c r="K36" s="334"/>
      <c r="L36" s="158">
        <f t="shared" si="1"/>
        <v>0</v>
      </c>
      <c r="M36" s="334"/>
      <c r="N36" s="158">
        <f t="shared" si="3"/>
        <v>0</v>
      </c>
      <c r="O36" s="158">
        <f t="shared" si="4"/>
        <v>0</v>
      </c>
      <c r="P36" s="4"/>
    </row>
    <row r="37" spans="2:16">
      <c r="B37" s="9" t="str">
        <f t="shared" si="5"/>
        <v/>
      </c>
      <c r="C37" s="153">
        <f>IF(D11="","-",+C36+1)</f>
        <v>2032</v>
      </c>
      <c r="D37" s="159">
        <f>IF(F36+SUM(E$17:E36)=D$10,F36,D$10-SUM(E$17:E36))</f>
        <v>2853641.4346757429</v>
      </c>
      <c r="E37" s="160">
        <f>IF(+I14&lt;F36,I14,D37)</f>
        <v>122522.76744186046</v>
      </c>
      <c r="F37" s="159">
        <f t="shared" si="10"/>
        <v>2731118.6672338825</v>
      </c>
      <c r="G37" s="161">
        <f t="shared" si="11"/>
        <v>400520.04117596394</v>
      </c>
      <c r="H37" s="142">
        <f t="shared" si="12"/>
        <v>400520.04117596394</v>
      </c>
      <c r="I37" s="156">
        <f t="shared" si="9"/>
        <v>0</v>
      </c>
      <c r="J37" s="156"/>
      <c r="K37" s="334"/>
      <c r="L37" s="158">
        <f t="shared" si="1"/>
        <v>0</v>
      </c>
      <c r="M37" s="334"/>
      <c r="N37" s="158">
        <f t="shared" si="3"/>
        <v>0</v>
      </c>
      <c r="O37" s="158">
        <f t="shared" si="4"/>
        <v>0</v>
      </c>
      <c r="P37" s="4"/>
    </row>
    <row r="38" spans="2:16">
      <c r="B38" s="9" t="str">
        <f t="shared" si="5"/>
        <v/>
      </c>
      <c r="C38" s="153">
        <f>IF(D11="","-",+C37+1)</f>
        <v>2033</v>
      </c>
      <c r="D38" s="159">
        <f>IF(F37+SUM(E$17:E37)=D$10,F37,D$10-SUM(E$17:E37))</f>
        <v>2731118.6672338825</v>
      </c>
      <c r="E38" s="160">
        <f>IF(+I14&lt;F37,I14,D38)</f>
        <v>122522.76744186046</v>
      </c>
      <c r="F38" s="159">
        <f t="shared" si="10"/>
        <v>2608595.8997920221</v>
      </c>
      <c r="G38" s="161">
        <f t="shared" si="11"/>
        <v>388322.20467174309</v>
      </c>
      <c r="H38" s="142">
        <f t="shared" si="12"/>
        <v>388322.20467174309</v>
      </c>
      <c r="I38" s="156">
        <f t="shared" si="9"/>
        <v>0</v>
      </c>
      <c r="J38" s="156"/>
      <c r="K38" s="334"/>
      <c r="L38" s="158">
        <f t="shared" si="1"/>
        <v>0</v>
      </c>
      <c r="M38" s="334"/>
      <c r="N38" s="158">
        <f t="shared" si="3"/>
        <v>0</v>
      </c>
      <c r="O38" s="158">
        <f t="shared" si="4"/>
        <v>0</v>
      </c>
      <c r="P38" s="4"/>
    </row>
    <row r="39" spans="2:16">
      <c r="B39" s="9" t="str">
        <f t="shared" si="5"/>
        <v/>
      </c>
      <c r="C39" s="153">
        <f>IF(D11="","-",+C38+1)</f>
        <v>2034</v>
      </c>
      <c r="D39" s="159">
        <f>IF(F38+SUM(E$17:E38)=D$10,F38,D$10-SUM(E$17:E38))</f>
        <v>2608595.8997920221</v>
      </c>
      <c r="E39" s="160">
        <f>IF(+I14&lt;F38,I14,D39)</f>
        <v>122522.76744186046</v>
      </c>
      <c r="F39" s="159">
        <f t="shared" si="10"/>
        <v>2486073.1323501617</v>
      </c>
      <c r="G39" s="161">
        <f t="shared" si="11"/>
        <v>376124.36816752219</v>
      </c>
      <c r="H39" s="142">
        <f t="shared" si="12"/>
        <v>376124.36816752219</v>
      </c>
      <c r="I39" s="156">
        <f t="shared" si="9"/>
        <v>0</v>
      </c>
      <c r="J39" s="156"/>
      <c r="K39" s="334"/>
      <c r="L39" s="158">
        <f t="shared" si="1"/>
        <v>0</v>
      </c>
      <c r="M39" s="334"/>
      <c r="N39" s="158">
        <f t="shared" si="3"/>
        <v>0</v>
      </c>
      <c r="O39" s="158">
        <f t="shared" si="4"/>
        <v>0</v>
      </c>
      <c r="P39" s="4"/>
    </row>
    <row r="40" spans="2:16">
      <c r="B40" s="9" t="str">
        <f t="shared" si="5"/>
        <v/>
      </c>
      <c r="C40" s="153">
        <f>IF(D11="","-",+C39+1)</f>
        <v>2035</v>
      </c>
      <c r="D40" s="159">
        <f>IF(F39+SUM(E$17:E39)=D$10,F39,D$10-SUM(E$17:E39))</f>
        <v>2486073.1323501617</v>
      </c>
      <c r="E40" s="160">
        <f>IF(+I14&lt;F39,I14,D40)</f>
        <v>122522.76744186046</v>
      </c>
      <c r="F40" s="159">
        <f t="shared" si="10"/>
        <v>2363550.3649083013</v>
      </c>
      <c r="G40" s="161">
        <f t="shared" si="11"/>
        <v>363926.53166330128</v>
      </c>
      <c r="H40" s="142">
        <f t="shared" si="12"/>
        <v>363926.53166330128</v>
      </c>
      <c r="I40" s="156">
        <f t="shared" si="9"/>
        <v>0</v>
      </c>
      <c r="J40" s="156"/>
      <c r="K40" s="334"/>
      <c r="L40" s="158">
        <f t="shared" si="1"/>
        <v>0</v>
      </c>
      <c r="M40" s="334"/>
      <c r="N40" s="158">
        <f t="shared" si="3"/>
        <v>0</v>
      </c>
      <c r="O40" s="158">
        <f t="shared" si="4"/>
        <v>0</v>
      </c>
      <c r="P40" s="4"/>
    </row>
    <row r="41" spans="2:16">
      <c r="B41" s="9" t="str">
        <f t="shared" si="5"/>
        <v/>
      </c>
      <c r="C41" s="153">
        <f>IF(D11="","-",+C40+1)</f>
        <v>2036</v>
      </c>
      <c r="D41" s="159">
        <f>IF(F40+SUM(E$17:E40)=D$10,F40,D$10-SUM(E$17:E40))</f>
        <v>2363550.3649083013</v>
      </c>
      <c r="E41" s="160">
        <f>IF(+I14&lt;F40,I14,D41)</f>
        <v>122522.76744186046</v>
      </c>
      <c r="F41" s="159">
        <f t="shared" si="10"/>
        <v>2241027.5974664409</v>
      </c>
      <c r="G41" s="161">
        <f t="shared" si="11"/>
        <v>351728.69515908044</v>
      </c>
      <c r="H41" s="142">
        <f t="shared" si="12"/>
        <v>351728.69515908044</v>
      </c>
      <c r="I41" s="156">
        <f t="shared" si="9"/>
        <v>0</v>
      </c>
      <c r="J41" s="156"/>
      <c r="K41" s="334"/>
      <c r="L41" s="158">
        <f t="shared" si="1"/>
        <v>0</v>
      </c>
      <c r="M41" s="334"/>
      <c r="N41" s="158">
        <f t="shared" si="3"/>
        <v>0</v>
      </c>
      <c r="O41" s="158">
        <f t="shared" si="4"/>
        <v>0</v>
      </c>
      <c r="P41" s="4"/>
    </row>
    <row r="42" spans="2:16">
      <c r="B42" s="9" t="str">
        <f t="shared" si="5"/>
        <v/>
      </c>
      <c r="C42" s="153">
        <f>IF(D11="","-",+C41+1)</f>
        <v>2037</v>
      </c>
      <c r="D42" s="159">
        <f>IF(F41+SUM(E$17:E41)=D$10,F41,D$10-SUM(E$17:E41))</f>
        <v>2241027.5974664409</v>
      </c>
      <c r="E42" s="160">
        <f>IF(+I14&lt;F41,I14,D42)</f>
        <v>122522.76744186046</v>
      </c>
      <c r="F42" s="159">
        <f t="shared" si="10"/>
        <v>2118504.8300245805</v>
      </c>
      <c r="G42" s="161">
        <f t="shared" si="11"/>
        <v>339530.85865485959</v>
      </c>
      <c r="H42" s="142">
        <f t="shared" si="12"/>
        <v>339530.85865485959</v>
      </c>
      <c r="I42" s="156">
        <f t="shared" si="9"/>
        <v>0</v>
      </c>
      <c r="J42" s="156"/>
      <c r="K42" s="334"/>
      <c r="L42" s="158">
        <f t="shared" si="1"/>
        <v>0</v>
      </c>
      <c r="M42" s="334"/>
      <c r="N42" s="158">
        <f t="shared" si="3"/>
        <v>0</v>
      </c>
      <c r="O42" s="158">
        <f t="shared" si="4"/>
        <v>0</v>
      </c>
      <c r="P42" s="4"/>
    </row>
    <row r="43" spans="2:16">
      <c r="B43" s="9" t="str">
        <f t="shared" si="5"/>
        <v/>
      </c>
      <c r="C43" s="153">
        <f>IF(D11="","-",+C42+1)</f>
        <v>2038</v>
      </c>
      <c r="D43" s="159">
        <f>IF(F42+SUM(E$17:E42)=D$10,F42,D$10-SUM(E$17:E42))</f>
        <v>2118504.8300245805</v>
      </c>
      <c r="E43" s="160">
        <f>IF(+I14&lt;F42,I14,D43)</f>
        <v>122522.76744186046</v>
      </c>
      <c r="F43" s="159">
        <f t="shared" si="10"/>
        <v>1995982.0625827201</v>
      </c>
      <c r="G43" s="161">
        <f t="shared" si="11"/>
        <v>327333.02215063869</v>
      </c>
      <c r="H43" s="142">
        <f t="shared" si="12"/>
        <v>327333.02215063869</v>
      </c>
      <c r="I43" s="156">
        <f t="shared" si="9"/>
        <v>0</v>
      </c>
      <c r="J43" s="156"/>
      <c r="K43" s="334"/>
      <c r="L43" s="158">
        <f t="shared" si="1"/>
        <v>0</v>
      </c>
      <c r="M43" s="334"/>
      <c r="N43" s="158">
        <f t="shared" si="3"/>
        <v>0</v>
      </c>
      <c r="O43" s="158">
        <f t="shared" si="4"/>
        <v>0</v>
      </c>
      <c r="P43" s="4"/>
    </row>
    <row r="44" spans="2:16">
      <c r="B44" s="9" t="str">
        <f t="shared" si="5"/>
        <v/>
      </c>
      <c r="C44" s="153">
        <f>IF(D11="","-",+C43+1)</f>
        <v>2039</v>
      </c>
      <c r="D44" s="159">
        <f>IF(F43+SUM(E$17:E43)=D$10,F43,D$10-SUM(E$17:E43))</f>
        <v>1995982.0625827201</v>
      </c>
      <c r="E44" s="160">
        <f>IF(+I14&lt;F43,I14,D44)</f>
        <v>122522.76744186046</v>
      </c>
      <c r="F44" s="159">
        <f t="shared" si="10"/>
        <v>1873459.2951408597</v>
      </c>
      <c r="G44" s="161">
        <f t="shared" si="11"/>
        <v>315135.18564641778</v>
      </c>
      <c r="H44" s="142">
        <f t="shared" si="12"/>
        <v>315135.18564641778</v>
      </c>
      <c r="I44" s="156">
        <f t="shared" si="9"/>
        <v>0</v>
      </c>
      <c r="J44" s="156"/>
      <c r="K44" s="334"/>
      <c r="L44" s="158">
        <f t="shared" si="1"/>
        <v>0</v>
      </c>
      <c r="M44" s="334"/>
      <c r="N44" s="158">
        <f t="shared" si="3"/>
        <v>0</v>
      </c>
      <c r="O44" s="158">
        <f t="shared" si="4"/>
        <v>0</v>
      </c>
      <c r="P44" s="4"/>
    </row>
    <row r="45" spans="2:16">
      <c r="B45" s="9" t="str">
        <f t="shared" si="5"/>
        <v/>
      </c>
      <c r="C45" s="153">
        <f>IF(D11="","-",+C44+1)</f>
        <v>2040</v>
      </c>
      <c r="D45" s="159">
        <f>IF(F44+SUM(E$17:E44)=D$10,F44,D$10-SUM(E$17:E44))</f>
        <v>1873459.2951408597</v>
      </c>
      <c r="E45" s="160">
        <f>IF(+I14&lt;F44,I14,D45)</f>
        <v>122522.76744186046</v>
      </c>
      <c r="F45" s="159">
        <f t="shared" si="10"/>
        <v>1750936.5276989993</v>
      </c>
      <c r="G45" s="161">
        <f t="shared" si="11"/>
        <v>302937.34914219694</v>
      </c>
      <c r="H45" s="142">
        <f t="shared" si="12"/>
        <v>302937.34914219694</v>
      </c>
      <c r="I45" s="156">
        <f t="shared" si="9"/>
        <v>0</v>
      </c>
      <c r="J45" s="156"/>
      <c r="K45" s="334"/>
      <c r="L45" s="158">
        <f t="shared" si="1"/>
        <v>0</v>
      </c>
      <c r="M45" s="334"/>
      <c r="N45" s="158">
        <f t="shared" si="3"/>
        <v>0</v>
      </c>
      <c r="O45" s="158">
        <f t="shared" si="4"/>
        <v>0</v>
      </c>
      <c r="P45" s="4"/>
    </row>
    <row r="46" spans="2:16">
      <c r="B46" s="9" t="str">
        <f t="shared" si="5"/>
        <v/>
      </c>
      <c r="C46" s="153">
        <f>IF(D11="","-",+C45+1)</f>
        <v>2041</v>
      </c>
      <c r="D46" s="159">
        <f>IF(F45+SUM(E$17:E45)=D$10,F45,D$10-SUM(E$17:E45))</f>
        <v>1750936.5276989993</v>
      </c>
      <c r="E46" s="160">
        <f>IF(+I14&lt;F45,I14,D46)</f>
        <v>122522.76744186046</v>
      </c>
      <c r="F46" s="159">
        <f t="shared" si="10"/>
        <v>1628413.7602571389</v>
      </c>
      <c r="G46" s="161">
        <f t="shared" si="11"/>
        <v>290739.51263797609</v>
      </c>
      <c r="H46" s="142">
        <f t="shared" si="12"/>
        <v>290739.51263797609</v>
      </c>
      <c r="I46" s="156">
        <f t="shared" si="9"/>
        <v>0</v>
      </c>
      <c r="J46" s="156"/>
      <c r="K46" s="334"/>
      <c r="L46" s="158">
        <f t="shared" si="1"/>
        <v>0</v>
      </c>
      <c r="M46" s="334"/>
      <c r="N46" s="158">
        <f t="shared" si="3"/>
        <v>0</v>
      </c>
      <c r="O46" s="158">
        <f t="shared" si="4"/>
        <v>0</v>
      </c>
      <c r="P46" s="4"/>
    </row>
    <row r="47" spans="2:16">
      <c r="B47" s="9" t="str">
        <f t="shared" si="5"/>
        <v/>
      </c>
      <c r="C47" s="153">
        <f>IF(D11="","-",+C46+1)</f>
        <v>2042</v>
      </c>
      <c r="D47" s="159">
        <f>IF(F46+SUM(E$17:E46)=D$10,F46,D$10-SUM(E$17:E46))</f>
        <v>1628413.7602571389</v>
      </c>
      <c r="E47" s="160">
        <f>IF(+I14&lt;F46,I14,D47)</f>
        <v>122522.76744186046</v>
      </c>
      <c r="F47" s="159">
        <f t="shared" si="10"/>
        <v>1505890.9928152785</v>
      </c>
      <c r="G47" s="161">
        <f t="shared" si="11"/>
        <v>278541.67613375519</v>
      </c>
      <c r="H47" s="142">
        <f t="shared" si="12"/>
        <v>278541.67613375519</v>
      </c>
      <c r="I47" s="156">
        <f t="shared" si="9"/>
        <v>0</v>
      </c>
      <c r="J47" s="156"/>
      <c r="K47" s="334"/>
      <c r="L47" s="158">
        <f t="shared" si="1"/>
        <v>0</v>
      </c>
      <c r="M47" s="334"/>
      <c r="N47" s="158">
        <f t="shared" si="3"/>
        <v>0</v>
      </c>
      <c r="O47" s="158">
        <f t="shared" si="4"/>
        <v>0</v>
      </c>
      <c r="P47" s="4"/>
    </row>
    <row r="48" spans="2:16">
      <c r="B48" s="9" t="str">
        <f t="shared" si="5"/>
        <v/>
      </c>
      <c r="C48" s="153">
        <f>IF(D11="","-",+C47+1)</f>
        <v>2043</v>
      </c>
      <c r="D48" s="159">
        <f>IF(F47+SUM(E$17:E47)=D$10,F47,D$10-SUM(E$17:E47))</f>
        <v>1505890.9928152785</v>
      </c>
      <c r="E48" s="160">
        <f>IF(+I14&lt;F47,I14,D48)</f>
        <v>122522.76744186046</v>
      </c>
      <c r="F48" s="159">
        <f t="shared" si="10"/>
        <v>1383368.2253734181</v>
      </c>
      <c r="G48" s="161">
        <f t="shared" si="11"/>
        <v>266343.83962953428</v>
      </c>
      <c r="H48" s="142">
        <f t="shared" si="12"/>
        <v>266343.83962953428</v>
      </c>
      <c r="I48" s="156">
        <f t="shared" si="9"/>
        <v>0</v>
      </c>
      <c r="J48" s="156"/>
      <c r="K48" s="334"/>
      <c r="L48" s="158">
        <f t="shared" si="1"/>
        <v>0</v>
      </c>
      <c r="M48" s="334"/>
      <c r="N48" s="158">
        <f t="shared" si="3"/>
        <v>0</v>
      </c>
      <c r="O48" s="158">
        <f t="shared" si="4"/>
        <v>0</v>
      </c>
      <c r="P48" s="4"/>
    </row>
    <row r="49" spans="2:17">
      <c r="B49" s="9" t="str">
        <f t="shared" si="5"/>
        <v/>
      </c>
      <c r="C49" s="153">
        <f>IF(D11="","-",+C48+1)</f>
        <v>2044</v>
      </c>
      <c r="D49" s="159">
        <f>IF(F48+SUM(E$17:E48)=D$10,F48,D$10-SUM(E$17:E48))</f>
        <v>1383368.2253734181</v>
      </c>
      <c r="E49" s="160">
        <f>IF(+I14&lt;F48,I14,D49)</f>
        <v>122522.76744186046</v>
      </c>
      <c r="F49" s="159">
        <f t="shared" ref="F49:F72" si="13">+D49-E49</f>
        <v>1260845.4579315577</v>
      </c>
      <c r="G49" s="161">
        <f t="shared" si="11"/>
        <v>254146.00312531341</v>
      </c>
      <c r="H49" s="142">
        <f t="shared" si="12"/>
        <v>254146.00312531341</v>
      </c>
      <c r="I49" s="156">
        <f t="shared" ref="I49:I72" si="14">H49-G49</f>
        <v>0</v>
      </c>
      <c r="J49" s="156"/>
      <c r="K49" s="334"/>
      <c r="L49" s="158">
        <f t="shared" ref="L49:L72" si="15">IF(K49&lt;&gt;0,+G49-K49,0)</f>
        <v>0</v>
      </c>
      <c r="M49" s="334"/>
      <c r="N49" s="158">
        <f t="shared" ref="N49:N72" si="16">IF(M49&lt;&gt;0,+H49-M49,0)</f>
        <v>0</v>
      </c>
      <c r="O49" s="158">
        <f t="shared" ref="O49:O72" si="17">+N49-L49</f>
        <v>0</v>
      </c>
      <c r="P49" s="4"/>
    </row>
    <row r="50" spans="2:17">
      <c r="B50" s="9" t="str">
        <f t="shared" ref="B50:B72" si="18">IF(D50=F49,"","IU")</f>
        <v/>
      </c>
      <c r="C50" s="153">
        <f>IF(D11="","-",+C49+1)</f>
        <v>2045</v>
      </c>
      <c r="D50" s="159">
        <f>IF(F49+SUM(E$17:E49)=D$10,F49,D$10-SUM(E$17:E49))</f>
        <v>1260845.4579315577</v>
      </c>
      <c r="E50" s="160">
        <f>IF(+I14&lt;F49,I14,D50)</f>
        <v>122522.76744186046</v>
      </c>
      <c r="F50" s="159">
        <f t="shared" si="13"/>
        <v>1138322.6904896973</v>
      </c>
      <c r="G50" s="161">
        <f t="shared" si="11"/>
        <v>241948.16662109253</v>
      </c>
      <c r="H50" s="142">
        <f t="shared" si="12"/>
        <v>241948.16662109253</v>
      </c>
      <c r="I50" s="156">
        <f t="shared" si="14"/>
        <v>0</v>
      </c>
      <c r="J50" s="156"/>
      <c r="K50" s="334"/>
      <c r="L50" s="158">
        <f t="shared" si="15"/>
        <v>0</v>
      </c>
      <c r="M50" s="334"/>
      <c r="N50" s="158">
        <f t="shared" si="16"/>
        <v>0</v>
      </c>
      <c r="O50" s="158">
        <f t="shared" si="17"/>
        <v>0</v>
      </c>
      <c r="P50" s="4"/>
    </row>
    <row r="51" spans="2:17">
      <c r="B51" s="9" t="str">
        <f t="shared" si="18"/>
        <v/>
      </c>
      <c r="C51" s="153">
        <f>IF(D11="","-",+C50+1)</f>
        <v>2046</v>
      </c>
      <c r="D51" s="159">
        <f>IF(F50+SUM(E$17:E50)=D$10,F50,D$10-SUM(E$17:E50))</f>
        <v>1138322.6904896973</v>
      </c>
      <c r="E51" s="160">
        <f>IF(+I14&lt;F50,I14,D51)</f>
        <v>122522.76744186046</v>
      </c>
      <c r="F51" s="159">
        <f t="shared" si="13"/>
        <v>1015799.9230478369</v>
      </c>
      <c r="G51" s="161">
        <f t="shared" si="11"/>
        <v>229750.33011687166</v>
      </c>
      <c r="H51" s="142">
        <f t="shared" si="12"/>
        <v>229750.33011687166</v>
      </c>
      <c r="I51" s="156">
        <f t="shared" si="14"/>
        <v>0</v>
      </c>
      <c r="J51" s="156"/>
      <c r="K51" s="334"/>
      <c r="L51" s="158">
        <f t="shared" si="15"/>
        <v>0</v>
      </c>
      <c r="M51" s="334"/>
      <c r="N51" s="158">
        <f t="shared" si="16"/>
        <v>0</v>
      </c>
      <c r="O51" s="158">
        <f t="shared" si="17"/>
        <v>0</v>
      </c>
      <c r="P51" s="4"/>
    </row>
    <row r="52" spans="2:17">
      <c r="B52" s="9" t="str">
        <f t="shared" si="18"/>
        <v/>
      </c>
      <c r="C52" s="153">
        <f>IF(D11="","-",+C51+1)</f>
        <v>2047</v>
      </c>
      <c r="D52" s="159">
        <f>IF(F51+SUM(E$17:E51)=D$10,F51,D$10-SUM(E$17:E51))</f>
        <v>1015799.9230478369</v>
      </c>
      <c r="E52" s="160">
        <f>IF(+I14&lt;F51,I14,D52)</f>
        <v>122522.76744186046</v>
      </c>
      <c r="F52" s="159">
        <f t="shared" si="13"/>
        <v>893277.15560597647</v>
      </c>
      <c r="G52" s="161">
        <f t="shared" si="11"/>
        <v>217552.49361265078</v>
      </c>
      <c r="H52" s="142">
        <f t="shared" si="12"/>
        <v>217552.49361265078</v>
      </c>
      <c r="I52" s="156">
        <f t="shared" si="14"/>
        <v>0</v>
      </c>
      <c r="J52" s="156"/>
      <c r="K52" s="334"/>
      <c r="L52" s="158">
        <f t="shared" si="15"/>
        <v>0</v>
      </c>
      <c r="M52" s="334"/>
      <c r="N52" s="158">
        <f t="shared" si="16"/>
        <v>0</v>
      </c>
      <c r="O52" s="158">
        <f t="shared" si="17"/>
        <v>0</v>
      </c>
      <c r="P52" s="4"/>
    </row>
    <row r="53" spans="2:17">
      <c r="B53" s="9" t="str">
        <f t="shared" si="18"/>
        <v/>
      </c>
      <c r="C53" s="153">
        <f>IF(D11="","-",+C52+1)</f>
        <v>2048</v>
      </c>
      <c r="D53" s="159">
        <f>IF(F52+SUM(E$17:E52)=D$10,F52,D$10-SUM(E$17:E52))</f>
        <v>893277.15560597647</v>
      </c>
      <c r="E53" s="160">
        <f>IF(+I14&lt;F52,I14,D53)</f>
        <v>122522.76744186046</v>
      </c>
      <c r="F53" s="159">
        <f t="shared" si="13"/>
        <v>770754.38816411607</v>
      </c>
      <c r="G53" s="161">
        <f t="shared" si="11"/>
        <v>205354.65710842991</v>
      </c>
      <c r="H53" s="142">
        <f t="shared" si="12"/>
        <v>205354.65710842991</v>
      </c>
      <c r="I53" s="156">
        <f t="shared" si="14"/>
        <v>0</v>
      </c>
      <c r="J53" s="156"/>
      <c r="K53" s="334"/>
      <c r="L53" s="158">
        <f t="shared" si="15"/>
        <v>0</v>
      </c>
      <c r="M53" s="334"/>
      <c r="N53" s="158">
        <f t="shared" si="16"/>
        <v>0</v>
      </c>
      <c r="O53" s="158">
        <f t="shared" si="17"/>
        <v>0</v>
      </c>
      <c r="P53" s="4"/>
    </row>
    <row r="54" spans="2:17">
      <c r="B54" s="9" t="str">
        <f t="shared" si="18"/>
        <v/>
      </c>
      <c r="C54" s="153">
        <f>IF(D11="","-",+C53+1)</f>
        <v>2049</v>
      </c>
      <c r="D54" s="159">
        <f>IF(F53+SUM(E$17:E53)=D$10,F53,D$10-SUM(E$17:E53))</f>
        <v>770754.38816411607</v>
      </c>
      <c r="E54" s="160">
        <f>IF(+I14&lt;F53,I14,D54)</f>
        <v>122522.76744186046</v>
      </c>
      <c r="F54" s="159">
        <f t="shared" si="13"/>
        <v>648231.62072225567</v>
      </c>
      <c r="G54" s="161">
        <f t="shared" ref="G54:G72" si="19">+I$12*((D54+F54)/2)+E54</f>
        <v>193156.82060420903</v>
      </c>
      <c r="H54" s="142">
        <f t="shared" ref="H54:H72" si="20">+I$13*((D54+F54)/2)+E54</f>
        <v>193156.82060420903</v>
      </c>
      <c r="I54" s="156">
        <f t="shared" si="14"/>
        <v>0</v>
      </c>
      <c r="J54" s="156"/>
      <c r="K54" s="334"/>
      <c r="L54" s="158">
        <f t="shared" si="15"/>
        <v>0</v>
      </c>
      <c r="M54" s="334"/>
      <c r="N54" s="158">
        <f t="shared" si="16"/>
        <v>0</v>
      </c>
      <c r="O54" s="158">
        <f t="shared" si="17"/>
        <v>0</v>
      </c>
      <c r="P54" s="4"/>
    </row>
    <row r="55" spans="2:17">
      <c r="B55" s="9" t="str">
        <f t="shared" si="18"/>
        <v/>
      </c>
      <c r="C55" s="153">
        <f>IF(D11="","-",+C54+1)</f>
        <v>2050</v>
      </c>
      <c r="D55" s="159">
        <f>IF(F54+SUM(E$17:E54)=D$10,F54,D$10-SUM(E$17:E54))</f>
        <v>648231.62072225567</v>
      </c>
      <c r="E55" s="160">
        <f>IF(+I14&lt;F54,I14,D55)</f>
        <v>122522.76744186046</v>
      </c>
      <c r="F55" s="159">
        <f t="shared" si="13"/>
        <v>525708.85328039527</v>
      </c>
      <c r="G55" s="161">
        <f t="shared" si="19"/>
        <v>180958.98409998816</v>
      </c>
      <c r="H55" s="142">
        <f t="shared" si="20"/>
        <v>180958.98409998816</v>
      </c>
      <c r="I55" s="156">
        <f t="shared" si="14"/>
        <v>0</v>
      </c>
      <c r="J55" s="156"/>
      <c r="K55" s="334"/>
      <c r="L55" s="158">
        <f t="shared" si="15"/>
        <v>0</v>
      </c>
      <c r="M55" s="334"/>
      <c r="N55" s="158">
        <f t="shared" si="16"/>
        <v>0</v>
      </c>
      <c r="O55" s="158">
        <f t="shared" si="17"/>
        <v>0</v>
      </c>
      <c r="P55" s="4"/>
    </row>
    <row r="56" spans="2:17">
      <c r="B56" s="9" t="str">
        <f t="shared" si="18"/>
        <v/>
      </c>
      <c r="C56" s="153">
        <f>IF(D11="","-",+C55+1)</f>
        <v>2051</v>
      </c>
      <c r="D56" s="159">
        <f>IF(F55+SUM(E$17:E55)=D$10,F55,D$10-SUM(E$17:E55))</f>
        <v>525708.85328039527</v>
      </c>
      <c r="E56" s="160">
        <f>IF(+I14&lt;F55,I14,D56)</f>
        <v>122522.76744186046</v>
      </c>
      <c r="F56" s="159">
        <f t="shared" si="13"/>
        <v>403186.08583853481</v>
      </c>
      <c r="G56" s="161">
        <f t="shared" si="19"/>
        <v>168761.14759576728</v>
      </c>
      <c r="H56" s="142">
        <f t="shared" si="20"/>
        <v>168761.14759576728</v>
      </c>
      <c r="I56" s="156">
        <f t="shared" si="14"/>
        <v>0</v>
      </c>
      <c r="J56" s="156"/>
      <c r="K56" s="334"/>
      <c r="L56" s="158">
        <f t="shared" si="15"/>
        <v>0</v>
      </c>
      <c r="M56" s="334"/>
      <c r="N56" s="158">
        <f t="shared" si="16"/>
        <v>0</v>
      </c>
      <c r="O56" s="158">
        <f t="shared" si="17"/>
        <v>0</v>
      </c>
      <c r="P56" s="4"/>
    </row>
    <row r="57" spans="2:17">
      <c r="B57" s="9" t="str">
        <f t="shared" si="18"/>
        <v/>
      </c>
      <c r="C57" s="153">
        <f>IF(D11="","-",+C56+1)</f>
        <v>2052</v>
      </c>
      <c r="D57" s="159">
        <f>IF(F56+SUM(E$17:E56)=D$10,F56,D$10-SUM(E$17:E56))</f>
        <v>403186.08583853481</v>
      </c>
      <c r="E57" s="160">
        <f>IF(+I14&lt;F56,I14,D57)</f>
        <v>122522.76744186046</v>
      </c>
      <c r="F57" s="159">
        <f t="shared" si="13"/>
        <v>280663.31839667435</v>
      </c>
      <c r="G57" s="161">
        <f t="shared" si="19"/>
        <v>156563.31109154638</v>
      </c>
      <c r="H57" s="142">
        <f t="shared" si="20"/>
        <v>156563.31109154638</v>
      </c>
      <c r="I57" s="156">
        <f t="shared" si="14"/>
        <v>0</v>
      </c>
      <c r="J57" s="156"/>
      <c r="K57" s="334"/>
      <c r="L57" s="158">
        <f t="shared" si="15"/>
        <v>0</v>
      </c>
      <c r="M57" s="334"/>
      <c r="N57" s="158">
        <f t="shared" si="16"/>
        <v>0</v>
      </c>
      <c r="O57" s="158">
        <f t="shared" si="17"/>
        <v>0</v>
      </c>
      <c r="P57" s="4"/>
    </row>
    <row r="58" spans="2:17">
      <c r="B58" s="9" t="str">
        <f t="shared" si="18"/>
        <v/>
      </c>
      <c r="C58" s="153">
        <f>IF(D11="","-",+C57+1)</f>
        <v>2053</v>
      </c>
      <c r="D58" s="159">
        <f>IF(F57+SUM(E$17:E57)=D$10,F57,D$10-SUM(E$17:E57))</f>
        <v>280663.31839667435</v>
      </c>
      <c r="E58" s="160">
        <f>IF(+I14&lt;F57,I14,D58)</f>
        <v>122522.76744186046</v>
      </c>
      <c r="F58" s="159">
        <f t="shared" si="13"/>
        <v>158140.55095481389</v>
      </c>
      <c r="G58" s="161">
        <f t="shared" si="19"/>
        <v>144365.4745873255</v>
      </c>
      <c r="H58" s="142">
        <f t="shared" si="20"/>
        <v>144365.4745873255</v>
      </c>
      <c r="I58" s="156">
        <f t="shared" si="14"/>
        <v>0</v>
      </c>
      <c r="J58" s="156"/>
      <c r="K58" s="334"/>
      <c r="L58" s="158">
        <f t="shared" si="15"/>
        <v>0</v>
      </c>
      <c r="M58" s="334"/>
      <c r="N58" s="158">
        <f t="shared" si="16"/>
        <v>0</v>
      </c>
      <c r="O58" s="158">
        <f t="shared" si="17"/>
        <v>0</v>
      </c>
      <c r="P58" s="4"/>
      <c r="Q58" t="str">
        <f>IF(ROUND(Q57,0)=ROUND(SUM(Q18:Q56),0),"","Error -- check allocations above).")</f>
        <v/>
      </c>
    </row>
    <row r="59" spans="2:17">
      <c r="B59" s="9" t="str">
        <f t="shared" si="18"/>
        <v/>
      </c>
      <c r="C59" s="153">
        <f>IF(D11="","-",+C58+1)</f>
        <v>2054</v>
      </c>
      <c r="D59" s="159">
        <f>IF(F58+SUM(E$17:E58)=D$10,F58,D$10-SUM(E$17:E58))</f>
        <v>158140.55095481389</v>
      </c>
      <c r="E59" s="160">
        <f>IF(+I14&lt;F58,I14,D59)</f>
        <v>122522.76744186046</v>
      </c>
      <c r="F59" s="159">
        <f t="shared" si="13"/>
        <v>35617.783512953436</v>
      </c>
      <c r="G59" s="161">
        <f t="shared" si="19"/>
        <v>132167.63808310463</v>
      </c>
      <c r="H59" s="142">
        <f t="shared" si="20"/>
        <v>132167.63808310463</v>
      </c>
      <c r="I59" s="156">
        <f t="shared" si="14"/>
        <v>0</v>
      </c>
      <c r="J59" s="156"/>
      <c r="K59" s="334"/>
      <c r="L59" s="158">
        <f t="shared" si="15"/>
        <v>0</v>
      </c>
      <c r="M59" s="334"/>
      <c r="N59" s="158">
        <f t="shared" si="16"/>
        <v>0</v>
      </c>
      <c r="O59" s="158">
        <f t="shared" si="17"/>
        <v>0</v>
      </c>
      <c r="P59" s="4"/>
    </row>
    <row r="60" spans="2:17">
      <c r="B60" s="9" t="str">
        <f t="shared" si="18"/>
        <v/>
      </c>
      <c r="C60" s="153">
        <f>IF(D11="","-",+C59+1)</f>
        <v>2055</v>
      </c>
      <c r="D60" s="159">
        <f>IF(F59+SUM(E$17:E59)=D$10,F59,D$10-SUM(E$17:E59))</f>
        <v>35617.783512953436</v>
      </c>
      <c r="E60" s="160">
        <f>IF(+I14&lt;F59,I14,D60)</f>
        <v>35617.783512953436</v>
      </c>
      <c r="F60" s="159">
        <f t="shared" si="13"/>
        <v>0</v>
      </c>
      <c r="G60" s="161">
        <f t="shared" si="19"/>
        <v>37390.759707520294</v>
      </c>
      <c r="H60" s="142">
        <f t="shared" si="20"/>
        <v>37390.759707520294</v>
      </c>
      <c r="I60" s="156">
        <f t="shared" si="14"/>
        <v>0</v>
      </c>
      <c r="J60" s="156"/>
      <c r="K60" s="334"/>
      <c r="L60" s="158">
        <f t="shared" si="15"/>
        <v>0</v>
      </c>
      <c r="M60" s="334"/>
      <c r="N60" s="158">
        <f t="shared" si="16"/>
        <v>0</v>
      </c>
      <c r="O60" s="158">
        <f t="shared" si="17"/>
        <v>0</v>
      </c>
      <c r="P60" s="4"/>
    </row>
    <row r="61" spans="2:17">
      <c r="B61" s="9" t="str">
        <f t="shared" si="18"/>
        <v/>
      </c>
      <c r="C61" s="153">
        <f>IF(D11="","-",+C60+1)</f>
        <v>2056</v>
      </c>
      <c r="D61" s="159">
        <f>IF(F60+SUM(E$17:E60)=D$10,F60,D$10-SUM(E$17:E60))</f>
        <v>0</v>
      </c>
      <c r="E61" s="160">
        <f>IF(+I14&lt;F60,I14,D61)</f>
        <v>0</v>
      </c>
      <c r="F61" s="159">
        <f t="shared" si="13"/>
        <v>0</v>
      </c>
      <c r="G61" s="163">
        <f t="shared" si="19"/>
        <v>0</v>
      </c>
      <c r="H61" s="142">
        <f t="shared" si="20"/>
        <v>0</v>
      </c>
      <c r="I61" s="156">
        <f t="shared" si="14"/>
        <v>0</v>
      </c>
      <c r="J61" s="156"/>
      <c r="K61" s="334"/>
      <c r="L61" s="158">
        <f t="shared" si="15"/>
        <v>0</v>
      </c>
      <c r="M61" s="334"/>
      <c r="N61" s="158">
        <f t="shared" si="16"/>
        <v>0</v>
      </c>
      <c r="O61" s="158">
        <f t="shared" si="17"/>
        <v>0</v>
      </c>
      <c r="P61" s="4"/>
    </row>
    <row r="62" spans="2:17">
      <c r="B62" s="9" t="str">
        <f t="shared" si="18"/>
        <v/>
      </c>
      <c r="C62" s="153">
        <f>IF(D11="","-",+C61+1)</f>
        <v>2057</v>
      </c>
      <c r="D62" s="159">
        <f>IF(F61+SUM(E$17:E61)=D$10,F61,D$10-SUM(E$17:E61))</f>
        <v>0</v>
      </c>
      <c r="E62" s="160">
        <f>IF(+I14&lt;F61,I14,D62)</f>
        <v>0</v>
      </c>
      <c r="F62" s="159">
        <f t="shared" si="13"/>
        <v>0</v>
      </c>
      <c r="G62" s="163">
        <f t="shared" si="19"/>
        <v>0</v>
      </c>
      <c r="H62" s="142">
        <f t="shared" si="20"/>
        <v>0</v>
      </c>
      <c r="I62" s="156">
        <f t="shared" si="14"/>
        <v>0</v>
      </c>
      <c r="J62" s="156"/>
      <c r="K62" s="334"/>
      <c r="L62" s="158">
        <f t="shared" si="15"/>
        <v>0</v>
      </c>
      <c r="M62" s="334"/>
      <c r="N62" s="158">
        <f t="shared" si="16"/>
        <v>0</v>
      </c>
      <c r="O62" s="158">
        <f t="shared" si="17"/>
        <v>0</v>
      </c>
      <c r="P62" s="4"/>
    </row>
    <row r="63" spans="2:17">
      <c r="B63" s="9" t="str">
        <f t="shared" si="18"/>
        <v/>
      </c>
      <c r="C63" s="153">
        <f>IF(D11="","-",+C62+1)</f>
        <v>2058</v>
      </c>
      <c r="D63" s="159">
        <f>IF(F62+SUM(E$17:E62)=D$10,F62,D$10-SUM(E$17:E62))</f>
        <v>0</v>
      </c>
      <c r="E63" s="160">
        <f>IF(+I14&lt;F62,I14,D63)</f>
        <v>0</v>
      </c>
      <c r="F63" s="159">
        <f t="shared" si="13"/>
        <v>0</v>
      </c>
      <c r="G63" s="163">
        <f t="shared" si="19"/>
        <v>0</v>
      </c>
      <c r="H63" s="142">
        <f t="shared" si="20"/>
        <v>0</v>
      </c>
      <c r="I63" s="156">
        <f t="shared" si="14"/>
        <v>0</v>
      </c>
      <c r="J63" s="156"/>
      <c r="K63" s="334"/>
      <c r="L63" s="158">
        <f t="shared" si="15"/>
        <v>0</v>
      </c>
      <c r="M63" s="334"/>
      <c r="N63" s="158">
        <f t="shared" si="16"/>
        <v>0</v>
      </c>
      <c r="O63" s="158">
        <f t="shared" si="17"/>
        <v>0</v>
      </c>
      <c r="P63" s="4"/>
    </row>
    <row r="64" spans="2:17">
      <c r="B64" s="9" t="str">
        <f t="shared" si="18"/>
        <v/>
      </c>
      <c r="C64" s="153">
        <f>IF(D11="","-",+C63+1)</f>
        <v>2059</v>
      </c>
      <c r="D64" s="159">
        <f>IF(F63+SUM(E$17:E63)=D$10,F63,D$10-SUM(E$17:E63))</f>
        <v>0</v>
      </c>
      <c r="E64" s="160">
        <f>IF(+I14&lt;F63,I14,D64)</f>
        <v>0</v>
      </c>
      <c r="F64" s="159">
        <f t="shared" si="13"/>
        <v>0</v>
      </c>
      <c r="G64" s="163">
        <f t="shared" si="19"/>
        <v>0</v>
      </c>
      <c r="H64" s="142">
        <f t="shared" si="20"/>
        <v>0</v>
      </c>
      <c r="I64" s="156">
        <f t="shared" si="14"/>
        <v>0</v>
      </c>
      <c r="J64" s="156"/>
      <c r="K64" s="334"/>
      <c r="L64" s="158">
        <f t="shared" si="15"/>
        <v>0</v>
      </c>
      <c r="M64" s="334"/>
      <c r="N64" s="158">
        <f t="shared" si="16"/>
        <v>0</v>
      </c>
      <c r="O64" s="158">
        <f t="shared" si="17"/>
        <v>0</v>
      </c>
      <c r="P64" s="4"/>
    </row>
    <row r="65" spans="1:16">
      <c r="B65" s="9" t="str">
        <f t="shared" si="18"/>
        <v/>
      </c>
      <c r="C65" s="153">
        <f>IF(D11="","-",+C64+1)</f>
        <v>2060</v>
      </c>
      <c r="D65" s="159">
        <f>IF(F64+SUM(E$17:E64)=D$10,F64,D$10-SUM(E$17:E64))</f>
        <v>0</v>
      </c>
      <c r="E65" s="160">
        <f>IF(+I14&lt;F64,I14,D65)</f>
        <v>0</v>
      </c>
      <c r="F65" s="159">
        <f t="shared" si="13"/>
        <v>0</v>
      </c>
      <c r="G65" s="163">
        <f t="shared" si="19"/>
        <v>0</v>
      </c>
      <c r="H65" s="142">
        <f t="shared" si="20"/>
        <v>0</v>
      </c>
      <c r="I65" s="156">
        <f t="shared" si="14"/>
        <v>0</v>
      </c>
      <c r="J65" s="156"/>
      <c r="K65" s="334"/>
      <c r="L65" s="158">
        <f t="shared" si="15"/>
        <v>0</v>
      </c>
      <c r="M65" s="334"/>
      <c r="N65" s="158">
        <f t="shared" si="16"/>
        <v>0</v>
      </c>
      <c r="O65" s="158">
        <f t="shared" si="17"/>
        <v>0</v>
      </c>
      <c r="P65" s="4"/>
    </row>
    <row r="66" spans="1:16">
      <c r="B66" s="9" t="str">
        <f t="shared" si="18"/>
        <v/>
      </c>
      <c r="C66" s="153">
        <f>IF(D11="","-",+C65+1)</f>
        <v>2061</v>
      </c>
      <c r="D66" s="159">
        <f>IF(F65+SUM(E$17:E65)=D$10,F65,D$10-SUM(E$17:E65))</f>
        <v>0</v>
      </c>
      <c r="E66" s="160">
        <f>IF(+I14&lt;F65,I14,D66)</f>
        <v>0</v>
      </c>
      <c r="F66" s="159">
        <f t="shared" si="13"/>
        <v>0</v>
      </c>
      <c r="G66" s="163">
        <f t="shared" si="19"/>
        <v>0</v>
      </c>
      <c r="H66" s="142">
        <f t="shared" si="20"/>
        <v>0</v>
      </c>
      <c r="I66" s="156">
        <f t="shared" si="14"/>
        <v>0</v>
      </c>
      <c r="J66" s="156"/>
      <c r="K66" s="334"/>
      <c r="L66" s="158">
        <f t="shared" si="15"/>
        <v>0</v>
      </c>
      <c r="M66" s="334"/>
      <c r="N66" s="158">
        <f t="shared" si="16"/>
        <v>0</v>
      </c>
      <c r="O66" s="158">
        <f t="shared" si="17"/>
        <v>0</v>
      </c>
      <c r="P66" s="4"/>
    </row>
    <row r="67" spans="1:16">
      <c r="B67" s="9" t="str">
        <f t="shared" si="18"/>
        <v/>
      </c>
      <c r="C67" s="153">
        <f>IF(D11="","-",+C66+1)</f>
        <v>2062</v>
      </c>
      <c r="D67" s="159">
        <f>IF(F66+SUM(E$17:E66)=D$10,F66,D$10-SUM(E$17:E66))</f>
        <v>0</v>
      </c>
      <c r="E67" s="160">
        <f>IF(+I14&lt;F66,I14,D67)</f>
        <v>0</v>
      </c>
      <c r="F67" s="159">
        <f t="shared" si="13"/>
        <v>0</v>
      </c>
      <c r="G67" s="163">
        <f t="shared" si="19"/>
        <v>0</v>
      </c>
      <c r="H67" s="142">
        <f t="shared" si="20"/>
        <v>0</v>
      </c>
      <c r="I67" s="156">
        <f t="shared" si="14"/>
        <v>0</v>
      </c>
      <c r="J67" s="156"/>
      <c r="K67" s="334"/>
      <c r="L67" s="158">
        <f t="shared" si="15"/>
        <v>0</v>
      </c>
      <c r="M67" s="334"/>
      <c r="N67" s="158">
        <f t="shared" si="16"/>
        <v>0</v>
      </c>
      <c r="O67" s="158">
        <f t="shared" si="17"/>
        <v>0</v>
      </c>
      <c r="P67" s="4"/>
    </row>
    <row r="68" spans="1:16">
      <c r="B68" s="9" t="str">
        <f t="shared" si="18"/>
        <v/>
      </c>
      <c r="C68" s="153">
        <f>IF(D11="","-",+C67+1)</f>
        <v>2063</v>
      </c>
      <c r="D68" s="159">
        <f>IF(F67+SUM(E$17:E67)=D$10,F67,D$10-SUM(E$17:E67))</f>
        <v>0</v>
      </c>
      <c r="E68" s="160">
        <f>IF(+I14&lt;F67,I14,D68)</f>
        <v>0</v>
      </c>
      <c r="F68" s="159">
        <f t="shared" si="13"/>
        <v>0</v>
      </c>
      <c r="G68" s="163">
        <f t="shared" si="19"/>
        <v>0</v>
      </c>
      <c r="H68" s="142">
        <f t="shared" si="20"/>
        <v>0</v>
      </c>
      <c r="I68" s="156">
        <f t="shared" si="14"/>
        <v>0</v>
      </c>
      <c r="J68" s="156"/>
      <c r="K68" s="334"/>
      <c r="L68" s="158">
        <f t="shared" si="15"/>
        <v>0</v>
      </c>
      <c r="M68" s="334"/>
      <c r="N68" s="158">
        <f t="shared" si="16"/>
        <v>0</v>
      </c>
      <c r="O68" s="158">
        <f t="shared" si="17"/>
        <v>0</v>
      </c>
      <c r="P68" s="4"/>
    </row>
    <row r="69" spans="1:16">
      <c r="B69" s="9" t="str">
        <f t="shared" si="18"/>
        <v/>
      </c>
      <c r="C69" s="153">
        <f>IF(D11="","-",+C68+1)</f>
        <v>2064</v>
      </c>
      <c r="D69" s="159">
        <f>IF(F68+SUM(E$17:E68)=D$10,F68,D$10-SUM(E$17:E68))</f>
        <v>0</v>
      </c>
      <c r="E69" s="160">
        <f>IF(+I14&lt;F68,I14,D69)</f>
        <v>0</v>
      </c>
      <c r="F69" s="159">
        <f t="shared" si="13"/>
        <v>0</v>
      </c>
      <c r="G69" s="163">
        <f t="shared" si="19"/>
        <v>0</v>
      </c>
      <c r="H69" s="142">
        <f t="shared" si="20"/>
        <v>0</v>
      </c>
      <c r="I69" s="156">
        <f t="shared" si="14"/>
        <v>0</v>
      </c>
      <c r="J69" s="156"/>
      <c r="K69" s="334"/>
      <c r="L69" s="158">
        <f t="shared" si="15"/>
        <v>0</v>
      </c>
      <c r="M69" s="334"/>
      <c r="N69" s="158">
        <f t="shared" si="16"/>
        <v>0</v>
      </c>
      <c r="O69" s="158">
        <f t="shared" si="17"/>
        <v>0</v>
      </c>
      <c r="P69" s="4"/>
    </row>
    <row r="70" spans="1:16">
      <c r="B70" s="9" t="str">
        <f t="shared" si="18"/>
        <v/>
      </c>
      <c r="C70" s="153">
        <f>IF(D11="","-",+C69+1)</f>
        <v>2065</v>
      </c>
      <c r="D70" s="159">
        <f>IF(F69+SUM(E$17:E69)=D$10,F69,D$10-SUM(E$17:E69))</f>
        <v>0</v>
      </c>
      <c r="E70" s="160">
        <f>IF(+I14&lt;F69,I14,D70)</f>
        <v>0</v>
      </c>
      <c r="F70" s="159">
        <f t="shared" si="13"/>
        <v>0</v>
      </c>
      <c r="G70" s="163">
        <f t="shared" si="19"/>
        <v>0</v>
      </c>
      <c r="H70" s="142">
        <f t="shared" si="20"/>
        <v>0</v>
      </c>
      <c r="I70" s="156">
        <f t="shared" si="14"/>
        <v>0</v>
      </c>
      <c r="J70" s="156"/>
      <c r="K70" s="334"/>
      <c r="L70" s="158">
        <f t="shared" si="15"/>
        <v>0</v>
      </c>
      <c r="M70" s="334"/>
      <c r="N70" s="158">
        <f t="shared" si="16"/>
        <v>0</v>
      </c>
      <c r="O70" s="158">
        <f t="shared" si="17"/>
        <v>0</v>
      </c>
      <c r="P70" s="4"/>
    </row>
    <row r="71" spans="1:16">
      <c r="B71" s="9" t="str">
        <f t="shared" si="18"/>
        <v/>
      </c>
      <c r="C71" s="153">
        <f>IF(D11="","-",+C70+1)</f>
        <v>2066</v>
      </c>
      <c r="D71" s="159">
        <f>IF(F70+SUM(E$17:E70)=D$10,F70,D$10-SUM(E$17:E70))</f>
        <v>0</v>
      </c>
      <c r="E71" s="160">
        <f>IF(+I14&lt;F70,I14,D71)</f>
        <v>0</v>
      </c>
      <c r="F71" s="159">
        <f t="shared" si="13"/>
        <v>0</v>
      </c>
      <c r="G71" s="163">
        <f t="shared" si="19"/>
        <v>0</v>
      </c>
      <c r="H71" s="142">
        <f t="shared" si="20"/>
        <v>0</v>
      </c>
      <c r="I71" s="156">
        <f t="shared" si="14"/>
        <v>0</v>
      </c>
      <c r="J71" s="156"/>
      <c r="K71" s="334"/>
      <c r="L71" s="158">
        <f t="shared" si="15"/>
        <v>0</v>
      </c>
      <c r="M71" s="334"/>
      <c r="N71" s="158">
        <f t="shared" si="16"/>
        <v>0</v>
      </c>
      <c r="O71" s="158">
        <f t="shared" si="17"/>
        <v>0</v>
      </c>
      <c r="P71" s="4"/>
    </row>
    <row r="72" spans="1:16" ht="13.5" thickBot="1">
      <c r="B72" s="9" t="str">
        <f t="shared" si="18"/>
        <v/>
      </c>
      <c r="C72" s="164">
        <f>IF(D11="","-",+C71+1)</f>
        <v>2067</v>
      </c>
      <c r="D72" s="165">
        <f>IF(F71+SUM(E$17:E71)=D$10,F71,D$10-SUM(E$17:E71))</f>
        <v>0</v>
      </c>
      <c r="E72" s="166">
        <f>IF(+I14&lt;F71,I14,D72)</f>
        <v>0</v>
      </c>
      <c r="F72" s="165">
        <f t="shared" si="13"/>
        <v>0</v>
      </c>
      <c r="G72" s="167">
        <f t="shared" si="19"/>
        <v>0</v>
      </c>
      <c r="H72" s="124">
        <f t="shared" si="20"/>
        <v>0</v>
      </c>
      <c r="I72" s="168">
        <f t="shared" si="14"/>
        <v>0</v>
      </c>
      <c r="J72" s="156"/>
      <c r="K72" s="335"/>
      <c r="L72" s="169">
        <f t="shared" si="15"/>
        <v>0</v>
      </c>
      <c r="M72" s="335"/>
      <c r="N72" s="169">
        <f t="shared" si="16"/>
        <v>0</v>
      </c>
      <c r="O72" s="169">
        <f t="shared" si="17"/>
        <v>0</v>
      </c>
      <c r="P72" s="4"/>
    </row>
    <row r="73" spans="1:16">
      <c r="C73" s="154" t="s">
        <v>73</v>
      </c>
      <c r="D73" s="111"/>
      <c r="E73" s="111">
        <f>SUM(E17:E72)</f>
        <v>5268479</v>
      </c>
      <c r="F73" s="111"/>
      <c r="G73" s="111">
        <f>SUM(G17:G72)</f>
        <v>17860299.016166162</v>
      </c>
      <c r="H73" s="111">
        <f>SUM(H17:H72)</f>
        <v>17860299.016166162</v>
      </c>
      <c r="I73" s="111">
        <f>SUM(I17:I72)</f>
        <v>0</v>
      </c>
      <c r="J73" s="111"/>
      <c r="K73" s="111"/>
      <c r="L73" s="111"/>
      <c r="M73" s="111"/>
      <c r="N73" s="111"/>
      <c r="O73" s="4"/>
      <c r="P73" s="4"/>
    </row>
    <row r="74" spans="1:16">
      <c r="D74" s="2"/>
      <c r="E74" s="1"/>
      <c r="F74" s="1"/>
      <c r="G74" s="1"/>
      <c r="H74" s="3"/>
      <c r="I74" s="3"/>
      <c r="J74" s="111"/>
      <c r="K74" s="3"/>
      <c r="L74" s="3"/>
      <c r="M74" s="3"/>
      <c r="N74" s="3"/>
      <c r="O74" s="1"/>
      <c r="P74" s="1"/>
    </row>
    <row r="75" spans="1:16">
      <c r="C75" s="170" t="s">
        <v>91</v>
      </c>
      <c r="D75" s="2"/>
      <c r="E75" s="1"/>
      <c r="F75" s="1"/>
      <c r="G75" s="1"/>
      <c r="H75" s="3"/>
      <c r="I75" s="3"/>
      <c r="J75" s="111"/>
      <c r="K75" s="3"/>
      <c r="L75" s="3"/>
      <c r="M75" s="3"/>
      <c r="N75" s="3"/>
      <c r="O75" s="1"/>
      <c r="P75" s="1"/>
    </row>
    <row r="76" spans="1:16">
      <c r="C76" s="121" t="s">
        <v>74</v>
      </c>
      <c r="D76" s="2"/>
      <c r="E76" s="1"/>
      <c r="F76" s="1"/>
      <c r="G76" s="1"/>
      <c r="H76" s="3"/>
      <c r="I76" s="3"/>
      <c r="J76" s="111"/>
      <c r="K76" s="3"/>
      <c r="L76" s="3"/>
      <c r="M76" s="3"/>
      <c r="N76" s="3"/>
      <c r="O76" s="4"/>
      <c r="P76" s="4"/>
    </row>
    <row r="77" spans="1:16" ht="18">
      <c r="C77" s="121" t="s">
        <v>75</v>
      </c>
      <c r="D77" s="154"/>
      <c r="E77" s="154"/>
      <c r="F77" s="154"/>
      <c r="G77" s="111"/>
      <c r="H77" s="111"/>
      <c r="I77" s="171"/>
      <c r="J77" s="171"/>
      <c r="K77" s="171"/>
      <c r="L77" s="171"/>
      <c r="M77" s="171"/>
      <c r="N77" s="171"/>
      <c r="O77" s="110"/>
      <c r="P77" s="4"/>
    </row>
    <row r="78" spans="1:16">
      <c r="C78" s="121"/>
      <c r="D78" s="154"/>
      <c r="E78" s="154"/>
      <c r="F78" s="154"/>
      <c r="G78" s="111"/>
      <c r="H78" s="111"/>
      <c r="I78" s="171"/>
      <c r="J78" s="171"/>
      <c r="K78" s="171"/>
      <c r="L78" s="171"/>
      <c r="M78" s="171"/>
      <c r="N78" s="171"/>
      <c r="O78" s="4"/>
      <c r="P78" s="1"/>
    </row>
    <row r="79" spans="1:16" ht="15">
      <c r="A79" s="241"/>
      <c r="B79" s="1"/>
      <c r="C79" s="21"/>
      <c r="D79" s="2"/>
      <c r="E79" s="1"/>
      <c r="F79" s="107"/>
      <c r="G79" s="1"/>
      <c r="H79" s="3"/>
      <c r="I79" s="1"/>
      <c r="J79" s="4"/>
      <c r="K79" s="1"/>
      <c r="L79" s="1"/>
      <c r="M79" s="1"/>
      <c r="N79" s="1"/>
    </row>
    <row r="80" spans="1:16" ht="18">
      <c r="B80" s="1"/>
      <c r="C80" s="242"/>
      <c r="D80" s="2"/>
      <c r="E80" s="1"/>
      <c r="F80" s="107"/>
      <c r="G80" s="1"/>
      <c r="H80" s="3"/>
      <c r="I80" s="1"/>
      <c r="J80" s="4"/>
      <c r="K80" s="1"/>
      <c r="L80" s="1"/>
      <c r="M80" s="1"/>
      <c r="N80" s="1"/>
      <c r="P80" s="244" t="s">
        <v>125</v>
      </c>
    </row>
    <row r="81" spans="1:17">
      <c r="B81" s="1"/>
      <c r="C81" s="242"/>
      <c r="D81" s="2"/>
      <c r="E81" s="1"/>
      <c r="F81" s="107"/>
      <c r="G81" s="1"/>
      <c r="H81" s="3"/>
      <c r="I81" s="1"/>
      <c r="J81" s="4"/>
      <c r="K81" s="1"/>
      <c r="L81" s="1"/>
      <c r="M81" s="1"/>
      <c r="N81" s="1"/>
      <c r="O81" s="1"/>
      <c r="P81" s="1"/>
    </row>
    <row r="82" spans="1:17">
      <c r="B82" s="1"/>
      <c r="C82" s="21"/>
      <c r="D82" s="2"/>
      <c r="E82" s="1"/>
      <c r="F82" s="107"/>
      <c r="G82" s="1"/>
      <c r="H82" s="3"/>
      <c r="I82" s="1"/>
      <c r="J82" s="4"/>
      <c r="K82" s="1"/>
      <c r="L82" s="1"/>
      <c r="M82" s="1"/>
      <c r="N82" s="1"/>
      <c r="O82" s="1"/>
      <c r="P82" s="1"/>
      <c r="Q82" s="1"/>
    </row>
    <row r="83" spans="1:17" ht="20.25">
      <c r="A83" s="243" t="s">
        <v>129</v>
      </c>
      <c r="B83" s="1"/>
      <c r="C83" s="21"/>
      <c r="D83" s="2"/>
      <c r="E83" s="1"/>
      <c r="F83" s="99"/>
      <c r="G83" s="99"/>
      <c r="H83" s="1"/>
      <c r="I83" s="3"/>
      <c r="K83" s="7"/>
      <c r="L83" s="109"/>
      <c r="M83" s="109"/>
      <c r="P83" s="110" t="str">
        <f ca="1">P1</f>
        <v>SWEPCO Project 28 of 73</v>
      </c>
      <c r="Q83" s="1"/>
    </row>
    <row r="84" spans="1:17" ht="18">
      <c r="B84" s="1"/>
      <c r="C84" s="1"/>
      <c r="D84" s="2"/>
      <c r="E84" s="1"/>
      <c r="F84" s="1"/>
      <c r="G84" s="1"/>
      <c r="H84" s="1"/>
      <c r="I84" s="3"/>
      <c r="J84" s="1"/>
      <c r="K84" s="4"/>
      <c r="L84" s="1"/>
      <c r="M84" s="1"/>
      <c r="P84" s="237" t="s">
        <v>123</v>
      </c>
      <c r="Q84" s="1"/>
    </row>
    <row r="85" spans="1:17" ht="18.75" thickBot="1">
      <c r="B85" s="5" t="s">
        <v>40</v>
      </c>
      <c r="C85" s="197" t="s">
        <v>78</v>
      </c>
      <c r="D85" s="2"/>
      <c r="E85" s="1"/>
      <c r="F85" s="1"/>
      <c r="G85" s="1"/>
      <c r="H85" s="1"/>
      <c r="I85" s="3"/>
      <c r="J85" s="3"/>
      <c r="K85" s="111"/>
      <c r="L85" s="3"/>
      <c r="M85" s="3"/>
      <c r="N85" s="3"/>
      <c r="O85" s="111"/>
      <c r="P85" s="1"/>
      <c r="Q85" s="1"/>
    </row>
    <row r="86" spans="1:17" ht="15.75" thickBot="1">
      <c r="C86" s="67"/>
      <c r="D86" s="2"/>
      <c r="E86" s="1"/>
      <c r="F86" s="1"/>
      <c r="G86" s="1"/>
      <c r="H86" s="1"/>
      <c r="I86" s="3"/>
      <c r="J86" s="3"/>
      <c r="K86" s="111"/>
      <c r="L86" s="265">
        <f>+J92</f>
        <v>2017</v>
      </c>
      <c r="M86" s="266" t="s">
        <v>7</v>
      </c>
      <c r="N86" s="270" t="s">
        <v>154</v>
      </c>
      <c r="O86" s="267" t="s">
        <v>9</v>
      </c>
      <c r="P86" s="1"/>
      <c r="Q86" s="1"/>
    </row>
    <row r="87" spans="1:17" ht="15">
      <c r="C87" s="235" t="s">
        <v>42</v>
      </c>
      <c r="D87" s="2"/>
      <c r="E87" s="1"/>
      <c r="F87" s="1"/>
      <c r="G87" s="1"/>
      <c r="H87" s="113"/>
      <c r="I87" s="1" t="s">
        <v>43</v>
      </c>
      <c r="J87" s="1"/>
      <c r="K87" s="261"/>
      <c r="L87" s="259" t="s">
        <v>381</v>
      </c>
      <c r="M87" s="198">
        <f>IF(J92&lt;D11,0,VLOOKUP(J92,C17:O72,9))</f>
        <v>696913.1190640803</v>
      </c>
      <c r="N87" s="198">
        <f>IF(J92&lt;D11,0,VLOOKUP(J92,C17:O72,11))</f>
        <v>696913.1190640803</v>
      </c>
      <c r="O87" s="199">
        <f>+N87-M87</f>
        <v>0</v>
      </c>
      <c r="P87" s="1"/>
      <c r="Q87" s="1"/>
    </row>
    <row r="88" spans="1:17" ht="15.75">
      <c r="C88" s="8"/>
      <c r="D88" s="2"/>
      <c r="E88" s="1"/>
      <c r="F88" s="1"/>
      <c r="G88" s="1"/>
      <c r="H88" s="1"/>
      <c r="I88" s="117"/>
      <c r="J88" s="117"/>
      <c r="K88" s="263"/>
      <c r="L88" s="264" t="s">
        <v>382</v>
      </c>
      <c r="M88" s="200">
        <f>IF(J92&lt;D11,0,VLOOKUP(J92,C99:P154,6))</f>
        <v>689578.34111200261</v>
      </c>
      <c r="N88" s="200">
        <f>IF(J92&lt;D11,0,VLOOKUP(J92,C99:P154,7))</f>
        <v>689578.34111200261</v>
      </c>
      <c r="O88" s="201">
        <f>+N88-M88</f>
        <v>0</v>
      </c>
      <c r="P88" s="1"/>
      <c r="Q88" s="1"/>
    </row>
    <row r="89" spans="1:17" ht="13.5" thickBot="1">
      <c r="C89" s="121" t="s">
        <v>79</v>
      </c>
      <c r="D89" s="274" t="str">
        <f>D7</f>
        <v xml:space="preserve">Bloomburg-Texarkana Plant </v>
      </c>
      <c r="E89" s="1"/>
      <c r="F89" s="1"/>
      <c r="G89" s="1"/>
      <c r="H89" s="1"/>
      <c r="I89" s="3"/>
      <c r="J89" s="3"/>
      <c r="K89" s="262"/>
      <c r="L89" s="260" t="s">
        <v>151</v>
      </c>
      <c r="M89" s="203">
        <f>+M88-M87</f>
        <v>-7334.7779520776821</v>
      </c>
      <c r="N89" s="203">
        <f>+N88-N87</f>
        <v>-7334.7779520776821</v>
      </c>
      <c r="O89" s="204">
        <f>+O88-O87</f>
        <v>0</v>
      </c>
      <c r="P89" s="1"/>
      <c r="Q89" s="1"/>
    </row>
    <row r="90" spans="1:17" ht="13.5" thickBot="1">
      <c r="C90" s="170"/>
      <c r="D90" s="173" t="str">
        <f>D8</f>
        <v/>
      </c>
      <c r="E90" s="107"/>
      <c r="F90" s="107"/>
      <c r="G90" s="107"/>
      <c r="H90" s="126"/>
      <c r="I90" s="3"/>
      <c r="J90" s="3"/>
      <c r="K90" s="111"/>
      <c r="L90" s="3"/>
      <c r="M90" s="3"/>
      <c r="N90" s="3"/>
      <c r="O90" s="111"/>
      <c r="P90" s="1"/>
      <c r="Q90" s="1"/>
    </row>
    <row r="91" spans="1:17" ht="13.5" thickBot="1">
      <c r="A91" s="103"/>
      <c r="C91" s="205" t="s">
        <v>80</v>
      </c>
      <c r="D91" s="224" t="str">
        <f>+D9</f>
        <v>TP2008027</v>
      </c>
      <c r="E91" s="206"/>
      <c r="F91" s="206"/>
      <c r="G91" s="206"/>
      <c r="H91" s="206"/>
      <c r="I91" s="206"/>
      <c r="J91" s="238"/>
      <c r="K91" s="207"/>
      <c r="P91" s="131"/>
      <c r="Q91" s="1"/>
    </row>
    <row r="92" spans="1:17">
      <c r="C92" s="136" t="s">
        <v>47</v>
      </c>
      <c r="D92" s="133">
        <f>IF(D11=I10,0,D10)</f>
        <v>5268479</v>
      </c>
      <c r="E92" s="21" t="s">
        <v>81</v>
      </c>
      <c r="H92" s="134"/>
      <c r="I92" s="134"/>
      <c r="J92" s="135">
        <f>+'SWE.WS.G.BPU.ATRR.True-up'!M15</f>
        <v>2017</v>
      </c>
      <c r="K92" s="130"/>
      <c r="L92" s="111" t="s">
        <v>82</v>
      </c>
      <c r="P92" s="4"/>
      <c r="Q92" s="1"/>
    </row>
    <row r="93" spans="1:17">
      <c r="C93" s="136" t="s">
        <v>49</v>
      </c>
      <c r="D93" s="219">
        <f>IF(D11=I10,"",D11)</f>
        <v>2012</v>
      </c>
      <c r="E93" s="136" t="s">
        <v>50</v>
      </c>
      <c r="F93" s="134"/>
      <c r="G93" s="134"/>
      <c r="J93" s="138">
        <f>IF(H87="",0,'SWE.WS.G.BPU.ATRR.True-up'!$F$12)</f>
        <v>0</v>
      </c>
      <c r="K93" s="139"/>
      <c r="L93" t="str">
        <f>"          INPUT TRUE-UP ARR (WITH &amp; WITHOUT INCENTIVES) FROM EACH PRIOR YEAR"</f>
        <v xml:space="preserve">          INPUT TRUE-UP ARR (WITH &amp; WITHOUT INCENTIVES) FROM EACH PRIOR YEAR</v>
      </c>
      <c r="P93" s="4"/>
      <c r="Q93" s="1"/>
    </row>
    <row r="94" spans="1:17">
      <c r="C94" s="136" t="s">
        <v>51</v>
      </c>
      <c r="D94" s="218">
        <f>IF(D11=I10,"",D12)</f>
        <v>6</v>
      </c>
      <c r="E94" s="136" t="s">
        <v>52</v>
      </c>
      <c r="F94" s="134"/>
      <c r="G94" s="134"/>
      <c r="J94" s="140">
        <f>'SWE.WS.G.BPU.ATRR.True-up'!$F$80</f>
        <v>0.12147145768398206</v>
      </c>
      <c r="K94" s="141"/>
      <c r="L94" t="s">
        <v>83</v>
      </c>
      <c r="P94" s="4"/>
      <c r="Q94" s="1"/>
    </row>
    <row r="95" spans="1:17">
      <c r="C95" s="136" t="s">
        <v>54</v>
      </c>
      <c r="D95" s="138">
        <f>'SWE.WS.G.BPU.ATRR.True-up'!F$92</f>
        <v>42</v>
      </c>
      <c r="E95" s="136" t="s">
        <v>55</v>
      </c>
      <c r="F95" s="134"/>
      <c r="G95" s="134"/>
      <c r="J95" s="140">
        <f>IF(H87="",J94,'SWE.WS.G.BPU.ATRR.True-up'!$F$79)</f>
        <v>0.12147145768398206</v>
      </c>
      <c r="K95" s="58"/>
      <c r="L95" s="111" t="s">
        <v>56</v>
      </c>
      <c r="M95" s="58"/>
      <c r="N95" s="58"/>
      <c r="O95" s="58"/>
      <c r="P95" s="4"/>
      <c r="Q95" s="1"/>
    </row>
    <row r="96" spans="1:17" ht="13.5" thickBot="1">
      <c r="C96" s="136" t="s">
        <v>57</v>
      </c>
      <c r="D96" s="220" t="str">
        <f>+D14</f>
        <v>No</v>
      </c>
      <c r="E96" s="202" t="s">
        <v>59</v>
      </c>
      <c r="F96" s="208"/>
      <c r="G96" s="208"/>
      <c r="H96" s="209"/>
      <c r="I96" s="209"/>
      <c r="J96" s="124">
        <f>IF(D92=0,0,D92/D95)</f>
        <v>125439.97619047618</v>
      </c>
      <c r="K96" s="111"/>
      <c r="L96" s="111"/>
      <c r="M96" s="111"/>
      <c r="N96" s="111"/>
      <c r="O96" s="111"/>
      <c r="P96" s="4"/>
      <c r="Q96" s="1"/>
    </row>
    <row r="97" spans="1:17" ht="38.25">
      <c r="A97" s="6"/>
      <c r="B97" s="6"/>
      <c r="C97" s="210" t="s">
        <v>47</v>
      </c>
      <c r="D97" s="211" t="s">
        <v>60</v>
      </c>
      <c r="E97" s="146" t="s">
        <v>61</v>
      </c>
      <c r="F97" s="146" t="s">
        <v>62</v>
      </c>
      <c r="G97" s="144" t="s">
        <v>84</v>
      </c>
      <c r="H97" s="434" t="s">
        <v>378</v>
      </c>
      <c r="I97" s="435" t="s">
        <v>379</v>
      </c>
      <c r="J97" s="210" t="s">
        <v>85</v>
      </c>
      <c r="K97" s="212"/>
      <c r="L97" s="271" t="s">
        <v>220</v>
      </c>
      <c r="M97" s="146" t="s">
        <v>86</v>
      </c>
      <c r="N97" s="271" t="s">
        <v>220</v>
      </c>
      <c r="O97" s="146" t="s">
        <v>86</v>
      </c>
      <c r="P97" s="146" t="s">
        <v>65</v>
      </c>
      <c r="Q97" s="1"/>
    </row>
    <row r="98" spans="1:17" ht="13.5" thickBot="1">
      <c r="C98" s="147" t="s">
        <v>66</v>
      </c>
      <c r="D98" s="213" t="s">
        <v>67</v>
      </c>
      <c r="E98" s="147" t="s">
        <v>68</v>
      </c>
      <c r="F98" s="147" t="s">
        <v>67</v>
      </c>
      <c r="G98" s="147" t="s">
        <v>67</v>
      </c>
      <c r="H98" s="407" t="s">
        <v>69</v>
      </c>
      <c r="I98" s="148" t="s">
        <v>70</v>
      </c>
      <c r="J98" s="149" t="s">
        <v>89</v>
      </c>
      <c r="K98" s="150"/>
      <c r="L98" s="151" t="s">
        <v>72</v>
      </c>
      <c r="M98" s="151" t="s">
        <v>72</v>
      </c>
      <c r="N98" s="151" t="s">
        <v>90</v>
      </c>
      <c r="O98" s="151" t="s">
        <v>90</v>
      </c>
      <c r="P98" s="151" t="s">
        <v>90</v>
      </c>
      <c r="Q98" s="1"/>
    </row>
    <row r="99" spans="1:17" ht="13.5" thickBot="1">
      <c r="C99" s="153">
        <f>IF(D93= "","-",D93)</f>
        <v>2012</v>
      </c>
      <c r="D99" s="357">
        <v>0</v>
      </c>
      <c r="E99" s="360">
        <v>62710.82142857142</v>
      </c>
      <c r="F99" s="406">
        <v>5204998.1785714282</v>
      </c>
      <c r="G99" s="365">
        <v>2602499.0892857141</v>
      </c>
      <c r="H99" s="363">
        <v>445678.79491286777</v>
      </c>
      <c r="I99" s="363">
        <v>445678.79491286777</v>
      </c>
      <c r="J99" s="158">
        <f t="shared" ref="J99:J130" si="21">+I99-H99</f>
        <v>0</v>
      </c>
      <c r="K99" s="158"/>
      <c r="L99" s="256">
        <f>H99</f>
        <v>445678.79491286777</v>
      </c>
      <c r="M99" s="172">
        <f t="shared" ref="M99:M130" si="22">IF(L99&lt;&gt;0,+H99-L99,0)</f>
        <v>0</v>
      </c>
      <c r="N99" s="256">
        <f>I99</f>
        <v>445678.79491286777</v>
      </c>
      <c r="O99" s="157">
        <f t="shared" ref="O99:O130" si="23">IF(N99&lt;&gt;0,+I99-N99,0)</f>
        <v>0</v>
      </c>
      <c r="P99" s="157">
        <f t="shared" ref="P99:P130" si="24">+O99-M99</f>
        <v>0</v>
      </c>
      <c r="Q99" s="1"/>
    </row>
    <row r="100" spans="1:17" ht="13.5" thickBot="1">
      <c r="B100" s="9" t="str">
        <f t="shared" ref="B100:B131" si="25">IF(D100=F99,"","IU")</f>
        <v>IU</v>
      </c>
      <c r="C100" s="153">
        <f>IF(D93="","-",+C99+1)</f>
        <v>2013</v>
      </c>
      <c r="D100" s="357">
        <v>5205776.1785714282</v>
      </c>
      <c r="E100" s="360">
        <v>125440.16666666667</v>
      </c>
      <c r="F100" s="361">
        <v>5080336.0119047612</v>
      </c>
      <c r="G100" s="361">
        <v>5143056.0952380951</v>
      </c>
      <c r="H100" s="362">
        <v>821252.98086440889</v>
      </c>
      <c r="I100" s="363">
        <v>821252.98086440889</v>
      </c>
      <c r="J100" s="158">
        <v>0</v>
      </c>
      <c r="K100" s="158"/>
      <c r="L100" s="256">
        <f>H100</f>
        <v>821252.98086440889</v>
      </c>
      <c r="M100" s="172">
        <f>IF(L100&lt;&gt;0,+H100-L100,0)</f>
        <v>0</v>
      </c>
      <c r="N100" s="256">
        <f>I100</f>
        <v>821252.98086440889</v>
      </c>
      <c r="O100" s="157">
        <f>IF(N100&lt;&gt;0,+I100-N100,0)</f>
        <v>0</v>
      </c>
      <c r="P100" s="157">
        <f>+O100-M100</f>
        <v>0</v>
      </c>
      <c r="Q100" s="1"/>
    </row>
    <row r="101" spans="1:17" ht="13.5" thickBot="1">
      <c r="B101" s="9" t="str">
        <f t="shared" si="25"/>
        <v/>
      </c>
      <c r="C101" s="153">
        <f>IF(D93="","-",+C100+1)</f>
        <v>2014</v>
      </c>
      <c r="D101" s="357">
        <v>5080336.0119047612</v>
      </c>
      <c r="E101" s="360">
        <v>125440.16666666667</v>
      </c>
      <c r="F101" s="361">
        <v>4954895.8452380942</v>
      </c>
      <c r="G101" s="361">
        <v>5017615.9285714272</v>
      </c>
      <c r="H101" s="362">
        <v>807451.88344744302</v>
      </c>
      <c r="I101" s="363">
        <v>807451.88344744302</v>
      </c>
      <c r="J101" s="158">
        <v>0</v>
      </c>
      <c r="K101" s="158"/>
      <c r="L101" s="256">
        <f>H101</f>
        <v>807451.88344744302</v>
      </c>
      <c r="M101" s="172">
        <f>IF(L101&lt;&gt;0,+H101-L101,0)</f>
        <v>0</v>
      </c>
      <c r="N101" s="256">
        <f>I101</f>
        <v>807451.88344744302</v>
      </c>
      <c r="O101" s="157">
        <f>IF(N101&lt;&gt;0,+I101-N101,0)</f>
        <v>0</v>
      </c>
      <c r="P101" s="157">
        <f>+O101-M101</f>
        <v>0</v>
      </c>
      <c r="Q101" s="1"/>
    </row>
    <row r="102" spans="1:17" ht="13.5" thickBot="1">
      <c r="B102" s="9" t="str">
        <f t="shared" si="25"/>
        <v>IU</v>
      </c>
      <c r="C102" s="153">
        <f>IF(D93="","-",+C101+1)</f>
        <v>2015</v>
      </c>
      <c r="D102" s="357">
        <v>4954887.8452380951</v>
      </c>
      <c r="E102" s="360">
        <v>125439.97619047618</v>
      </c>
      <c r="F102" s="361">
        <v>4829447.8690476194</v>
      </c>
      <c r="G102" s="361">
        <v>4892167.8571428573</v>
      </c>
      <c r="H102" s="362">
        <v>770075.44510229141</v>
      </c>
      <c r="I102" s="363">
        <v>770075.44510229141</v>
      </c>
      <c r="J102" s="158">
        <f t="shared" si="21"/>
        <v>0</v>
      </c>
      <c r="K102" s="158"/>
      <c r="L102" s="256">
        <f>H102</f>
        <v>770075.44510229141</v>
      </c>
      <c r="M102" s="172">
        <f>IF(L102&lt;&gt;0,+H102-L102,0)</f>
        <v>0</v>
      </c>
      <c r="N102" s="256">
        <f>I102</f>
        <v>770075.44510229141</v>
      </c>
      <c r="O102" s="157">
        <f>IF(N102&lt;&gt;0,+I102-N102,0)</f>
        <v>0</v>
      </c>
      <c r="P102" s="157">
        <f>+O102-M102</f>
        <v>0</v>
      </c>
      <c r="Q102" s="1"/>
    </row>
    <row r="103" spans="1:17">
      <c r="B103" s="9" t="str">
        <f t="shared" si="25"/>
        <v/>
      </c>
      <c r="C103" s="153">
        <f>IF(D93="","-",+C102+1)</f>
        <v>2016</v>
      </c>
      <c r="D103" s="357">
        <v>4829447.8690476194</v>
      </c>
      <c r="E103" s="360">
        <v>122522.76744186046</v>
      </c>
      <c r="F103" s="361">
        <v>4706925.101605759</v>
      </c>
      <c r="G103" s="361">
        <v>4768186.4853266887</v>
      </c>
      <c r="H103" s="362">
        <v>727843.98591080913</v>
      </c>
      <c r="I103" s="363">
        <v>727843.98591080913</v>
      </c>
      <c r="J103" s="158">
        <v>0</v>
      </c>
      <c r="K103" s="158"/>
      <c r="L103" s="256">
        <f>H103</f>
        <v>727843.98591080913</v>
      </c>
      <c r="M103" s="172">
        <f>IF(L103&lt;&gt;0,+H103-L103,0)</f>
        <v>0</v>
      </c>
      <c r="N103" s="256">
        <f>I103</f>
        <v>727843.98591080913</v>
      </c>
      <c r="O103" s="157">
        <f>IF(N103&lt;&gt;0,+I103-N103,0)</f>
        <v>0</v>
      </c>
      <c r="P103" s="157">
        <f>+O103-M103</f>
        <v>0</v>
      </c>
      <c r="Q103" s="1"/>
    </row>
    <row r="104" spans="1:17">
      <c r="B104" s="9" t="str">
        <f t="shared" si="25"/>
        <v/>
      </c>
      <c r="C104" s="153">
        <f>IF(D93="","-",+C103+1)</f>
        <v>2017</v>
      </c>
      <c r="D104" s="154">
        <f>IF(F103+SUM(E$99:E103)=D$92,F103,D$92-SUM(E$99:E103))</f>
        <v>4706925.101605759</v>
      </c>
      <c r="E104" s="160">
        <f>IF(+J96&lt;F103,J96,D104)</f>
        <v>125439.97619047618</v>
      </c>
      <c r="F104" s="159">
        <f t="shared" ref="F104:F131" si="26">+D104-E104</f>
        <v>4581485.1254152833</v>
      </c>
      <c r="G104" s="159">
        <f t="shared" ref="G104:G130" si="27">+(F104+D104)/2</f>
        <v>4644205.1135105211</v>
      </c>
      <c r="H104" s="163">
        <f t="shared" ref="H104:H130" si="28">+J$94*G104+E104</f>
        <v>689578.34111200261</v>
      </c>
      <c r="I104" s="253">
        <f t="shared" ref="I104:I130" si="29">+J$95*G104+E104</f>
        <v>689578.34111200261</v>
      </c>
      <c r="J104" s="158">
        <f t="shared" si="21"/>
        <v>0</v>
      </c>
      <c r="K104" s="158"/>
      <c r="L104" s="334"/>
      <c r="M104" s="158">
        <f t="shared" si="22"/>
        <v>0</v>
      </c>
      <c r="N104" s="334"/>
      <c r="O104" s="158">
        <f t="shared" si="23"/>
        <v>0</v>
      </c>
      <c r="P104" s="158">
        <f t="shared" si="24"/>
        <v>0</v>
      </c>
      <c r="Q104" s="1"/>
    </row>
    <row r="105" spans="1:17">
      <c r="B105" s="9" t="str">
        <f t="shared" si="25"/>
        <v/>
      </c>
      <c r="C105" s="153">
        <f>IF(D93="","-",+C104+1)</f>
        <v>2018</v>
      </c>
      <c r="D105" s="154">
        <f>IF(F104+SUM(E$99:E104)=D$92,F104,D$92-SUM(E$99:E104))</f>
        <v>4581485.1254152833</v>
      </c>
      <c r="E105" s="160">
        <f>IF(+J96&lt;F104,J96,D105)</f>
        <v>125439.97619047618</v>
      </c>
      <c r="F105" s="159">
        <f t="shared" si="26"/>
        <v>4456045.1492248075</v>
      </c>
      <c r="G105" s="159">
        <f t="shared" si="27"/>
        <v>4518765.1373200454</v>
      </c>
      <c r="H105" s="163">
        <f t="shared" si="28"/>
        <v>674340.96435230144</v>
      </c>
      <c r="I105" s="253">
        <f t="shared" si="29"/>
        <v>674340.96435230144</v>
      </c>
      <c r="J105" s="158">
        <f t="shared" si="21"/>
        <v>0</v>
      </c>
      <c r="K105" s="158"/>
      <c r="L105" s="334"/>
      <c r="M105" s="158">
        <f t="shared" si="22"/>
        <v>0</v>
      </c>
      <c r="N105" s="334"/>
      <c r="O105" s="158">
        <f t="shared" si="23"/>
        <v>0</v>
      </c>
      <c r="P105" s="158">
        <f t="shared" si="24"/>
        <v>0</v>
      </c>
      <c r="Q105" s="1"/>
    </row>
    <row r="106" spans="1:17">
      <c r="B106" s="9" t="str">
        <f t="shared" si="25"/>
        <v/>
      </c>
      <c r="C106" s="153">
        <f>IF(D93="","-",+C105+1)</f>
        <v>2019</v>
      </c>
      <c r="D106" s="154">
        <f>IF(F105+SUM(E$99:E105)=D$92,F105,D$92-SUM(E$99:E105))</f>
        <v>4456045.1492248075</v>
      </c>
      <c r="E106" s="160">
        <f>IF(+J96&lt;F105,J96,D106)</f>
        <v>125439.97619047618</v>
      </c>
      <c r="F106" s="159">
        <f t="shared" si="26"/>
        <v>4330605.1730343318</v>
      </c>
      <c r="G106" s="159">
        <f t="shared" si="27"/>
        <v>4393325.1611295696</v>
      </c>
      <c r="H106" s="163">
        <f t="shared" si="28"/>
        <v>659103.58759260038</v>
      </c>
      <c r="I106" s="253">
        <f t="shared" si="29"/>
        <v>659103.58759260038</v>
      </c>
      <c r="J106" s="158">
        <f t="shared" si="21"/>
        <v>0</v>
      </c>
      <c r="K106" s="158"/>
      <c r="L106" s="334"/>
      <c r="M106" s="158">
        <f t="shared" si="22"/>
        <v>0</v>
      </c>
      <c r="N106" s="334"/>
      <c r="O106" s="158">
        <f t="shared" si="23"/>
        <v>0</v>
      </c>
      <c r="P106" s="158">
        <f t="shared" si="24"/>
        <v>0</v>
      </c>
      <c r="Q106" s="1"/>
    </row>
    <row r="107" spans="1:17">
      <c r="B107" s="9" t="str">
        <f t="shared" si="25"/>
        <v/>
      </c>
      <c r="C107" s="153">
        <f>IF(D93="","-",+C106+1)</f>
        <v>2020</v>
      </c>
      <c r="D107" s="154">
        <f>IF(F106+SUM(E$99:E106)=D$92,F106,D$92-SUM(E$99:E106))</f>
        <v>4330605.1730343318</v>
      </c>
      <c r="E107" s="160">
        <f>IF(+J96&lt;F106,J96,D107)</f>
        <v>125439.97619047618</v>
      </c>
      <c r="F107" s="159">
        <f t="shared" si="26"/>
        <v>4205165.196843856</v>
      </c>
      <c r="G107" s="159">
        <f t="shared" si="27"/>
        <v>4267885.1849390939</v>
      </c>
      <c r="H107" s="163">
        <f t="shared" si="28"/>
        <v>643866.2108328992</v>
      </c>
      <c r="I107" s="253">
        <f t="shared" si="29"/>
        <v>643866.2108328992</v>
      </c>
      <c r="J107" s="158">
        <f t="shared" si="21"/>
        <v>0</v>
      </c>
      <c r="K107" s="158"/>
      <c r="L107" s="334"/>
      <c r="M107" s="158">
        <f t="shared" si="22"/>
        <v>0</v>
      </c>
      <c r="N107" s="334"/>
      <c r="O107" s="158">
        <f t="shared" si="23"/>
        <v>0</v>
      </c>
      <c r="P107" s="158">
        <f t="shared" si="24"/>
        <v>0</v>
      </c>
      <c r="Q107" s="1"/>
    </row>
    <row r="108" spans="1:17">
      <c r="B108" s="9" t="str">
        <f t="shared" si="25"/>
        <v/>
      </c>
      <c r="C108" s="153">
        <f>IF(D93="","-",+C107+1)</f>
        <v>2021</v>
      </c>
      <c r="D108" s="154">
        <f>IF(F107+SUM(E$99:E107)=D$92,F107,D$92-SUM(E$99:E107))</f>
        <v>4205165.196843856</v>
      </c>
      <c r="E108" s="160">
        <f>IF(+J96&lt;F107,J96,D108)</f>
        <v>125439.97619047618</v>
      </c>
      <c r="F108" s="159">
        <f t="shared" si="26"/>
        <v>4079725.2206533798</v>
      </c>
      <c r="G108" s="159">
        <f t="shared" si="27"/>
        <v>4142445.2087486181</v>
      </c>
      <c r="H108" s="163">
        <f t="shared" si="28"/>
        <v>628628.83407319814</v>
      </c>
      <c r="I108" s="253">
        <f t="shared" si="29"/>
        <v>628628.83407319814</v>
      </c>
      <c r="J108" s="158">
        <f t="shared" si="21"/>
        <v>0</v>
      </c>
      <c r="K108" s="158"/>
      <c r="L108" s="334"/>
      <c r="M108" s="158">
        <f t="shared" si="22"/>
        <v>0</v>
      </c>
      <c r="N108" s="334"/>
      <c r="O108" s="158">
        <f t="shared" si="23"/>
        <v>0</v>
      </c>
      <c r="P108" s="158">
        <f t="shared" si="24"/>
        <v>0</v>
      </c>
      <c r="Q108" s="1"/>
    </row>
    <row r="109" spans="1:17">
      <c r="B109" s="9" t="str">
        <f t="shared" si="25"/>
        <v/>
      </c>
      <c r="C109" s="153">
        <f>IF(D93="","-",+C108+1)</f>
        <v>2022</v>
      </c>
      <c r="D109" s="154">
        <f>IF(F108+SUM(E$99:E108)=D$92,F108,D$92-SUM(E$99:E108))</f>
        <v>4079725.2206533798</v>
      </c>
      <c r="E109" s="160">
        <f>IF(+J96&lt;F108,J96,D109)</f>
        <v>125439.97619047618</v>
      </c>
      <c r="F109" s="159">
        <f t="shared" si="26"/>
        <v>3954285.2444629036</v>
      </c>
      <c r="G109" s="159">
        <f t="shared" si="27"/>
        <v>4017005.2325581415</v>
      </c>
      <c r="H109" s="163">
        <f t="shared" si="28"/>
        <v>613391.45731349697</v>
      </c>
      <c r="I109" s="253">
        <f t="shared" si="29"/>
        <v>613391.45731349697</v>
      </c>
      <c r="J109" s="158">
        <f t="shared" si="21"/>
        <v>0</v>
      </c>
      <c r="K109" s="158"/>
      <c r="L109" s="334"/>
      <c r="M109" s="158">
        <f t="shared" si="22"/>
        <v>0</v>
      </c>
      <c r="N109" s="334"/>
      <c r="O109" s="158">
        <f t="shared" si="23"/>
        <v>0</v>
      </c>
      <c r="P109" s="158">
        <f t="shared" si="24"/>
        <v>0</v>
      </c>
      <c r="Q109" s="1"/>
    </row>
    <row r="110" spans="1:17">
      <c r="B110" s="9" t="str">
        <f t="shared" si="25"/>
        <v/>
      </c>
      <c r="C110" s="153">
        <f>IF(D93="","-",+C109+1)</f>
        <v>2023</v>
      </c>
      <c r="D110" s="154">
        <f>IF(F109+SUM(E$99:E109)=D$92,F109,D$92-SUM(E$99:E109))</f>
        <v>3954285.2444629036</v>
      </c>
      <c r="E110" s="160">
        <f>IF(+J96&lt;F109,J96,D110)</f>
        <v>125439.97619047618</v>
      </c>
      <c r="F110" s="159">
        <f t="shared" si="26"/>
        <v>3828845.2682724274</v>
      </c>
      <c r="G110" s="159">
        <f t="shared" si="27"/>
        <v>3891565.2563676657</v>
      </c>
      <c r="H110" s="163">
        <f t="shared" si="28"/>
        <v>598154.08055379591</v>
      </c>
      <c r="I110" s="253">
        <f t="shared" si="29"/>
        <v>598154.08055379591</v>
      </c>
      <c r="J110" s="158">
        <f t="shared" si="21"/>
        <v>0</v>
      </c>
      <c r="K110" s="158"/>
      <c r="L110" s="334"/>
      <c r="M110" s="158">
        <f t="shared" si="22"/>
        <v>0</v>
      </c>
      <c r="N110" s="334"/>
      <c r="O110" s="158">
        <f t="shared" si="23"/>
        <v>0</v>
      </c>
      <c r="P110" s="158">
        <f t="shared" si="24"/>
        <v>0</v>
      </c>
      <c r="Q110" s="1"/>
    </row>
    <row r="111" spans="1:17">
      <c r="B111" s="9" t="str">
        <f t="shared" si="25"/>
        <v/>
      </c>
      <c r="C111" s="153">
        <f>IF(D93="","-",+C110+1)</f>
        <v>2024</v>
      </c>
      <c r="D111" s="154">
        <f>IF(F110+SUM(E$99:E110)=D$92,F110,D$92-SUM(E$99:E110))</f>
        <v>3828845.2682724274</v>
      </c>
      <c r="E111" s="160">
        <f>IF(+J96&lt;F110,J96,D111)</f>
        <v>125439.97619047618</v>
      </c>
      <c r="F111" s="159">
        <f t="shared" si="26"/>
        <v>3703405.2920819512</v>
      </c>
      <c r="G111" s="159">
        <f t="shared" si="27"/>
        <v>3766125.280177189</v>
      </c>
      <c r="H111" s="163">
        <f t="shared" si="28"/>
        <v>582916.70379409462</v>
      </c>
      <c r="I111" s="253">
        <f t="shared" si="29"/>
        <v>582916.70379409462</v>
      </c>
      <c r="J111" s="158">
        <f t="shared" si="21"/>
        <v>0</v>
      </c>
      <c r="K111" s="158"/>
      <c r="L111" s="334"/>
      <c r="M111" s="158">
        <f t="shared" si="22"/>
        <v>0</v>
      </c>
      <c r="N111" s="334"/>
      <c r="O111" s="158">
        <f t="shared" si="23"/>
        <v>0</v>
      </c>
      <c r="P111" s="158">
        <f t="shared" si="24"/>
        <v>0</v>
      </c>
      <c r="Q111" s="1"/>
    </row>
    <row r="112" spans="1:17">
      <c r="B112" s="9" t="str">
        <f t="shared" si="25"/>
        <v/>
      </c>
      <c r="C112" s="153">
        <f>IF(D93="","-",+C111+1)</f>
        <v>2025</v>
      </c>
      <c r="D112" s="154">
        <f>IF(F111+SUM(E$99:E111)=D$92,F111,D$92-SUM(E$99:E111))</f>
        <v>3703405.2920819512</v>
      </c>
      <c r="E112" s="160">
        <f>IF(+J96&lt;F111,J96,D112)</f>
        <v>125439.97619047618</v>
      </c>
      <c r="F112" s="159">
        <f t="shared" si="26"/>
        <v>3577965.315891475</v>
      </c>
      <c r="G112" s="159">
        <f t="shared" si="27"/>
        <v>3640685.3039867133</v>
      </c>
      <c r="H112" s="163">
        <f t="shared" si="28"/>
        <v>567679.32703439356</v>
      </c>
      <c r="I112" s="253">
        <f t="shared" si="29"/>
        <v>567679.32703439356</v>
      </c>
      <c r="J112" s="158">
        <f t="shared" si="21"/>
        <v>0</v>
      </c>
      <c r="K112" s="158"/>
      <c r="L112" s="334"/>
      <c r="M112" s="158">
        <f t="shared" si="22"/>
        <v>0</v>
      </c>
      <c r="N112" s="334"/>
      <c r="O112" s="158">
        <f t="shared" si="23"/>
        <v>0</v>
      </c>
      <c r="P112" s="158">
        <f t="shared" si="24"/>
        <v>0</v>
      </c>
      <c r="Q112" s="1"/>
    </row>
    <row r="113" spans="2:17">
      <c r="B113" s="9" t="str">
        <f t="shared" si="25"/>
        <v/>
      </c>
      <c r="C113" s="153">
        <f>IF(D93="","-",+C112+1)</f>
        <v>2026</v>
      </c>
      <c r="D113" s="154">
        <f>IF(F112+SUM(E$99:E112)=D$92,F112,D$92-SUM(E$99:E112))</f>
        <v>3577965.315891475</v>
      </c>
      <c r="E113" s="160">
        <f>IF(+J96&lt;F112,J96,D113)</f>
        <v>125439.97619047618</v>
      </c>
      <c r="F113" s="159">
        <f t="shared" si="26"/>
        <v>3452525.3397009987</v>
      </c>
      <c r="G113" s="159">
        <f t="shared" si="27"/>
        <v>3515245.3277962366</v>
      </c>
      <c r="H113" s="163">
        <f t="shared" si="28"/>
        <v>552441.95027469238</v>
      </c>
      <c r="I113" s="253">
        <f t="shared" si="29"/>
        <v>552441.95027469238</v>
      </c>
      <c r="J113" s="158">
        <f t="shared" si="21"/>
        <v>0</v>
      </c>
      <c r="K113" s="158"/>
      <c r="L113" s="334"/>
      <c r="M113" s="158">
        <f t="shared" si="22"/>
        <v>0</v>
      </c>
      <c r="N113" s="334"/>
      <c r="O113" s="158">
        <f t="shared" si="23"/>
        <v>0</v>
      </c>
      <c r="P113" s="158">
        <f t="shared" si="24"/>
        <v>0</v>
      </c>
      <c r="Q113" s="1"/>
    </row>
    <row r="114" spans="2:17">
      <c r="B114" s="9" t="str">
        <f t="shared" si="25"/>
        <v/>
      </c>
      <c r="C114" s="153">
        <f>IF(D93="","-",+C113+1)</f>
        <v>2027</v>
      </c>
      <c r="D114" s="154">
        <f>IF(F113+SUM(E$99:E113)=D$92,F113,D$92-SUM(E$99:E113))</f>
        <v>3452525.3397009987</v>
      </c>
      <c r="E114" s="160">
        <f>IF(+J96&lt;F113,J96,D114)</f>
        <v>125439.97619047618</v>
      </c>
      <c r="F114" s="159">
        <f t="shared" si="26"/>
        <v>3327085.3635105225</v>
      </c>
      <c r="G114" s="159">
        <f t="shared" si="27"/>
        <v>3389805.3516057609</v>
      </c>
      <c r="H114" s="163">
        <f t="shared" si="28"/>
        <v>537204.57351499132</v>
      </c>
      <c r="I114" s="253">
        <f t="shared" si="29"/>
        <v>537204.57351499132</v>
      </c>
      <c r="J114" s="158">
        <f t="shared" si="21"/>
        <v>0</v>
      </c>
      <c r="K114" s="158"/>
      <c r="L114" s="334"/>
      <c r="M114" s="158">
        <f t="shared" si="22"/>
        <v>0</v>
      </c>
      <c r="N114" s="334"/>
      <c r="O114" s="158">
        <f t="shared" si="23"/>
        <v>0</v>
      </c>
      <c r="P114" s="158">
        <f t="shared" si="24"/>
        <v>0</v>
      </c>
      <c r="Q114" s="1"/>
    </row>
    <row r="115" spans="2:17">
      <c r="B115" s="9" t="str">
        <f t="shared" si="25"/>
        <v/>
      </c>
      <c r="C115" s="153">
        <f>IF(D93="","-",+C114+1)</f>
        <v>2028</v>
      </c>
      <c r="D115" s="154">
        <f>IF(F114+SUM(E$99:E114)=D$92,F114,D$92-SUM(E$99:E114))</f>
        <v>3327085.3635105225</v>
      </c>
      <c r="E115" s="160">
        <f>IF(+J96&lt;F114,J96,D115)</f>
        <v>125439.97619047618</v>
      </c>
      <c r="F115" s="159">
        <f t="shared" si="26"/>
        <v>3201645.3873200463</v>
      </c>
      <c r="G115" s="159">
        <f t="shared" si="27"/>
        <v>3264365.3754152842</v>
      </c>
      <c r="H115" s="163">
        <f t="shared" si="28"/>
        <v>521967.19675529003</v>
      </c>
      <c r="I115" s="253">
        <f t="shared" si="29"/>
        <v>521967.19675529003</v>
      </c>
      <c r="J115" s="158">
        <f t="shared" si="21"/>
        <v>0</v>
      </c>
      <c r="K115" s="158"/>
      <c r="L115" s="334"/>
      <c r="M115" s="158">
        <f t="shared" si="22"/>
        <v>0</v>
      </c>
      <c r="N115" s="334"/>
      <c r="O115" s="158">
        <f t="shared" si="23"/>
        <v>0</v>
      </c>
      <c r="P115" s="158">
        <f t="shared" si="24"/>
        <v>0</v>
      </c>
      <c r="Q115" s="1"/>
    </row>
    <row r="116" spans="2:17">
      <c r="B116" s="9" t="str">
        <f t="shared" si="25"/>
        <v/>
      </c>
      <c r="C116" s="153">
        <f>IF(D93="","-",+C115+1)</f>
        <v>2029</v>
      </c>
      <c r="D116" s="154">
        <f>IF(F115+SUM(E$99:E115)=D$92,F115,D$92-SUM(E$99:E115))</f>
        <v>3201645.3873200463</v>
      </c>
      <c r="E116" s="160">
        <f>IF(+J96&lt;F115,J96,D116)</f>
        <v>125439.97619047618</v>
      </c>
      <c r="F116" s="159">
        <f t="shared" si="26"/>
        <v>3076205.4111295701</v>
      </c>
      <c r="G116" s="159">
        <f t="shared" si="27"/>
        <v>3138925.3992248084</v>
      </c>
      <c r="H116" s="163">
        <f t="shared" si="28"/>
        <v>506729.81999558897</v>
      </c>
      <c r="I116" s="253">
        <f t="shared" si="29"/>
        <v>506729.81999558897</v>
      </c>
      <c r="J116" s="158">
        <f t="shared" si="21"/>
        <v>0</v>
      </c>
      <c r="K116" s="158"/>
      <c r="L116" s="334"/>
      <c r="M116" s="158">
        <f t="shared" si="22"/>
        <v>0</v>
      </c>
      <c r="N116" s="334"/>
      <c r="O116" s="158">
        <f t="shared" si="23"/>
        <v>0</v>
      </c>
      <c r="P116" s="158">
        <f t="shared" si="24"/>
        <v>0</v>
      </c>
      <c r="Q116" s="1"/>
    </row>
    <row r="117" spans="2:17">
      <c r="B117" s="9" t="str">
        <f t="shared" si="25"/>
        <v/>
      </c>
      <c r="C117" s="153">
        <f>IF(D93="","-",+C116+1)</f>
        <v>2030</v>
      </c>
      <c r="D117" s="154">
        <f>IF(F116+SUM(E$99:E116)=D$92,F116,D$92-SUM(E$99:E116))</f>
        <v>3076205.4111295701</v>
      </c>
      <c r="E117" s="160">
        <f>IF(+J96&lt;F116,J96,D117)</f>
        <v>125439.97619047618</v>
      </c>
      <c r="F117" s="159">
        <f t="shared" si="26"/>
        <v>2950765.4349390939</v>
      </c>
      <c r="G117" s="159">
        <f t="shared" si="27"/>
        <v>3013485.4230343318</v>
      </c>
      <c r="H117" s="163">
        <f t="shared" si="28"/>
        <v>491492.4432358878</v>
      </c>
      <c r="I117" s="253">
        <f t="shared" si="29"/>
        <v>491492.4432358878</v>
      </c>
      <c r="J117" s="158">
        <f t="shared" si="21"/>
        <v>0</v>
      </c>
      <c r="K117" s="158"/>
      <c r="L117" s="334"/>
      <c r="M117" s="158">
        <f t="shared" si="22"/>
        <v>0</v>
      </c>
      <c r="N117" s="334"/>
      <c r="O117" s="158">
        <f t="shared" si="23"/>
        <v>0</v>
      </c>
      <c r="P117" s="158">
        <f t="shared" si="24"/>
        <v>0</v>
      </c>
      <c r="Q117" s="1"/>
    </row>
    <row r="118" spans="2:17">
      <c r="B118" s="9" t="str">
        <f t="shared" si="25"/>
        <v/>
      </c>
      <c r="C118" s="153">
        <f>IF(D93="","-",+C117+1)</f>
        <v>2031</v>
      </c>
      <c r="D118" s="154">
        <f>IF(F117+SUM(E$99:E117)=D$92,F117,D$92-SUM(E$99:E117))</f>
        <v>2950765.4349390939</v>
      </c>
      <c r="E118" s="160">
        <f>IF(+J96&lt;F117,J96,D118)</f>
        <v>125439.97619047618</v>
      </c>
      <c r="F118" s="159">
        <f t="shared" si="26"/>
        <v>2825325.4587486177</v>
      </c>
      <c r="G118" s="159">
        <f t="shared" si="27"/>
        <v>2888045.446843856</v>
      </c>
      <c r="H118" s="163">
        <f t="shared" si="28"/>
        <v>476255.06647618674</v>
      </c>
      <c r="I118" s="253">
        <f t="shared" si="29"/>
        <v>476255.06647618674</v>
      </c>
      <c r="J118" s="158">
        <f t="shared" si="21"/>
        <v>0</v>
      </c>
      <c r="K118" s="158"/>
      <c r="L118" s="334"/>
      <c r="M118" s="158">
        <f t="shared" si="22"/>
        <v>0</v>
      </c>
      <c r="N118" s="334"/>
      <c r="O118" s="158">
        <f t="shared" si="23"/>
        <v>0</v>
      </c>
      <c r="P118" s="158">
        <f t="shared" si="24"/>
        <v>0</v>
      </c>
      <c r="Q118" s="1"/>
    </row>
    <row r="119" spans="2:17">
      <c r="B119" s="9" t="str">
        <f t="shared" si="25"/>
        <v/>
      </c>
      <c r="C119" s="153">
        <f>IF(D93="","-",+C118+1)</f>
        <v>2032</v>
      </c>
      <c r="D119" s="154">
        <f>IF(F118+SUM(E$99:E118)=D$92,F118,D$92-SUM(E$99:E118))</f>
        <v>2825325.4587486177</v>
      </c>
      <c r="E119" s="160">
        <f>IF(+J96&lt;F118,J96,D119)</f>
        <v>125439.97619047618</v>
      </c>
      <c r="F119" s="159">
        <f t="shared" si="26"/>
        <v>2699885.4825581415</v>
      </c>
      <c r="G119" s="159">
        <f t="shared" si="27"/>
        <v>2762605.4706533793</v>
      </c>
      <c r="H119" s="163">
        <f t="shared" si="28"/>
        <v>461017.68971648545</v>
      </c>
      <c r="I119" s="253">
        <f t="shared" si="29"/>
        <v>461017.68971648545</v>
      </c>
      <c r="J119" s="158">
        <f t="shared" si="21"/>
        <v>0</v>
      </c>
      <c r="K119" s="158"/>
      <c r="L119" s="334"/>
      <c r="M119" s="158">
        <f t="shared" si="22"/>
        <v>0</v>
      </c>
      <c r="N119" s="334"/>
      <c r="O119" s="158">
        <f t="shared" si="23"/>
        <v>0</v>
      </c>
      <c r="P119" s="158">
        <f t="shared" si="24"/>
        <v>0</v>
      </c>
      <c r="Q119" s="1"/>
    </row>
    <row r="120" spans="2:17">
      <c r="B120" s="9" t="str">
        <f t="shared" si="25"/>
        <v/>
      </c>
      <c r="C120" s="153">
        <f>IF(D93="","-",+C119+1)</f>
        <v>2033</v>
      </c>
      <c r="D120" s="154">
        <f>IF(F119+SUM(E$99:E119)=D$92,F119,D$92-SUM(E$99:E119))</f>
        <v>2699885.4825581415</v>
      </c>
      <c r="E120" s="160">
        <f>IF(+J96&lt;F119,J96,D120)</f>
        <v>125439.97619047618</v>
      </c>
      <c r="F120" s="159">
        <f t="shared" si="26"/>
        <v>2574445.5063676652</v>
      </c>
      <c r="G120" s="159">
        <f t="shared" si="27"/>
        <v>2637165.4944629036</v>
      </c>
      <c r="H120" s="163">
        <f t="shared" si="28"/>
        <v>445780.31295678439</v>
      </c>
      <c r="I120" s="253">
        <f t="shared" si="29"/>
        <v>445780.31295678439</v>
      </c>
      <c r="J120" s="158">
        <f t="shared" si="21"/>
        <v>0</v>
      </c>
      <c r="K120" s="158"/>
      <c r="L120" s="334"/>
      <c r="M120" s="158">
        <f t="shared" si="22"/>
        <v>0</v>
      </c>
      <c r="N120" s="334"/>
      <c r="O120" s="158">
        <f t="shared" si="23"/>
        <v>0</v>
      </c>
      <c r="P120" s="158">
        <f t="shared" si="24"/>
        <v>0</v>
      </c>
      <c r="Q120" s="1"/>
    </row>
    <row r="121" spans="2:17">
      <c r="B121" s="9" t="str">
        <f t="shared" si="25"/>
        <v/>
      </c>
      <c r="C121" s="153">
        <f>IF(D93="","-",+C120+1)</f>
        <v>2034</v>
      </c>
      <c r="D121" s="154">
        <f>IF(F120+SUM(E$99:E120)=D$92,F120,D$92-SUM(E$99:E120))</f>
        <v>2574445.5063676652</v>
      </c>
      <c r="E121" s="160">
        <f>IF(+J96&lt;F120,J96,D121)</f>
        <v>125439.97619047618</v>
      </c>
      <c r="F121" s="159">
        <f t="shared" si="26"/>
        <v>2449005.530177189</v>
      </c>
      <c r="G121" s="159">
        <f t="shared" si="27"/>
        <v>2511725.5182724269</v>
      </c>
      <c r="H121" s="163">
        <f t="shared" si="28"/>
        <v>430542.93619708321</v>
      </c>
      <c r="I121" s="253">
        <f t="shared" si="29"/>
        <v>430542.93619708321</v>
      </c>
      <c r="J121" s="158">
        <f t="shared" si="21"/>
        <v>0</v>
      </c>
      <c r="K121" s="158"/>
      <c r="L121" s="334"/>
      <c r="M121" s="158">
        <f t="shared" si="22"/>
        <v>0</v>
      </c>
      <c r="N121" s="334"/>
      <c r="O121" s="158">
        <f t="shared" si="23"/>
        <v>0</v>
      </c>
      <c r="P121" s="158">
        <f t="shared" si="24"/>
        <v>0</v>
      </c>
      <c r="Q121" s="1"/>
    </row>
    <row r="122" spans="2:17">
      <c r="B122" s="9" t="str">
        <f t="shared" si="25"/>
        <v/>
      </c>
      <c r="C122" s="153">
        <f>IF(D93="","-",+C121+1)</f>
        <v>2035</v>
      </c>
      <c r="D122" s="154">
        <f>IF(F121+SUM(E$99:E121)=D$92,F121,D$92-SUM(E$99:E121))</f>
        <v>2449005.530177189</v>
      </c>
      <c r="E122" s="160">
        <f>IF(+J96&lt;F121,J96,D122)</f>
        <v>125439.97619047618</v>
      </c>
      <c r="F122" s="159">
        <f t="shared" si="26"/>
        <v>2323565.5539867128</v>
      </c>
      <c r="G122" s="159">
        <f t="shared" si="27"/>
        <v>2386285.5420819512</v>
      </c>
      <c r="H122" s="163">
        <f t="shared" si="28"/>
        <v>415305.55943738215</v>
      </c>
      <c r="I122" s="253">
        <f t="shared" si="29"/>
        <v>415305.55943738215</v>
      </c>
      <c r="J122" s="158">
        <f t="shared" si="21"/>
        <v>0</v>
      </c>
      <c r="K122" s="158"/>
      <c r="L122" s="334"/>
      <c r="M122" s="158">
        <f t="shared" si="22"/>
        <v>0</v>
      </c>
      <c r="N122" s="334"/>
      <c r="O122" s="158">
        <f t="shared" si="23"/>
        <v>0</v>
      </c>
      <c r="P122" s="158">
        <f t="shared" si="24"/>
        <v>0</v>
      </c>
      <c r="Q122" s="1"/>
    </row>
    <row r="123" spans="2:17">
      <c r="B123" s="9" t="str">
        <f t="shared" si="25"/>
        <v/>
      </c>
      <c r="C123" s="153">
        <f>IF(D93="","-",+C122+1)</f>
        <v>2036</v>
      </c>
      <c r="D123" s="154">
        <f>IF(F122+SUM(E$99:E122)=D$92,F122,D$92-SUM(E$99:E122))</f>
        <v>2323565.5539867128</v>
      </c>
      <c r="E123" s="160">
        <f>IF(+J96&lt;F122,J96,D123)</f>
        <v>125439.97619047618</v>
      </c>
      <c r="F123" s="159">
        <f t="shared" si="26"/>
        <v>2198125.5777962366</v>
      </c>
      <c r="G123" s="159">
        <f t="shared" si="27"/>
        <v>2260845.5658914745</v>
      </c>
      <c r="H123" s="163">
        <f t="shared" si="28"/>
        <v>400068.18267768086</v>
      </c>
      <c r="I123" s="253">
        <f t="shared" si="29"/>
        <v>400068.18267768086</v>
      </c>
      <c r="J123" s="158">
        <f t="shared" si="21"/>
        <v>0</v>
      </c>
      <c r="K123" s="158"/>
      <c r="L123" s="334"/>
      <c r="M123" s="158">
        <f t="shared" si="22"/>
        <v>0</v>
      </c>
      <c r="N123" s="334"/>
      <c r="O123" s="158">
        <f t="shared" si="23"/>
        <v>0</v>
      </c>
      <c r="P123" s="158">
        <f t="shared" si="24"/>
        <v>0</v>
      </c>
      <c r="Q123" s="1"/>
    </row>
    <row r="124" spans="2:17">
      <c r="B124" s="9" t="str">
        <f t="shared" si="25"/>
        <v/>
      </c>
      <c r="C124" s="153">
        <f>IF(D93="","-",+C123+1)</f>
        <v>2037</v>
      </c>
      <c r="D124" s="154">
        <f>IF(F123+SUM(E$99:E123)=D$92,F123,D$92-SUM(E$99:E123))</f>
        <v>2198125.5777962366</v>
      </c>
      <c r="E124" s="160">
        <f>IF(+J96&lt;F123,J96,D124)</f>
        <v>125439.97619047618</v>
      </c>
      <c r="F124" s="159">
        <f t="shared" si="26"/>
        <v>2072685.6016057604</v>
      </c>
      <c r="G124" s="159">
        <f t="shared" si="27"/>
        <v>2135405.5897009987</v>
      </c>
      <c r="H124" s="163">
        <f t="shared" si="28"/>
        <v>384830.8059179798</v>
      </c>
      <c r="I124" s="253">
        <f t="shared" si="29"/>
        <v>384830.8059179798</v>
      </c>
      <c r="J124" s="158">
        <f t="shared" si="21"/>
        <v>0</v>
      </c>
      <c r="K124" s="158"/>
      <c r="L124" s="334"/>
      <c r="M124" s="158">
        <f t="shared" si="22"/>
        <v>0</v>
      </c>
      <c r="N124" s="334"/>
      <c r="O124" s="158">
        <f t="shared" si="23"/>
        <v>0</v>
      </c>
      <c r="P124" s="158">
        <f t="shared" si="24"/>
        <v>0</v>
      </c>
      <c r="Q124" s="1"/>
    </row>
    <row r="125" spans="2:17">
      <c r="B125" s="9" t="str">
        <f t="shared" si="25"/>
        <v/>
      </c>
      <c r="C125" s="153">
        <f>IF(D93="","-",+C124+1)</f>
        <v>2038</v>
      </c>
      <c r="D125" s="154">
        <f>IF(F124+SUM(E$99:E124)=D$92,F124,D$92-SUM(E$99:E124))</f>
        <v>2072685.6016057604</v>
      </c>
      <c r="E125" s="160">
        <f>IF(+J96&lt;F124,J96,D125)</f>
        <v>125439.97619047618</v>
      </c>
      <c r="F125" s="159">
        <f t="shared" si="26"/>
        <v>1947245.6254152842</v>
      </c>
      <c r="G125" s="159">
        <f t="shared" si="27"/>
        <v>2009965.6135105223</v>
      </c>
      <c r="H125" s="163">
        <f t="shared" si="28"/>
        <v>369593.42915827862</v>
      </c>
      <c r="I125" s="253">
        <f t="shared" si="29"/>
        <v>369593.42915827862</v>
      </c>
      <c r="J125" s="158">
        <f t="shared" si="21"/>
        <v>0</v>
      </c>
      <c r="K125" s="158"/>
      <c r="L125" s="334"/>
      <c r="M125" s="158">
        <f t="shared" si="22"/>
        <v>0</v>
      </c>
      <c r="N125" s="334"/>
      <c r="O125" s="158">
        <f t="shared" si="23"/>
        <v>0</v>
      </c>
      <c r="P125" s="158">
        <f t="shared" si="24"/>
        <v>0</v>
      </c>
      <c r="Q125" s="1"/>
    </row>
    <row r="126" spans="2:17">
      <c r="B126" s="9" t="str">
        <f t="shared" si="25"/>
        <v/>
      </c>
      <c r="C126" s="153">
        <f>IF(D93="","-",+C125+1)</f>
        <v>2039</v>
      </c>
      <c r="D126" s="154">
        <f>IF(F125+SUM(E$99:E125)=D$92,F125,D$92-SUM(E$99:E125))</f>
        <v>1947245.6254152842</v>
      </c>
      <c r="E126" s="160">
        <f>IF(+J96&lt;F125,J96,D126)</f>
        <v>125439.97619047618</v>
      </c>
      <c r="F126" s="159">
        <f t="shared" si="26"/>
        <v>1821805.649224808</v>
      </c>
      <c r="G126" s="159">
        <f t="shared" si="27"/>
        <v>1884525.6373200461</v>
      </c>
      <c r="H126" s="163">
        <f t="shared" si="28"/>
        <v>354356.05239857745</v>
      </c>
      <c r="I126" s="253">
        <f t="shared" si="29"/>
        <v>354356.05239857745</v>
      </c>
      <c r="J126" s="158">
        <f t="shared" si="21"/>
        <v>0</v>
      </c>
      <c r="K126" s="158"/>
      <c r="L126" s="334"/>
      <c r="M126" s="158">
        <f t="shared" si="22"/>
        <v>0</v>
      </c>
      <c r="N126" s="334"/>
      <c r="O126" s="158">
        <f t="shared" si="23"/>
        <v>0</v>
      </c>
      <c r="P126" s="158">
        <f t="shared" si="24"/>
        <v>0</v>
      </c>
      <c r="Q126" s="1"/>
    </row>
    <row r="127" spans="2:17">
      <c r="B127" s="9" t="str">
        <f t="shared" si="25"/>
        <v/>
      </c>
      <c r="C127" s="153">
        <f>IF(D93="","-",+C126+1)</f>
        <v>2040</v>
      </c>
      <c r="D127" s="154">
        <f>IF(F126+SUM(E$99:E126)=D$92,F126,D$92-SUM(E$99:E126))</f>
        <v>1821805.649224808</v>
      </c>
      <c r="E127" s="160">
        <f>IF(+J96&lt;F126,J96,D127)</f>
        <v>125439.97619047618</v>
      </c>
      <c r="F127" s="159">
        <f t="shared" si="26"/>
        <v>1696365.6730343318</v>
      </c>
      <c r="G127" s="159">
        <f t="shared" si="27"/>
        <v>1759085.6611295699</v>
      </c>
      <c r="H127" s="163">
        <f t="shared" si="28"/>
        <v>339118.67563887633</v>
      </c>
      <c r="I127" s="253">
        <f t="shared" si="29"/>
        <v>339118.67563887633</v>
      </c>
      <c r="J127" s="158">
        <f t="shared" si="21"/>
        <v>0</v>
      </c>
      <c r="K127" s="158"/>
      <c r="L127" s="334"/>
      <c r="M127" s="158">
        <f t="shared" si="22"/>
        <v>0</v>
      </c>
      <c r="N127" s="334"/>
      <c r="O127" s="158">
        <f t="shared" si="23"/>
        <v>0</v>
      </c>
      <c r="P127" s="158">
        <f t="shared" si="24"/>
        <v>0</v>
      </c>
      <c r="Q127" s="1"/>
    </row>
    <row r="128" spans="2:17">
      <c r="B128" s="9" t="str">
        <f t="shared" si="25"/>
        <v/>
      </c>
      <c r="C128" s="153">
        <f>IF(D93="","-",+C127+1)</f>
        <v>2041</v>
      </c>
      <c r="D128" s="154">
        <f>IF(F127+SUM(E$99:E127)=D$92,F127,D$92-SUM(E$99:E127))</f>
        <v>1696365.6730343318</v>
      </c>
      <c r="E128" s="160">
        <f>IF(+J96&lt;F127,J96,D128)</f>
        <v>125439.97619047618</v>
      </c>
      <c r="F128" s="159">
        <f t="shared" si="26"/>
        <v>1570925.6968438555</v>
      </c>
      <c r="G128" s="159">
        <f t="shared" si="27"/>
        <v>1633645.6849390937</v>
      </c>
      <c r="H128" s="163">
        <f t="shared" si="28"/>
        <v>323881.29887917521</v>
      </c>
      <c r="I128" s="253">
        <f t="shared" si="29"/>
        <v>323881.29887917521</v>
      </c>
      <c r="J128" s="158">
        <f t="shared" si="21"/>
        <v>0</v>
      </c>
      <c r="K128" s="158"/>
      <c r="L128" s="334"/>
      <c r="M128" s="158">
        <f t="shared" si="22"/>
        <v>0</v>
      </c>
      <c r="N128" s="334"/>
      <c r="O128" s="158">
        <f t="shared" si="23"/>
        <v>0</v>
      </c>
      <c r="P128" s="158">
        <f t="shared" si="24"/>
        <v>0</v>
      </c>
      <c r="Q128" s="1"/>
    </row>
    <row r="129" spans="2:17">
      <c r="B129" s="9" t="str">
        <f t="shared" si="25"/>
        <v/>
      </c>
      <c r="C129" s="153">
        <f>IF(D93="","-",+C128+1)</f>
        <v>2042</v>
      </c>
      <c r="D129" s="154">
        <f>IF(F128+SUM(E$99:E128)=D$92,F128,D$92-SUM(E$99:E128))</f>
        <v>1570925.6968438555</v>
      </c>
      <c r="E129" s="160">
        <f>IF(+J96&lt;F128,J96,D129)</f>
        <v>125439.97619047618</v>
      </c>
      <c r="F129" s="159">
        <f t="shared" si="26"/>
        <v>1445485.7206533793</v>
      </c>
      <c r="G129" s="159">
        <f t="shared" si="27"/>
        <v>1508205.7087486174</v>
      </c>
      <c r="H129" s="163">
        <f t="shared" si="28"/>
        <v>308643.92211947404</v>
      </c>
      <c r="I129" s="253">
        <f t="shared" si="29"/>
        <v>308643.92211947404</v>
      </c>
      <c r="J129" s="158">
        <f t="shared" si="21"/>
        <v>0</v>
      </c>
      <c r="K129" s="158"/>
      <c r="L129" s="334"/>
      <c r="M129" s="158">
        <f t="shared" si="22"/>
        <v>0</v>
      </c>
      <c r="N129" s="334"/>
      <c r="O129" s="158">
        <f t="shared" si="23"/>
        <v>0</v>
      </c>
      <c r="P129" s="158">
        <f t="shared" si="24"/>
        <v>0</v>
      </c>
      <c r="Q129" s="1"/>
    </row>
    <row r="130" spans="2:17">
      <c r="B130" s="9" t="str">
        <f t="shared" si="25"/>
        <v/>
      </c>
      <c r="C130" s="153">
        <f>IF(D93="","-",+C129+1)</f>
        <v>2043</v>
      </c>
      <c r="D130" s="154">
        <f>IF(F129+SUM(E$99:E129)=D$92,F129,D$92-SUM(E$99:E129))</f>
        <v>1445485.7206533793</v>
      </c>
      <c r="E130" s="160">
        <f>IF(+J96&lt;F129,J96,D130)</f>
        <v>125439.97619047618</v>
      </c>
      <c r="F130" s="159">
        <f t="shared" si="26"/>
        <v>1320045.7444629031</v>
      </c>
      <c r="G130" s="159">
        <f t="shared" si="27"/>
        <v>1382765.7325581412</v>
      </c>
      <c r="H130" s="163">
        <f t="shared" si="28"/>
        <v>293406.54535977286</v>
      </c>
      <c r="I130" s="253">
        <f t="shared" si="29"/>
        <v>293406.54535977286</v>
      </c>
      <c r="J130" s="158">
        <f t="shared" si="21"/>
        <v>0</v>
      </c>
      <c r="K130" s="158"/>
      <c r="L130" s="334"/>
      <c r="M130" s="158">
        <f t="shared" si="22"/>
        <v>0</v>
      </c>
      <c r="N130" s="334"/>
      <c r="O130" s="158">
        <f t="shared" si="23"/>
        <v>0</v>
      </c>
      <c r="P130" s="158">
        <f t="shared" si="24"/>
        <v>0</v>
      </c>
      <c r="Q130" s="1"/>
    </row>
    <row r="131" spans="2:17">
      <c r="B131" s="9" t="str">
        <f t="shared" si="25"/>
        <v/>
      </c>
      <c r="C131" s="153">
        <f>IF(D93="","-",+C130+1)</f>
        <v>2044</v>
      </c>
      <c r="D131" s="154">
        <f>IF(F130+SUM(E$99:E130)=D$92,F130,D$92-SUM(E$99:E130))</f>
        <v>1320045.7444629031</v>
      </c>
      <c r="E131" s="160">
        <f>IF(+J96&lt;F130,J96,D131)</f>
        <v>125439.97619047618</v>
      </c>
      <c r="F131" s="159">
        <f t="shared" si="26"/>
        <v>1194605.7682724269</v>
      </c>
      <c r="G131" s="159">
        <f t="shared" ref="G131:G154" si="30">+(F131+D131)/2</f>
        <v>1257325.756367665</v>
      </c>
      <c r="H131" s="163">
        <f t="shared" ref="H131:H154" si="31">+J$94*G131+E131</f>
        <v>278169.16860007175</v>
      </c>
      <c r="I131" s="253">
        <f t="shared" ref="I131:I154" si="32">+J$95*G131+E131</f>
        <v>278169.16860007175</v>
      </c>
      <c r="J131" s="158">
        <f t="shared" ref="J131:J154" si="33">+I131-H131</f>
        <v>0</v>
      </c>
      <c r="K131" s="158"/>
      <c r="L131" s="334"/>
      <c r="M131" s="158">
        <f t="shared" ref="M131:M154" si="34">IF(L131&lt;&gt;0,+H131-L131,0)</f>
        <v>0</v>
      </c>
      <c r="N131" s="334"/>
      <c r="O131" s="158">
        <f t="shared" ref="O131:O154" si="35">IF(N131&lt;&gt;0,+I131-N131,0)</f>
        <v>0</v>
      </c>
      <c r="P131" s="158">
        <f t="shared" ref="P131:P154" si="36">+O131-M131</f>
        <v>0</v>
      </c>
      <c r="Q131" s="1"/>
    </row>
    <row r="132" spans="2:17">
      <c r="B132" s="9" t="str">
        <f t="shared" ref="B132:B154" si="37">IF(D132=F131,"","IU")</f>
        <v/>
      </c>
      <c r="C132" s="153">
        <f>IF(D93="","-",+C131+1)</f>
        <v>2045</v>
      </c>
      <c r="D132" s="154">
        <f>IF(F131+SUM(E$99:E131)=D$92,F131,D$92-SUM(E$99:E131))</f>
        <v>1194605.7682724269</v>
      </c>
      <c r="E132" s="160">
        <f>IF(+J96&lt;F131,J96,D132)</f>
        <v>125439.97619047618</v>
      </c>
      <c r="F132" s="159">
        <f t="shared" ref="F132:F154" si="38">+D132-E132</f>
        <v>1069165.7920819507</v>
      </c>
      <c r="G132" s="159">
        <f t="shared" si="30"/>
        <v>1131885.7801771888</v>
      </c>
      <c r="H132" s="163">
        <f t="shared" si="31"/>
        <v>262931.79184037063</v>
      </c>
      <c r="I132" s="253">
        <f t="shared" si="32"/>
        <v>262931.79184037063</v>
      </c>
      <c r="J132" s="158">
        <f t="shared" si="33"/>
        <v>0</v>
      </c>
      <c r="K132" s="158"/>
      <c r="L132" s="334"/>
      <c r="M132" s="158">
        <f t="shared" si="34"/>
        <v>0</v>
      </c>
      <c r="N132" s="334"/>
      <c r="O132" s="158">
        <f t="shared" si="35"/>
        <v>0</v>
      </c>
      <c r="P132" s="158">
        <f t="shared" si="36"/>
        <v>0</v>
      </c>
      <c r="Q132" s="1"/>
    </row>
    <row r="133" spans="2:17">
      <c r="B133" s="9" t="str">
        <f t="shared" si="37"/>
        <v/>
      </c>
      <c r="C133" s="153">
        <f>IF(D93="","-",+C132+1)</f>
        <v>2046</v>
      </c>
      <c r="D133" s="154">
        <f>IF(F132+SUM(E$99:E132)=D$92,F132,D$92-SUM(E$99:E132))</f>
        <v>1069165.7920819507</v>
      </c>
      <c r="E133" s="160">
        <f>IF(+J96&lt;F132,J96,D133)</f>
        <v>125439.97619047618</v>
      </c>
      <c r="F133" s="159">
        <f t="shared" si="38"/>
        <v>943725.81589147449</v>
      </c>
      <c r="G133" s="159">
        <f t="shared" si="30"/>
        <v>1006445.8039867126</v>
      </c>
      <c r="H133" s="163">
        <f t="shared" si="31"/>
        <v>247694.41508066945</v>
      </c>
      <c r="I133" s="253">
        <f t="shared" si="32"/>
        <v>247694.41508066945</v>
      </c>
      <c r="J133" s="158">
        <f t="shared" si="33"/>
        <v>0</v>
      </c>
      <c r="K133" s="158"/>
      <c r="L133" s="334"/>
      <c r="M133" s="158">
        <f t="shared" si="34"/>
        <v>0</v>
      </c>
      <c r="N133" s="334"/>
      <c r="O133" s="158">
        <f t="shared" si="35"/>
        <v>0</v>
      </c>
      <c r="P133" s="158">
        <f t="shared" si="36"/>
        <v>0</v>
      </c>
      <c r="Q133" s="1"/>
    </row>
    <row r="134" spans="2:17">
      <c r="B134" s="9" t="str">
        <f t="shared" si="37"/>
        <v/>
      </c>
      <c r="C134" s="153">
        <f>IF(D93="","-",+C133+1)</f>
        <v>2047</v>
      </c>
      <c r="D134" s="154">
        <f>IF(F133+SUM(E$99:E133)=D$92,F133,D$92-SUM(E$99:E133))</f>
        <v>943725.81589147449</v>
      </c>
      <c r="E134" s="160">
        <f>IF(+J96&lt;F133,J96,D134)</f>
        <v>125439.97619047618</v>
      </c>
      <c r="F134" s="159">
        <f t="shared" si="38"/>
        <v>818285.83970099827</v>
      </c>
      <c r="G134" s="159">
        <f t="shared" si="30"/>
        <v>881005.82779623638</v>
      </c>
      <c r="H134" s="163">
        <f t="shared" si="31"/>
        <v>232457.03832096828</v>
      </c>
      <c r="I134" s="253">
        <f t="shared" si="32"/>
        <v>232457.03832096828</v>
      </c>
      <c r="J134" s="158">
        <f t="shared" si="33"/>
        <v>0</v>
      </c>
      <c r="K134" s="158"/>
      <c r="L134" s="334"/>
      <c r="M134" s="158">
        <f t="shared" si="34"/>
        <v>0</v>
      </c>
      <c r="N134" s="334"/>
      <c r="O134" s="158">
        <f t="shared" si="35"/>
        <v>0</v>
      </c>
      <c r="P134" s="158">
        <f t="shared" si="36"/>
        <v>0</v>
      </c>
      <c r="Q134" s="1"/>
    </row>
    <row r="135" spans="2:17">
      <c r="B135" s="9" t="str">
        <f t="shared" si="37"/>
        <v/>
      </c>
      <c r="C135" s="153">
        <f>IF(D93="","-",+C134+1)</f>
        <v>2048</v>
      </c>
      <c r="D135" s="154">
        <f>IF(F134+SUM(E$99:E134)=D$92,F134,D$92-SUM(E$99:E134))</f>
        <v>818285.83970099827</v>
      </c>
      <c r="E135" s="160">
        <f>IF(+J96&lt;F134,J96,D135)</f>
        <v>125439.97619047618</v>
      </c>
      <c r="F135" s="159">
        <f t="shared" si="38"/>
        <v>692845.86351052206</v>
      </c>
      <c r="G135" s="159">
        <f t="shared" si="30"/>
        <v>755565.85160576017</v>
      </c>
      <c r="H135" s="163">
        <f t="shared" si="31"/>
        <v>217219.66156126716</v>
      </c>
      <c r="I135" s="253">
        <f t="shared" si="32"/>
        <v>217219.66156126716</v>
      </c>
      <c r="J135" s="158">
        <f t="shared" si="33"/>
        <v>0</v>
      </c>
      <c r="K135" s="158"/>
      <c r="L135" s="334"/>
      <c r="M135" s="158">
        <f t="shared" si="34"/>
        <v>0</v>
      </c>
      <c r="N135" s="334"/>
      <c r="O135" s="158">
        <f t="shared" si="35"/>
        <v>0</v>
      </c>
      <c r="P135" s="158">
        <f t="shared" si="36"/>
        <v>0</v>
      </c>
      <c r="Q135" s="1"/>
    </row>
    <row r="136" spans="2:17">
      <c r="B136" s="9" t="str">
        <f t="shared" si="37"/>
        <v/>
      </c>
      <c r="C136" s="153">
        <f>IF(D93="","-",+C135+1)</f>
        <v>2049</v>
      </c>
      <c r="D136" s="154">
        <f>IF(F135+SUM(E$99:E135)=D$92,F135,D$92-SUM(E$99:E135))</f>
        <v>692845.86351052206</v>
      </c>
      <c r="E136" s="160">
        <f>IF(+J96&lt;F135,J96,D136)</f>
        <v>125439.97619047618</v>
      </c>
      <c r="F136" s="159">
        <f t="shared" si="38"/>
        <v>567405.88732004585</v>
      </c>
      <c r="G136" s="159">
        <f t="shared" si="30"/>
        <v>630125.87541528395</v>
      </c>
      <c r="H136" s="163">
        <f t="shared" si="31"/>
        <v>201982.28480156598</v>
      </c>
      <c r="I136" s="253">
        <f t="shared" si="32"/>
        <v>201982.28480156598</v>
      </c>
      <c r="J136" s="158">
        <f t="shared" si="33"/>
        <v>0</v>
      </c>
      <c r="K136" s="158"/>
      <c r="L136" s="334"/>
      <c r="M136" s="158">
        <f t="shared" si="34"/>
        <v>0</v>
      </c>
      <c r="N136" s="334"/>
      <c r="O136" s="158">
        <f t="shared" si="35"/>
        <v>0</v>
      </c>
      <c r="P136" s="158">
        <f t="shared" si="36"/>
        <v>0</v>
      </c>
      <c r="Q136" s="1"/>
    </row>
    <row r="137" spans="2:17">
      <c r="B137" s="9" t="str">
        <f t="shared" si="37"/>
        <v/>
      </c>
      <c r="C137" s="153">
        <f>IF(D93="","-",+C136+1)</f>
        <v>2050</v>
      </c>
      <c r="D137" s="154">
        <f>IF(F136+SUM(E$99:E136)=D$92,F136,D$92-SUM(E$99:E136))</f>
        <v>567405.88732004585</v>
      </c>
      <c r="E137" s="160">
        <f>IF(+J96&lt;F136,J96,D137)</f>
        <v>125439.97619047618</v>
      </c>
      <c r="F137" s="159">
        <f t="shared" si="38"/>
        <v>441965.91112956963</v>
      </c>
      <c r="G137" s="159">
        <f t="shared" si="30"/>
        <v>504685.89922480774</v>
      </c>
      <c r="H137" s="163">
        <f t="shared" si="31"/>
        <v>186744.90804186487</v>
      </c>
      <c r="I137" s="253">
        <f t="shared" si="32"/>
        <v>186744.90804186487</v>
      </c>
      <c r="J137" s="158">
        <f t="shared" si="33"/>
        <v>0</v>
      </c>
      <c r="K137" s="158"/>
      <c r="L137" s="334"/>
      <c r="M137" s="158">
        <f t="shared" si="34"/>
        <v>0</v>
      </c>
      <c r="N137" s="334"/>
      <c r="O137" s="158">
        <f t="shared" si="35"/>
        <v>0</v>
      </c>
      <c r="P137" s="158">
        <f t="shared" si="36"/>
        <v>0</v>
      </c>
      <c r="Q137" s="1"/>
    </row>
    <row r="138" spans="2:17">
      <c r="B138" s="9" t="str">
        <f t="shared" si="37"/>
        <v/>
      </c>
      <c r="C138" s="153">
        <f>IF(D93="","-",+C137+1)</f>
        <v>2051</v>
      </c>
      <c r="D138" s="154">
        <f>IF(F137+SUM(E$99:E137)=D$92,F137,D$92-SUM(E$99:E137))</f>
        <v>441965.91112956963</v>
      </c>
      <c r="E138" s="160">
        <f>IF(+J96&lt;F137,J96,D138)</f>
        <v>125439.97619047618</v>
      </c>
      <c r="F138" s="159">
        <f t="shared" si="38"/>
        <v>316525.93493909342</v>
      </c>
      <c r="G138" s="159">
        <f t="shared" si="30"/>
        <v>379245.92303433153</v>
      </c>
      <c r="H138" s="163">
        <f t="shared" si="31"/>
        <v>171507.53128216369</v>
      </c>
      <c r="I138" s="253">
        <f t="shared" si="32"/>
        <v>171507.53128216369</v>
      </c>
      <c r="J138" s="158">
        <f t="shared" si="33"/>
        <v>0</v>
      </c>
      <c r="K138" s="158"/>
      <c r="L138" s="334"/>
      <c r="M138" s="158">
        <f t="shared" si="34"/>
        <v>0</v>
      </c>
      <c r="N138" s="334"/>
      <c r="O138" s="158">
        <f t="shared" si="35"/>
        <v>0</v>
      </c>
      <c r="P138" s="158">
        <f t="shared" si="36"/>
        <v>0</v>
      </c>
      <c r="Q138" s="1"/>
    </row>
    <row r="139" spans="2:17">
      <c r="B139" s="9" t="str">
        <f t="shared" si="37"/>
        <v/>
      </c>
      <c r="C139" s="153">
        <f>IF(D93="","-",+C138+1)</f>
        <v>2052</v>
      </c>
      <c r="D139" s="154">
        <f>IF(F138+SUM(E$99:E138)=D$92,F138,D$92-SUM(E$99:E138))</f>
        <v>316525.93493909342</v>
      </c>
      <c r="E139" s="160">
        <f>IF(+J96&lt;F138,J96,D139)</f>
        <v>125439.97619047618</v>
      </c>
      <c r="F139" s="159">
        <f t="shared" si="38"/>
        <v>191085.95874861724</v>
      </c>
      <c r="G139" s="159">
        <f t="shared" si="30"/>
        <v>253805.94684385532</v>
      </c>
      <c r="H139" s="163">
        <f t="shared" si="31"/>
        <v>156270.15452246254</v>
      </c>
      <c r="I139" s="253">
        <f t="shared" si="32"/>
        <v>156270.15452246254</v>
      </c>
      <c r="J139" s="158">
        <f t="shared" si="33"/>
        <v>0</v>
      </c>
      <c r="K139" s="158"/>
      <c r="L139" s="334"/>
      <c r="M139" s="158">
        <f t="shared" si="34"/>
        <v>0</v>
      </c>
      <c r="N139" s="334"/>
      <c r="O139" s="158">
        <f t="shared" si="35"/>
        <v>0</v>
      </c>
      <c r="P139" s="158">
        <f t="shared" si="36"/>
        <v>0</v>
      </c>
      <c r="Q139" s="1"/>
    </row>
    <row r="140" spans="2:17">
      <c r="B140" s="9" t="str">
        <f t="shared" si="37"/>
        <v/>
      </c>
      <c r="C140" s="153">
        <f>IF(D93="","-",+C139+1)</f>
        <v>2053</v>
      </c>
      <c r="D140" s="154">
        <f>IF(F139+SUM(E$99:E139)=D$92,F139,D$92-SUM(E$99:E139))</f>
        <v>191085.95874861724</v>
      </c>
      <c r="E140" s="160">
        <f>IF(+J96&lt;F139,J96,D140)</f>
        <v>125439.97619047618</v>
      </c>
      <c r="F140" s="159">
        <f t="shared" si="38"/>
        <v>65645.982558141055</v>
      </c>
      <c r="G140" s="159">
        <f t="shared" si="30"/>
        <v>128365.97065337915</v>
      </c>
      <c r="H140" s="163">
        <f t="shared" si="31"/>
        <v>141032.7777627614</v>
      </c>
      <c r="I140" s="253">
        <f t="shared" si="32"/>
        <v>141032.7777627614</v>
      </c>
      <c r="J140" s="158">
        <f t="shared" si="33"/>
        <v>0</v>
      </c>
      <c r="K140" s="158"/>
      <c r="L140" s="334"/>
      <c r="M140" s="158">
        <f t="shared" si="34"/>
        <v>0</v>
      </c>
      <c r="N140" s="334"/>
      <c r="O140" s="158">
        <f t="shared" si="35"/>
        <v>0</v>
      </c>
      <c r="P140" s="158">
        <f t="shared" si="36"/>
        <v>0</v>
      </c>
      <c r="Q140" s="1"/>
    </row>
    <row r="141" spans="2:17">
      <c r="B141" s="9" t="str">
        <f t="shared" si="37"/>
        <v/>
      </c>
      <c r="C141" s="153">
        <f>IF(D93="","-",+C140+1)</f>
        <v>2054</v>
      </c>
      <c r="D141" s="154">
        <f>IF(F140+SUM(E$99:E140)=D$92,F140,D$92-SUM(E$99:E140))</f>
        <v>65645.982558141055</v>
      </c>
      <c r="E141" s="160">
        <f>IF(+J96&lt;F140,J96,D141)</f>
        <v>65645.982558141055</v>
      </c>
      <c r="F141" s="159">
        <f t="shared" si="38"/>
        <v>0</v>
      </c>
      <c r="G141" s="159">
        <f t="shared" si="30"/>
        <v>32822.991279070528</v>
      </c>
      <c r="H141" s="163">
        <f t="shared" si="31"/>
        <v>69633.039154358383</v>
      </c>
      <c r="I141" s="253">
        <f t="shared" si="32"/>
        <v>69633.039154358383</v>
      </c>
      <c r="J141" s="158">
        <f t="shared" si="33"/>
        <v>0</v>
      </c>
      <c r="K141" s="158"/>
      <c r="L141" s="334"/>
      <c r="M141" s="158">
        <f t="shared" si="34"/>
        <v>0</v>
      </c>
      <c r="N141" s="334"/>
      <c r="O141" s="158">
        <f t="shared" si="35"/>
        <v>0</v>
      </c>
      <c r="P141" s="158">
        <f t="shared" si="36"/>
        <v>0</v>
      </c>
      <c r="Q141" s="1"/>
    </row>
    <row r="142" spans="2:17">
      <c r="B142" s="9" t="str">
        <f t="shared" si="37"/>
        <v/>
      </c>
      <c r="C142" s="153">
        <f>IF(D93="","-",+C141+1)</f>
        <v>2055</v>
      </c>
      <c r="D142" s="154">
        <f>IF(F141+SUM(E$99:E141)=D$92,F141,D$92-SUM(E$99:E141))</f>
        <v>0</v>
      </c>
      <c r="E142" s="160">
        <f>IF(+J96&lt;F141,J96,D142)</f>
        <v>0</v>
      </c>
      <c r="F142" s="159">
        <f t="shared" si="38"/>
        <v>0</v>
      </c>
      <c r="G142" s="159">
        <f t="shared" si="30"/>
        <v>0</v>
      </c>
      <c r="H142" s="163">
        <f t="shared" si="31"/>
        <v>0</v>
      </c>
      <c r="I142" s="253">
        <f t="shared" si="32"/>
        <v>0</v>
      </c>
      <c r="J142" s="158">
        <f t="shared" si="33"/>
        <v>0</v>
      </c>
      <c r="K142" s="158"/>
      <c r="L142" s="334"/>
      <c r="M142" s="158">
        <f t="shared" si="34"/>
        <v>0</v>
      </c>
      <c r="N142" s="334"/>
      <c r="O142" s="158">
        <f t="shared" si="35"/>
        <v>0</v>
      </c>
      <c r="P142" s="158">
        <f t="shared" si="36"/>
        <v>0</v>
      </c>
      <c r="Q142" s="1"/>
    </row>
    <row r="143" spans="2:17">
      <c r="B143" s="9" t="str">
        <f t="shared" si="37"/>
        <v/>
      </c>
      <c r="C143" s="153">
        <f>IF(D93="","-",+C142+1)</f>
        <v>2056</v>
      </c>
      <c r="D143" s="154">
        <f>IF(F142+SUM(E$99:E142)=D$92,F142,D$92-SUM(E$99:E142))</f>
        <v>0</v>
      </c>
      <c r="E143" s="160">
        <f>IF(+J96&lt;F142,J96,D143)</f>
        <v>0</v>
      </c>
      <c r="F143" s="159">
        <f t="shared" si="38"/>
        <v>0</v>
      </c>
      <c r="G143" s="159">
        <f t="shared" si="30"/>
        <v>0</v>
      </c>
      <c r="H143" s="163">
        <f t="shared" si="31"/>
        <v>0</v>
      </c>
      <c r="I143" s="253">
        <f t="shared" si="32"/>
        <v>0</v>
      </c>
      <c r="J143" s="158">
        <f t="shared" si="33"/>
        <v>0</v>
      </c>
      <c r="K143" s="158"/>
      <c r="L143" s="334"/>
      <c r="M143" s="158">
        <f t="shared" si="34"/>
        <v>0</v>
      </c>
      <c r="N143" s="334"/>
      <c r="O143" s="158">
        <f t="shared" si="35"/>
        <v>0</v>
      </c>
      <c r="P143" s="158">
        <f t="shared" si="36"/>
        <v>0</v>
      </c>
      <c r="Q143" s="1"/>
    </row>
    <row r="144" spans="2:17">
      <c r="B144" s="9" t="str">
        <f t="shared" si="37"/>
        <v/>
      </c>
      <c r="C144" s="153">
        <f>IF(D93="","-",+C143+1)</f>
        <v>2057</v>
      </c>
      <c r="D144" s="154">
        <f>IF(F143+SUM(E$99:E143)=D$92,F143,D$92-SUM(E$99:E143))</f>
        <v>0</v>
      </c>
      <c r="E144" s="160">
        <f>IF(+J96&lt;F143,J96,D144)</f>
        <v>0</v>
      </c>
      <c r="F144" s="159">
        <f t="shared" si="38"/>
        <v>0</v>
      </c>
      <c r="G144" s="159">
        <f t="shared" si="30"/>
        <v>0</v>
      </c>
      <c r="H144" s="163">
        <f t="shared" si="31"/>
        <v>0</v>
      </c>
      <c r="I144" s="253">
        <f t="shared" si="32"/>
        <v>0</v>
      </c>
      <c r="J144" s="158">
        <f t="shared" si="33"/>
        <v>0</v>
      </c>
      <c r="K144" s="158"/>
      <c r="L144" s="334"/>
      <c r="M144" s="158">
        <f t="shared" si="34"/>
        <v>0</v>
      </c>
      <c r="N144" s="334"/>
      <c r="O144" s="158">
        <f t="shared" si="35"/>
        <v>0</v>
      </c>
      <c r="P144" s="158">
        <f t="shared" si="36"/>
        <v>0</v>
      </c>
      <c r="Q144" s="1"/>
    </row>
    <row r="145" spans="2:17">
      <c r="B145" s="9" t="str">
        <f t="shared" si="37"/>
        <v/>
      </c>
      <c r="C145" s="153">
        <f>IF(D93="","-",+C144+1)</f>
        <v>2058</v>
      </c>
      <c r="D145" s="154">
        <f>IF(F144+SUM(E$99:E144)=D$92,F144,D$92-SUM(E$99:E144))</f>
        <v>0</v>
      </c>
      <c r="E145" s="160">
        <f>IF(+J96&lt;F144,J96,D145)</f>
        <v>0</v>
      </c>
      <c r="F145" s="159">
        <f t="shared" si="38"/>
        <v>0</v>
      </c>
      <c r="G145" s="159">
        <f t="shared" si="30"/>
        <v>0</v>
      </c>
      <c r="H145" s="163">
        <f t="shared" si="31"/>
        <v>0</v>
      </c>
      <c r="I145" s="253">
        <f t="shared" si="32"/>
        <v>0</v>
      </c>
      <c r="J145" s="158">
        <f t="shared" si="33"/>
        <v>0</v>
      </c>
      <c r="K145" s="158"/>
      <c r="L145" s="334"/>
      <c r="M145" s="158">
        <f t="shared" si="34"/>
        <v>0</v>
      </c>
      <c r="N145" s="334"/>
      <c r="O145" s="158">
        <f t="shared" si="35"/>
        <v>0</v>
      </c>
      <c r="P145" s="158">
        <f t="shared" si="36"/>
        <v>0</v>
      </c>
      <c r="Q145" s="1"/>
    </row>
    <row r="146" spans="2:17">
      <c r="B146" s="9" t="str">
        <f t="shared" si="37"/>
        <v/>
      </c>
      <c r="C146" s="153">
        <f>IF(D93="","-",+C145+1)</f>
        <v>2059</v>
      </c>
      <c r="D146" s="154">
        <f>IF(F145+SUM(E$99:E145)=D$92,F145,D$92-SUM(E$99:E145))</f>
        <v>0</v>
      </c>
      <c r="E146" s="160">
        <f>IF(+J96&lt;F145,J96,D146)</f>
        <v>0</v>
      </c>
      <c r="F146" s="159">
        <f t="shared" si="38"/>
        <v>0</v>
      </c>
      <c r="G146" s="159">
        <f t="shared" si="30"/>
        <v>0</v>
      </c>
      <c r="H146" s="163">
        <f t="shared" si="31"/>
        <v>0</v>
      </c>
      <c r="I146" s="253">
        <f t="shared" si="32"/>
        <v>0</v>
      </c>
      <c r="J146" s="158">
        <f t="shared" si="33"/>
        <v>0</v>
      </c>
      <c r="K146" s="158"/>
      <c r="L146" s="334"/>
      <c r="M146" s="158">
        <f t="shared" si="34"/>
        <v>0</v>
      </c>
      <c r="N146" s="334"/>
      <c r="O146" s="158">
        <f t="shared" si="35"/>
        <v>0</v>
      </c>
      <c r="P146" s="158">
        <f t="shared" si="36"/>
        <v>0</v>
      </c>
      <c r="Q146" s="1"/>
    </row>
    <row r="147" spans="2:17">
      <c r="B147" s="9" t="str">
        <f t="shared" si="37"/>
        <v/>
      </c>
      <c r="C147" s="153">
        <f>IF(D93="","-",+C146+1)</f>
        <v>2060</v>
      </c>
      <c r="D147" s="154">
        <f>IF(F146+SUM(E$99:E146)=D$92,F146,D$92-SUM(E$99:E146))</f>
        <v>0</v>
      </c>
      <c r="E147" s="160">
        <f>IF(+J96&lt;F146,J96,D147)</f>
        <v>0</v>
      </c>
      <c r="F147" s="159">
        <f t="shared" si="38"/>
        <v>0</v>
      </c>
      <c r="G147" s="159">
        <f t="shared" si="30"/>
        <v>0</v>
      </c>
      <c r="H147" s="163">
        <f t="shared" si="31"/>
        <v>0</v>
      </c>
      <c r="I147" s="253">
        <f t="shared" si="32"/>
        <v>0</v>
      </c>
      <c r="J147" s="158">
        <f t="shared" si="33"/>
        <v>0</v>
      </c>
      <c r="K147" s="158"/>
      <c r="L147" s="334"/>
      <c r="M147" s="158">
        <f t="shared" si="34"/>
        <v>0</v>
      </c>
      <c r="N147" s="334"/>
      <c r="O147" s="158">
        <f t="shared" si="35"/>
        <v>0</v>
      </c>
      <c r="P147" s="158">
        <f t="shared" si="36"/>
        <v>0</v>
      </c>
      <c r="Q147" s="1"/>
    </row>
    <row r="148" spans="2:17">
      <c r="B148" s="9" t="str">
        <f t="shared" si="37"/>
        <v/>
      </c>
      <c r="C148" s="153">
        <f>IF(D93="","-",+C147+1)</f>
        <v>2061</v>
      </c>
      <c r="D148" s="154">
        <f>IF(F147+SUM(E$99:E147)=D$92,F147,D$92-SUM(E$99:E147))</f>
        <v>0</v>
      </c>
      <c r="E148" s="160">
        <f>IF(+J96&lt;F147,J96,D148)</f>
        <v>0</v>
      </c>
      <c r="F148" s="159">
        <f t="shared" si="38"/>
        <v>0</v>
      </c>
      <c r="G148" s="159">
        <f t="shared" si="30"/>
        <v>0</v>
      </c>
      <c r="H148" s="163">
        <f t="shared" si="31"/>
        <v>0</v>
      </c>
      <c r="I148" s="253">
        <f t="shared" si="32"/>
        <v>0</v>
      </c>
      <c r="J148" s="158">
        <f t="shared" si="33"/>
        <v>0</v>
      </c>
      <c r="K148" s="158"/>
      <c r="L148" s="334"/>
      <c r="M148" s="158">
        <f t="shared" si="34"/>
        <v>0</v>
      </c>
      <c r="N148" s="334"/>
      <c r="O148" s="158">
        <f t="shared" si="35"/>
        <v>0</v>
      </c>
      <c r="P148" s="158">
        <f t="shared" si="36"/>
        <v>0</v>
      </c>
      <c r="Q148" s="1"/>
    </row>
    <row r="149" spans="2:17">
      <c r="B149" s="9" t="str">
        <f t="shared" si="37"/>
        <v/>
      </c>
      <c r="C149" s="153">
        <f>IF(D93="","-",+C148+1)</f>
        <v>2062</v>
      </c>
      <c r="D149" s="154">
        <f>IF(F148+SUM(E$99:E148)=D$92,F148,D$92-SUM(E$99:E148))</f>
        <v>0</v>
      </c>
      <c r="E149" s="160">
        <f>IF(+J96&lt;F148,J96,D149)</f>
        <v>0</v>
      </c>
      <c r="F149" s="159">
        <f t="shared" si="38"/>
        <v>0</v>
      </c>
      <c r="G149" s="159">
        <f t="shared" si="30"/>
        <v>0</v>
      </c>
      <c r="H149" s="163">
        <f t="shared" si="31"/>
        <v>0</v>
      </c>
      <c r="I149" s="253">
        <f t="shared" si="32"/>
        <v>0</v>
      </c>
      <c r="J149" s="158">
        <f t="shared" si="33"/>
        <v>0</v>
      </c>
      <c r="K149" s="158"/>
      <c r="L149" s="334"/>
      <c r="M149" s="158">
        <f t="shared" si="34"/>
        <v>0</v>
      </c>
      <c r="N149" s="334"/>
      <c r="O149" s="158">
        <f t="shared" si="35"/>
        <v>0</v>
      </c>
      <c r="P149" s="158">
        <f t="shared" si="36"/>
        <v>0</v>
      </c>
      <c r="Q149" s="1"/>
    </row>
    <row r="150" spans="2:17">
      <c r="B150" s="9" t="str">
        <f t="shared" si="37"/>
        <v/>
      </c>
      <c r="C150" s="153">
        <f>IF(D93="","-",+C149+1)</f>
        <v>2063</v>
      </c>
      <c r="D150" s="154">
        <f>IF(F149+SUM(E$99:E149)=D$92,F149,D$92-SUM(E$99:E149))</f>
        <v>0</v>
      </c>
      <c r="E150" s="160">
        <f>IF(+J96&lt;F149,J96,D150)</f>
        <v>0</v>
      </c>
      <c r="F150" s="159">
        <f t="shared" si="38"/>
        <v>0</v>
      </c>
      <c r="G150" s="159">
        <f t="shared" si="30"/>
        <v>0</v>
      </c>
      <c r="H150" s="163">
        <f t="shared" si="31"/>
        <v>0</v>
      </c>
      <c r="I150" s="253">
        <f t="shared" si="32"/>
        <v>0</v>
      </c>
      <c r="J150" s="158">
        <f t="shared" si="33"/>
        <v>0</v>
      </c>
      <c r="K150" s="158"/>
      <c r="L150" s="334"/>
      <c r="M150" s="158">
        <f t="shared" si="34"/>
        <v>0</v>
      </c>
      <c r="N150" s="334"/>
      <c r="O150" s="158">
        <f t="shared" si="35"/>
        <v>0</v>
      </c>
      <c r="P150" s="158">
        <f t="shared" si="36"/>
        <v>0</v>
      </c>
      <c r="Q150" s="1"/>
    </row>
    <row r="151" spans="2:17">
      <c r="B151" s="9" t="str">
        <f t="shared" si="37"/>
        <v/>
      </c>
      <c r="C151" s="153">
        <f>IF(D93="","-",+C150+1)</f>
        <v>2064</v>
      </c>
      <c r="D151" s="154">
        <f>IF(F150+SUM(E$99:E150)=D$92,F150,D$92-SUM(E$99:E150))</f>
        <v>0</v>
      </c>
      <c r="E151" s="160">
        <f>IF(+J96&lt;F150,J96,D151)</f>
        <v>0</v>
      </c>
      <c r="F151" s="159">
        <f t="shared" si="38"/>
        <v>0</v>
      </c>
      <c r="G151" s="159">
        <f t="shared" si="30"/>
        <v>0</v>
      </c>
      <c r="H151" s="163">
        <f t="shared" si="31"/>
        <v>0</v>
      </c>
      <c r="I151" s="253">
        <f t="shared" si="32"/>
        <v>0</v>
      </c>
      <c r="J151" s="158">
        <f t="shared" si="33"/>
        <v>0</v>
      </c>
      <c r="K151" s="158"/>
      <c r="L151" s="334"/>
      <c r="M151" s="158">
        <f t="shared" si="34"/>
        <v>0</v>
      </c>
      <c r="N151" s="334"/>
      <c r="O151" s="158">
        <f t="shared" si="35"/>
        <v>0</v>
      </c>
      <c r="P151" s="158">
        <f t="shared" si="36"/>
        <v>0</v>
      </c>
      <c r="Q151" s="1"/>
    </row>
    <row r="152" spans="2:17">
      <c r="B152" s="9" t="str">
        <f t="shared" si="37"/>
        <v/>
      </c>
      <c r="C152" s="153">
        <f>IF(D93="","-",+C151+1)</f>
        <v>2065</v>
      </c>
      <c r="D152" s="154">
        <f>IF(F151+SUM(E$99:E151)=D$92,F151,D$92-SUM(E$99:E151))</f>
        <v>0</v>
      </c>
      <c r="E152" s="160">
        <f>IF(+J96&lt;F151,J96,D152)</f>
        <v>0</v>
      </c>
      <c r="F152" s="159">
        <f t="shared" si="38"/>
        <v>0</v>
      </c>
      <c r="G152" s="159">
        <f t="shared" si="30"/>
        <v>0</v>
      </c>
      <c r="H152" s="163">
        <f t="shared" si="31"/>
        <v>0</v>
      </c>
      <c r="I152" s="253">
        <f t="shared" si="32"/>
        <v>0</v>
      </c>
      <c r="J152" s="158">
        <f t="shared" si="33"/>
        <v>0</v>
      </c>
      <c r="K152" s="158"/>
      <c r="L152" s="334"/>
      <c r="M152" s="158">
        <f t="shared" si="34"/>
        <v>0</v>
      </c>
      <c r="N152" s="334"/>
      <c r="O152" s="158">
        <f t="shared" si="35"/>
        <v>0</v>
      </c>
      <c r="P152" s="158">
        <f t="shared" si="36"/>
        <v>0</v>
      </c>
      <c r="Q152" s="1"/>
    </row>
    <row r="153" spans="2:17">
      <c r="B153" s="9" t="str">
        <f t="shared" si="37"/>
        <v/>
      </c>
      <c r="C153" s="153">
        <f>IF(D93="","-",+C152+1)</f>
        <v>2066</v>
      </c>
      <c r="D153" s="154">
        <f>IF(F152+SUM(E$99:E152)=D$92,F152,D$92-SUM(E$99:E152))</f>
        <v>0</v>
      </c>
      <c r="E153" s="160">
        <f>IF(+J96&lt;F152,J96,D153)</f>
        <v>0</v>
      </c>
      <c r="F153" s="159">
        <f t="shared" si="38"/>
        <v>0</v>
      </c>
      <c r="G153" s="159">
        <f t="shared" si="30"/>
        <v>0</v>
      </c>
      <c r="H153" s="163">
        <f t="shared" si="31"/>
        <v>0</v>
      </c>
      <c r="I153" s="253">
        <f t="shared" si="32"/>
        <v>0</v>
      </c>
      <c r="J153" s="158">
        <f t="shared" si="33"/>
        <v>0</v>
      </c>
      <c r="K153" s="158"/>
      <c r="L153" s="334"/>
      <c r="M153" s="158">
        <f t="shared" si="34"/>
        <v>0</v>
      </c>
      <c r="N153" s="334"/>
      <c r="O153" s="158">
        <f t="shared" si="35"/>
        <v>0</v>
      </c>
      <c r="P153" s="158">
        <f t="shared" si="36"/>
        <v>0</v>
      </c>
      <c r="Q153" s="1"/>
    </row>
    <row r="154" spans="2:17" ht="13.5" thickBot="1">
      <c r="B154" s="9" t="str">
        <f t="shared" si="37"/>
        <v/>
      </c>
      <c r="C154" s="164">
        <f>IF(D93="","-",+C153+1)</f>
        <v>2067</v>
      </c>
      <c r="D154" s="215">
        <f>IF(F153+SUM(E$99:E153)=D$92,F153,D$92-SUM(E$99:E153))</f>
        <v>0</v>
      </c>
      <c r="E154" s="166">
        <f>IF(+J96&lt;F153,J96,D154)</f>
        <v>0</v>
      </c>
      <c r="F154" s="165">
        <f t="shared" si="38"/>
        <v>0</v>
      </c>
      <c r="G154" s="165">
        <f t="shared" si="30"/>
        <v>0</v>
      </c>
      <c r="H154" s="167">
        <f t="shared" si="31"/>
        <v>0</v>
      </c>
      <c r="I154" s="254">
        <f t="shared" si="32"/>
        <v>0</v>
      </c>
      <c r="J154" s="169">
        <f t="shared" si="33"/>
        <v>0</v>
      </c>
      <c r="K154" s="158"/>
      <c r="L154" s="335"/>
      <c r="M154" s="169">
        <f t="shared" si="34"/>
        <v>0</v>
      </c>
      <c r="N154" s="335"/>
      <c r="O154" s="169">
        <f t="shared" si="35"/>
        <v>0</v>
      </c>
      <c r="P154" s="169">
        <f t="shared" si="36"/>
        <v>0</v>
      </c>
      <c r="Q154" s="1"/>
    </row>
    <row r="155" spans="2:17">
      <c r="C155" s="154" t="s">
        <v>73</v>
      </c>
      <c r="D155" s="111"/>
      <c r="E155" s="111">
        <f>SUM(E99:E154)</f>
        <v>5268478.9999999991</v>
      </c>
      <c r="F155" s="111"/>
      <c r="G155" s="111"/>
      <c r="H155" s="111">
        <f>SUM(H99:H154)</f>
        <v>19008241.828575317</v>
      </c>
      <c r="I155" s="111">
        <f>SUM(I99:I154)</f>
        <v>19008241.828575317</v>
      </c>
      <c r="J155" s="111">
        <f>SUM(J99:J154)</f>
        <v>0</v>
      </c>
      <c r="K155" s="111"/>
      <c r="L155" s="111"/>
      <c r="M155" s="111"/>
      <c r="N155" s="111"/>
      <c r="O155" s="111"/>
      <c r="P155" s="1"/>
      <c r="Q155" s="1"/>
    </row>
    <row r="156" spans="2:17">
      <c r="D156" s="2"/>
      <c r="E156" s="1"/>
      <c r="F156" s="1"/>
      <c r="G156" s="1"/>
      <c r="H156" s="1"/>
      <c r="I156" s="3"/>
      <c r="J156" s="3"/>
      <c r="K156" s="111"/>
      <c r="L156" s="3"/>
      <c r="M156" s="3"/>
      <c r="N156" s="3"/>
      <c r="O156" s="3"/>
      <c r="P156" s="1"/>
      <c r="Q156" s="1"/>
    </row>
    <row r="157" spans="2:17">
      <c r="C157" s="216" t="s">
        <v>87</v>
      </c>
      <c r="D157" s="2"/>
      <c r="E157" s="1"/>
      <c r="F157" s="1"/>
      <c r="G157" s="1"/>
      <c r="H157" s="1"/>
      <c r="I157" s="3"/>
      <c r="J157" s="3"/>
      <c r="K157" s="111"/>
      <c r="L157" s="3"/>
      <c r="M157" s="3"/>
      <c r="N157" s="3"/>
      <c r="O157" s="3"/>
      <c r="P157" s="1"/>
      <c r="Q157" s="1"/>
    </row>
    <row r="158" spans="2:17">
      <c r="D158" s="2"/>
      <c r="E158" s="1"/>
      <c r="F158" s="1"/>
      <c r="G158" s="1"/>
      <c r="H158" s="1"/>
      <c r="I158" s="3"/>
      <c r="J158" s="3"/>
      <c r="K158" s="111"/>
      <c r="L158" s="3"/>
      <c r="M158" s="3"/>
      <c r="N158" s="3"/>
      <c r="O158" s="3"/>
      <c r="P158" s="1"/>
      <c r="Q158" s="1"/>
    </row>
    <row r="159" spans="2:17">
      <c r="C159" s="170" t="s">
        <v>92</v>
      </c>
      <c r="D159" s="154"/>
      <c r="E159" s="154"/>
      <c r="F159" s="154"/>
      <c r="G159" s="154"/>
      <c r="H159" s="111"/>
      <c r="I159" s="111"/>
      <c r="J159" s="171"/>
      <c r="K159" s="171"/>
      <c r="L159" s="171"/>
      <c r="M159" s="171"/>
      <c r="N159" s="171"/>
      <c r="O159" s="171"/>
      <c r="P159" s="1"/>
      <c r="Q159" s="1"/>
    </row>
    <row r="160" spans="2:17">
      <c r="C160" s="217" t="s">
        <v>74</v>
      </c>
      <c r="D160" s="154"/>
      <c r="E160" s="154"/>
      <c r="F160" s="154"/>
      <c r="G160" s="154"/>
      <c r="H160" s="111"/>
      <c r="I160" s="111"/>
      <c r="J160" s="171"/>
      <c r="K160" s="171"/>
      <c r="L160" s="171"/>
      <c r="M160" s="171"/>
      <c r="N160" s="171"/>
      <c r="O160" s="171"/>
      <c r="P160" s="1"/>
      <c r="Q160" s="1"/>
    </row>
    <row r="161" spans="3:17">
      <c r="C161" s="217" t="s">
        <v>75</v>
      </c>
      <c r="D161" s="154"/>
      <c r="E161" s="154"/>
      <c r="F161" s="154"/>
      <c r="G161" s="154"/>
      <c r="H161" s="111"/>
      <c r="I161" s="111"/>
      <c r="J161" s="171"/>
      <c r="K161" s="171"/>
      <c r="L161" s="171"/>
      <c r="M161" s="171"/>
      <c r="N161" s="171"/>
      <c r="O161" s="171"/>
      <c r="P161" s="1"/>
      <c r="Q161" s="1"/>
    </row>
    <row r="162" spans="3:17" ht="18">
      <c r="C162" s="217"/>
      <c r="D162" s="154"/>
      <c r="E162" s="154"/>
      <c r="F162" s="154"/>
      <c r="G162" s="154"/>
      <c r="H162" s="111"/>
      <c r="I162" s="111"/>
      <c r="J162" s="171"/>
      <c r="K162" s="171"/>
      <c r="L162" s="171"/>
      <c r="M162" s="171"/>
      <c r="N162" s="171"/>
      <c r="P162" s="237" t="s">
        <v>126</v>
      </c>
      <c r="Q162" s="1"/>
    </row>
  </sheetData>
  <phoneticPr fontId="0" type="noConversion"/>
  <conditionalFormatting sqref="C17:C72">
    <cfRule type="cellIs" dxfId="109" priority="1" stopIfTrue="1" operator="equal">
      <formula>$I$10</formula>
    </cfRule>
  </conditionalFormatting>
  <conditionalFormatting sqref="C99:C154">
    <cfRule type="cellIs" dxfId="108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0"/>
  <dimension ref="A1:Q162"/>
  <sheetViews>
    <sheetView view="pageBreakPreview" zoomScale="75" zoomScaleNormal="100" zoomScaleSheetLayoutView="75" workbookViewId="0">
      <selection activeCell="C19" sqref="C19"/>
    </sheetView>
  </sheetViews>
  <sheetFormatPr defaultRowHeight="12.75" customHeight="1"/>
  <cols>
    <col min="1" max="1" width="4.7109375" customWidth="1"/>
    <col min="2" max="2" width="6.7109375" customWidth="1"/>
    <col min="3" max="3" width="23.28515625" customWidth="1"/>
    <col min="4" max="8" width="17.7109375" customWidth="1"/>
    <col min="9" max="9" width="20.42578125" customWidth="1"/>
    <col min="10" max="10" width="16.42578125" customWidth="1"/>
    <col min="11" max="11" width="17.7109375" customWidth="1"/>
    <col min="12" max="12" width="16.140625" customWidth="1"/>
    <col min="13" max="13" width="17.7109375" customWidth="1"/>
    <col min="14" max="14" width="16.140625" customWidth="1"/>
    <col min="15" max="15" width="16.85546875" customWidth="1"/>
    <col min="16" max="16" width="24.42578125" customWidth="1"/>
    <col min="17" max="17" width="4.7109375" customWidth="1"/>
    <col min="23" max="23" width="9.140625" customWidth="1"/>
  </cols>
  <sheetData>
    <row r="1" spans="1:17" ht="20.25">
      <c r="A1" s="243" t="s">
        <v>128</v>
      </c>
      <c r="B1" s="1"/>
      <c r="C1" s="21"/>
      <c r="D1" s="2"/>
      <c r="E1" s="1"/>
      <c r="F1" s="99"/>
      <c r="G1" s="1"/>
      <c r="H1" s="3"/>
      <c r="J1" s="7"/>
      <c r="K1" s="109"/>
      <c r="L1" s="109"/>
      <c r="M1" s="109"/>
      <c r="P1" s="249" t="str">
        <f ca="1">"SWEPCO Project "&amp;RIGHT(MID(CELL("filename",$A$1),FIND("]",CELL("filename",$A$1))+1,256),2)&amp;" of "&amp;COUNT('S.001:S.xyz - blank'!$P$3)-1</f>
        <v>SWEPCO Project 29 of 73</v>
      </c>
      <c r="Q1" s="108"/>
    </row>
    <row r="2" spans="1:17" ht="18">
      <c r="B2" s="1"/>
      <c r="C2" s="1"/>
      <c r="D2" s="2"/>
      <c r="E2" s="1"/>
      <c r="F2" s="1"/>
      <c r="G2" s="1"/>
      <c r="H2" s="3"/>
      <c r="I2" s="1"/>
      <c r="J2" s="4"/>
      <c r="K2" s="1"/>
      <c r="L2" s="1"/>
      <c r="M2" s="1"/>
      <c r="N2" s="1"/>
      <c r="P2" s="237" t="s">
        <v>124</v>
      </c>
    </row>
    <row r="3" spans="1:17" ht="18.75">
      <c r="B3" s="5" t="s">
        <v>40</v>
      </c>
      <c r="C3" s="68" t="s">
        <v>41</v>
      </c>
      <c r="D3" s="2"/>
      <c r="E3" s="1"/>
      <c r="F3" s="1"/>
      <c r="G3" s="1"/>
      <c r="H3" s="3"/>
      <c r="I3" s="3"/>
      <c r="J3" s="111"/>
      <c r="K3" s="3"/>
      <c r="L3" s="3"/>
      <c r="M3" s="3"/>
      <c r="N3" s="3"/>
      <c r="O3" s="1" t="str">
        <f>RIGHT(N3,3)</f>
        <v/>
      </c>
      <c r="P3" s="239">
        <v>1</v>
      </c>
    </row>
    <row r="4" spans="1:17" ht="15.75" thickBot="1">
      <c r="C4" s="67"/>
      <c r="D4" s="2"/>
      <c r="E4" s="1"/>
      <c r="F4" s="1"/>
      <c r="G4" s="1"/>
      <c r="H4" s="3"/>
      <c r="I4" s="3"/>
      <c r="J4" s="111"/>
      <c r="K4" s="3"/>
      <c r="L4" s="3"/>
      <c r="M4" s="3"/>
      <c r="N4" s="3"/>
      <c r="O4" s="1"/>
      <c r="P4" s="1"/>
    </row>
    <row r="5" spans="1:17" ht="15">
      <c r="C5" s="112" t="s">
        <v>42</v>
      </c>
      <c r="D5" s="2"/>
      <c r="E5" s="1"/>
      <c r="F5" s="1"/>
      <c r="G5" s="113"/>
      <c r="H5" s="1" t="s">
        <v>43</v>
      </c>
      <c r="I5" s="1"/>
      <c r="J5" s="4"/>
      <c r="K5" s="268" t="s">
        <v>152</v>
      </c>
      <c r="L5" s="114"/>
      <c r="M5" s="115"/>
      <c r="N5" s="116">
        <f>VLOOKUP(I10,C17:I72,5)</f>
        <v>202157.58077744386</v>
      </c>
      <c r="P5" s="1"/>
    </row>
    <row r="6" spans="1:17" ht="15.75">
      <c r="C6" s="8"/>
      <c r="D6" s="2"/>
      <c r="E6" s="1"/>
      <c r="F6" s="1"/>
      <c r="G6" s="1"/>
      <c r="H6" s="117"/>
      <c r="I6" s="117"/>
      <c r="J6" s="118"/>
      <c r="K6" s="269" t="s">
        <v>153</v>
      </c>
      <c r="L6" s="119"/>
      <c r="M6" s="4"/>
      <c r="N6" s="120">
        <f>VLOOKUP(I10,C17:I72,6)</f>
        <v>202157.58077744386</v>
      </c>
      <c r="O6" s="1"/>
      <c r="P6" s="1"/>
    </row>
    <row r="7" spans="1:17" ht="13.5" thickBot="1">
      <c r="C7" s="121" t="s">
        <v>44</v>
      </c>
      <c r="D7" s="274" t="s">
        <v>270</v>
      </c>
      <c r="E7" s="1"/>
      <c r="F7" s="1"/>
      <c r="G7" s="170"/>
      <c r="H7" s="3"/>
      <c r="I7" s="3"/>
      <c r="J7" s="111"/>
      <c r="K7" s="122" t="s">
        <v>45</v>
      </c>
      <c r="L7" s="123"/>
      <c r="M7" s="123"/>
      <c r="N7" s="124">
        <f>+N6-N5</f>
        <v>0</v>
      </c>
      <c r="O7" s="1"/>
      <c r="P7" s="1"/>
    </row>
    <row r="8" spans="1:17" ht="13.5" thickBot="1">
      <c r="C8" s="125"/>
      <c r="D8" s="250" t="str">
        <f>IF(D10&lt;100000,"DOES NOT MEET SPP $100,000 MINIMUM INVESTMENT FOR REGIONAL BPU SHARING.","")</f>
        <v/>
      </c>
      <c r="E8" s="126"/>
      <c r="F8" s="126"/>
      <c r="G8" s="126"/>
      <c r="H8" s="126"/>
      <c r="I8" s="126"/>
      <c r="J8" s="101"/>
      <c r="K8" s="126"/>
      <c r="L8" s="126"/>
      <c r="M8" s="126"/>
      <c r="N8" s="126"/>
      <c r="O8" s="101"/>
      <c r="P8" s="21"/>
    </row>
    <row r="9" spans="1:17" ht="13.5" thickBot="1">
      <c r="A9" s="103"/>
      <c r="C9" s="127" t="s">
        <v>46</v>
      </c>
      <c r="D9" s="371" t="s">
        <v>269</v>
      </c>
      <c r="E9" s="401" t="s">
        <v>420</v>
      </c>
      <c r="F9" s="128"/>
      <c r="G9" s="128"/>
      <c r="H9" s="128"/>
      <c r="I9" s="129"/>
      <c r="J9" s="130"/>
      <c r="O9" s="131"/>
      <c r="P9" s="4"/>
    </row>
    <row r="10" spans="1:17">
      <c r="C10" s="132" t="s">
        <v>47</v>
      </c>
      <c r="D10" s="133">
        <v>1881887</v>
      </c>
      <c r="E10" s="61" t="s">
        <v>459</v>
      </c>
      <c r="F10" s="131"/>
      <c r="G10" s="134"/>
      <c r="H10" s="134"/>
      <c r="I10" s="135">
        <f>+SWE.WS.F.BPU.ATRR.Projected!K17</f>
        <v>2019</v>
      </c>
      <c r="J10" s="130"/>
      <c r="K10" s="111" t="s">
        <v>48</v>
      </c>
      <c r="O10" s="4"/>
      <c r="P10" s="4"/>
    </row>
    <row r="11" spans="1:17">
      <c r="C11" s="136" t="s">
        <v>49</v>
      </c>
      <c r="D11" s="137">
        <v>2012</v>
      </c>
      <c r="E11" s="136" t="s">
        <v>50</v>
      </c>
      <c r="F11" s="134"/>
      <c r="G11" s="7"/>
      <c r="H11" s="7"/>
      <c r="I11" s="138">
        <v>0</v>
      </c>
      <c r="J11" s="139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4"/>
      <c r="P11" s="4"/>
    </row>
    <row r="12" spans="1:17">
      <c r="C12" s="136" t="s">
        <v>51</v>
      </c>
      <c r="D12" s="133">
        <v>12</v>
      </c>
      <c r="E12" s="136" t="s">
        <v>52</v>
      </c>
      <c r="F12" s="134"/>
      <c r="G12" s="7"/>
      <c r="H12" s="7"/>
      <c r="I12" s="140">
        <f>SWE.WS.F.BPU.ATRR.Projected!$F$76</f>
        <v>9.9555672459071778E-2</v>
      </c>
      <c r="J12" s="141"/>
      <c r="K12" t="s">
        <v>53</v>
      </c>
      <c r="O12" s="4"/>
      <c r="P12" s="4"/>
    </row>
    <row r="13" spans="1:17">
      <c r="C13" s="136" t="s">
        <v>54</v>
      </c>
      <c r="D13" s="138">
        <f>+SWE.WS.F.BPU.ATRR.Projected!F$87</f>
        <v>43</v>
      </c>
      <c r="E13" s="136" t="s">
        <v>55</v>
      </c>
      <c r="F13" s="134"/>
      <c r="G13" s="7"/>
      <c r="H13" s="7"/>
      <c r="I13" s="140">
        <f>IF(G5="",I12,SWE.WS.F.BPU.ATRR.Projected!$F$75)</f>
        <v>9.9555672459071778E-2</v>
      </c>
      <c r="J13" s="141"/>
      <c r="K13" s="111" t="s">
        <v>56</v>
      </c>
      <c r="L13" s="58"/>
      <c r="M13" s="58"/>
      <c r="N13" s="58"/>
      <c r="O13" s="4"/>
      <c r="P13" s="4"/>
    </row>
    <row r="14" spans="1:17" ht="13.5" thickBot="1">
      <c r="C14" s="136" t="s">
        <v>57</v>
      </c>
      <c r="D14" s="137" t="s">
        <v>58</v>
      </c>
      <c r="E14" s="4" t="s">
        <v>59</v>
      </c>
      <c r="F14" s="134"/>
      <c r="G14" s="7"/>
      <c r="H14" s="7"/>
      <c r="I14" s="142">
        <f>IF(D10=0,0,D10/D13)</f>
        <v>43764.813953488374</v>
      </c>
      <c r="J14" s="111"/>
      <c r="K14" s="111"/>
      <c r="L14" s="111"/>
      <c r="M14" s="111"/>
      <c r="N14" s="111"/>
      <c r="O14" s="4"/>
      <c r="P14" s="4"/>
    </row>
    <row r="15" spans="1:17" ht="38.25">
      <c r="C15" s="143" t="s">
        <v>47</v>
      </c>
      <c r="D15" s="144" t="s">
        <v>60</v>
      </c>
      <c r="E15" s="144" t="s">
        <v>61</v>
      </c>
      <c r="F15" s="144" t="s">
        <v>62</v>
      </c>
      <c r="G15" s="434" t="s">
        <v>378</v>
      </c>
      <c r="H15" s="435" t="s">
        <v>379</v>
      </c>
      <c r="I15" s="351" t="s">
        <v>249</v>
      </c>
      <c r="J15" s="145"/>
      <c r="K15" s="271" t="s">
        <v>219</v>
      </c>
      <c r="L15" s="146" t="s">
        <v>64</v>
      </c>
      <c r="M15" s="271" t="s">
        <v>219</v>
      </c>
      <c r="N15" s="146" t="s">
        <v>64</v>
      </c>
      <c r="O15" s="146" t="s">
        <v>65</v>
      </c>
      <c r="P15" s="4"/>
    </row>
    <row r="16" spans="1:17" ht="13.5" thickBot="1">
      <c r="C16" s="147" t="s">
        <v>66</v>
      </c>
      <c r="D16" s="147" t="s">
        <v>67</v>
      </c>
      <c r="E16" s="147" t="s">
        <v>68</v>
      </c>
      <c r="F16" s="147" t="s">
        <v>67</v>
      </c>
      <c r="G16" s="408" t="s">
        <v>69</v>
      </c>
      <c r="H16" s="148" t="s">
        <v>70</v>
      </c>
      <c r="I16" s="149" t="s">
        <v>89</v>
      </c>
      <c r="J16" s="150" t="s">
        <v>71</v>
      </c>
      <c r="K16" s="151" t="s">
        <v>72</v>
      </c>
      <c r="L16" s="151" t="s">
        <v>72</v>
      </c>
      <c r="M16" s="151" t="s">
        <v>90</v>
      </c>
      <c r="N16" s="152" t="s">
        <v>90</v>
      </c>
      <c r="O16" s="151" t="s">
        <v>90</v>
      </c>
      <c r="P16" s="4"/>
    </row>
    <row r="17" spans="2:16">
      <c r="C17" s="153">
        <f>IF(D11= "","-",D11)</f>
        <v>2012</v>
      </c>
      <c r="D17" s="357">
        <v>1521900</v>
      </c>
      <c r="E17" s="358">
        <v>0</v>
      </c>
      <c r="F17" s="357">
        <v>1521900</v>
      </c>
      <c r="G17" s="358">
        <v>226337.18116854847</v>
      </c>
      <c r="H17" s="359">
        <v>226337.18116854847</v>
      </c>
      <c r="I17" s="368">
        <v>0</v>
      </c>
      <c r="J17" s="156"/>
      <c r="K17" s="256">
        <f t="shared" ref="K17:K22" si="0">G17</f>
        <v>226337.18116854847</v>
      </c>
      <c r="L17" s="172">
        <f t="shared" ref="L17:L48" si="1">IF(K17&lt;&gt;0,+G17-K17,0)</f>
        <v>0</v>
      </c>
      <c r="M17" s="256">
        <f t="shared" ref="M17:M22" si="2">H17</f>
        <v>226337.18116854847</v>
      </c>
      <c r="N17" s="157">
        <f t="shared" ref="N17:N48" si="3">IF(M17&lt;&gt;0,+H17-M17,0)</f>
        <v>0</v>
      </c>
      <c r="O17" s="158">
        <f t="shared" ref="O17:O48" si="4">+N17-L17</f>
        <v>0</v>
      </c>
      <c r="P17" s="4"/>
    </row>
    <row r="18" spans="2:16">
      <c r="B18" s="9" t="str">
        <f t="shared" ref="B18:B49" si="5">IF(D18=F17,"","IU")</f>
        <v>IU</v>
      </c>
      <c r="C18" s="153">
        <f>IF(D11="","-",+C17+1)</f>
        <v>2013</v>
      </c>
      <c r="D18" s="396">
        <v>1886753</v>
      </c>
      <c r="E18" s="397">
        <v>44922.690476190473</v>
      </c>
      <c r="F18" s="396">
        <v>1841830.3095238095</v>
      </c>
      <c r="G18" s="397">
        <v>302755.14118520013</v>
      </c>
      <c r="H18" s="395">
        <v>302755.14118520013</v>
      </c>
      <c r="I18" s="398">
        <v>0</v>
      </c>
      <c r="J18" s="156"/>
      <c r="K18" s="258">
        <f t="shared" si="0"/>
        <v>302755.14118520013</v>
      </c>
      <c r="L18" s="257">
        <f t="shared" ref="L18:L23" si="6">IF(K18&lt;&gt;0,+G18-K18,0)</f>
        <v>0</v>
      </c>
      <c r="M18" s="258">
        <f t="shared" si="2"/>
        <v>302755.14118520013</v>
      </c>
      <c r="N18" s="158">
        <f t="shared" ref="N18:N23" si="7">IF(M18&lt;&gt;0,+H18-M18,0)</f>
        <v>0</v>
      </c>
      <c r="O18" s="158">
        <f t="shared" ref="O18:O23" si="8">+N18-L18</f>
        <v>0</v>
      </c>
      <c r="P18" s="4"/>
    </row>
    <row r="19" spans="2:16">
      <c r="B19" s="9" t="str">
        <f t="shared" si="5"/>
        <v>IU</v>
      </c>
      <c r="C19" s="153">
        <f>IF(D11="","-",+C18+1)</f>
        <v>2014</v>
      </c>
      <c r="D19" s="396">
        <v>1836964.3095238095</v>
      </c>
      <c r="E19" s="397">
        <v>44806.833333333336</v>
      </c>
      <c r="F19" s="396">
        <v>1792157.4761904762</v>
      </c>
      <c r="G19" s="397">
        <v>286587.70931021811</v>
      </c>
      <c r="H19" s="395">
        <v>286587.70931021811</v>
      </c>
      <c r="I19" s="398">
        <v>0</v>
      </c>
      <c r="J19" s="156"/>
      <c r="K19" s="258">
        <f t="shared" si="0"/>
        <v>286587.70931021811</v>
      </c>
      <c r="L19" s="257">
        <f t="shared" si="6"/>
        <v>0</v>
      </c>
      <c r="M19" s="258">
        <f t="shared" si="2"/>
        <v>286587.70931021811</v>
      </c>
      <c r="N19" s="158">
        <f t="shared" si="7"/>
        <v>0</v>
      </c>
      <c r="O19" s="158">
        <f t="shared" si="8"/>
        <v>0</v>
      </c>
      <c r="P19" s="4"/>
    </row>
    <row r="20" spans="2:16">
      <c r="B20" s="9" t="str">
        <f t="shared" si="5"/>
        <v/>
      </c>
      <c r="C20" s="153">
        <f>IF(D11="","-",+C19+1)</f>
        <v>2015</v>
      </c>
      <c r="D20" s="396">
        <v>1792157.4761904762</v>
      </c>
      <c r="E20" s="397">
        <v>44806.833333333336</v>
      </c>
      <c r="F20" s="396">
        <v>1747350.642857143</v>
      </c>
      <c r="G20" s="397">
        <v>274941.30198456615</v>
      </c>
      <c r="H20" s="395">
        <v>274941.30198456615</v>
      </c>
      <c r="I20" s="156">
        <v>0</v>
      </c>
      <c r="J20" s="156"/>
      <c r="K20" s="258">
        <f t="shared" si="0"/>
        <v>274941.30198456615</v>
      </c>
      <c r="L20" s="257">
        <f t="shared" si="6"/>
        <v>0</v>
      </c>
      <c r="M20" s="258">
        <f t="shared" si="2"/>
        <v>274941.30198456615</v>
      </c>
      <c r="N20" s="158">
        <f t="shared" si="7"/>
        <v>0</v>
      </c>
      <c r="O20" s="158">
        <f t="shared" si="8"/>
        <v>0</v>
      </c>
      <c r="P20" s="4"/>
    </row>
    <row r="21" spans="2:16">
      <c r="B21" s="9" t="str">
        <f t="shared" si="5"/>
        <v/>
      </c>
      <c r="C21" s="153">
        <f>IF(D12="","-",+C20+1)</f>
        <v>2016</v>
      </c>
      <c r="D21" s="396">
        <v>1747350.642857143</v>
      </c>
      <c r="E21" s="397">
        <v>44806.833333333336</v>
      </c>
      <c r="F21" s="396">
        <v>1702543.8095238097</v>
      </c>
      <c r="G21" s="397">
        <v>266273.68954480469</v>
      </c>
      <c r="H21" s="395">
        <v>266273.68954480469</v>
      </c>
      <c r="I21" s="156">
        <f t="shared" ref="I21:I48" si="9">H21-G21</f>
        <v>0</v>
      </c>
      <c r="J21" s="156"/>
      <c r="K21" s="258">
        <f t="shared" si="0"/>
        <v>266273.68954480469</v>
      </c>
      <c r="L21" s="257">
        <f t="shared" si="6"/>
        <v>0</v>
      </c>
      <c r="M21" s="258">
        <f t="shared" si="2"/>
        <v>266273.68954480469</v>
      </c>
      <c r="N21" s="158">
        <f t="shared" si="7"/>
        <v>0</v>
      </c>
      <c r="O21" s="158">
        <f t="shared" si="8"/>
        <v>0</v>
      </c>
      <c r="P21" s="4"/>
    </row>
    <row r="22" spans="2:16">
      <c r="B22" s="9" t="str">
        <f t="shared" si="5"/>
        <v/>
      </c>
      <c r="C22" s="153">
        <f>IF(D11="","-",+C21+1)</f>
        <v>2017</v>
      </c>
      <c r="D22" s="396">
        <v>1702543.8095238097</v>
      </c>
      <c r="E22" s="397">
        <v>43764.813953488374</v>
      </c>
      <c r="F22" s="396">
        <v>1658778.9955703213</v>
      </c>
      <c r="G22" s="397">
        <v>251986.21326636171</v>
      </c>
      <c r="H22" s="395">
        <v>251986.21326636171</v>
      </c>
      <c r="I22" s="156">
        <v>0</v>
      </c>
      <c r="J22" s="156"/>
      <c r="K22" s="258">
        <f t="shared" si="0"/>
        <v>251986.21326636171</v>
      </c>
      <c r="L22" s="257">
        <f t="shared" si="6"/>
        <v>0</v>
      </c>
      <c r="M22" s="258">
        <f t="shared" si="2"/>
        <v>251986.21326636171</v>
      </c>
      <c r="N22" s="158">
        <f t="shared" si="7"/>
        <v>0</v>
      </c>
      <c r="O22" s="158">
        <f t="shared" si="8"/>
        <v>0</v>
      </c>
      <c r="P22" s="4"/>
    </row>
    <row r="23" spans="2:16">
      <c r="B23" s="9" t="str">
        <f t="shared" si="5"/>
        <v/>
      </c>
      <c r="C23" s="153">
        <f>IF(D11="","-",+C22+1)</f>
        <v>2018</v>
      </c>
      <c r="D23" s="396">
        <v>1658778.9955703213</v>
      </c>
      <c r="E23" s="397">
        <v>45899.682926829271</v>
      </c>
      <c r="F23" s="396">
        <v>1612879.3126434921</v>
      </c>
      <c r="G23" s="397">
        <v>228923.1355923326</v>
      </c>
      <c r="H23" s="395">
        <v>228923.1355923326</v>
      </c>
      <c r="I23" s="156">
        <f t="shared" si="9"/>
        <v>0</v>
      </c>
      <c r="J23" s="156"/>
      <c r="K23" s="258">
        <f>G23</f>
        <v>228923.1355923326</v>
      </c>
      <c r="L23" s="257">
        <f t="shared" si="6"/>
        <v>0</v>
      </c>
      <c r="M23" s="258">
        <f>H23</f>
        <v>228923.1355923326</v>
      </c>
      <c r="N23" s="158">
        <f t="shared" si="7"/>
        <v>0</v>
      </c>
      <c r="O23" s="158">
        <f t="shared" si="8"/>
        <v>0</v>
      </c>
      <c r="P23" s="4"/>
    </row>
    <row r="24" spans="2:16">
      <c r="B24" s="9" t="str">
        <f t="shared" si="5"/>
        <v/>
      </c>
      <c r="C24" s="153">
        <f>IF(D11="","-",+C23+1)</f>
        <v>2019</v>
      </c>
      <c r="D24" s="159">
        <f>IF(F23+SUM(E$17:E23)=D$10,F23,D$10-SUM(E$17:E23))</f>
        <v>1612879.3126434921</v>
      </c>
      <c r="E24" s="160">
        <f>IF(+I14&lt;F23,I14,D24)</f>
        <v>43764.813953488374</v>
      </c>
      <c r="F24" s="159">
        <f t="shared" ref="F24:F48" si="10">+D24-E24</f>
        <v>1569114.4986900038</v>
      </c>
      <c r="G24" s="161">
        <f t="shared" ref="G24:G53" si="11">+I$12*((D24+F24)/2)+E24</f>
        <v>202157.58077744386</v>
      </c>
      <c r="H24" s="142">
        <f t="shared" ref="H24:H53" si="12">+I$13*((D24+F24)/2)+E24</f>
        <v>202157.58077744386</v>
      </c>
      <c r="I24" s="156">
        <f t="shared" si="9"/>
        <v>0</v>
      </c>
      <c r="J24" s="156"/>
      <c r="K24" s="334"/>
      <c r="L24" s="158">
        <f t="shared" si="1"/>
        <v>0</v>
      </c>
      <c r="M24" s="334"/>
      <c r="N24" s="158">
        <f t="shared" si="3"/>
        <v>0</v>
      </c>
      <c r="O24" s="158">
        <f t="shared" si="4"/>
        <v>0</v>
      </c>
      <c r="P24" s="4"/>
    </row>
    <row r="25" spans="2:16">
      <c r="B25" s="9" t="str">
        <f t="shared" si="5"/>
        <v/>
      </c>
      <c r="C25" s="153">
        <f>IF(D11="","-",+C24+1)</f>
        <v>2020</v>
      </c>
      <c r="D25" s="159">
        <f>IF(F24+SUM(E$17:E24)=D$10,F24,D$10-SUM(E$17:E24))</f>
        <v>1569114.4986900038</v>
      </c>
      <c r="E25" s="160">
        <f>IF(+I14&lt;F24,I14,D25)</f>
        <v>43764.813953488374</v>
      </c>
      <c r="F25" s="159">
        <f t="shared" si="10"/>
        <v>1525349.6847365154</v>
      </c>
      <c r="G25" s="161">
        <f t="shared" si="11"/>
        <v>197800.54529425813</v>
      </c>
      <c r="H25" s="142">
        <f t="shared" si="12"/>
        <v>197800.54529425813</v>
      </c>
      <c r="I25" s="156">
        <f t="shared" si="9"/>
        <v>0</v>
      </c>
      <c r="J25" s="156"/>
      <c r="K25" s="334"/>
      <c r="L25" s="158">
        <f t="shared" si="1"/>
        <v>0</v>
      </c>
      <c r="M25" s="334"/>
      <c r="N25" s="158">
        <f t="shared" si="3"/>
        <v>0</v>
      </c>
      <c r="O25" s="158">
        <f t="shared" si="4"/>
        <v>0</v>
      </c>
      <c r="P25" s="4"/>
    </row>
    <row r="26" spans="2:16">
      <c r="B26" s="9" t="str">
        <f t="shared" si="5"/>
        <v/>
      </c>
      <c r="C26" s="153">
        <f>IF(D11="","-",+C25+1)</f>
        <v>2021</v>
      </c>
      <c r="D26" s="159">
        <f>IF(F25+SUM(E$17:E25)=D$10,F25,D$10-SUM(E$17:E25))</f>
        <v>1525349.6847365154</v>
      </c>
      <c r="E26" s="160">
        <f>IF(+I14&lt;F25,I14,D26)</f>
        <v>43764.813953488374</v>
      </c>
      <c r="F26" s="159">
        <f t="shared" si="10"/>
        <v>1481584.870783027</v>
      </c>
      <c r="G26" s="161">
        <f t="shared" si="11"/>
        <v>193443.50981107246</v>
      </c>
      <c r="H26" s="142">
        <f t="shared" si="12"/>
        <v>193443.50981107246</v>
      </c>
      <c r="I26" s="156">
        <f t="shared" si="9"/>
        <v>0</v>
      </c>
      <c r="J26" s="156"/>
      <c r="K26" s="334"/>
      <c r="L26" s="158">
        <f t="shared" si="1"/>
        <v>0</v>
      </c>
      <c r="M26" s="334"/>
      <c r="N26" s="158">
        <f t="shared" si="3"/>
        <v>0</v>
      </c>
      <c r="O26" s="158">
        <f t="shared" si="4"/>
        <v>0</v>
      </c>
      <c r="P26" s="4"/>
    </row>
    <row r="27" spans="2:16">
      <c r="B27" s="9" t="str">
        <f t="shared" si="5"/>
        <v/>
      </c>
      <c r="C27" s="153">
        <f>IF(D11="","-",+C26+1)</f>
        <v>2022</v>
      </c>
      <c r="D27" s="159">
        <f>IF(F26+SUM(E$17:E26)=D$10,F26,D$10-SUM(E$17:E26))</f>
        <v>1481584.870783027</v>
      </c>
      <c r="E27" s="160">
        <f>IF(+I14&lt;F26,I14,D27)</f>
        <v>43764.813953488374</v>
      </c>
      <c r="F27" s="159">
        <f t="shared" si="10"/>
        <v>1437820.0568295387</v>
      </c>
      <c r="G27" s="161">
        <f t="shared" si="11"/>
        <v>189086.47432788674</v>
      </c>
      <c r="H27" s="142">
        <f t="shared" si="12"/>
        <v>189086.47432788674</v>
      </c>
      <c r="I27" s="156">
        <f t="shared" si="9"/>
        <v>0</v>
      </c>
      <c r="J27" s="156"/>
      <c r="K27" s="334"/>
      <c r="L27" s="158">
        <f t="shared" si="1"/>
        <v>0</v>
      </c>
      <c r="M27" s="334"/>
      <c r="N27" s="158">
        <f t="shared" si="3"/>
        <v>0</v>
      </c>
      <c r="O27" s="158">
        <f t="shared" si="4"/>
        <v>0</v>
      </c>
      <c r="P27" s="4"/>
    </row>
    <row r="28" spans="2:16">
      <c r="B28" s="9" t="str">
        <f t="shared" si="5"/>
        <v/>
      </c>
      <c r="C28" s="153">
        <f>IF(D11="","-",+C27+1)</f>
        <v>2023</v>
      </c>
      <c r="D28" s="159">
        <f>IF(F27+SUM(E$17:E27)=D$10,F27,D$10-SUM(E$17:E27))</f>
        <v>1437820.0568295387</v>
      </c>
      <c r="E28" s="160">
        <f>IF(+I14&lt;F27,I14,D28)</f>
        <v>43764.813953488374</v>
      </c>
      <c r="F28" s="159">
        <f t="shared" si="10"/>
        <v>1394055.2428760503</v>
      </c>
      <c r="G28" s="161">
        <f t="shared" si="11"/>
        <v>184729.43884470104</v>
      </c>
      <c r="H28" s="142">
        <f t="shared" si="12"/>
        <v>184729.43884470104</v>
      </c>
      <c r="I28" s="156">
        <f t="shared" si="9"/>
        <v>0</v>
      </c>
      <c r="J28" s="156"/>
      <c r="K28" s="334"/>
      <c r="L28" s="158">
        <f t="shared" si="1"/>
        <v>0</v>
      </c>
      <c r="M28" s="334"/>
      <c r="N28" s="158">
        <f t="shared" si="3"/>
        <v>0</v>
      </c>
      <c r="O28" s="158">
        <f t="shared" si="4"/>
        <v>0</v>
      </c>
      <c r="P28" s="4"/>
    </row>
    <row r="29" spans="2:16">
      <c r="B29" s="9" t="str">
        <f t="shared" si="5"/>
        <v/>
      </c>
      <c r="C29" s="153">
        <f>IF(D11="","-",+C28+1)</f>
        <v>2024</v>
      </c>
      <c r="D29" s="159">
        <f>IF(F28+SUM(E$17:E28)=D$10,F28,D$10-SUM(E$17:E28))</f>
        <v>1394055.2428760503</v>
      </c>
      <c r="E29" s="160">
        <f>IF(+I14&lt;F28,I14,D29)</f>
        <v>43764.813953488374</v>
      </c>
      <c r="F29" s="159">
        <f t="shared" si="10"/>
        <v>1350290.4289225619</v>
      </c>
      <c r="G29" s="161">
        <f t="shared" si="11"/>
        <v>180372.40336151532</v>
      </c>
      <c r="H29" s="142">
        <f t="shared" si="12"/>
        <v>180372.40336151532</v>
      </c>
      <c r="I29" s="156">
        <f t="shared" si="9"/>
        <v>0</v>
      </c>
      <c r="J29" s="156"/>
      <c r="K29" s="334"/>
      <c r="L29" s="158">
        <f t="shared" si="1"/>
        <v>0</v>
      </c>
      <c r="M29" s="334"/>
      <c r="N29" s="158">
        <f t="shared" si="3"/>
        <v>0</v>
      </c>
      <c r="O29" s="158">
        <f t="shared" si="4"/>
        <v>0</v>
      </c>
      <c r="P29" s="4"/>
    </row>
    <row r="30" spans="2:16">
      <c r="B30" s="9" t="str">
        <f t="shared" si="5"/>
        <v/>
      </c>
      <c r="C30" s="153">
        <f>IF(D11="","-",+C29+1)</f>
        <v>2025</v>
      </c>
      <c r="D30" s="159">
        <f>IF(F29+SUM(E$17:E29)=D$10,F29,D$10-SUM(E$17:E29))</f>
        <v>1350290.4289225619</v>
      </c>
      <c r="E30" s="160">
        <f>IF(+I14&lt;F29,I14,D30)</f>
        <v>43764.813953488374</v>
      </c>
      <c r="F30" s="159">
        <f t="shared" si="10"/>
        <v>1306525.6149690736</v>
      </c>
      <c r="G30" s="161">
        <f t="shared" si="11"/>
        <v>176015.36787832965</v>
      </c>
      <c r="H30" s="142">
        <f t="shared" si="12"/>
        <v>176015.36787832965</v>
      </c>
      <c r="I30" s="156">
        <f t="shared" si="9"/>
        <v>0</v>
      </c>
      <c r="J30" s="156"/>
      <c r="K30" s="334"/>
      <c r="L30" s="158">
        <f t="shared" si="1"/>
        <v>0</v>
      </c>
      <c r="M30" s="334"/>
      <c r="N30" s="158">
        <f t="shared" si="3"/>
        <v>0</v>
      </c>
      <c r="O30" s="158">
        <f t="shared" si="4"/>
        <v>0</v>
      </c>
      <c r="P30" s="4"/>
    </row>
    <row r="31" spans="2:16">
      <c r="B31" s="9" t="str">
        <f t="shared" si="5"/>
        <v/>
      </c>
      <c r="C31" s="153">
        <f>IF(D11="","-",+C30+1)</f>
        <v>2026</v>
      </c>
      <c r="D31" s="159">
        <f>IF(F30+SUM(E$17:E30)=D$10,F30,D$10-SUM(E$17:E30))</f>
        <v>1306525.6149690736</v>
      </c>
      <c r="E31" s="160">
        <f>IF(+I14&lt;F30,I14,D31)</f>
        <v>43764.813953488374</v>
      </c>
      <c r="F31" s="159">
        <f t="shared" si="10"/>
        <v>1262760.8010155852</v>
      </c>
      <c r="G31" s="161">
        <f t="shared" si="11"/>
        <v>171658.33239514392</v>
      </c>
      <c r="H31" s="142">
        <f t="shared" si="12"/>
        <v>171658.33239514392</v>
      </c>
      <c r="I31" s="156">
        <f t="shared" si="9"/>
        <v>0</v>
      </c>
      <c r="J31" s="156"/>
      <c r="K31" s="334"/>
      <c r="L31" s="158">
        <f t="shared" si="1"/>
        <v>0</v>
      </c>
      <c r="M31" s="334"/>
      <c r="N31" s="158">
        <f t="shared" si="3"/>
        <v>0</v>
      </c>
      <c r="O31" s="158">
        <f t="shared" si="4"/>
        <v>0</v>
      </c>
      <c r="P31" s="4"/>
    </row>
    <row r="32" spans="2:16">
      <c r="B32" s="9" t="str">
        <f t="shared" si="5"/>
        <v/>
      </c>
      <c r="C32" s="153">
        <f>IF(D11="","-",+C31+1)</f>
        <v>2027</v>
      </c>
      <c r="D32" s="159">
        <f>IF(F31+SUM(E$17:E31)=D$10,F31,D$10-SUM(E$17:E31))</f>
        <v>1262760.8010155852</v>
      </c>
      <c r="E32" s="160">
        <f>IF(+I14&lt;F31,I14,D32)</f>
        <v>43764.813953488374</v>
      </c>
      <c r="F32" s="159">
        <f t="shared" si="10"/>
        <v>1218995.9870620968</v>
      </c>
      <c r="G32" s="161">
        <f t="shared" si="11"/>
        <v>167301.29691195826</v>
      </c>
      <c r="H32" s="142">
        <f t="shared" si="12"/>
        <v>167301.29691195826</v>
      </c>
      <c r="I32" s="156">
        <f t="shared" si="9"/>
        <v>0</v>
      </c>
      <c r="J32" s="156"/>
      <c r="K32" s="334"/>
      <c r="L32" s="158">
        <f t="shared" si="1"/>
        <v>0</v>
      </c>
      <c r="M32" s="334"/>
      <c r="N32" s="158">
        <f t="shared" si="3"/>
        <v>0</v>
      </c>
      <c r="O32" s="158">
        <f t="shared" si="4"/>
        <v>0</v>
      </c>
      <c r="P32" s="4"/>
    </row>
    <row r="33" spans="2:16">
      <c r="B33" s="9" t="str">
        <f t="shared" si="5"/>
        <v/>
      </c>
      <c r="C33" s="153">
        <f>IF(D11="","-",+C32+1)</f>
        <v>2028</v>
      </c>
      <c r="D33" s="159">
        <f>IF(F32+SUM(E$17:E32)=D$10,F32,D$10-SUM(E$17:E32))</f>
        <v>1218995.9870620968</v>
      </c>
      <c r="E33" s="160">
        <f>IF(+I14&lt;F32,I14,D33)</f>
        <v>43764.813953488374</v>
      </c>
      <c r="F33" s="159">
        <f t="shared" si="10"/>
        <v>1175231.1731086085</v>
      </c>
      <c r="G33" s="161">
        <f t="shared" si="11"/>
        <v>162944.26142877253</v>
      </c>
      <c r="H33" s="142">
        <f t="shared" si="12"/>
        <v>162944.26142877253</v>
      </c>
      <c r="I33" s="156">
        <f t="shared" si="9"/>
        <v>0</v>
      </c>
      <c r="J33" s="156"/>
      <c r="K33" s="334"/>
      <c r="L33" s="158">
        <f t="shared" si="1"/>
        <v>0</v>
      </c>
      <c r="M33" s="334"/>
      <c r="N33" s="158">
        <f t="shared" si="3"/>
        <v>0</v>
      </c>
      <c r="O33" s="158">
        <f t="shared" si="4"/>
        <v>0</v>
      </c>
      <c r="P33" s="4"/>
    </row>
    <row r="34" spans="2:16">
      <c r="B34" s="9" t="str">
        <f t="shared" si="5"/>
        <v/>
      </c>
      <c r="C34" s="153">
        <f>IF(D11="","-",+C33+1)</f>
        <v>2029</v>
      </c>
      <c r="D34" s="159">
        <f>IF(F33+SUM(E$17:E33)=D$10,F33,D$10-SUM(E$17:E33))</f>
        <v>1175231.1731086085</v>
      </c>
      <c r="E34" s="160">
        <f>IF(+I14&lt;F33,I14,D34)</f>
        <v>43764.813953488374</v>
      </c>
      <c r="F34" s="159">
        <f t="shared" si="10"/>
        <v>1131466.3591551201</v>
      </c>
      <c r="G34" s="161">
        <f t="shared" si="11"/>
        <v>158587.22594558683</v>
      </c>
      <c r="H34" s="142">
        <f t="shared" si="12"/>
        <v>158587.22594558683</v>
      </c>
      <c r="I34" s="156">
        <f t="shared" si="9"/>
        <v>0</v>
      </c>
      <c r="J34" s="156"/>
      <c r="K34" s="334"/>
      <c r="L34" s="158">
        <f t="shared" si="1"/>
        <v>0</v>
      </c>
      <c r="M34" s="334"/>
      <c r="N34" s="158">
        <f t="shared" si="3"/>
        <v>0</v>
      </c>
      <c r="O34" s="158">
        <f t="shared" si="4"/>
        <v>0</v>
      </c>
      <c r="P34" s="4"/>
    </row>
    <row r="35" spans="2:16">
      <c r="B35" s="9" t="str">
        <f t="shared" si="5"/>
        <v/>
      </c>
      <c r="C35" s="153">
        <f>IF(D11="","-",+C34+1)</f>
        <v>2030</v>
      </c>
      <c r="D35" s="159">
        <f>IF(F34+SUM(E$17:E34)=D$10,F34,D$10-SUM(E$17:E34))</f>
        <v>1131466.3591551201</v>
      </c>
      <c r="E35" s="160">
        <f>IF(+I14&lt;F34,I14,D35)</f>
        <v>43764.813953488374</v>
      </c>
      <c r="F35" s="159">
        <f t="shared" si="10"/>
        <v>1087701.5452016317</v>
      </c>
      <c r="G35" s="161">
        <f t="shared" si="11"/>
        <v>154230.19046240111</v>
      </c>
      <c r="H35" s="142">
        <f t="shared" si="12"/>
        <v>154230.19046240111</v>
      </c>
      <c r="I35" s="156">
        <f t="shared" si="9"/>
        <v>0</v>
      </c>
      <c r="J35" s="156"/>
      <c r="K35" s="334"/>
      <c r="L35" s="158">
        <f t="shared" si="1"/>
        <v>0</v>
      </c>
      <c r="M35" s="334"/>
      <c r="N35" s="158">
        <f t="shared" si="3"/>
        <v>0</v>
      </c>
      <c r="O35" s="158">
        <f t="shared" si="4"/>
        <v>0</v>
      </c>
      <c r="P35" s="4"/>
    </row>
    <row r="36" spans="2:16">
      <c r="B36" s="9" t="str">
        <f t="shared" si="5"/>
        <v/>
      </c>
      <c r="C36" s="153">
        <f>IF(D11="","-",+C35+1)</f>
        <v>2031</v>
      </c>
      <c r="D36" s="159">
        <f>IF(F35+SUM(E$17:E35)=D$10,F35,D$10-SUM(E$17:E35))</f>
        <v>1087701.5452016317</v>
      </c>
      <c r="E36" s="160">
        <f>IF(+I14&lt;F35,I14,D36)</f>
        <v>43764.813953488374</v>
      </c>
      <c r="F36" s="159">
        <f t="shared" si="10"/>
        <v>1043936.7312481434</v>
      </c>
      <c r="G36" s="161">
        <f t="shared" si="11"/>
        <v>149873.15497921544</v>
      </c>
      <c r="H36" s="142">
        <f t="shared" si="12"/>
        <v>149873.15497921544</v>
      </c>
      <c r="I36" s="156">
        <f t="shared" si="9"/>
        <v>0</v>
      </c>
      <c r="J36" s="156"/>
      <c r="K36" s="334"/>
      <c r="L36" s="158">
        <f t="shared" si="1"/>
        <v>0</v>
      </c>
      <c r="M36" s="334"/>
      <c r="N36" s="158">
        <f t="shared" si="3"/>
        <v>0</v>
      </c>
      <c r="O36" s="158">
        <f t="shared" si="4"/>
        <v>0</v>
      </c>
      <c r="P36" s="4"/>
    </row>
    <row r="37" spans="2:16">
      <c r="B37" s="9" t="str">
        <f t="shared" si="5"/>
        <v/>
      </c>
      <c r="C37" s="153">
        <f>IF(D11="","-",+C36+1)</f>
        <v>2032</v>
      </c>
      <c r="D37" s="159">
        <f>IF(F36+SUM(E$17:E36)=D$10,F36,D$10-SUM(E$17:E36))</f>
        <v>1043936.7312481434</v>
      </c>
      <c r="E37" s="160">
        <f>IF(+I14&lt;F36,I14,D37)</f>
        <v>43764.813953488374</v>
      </c>
      <c r="F37" s="159">
        <f t="shared" si="10"/>
        <v>1000171.917294655</v>
      </c>
      <c r="G37" s="161">
        <f t="shared" si="11"/>
        <v>145516.11949602971</v>
      </c>
      <c r="H37" s="142">
        <f t="shared" si="12"/>
        <v>145516.11949602971</v>
      </c>
      <c r="I37" s="156">
        <f t="shared" si="9"/>
        <v>0</v>
      </c>
      <c r="J37" s="156"/>
      <c r="K37" s="334"/>
      <c r="L37" s="158">
        <f t="shared" si="1"/>
        <v>0</v>
      </c>
      <c r="M37" s="334"/>
      <c r="N37" s="158">
        <f t="shared" si="3"/>
        <v>0</v>
      </c>
      <c r="O37" s="158">
        <f t="shared" si="4"/>
        <v>0</v>
      </c>
      <c r="P37" s="4"/>
    </row>
    <row r="38" spans="2:16">
      <c r="B38" s="9" t="str">
        <f t="shared" si="5"/>
        <v/>
      </c>
      <c r="C38" s="153">
        <f>IF(D11="","-",+C37+1)</f>
        <v>2033</v>
      </c>
      <c r="D38" s="159">
        <f>IF(F37+SUM(E$17:E37)=D$10,F37,D$10-SUM(E$17:E37))</f>
        <v>1000171.917294655</v>
      </c>
      <c r="E38" s="160">
        <f>IF(+I14&lt;F37,I14,D38)</f>
        <v>43764.813953488374</v>
      </c>
      <c r="F38" s="159">
        <f t="shared" si="10"/>
        <v>956407.10334116663</v>
      </c>
      <c r="G38" s="161">
        <f t="shared" si="11"/>
        <v>141159.08401284402</v>
      </c>
      <c r="H38" s="142">
        <f t="shared" si="12"/>
        <v>141159.08401284402</v>
      </c>
      <c r="I38" s="156">
        <f t="shared" si="9"/>
        <v>0</v>
      </c>
      <c r="J38" s="156"/>
      <c r="K38" s="334"/>
      <c r="L38" s="158">
        <f t="shared" si="1"/>
        <v>0</v>
      </c>
      <c r="M38" s="334"/>
      <c r="N38" s="158">
        <f t="shared" si="3"/>
        <v>0</v>
      </c>
      <c r="O38" s="158">
        <f t="shared" si="4"/>
        <v>0</v>
      </c>
      <c r="P38" s="4"/>
    </row>
    <row r="39" spans="2:16">
      <c r="B39" s="9" t="str">
        <f t="shared" si="5"/>
        <v/>
      </c>
      <c r="C39" s="153">
        <f>IF(D11="","-",+C38+1)</f>
        <v>2034</v>
      </c>
      <c r="D39" s="159">
        <f>IF(F38+SUM(E$17:E38)=D$10,F38,D$10-SUM(E$17:E38))</f>
        <v>956407.10334116663</v>
      </c>
      <c r="E39" s="160">
        <f>IF(+I14&lt;F38,I14,D39)</f>
        <v>43764.813953488374</v>
      </c>
      <c r="F39" s="159">
        <f t="shared" si="10"/>
        <v>912642.28938767826</v>
      </c>
      <c r="G39" s="161">
        <f t="shared" si="11"/>
        <v>136802.04852965832</v>
      </c>
      <c r="H39" s="142">
        <f t="shared" si="12"/>
        <v>136802.04852965832</v>
      </c>
      <c r="I39" s="156">
        <f t="shared" si="9"/>
        <v>0</v>
      </c>
      <c r="J39" s="156"/>
      <c r="K39" s="334"/>
      <c r="L39" s="158">
        <f t="shared" si="1"/>
        <v>0</v>
      </c>
      <c r="M39" s="334"/>
      <c r="N39" s="158">
        <f t="shared" si="3"/>
        <v>0</v>
      </c>
      <c r="O39" s="158">
        <f t="shared" si="4"/>
        <v>0</v>
      </c>
      <c r="P39" s="4"/>
    </row>
    <row r="40" spans="2:16">
      <c r="B40" s="9" t="str">
        <f t="shared" si="5"/>
        <v/>
      </c>
      <c r="C40" s="153">
        <f>IF(D11="","-",+C39+1)</f>
        <v>2035</v>
      </c>
      <c r="D40" s="159">
        <f>IF(F39+SUM(E$17:E39)=D$10,F39,D$10-SUM(E$17:E39))</f>
        <v>912642.28938767826</v>
      </c>
      <c r="E40" s="160">
        <f>IF(+I14&lt;F39,I14,D40)</f>
        <v>43764.813953488374</v>
      </c>
      <c r="F40" s="159">
        <f t="shared" si="10"/>
        <v>868877.4754341899</v>
      </c>
      <c r="G40" s="161">
        <f t="shared" si="11"/>
        <v>132445.01304647262</v>
      </c>
      <c r="H40" s="142">
        <f t="shared" si="12"/>
        <v>132445.01304647262</v>
      </c>
      <c r="I40" s="156">
        <f t="shared" si="9"/>
        <v>0</v>
      </c>
      <c r="J40" s="156"/>
      <c r="K40" s="334"/>
      <c r="L40" s="158">
        <f t="shared" si="1"/>
        <v>0</v>
      </c>
      <c r="M40" s="334"/>
      <c r="N40" s="158">
        <f t="shared" si="3"/>
        <v>0</v>
      </c>
      <c r="O40" s="158">
        <f t="shared" si="4"/>
        <v>0</v>
      </c>
      <c r="P40" s="4"/>
    </row>
    <row r="41" spans="2:16">
      <c r="B41" s="9" t="str">
        <f t="shared" si="5"/>
        <v/>
      </c>
      <c r="C41" s="153">
        <f>IF(D11="","-",+C40+1)</f>
        <v>2036</v>
      </c>
      <c r="D41" s="159">
        <f>IF(F40+SUM(E$17:E40)=D$10,F40,D$10-SUM(E$17:E40))</f>
        <v>868877.4754341899</v>
      </c>
      <c r="E41" s="160">
        <f>IF(+I14&lt;F40,I14,D41)</f>
        <v>43764.813953488374</v>
      </c>
      <c r="F41" s="159">
        <f t="shared" si="10"/>
        <v>825112.66148070153</v>
      </c>
      <c r="G41" s="161">
        <f t="shared" si="11"/>
        <v>128087.97756328693</v>
      </c>
      <c r="H41" s="142">
        <f t="shared" si="12"/>
        <v>128087.97756328693</v>
      </c>
      <c r="I41" s="156">
        <f t="shared" si="9"/>
        <v>0</v>
      </c>
      <c r="J41" s="156"/>
      <c r="K41" s="334"/>
      <c r="L41" s="158">
        <f t="shared" si="1"/>
        <v>0</v>
      </c>
      <c r="M41" s="334"/>
      <c r="N41" s="158">
        <f t="shared" si="3"/>
        <v>0</v>
      </c>
      <c r="O41" s="158">
        <f t="shared" si="4"/>
        <v>0</v>
      </c>
      <c r="P41" s="4"/>
    </row>
    <row r="42" spans="2:16">
      <c r="B42" s="9" t="str">
        <f t="shared" si="5"/>
        <v/>
      </c>
      <c r="C42" s="153">
        <f>IF(D11="","-",+C41+1)</f>
        <v>2037</v>
      </c>
      <c r="D42" s="159">
        <f>IF(F41+SUM(E$17:E41)=D$10,F41,D$10-SUM(E$17:E41))</f>
        <v>825112.66148070153</v>
      </c>
      <c r="E42" s="160">
        <f>IF(+I14&lt;F41,I14,D42)</f>
        <v>43764.813953488374</v>
      </c>
      <c r="F42" s="159">
        <f t="shared" si="10"/>
        <v>781347.84752721316</v>
      </c>
      <c r="G42" s="161">
        <f t="shared" si="11"/>
        <v>123730.9420801012</v>
      </c>
      <c r="H42" s="142">
        <f t="shared" si="12"/>
        <v>123730.9420801012</v>
      </c>
      <c r="I42" s="156">
        <f t="shared" si="9"/>
        <v>0</v>
      </c>
      <c r="J42" s="156"/>
      <c r="K42" s="334"/>
      <c r="L42" s="158">
        <f t="shared" si="1"/>
        <v>0</v>
      </c>
      <c r="M42" s="334"/>
      <c r="N42" s="158">
        <f t="shared" si="3"/>
        <v>0</v>
      </c>
      <c r="O42" s="158">
        <f t="shared" si="4"/>
        <v>0</v>
      </c>
      <c r="P42" s="4"/>
    </row>
    <row r="43" spans="2:16">
      <c r="B43" s="9" t="str">
        <f t="shared" si="5"/>
        <v/>
      </c>
      <c r="C43" s="153">
        <f>IF(D11="","-",+C42+1)</f>
        <v>2038</v>
      </c>
      <c r="D43" s="159">
        <f>IF(F42+SUM(E$17:E42)=D$10,F42,D$10-SUM(E$17:E42))</f>
        <v>781347.84752721316</v>
      </c>
      <c r="E43" s="160">
        <f>IF(+I14&lt;F42,I14,D43)</f>
        <v>43764.813953488374</v>
      </c>
      <c r="F43" s="159">
        <f t="shared" si="10"/>
        <v>737583.0335737248</v>
      </c>
      <c r="G43" s="161">
        <f t="shared" si="11"/>
        <v>119373.90659691551</v>
      </c>
      <c r="H43" s="142">
        <f t="shared" si="12"/>
        <v>119373.90659691551</v>
      </c>
      <c r="I43" s="156">
        <f t="shared" si="9"/>
        <v>0</v>
      </c>
      <c r="J43" s="156"/>
      <c r="K43" s="334"/>
      <c r="L43" s="158">
        <f t="shared" si="1"/>
        <v>0</v>
      </c>
      <c r="M43" s="334"/>
      <c r="N43" s="158">
        <f t="shared" si="3"/>
        <v>0</v>
      </c>
      <c r="O43" s="158">
        <f t="shared" si="4"/>
        <v>0</v>
      </c>
      <c r="P43" s="4"/>
    </row>
    <row r="44" spans="2:16">
      <c r="B44" s="9" t="str">
        <f t="shared" si="5"/>
        <v/>
      </c>
      <c r="C44" s="153">
        <f>IF(D11="","-",+C43+1)</f>
        <v>2039</v>
      </c>
      <c r="D44" s="159">
        <f>IF(F43+SUM(E$17:E43)=D$10,F43,D$10-SUM(E$17:E43))</f>
        <v>737583.0335737248</v>
      </c>
      <c r="E44" s="160">
        <f>IF(+I14&lt;F43,I14,D44)</f>
        <v>43764.813953488374</v>
      </c>
      <c r="F44" s="159">
        <f t="shared" si="10"/>
        <v>693818.21962023643</v>
      </c>
      <c r="G44" s="161">
        <f t="shared" si="11"/>
        <v>115016.87111372981</v>
      </c>
      <c r="H44" s="142">
        <f t="shared" si="12"/>
        <v>115016.87111372981</v>
      </c>
      <c r="I44" s="156">
        <f t="shared" si="9"/>
        <v>0</v>
      </c>
      <c r="J44" s="156"/>
      <c r="K44" s="334"/>
      <c r="L44" s="158">
        <f t="shared" si="1"/>
        <v>0</v>
      </c>
      <c r="M44" s="334"/>
      <c r="N44" s="158">
        <f t="shared" si="3"/>
        <v>0</v>
      </c>
      <c r="O44" s="158">
        <f t="shared" si="4"/>
        <v>0</v>
      </c>
      <c r="P44" s="4"/>
    </row>
    <row r="45" spans="2:16">
      <c r="B45" s="9" t="str">
        <f t="shared" si="5"/>
        <v/>
      </c>
      <c r="C45" s="153">
        <f>IF(D11="","-",+C44+1)</f>
        <v>2040</v>
      </c>
      <c r="D45" s="159">
        <f>IF(F44+SUM(E$17:E44)=D$10,F44,D$10-SUM(E$17:E44))</f>
        <v>693818.21962023643</v>
      </c>
      <c r="E45" s="160">
        <f>IF(+I14&lt;F44,I14,D45)</f>
        <v>43764.813953488374</v>
      </c>
      <c r="F45" s="159">
        <f t="shared" si="10"/>
        <v>650053.40566674806</v>
      </c>
      <c r="G45" s="161">
        <f t="shared" si="11"/>
        <v>110659.83563054411</v>
      </c>
      <c r="H45" s="142">
        <f t="shared" si="12"/>
        <v>110659.83563054411</v>
      </c>
      <c r="I45" s="156">
        <f t="shared" si="9"/>
        <v>0</v>
      </c>
      <c r="J45" s="156"/>
      <c r="K45" s="334"/>
      <c r="L45" s="158">
        <f t="shared" si="1"/>
        <v>0</v>
      </c>
      <c r="M45" s="334"/>
      <c r="N45" s="158">
        <f t="shared" si="3"/>
        <v>0</v>
      </c>
      <c r="O45" s="158">
        <f t="shared" si="4"/>
        <v>0</v>
      </c>
      <c r="P45" s="4"/>
    </row>
    <row r="46" spans="2:16">
      <c r="B46" s="9" t="str">
        <f t="shared" si="5"/>
        <v/>
      </c>
      <c r="C46" s="153">
        <f>IF(D11="","-",+C45+1)</f>
        <v>2041</v>
      </c>
      <c r="D46" s="159">
        <f>IF(F45+SUM(E$17:E45)=D$10,F45,D$10-SUM(E$17:E45))</f>
        <v>650053.40566674806</v>
      </c>
      <c r="E46" s="160">
        <f>IF(+I14&lt;F45,I14,D46)</f>
        <v>43764.813953488374</v>
      </c>
      <c r="F46" s="159">
        <f t="shared" si="10"/>
        <v>606288.5917132597</v>
      </c>
      <c r="G46" s="161">
        <f t="shared" si="11"/>
        <v>106302.80014735842</v>
      </c>
      <c r="H46" s="142">
        <f t="shared" si="12"/>
        <v>106302.80014735842</v>
      </c>
      <c r="I46" s="156">
        <f t="shared" si="9"/>
        <v>0</v>
      </c>
      <c r="J46" s="156"/>
      <c r="K46" s="334"/>
      <c r="L46" s="158">
        <f t="shared" si="1"/>
        <v>0</v>
      </c>
      <c r="M46" s="334"/>
      <c r="N46" s="158">
        <f t="shared" si="3"/>
        <v>0</v>
      </c>
      <c r="O46" s="158">
        <f t="shared" si="4"/>
        <v>0</v>
      </c>
      <c r="P46" s="4"/>
    </row>
    <row r="47" spans="2:16">
      <c r="B47" s="9" t="str">
        <f t="shared" si="5"/>
        <v/>
      </c>
      <c r="C47" s="153">
        <f>IF(D11="","-",+C46+1)</f>
        <v>2042</v>
      </c>
      <c r="D47" s="159">
        <f>IF(F46+SUM(E$17:E46)=D$10,F46,D$10-SUM(E$17:E46))</f>
        <v>606288.5917132597</v>
      </c>
      <c r="E47" s="160">
        <f>IF(+I14&lt;F46,I14,D47)</f>
        <v>43764.813953488374</v>
      </c>
      <c r="F47" s="159">
        <f t="shared" si="10"/>
        <v>562523.77775977133</v>
      </c>
      <c r="G47" s="161">
        <f t="shared" si="11"/>
        <v>101945.7646641727</v>
      </c>
      <c r="H47" s="142">
        <f t="shared" si="12"/>
        <v>101945.7646641727</v>
      </c>
      <c r="I47" s="156">
        <f t="shared" si="9"/>
        <v>0</v>
      </c>
      <c r="J47" s="156"/>
      <c r="K47" s="334"/>
      <c r="L47" s="158">
        <f t="shared" si="1"/>
        <v>0</v>
      </c>
      <c r="M47" s="334"/>
      <c r="N47" s="158">
        <f t="shared" si="3"/>
        <v>0</v>
      </c>
      <c r="O47" s="158">
        <f t="shared" si="4"/>
        <v>0</v>
      </c>
      <c r="P47" s="4"/>
    </row>
    <row r="48" spans="2:16">
      <c r="B48" s="9" t="str">
        <f t="shared" si="5"/>
        <v/>
      </c>
      <c r="C48" s="153">
        <f>IF(D11="","-",+C47+1)</f>
        <v>2043</v>
      </c>
      <c r="D48" s="159">
        <f>IF(F47+SUM(E$17:E47)=D$10,F47,D$10-SUM(E$17:E47))</f>
        <v>562523.77775977133</v>
      </c>
      <c r="E48" s="160">
        <f>IF(+I14&lt;F47,I14,D48)</f>
        <v>43764.813953488374</v>
      </c>
      <c r="F48" s="159">
        <f t="shared" si="10"/>
        <v>518758.96380628296</v>
      </c>
      <c r="G48" s="161">
        <f t="shared" si="11"/>
        <v>97588.729180986993</v>
      </c>
      <c r="H48" s="142">
        <f t="shared" si="12"/>
        <v>97588.729180986993</v>
      </c>
      <c r="I48" s="156">
        <f t="shared" si="9"/>
        <v>0</v>
      </c>
      <c r="J48" s="156"/>
      <c r="K48" s="334"/>
      <c r="L48" s="158">
        <f t="shared" si="1"/>
        <v>0</v>
      </c>
      <c r="M48" s="334"/>
      <c r="N48" s="158">
        <f t="shared" si="3"/>
        <v>0</v>
      </c>
      <c r="O48" s="158">
        <f t="shared" si="4"/>
        <v>0</v>
      </c>
      <c r="P48" s="4"/>
    </row>
    <row r="49" spans="2:17">
      <c r="B49" s="9" t="str">
        <f t="shared" si="5"/>
        <v/>
      </c>
      <c r="C49" s="153">
        <f>IF(D11="","-",+C48+1)</f>
        <v>2044</v>
      </c>
      <c r="D49" s="159">
        <f>IF(F48+SUM(E$17:E48)=D$10,F48,D$10-SUM(E$17:E48))</f>
        <v>518758.96380628296</v>
      </c>
      <c r="E49" s="160">
        <f>IF(+I14&lt;F48,I14,D49)</f>
        <v>43764.813953488374</v>
      </c>
      <c r="F49" s="159">
        <f t="shared" ref="F49:F72" si="13">+D49-E49</f>
        <v>474994.1498527946</v>
      </c>
      <c r="G49" s="161">
        <f t="shared" si="11"/>
        <v>93231.693697801296</v>
      </c>
      <c r="H49" s="142">
        <f t="shared" si="12"/>
        <v>93231.693697801296</v>
      </c>
      <c r="I49" s="156">
        <f t="shared" ref="I49:I72" si="14">H49-G49</f>
        <v>0</v>
      </c>
      <c r="J49" s="156"/>
      <c r="K49" s="334"/>
      <c r="L49" s="158">
        <f t="shared" ref="L49:L72" si="15">IF(K49&lt;&gt;0,+G49-K49,0)</f>
        <v>0</v>
      </c>
      <c r="M49" s="334"/>
      <c r="N49" s="158">
        <f t="shared" ref="N49:N72" si="16">IF(M49&lt;&gt;0,+H49-M49,0)</f>
        <v>0</v>
      </c>
      <c r="O49" s="158">
        <f t="shared" ref="O49:O72" si="17">+N49-L49</f>
        <v>0</v>
      </c>
      <c r="P49" s="4"/>
    </row>
    <row r="50" spans="2:17">
      <c r="B50" s="9" t="str">
        <f t="shared" ref="B50:B72" si="18">IF(D50=F49,"","IU")</f>
        <v/>
      </c>
      <c r="C50" s="153">
        <f>IF(D11="","-",+C49+1)</f>
        <v>2045</v>
      </c>
      <c r="D50" s="159">
        <f>IF(F49+SUM(E$17:E49)=D$10,F49,D$10-SUM(E$17:E49))</f>
        <v>474994.1498527946</v>
      </c>
      <c r="E50" s="160">
        <f>IF(+I14&lt;F49,I14,D50)</f>
        <v>43764.813953488374</v>
      </c>
      <c r="F50" s="159">
        <f t="shared" si="13"/>
        <v>431229.33589930623</v>
      </c>
      <c r="G50" s="161">
        <f t="shared" si="11"/>
        <v>88874.6582146156</v>
      </c>
      <c r="H50" s="142">
        <f t="shared" si="12"/>
        <v>88874.6582146156</v>
      </c>
      <c r="I50" s="156">
        <f t="shared" si="14"/>
        <v>0</v>
      </c>
      <c r="J50" s="156"/>
      <c r="K50" s="334"/>
      <c r="L50" s="158">
        <f t="shared" si="15"/>
        <v>0</v>
      </c>
      <c r="M50" s="334"/>
      <c r="N50" s="158">
        <f t="shared" si="16"/>
        <v>0</v>
      </c>
      <c r="O50" s="158">
        <f t="shared" si="17"/>
        <v>0</v>
      </c>
      <c r="P50" s="4"/>
    </row>
    <row r="51" spans="2:17">
      <c r="B51" s="9" t="str">
        <f t="shared" si="18"/>
        <v/>
      </c>
      <c r="C51" s="153">
        <f>IF(D11="","-",+C50+1)</f>
        <v>2046</v>
      </c>
      <c r="D51" s="159">
        <f>IF(F50+SUM(E$17:E50)=D$10,F50,D$10-SUM(E$17:E50))</f>
        <v>431229.33589930623</v>
      </c>
      <c r="E51" s="160">
        <f>IF(+I14&lt;F50,I14,D51)</f>
        <v>43764.813953488374</v>
      </c>
      <c r="F51" s="159">
        <f t="shared" si="13"/>
        <v>387464.52194581786</v>
      </c>
      <c r="G51" s="161">
        <f t="shared" si="11"/>
        <v>84517.622731429903</v>
      </c>
      <c r="H51" s="142">
        <f t="shared" si="12"/>
        <v>84517.622731429903</v>
      </c>
      <c r="I51" s="156">
        <f t="shared" si="14"/>
        <v>0</v>
      </c>
      <c r="J51" s="156"/>
      <c r="K51" s="334"/>
      <c r="L51" s="158">
        <f t="shared" si="15"/>
        <v>0</v>
      </c>
      <c r="M51" s="334"/>
      <c r="N51" s="158">
        <f t="shared" si="16"/>
        <v>0</v>
      </c>
      <c r="O51" s="158">
        <f t="shared" si="17"/>
        <v>0</v>
      </c>
      <c r="P51" s="4"/>
    </row>
    <row r="52" spans="2:17">
      <c r="B52" s="9" t="str">
        <f t="shared" si="18"/>
        <v/>
      </c>
      <c r="C52" s="153">
        <f>IF(D11="","-",+C51+1)</f>
        <v>2047</v>
      </c>
      <c r="D52" s="159">
        <f>IF(F51+SUM(E$17:E51)=D$10,F51,D$10-SUM(E$17:E51))</f>
        <v>387464.52194581786</v>
      </c>
      <c r="E52" s="160">
        <f>IF(+I14&lt;F51,I14,D52)</f>
        <v>43764.813953488374</v>
      </c>
      <c r="F52" s="159">
        <f t="shared" si="13"/>
        <v>343699.7079923295</v>
      </c>
      <c r="G52" s="161">
        <f t="shared" si="11"/>
        <v>80160.587248244192</v>
      </c>
      <c r="H52" s="142">
        <f t="shared" si="12"/>
        <v>80160.587248244192</v>
      </c>
      <c r="I52" s="156">
        <f t="shared" si="14"/>
        <v>0</v>
      </c>
      <c r="J52" s="156"/>
      <c r="K52" s="334"/>
      <c r="L52" s="158">
        <f t="shared" si="15"/>
        <v>0</v>
      </c>
      <c r="M52" s="334"/>
      <c r="N52" s="158">
        <f t="shared" si="16"/>
        <v>0</v>
      </c>
      <c r="O52" s="158">
        <f t="shared" si="17"/>
        <v>0</v>
      </c>
      <c r="P52" s="4"/>
    </row>
    <row r="53" spans="2:17">
      <c r="B53" s="9" t="str">
        <f t="shared" si="18"/>
        <v/>
      </c>
      <c r="C53" s="153">
        <f>IF(D11="","-",+C52+1)</f>
        <v>2048</v>
      </c>
      <c r="D53" s="159">
        <f>IF(F52+SUM(E$17:E52)=D$10,F52,D$10-SUM(E$17:E52))</f>
        <v>343699.7079923295</v>
      </c>
      <c r="E53" s="160">
        <f>IF(+I14&lt;F52,I14,D53)</f>
        <v>43764.813953488374</v>
      </c>
      <c r="F53" s="159">
        <f t="shared" si="13"/>
        <v>299934.89403884113</v>
      </c>
      <c r="G53" s="161">
        <f t="shared" si="11"/>
        <v>75803.551765058495</v>
      </c>
      <c r="H53" s="142">
        <f t="shared" si="12"/>
        <v>75803.551765058495</v>
      </c>
      <c r="I53" s="156">
        <f t="shared" si="14"/>
        <v>0</v>
      </c>
      <c r="J53" s="156"/>
      <c r="K53" s="334"/>
      <c r="L53" s="158">
        <f t="shared" si="15"/>
        <v>0</v>
      </c>
      <c r="M53" s="334"/>
      <c r="N53" s="158">
        <f t="shared" si="16"/>
        <v>0</v>
      </c>
      <c r="O53" s="158">
        <f t="shared" si="17"/>
        <v>0</v>
      </c>
      <c r="P53" s="4"/>
    </row>
    <row r="54" spans="2:17">
      <c r="B54" s="9" t="str">
        <f t="shared" si="18"/>
        <v/>
      </c>
      <c r="C54" s="153">
        <f>IF(D11="","-",+C53+1)</f>
        <v>2049</v>
      </c>
      <c r="D54" s="159">
        <f>IF(F53+SUM(E$17:E53)=D$10,F53,D$10-SUM(E$17:E53))</f>
        <v>299934.89403884113</v>
      </c>
      <c r="E54" s="160">
        <f>IF(+I14&lt;F53,I14,D54)</f>
        <v>43764.813953488374</v>
      </c>
      <c r="F54" s="159">
        <f t="shared" si="13"/>
        <v>256170.08008535276</v>
      </c>
      <c r="G54" s="161">
        <f t="shared" ref="G54:G72" si="19">+I$12*((D54+F54)/2)+E54</f>
        <v>71446.516281872784</v>
      </c>
      <c r="H54" s="142">
        <f t="shared" ref="H54:H72" si="20">+I$13*((D54+F54)/2)+E54</f>
        <v>71446.516281872784</v>
      </c>
      <c r="I54" s="156">
        <f t="shared" si="14"/>
        <v>0</v>
      </c>
      <c r="J54" s="156"/>
      <c r="K54" s="334"/>
      <c r="L54" s="158">
        <f t="shared" si="15"/>
        <v>0</v>
      </c>
      <c r="M54" s="334"/>
      <c r="N54" s="158">
        <f t="shared" si="16"/>
        <v>0</v>
      </c>
      <c r="O54" s="158">
        <f t="shared" si="17"/>
        <v>0</v>
      </c>
      <c r="P54" s="4"/>
    </row>
    <row r="55" spans="2:17">
      <c r="B55" s="9" t="str">
        <f t="shared" si="18"/>
        <v/>
      </c>
      <c r="C55" s="153">
        <f>IF(D11="","-",+C54+1)</f>
        <v>2050</v>
      </c>
      <c r="D55" s="159">
        <f>IF(F54+SUM(E$17:E54)=D$10,F54,D$10-SUM(E$17:E54))</f>
        <v>256170.08008535276</v>
      </c>
      <c r="E55" s="160">
        <f>IF(+I14&lt;F54,I14,D55)</f>
        <v>43764.813953488374</v>
      </c>
      <c r="F55" s="159">
        <f t="shared" si="13"/>
        <v>212405.26613186439</v>
      </c>
      <c r="G55" s="161">
        <f t="shared" si="19"/>
        <v>67089.480798687087</v>
      </c>
      <c r="H55" s="142">
        <f t="shared" si="20"/>
        <v>67089.480798687087</v>
      </c>
      <c r="I55" s="156">
        <f t="shared" si="14"/>
        <v>0</v>
      </c>
      <c r="J55" s="156"/>
      <c r="K55" s="334"/>
      <c r="L55" s="158">
        <f t="shared" si="15"/>
        <v>0</v>
      </c>
      <c r="M55" s="334"/>
      <c r="N55" s="158">
        <f t="shared" si="16"/>
        <v>0</v>
      </c>
      <c r="O55" s="158">
        <f t="shared" si="17"/>
        <v>0</v>
      </c>
      <c r="P55" s="4"/>
    </row>
    <row r="56" spans="2:17">
      <c r="B56" s="9" t="str">
        <f t="shared" si="18"/>
        <v/>
      </c>
      <c r="C56" s="153">
        <f>IF(D11="","-",+C55+1)</f>
        <v>2051</v>
      </c>
      <c r="D56" s="159">
        <f>IF(F55+SUM(E$17:E55)=D$10,F55,D$10-SUM(E$17:E55))</f>
        <v>212405.26613186439</v>
      </c>
      <c r="E56" s="160">
        <f>IF(+I14&lt;F55,I14,D56)</f>
        <v>43764.813953488374</v>
      </c>
      <c r="F56" s="159">
        <f t="shared" si="13"/>
        <v>168640.45217837603</v>
      </c>
      <c r="G56" s="161">
        <f t="shared" si="19"/>
        <v>62732.445315501391</v>
      </c>
      <c r="H56" s="142">
        <f t="shared" si="20"/>
        <v>62732.445315501391</v>
      </c>
      <c r="I56" s="156">
        <f t="shared" si="14"/>
        <v>0</v>
      </c>
      <c r="J56" s="156"/>
      <c r="K56" s="334"/>
      <c r="L56" s="158">
        <f t="shared" si="15"/>
        <v>0</v>
      </c>
      <c r="M56" s="334"/>
      <c r="N56" s="158">
        <f t="shared" si="16"/>
        <v>0</v>
      </c>
      <c r="O56" s="158">
        <f t="shared" si="17"/>
        <v>0</v>
      </c>
      <c r="P56" s="4"/>
    </row>
    <row r="57" spans="2:17">
      <c r="B57" s="9" t="str">
        <f t="shared" si="18"/>
        <v/>
      </c>
      <c r="C57" s="153">
        <f>IF(D11="","-",+C56+1)</f>
        <v>2052</v>
      </c>
      <c r="D57" s="159">
        <f>IF(F56+SUM(E$17:E56)=D$10,F56,D$10-SUM(E$17:E56))</f>
        <v>168640.45217837603</v>
      </c>
      <c r="E57" s="160">
        <f>IF(+I14&lt;F56,I14,D57)</f>
        <v>43764.813953488374</v>
      </c>
      <c r="F57" s="159">
        <f t="shared" si="13"/>
        <v>124875.63822488766</v>
      </c>
      <c r="G57" s="161">
        <f t="shared" si="19"/>
        <v>58375.409832315687</v>
      </c>
      <c r="H57" s="142">
        <f t="shared" si="20"/>
        <v>58375.409832315687</v>
      </c>
      <c r="I57" s="156">
        <f t="shared" si="14"/>
        <v>0</v>
      </c>
      <c r="J57" s="156"/>
      <c r="K57" s="334"/>
      <c r="L57" s="158">
        <f t="shared" si="15"/>
        <v>0</v>
      </c>
      <c r="M57" s="334"/>
      <c r="N57" s="158">
        <f t="shared" si="16"/>
        <v>0</v>
      </c>
      <c r="O57" s="158">
        <f t="shared" si="17"/>
        <v>0</v>
      </c>
      <c r="P57" s="4"/>
    </row>
    <row r="58" spans="2:17">
      <c r="B58" s="9" t="str">
        <f t="shared" si="18"/>
        <v/>
      </c>
      <c r="C58" s="153">
        <f>IF(D11="","-",+C57+1)</f>
        <v>2053</v>
      </c>
      <c r="D58" s="159">
        <f>IF(F57+SUM(E$17:E57)=D$10,F57,D$10-SUM(E$17:E57))</f>
        <v>124875.63822488766</v>
      </c>
      <c r="E58" s="160">
        <f>IF(+I14&lt;F57,I14,D58)</f>
        <v>43764.813953488374</v>
      </c>
      <c r="F58" s="159">
        <f t="shared" si="13"/>
        <v>81110.824271399295</v>
      </c>
      <c r="G58" s="161">
        <f t="shared" si="19"/>
        <v>54018.374349129983</v>
      </c>
      <c r="H58" s="142">
        <f t="shared" si="20"/>
        <v>54018.374349129983</v>
      </c>
      <c r="I58" s="156">
        <f t="shared" si="14"/>
        <v>0</v>
      </c>
      <c r="J58" s="156"/>
      <c r="K58" s="334"/>
      <c r="L58" s="158">
        <f t="shared" si="15"/>
        <v>0</v>
      </c>
      <c r="M58" s="334"/>
      <c r="N58" s="158">
        <f t="shared" si="16"/>
        <v>0</v>
      </c>
      <c r="O58" s="158">
        <f t="shared" si="17"/>
        <v>0</v>
      </c>
      <c r="P58" s="4"/>
      <c r="Q58" t="str">
        <f>IF(ROUND(Q57,0)=ROUND(SUM(Q18:Q56),0),"","Error -- check allocations above).")</f>
        <v/>
      </c>
    </row>
    <row r="59" spans="2:17">
      <c r="B59" s="9" t="str">
        <f t="shared" si="18"/>
        <v/>
      </c>
      <c r="C59" s="153">
        <f>IF(D11="","-",+C58+1)</f>
        <v>2054</v>
      </c>
      <c r="D59" s="159">
        <f>IF(F58+SUM(E$17:E58)=D$10,F58,D$10-SUM(E$17:E58))</f>
        <v>81110.824271399295</v>
      </c>
      <c r="E59" s="160">
        <f>IF(+I14&lt;F58,I14,D59)</f>
        <v>43764.813953488374</v>
      </c>
      <c r="F59" s="159">
        <f t="shared" si="13"/>
        <v>37346.010317910921</v>
      </c>
      <c r="G59" s="161">
        <f t="shared" si="19"/>
        <v>49661.338865944279</v>
      </c>
      <c r="H59" s="142">
        <f t="shared" si="20"/>
        <v>49661.338865944279</v>
      </c>
      <c r="I59" s="156">
        <f t="shared" si="14"/>
        <v>0</v>
      </c>
      <c r="J59" s="156"/>
      <c r="K59" s="334"/>
      <c r="L59" s="158">
        <f t="shared" si="15"/>
        <v>0</v>
      </c>
      <c r="M59" s="334"/>
      <c r="N59" s="158">
        <f t="shared" si="16"/>
        <v>0</v>
      </c>
      <c r="O59" s="158">
        <f t="shared" si="17"/>
        <v>0</v>
      </c>
      <c r="P59" s="4"/>
    </row>
    <row r="60" spans="2:17">
      <c r="B60" s="9" t="str">
        <f t="shared" si="18"/>
        <v/>
      </c>
      <c r="C60" s="153">
        <f>IF(D11="","-",+C59+1)</f>
        <v>2055</v>
      </c>
      <c r="D60" s="159">
        <f>IF(F59+SUM(E$17:E59)=D$10,F59,D$10-SUM(E$17:E59))</f>
        <v>37346.010317910921</v>
      </c>
      <c r="E60" s="160">
        <f>IF(+I14&lt;F59,I14,D60)</f>
        <v>37346.010317910921</v>
      </c>
      <c r="F60" s="159">
        <f t="shared" si="13"/>
        <v>0</v>
      </c>
      <c r="G60" s="161">
        <f t="shared" si="19"/>
        <v>39205.013903342449</v>
      </c>
      <c r="H60" s="142">
        <f t="shared" si="20"/>
        <v>39205.013903342449</v>
      </c>
      <c r="I60" s="156">
        <f t="shared" si="14"/>
        <v>0</v>
      </c>
      <c r="J60" s="156"/>
      <c r="K60" s="334"/>
      <c r="L60" s="158">
        <f t="shared" si="15"/>
        <v>0</v>
      </c>
      <c r="M60" s="334"/>
      <c r="N60" s="158">
        <f t="shared" si="16"/>
        <v>0</v>
      </c>
      <c r="O60" s="158">
        <f t="shared" si="17"/>
        <v>0</v>
      </c>
      <c r="P60" s="4"/>
    </row>
    <row r="61" spans="2:17">
      <c r="B61" s="9" t="str">
        <f t="shared" si="18"/>
        <v/>
      </c>
      <c r="C61" s="153">
        <f>IF(D11="","-",+C60+1)</f>
        <v>2056</v>
      </c>
      <c r="D61" s="159">
        <f>IF(F60+SUM(E$17:E60)=D$10,F60,D$10-SUM(E$17:E60))</f>
        <v>0</v>
      </c>
      <c r="E61" s="160">
        <f>IF(+I14&lt;F60,I14,D61)</f>
        <v>0</v>
      </c>
      <c r="F61" s="159">
        <f t="shared" si="13"/>
        <v>0</v>
      </c>
      <c r="G61" s="163">
        <f t="shared" si="19"/>
        <v>0</v>
      </c>
      <c r="H61" s="142">
        <f t="shared" si="20"/>
        <v>0</v>
      </c>
      <c r="I61" s="156">
        <f t="shared" si="14"/>
        <v>0</v>
      </c>
      <c r="J61" s="156"/>
      <c r="K61" s="334"/>
      <c r="L61" s="158">
        <f t="shared" si="15"/>
        <v>0</v>
      </c>
      <c r="M61" s="334"/>
      <c r="N61" s="158">
        <f t="shared" si="16"/>
        <v>0</v>
      </c>
      <c r="O61" s="158">
        <f t="shared" si="17"/>
        <v>0</v>
      </c>
      <c r="P61" s="4"/>
    </row>
    <row r="62" spans="2:17">
      <c r="B62" s="9" t="str">
        <f t="shared" si="18"/>
        <v/>
      </c>
      <c r="C62" s="153">
        <f>IF(D11="","-",+C61+1)</f>
        <v>2057</v>
      </c>
      <c r="D62" s="159">
        <f>IF(F61+SUM(E$17:E61)=D$10,F61,D$10-SUM(E$17:E61))</f>
        <v>0</v>
      </c>
      <c r="E62" s="160">
        <f>IF(+I14&lt;F61,I14,D62)</f>
        <v>0</v>
      </c>
      <c r="F62" s="159">
        <f t="shared" si="13"/>
        <v>0</v>
      </c>
      <c r="G62" s="163">
        <f t="shared" si="19"/>
        <v>0</v>
      </c>
      <c r="H62" s="142">
        <f t="shared" si="20"/>
        <v>0</v>
      </c>
      <c r="I62" s="156">
        <f t="shared" si="14"/>
        <v>0</v>
      </c>
      <c r="J62" s="156"/>
      <c r="K62" s="334"/>
      <c r="L62" s="158">
        <f t="shared" si="15"/>
        <v>0</v>
      </c>
      <c r="M62" s="334"/>
      <c r="N62" s="158">
        <f t="shared" si="16"/>
        <v>0</v>
      </c>
      <c r="O62" s="158">
        <f t="shared" si="17"/>
        <v>0</v>
      </c>
      <c r="P62" s="4"/>
    </row>
    <row r="63" spans="2:17">
      <c r="B63" s="9" t="str">
        <f t="shared" si="18"/>
        <v/>
      </c>
      <c r="C63" s="153">
        <f>IF(D11="","-",+C62+1)</f>
        <v>2058</v>
      </c>
      <c r="D63" s="159">
        <f>IF(F62+SUM(E$17:E62)=D$10,F62,D$10-SUM(E$17:E62))</f>
        <v>0</v>
      </c>
      <c r="E63" s="160">
        <f>IF(+I14&lt;F62,I14,D63)</f>
        <v>0</v>
      </c>
      <c r="F63" s="159">
        <f t="shared" si="13"/>
        <v>0</v>
      </c>
      <c r="G63" s="163">
        <f t="shared" si="19"/>
        <v>0</v>
      </c>
      <c r="H63" s="142">
        <f t="shared" si="20"/>
        <v>0</v>
      </c>
      <c r="I63" s="156">
        <f t="shared" si="14"/>
        <v>0</v>
      </c>
      <c r="J63" s="156"/>
      <c r="K63" s="334"/>
      <c r="L63" s="158">
        <f t="shared" si="15"/>
        <v>0</v>
      </c>
      <c r="M63" s="334"/>
      <c r="N63" s="158">
        <f t="shared" si="16"/>
        <v>0</v>
      </c>
      <c r="O63" s="158">
        <f t="shared" si="17"/>
        <v>0</v>
      </c>
      <c r="P63" s="4"/>
    </row>
    <row r="64" spans="2:17">
      <c r="B64" s="9" t="str">
        <f t="shared" si="18"/>
        <v/>
      </c>
      <c r="C64" s="153">
        <f>IF(D11="","-",+C63+1)</f>
        <v>2059</v>
      </c>
      <c r="D64" s="159">
        <f>IF(F63+SUM(E$17:E63)=D$10,F63,D$10-SUM(E$17:E63))</f>
        <v>0</v>
      </c>
      <c r="E64" s="160">
        <f>IF(+I14&lt;F63,I14,D64)</f>
        <v>0</v>
      </c>
      <c r="F64" s="159">
        <f t="shared" si="13"/>
        <v>0</v>
      </c>
      <c r="G64" s="163">
        <f t="shared" si="19"/>
        <v>0</v>
      </c>
      <c r="H64" s="142">
        <f t="shared" si="20"/>
        <v>0</v>
      </c>
      <c r="I64" s="156">
        <f t="shared" si="14"/>
        <v>0</v>
      </c>
      <c r="J64" s="156"/>
      <c r="K64" s="334"/>
      <c r="L64" s="158">
        <f t="shared" si="15"/>
        <v>0</v>
      </c>
      <c r="M64" s="334"/>
      <c r="N64" s="158">
        <f t="shared" si="16"/>
        <v>0</v>
      </c>
      <c r="O64" s="158">
        <f t="shared" si="17"/>
        <v>0</v>
      </c>
      <c r="P64" s="4"/>
    </row>
    <row r="65" spans="1:16">
      <c r="B65" s="9" t="str">
        <f t="shared" si="18"/>
        <v/>
      </c>
      <c r="C65" s="153">
        <f>IF(D11="","-",+C64+1)</f>
        <v>2060</v>
      </c>
      <c r="D65" s="159">
        <f>IF(F64+SUM(E$17:E64)=D$10,F64,D$10-SUM(E$17:E64))</f>
        <v>0</v>
      </c>
      <c r="E65" s="160">
        <f>IF(+I14&lt;F64,I14,D65)</f>
        <v>0</v>
      </c>
      <c r="F65" s="159">
        <f t="shared" si="13"/>
        <v>0</v>
      </c>
      <c r="G65" s="163">
        <f t="shared" si="19"/>
        <v>0</v>
      </c>
      <c r="H65" s="142">
        <f t="shared" si="20"/>
        <v>0</v>
      </c>
      <c r="I65" s="156">
        <f t="shared" si="14"/>
        <v>0</v>
      </c>
      <c r="J65" s="156"/>
      <c r="K65" s="334"/>
      <c r="L65" s="158">
        <f t="shared" si="15"/>
        <v>0</v>
      </c>
      <c r="M65" s="334"/>
      <c r="N65" s="158">
        <f t="shared" si="16"/>
        <v>0</v>
      </c>
      <c r="O65" s="158">
        <f t="shared" si="17"/>
        <v>0</v>
      </c>
      <c r="P65" s="4"/>
    </row>
    <row r="66" spans="1:16">
      <c r="B66" s="9" t="str">
        <f t="shared" si="18"/>
        <v/>
      </c>
      <c r="C66" s="153">
        <f>IF(D11="","-",+C65+1)</f>
        <v>2061</v>
      </c>
      <c r="D66" s="159">
        <f>IF(F65+SUM(E$17:E65)=D$10,F65,D$10-SUM(E$17:E65))</f>
        <v>0</v>
      </c>
      <c r="E66" s="160">
        <f>IF(+I14&lt;F65,I14,D66)</f>
        <v>0</v>
      </c>
      <c r="F66" s="159">
        <f t="shared" si="13"/>
        <v>0</v>
      </c>
      <c r="G66" s="163">
        <f t="shared" si="19"/>
        <v>0</v>
      </c>
      <c r="H66" s="142">
        <f t="shared" si="20"/>
        <v>0</v>
      </c>
      <c r="I66" s="156">
        <f t="shared" si="14"/>
        <v>0</v>
      </c>
      <c r="J66" s="156"/>
      <c r="K66" s="334"/>
      <c r="L66" s="158">
        <f t="shared" si="15"/>
        <v>0</v>
      </c>
      <c r="M66" s="334"/>
      <c r="N66" s="158">
        <f t="shared" si="16"/>
        <v>0</v>
      </c>
      <c r="O66" s="158">
        <f t="shared" si="17"/>
        <v>0</v>
      </c>
      <c r="P66" s="4"/>
    </row>
    <row r="67" spans="1:16">
      <c r="B67" s="9" t="str">
        <f t="shared" si="18"/>
        <v/>
      </c>
      <c r="C67" s="153">
        <f>IF(D11="","-",+C66+1)</f>
        <v>2062</v>
      </c>
      <c r="D67" s="159">
        <f>IF(F66+SUM(E$17:E66)=D$10,F66,D$10-SUM(E$17:E66))</f>
        <v>0</v>
      </c>
      <c r="E67" s="160">
        <f>IF(+I14&lt;F66,I14,D67)</f>
        <v>0</v>
      </c>
      <c r="F67" s="159">
        <f t="shared" si="13"/>
        <v>0</v>
      </c>
      <c r="G67" s="163">
        <f t="shared" si="19"/>
        <v>0</v>
      </c>
      <c r="H67" s="142">
        <f t="shared" si="20"/>
        <v>0</v>
      </c>
      <c r="I67" s="156">
        <f t="shared" si="14"/>
        <v>0</v>
      </c>
      <c r="J67" s="156"/>
      <c r="K67" s="334"/>
      <c r="L67" s="158">
        <f t="shared" si="15"/>
        <v>0</v>
      </c>
      <c r="M67" s="334"/>
      <c r="N67" s="158">
        <f t="shared" si="16"/>
        <v>0</v>
      </c>
      <c r="O67" s="158">
        <f t="shared" si="17"/>
        <v>0</v>
      </c>
      <c r="P67" s="4"/>
    </row>
    <row r="68" spans="1:16">
      <c r="B68" s="9" t="str">
        <f t="shared" si="18"/>
        <v/>
      </c>
      <c r="C68" s="153">
        <f>IF(D11="","-",+C67+1)</f>
        <v>2063</v>
      </c>
      <c r="D68" s="159">
        <f>IF(F67+SUM(E$17:E67)=D$10,F67,D$10-SUM(E$17:E67))</f>
        <v>0</v>
      </c>
      <c r="E68" s="160">
        <f>IF(+I14&lt;F67,I14,D68)</f>
        <v>0</v>
      </c>
      <c r="F68" s="159">
        <f t="shared" si="13"/>
        <v>0</v>
      </c>
      <c r="G68" s="163">
        <f t="shared" si="19"/>
        <v>0</v>
      </c>
      <c r="H68" s="142">
        <f t="shared" si="20"/>
        <v>0</v>
      </c>
      <c r="I68" s="156">
        <f t="shared" si="14"/>
        <v>0</v>
      </c>
      <c r="J68" s="156"/>
      <c r="K68" s="334"/>
      <c r="L68" s="158">
        <f t="shared" si="15"/>
        <v>0</v>
      </c>
      <c r="M68" s="334"/>
      <c r="N68" s="158">
        <f t="shared" si="16"/>
        <v>0</v>
      </c>
      <c r="O68" s="158">
        <f t="shared" si="17"/>
        <v>0</v>
      </c>
      <c r="P68" s="4"/>
    </row>
    <row r="69" spans="1:16">
      <c r="B69" s="9" t="str">
        <f t="shared" si="18"/>
        <v/>
      </c>
      <c r="C69" s="153">
        <f>IF(D11="","-",+C68+1)</f>
        <v>2064</v>
      </c>
      <c r="D69" s="159">
        <f>IF(F68+SUM(E$17:E68)=D$10,F68,D$10-SUM(E$17:E68))</f>
        <v>0</v>
      </c>
      <c r="E69" s="160">
        <f>IF(+I14&lt;F68,I14,D69)</f>
        <v>0</v>
      </c>
      <c r="F69" s="159">
        <f t="shared" si="13"/>
        <v>0</v>
      </c>
      <c r="G69" s="163">
        <f t="shared" si="19"/>
        <v>0</v>
      </c>
      <c r="H69" s="142">
        <f t="shared" si="20"/>
        <v>0</v>
      </c>
      <c r="I69" s="156">
        <f t="shared" si="14"/>
        <v>0</v>
      </c>
      <c r="J69" s="156"/>
      <c r="K69" s="334"/>
      <c r="L69" s="158">
        <f t="shared" si="15"/>
        <v>0</v>
      </c>
      <c r="M69" s="334"/>
      <c r="N69" s="158">
        <f t="shared" si="16"/>
        <v>0</v>
      </c>
      <c r="O69" s="158">
        <f t="shared" si="17"/>
        <v>0</v>
      </c>
      <c r="P69" s="4"/>
    </row>
    <row r="70" spans="1:16">
      <c r="B70" s="9" t="str">
        <f t="shared" si="18"/>
        <v/>
      </c>
      <c r="C70" s="153">
        <f>IF(D11="","-",+C69+1)</f>
        <v>2065</v>
      </c>
      <c r="D70" s="159">
        <f>IF(F69+SUM(E$17:E69)=D$10,F69,D$10-SUM(E$17:E69))</f>
        <v>0</v>
      </c>
      <c r="E70" s="160">
        <f>IF(+I14&lt;F69,I14,D70)</f>
        <v>0</v>
      </c>
      <c r="F70" s="159">
        <f t="shared" si="13"/>
        <v>0</v>
      </c>
      <c r="G70" s="163">
        <f t="shared" si="19"/>
        <v>0</v>
      </c>
      <c r="H70" s="142">
        <f t="shared" si="20"/>
        <v>0</v>
      </c>
      <c r="I70" s="156">
        <f t="shared" si="14"/>
        <v>0</v>
      </c>
      <c r="J70" s="156"/>
      <c r="K70" s="334"/>
      <c r="L70" s="158">
        <f t="shared" si="15"/>
        <v>0</v>
      </c>
      <c r="M70" s="334"/>
      <c r="N70" s="158">
        <f t="shared" si="16"/>
        <v>0</v>
      </c>
      <c r="O70" s="158">
        <f t="shared" si="17"/>
        <v>0</v>
      </c>
      <c r="P70" s="4"/>
    </row>
    <row r="71" spans="1:16">
      <c r="B71" s="9" t="str">
        <f t="shared" si="18"/>
        <v/>
      </c>
      <c r="C71" s="153">
        <f>IF(D11="","-",+C70+1)</f>
        <v>2066</v>
      </c>
      <c r="D71" s="159">
        <f>IF(F70+SUM(E$17:E70)=D$10,F70,D$10-SUM(E$17:E70))</f>
        <v>0</v>
      </c>
      <c r="E71" s="160">
        <f>IF(+I14&lt;F70,I14,D71)</f>
        <v>0</v>
      </c>
      <c r="F71" s="159">
        <f t="shared" si="13"/>
        <v>0</v>
      </c>
      <c r="G71" s="163">
        <f t="shared" si="19"/>
        <v>0</v>
      </c>
      <c r="H71" s="142">
        <f t="shared" si="20"/>
        <v>0</v>
      </c>
      <c r="I71" s="156">
        <f t="shared" si="14"/>
        <v>0</v>
      </c>
      <c r="J71" s="156"/>
      <c r="K71" s="334"/>
      <c r="L71" s="158">
        <f t="shared" si="15"/>
        <v>0</v>
      </c>
      <c r="M71" s="334"/>
      <c r="N71" s="158">
        <f t="shared" si="16"/>
        <v>0</v>
      </c>
      <c r="O71" s="158">
        <f t="shared" si="17"/>
        <v>0</v>
      </c>
      <c r="P71" s="4"/>
    </row>
    <row r="72" spans="1:16" ht="13.5" thickBot="1">
      <c r="B72" s="9" t="str">
        <f t="shared" si="18"/>
        <v/>
      </c>
      <c r="C72" s="164">
        <f>IF(D11="","-",+C71+1)</f>
        <v>2067</v>
      </c>
      <c r="D72" s="165">
        <f>IF(F71+SUM(E$17:E71)=D$10,F71,D$10-SUM(E$17:E71))</f>
        <v>0</v>
      </c>
      <c r="E72" s="166">
        <f>IF(+I14&lt;F71,I14,D72)</f>
        <v>0</v>
      </c>
      <c r="F72" s="165">
        <f t="shared" si="13"/>
        <v>0</v>
      </c>
      <c r="G72" s="167">
        <f t="shared" si="19"/>
        <v>0</v>
      </c>
      <c r="H72" s="124">
        <f t="shared" si="20"/>
        <v>0</v>
      </c>
      <c r="I72" s="168">
        <f t="shared" si="14"/>
        <v>0</v>
      </c>
      <c r="J72" s="156"/>
      <c r="K72" s="335"/>
      <c r="L72" s="169">
        <f t="shared" si="15"/>
        <v>0</v>
      </c>
      <c r="M72" s="335"/>
      <c r="N72" s="169">
        <f t="shared" si="16"/>
        <v>0</v>
      </c>
      <c r="O72" s="169">
        <f t="shared" si="17"/>
        <v>0</v>
      </c>
      <c r="P72" s="4"/>
    </row>
    <row r="73" spans="1:16">
      <c r="C73" s="154" t="s">
        <v>73</v>
      </c>
      <c r="D73" s="111"/>
      <c r="E73" s="111">
        <f>SUM(E17:E72)</f>
        <v>1881887.0000000005</v>
      </c>
      <c r="F73" s="111"/>
      <c r="G73" s="111">
        <f>SUM(G17:G72)</f>
        <v>6409749.9395363601</v>
      </c>
      <c r="H73" s="111">
        <f>SUM(H17:H72)</f>
        <v>6409749.9395363601</v>
      </c>
      <c r="I73" s="111">
        <f>SUM(I17:I72)</f>
        <v>0</v>
      </c>
      <c r="J73" s="111"/>
      <c r="K73" s="111"/>
      <c r="L73" s="111"/>
      <c r="M73" s="111"/>
      <c r="N73" s="111"/>
      <c r="O73" s="4"/>
      <c r="P73" s="4"/>
    </row>
    <row r="74" spans="1:16">
      <c r="D74" s="2"/>
      <c r="E74" s="1"/>
      <c r="F74" s="1"/>
      <c r="G74" s="1"/>
      <c r="H74" s="3"/>
      <c r="I74" s="3"/>
      <c r="J74" s="111"/>
      <c r="K74" s="3"/>
      <c r="L74" s="3"/>
      <c r="M74" s="3"/>
      <c r="N74" s="3"/>
      <c r="O74" s="1"/>
      <c r="P74" s="1"/>
    </row>
    <row r="75" spans="1:16">
      <c r="C75" s="170" t="s">
        <v>91</v>
      </c>
      <c r="D75" s="2"/>
      <c r="E75" s="1"/>
      <c r="F75" s="1"/>
      <c r="G75" s="1"/>
      <c r="H75" s="3"/>
      <c r="I75" s="3"/>
      <c r="J75" s="111"/>
      <c r="K75" s="3"/>
      <c r="L75" s="3"/>
      <c r="M75" s="3"/>
      <c r="N75" s="3"/>
      <c r="O75" s="1"/>
      <c r="P75" s="1"/>
    </row>
    <row r="76" spans="1:16">
      <c r="C76" s="121" t="s">
        <v>74</v>
      </c>
      <c r="D76" s="2"/>
      <c r="E76" s="1"/>
      <c r="F76" s="1"/>
      <c r="G76" s="1"/>
      <c r="H76" s="3"/>
      <c r="I76" s="3"/>
      <c r="J76" s="111"/>
      <c r="K76" s="3"/>
      <c r="L76" s="3"/>
      <c r="M76" s="3"/>
      <c r="N76" s="3"/>
      <c r="O76" s="4"/>
      <c r="P76" s="4"/>
    </row>
    <row r="77" spans="1:16" ht="18">
      <c r="C77" s="121" t="s">
        <v>75</v>
      </c>
      <c r="D77" s="154"/>
      <c r="E77" s="154"/>
      <c r="F77" s="154"/>
      <c r="G77" s="111"/>
      <c r="H77" s="111"/>
      <c r="I77" s="171"/>
      <c r="J77" s="171"/>
      <c r="K77" s="171"/>
      <c r="L77" s="171"/>
      <c r="M77" s="171"/>
      <c r="N77" s="171"/>
      <c r="O77" s="110"/>
      <c r="P77" s="4"/>
    </row>
    <row r="78" spans="1:16">
      <c r="C78" s="121"/>
      <c r="D78" s="154"/>
      <c r="E78" s="154"/>
      <c r="F78" s="154"/>
      <c r="G78" s="111"/>
      <c r="H78" s="111"/>
      <c r="I78" s="171"/>
      <c r="J78" s="171"/>
      <c r="K78" s="171"/>
      <c r="L78" s="171"/>
      <c r="M78" s="171"/>
      <c r="N78" s="171"/>
      <c r="O78" s="4"/>
      <c r="P78" s="1"/>
    </row>
    <row r="79" spans="1:16" ht="15">
      <c r="A79" s="241"/>
      <c r="B79" s="1"/>
      <c r="C79" s="21"/>
      <c r="D79" s="2"/>
      <c r="E79" s="1"/>
      <c r="F79" s="107"/>
      <c r="G79" s="1"/>
      <c r="H79" s="3"/>
      <c r="I79" s="1"/>
      <c r="J79" s="4"/>
      <c r="K79" s="1"/>
      <c r="L79" s="1"/>
      <c r="M79" s="1"/>
      <c r="N79" s="1"/>
    </row>
    <row r="80" spans="1:16" ht="18">
      <c r="B80" s="1"/>
      <c r="C80" s="242"/>
      <c r="D80" s="2"/>
      <c r="E80" s="1"/>
      <c r="F80" s="107"/>
      <c r="G80" s="1"/>
      <c r="H80" s="3"/>
      <c r="I80" s="1"/>
      <c r="J80" s="4"/>
      <c r="K80" s="1"/>
      <c r="L80" s="1"/>
      <c r="M80" s="1"/>
      <c r="N80" s="1"/>
      <c r="P80" s="244" t="s">
        <v>125</v>
      </c>
    </row>
    <row r="81" spans="1:17">
      <c r="B81" s="1"/>
      <c r="C81" s="242"/>
      <c r="D81" s="2"/>
      <c r="E81" s="1"/>
      <c r="F81" s="107"/>
      <c r="G81" s="1"/>
      <c r="H81" s="3"/>
      <c r="I81" s="1"/>
      <c r="J81" s="4"/>
      <c r="K81" s="1"/>
      <c r="L81" s="1"/>
      <c r="M81" s="1"/>
      <c r="N81" s="1"/>
      <c r="O81" s="1"/>
      <c r="P81" s="1"/>
    </row>
    <row r="82" spans="1:17">
      <c r="B82" s="1"/>
      <c r="C82" s="21"/>
      <c r="D82" s="2"/>
      <c r="E82" s="1"/>
      <c r="F82" s="107"/>
      <c r="G82" s="1"/>
      <c r="H82" s="3"/>
      <c r="I82" s="1"/>
      <c r="J82" s="4"/>
      <c r="K82" s="1"/>
      <c r="L82" s="1"/>
      <c r="M82" s="1"/>
      <c r="N82" s="1"/>
      <c r="O82" s="1"/>
      <c r="P82" s="1"/>
      <c r="Q82" s="1"/>
    </row>
    <row r="83" spans="1:17" ht="20.25">
      <c r="A83" s="243" t="s">
        <v>129</v>
      </c>
      <c r="B83" s="1"/>
      <c r="C83" s="21"/>
      <c r="D83" s="2"/>
      <c r="E83" s="1"/>
      <c r="F83" s="99"/>
      <c r="G83" s="99"/>
      <c r="H83" s="1"/>
      <c r="I83" s="3"/>
      <c r="K83" s="7"/>
      <c r="L83" s="109"/>
      <c r="M83" s="109"/>
      <c r="P83" s="110" t="str">
        <f ca="1">P1</f>
        <v>SWEPCO Project 29 of 73</v>
      </c>
      <c r="Q83" s="1"/>
    </row>
    <row r="84" spans="1:17" ht="18">
      <c r="B84" s="1"/>
      <c r="C84" s="1"/>
      <c r="D84" s="2"/>
      <c r="E84" s="1"/>
      <c r="F84" s="1"/>
      <c r="G84" s="1"/>
      <c r="H84" s="1"/>
      <c r="I84" s="3"/>
      <c r="J84" s="1"/>
      <c r="K84" s="4"/>
      <c r="L84" s="1"/>
      <c r="M84" s="1"/>
      <c r="P84" s="237" t="s">
        <v>123</v>
      </c>
      <c r="Q84" s="1"/>
    </row>
    <row r="85" spans="1:17" ht="18.75" thickBot="1">
      <c r="B85" s="5" t="s">
        <v>40</v>
      </c>
      <c r="C85" s="197" t="s">
        <v>78</v>
      </c>
      <c r="D85" s="2"/>
      <c r="E85" s="1"/>
      <c r="F85" s="1"/>
      <c r="G85" s="1"/>
      <c r="H85" s="1"/>
      <c r="I85" s="3"/>
      <c r="J85" s="3"/>
      <c r="K85" s="111"/>
      <c r="L85" s="3"/>
      <c r="M85" s="3"/>
      <c r="N85" s="3"/>
      <c r="O85" s="111"/>
      <c r="P85" s="1"/>
      <c r="Q85" s="1"/>
    </row>
    <row r="86" spans="1:17" ht="15.75" thickBot="1">
      <c r="C86" s="67"/>
      <c r="D86" s="2"/>
      <c r="E86" s="1"/>
      <c r="F86" s="1"/>
      <c r="G86" s="1"/>
      <c r="H86" s="1"/>
      <c r="I86" s="3"/>
      <c r="J86" s="3"/>
      <c r="K86" s="111"/>
      <c r="L86" s="265">
        <f>+J92</f>
        <v>2017</v>
      </c>
      <c r="M86" s="266" t="s">
        <v>7</v>
      </c>
      <c r="N86" s="270" t="s">
        <v>154</v>
      </c>
      <c r="O86" s="267" t="s">
        <v>9</v>
      </c>
      <c r="P86" s="1"/>
      <c r="Q86" s="1"/>
    </row>
    <row r="87" spans="1:17" ht="15">
      <c r="C87" s="235" t="s">
        <v>42</v>
      </c>
      <c r="D87" s="2"/>
      <c r="E87" s="1"/>
      <c r="F87" s="1"/>
      <c r="G87" s="1"/>
      <c r="H87" s="113"/>
      <c r="I87" s="1" t="s">
        <v>43</v>
      </c>
      <c r="J87" s="1"/>
      <c r="K87" s="261"/>
      <c r="L87" s="259" t="s">
        <v>381</v>
      </c>
      <c r="M87" s="198">
        <f>IF(J92&lt;D11,0,VLOOKUP(J92,C17:O72,9))</f>
        <v>251986.21326636171</v>
      </c>
      <c r="N87" s="198">
        <f>IF(J92&lt;D11,0,VLOOKUP(J92,C17:O72,11))</f>
        <v>251986.21326636171</v>
      </c>
      <c r="O87" s="199">
        <f>+N87-M87</f>
        <v>0</v>
      </c>
      <c r="P87" s="1"/>
      <c r="Q87" s="1"/>
    </row>
    <row r="88" spans="1:17" ht="15.75">
      <c r="C88" s="8"/>
      <c r="D88" s="2"/>
      <c r="E88" s="1"/>
      <c r="F88" s="1"/>
      <c r="G88" s="1"/>
      <c r="H88" s="1"/>
      <c r="I88" s="117"/>
      <c r="J88" s="117"/>
      <c r="K88" s="263"/>
      <c r="L88" s="264" t="s">
        <v>382</v>
      </c>
      <c r="M88" s="200">
        <f>IF(J92&lt;D11,0,VLOOKUP(J92,C99:P154,6))</f>
        <v>249036.58491645948</v>
      </c>
      <c r="N88" s="200">
        <f>IF(J92&lt;D11,0,VLOOKUP(J92,C99:P154,7))</f>
        <v>249036.58491645948</v>
      </c>
      <c r="O88" s="201">
        <f>+N88-M88</f>
        <v>0</v>
      </c>
      <c r="P88" s="1"/>
      <c r="Q88" s="1"/>
    </row>
    <row r="89" spans="1:17" ht="13.5" thickBot="1">
      <c r="C89" s="121" t="s">
        <v>79</v>
      </c>
      <c r="D89" s="274" t="str">
        <f>D7</f>
        <v xml:space="preserve">Knox Lee - Pirkey 138 kV / Pirkey - Whitney 138 kV - Replace Breaker,  Wavetraps, and reset relays and CT's </v>
      </c>
      <c r="E89" s="1"/>
      <c r="F89" s="1"/>
      <c r="G89" s="1"/>
      <c r="H89" s="1"/>
      <c r="I89" s="3"/>
      <c r="J89" s="3"/>
      <c r="K89" s="262"/>
      <c r="L89" s="260" t="s">
        <v>151</v>
      </c>
      <c r="M89" s="203">
        <f>+M88-M87</f>
        <v>-2949.6283499022247</v>
      </c>
      <c r="N89" s="203">
        <f>+N88-N87</f>
        <v>-2949.6283499022247</v>
      </c>
      <c r="O89" s="204">
        <f>+O88-O87</f>
        <v>0</v>
      </c>
      <c r="P89" s="1"/>
      <c r="Q89" s="1"/>
    </row>
    <row r="90" spans="1:17" ht="13.5" thickBot="1">
      <c r="C90" s="170"/>
      <c r="D90" s="173" t="str">
        <f>D8</f>
        <v/>
      </c>
      <c r="E90" s="107"/>
      <c r="F90" s="107"/>
      <c r="G90" s="107"/>
      <c r="H90" s="126"/>
      <c r="I90" s="3"/>
      <c r="J90" s="3"/>
      <c r="K90" s="111"/>
      <c r="L90" s="3"/>
      <c r="M90" s="3"/>
      <c r="N90" s="3"/>
      <c r="O90" s="111"/>
      <c r="P90" s="1"/>
      <c r="Q90" s="1"/>
    </row>
    <row r="91" spans="1:17" ht="13.5" thickBot="1">
      <c r="A91" s="103"/>
      <c r="C91" s="205" t="s">
        <v>80</v>
      </c>
      <c r="D91" s="224" t="str">
        <f>+D9</f>
        <v>TP2010062</v>
      </c>
      <c r="E91" s="206"/>
      <c r="F91" s="206"/>
      <c r="G91" s="206"/>
      <c r="H91" s="206"/>
      <c r="I91" s="206"/>
      <c r="J91" s="238"/>
      <c r="K91" s="207"/>
      <c r="P91" s="131"/>
      <c r="Q91" s="1"/>
    </row>
    <row r="92" spans="1:17">
      <c r="C92" s="136" t="s">
        <v>47</v>
      </c>
      <c r="D92" s="133">
        <f>IF(D11=I10,0,D10)</f>
        <v>1881887</v>
      </c>
      <c r="E92" s="21" t="s">
        <v>81</v>
      </c>
      <c r="H92" s="134"/>
      <c r="I92" s="134"/>
      <c r="J92" s="135">
        <f>+'SWE.WS.G.BPU.ATRR.True-up'!M15</f>
        <v>2017</v>
      </c>
      <c r="K92" s="130"/>
      <c r="L92" s="111" t="s">
        <v>82</v>
      </c>
      <c r="P92" s="4"/>
      <c r="Q92" s="1"/>
    </row>
    <row r="93" spans="1:17">
      <c r="C93" s="136" t="s">
        <v>49</v>
      </c>
      <c r="D93" s="219">
        <f>IF(D11=I10,"",D11)</f>
        <v>2012</v>
      </c>
      <c r="E93" s="136" t="s">
        <v>50</v>
      </c>
      <c r="F93" s="134"/>
      <c r="G93" s="134"/>
      <c r="J93" s="138">
        <f>IF(H87="",0,'SWE.WS.G.BPU.ATRR.True-up'!$F$12)</f>
        <v>0</v>
      </c>
      <c r="K93" s="139"/>
      <c r="L93" t="str">
        <f>"          INPUT TRUE-UP ARR (WITH &amp; WITHOUT INCENTIVES) FROM EACH PRIOR YEAR"</f>
        <v xml:space="preserve">          INPUT TRUE-UP ARR (WITH &amp; WITHOUT INCENTIVES) FROM EACH PRIOR YEAR</v>
      </c>
      <c r="P93" s="4"/>
      <c r="Q93" s="1"/>
    </row>
    <row r="94" spans="1:17">
      <c r="C94" s="136" t="s">
        <v>51</v>
      </c>
      <c r="D94" s="218">
        <f>IF(D11=I10,"",D12)</f>
        <v>12</v>
      </c>
      <c r="E94" s="136" t="s">
        <v>52</v>
      </c>
      <c r="F94" s="134"/>
      <c r="G94" s="134"/>
      <c r="J94" s="140">
        <f>'SWE.WS.G.BPU.ATRR.True-up'!$F$80</f>
        <v>0.12147145768398206</v>
      </c>
      <c r="K94" s="141"/>
      <c r="L94" t="s">
        <v>83</v>
      </c>
      <c r="P94" s="4"/>
      <c r="Q94" s="1"/>
    </row>
    <row r="95" spans="1:17">
      <c r="C95" s="136" t="s">
        <v>54</v>
      </c>
      <c r="D95" s="138">
        <f>'SWE.WS.G.BPU.ATRR.True-up'!F$92</f>
        <v>42</v>
      </c>
      <c r="E95" s="136" t="s">
        <v>55</v>
      </c>
      <c r="F95" s="134"/>
      <c r="G95" s="134"/>
      <c r="J95" s="140">
        <f>IF(H87="",J94,'SWE.WS.G.BPU.ATRR.True-up'!$F$79)</f>
        <v>0.12147145768398206</v>
      </c>
      <c r="K95" s="58"/>
      <c r="L95" s="111" t="s">
        <v>56</v>
      </c>
      <c r="M95" s="58"/>
      <c r="N95" s="58"/>
      <c r="O95" s="58"/>
      <c r="P95" s="4"/>
      <c r="Q95" s="1"/>
    </row>
    <row r="96" spans="1:17" ht="13.5" thickBot="1">
      <c r="C96" s="136" t="s">
        <v>57</v>
      </c>
      <c r="D96" s="220" t="str">
        <f>+D14</f>
        <v>No</v>
      </c>
      <c r="E96" s="202" t="s">
        <v>59</v>
      </c>
      <c r="F96" s="208"/>
      <c r="G96" s="208"/>
      <c r="H96" s="209"/>
      <c r="I96" s="209"/>
      <c r="J96" s="124">
        <f>IF(D92=0,0,D92/D95)</f>
        <v>44806.833333333336</v>
      </c>
      <c r="K96" s="111"/>
      <c r="L96" s="111"/>
      <c r="M96" s="111"/>
      <c r="N96" s="111"/>
      <c r="O96" s="111"/>
      <c r="P96" s="4"/>
      <c r="Q96" s="1"/>
    </row>
    <row r="97" spans="1:17" ht="38.25">
      <c r="A97" s="6"/>
      <c r="B97" s="6"/>
      <c r="C97" s="210" t="s">
        <v>47</v>
      </c>
      <c r="D97" s="211" t="s">
        <v>60</v>
      </c>
      <c r="E97" s="146" t="s">
        <v>61</v>
      </c>
      <c r="F97" s="146" t="s">
        <v>62</v>
      </c>
      <c r="G97" s="144" t="s">
        <v>84</v>
      </c>
      <c r="H97" s="434" t="s">
        <v>378</v>
      </c>
      <c r="I97" s="435" t="s">
        <v>379</v>
      </c>
      <c r="J97" s="210" t="s">
        <v>85</v>
      </c>
      <c r="K97" s="212"/>
      <c r="L97" s="271" t="s">
        <v>220</v>
      </c>
      <c r="M97" s="146" t="s">
        <v>86</v>
      </c>
      <c r="N97" s="271" t="s">
        <v>220</v>
      </c>
      <c r="O97" s="146" t="s">
        <v>86</v>
      </c>
      <c r="P97" s="146" t="s">
        <v>65</v>
      </c>
      <c r="Q97" s="1"/>
    </row>
    <row r="98" spans="1:17" ht="13.5" thickBot="1">
      <c r="C98" s="147" t="s">
        <v>66</v>
      </c>
      <c r="D98" s="213" t="s">
        <v>67</v>
      </c>
      <c r="E98" s="147" t="s">
        <v>68</v>
      </c>
      <c r="F98" s="147" t="s">
        <v>67</v>
      </c>
      <c r="G98" s="147" t="s">
        <v>67</v>
      </c>
      <c r="H98" s="407" t="s">
        <v>69</v>
      </c>
      <c r="I98" s="148" t="s">
        <v>70</v>
      </c>
      <c r="J98" s="149" t="s">
        <v>89</v>
      </c>
      <c r="K98" s="150"/>
      <c r="L98" s="151" t="s">
        <v>72</v>
      </c>
      <c r="M98" s="151" t="s">
        <v>72</v>
      </c>
      <c r="N98" s="151" t="s">
        <v>90</v>
      </c>
      <c r="O98" s="151" t="s">
        <v>90</v>
      </c>
      <c r="P98" s="151" t="s">
        <v>90</v>
      </c>
      <c r="Q98" s="1"/>
    </row>
    <row r="99" spans="1:17">
      <c r="C99" s="153">
        <f>IF(D93= "","-",D93)</f>
        <v>2012</v>
      </c>
      <c r="D99" s="357">
        <v>0</v>
      </c>
      <c r="E99" s="360">
        <v>0</v>
      </c>
      <c r="F99" s="361">
        <v>1886753</v>
      </c>
      <c r="G99" s="365">
        <v>943376.5</v>
      </c>
      <c r="H99" s="362">
        <v>138821.56113909211</v>
      </c>
      <c r="I99" s="363">
        <v>138821.56113909211</v>
      </c>
      <c r="J99" s="403">
        <f t="shared" ref="J99:J130" si="21">+I99-H99</f>
        <v>0</v>
      </c>
      <c r="K99" s="158"/>
      <c r="L99" s="256">
        <f>H99</f>
        <v>138821.56113909211</v>
      </c>
      <c r="M99" s="172">
        <f t="shared" ref="M99:M130" si="22">IF(L99&lt;&gt;0,+H99-L99,0)</f>
        <v>0</v>
      </c>
      <c r="N99" s="256">
        <f>I99</f>
        <v>138821.56113909211</v>
      </c>
      <c r="O99" s="157">
        <f t="shared" ref="O99:O130" si="23">IF(N99&lt;&gt;0,+I99-N99,0)</f>
        <v>0</v>
      </c>
      <c r="P99" s="157">
        <f t="shared" ref="P99:P130" si="24">+O99-M99</f>
        <v>0</v>
      </c>
      <c r="Q99" s="1"/>
    </row>
    <row r="100" spans="1:17">
      <c r="B100" s="9" t="str">
        <f t="shared" ref="B100:B131" si="25">IF(D100=F99,"","IU")</f>
        <v>IU</v>
      </c>
      <c r="C100" s="153">
        <f>IF(D93="","-",+C99+1)</f>
        <v>2013</v>
      </c>
      <c r="D100" s="357">
        <v>1881887</v>
      </c>
      <c r="E100" s="360">
        <v>44806.833333333336</v>
      </c>
      <c r="F100" s="361">
        <v>1837080.1666666667</v>
      </c>
      <c r="G100" s="361">
        <v>1859483.5833333335</v>
      </c>
      <c r="H100" s="362">
        <v>296379.53273897158</v>
      </c>
      <c r="I100" s="363">
        <v>296379.53273897158</v>
      </c>
      <c r="J100" s="403">
        <v>0</v>
      </c>
      <c r="K100" s="158"/>
      <c r="L100" s="258">
        <f>H100</f>
        <v>296379.53273897158</v>
      </c>
      <c r="M100" s="257">
        <f>IF(L100&lt;&gt;0,+H100-L100,0)</f>
        <v>0</v>
      </c>
      <c r="N100" s="258">
        <f>I100</f>
        <v>296379.53273897158</v>
      </c>
      <c r="O100" s="158">
        <f>IF(N100&lt;&gt;0,+I100-N100,0)</f>
        <v>0</v>
      </c>
      <c r="P100" s="158">
        <f>+O100-M100</f>
        <v>0</v>
      </c>
      <c r="Q100" s="1"/>
    </row>
    <row r="101" spans="1:17">
      <c r="B101" s="9" t="str">
        <f t="shared" si="25"/>
        <v/>
      </c>
      <c r="C101" s="153">
        <f>IF(D93="","-",+C100+1)</f>
        <v>2014</v>
      </c>
      <c r="D101" s="357">
        <v>1837080.1666666667</v>
      </c>
      <c r="E101" s="360">
        <v>44806.833333333336</v>
      </c>
      <c r="F101" s="361">
        <v>1792273.3333333335</v>
      </c>
      <c r="G101" s="361">
        <v>1814676.75</v>
      </c>
      <c r="H101" s="362">
        <v>291463.97554748988</v>
      </c>
      <c r="I101" s="363">
        <v>291463.97554748988</v>
      </c>
      <c r="J101" s="158">
        <v>0</v>
      </c>
      <c r="K101" s="158"/>
      <c r="L101" s="258">
        <f>H101</f>
        <v>291463.97554748988</v>
      </c>
      <c r="M101" s="257">
        <f>IF(L101&lt;&gt;0,+H101-L101,0)</f>
        <v>0</v>
      </c>
      <c r="N101" s="258">
        <f>I101</f>
        <v>291463.97554748988</v>
      </c>
      <c r="O101" s="158">
        <f>IF(N101&lt;&gt;0,+I101-N101,0)</f>
        <v>0</v>
      </c>
      <c r="P101" s="158">
        <f>+O101-M101</f>
        <v>0</v>
      </c>
      <c r="Q101" s="1"/>
    </row>
    <row r="102" spans="1:17">
      <c r="B102" s="9" t="str">
        <f t="shared" si="25"/>
        <v/>
      </c>
      <c r="C102" s="153">
        <f>IF(D93="","-",+C101+1)</f>
        <v>2015</v>
      </c>
      <c r="D102" s="357">
        <v>1792273.3333333335</v>
      </c>
      <c r="E102" s="360">
        <v>44806.833333333336</v>
      </c>
      <c r="F102" s="361">
        <v>1747466.5000000002</v>
      </c>
      <c r="G102" s="361">
        <v>1769869.916666667</v>
      </c>
      <c r="H102" s="362">
        <v>278020.60623720445</v>
      </c>
      <c r="I102" s="363">
        <v>278020.60623720445</v>
      </c>
      <c r="J102" s="158">
        <f t="shared" si="21"/>
        <v>0</v>
      </c>
      <c r="K102" s="158"/>
      <c r="L102" s="258">
        <f>H102</f>
        <v>278020.60623720445</v>
      </c>
      <c r="M102" s="257">
        <f>IF(L102&lt;&gt;0,+H102-L102,0)</f>
        <v>0</v>
      </c>
      <c r="N102" s="258">
        <f>I102</f>
        <v>278020.60623720445</v>
      </c>
      <c r="O102" s="158">
        <f>IF(N102&lt;&gt;0,+I102-N102,0)</f>
        <v>0</v>
      </c>
      <c r="P102" s="158">
        <f>+O102-M102</f>
        <v>0</v>
      </c>
      <c r="Q102" s="1"/>
    </row>
    <row r="103" spans="1:17">
      <c r="B103" s="9" t="str">
        <f t="shared" si="25"/>
        <v/>
      </c>
      <c r="C103" s="153">
        <f>IF(D93="","-",+C102+1)</f>
        <v>2016</v>
      </c>
      <c r="D103" s="357">
        <v>1747466.5000000002</v>
      </c>
      <c r="E103" s="360">
        <v>43764.813953488374</v>
      </c>
      <c r="F103" s="361">
        <v>1703701.6860465119</v>
      </c>
      <c r="G103" s="361">
        <v>1725584.0930232559</v>
      </c>
      <c r="H103" s="362">
        <v>262827.69435337436</v>
      </c>
      <c r="I103" s="363">
        <v>262827.69435337436</v>
      </c>
      <c r="J103" s="158">
        <v>0</v>
      </c>
      <c r="K103" s="158"/>
      <c r="L103" s="258">
        <f>H103</f>
        <v>262827.69435337436</v>
      </c>
      <c r="M103" s="257">
        <f>IF(L103&lt;&gt;0,+H103-L103,0)</f>
        <v>0</v>
      </c>
      <c r="N103" s="258">
        <f>I103</f>
        <v>262827.69435337436</v>
      </c>
      <c r="O103" s="158">
        <f>IF(N103&lt;&gt;0,+I103-N103,0)</f>
        <v>0</v>
      </c>
      <c r="P103" s="158">
        <f>+O103-M103</f>
        <v>0</v>
      </c>
      <c r="Q103" s="1"/>
    </row>
    <row r="104" spans="1:17">
      <c r="B104" s="9" t="str">
        <f t="shared" si="25"/>
        <v/>
      </c>
      <c r="C104" s="153">
        <f>IF(D93="","-",+C103+1)</f>
        <v>2017</v>
      </c>
      <c r="D104" s="154">
        <f>IF(F103+SUM(E$99:E103)=D$92,F103,D$92-SUM(E$99:E103))</f>
        <v>1703701.6860465119</v>
      </c>
      <c r="E104" s="160">
        <f>IF(+J96&lt;F103,J96,D104)</f>
        <v>44806.833333333336</v>
      </c>
      <c r="F104" s="159">
        <f t="shared" ref="F104:F131" si="26">+D104-E104</f>
        <v>1658894.8527131786</v>
      </c>
      <c r="G104" s="159">
        <f t="shared" ref="G104:G130" si="27">+(F104+D104)/2</f>
        <v>1681298.2693798454</v>
      </c>
      <c r="H104" s="163">
        <f t="shared" ref="H104:H130" si="28">+J$94*G104+E104</f>
        <v>249036.58491645948</v>
      </c>
      <c r="I104" s="253">
        <f t="shared" ref="I104:I130" si="29">+J$95*G104+E104</f>
        <v>249036.58491645948</v>
      </c>
      <c r="J104" s="158">
        <f t="shared" si="21"/>
        <v>0</v>
      </c>
      <c r="K104" s="158"/>
      <c r="L104" s="334"/>
      <c r="M104" s="158">
        <f t="shared" si="22"/>
        <v>0</v>
      </c>
      <c r="N104" s="334"/>
      <c r="O104" s="158">
        <f t="shared" si="23"/>
        <v>0</v>
      </c>
      <c r="P104" s="158">
        <f t="shared" si="24"/>
        <v>0</v>
      </c>
      <c r="Q104" s="1"/>
    </row>
    <row r="105" spans="1:17">
      <c r="B105" s="9" t="str">
        <f t="shared" si="25"/>
        <v/>
      </c>
      <c r="C105" s="153">
        <f>IF(D93="","-",+C104+1)</f>
        <v>2018</v>
      </c>
      <c r="D105" s="154">
        <f>IF(F104+SUM(E$99:E104)=D$92,F104,D$92-SUM(E$99:E104))</f>
        <v>1658894.8527131786</v>
      </c>
      <c r="E105" s="160">
        <f>IF(+J96&lt;F104,J96,D105)</f>
        <v>44806.833333333336</v>
      </c>
      <c r="F105" s="159">
        <f t="shared" si="26"/>
        <v>1614088.0193798454</v>
      </c>
      <c r="G105" s="159">
        <f t="shared" si="27"/>
        <v>1636491.4360465119</v>
      </c>
      <c r="H105" s="163">
        <f t="shared" si="28"/>
        <v>243593.83355725624</v>
      </c>
      <c r="I105" s="253">
        <f t="shared" si="29"/>
        <v>243593.83355725624</v>
      </c>
      <c r="J105" s="158">
        <f t="shared" si="21"/>
        <v>0</v>
      </c>
      <c r="K105" s="158"/>
      <c r="L105" s="334"/>
      <c r="M105" s="158">
        <f t="shared" si="22"/>
        <v>0</v>
      </c>
      <c r="N105" s="334"/>
      <c r="O105" s="158">
        <f t="shared" si="23"/>
        <v>0</v>
      </c>
      <c r="P105" s="158">
        <f t="shared" si="24"/>
        <v>0</v>
      </c>
      <c r="Q105" s="1"/>
    </row>
    <row r="106" spans="1:17">
      <c r="B106" s="9" t="str">
        <f t="shared" si="25"/>
        <v/>
      </c>
      <c r="C106" s="153">
        <f>IF(D93="","-",+C105+1)</f>
        <v>2019</v>
      </c>
      <c r="D106" s="154">
        <f>IF(F105+SUM(E$99:E105)=D$92,F105,D$92-SUM(E$99:E105))</f>
        <v>1614088.0193798454</v>
      </c>
      <c r="E106" s="160">
        <f>IF(+J96&lt;F105,J96,D106)</f>
        <v>44806.833333333336</v>
      </c>
      <c r="F106" s="159">
        <f t="shared" si="26"/>
        <v>1569281.1860465121</v>
      </c>
      <c r="G106" s="159">
        <f t="shared" si="27"/>
        <v>1591684.6027131788</v>
      </c>
      <c r="H106" s="163">
        <f t="shared" si="28"/>
        <v>238151.08219805305</v>
      </c>
      <c r="I106" s="253">
        <f t="shared" si="29"/>
        <v>238151.08219805305</v>
      </c>
      <c r="J106" s="158">
        <f t="shared" si="21"/>
        <v>0</v>
      </c>
      <c r="K106" s="158"/>
      <c r="L106" s="334"/>
      <c r="M106" s="158">
        <f t="shared" si="22"/>
        <v>0</v>
      </c>
      <c r="N106" s="334"/>
      <c r="O106" s="158">
        <f t="shared" si="23"/>
        <v>0</v>
      </c>
      <c r="P106" s="158">
        <f t="shared" si="24"/>
        <v>0</v>
      </c>
      <c r="Q106" s="1"/>
    </row>
    <row r="107" spans="1:17">
      <c r="B107" s="9" t="str">
        <f t="shared" si="25"/>
        <v/>
      </c>
      <c r="C107" s="153">
        <f>IF(D93="","-",+C106+1)</f>
        <v>2020</v>
      </c>
      <c r="D107" s="154">
        <f>IF(F106+SUM(E$99:E106)=D$92,F106,D$92-SUM(E$99:E106))</f>
        <v>1569281.1860465121</v>
      </c>
      <c r="E107" s="160">
        <f>IF(+J96&lt;F106,J96,D107)</f>
        <v>44806.833333333336</v>
      </c>
      <c r="F107" s="159">
        <f t="shared" si="26"/>
        <v>1524474.3527131788</v>
      </c>
      <c r="G107" s="159">
        <f t="shared" si="27"/>
        <v>1546877.7693798454</v>
      </c>
      <c r="H107" s="163">
        <f t="shared" si="28"/>
        <v>232708.33083884977</v>
      </c>
      <c r="I107" s="253">
        <f t="shared" si="29"/>
        <v>232708.33083884977</v>
      </c>
      <c r="J107" s="158">
        <f t="shared" si="21"/>
        <v>0</v>
      </c>
      <c r="K107" s="158"/>
      <c r="L107" s="334"/>
      <c r="M107" s="158">
        <f t="shared" si="22"/>
        <v>0</v>
      </c>
      <c r="N107" s="334"/>
      <c r="O107" s="158">
        <f t="shared" si="23"/>
        <v>0</v>
      </c>
      <c r="P107" s="158">
        <f t="shared" si="24"/>
        <v>0</v>
      </c>
      <c r="Q107" s="1"/>
    </row>
    <row r="108" spans="1:17">
      <c r="B108" s="9" t="str">
        <f t="shared" si="25"/>
        <v/>
      </c>
      <c r="C108" s="153">
        <f>IF(D93="","-",+C107+1)</f>
        <v>2021</v>
      </c>
      <c r="D108" s="154">
        <f>IF(F107+SUM(E$99:E107)=D$92,F107,D$92-SUM(E$99:E107))</f>
        <v>1524474.3527131788</v>
      </c>
      <c r="E108" s="160">
        <f>IF(+J96&lt;F107,J96,D108)</f>
        <v>44806.833333333336</v>
      </c>
      <c r="F108" s="159">
        <f t="shared" si="26"/>
        <v>1479667.5193798456</v>
      </c>
      <c r="G108" s="159">
        <f t="shared" si="27"/>
        <v>1502070.9360465123</v>
      </c>
      <c r="H108" s="163">
        <f t="shared" si="28"/>
        <v>227265.57947964658</v>
      </c>
      <c r="I108" s="253">
        <f t="shared" si="29"/>
        <v>227265.57947964658</v>
      </c>
      <c r="J108" s="158">
        <f t="shared" si="21"/>
        <v>0</v>
      </c>
      <c r="K108" s="158"/>
      <c r="L108" s="334"/>
      <c r="M108" s="158">
        <f t="shared" si="22"/>
        <v>0</v>
      </c>
      <c r="N108" s="334"/>
      <c r="O108" s="158">
        <f t="shared" si="23"/>
        <v>0</v>
      </c>
      <c r="P108" s="158">
        <f t="shared" si="24"/>
        <v>0</v>
      </c>
      <c r="Q108" s="1"/>
    </row>
    <row r="109" spans="1:17">
      <c r="B109" s="9" t="str">
        <f t="shared" si="25"/>
        <v/>
      </c>
      <c r="C109" s="153">
        <f>IF(D93="","-",+C108+1)</f>
        <v>2022</v>
      </c>
      <c r="D109" s="154">
        <f>IF(F108+SUM(E$99:E108)=D$92,F108,D$92-SUM(E$99:E108))</f>
        <v>1479667.5193798456</v>
      </c>
      <c r="E109" s="160">
        <f>IF(+J96&lt;F108,J96,D109)</f>
        <v>44806.833333333336</v>
      </c>
      <c r="F109" s="159">
        <f t="shared" si="26"/>
        <v>1434860.6860465123</v>
      </c>
      <c r="G109" s="159">
        <f t="shared" si="27"/>
        <v>1457264.1027131788</v>
      </c>
      <c r="H109" s="163">
        <f t="shared" si="28"/>
        <v>221822.82812044333</v>
      </c>
      <c r="I109" s="253">
        <f t="shared" si="29"/>
        <v>221822.82812044333</v>
      </c>
      <c r="J109" s="158">
        <f t="shared" si="21"/>
        <v>0</v>
      </c>
      <c r="K109" s="158"/>
      <c r="L109" s="334"/>
      <c r="M109" s="158">
        <f t="shared" si="22"/>
        <v>0</v>
      </c>
      <c r="N109" s="334"/>
      <c r="O109" s="158">
        <f t="shared" si="23"/>
        <v>0</v>
      </c>
      <c r="P109" s="158">
        <f t="shared" si="24"/>
        <v>0</v>
      </c>
      <c r="Q109" s="1"/>
    </row>
    <row r="110" spans="1:17">
      <c r="B110" s="9" t="str">
        <f t="shared" si="25"/>
        <v/>
      </c>
      <c r="C110" s="153">
        <f>IF(D93="","-",+C109+1)</f>
        <v>2023</v>
      </c>
      <c r="D110" s="154">
        <f>IF(F109+SUM(E$99:E109)=D$92,F109,D$92-SUM(E$99:E109))</f>
        <v>1434860.6860465123</v>
      </c>
      <c r="E110" s="160">
        <f>IF(+J96&lt;F109,J96,D110)</f>
        <v>44806.833333333336</v>
      </c>
      <c r="F110" s="159">
        <f t="shared" si="26"/>
        <v>1390053.8527131791</v>
      </c>
      <c r="G110" s="159">
        <f t="shared" si="27"/>
        <v>1412457.2693798458</v>
      </c>
      <c r="H110" s="163">
        <f t="shared" si="28"/>
        <v>216380.07676124014</v>
      </c>
      <c r="I110" s="253">
        <f t="shared" si="29"/>
        <v>216380.07676124014</v>
      </c>
      <c r="J110" s="158">
        <f t="shared" si="21"/>
        <v>0</v>
      </c>
      <c r="K110" s="158"/>
      <c r="L110" s="334"/>
      <c r="M110" s="158">
        <f t="shared" si="22"/>
        <v>0</v>
      </c>
      <c r="N110" s="334"/>
      <c r="O110" s="158">
        <f t="shared" si="23"/>
        <v>0</v>
      </c>
      <c r="P110" s="158">
        <f t="shared" si="24"/>
        <v>0</v>
      </c>
      <c r="Q110" s="1"/>
    </row>
    <row r="111" spans="1:17">
      <c r="B111" s="9" t="str">
        <f t="shared" si="25"/>
        <v/>
      </c>
      <c r="C111" s="153">
        <f>IF(D93="","-",+C110+1)</f>
        <v>2024</v>
      </c>
      <c r="D111" s="154">
        <f>IF(F110+SUM(E$99:E110)=D$92,F110,D$92-SUM(E$99:E110))</f>
        <v>1390053.8527131791</v>
      </c>
      <c r="E111" s="160">
        <f>IF(+J96&lt;F110,J96,D111)</f>
        <v>44806.833333333336</v>
      </c>
      <c r="F111" s="159">
        <f t="shared" si="26"/>
        <v>1345247.0193798458</v>
      </c>
      <c r="G111" s="159">
        <f t="shared" si="27"/>
        <v>1367650.4360465123</v>
      </c>
      <c r="H111" s="163">
        <f t="shared" si="28"/>
        <v>210937.32540203686</v>
      </c>
      <c r="I111" s="253">
        <f t="shared" si="29"/>
        <v>210937.32540203686</v>
      </c>
      <c r="J111" s="158">
        <f t="shared" si="21"/>
        <v>0</v>
      </c>
      <c r="K111" s="158"/>
      <c r="L111" s="334"/>
      <c r="M111" s="158">
        <f t="shared" si="22"/>
        <v>0</v>
      </c>
      <c r="N111" s="334"/>
      <c r="O111" s="158">
        <f t="shared" si="23"/>
        <v>0</v>
      </c>
      <c r="P111" s="158">
        <f t="shared" si="24"/>
        <v>0</v>
      </c>
      <c r="Q111" s="1"/>
    </row>
    <row r="112" spans="1:17">
      <c r="B112" s="9" t="str">
        <f t="shared" si="25"/>
        <v/>
      </c>
      <c r="C112" s="153">
        <f>IF(D93="","-",+C111+1)</f>
        <v>2025</v>
      </c>
      <c r="D112" s="154">
        <f>IF(F111+SUM(E$99:E111)=D$92,F111,D$92-SUM(E$99:E111))</f>
        <v>1345247.0193798458</v>
      </c>
      <c r="E112" s="160">
        <f>IF(+J96&lt;F111,J96,D112)</f>
        <v>44806.833333333336</v>
      </c>
      <c r="F112" s="159">
        <f t="shared" si="26"/>
        <v>1300440.1860465126</v>
      </c>
      <c r="G112" s="159">
        <f t="shared" si="27"/>
        <v>1322843.6027131793</v>
      </c>
      <c r="H112" s="163">
        <f t="shared" si="28"/>
        <v>205494.57404283367</v>
      </c>
      <c r="I112" s="253">
        <f t="shared" si="29"/>
        <v>205494.57404283367</v>
      </c>
      <c r="J112" s="158">
        <f t="shared" si="21"/>
        <v>0</v>
      </c>
      <c r="K112" s="158"/>
      <c r="L112" s="334"/>
      <c r="M112" s="158">
        <f t="shared" si="22"/>
        <v>0</v>
      </c>
      <c r="N112" s="334"/>
      <c r="O112" s="158">
        <f t="shared" si="23"/>
        <v>0</v>
      </c>
      <c r="P112" s="158">
        <f t="shared" si="24"/>
        <v>0</v>
      </c>
      <c r="Q112" s="1"/>
    </row>
    <row r="113" spans="2:17">
      <c r="B113" s="9" t="str">
        <f t="shared" si="25"/>
        <v/>
      </c>
      <c r="C113" s="153">
        <f>IF(D93="","-",+C112+1)</f>
        <v>2026</v>
      </c>
      <c r="D113" s="154">
        <f>IF(F112+SUM(E$99:E112)=D$92,F112,D$92-SUM(E$99:E112))</f>
        <v>1300440.1860465126</v>
      </c>
      <c r="E113" s="160">
        <f>IF(+J96&lt;F112,J96,D113)</f>
        <v>44806.833333333336</v>
      </c>
      <c r="F113" s="159">
        <f t="shared" si="26"/>
        <v>1255633.3527131793</v>
      </c>
      <c r="G113" s="159">
        <f t="shared" si="27"/>
        <v>1278036.7693798458</v>
      </c>
      <c r="H113" s="163">
        <f t="shared" si="28"/>
        <v>200051.82268363042</v>
      </c>
      <c r="I113" s="253">
        <f t="shared" si="29"/>
        <v>200051.82268363042</v>
      </c>
      <c r="J113" s="158">
        <f t="shared" si="21"/>
        <v>0</v>
      </c>
      <c r="K113" s="158"/>
      <c r="L113" s="334"/>
      <c r="M113" s="158">
        <f t="shared" si="22"/>
        <v>0</v>
      </c>
      <c r="N113" s="334"/>
      <c r="O113" s="158">
        <f t="shared" si="23"/>
        <v>0</v>
      </c>
      <c r="P113" s="158">
        <f t="shared" si="24"/>
        <v>0</v>
      </c>
      <c r="Q113" s="1"/>
    </row>
    <row r="114" spans="2:17">
      <c r="B114" s="9" t="str">
        <f t="shared" si="25"/>
        <v/>
      </c>
      <c r="C114" s="153">
        <f>IF(D93="","-",+C113+1)</f>
        <v>2027</v>
      </c>
      <c r="D114" s="154">
        <f>IF(F113+SUM(E$99:E113)=D$92,F113,D$92-SUM(E$99:E113))</f>
        <v>1255633.3527131793</v>
      </c>
      <c r="E114" s="160">
        <f>IF(+J96&lt;F113,J96,D114)</f>
        <v>44806.833333333336</v>
      </c>
      <c r="F114" s="159">
        <f t="shared" si="26"/>
        <v>1210826.5193798461</v>
      </c>
      <c r="G114" s="159">
        <f t="shared" si="27"/>
        <v>1233229.9360465128</v>
      </c>
      <c r="H114" s="163">
        <f t="shared" si="28"/>
        <v>194609.07132442723</v>
      </c>
      <c r="I114" s="253">
        <f t="shared" si="29"/>
        <v>194609.07132442723</v>
      </c>
      <c r="J114" s="158">
        <f t="shared" si="21"/>
        <v>0</v>
      </c>
      <c r="K114" s="158"/>
      <c r="L114" s="334"/>
      <c r="M114" s="158">
        <f t="shared" si="22"/>
        <v>0</v>
      </c>
      <c r="N114" s="334"/>
      <c r="O114" s="158">
        <f t="shared" si="23"/>
        <v>0</v>
      </c>
      <c r="P114" s="158">
        <f t="shared" si="24"/>
        <v>0</v>
      </c>
      <c r="Q114" s="1"/>
    </row>
    <row r="115" spans="2:17">
      <c r="B115" s="9" t="str">
        <f t="shared" si="25"/>
        <v/>
      </c>
      <c r="C115" s="153">
        <f>IF(D93="","-",+C114+1)</f>
        <v>2028</v>
      </c>
      <c r="D115" s="154">
        <f>IF(F114+SUM(E$99:E114)=D$92,F114,D$92-SUM(E$99:E114))</f>
        <v>1210826.5193798461</v>
      </c>
      <c r="E115" s="160">
        <f>IF(+J96&lt;F114,J96,D115)</f>
        <v>44806.833333333336</v>
      </c>
      <c r="F115" s="159">
        <f t="shared" si="26"/>
        <v>1166019.6860465128</v>
      </c>
      <c r="G115" s="159">
        <f t="shared" si="27"/>
        <v>1188423.1027131793</v>
      </c>
      <c r="H115" s="163">
        <f t="shared" si="28"/>
        <v>189166.31996522396</v>
      </c>
      <c r="I115" s="253">
        <f t="shared" si="29"/>
        <v>189166.31996522396</v>
      </c>
      <c r="J115" s="158">
        <f t="shared" si="21"/>
        <v>0</v>
      </c>
      <c r="K115" s="158"/>
      <c r="L115" s="334"/>
      <c r="M115" s="158">
        <f t="shared" si="22"/>
        <v>0</v>
      </c>
      <c r="N115" s="334"/>
      <c r="O115" s="158">
        <f t="shared" si="23"/>
        <v>0</v>
      </c>
      <c r="P115" s="158">
        <f t="shared" si="24"/>
        <v>0</v>
      </c>
      <c r="Q115" s="1"/>
    </row>
    <row r="116" spans="2:17">
      <c r="B116" s="9" t="str">
        <f t="shared" si="25"/>
        <v/>
      </c>
      <c r="C116" s="153">
        <f>IF(D93="","-",+C115+1)</f>
        <v>2029</v>
      </c>
      <c r="D116" s="154">
        <f>IF(F115+SUM(E$99:E115)=D$92,F115,D$92-SUM(E$99:E115))</f>
        <v>1166019.6860465128</v>
      </c>
      <c r="E116" s="160">
        <f>IF(+J96&lt;F115,J96,D116)</f>
        <v>44806.833333333336</v>
      </c>
      <c r="F116" s="159">
        <f t="shared" si="26"/>
        <v>1121212.8527131795</v>
      </c>
      <c r="G116" s="159">
        <f t="shared" si="27"/>
        <v>1143616.2693798463</v>
      </c>
      <c r="H116" s="163">
        <f t="shared" si="28"/>
        <v>183723.56860602077</v>
      </c>
      <c r="I116" s="253">
        <f t="shared" si="29"/>
        <v>183723.56860602077</v>
      </c>
      <c r="J116" s="158">
        <f t="shared" si="21"/>
        <v>0</v>
      </c>
      <c r="K116" s="158"/>
      <c r="L116" s="334"/>
      <c r="M116" s="158">
        <f t="shared" si="22"/>
        <v>0</v>
      </c>
      <c r="N116" s="334"/>
      <c r="O116" s="158">
        <f t="shared" si="23"/>
        <v>0</v>
      </c>
      <c r="P116" s="158">
        <f t="shared" si="24"/>
        <v>0</v>
      </c>
      <c r="Q116" s="1"/>
    </row>
    <row r="117" spans="2:17">
      <c r="B117" s="9" t="str">
        <f t="shared" si="25"/>
        <v/>
      </c>
      <c r="C117" s="153">
        <f>IF(D93="","-",+C116+1)</f>
        <v>2030</v>
      </c>
      <c r="D117" s="154">
        <f>IF(F116+SUM(E$99:E116)=D$92,F116,D$92-SUM(E$99:E116))</f>
        <v>1121212.8527131795</v>
      </c>
      <c r="E117" s="160">
        <f>IF(+J96&lt;F116,J96,D117)</f>
        <v>44806.833333333336</v>
      </c>
      <c r="F117" s="159">
        <f t="shared" si="26"/>
        <v>1076406.0193798463</v>
      </c>
      <c r="G117" s="159">
        <f t="shared" si="27"/>
        <v>1098809.4360465128</v>
      </c>
      <c r="H117" s="163">
        <f t="shared" si="28"/>
        <v>178280.81724681752</v>
      </c>
      <c r="I117" s="253">
        <f t="shared" si="29"/>
        <v>178280.81724681752</v>
      </c>
      <c r="J117" s="158">
        <f t="shared" si="21"/>
        <v>0</v>
      </c>
      <c r="K117" s="158"/>
      <c r="L117" s="334"/>
      <c r="M117" s="158">
        <f t="shared" si="22"/>
        <v>0</v>
      </c>
      <c r="N117" s="334"/>
      <c r="O117" s="158">
        <f t="shared" si="23"/>
        <v>0</v>
      </c>
      <c r="P117" s="158">
        <f t="shared" si="24"/>
        <v>0</v>
      </c>
      <c r="Q117" s="1"/>
    </row>
    <row r="118" spans="2:17">
      <c r="B118" s="9" t="str">
        <f t="shared" si="25"/>
        <v/>
      </c>
      <c r="C118" s="153">
        <f>IF(D93="","-",+C117+1)</f>
        <v>2031</v>
      </c>
      <c r="D118" s="154">
        <f>IF(F117+SUM(E$99:E117)=D$92,F117,D$92-SUM(E$99:E117))</f>
        <v>1076406.0193798463</v>
      </c>
      <c r="E118" s="160">
        <f>IF(+J96&lt;F117,J96,D118)</f>
        <v>44806.833333333336</v>
      </c>
      <c r="F118" s="159">
        <f t="shared" si="26"/>
        <v>1031599.1860465129</v>
      </c>
      <c r="G118" s="159">
        <f t="shared" si="27"/>
        <v>1054002.6027131795</v>
      </c>
      <c r="H118" s="163">
        <f t="shared" si="28"/>
        <v>172838.06588761427</v>
      </c>
      <c r="I118" s="253">
        <f t="shared" si="29"/>
        <v>172838.06588761427</v>
      </c>
      <c r="J118" s="158">
        <f t="shared" si="21"/>
        <v>0</v>
      </c>
      <c r="K118" s="158"/>
      <c r="L118" s="334"/>
      <c r="M118" s="158">
        <f t="shared" si="22"/>
        <v>0</v>
      </c>
      <c r="N118" s="334"/>
      <c r="O118" s="158">
        <f t="shared" si="23"/>
        <v>0</v>
      </c>
      <c r="P118" s="158">
        <f t="shared" si="24"/>
        <v>0</v>
      </c>
      <c r="Q118" s="1"/>
    </row>
    <row r="119" spans="2:17">
      <c r="B119" s="9" t="str">
        <f t="shared" si="25"/>
        <v/>
      </c>
      <c r="C119" s="153">
        <f>IF(D93="","-",+C118+1)</f>
        <v>2032</v>
      </c>
      <c r="D119" s="154">
        <f>IF(F118+SUM(E$99:E118)=D$92,F118,D$92-SUM(E$99:E118))</f>
        <v>1031599.1860465129</v>
      </c>
      <c r="E119" s="160">
        <f>IF(+J96&lt;F118,J96,D119)</f>
        <v>44806.833333333336</v>
      </c>
      <c r="F119" s="159">
        <f t="shared" si="26"/>
        <v>986792.35271317954</v>
      </c>
      <c r="G119" s="159">
        <f t="shared" si="27"/>
        <v>1009195.7693798463</v>
      </c>
      <c r="H119" s="163">
        <f t="shared" si="28"/>
        <v>167395.31452841105</v>
      </c>
      <c r="I119" s="253">
        <f t="shared" si="29"/>
        <v>167395.31452841105</v>
      </c>
      <c r="J119" s="158">
        <f t="shared" si="21"/>
        <v>0</v>
      </c>
      <c r="K119" s="158"/>
      <c r="L119" s="334"/>
      <c r="M119" s="158">
        <f t="shared" si="22"/>
        <v>0</v>
      </c>
      <c r="N119" s="334"/>
      <c r="O119" s="158">
        <f t="shared" si="23"/>
        <v>0</v>
      </c>
      <c r="P119" s="158">
        <f t="shared" si="24"/>
        <v>0</v>
      </c>
      <c r="Q119" s="1"/>
    </row>
    <row r="120" spans="2:17">
      <c r="B120" s="9" t="str">
        <f t="shared" si="25"/>
        <v/>
      </c>
      <c r="C120" s="153">
        <f>IF(D93="","-",+C119+1)</f>
        <v>2033</v>
      </c>
      <c r="D120" s="154">
        <f>IF(F119+SUM(E$99:E119)=D$92,F119,D$92-SUM(E$99:E119))</f>
        <v>986792.35271317954</v>
      </c>
      <c r="E120" s="160">
        <f>IF(+J96&lt;F119,J96,D120)</f>
        <v>44806.833333333336</v>
      </c>
      <c r="F120" s="159">
        <f t="shared" si="26"/>
        <v>941985.51937984617</v>
      </c>
      <c r="G120" s="159">
        <f t="shared" si="27"/>
        <v>964388.9360465128</v>
      </c>
      <c r="H120" s="163">
        <f t="shared" si="28"/>
        <v>161952.5631692078</v>
      </c>
      <c r="I120" s="253">
        <f t="shared" si="29"/>
        <v>161952.5631692078</v>
      </c>
      <c r="J120" s="158">
        <f t="shared" si="21"/>
        <v>0</v>
      </c>
      <c r="K120" s="158"/>
      <c r="L120" s="334"/>
      <c r="M120" s="158">
        <f t="shared" si="22"/>
        <v>0</v>
      </c>
      <c r="N120" s="334"/>
      <c r="O120" s="158">
        <f t="shared" si="23"/>
        <v>0</v>
      </c>
      <c r="P120" s="158">
        <f t="shared" si="24"/>
        <v>0</v>
      </c>
      <c r="Q120" s="1"/>
    </row>
    <row r="121" spans="2:17">
      <c r="B121" s="9" t="str">
        <f t="shared" si="25"/>
        <v/>
      </c>
      <c r="C121" s="153">
        <f>IF(D93="","-",+C120+1)</f>
        <v>2034</v>
      </c>
      <c r="D121" s="154">
        <f>IF(F120+SUM(E$99:E120)=D$92,F120,D$92-SUM(E$99:E120))</f>
        <v>941985.51937984617</v>
      </c>
      <c r="E121" s="160">
        <f>IF(+J96&lt;F120,J96,D121)</f>
        <v>44806.833333333336</v>
      </c>
      <c r="F121" s="159">
        <f t="shared" si="26"/>
        <v>897178.6860465128</v>
      </c>
      <c r="G121" s="159">
        <f t="shared" si="27"/>
        <v>919582.10271317954</v>
      </c>
      <c r="H121" s="163">
        <f t="shared" si="28"/>
        <v>156509.81181000455</v>
      </c>
      <c r="I121" s="253">
        <f t="shared" si="29"/>
        <v>156509.81181000455</v>
      </c>
      <c r="J121" s="158">
        <f t="shared" si="21"/>
        <v>0</v>
      </c>
      <c r="K121" s="158"/>
      <c r="L121" s="334"/>
      <c r="M121" s="158">
        <f t="shared" si="22"/>
        <v>0</v>
      </c>
      <c r="N121" s="334"/>
      <c r="O121" s="158">
        <f t="shared" si="23"/>
        <v>0</v>
      </c>
      <c r="P121" s="158">
        <f t="shared" si="24"/>
        <v>0</v>
      </c>
      <c r="Q121" s="1"/>
    </row>
    <row r="122" spans="2:17">
      <c r="B122" s="9" t="str">
        <f t="shared" si="25"/>
        <v/>
      </c>
      <c r="C122" s="153">
        <f>IF(D93="","-",+C121+1)</f>
        <v>2035</v>
      </c>
      <c r="D122" s="154">
        <f>IF(F121+SUM(E$99:E121)=D$92,F121,D$92-SUM(E$99:E121))</f>
        <v>897178.6860465128</v>
      </c>
      <c r="E122" s="160">
        <f>IF(+J96&lt;F121,J96,D122)</f>
        <v>44806.833333333336</v>
      </c>
      <c r="F122" s="159">
        <f t="shared" si="26"/>
        <v>852371.85271317943</v>
      </c>
      <c r="G122" s="159">
        <f t="shared" si="27"/>
        <v>874775.26937984605</v>
      </c>
      <c r="H122" s="163">
        <f t="shared" si="28"/>
        <v>151067.06045080131</v>
      </c>
      <c r="I122" s="253">
        <f t="shared" si="29"/>
        <v>151067.06045080131</v>
      </c>
      <c r="J122" s="158">
        <f t="shared" si="21"/>
        <v>0</v>
      </c>
      <c r="K122" s="158"/>
      <c r="L122" s="334"/>
      <c r="M122" s="158">
        <f t="shared" si="22"/>
        <v>0</v>
      </c>
      <c r="N122" s="334"/>
      <c r="O122" s="158">
        <f t="shared" si="23"/>
        <v>0</v>
      </c>
      <c r="P122" s="158">
        <f t="shared" si="24"/>
        <v>0</v>
      </c>
      <c r="Q122" s="1"/>
    </row>
    <row r="123" spans="2:17">
      <c r="B123" s="9" t="str">
        <f t="shared" si="25"/>
        <v/>
      </c>
      <c r="C123" s="153">
        <f>IF(D93="","-",+C122+1)</f>
        <v>2036</v>
      </c>
      <c r="D123" s="154">
        <f>IF(F122+SUM(E$99:E122)=D$92,F122,D$92-SUM(E$99:E122))</f>
        <v>852371.85271317943</v>
      </c>
      <c r="E123" s="160">
        <f>IF(+J96&lt;F122,J96,D123)</f>
        <v>44806.833333333336</v>
      </c>
      <c r="F123" s="159">
        <f t="shared" si="26"/>
        <v>807565.01937984605</v>
      </c>
      <c r="G123" s="159">
        <f t="shared" si="27"/>
        <v>829968.4360465128</v>
      </c>
      <c r="H123" s="163">
        <f t="shared" si="28"/>
        <v>145624.30909159809</v>
      </c>
      <c r="I123" s="253">
        <f t="shared" si="29"/>
        <v>145624.30909159809</v>
      </c>
      <c r="J123" s="158">
        <f t="shared" si="21"/>
        <v>0</v>
      </c>
      <c r="K123" s="158"/>
      <c r="L123" s="334"/>
      <c r="M123" s="158">
        <f t="shared" si="22"/>
        <v>0</v>
      </c>
      <c r="N123" s="334"/>
      <c r="O123" s="158">
        <f t="shared" si="23"/>
        <v>0</v>
      </c>
      <c r="P123" s="158">
        <f t="shared" si="24"/>
        <v>0</v>
      </c>
      <c r="Q123" s="1"/>
    </row>
    <row r="124" spans="2:17">
      <c r="B124" s="9" t="str">
        <f t="shared" si="25"/>
        <v/>
      </c>
      <c r="C124" s="153">
        <f>IF(D93="","-",+C123+1)</f>
        <v>2037</v>
      </c>
      <c r="D124" s="154">
        <f>IF(F123+SUM(E$99:E123)=D$92,F123,D$92-SUM(E$99:E123))</f>
        <v>807565.01937984605</v>
      </c>
      <c r="E124" s="160">
        <f>IF(+J96&lt;F123,J96,D124)</f>
        <v>44806.833333333336</v>
      </c>
      <c r="F124" s="159">
        <f t="shared" si="26"/>
        <v>762758.18604651268</v>
      </c>
      <c r="G124" s="159">
        <f t="shared" si="27"/>
        <v>785161.60271317931</v>
      </c>
      <c r="H124" s="163">
        <f t="shared" si="28"/>
        <v>140181.55773239484</v>
      </c>
      <c r="I124" s="253">
        <f t="shared" si="29"/>
        <v>140181.55773239484</v>
      </c>
      <c r="J124" s="158">
        <f t="shared" si="21"/>
        <v>0</v>
      </c>
      <c r="K124" s="158"/>
      <c r="L124" s="334"/>
      <c r="M124" s="158">
        <f t="shared" si="22"/>
        <v>0</v>
      </c>
      <c r="N124" s="334"/>
      <c r="O124" s="158">
        <f t="shared" si="23"/>
        <v>0</v>
      </c>
      <c r="P124" s="158">
        <f t="shared" si="24"/>
        <v>0</v>
      </c>
      <c r="Q124" s="1"/>
    </row>
    <row r="125" spans="2:17">
      <c r="B125" s="9" t="str">
        <f t="shared" si="25"/>
        <v/>
      </c>
      <c r="C125" s="153">
        <f>IF(D93="","-",+C124+1)</f>
        <v>2038</v>
      </c>
      <c r="D125" s="154">
        <f>IF(F124+SUM(E$99:E124)=D$92,F124,D$92-SUM(E$99:E124))</f>
        <v>762758.18604651268</v>
      </c>
      <c r="E125" s="160">
        <f>IF(+J96&lt;F124,J96,D125)</f>
        <v>44806.833333333336</v>
      </c>
      <c r="F125" s="159">
        <f t="shared" si="26"/>
        <v>717951.35271317931</v>
      </c>
      <c r="G125" s="159">
        <f t="shared" si="27"/>
        <v>740354.76937984605</v>
      </c>
      <c r="H125" s="163">
        <f t="shared" si="28"/>
        <v>134738.80637319159</v>
      </c>
      <c r="I125" s="253">
        <f t="shared" si="29"/>
        <v>134738.80637319159</v>
      </c>
      <c r="J125" s="158">
        <f t="shared" si="21"/>
        <v>0</v>
      </c>
      <c r="K125" s="158"/>
      <c r="L125" s="334"/>
      <c r="M125" s="158">
        <f t="shared" si="22"/>
        <v>0</v>
      </c>
      <c r="N125" s="334"/>
      <c r="O125" s="158">
        <f t="shared" si="23"/>
        <v>0</v>
      </c>
      <c r="P125" s="158">
        <f t="shared" si="24"/>
        <v>0</v>
      </c>
      <c r="Q125" s="1"/>
    </row>
    <row r="126" spans="2:17">
      <c r="B126" s="9" t="str">
        <f t="shared" si="25"/>
        <v/>
      </c>
      <c r="C126" s="153">
        <f>IF(D93="","-",+C125+1)</f>
        <v>2039</v>
      </c>
      <c r="D126" s="154">
        <f>IF(F125+SUM(E$99:E125)=D$92,F125,D$92-SUM(E$99:E125))</f>
        <v>717951.35271317931</v>
      </c>
      <c r="E126" s="160">
        <f>IF(+J96&lt;F125,J96,D126)</f>
        <v>44806.833333333336</v>
      </c>
      <c r="F126" s="159">
        <f t="shared" si="26"/>
        <v>673144.51937984594</v>
      </c>
      <c r="G126" s="159">
        <f t="shared" si="27"/>
        <v>695547.93604651256</v>
      </c>
      <c r="H126" s="163">
        <f t="shared" si="28"/>
        <v>129296.05501398834</v>
      </c>
      <c r="I126" s="253">
        <f t="shared" si="29"/>
        <v>129296.05501398834</v>
      </c>
      <c r="J126" s="158">
        <f t="shared" si="21"/>
        <v>0</v>
      </c>
      <c r="K126" s="158"/>
      <c r="L126" s="334"/>
      <c r="M126" s="158">
        <f t="shared" si="22"/>
        <v>0</v>
      </c>
      <c r="N126" s="334"/>
      <c r="O126" s="158">
        <f t="shared" si="23"/>
        <v>0</v>
      </c>
      <c r="P126" s="158">
        <f t="shared" si="24"/>
        <v>0</v>
      </c>
      <c r="Q126" s="1"/>
    </row>
    <row r="127" spans="2:17">
      <c r="B127" s="9" t="str">
        <f t="shared" si="25"/>
        <v/>
      </c>
      <c r="C127" s="153">
        <f>IF(D93="","-",+C126+1)</f>
        <v>2040</v>
      </c>
      <c r="D127" s="154">
        <f>IF(F126+SUM(E$99:E126)=D$92,F126,D$92-SUM(E$99:E126))</f>
        <v>673144.51937984594</v>
      </c>
      <c r="E127" s="160">
        <f>IF(+J96&lt;F126,J96,D127)</f>
        <v>44806.833333333336</v>
      </c>
      <c r="F127" s="159">
        <f t="shared" si="26"/>
        <v>628337.68604651256</v>
      </c>
      <c r="G127" s="159">
        <f t="shared" si="27"/>
        <v>650741.10271317931</v>
      </c>
      <c r="H127" s="163">
        <f t="shared" si="28"/>
        <v>123853.30365478512</v>
      </c>
      <c r="I127" s="253">
        <f t="shared" si="29"/>
        <v>123853.30365478512</v>
      </c>
      <c r="J127" s="158">
        <f t="shared" si="21"/>
        <v>0</v>
      </c>
      <c r="K127" s="158"/>
      <c r="L127" s="334"/>
      <c r="M127" s="158">
        <f t="shared" si="22"/>
        <v>0</v>
      </c>
      <c r="N127" s="334"/>
      <c r="O127" s="158">
        <f t="shared" si="23"/>
        <v>0</v>
      </c>
      <c r="P127" s="158">
        <f t="shared" si="24"/>
        <v>0</v>
      </c>
      <c r="Q127" s="1"/>
    </row>
    <row r="128" spans="2:17">
      <c r="B128" s="9" t="str">
        <f t="shared" si="25"/>
        <v/>
      </c>
      <c r="C128" s="153">
        <f>IF(D93="","-",+C127+1)</f>
        <v>2041</v>
      </c>
      <c r="D128" s="154">
        <f>IF(F127+SUM(E$99:E127)=D$92,F127,D$92-SUM(E$99:E127))</f>
        <v>628337.68604651256</v>
      </c>
      <c r="E128" s="160">
        <f>IF(+J96&lt;F127,J96,D128)</f>
        <v>44806.833333333336</v>
      </c>
      <c r="F128" s="159">
        <f t="shared" si="26"/>
        <v>583530.85271317919</v>
      </c>
      <c r="G128" s="159">
        <f t="shared" si="27"/>
        <v>605934.26937984582</v>
      </c>
      <c r="H128" s="163">
        <f t="shared" si="28"/>
        <v>118410.55229558187</v>
      </c>
      <c r="I128" s="253">
        <f t="shared" si="29"/>
        <v>118410.55229558187</v>
      </c>
      <c r="J128" s="158">
        <f t="shared" si="21"/>
        <v>0</v>
      </c>
      <c r="K128" s="158"/>
      <c r="L128" s="334"/>
      <c r="M128" s="158">
        <f t="shared" si="22"/>
        <v>0</v>
      </c>
      <c r="N128" s="334"/>
      <c r="O128" s="158">
        <f t="shared" si="23"/>
        <v>0</v>
      </c>
      <c r="P128" s="158">
        <f t="shared" si="24"/>
        <v>0</v>
      </c>
      <c r="Q128" s="1"/>
    </row>
    <row r="129" spans="2:17">
      <c r="B129" s="9" t="str">
        <f t="shared" si="25"/>
        <v/>
      </c>
      <c r="C129" s="153">
        <f>IF(D93="","-",+C128+1)</f>
        <v>2042</v>
      </c>
      <c r="D129" s="154">
        <f>IF(F128+SUM(E$99:E128)=D$92,F128,D$92-SUM(E$99:E128))</f>
        <v>583530.85271317919</v>
      </c>
      <c r="E129" s="160">
        <f>IF(+J96&lt;F128,J96,D129)</f>
        <v>44806.833333333336</v>
      </c>
      <c r="F129" s="159">
        <f t="shared" si="26"/>
        <v>538724.01937984582</v>
      </c>
      <c r="G129" s="159">
        <f t="shared" si="27"/>
        <v>561127.43604651256</v>
      </c>
      <c r="H129" s="163">
        <f t="shared" si="28"/>
        <v>112967.80093637863</v>
      </c>
      <c r="I129" s="253">
        <f t="shared" si="29"/>
        <v>112967.80093637863</v>
      </c>
      <c r="J129" s="158">
        <f t="shared" si="21"/>
        <v>0</v>
      </c>
      <c r="K129" s="158"/>
      <c r="L129" s="334"/>
      <c r="M129" s="158">
        <f t="shared" si="22"/>
        <v>0</v>
      </c>
      <c r="N129" s="334"/>
      <c r="O129" s="158">
        <f t="shared" si="23"/>
        <v>0</v>
      </c>
      <c r="P129" s="158">
        <f t="shared" si="24"/>
        <v>0</v>
      </c>
      <c r="Q129" s="1"/>
    </row>
    <row r="130" spans="2:17">
      <c r="B130" s="9" t="str">
        <f t="shared" si="25"/>
        <v/>
      </c>
      <c r="C130" s="153">
        <f>IF(D93="","-",+C129+1)</f>
        <v>2043</v>
      </c>
      <c r="D130" s="154">
        <f>IF(F129+SUM(E$99:E129)=D$92,F129,D$92-SUM(E$99:E129))</f>
        <v>538724.01937984582</v>
      </c>
      <c r="E130" s="160">
        <f>IF(+J96&lt;F129,J96,D130)</f>
        <v>44806.833333333336</v>
      </c>
      <c r="F130" s="159">
        <f t="shared" si="26"/>
        <v>493917.18604651251</v>
      </c>
      <c r="G130" s="159">
        <f t="shared" si="27"/>
        <v>516320.60271317919</v>
      </c>
      <c r="H130" s="163">
        <f t="shared" si="28"/>
        <v>107525.04957717539</v>
      </c>
      <c r="I130" s="253">
        <f t="shared" si="29"/>
        <v>107525.04957717539</v>
      </c>
      <c r="J130" s="158">
        <f t="shared" si="21"/>
        <v>0</v>
      </c>
      <c r="K130" s="158"/>
      <c r="L130" s="334"/>
      <c r="M130" s="158">
        <f t="shared" si="22"/>
        <v>0</v>
      </c>
      <c r="N130" s="334"/>
      <c r="O130" s="158">
        <f t="shared" si="23"/>
        <v>0</v>
      </c>
      <c r="P130" s="158">
        <f t="shared" si="24"/>
        <v>0</v>
      </c>
      <c r="Q130" s="1"/>
    </row>
    <row r="131" spans="2:17">
      <c r="B131" s="9" t="str">
        <f t="shared" si="25"/>
        <v/>
      </c>
      <c r="C131" s="153">
        <f>IF(D93="","-",+C130+1)</f>
        <v>2044</v>
      </c>
      <c r="D131" s="154">
        <f>IF(F130+SUM(E$99:E130)=D$92,F130,D$92-SUM(E$99:E130))</f>
        <v>493917.18604651251</v>
      </c>
      <c r="E131" s="160">
        <f>IF(+J96&lt;F130,J96,D131)</f>
        <v>44806.833333333336</v>
      </c>
      <c r="F131" s="159">
        <f t="shared" si="26"/>
        <v>449110.35271317919</v>
      </c>
      <c r="G131" s="159">
        <f t="shared" ref="G131:G154" si="30">+(F131+D131)/2</f>
        <v>471513.76937984582</v>
      </c>
      <c r="H131" s="163">
        <f t="shared" ref="H131:H154" si="31">+J$94*G131+E131</f>
        <v>102082.29821797216</v>
      </c>
      <c r="I131" s="253">
        <f t="shared" ref="I131:I154" si="32">+J$95*G131+E131</f>
        <v>102082.29821797216</v>
      </c>
      <c r="J131" s="158">
        <f t="shared" ref="J131:J154" si="33">+I131-H131</f>
        <v>0</v>
      </c>
      <c r="K131" s="158"/>
      <c r="L131" s="334"/>
      <c r="M131" s="158">
        <f t="shared" ref="M131:M154" si="34">IF(L131&lt;&gt;0,+H131-L131,0)</f>
        <v>0</v>
      </c>
      <c r="N131" s="334"/>
      <c r="O131" s="158">
        <f t="shared" ref="O131:O154" si="35">IF(N131&lt;&gt;0,+I131-N131,0)</f>
        <v>0</v>
      </c>
      <c r="P131" s="158">
        <f t="shared" ref="P131:P154" si="36">+O131-M131</f>
        <v>0</v>
      </c>
      <c r="Q131" s="1"/>
    </row>
    <row r="132" spans="2:17">
      <c r="B132" s="9" t="str">
        <f t="shared" ref="B132:B154" si="37">IF(D132=F131,"","IU")</f>
        <v/>
      </c>
      <c r="C132" s="153">
        <f>IF(D93="","-",+C131+1)</f>
        <v>2045</v>
      </c>
      <c r="D132" s="154">
        <f>IF(F131+SUM(E$99:E131)=D$92,F131,D$92-SUM(E$99:E131))</f>
        <v>449110.35271317919</v>
      </c>
      <c r="E132" s="160">
        <f>IF(+J96&lt;F131,J96,D132)</f>
        <v>44806.833333333336</v>
      </c>
      <c r="F132" s="159">
        <f t="shared" ref="F132:F154" si="38">+D132-E132</f>
        <v>404303.51937984588</v>
      </c>
      <c r="G132" s="159">
        <f t="shared" si="30"/>
        <v>426706.93604651256</v>
      </c>
      <c r="H132" s="163">
        <f t="shared" si="31"/>
        <v>96639.546858768925</v>
      </c>
      <c r="I132" s="253">
        <f t="shared" si="32"/>
        <v>96639.546858768925</v>
      </c>
      <c r="J132" s="158">
        <f t="shared" si="33"/>
        <v>0</v>
      </c>
      <c r="K132" s="158"/>
      <c r="L132" s="334"/>
      <c r="M132" s="158">
        <f t="shared" si="34"/>
        <v>0</v>
      </c>
      <c r="N132" s="334"/>
      <c r="O132" s="158">
        <f t="shared" si="35"/>
        <v>0</v>
      </c>
      <c r="P132" s="158">
        <f t="shared" si="36"/>
        <v>0</v>
      </c>
      <c r="Q132" s="1"/>
    </row>
    <row r="133" spans="2:17">
      <c r="B133" s="9" t="str">
        <f t="shared" si="37"/>
        <v/>
      </c>
      <c r="C133" s="153">
        <f>IF(D93="","-",+C132+1)</f>
        <v>2046</v>
      </c>
      <c r="D133" s="154">
        <f>IF(F132+SUM(E$99:E132)=D$92,F132,D$92-SUM(E$99:E132))</f>
        <v>404303.51937984588</v>
      </c>
      <c r="E133" s="160">
        <f>IF(+J96&lt;F132,J96,D133)</f>
        <v>44806.833333333336</v>
      </c>
      <c r="F133" s="159">
        <f t="shared" si="38"/>
        <v>359496.68604651256</v>
      </c>
      <c r="G133" s="159">
        <f t="shared" si="30"/>
        <v>381900.10271317919</v>
      </c>
      <c r="H133" s="163">
        <f t="shared" si="31"/>
        <v>91196.795499565691</v>
      </c>
      <c r="I133" s="253">
        <f t="shared" si="32"/>
        <v>91196.795499565691</v>
      </c>
      <c r="J133" s="158">
        <f t="shared" si="33"/>
        <v>0</v>
      </c>
      <c r="K133" s="158"/>
      <c r="L133" s="334"/>
      <c r="M133" s="158">
        <f t="shared" si="34"/>
        <v>0</v>
      </c>
      <c r="N133" s="334"/>
      <c r="O133" s="158">
        <f t="shared" si="35"/>
        <v>0</v>
      </c>
      <c r="P133" s="158">
        <f t="shared" si="36"/>
        <v>0</v>
      </c>
      <c r="Q133" s="1"/>
    </row>
    <row r="134" spans="2:17">
      <c r="B134" s="9" t="str">
        <f t="shared" si="37"/>
        <v/>
      </c>
      <c r="C134" s="153">
        <f>IF(D93="","-",+C133+1)</f>
        <v>2047</v>
      </c>
      <c r="D134" s="154">
        <f>IF(F133+SUM(E$99:E133)=D$92,F133,D$92-SUM(E$99:E133))</f>
        <v>359496.68604651256</v>
      </c>
      <c r="E134" s="160">
        <f>IF(+J96&lt;F133,J96,D134)</f>
        <v>44806.833333333336</v>
      </c>
      <c r="F134" s="159">
        <f t="shared" si="38"/>
        <v>314689.85271317925</v>
      </c>
      <c r="G134" s="159">
        <f t="shared" si="30"/>
        <v>337093.26937984594</v>
      </c>
      <c r="H134" s="163">
        <f t="shared" si="31"/>
        <v>85754.044140362457</v>
      </c>
      <c r="I134" s="253">
        <f t="shared" si="32"/>
        <v>85754.044140362457</v>
      </c>
      <c r="J134" s="158">
        <f t="shared" si="33"/>
        <v>0</v>
      </c>
      <c r="K134" s="158"/>
      <c r="L134" s="334"/>
      <c r="M134" s="158">
        <f t="shared" si="34"/>
        <v>0</v>
      </c>
      <c r="N134" s="334"/>
      <c r="O134" s="158">
        <f t="shared" si="35"/>
        <v>0</v>
      </c>
      <c r="P134" s="158">
        <f t="shared" si="36"/>
        <v>0</v>
      </c>
      <c r="Q134" s="1"/>
    </row>
    <row r="135" spans="2:17">
      <c r="B135" s="9" t="str">
        <f t="shared" si="37"/>
        <v/>
      </c>
      <c r="C135" s="153">
        <f>IF(D93="","-",+C134+1)</f>
        <v>2048</v>
      </c>
      <c r="D135" s="154">
        <f>IF(F134+SUM(E$99:E134)=D$92,F134,D$92-SUM(E$99:E134))</f>
        <v>314689.85271317925</v>
      </c>
      <c r="E135" s="160">
        <f>IF(+J96&lt;F134,J96,D135)</f>
        <v>44806.833333333336</v>
      </c>
      <c r="F135" s="159">
        <f t="shared" si="38"/>
        <v>269883.01937984594</v>
      </c>
      <c r="G135" s="159">
        <f t="shared" si="30"/>
        <v>292286.43604651256</v>
      </c>
      <c r="H135" s="163">
        <f t="shared" si="31"/>
        <v>80311.292781159224</v>
      </c>
      <c r="I135" s="253">
        <f t="shared" si="32"/>
        <v>80311.292781159224</v>
      </c>
      <c r="J135" s="158">
        <f t="shared" si="33"/>
        <v>0</v>
      </c>
      <c r="K135" s="158"/>
      <c r="L135" s="334"/>
      <c r="M135" s="158">
        <f t="shared" si="34"/>
        <v>0</v>
      </c>
      <c r="N135" s="334"/>
      <c r="O135" s="158">
        <f t="shared" si="35"/>
        <v>0</v>
      </c>
      <c r="P135" s="158">
        <f t="shared" si="36"/>
        <v>0</v>
      </c>
      <c r="Q135" s="1"/>
    </row>
    <row r="136" spans="2:17">
      <c r="B136" s="9" t="str">
        <f t="shared" si="37"/>
        <v/>
      </c>
      <c r="C136" s="153">
        <f>IF(D93="","-",+C135+1)</f>
        <v>2049</v>
      </c>
      <c r="D136" s="154">
        <f>IF(F135+SUM(E$99:E135)=D$92,F135,D$92-SUM(E$99:E135))</f>
        <v>269883.01937984594</v>
      </c>
      <c r="E136" s="160">
        <f>IF(+J96&lt;F135,J96,D136)</f>
        <v>44806.833333333336</v>
      </c>
      <c r="F136" s="159">
        <f t="shared" si="38"/>
        <v>225076.18604651259</v>
      </c>
      <c r="G136" s="159">
        <f t="shared" si="30"/>
        <v>247479.60271317925</v>
      </c>
      <c r="H136" s="163">
        <f t="shared" si="31"/>
        <v>74868.541421955975</v>
      </c>
      <c r="I136" s="253">
        <f t="shared" si="32"/>
        <v>74868.541421955975</v>
      </c>
      <c r="J136" s="158">
        <f t="shared" si="33"/>
        <v>0</v>
      </c>
      <c r="K136" s="158"/>
      <c r="L136" s="334"/>
      <c r="M136" s="158">
        <f t="shared" si="34"/>
        <v>0</v>
      </c>
      <c r="N136" s="334"/>
      <c r="O136" s="158">
        <f t="shared" si="35"/>
        <v>0</v>
      </c>
      <c r="P136" s="158">
        <f t="shared" si="36"/>
        <v>0</v>
      </c>
      <c r="Q136" s="1"/>
    </row>
    <row r="137" spans="2:17">
      <c r="B137" s="9" t="str">
        <f t="shared" si="37"/>
        <v/>
      </c>
      <c r="C137" s="153">
        <f>IF(D93="","-",+C136+1)</f>
        <v>2050</v>
      </c>
      <c r="D137" s="154">
        <f>IF(F136+SUM(E$99:E136)=D$92,F136,D$92-SUM(E$99:E136))</f>
        <v>225076.18604651259</v>
      </c>
      <c r="E137" s="160">
        <f>IF(+J96&lt;F136,J96,D137)</f>
        <v>44806.833333333336</v>
      </c>
      <c r="F137" s="159">
        <f t="shared" si="38"/>
        <v>180269.35271317925</v>
      </c>
      <c r="G137" s="159">
        <f t="shared" si="30"/>
        <v>202672.76937984594</v>
      </c>
      <c r="H137" s="163">
        <f t="shared" si="31"/>
        <v>69425.790062752742</v>
      </c>
      <c r="I137" s="253">
        <f t="shared" si="32"/>
        <v>69425.790062752742</v>
      </c>
      <c r="J137" s="158">
        <f t="shared" si="33"/>
        <v>0</v>
      </c>
      <c r="K137" s="158"/>
      <c r="L137" s="334"/>
      <c r="M137" s="158">
        <f t="shared" si="34"/>
        <v>0</v>
      </c>
      <c r="N137" s="334"/>
      <c r="O137" s="158">
        <f t="shared" si="35"/>
        <v>0</v>
      </c>
      <c r="P137" s="158">
        <f t="shared" si="36"/>
        <v>0</v>
      </c>
      <c r="Q137" s="1"/>
    </row>
    <row r="138" spans="2:17">
      <c r="B138" s="9" t="str">
        <f t="shared" si="37"/>
        <v/>
      </c>
      <c r="C138" s="153">
        <f>IF(D93="","-",+C137+1)</f>
        <v>2051</v>
      </c>
      <c r="D138" s="154">
        <f>IF(F137+SUM(E$99:E137)=D$92,F137,D$92-SUM(E$99:E137))</f>
        <v>180269.35271317925</v>
      </c>
      <c r="E138" s="160">
        <f>IF(+J96&lt;F137,J96,D138)</f>
        <v>44806.833333333336</v>
      </c>
      <c r="F138" s="159">
        <f t="shared" si="38"/>
        <v>135462.51937984591</v>
      </c>
      <c r="G138" s="159">
        <f t="shared" si="30"/>
        <v>157865.93604651256</v>
      </c>
      <c r="H138" s="163">
        <f t="shared" si="31"/>
        <v>63983.038703549508</v>
      </c>
      <c r="I138" s="253">
        <f t="shared" si="32"/>
        <v>63983.038703549508</v>
      </c>
      <c r="J138" s="158">
        <f t="shared" si="33"/>
        <v>0</v>
      </c>
      <c r="K138" s="158"/>
      <c r="L138" s="334"/>
      <c r="M138" s="158">
        <f t="shared" si="34"/>
        <v>0</v>
      </c>
      <c r="N138" s="334"/>
      <c r="O138" s="158">
        <f t="shared" si="35"/>
        <v>0</v>
      </c>
      <c r="P138" s="158">
        <f t="shared" si="36"/>
        <v>0</v>
      </c>
      <c r="Q138" s="1"/>
    </row>
    <row r="139" spans="2:17">
      <c r="B139" s="9" t="str">
        <f t="shared" si="37"/>
        <v/>
      </c>
      <c r="C139" s="153">
        <f>IF(D93="","-",+C138+1)</f>
        <v>2052</v>
      </c>
      <c r="D139" s="154">
        <f>IF(F138+SUM(E$99:E138)=D$92,F138,D$92-SUM(E$99:E138))</f>
        <v>135462.51937984591</v>
      </c>
      <c r="E139" s="160">
        <f>IF(+J96&lt;F138,J96,D139)</f>
        <v>44806.833333333336</v>
      </c>
      <c r="F139" s="159">
        <f t="shared" si="38"/>
        <v>90655.686046512565</v>
      </c>
      <c r="G139" s="159">
        <f t="shared" si="30"/>
        <v>113059.10271317924</v>
      </c>
      <c r="H139" s="163">
        <f t="shared" si="31"/>
        <v>58540.287344346267</v>
      </c>
      <c r="I139" s="253">
        <f t="shared" si="32"/>
        <v>58540.287344346267</v>
      </c>
      <c r="J139" s="158">
        <f t="shared" si="33"/>
        <v>0</v>
      </c>
      <c r="K139" s="158"/>
      <c r="L139" s="334"/>
      <c r="M139" s="158">
        <f t="shared" si="34"/>
        <v>0</v>
      </c>
      <c r="N139" s="334"/>
      <c r="O139" s="158">
        <f t="shared" si="35"/>
        <v>0</v>
      </c>
      <c r="P139" s="158">
        <f t="shared" si="36"/>
        <v>0</v>
      </c>
      <c r="Q139" s="1"/>
    </row>
    <row r="140" spans="2:17">
      <c r="B140" s="9" t="str">
        <f t="shared" si="37"/>
        <v/>
      </c>
      <c r="C140" s="153">
        <f>IF(D93="","-",+C139+1)</f>
        <v>2053</v>
      </c>
      <c r="D140" s="154">
        <f>IF(F139+SUM(E$99:E139)=D$92,F139,D$92-SUM(E$99:E139))</f>
        <v>90655.686046512565</v>
      </c>
      <c r="E140" s="160">
        <f>IF(+J96&lt;F139,J96,D140)</f>
        <v>44806.833333333336</v>
      </c>
      <c r="F140" s="159">
        <f t="shared" si="38"/>
        <v>45848.852713179229</v>
      </c>
      <c r="G140" s="159">
        <f t="shared" si="30"/>
        <v>68252.269379845893</v>
      </c>
      <c r="H140" s="163">
        <f t="shared" si="31"/>
        <v>53097.535985143033</v>
      </c>
      <c r="I140" s="253">
        <f t="shared" si="32"/>
        <v>53097.535985143033</v>
      </c>
      <c r="J140" s="158">
        <f t="shared" si="33"/>
        <v>0</v>
      </c>
      <c r="K140" s="158"/>
      <c r="L140" s="334"/>
      <c r="M140" s="158">
        <f t="shared" si="34"/>
        <v>0</v>
      </c>
      <c r="N140" s="334"/>
      <c r="O140" s="158">
        <f t="shared" si="35"/>
        <v>0</v>
      </c>
      <c r="P140" s="158">
        <f t="shared" si="36"/>
        <v>0</v>
      </c>
      <c r="Q140" s="1"/>
    </row>
    <row r="141" spans="2:17">
      <c r="B141" s="9" t="str">
        <f t="shared" si="37"/>
        <v/>
      </c>
      <c r="C141" s="153">
        <f>IF(D93="","-",+C140+1)</f>
        <v>2054</v>
      </c>
      <c r="D141" s="154">
        <f>IF(F140+SUM(E$99:E140)=D$92,F140,D$92-SUM(E$99:E140))</f>
        <v>45848.852713179229</v>
      </c>
      <c r="E141" s="160">
        <f>IF(+J96&lt;F140,J96,D141)</f>
        <v>44806.833333333336</v>
      </c>
      <c r="F141" s="159">
        <f t="shared" si="38"/>
        <v>1042.0193798458931</v>
      </c>
      <c r="G141" s="159">
        <f t="shared" si="30"/>
        <v>23445.436046512561</v>
      </c>
      <c r="H141" s="163">
        <f t="shared" si="31"/>
        <v>47654.784625939792</v>
      </c>
      <c r="I141" s="253">
        <f t="shared" si="32"/>
        <v>47654.784625939792</v>
      </c>
      <c r="J141" s="158">
        <f t="shared" si="33"/>
        <v>0</v>
      </c>
      <c r="K141" s="158"/>
      <c r="L141" s="334"/>
      <c r="M141" s="158">
        <f t="shared" si="34"/>
        <v>0</v>
      </c>
      <c r="N141" s="334"/>
      <c r="O141" s="158">
        <f t="shared" si="35"/>
        <v>0</v>
      </c>
      <c r="P141" s="158">
        <f t="shared" si="36"/>
        <v>0</v>
      </c>
      <c r="Q141" s="1"/>
    </row>
    <row r="142" spans="2:17">
      <c r="B142" s="9" t="str">
        <f t="shared" si="37"/>
        <v/>
      </c>
      <c r="C142" s="153">
        <f>IF(D93="","-",+C141+1)</f>
        <v>2055</v>
      </c>
      <c r="D142" s="154">
        <f>IF(F141+SUM(E$99:E141)=D$92,F141,D$92-SUM(E$99:E141))</f>
        <v>1042.0193798458931</v>
      </c>
      <c r="E142" s="160">
        <f>IF(+J96&lt;F141,J96,D142)</f>
        <v>1042.0193798458931</v>
      </c>
      <c r="F142" s="159">
        <f t="shared" si="38"/>
        <v>0</v>
      </c>
      <c r="G142" s="159">
        <f t="shared" si="30"/>
        <v>521.00968992294656</v>
      </c>
      <c r="H142" s="163">
        <f t="shared" si="31"/>
        <v>1105.3071863483131</v>
      </c>
      <c r="I142" s="253">
        <f t="shared" si="32"/>
        <v>1105.3071863483131</v>
      </c>
      <c r="J142" s="158">
        <f t="shared" si="33"/>
        <v>0</v>
      </c>
      <c r="K142" s="158"/>
      <c r="L142" s="334"/>
      <c r="M142" s="158">
        <f t="shared" si="34"/>
        <v>0</v>
      </c>
      <c r="N142" s="334"/>
      <c r="O142" s="158">
        <f t="shared" si="35"/>
        <v>0</v>
      </c>
      <c r="P142" s="158">
        <f t="shared" si="36"/>
        <v>0</v>
      </c>
      <c r="Q142" s="1"/>
    </row>
    <row r="143" spans="2:17">
      <c r="B143" s="9" t="str">
        <f t="shared" si="37"/>
        <v/>
      </c>
      <c r="C143" s="153">
        <f>IF(D93="","-",+C142+1)</f>
        <v>2056</v>
      </c>
      <c r="D143" s="154">
        <f>IF(F142+SUM(E$99:E142)=D$92,F142,D$92-SUM(E$99:E142))</f>
        <v>0</v>
      </c>
      <c r="E143" s="160">
        <f>IF(+J96&lt;F142,J96,D143)</f>
        <v>0</v>
      </c>
      <c r="F143" s="159">
        <f t="shared" si="38"/>
        <v>0</v>
      </c>
      <c r="G143" s="159">
        <f t="shared" si="30"/>
        <v>0</v>
      </c>
      <c r="H143" s="163">
        <f t="shared" si="31"/>
        <v>0</v>
      </c>
      <c r="I143" s="253">
        <f t="shared" si="32"/>
        <v>0</v>
      </c>
      <c r="J143" s="158">
        <f t="shared" si="33"/>
        <v>0</v>
      </c>
      <c r="K143" s="158"/>
      <c r="L143" s="334"/>
      <c r="M143" s="158">
        <f t="shared" si="34"/>
        <v>0</v>
      </c>
      <c r="N143" s="334"/>
      <c r="O143" s="158">
        <f t="shared" si="35"/>
        <v>0</v>
      </c>
      <c r="P143" s="158">
        <f t="shared" si="36"/>
        <v>0</v>
      </c>
      <c r="Q143" s="1"/>
    </row>
    <row r="144" spans="2:17">
      <c r="B144" s="9" t="str">
        <f t="shared" si="37"/>
        <v/>
      </c>
      <c r="C144" s="153">
        <f>IF(D93="","-",+C143+1)</f>
        <v>2057</v>
      </c>
      <c r="D144" s="154">
        <f>IF(F143+SUM(E$99:E143)=D$92,F143,D$92-SUM(E$99:E143))</f>
        <v>0</v>
      </c>
      <c r="E144" s="160">
        <f>IF(+J96&lt;F143,J96,D144)</f>
        <v>0</v>
      </c>
      <c r="F144" s="159">
        <f t="shared" si="38"/>
        <v>0</v>
      </c>
      <c r="G144" s="159">
        <f t="shared" si="30"/>
        <v>0</v>
      </c>
      <c r="H144" s="163">
        <f t="shared" si="31"/>
        <v>0</v>
      </c>
      <c r="I144" s="253">
        <f t="shared" si="32"/>
        <v>0</v>
      </c>
      <c r="J144" s="158">
        <f t="shared" si="33"/>
        <v>0</v>
      </c>
      <c r="K144" s="158"/>
      <c r="L144" s="334"/>
      <c r="M144" s="158">
        <f t="shared" si="34"/>
        <v>0</v>
      </c>
      <c r="N144" s="334"/>
      <c r="O144" s="158">
        <f t="shared" si="35"/>
        <v>0</v>
      </c>
      <c r="P144" s="158">
        <f t="shared" si="36"/>
        <v>0</v>
      </c>
      <c r="Q144" s="1"/>
    </row>
    <row r="145" spans="2:17">
      <c r="B145" s="9" t="str">
        <f t="shared" si="37"/>
        <v/>
      </c>
      <c r="C145" s="153">
        <f>IF(D93="","-",+C144+1)</f>
        <v>2058</v>
      </c>
      <c r="D145" s="154">
        <f>IF(F144+SUM(E$99:E144)=D$92,F144,D$92-SUM(E$99:E144))</f>
        <v>0</v>
      </c>
      <c r="E145" s="160">
        <f>IF(+J96&lt;F144,J96,D145)</f>
        <v>0</v>
      </c>
      <c r="F145" s="159">
        <f t="shared" si="38"/>
        <v>0</v>
      </c>
      <c r="G145" s="159">
        <f t="shared" si="30"/>
        <v>0</v>
      </c>
      <c r="H145" s="163">
        <f t="shared" si="31"/>
        <v>0</v>
      </c>
      <c r="I145" s="253">
        <f t="shared" si="32"/>
        <v>0</v>
      </c>
      <c r="J145" s="158">
        <f t="shared" si="33"/>
        <v>0</v>
      </c>
      <c r="K145" s="158"/>
      <c r="L145" s="334"/>
      <c r="M145" s="158">
        <f t="shared" si="34"/>
        <v>0</v>
      </c>
      <c r="N145" s="334"/>
      <c r="O145" s="158">
        <f t="shared" si="35"/>
        <v>0</v>
      </c>
      <c r="P145" s="158">
        <f t="shared" si="36"/>
        <v>0</v>
      </c>
      <c r="Q145" s="1"/>
    </row>
    <row r="146" spans="2:17">
      <c r="B146" s="9" t="str">
        <f t="shared" si="37"/>
        <v/>
      </c>
      <c r="C146" s="153">
        <f>IF(D93="","-",+C145+1)</f>
        <v>2059</v>
      </c>
      <c r="D146" s="154">
        <f>IF(F145+SUM(E$99:E145)=D$92,F145,D$92-SUM(E$99:E145))</f>
        <v>0</v>
      </c>
      <c r="E146" s="160">
        <f>IF(+J96&lt;F145,J96,D146)</f>
        <v>0</v>
      </c>
      <c r="F146" s="159">
        <f t="shared" si="38"/>
        <v>0</v>
      </c>
      <c r="G146" s="159">
        <f t="shared" si="30"/>
        <v>0</v>
      </c>
      <c r="H146" s="163">
        <f t="shared" si="31"/>
        <v>0</v>
      </c>
      <c r="I146" s="253">
        <f t="shared" si="32"/>
        <v>0</v>
      </c>
      <c r="J146" s="158">
        <f t="shared" si="33"/>
        <v>0</v>
      </c>
      <c r="K146" s="158"/>
      <c r="L146" s="334"/>
      <c r="M146" s="158">
        <f t="shared" si="34"/>
        <v>0</v>
      </c>
      <c r="N146" s="334"/>
      <c r="O146" s="158">
        <f t="shared" si="35"/>
        <v>0</v>
      </c>
      <c r="P146" s="158">
        <f t="shared" si="36"/>
        <v>0</v>
      </c>
      <c r="Q146" s="1"/>
    </row>
    <row r="147" spans="2:17">
      <c r="B147" s="9" t="str">
        <f t="shared" si="37"/>
        <v/>
      </c>
      <c r="C147" s="153">
        <f>IF(D93="","-",+C146+1)</f>
        <v>2060</v>
      </c>
      <c r="D147" s="154">
        <f>IF(F146+SUM(E$99:E146)=D$92,F146,D$92-SUM(E$99:E146))</f>
        <v>0</v>
      </c>
      <c r="E147" s="160">
        <f>IF(+J96&lt;F146,J96,D147)</f>
        <v>0</v>
      </c>
      <c r="F147" s="159">
        <f t="shared" si="38"/>
        <v>0</v>
      </c>
      <c r="G147" s="159">
        <f t="shared" si="30"/>
        <v>0</v>
      </c>
      <c r="H147" s="163">
        <f t="shared" si="31"/>
        <v>0</v>
      </c>
      <c r="I147" s="253">
        <f t="shared" si="32"/>
        <v>0</v>
      </c>
      <c r="J147" s="158">
        <f t="shared" si="33"/>
        <v>0</v>
      </c>
      <c r="K147" s="158"/>
      <c r="L147" s="334"/>
      <c r="M147" s="158">
        <f t="shared" si="34"/>
        <v>0</v>
      </c>
      <c r="N147" s="334"/>
      <c r="O147" s="158">
        <f t="shared" si="35"/>
        <v>0</v>
      </c>
      <c r="P147" s="158">
        <f t="shared" si="36"/>
        <v>0</v>
      </c>
      <c r="Q147" s="1"/>
    </row>
    <row r="148" spans="2:17">
      <c r="B148" s="9" t="str">
        <f t="shared" si="37"/>
        <v/>
      </c>
      <c r="C148" s="153">
        <f>IF(D93="","-",+C147+1)</f>
        <v>2061</v>
      </c>
      <c r="D148" s="154">
        <f>IF(F147+SUM(E$99:E147)=D$92,F147,D$92-SUM(E$99:E147))</f>
        <v>0</v>
      </c>
      <c r="E148" s="160">
        <f>IF(+J96&lt;F147,J96,D148)</f>
        <v>0</v>
      </c>
      <c r="F148" s="159">
        <f t="shared" si="38"/>
        <v>0</v>
      </c>
      <c r="G148" s="159">
        <f t="shared" si="30"/>
        <v>0</v>
      </c>
      <c r="H148" s="163">
        <f t="shared" si="31"/>
        <v>0</v>
      </c>
      <c r="I148" s="253">
        <f t="shared" si="32"/>
        <v>0</v>
      </c>
      <c r="J148" s="158">
        <f t="shared" si="33"/>
        <v>0</v>
      </c>
      <c r="K148" s="158"/>
      <c r="L148" s="334"/>
      <c r="M148" s="158">
        <f t="shared" si="34"/>
        <v>0</v>
      </c>
      <c r="N148" s="334"/>
      <c r="O148" s="158">
        <f t="shared" si="35"/>
        <v>0</v>
      </c>
      <c r="P148" s="158">
        <f t="shared" si="36"/>
        <v>0</v>
      </c>
      <c r="Q148" s="1"/>
    </row>
    <row r="149" spans="2:17">
      <c r="B149" s="9" t="str">
        <f t="shared" si="37"/>
        <v/>
      </c>
      <c r="C149" s="153">
        <f>IF(D93="","-",+C148+1)</f>
        <v>2062</v>
      </c>
      <c r="D149" s="154">
        <f>IF(F148+SUM(E$99:E148)=D$92,F148,D$92-SUM(E$99:E148))</f>
        <v>0</v>
      </c>
      <c r="E149" s="160">
        <f>IF(+J96&lt;F148,J96,D149)</f>
        <v>0</v>
      </c>
      <c r="F149" s="159">
        <f t="shared" si="38"/>
        <v>0</v>
      </c>
      <c r="G149" s="159">
        <f t="shared" si="30"/>
        <v>0</v>
      </c>
      <c r="H149" s="163">
        <f t="shared" si="31"/>
        <v>0</v>
      </c>
      <c r="I149" s="253">
        <f t="shared" si="32"/>
        <v>0</v>
      </c>
      <c r="J149" s="158">
        <f t="shared" si="33"/>
        <v>0</v>
      </c>
      <c r="K149" s="158"/>
      <c r="L149" s="334"/>
      <c r="M149" s="158">
        <f t="shared" si="34"/>
        <v>0</v>
      </c>
      <c r="N149" s="334"/>
      <c r="O149" s="158">
        <f t="shared" si="35"/>
        <v>0</v>
      </c>
      <c r="P149" s="158">
        <f t="shared" si="36"/>
        <v>0</v>
      </c>
      <c r="Q149" s="1"/>
    </row>
    <row r="150" spans="2:17">
      <c r="B150" s="9" t="str">
        <f t="shared" si="37"/>
        <v/>
      </c>
      <c r="C150" s="153">
        <f>IF(D93="","-",+C149+1)</f>
        <v>2063</v>
      </c>
      <c r="D150" s="154">
        <f>IF(F149+SUM(E$99:E149)=D$92,F149,D$92-SUM(E$99:E149))</f>
        <v>0</v>
      </c>
      <c r="E150" s="160">
        <f>IF(+J96&lt;F149,J96,D150)</f>
        <v>0</v>
      </c>
      <c r="F150" s="159">
        <f t="shared" si="38"/>
        <v>0</v>
      </c>
      <c r="G150" s="159">
        <f t="shared" si="30"/>
        <v>0</v>
      </c>
      <c r="H150" s="163">
        <f t="shared" si="31"/>
        <v>0</v>
      </c>
      <c r="I150" s="253">
        <f t="shared" si="32"/>
        <v>0</v>
      </c>
      <c r="J150" s="158">
        <f t="shared" si="33"/>
        <v>0</v>
      </c>
      <c r="K150" s="158"/>
      <c r="L150" s="334"/>
      <c r="M150" s="158">
        <f t="shared" si="34"/>
        <v>0</v>
      </c>
      <c r="N150" s="334"/>
      <c r="O150" s="158">
        <f t="shared" si="35"/>
        <v>0</v>
      </c>
      <c r="P150" s="158">
        <f t="shared" si="36"/>
        <v>0</v>
      </c>
      <c r="Q150" s="1"/>
    </row>
    <row r="151" spans="2:17">
      <c r="B151" s="9" t="str">
        <f t="shared" si="37"/>
        <v/>
      </c>
      <c r="C151" s="153">
        <f>IF(D93="","-",+C150+1)</f>
        <v>2064</v>
      </c>
      <c r="D151" s="154">
        <f>IF(F150+SUM(E$99:E150)=D$92,F150,D$92-SUM(E$99:E150))</f>
        <v>0</v>
      </c>
      <c r="E151" s="160">
        <f>IF(+J96&lt;F150,J96,D151)</f>
        <v>0</v>
      </c>
      <c r="F151" s="159">
        <f t="shared" si="38"/>
        <v>0</v>
      </c>
      <c r="G151" s="159">
        <f t="shared" si="30"/>
        <v>0</v>
      </c>
      <c r="H151" s="163">
        <f t="shared" si="31"/>
        <v>0</v>
      </c>
      <c r="I151" s="253">
        <f t="shared" si="32"/>
        <v>0</v>
      </c>
      <c r="J151" s="158">
        <f t="shared" si="33"/>
        <v>0</v>
      </c>
      <c r="K151" s="158"/>
      <c r="L151" s="334"/>
      <c r="M151" s="158">
        <f t="shared" si="34"/>
        <v>0</v>
      </c>
      <c r="N151" s="334"/>
      <c r="O151" s="158">
        <f t="shared" si="35"/>
        <v>0</v>
      </c>
      <c r="P151" s="158">
        <f t="shared" si="36"/>
        <v>0</v>
      </c>
      <c r="Q151" s="1"/>
    </row>
    <row r="152" spans="2:17">
      <c r="B152" s="9" t="str">
        <f t="shared" si="37"/>
        <v/>
      </c>
      <c r="C152" s="153">
        <f>IF(D93="","-",+C151+1)</f>
        <v>2065</v>
      </c>
      <c r="D152" s="154">
        <f>IF(F151+SUM(E$99:E151)=D$92,F151,D$92-SUM(E$99:E151))</f>
        <v>0</v>
      </c>
      <c r="E152" s="160">
        <f>IF(+J96&lt;F151,J96,D152)</f>
        <v>0</v>
      </c>
      <c r="F152" s="159">
        <f t="shared" si="38"/>
        <v>0</v>
      </c>
      <c r="G152" s="159">
        <f t="shared" si="30"/>
        <v>0</v>
      </c>
      <c r="H152" s="163">
        <f t="shared" si="31"/>
        <v>0</v>
      </c>
      <c r="I152" s="253">
        <f t="shared" si="32"/>
        <v>0</v>
      </c>
      <c r="J152" s="158">
        <f t="shared" si="33"/>
        <v>0</v>
      </c>
      <c r="K152" s="158"/>
      <c r="L152" s="334"/>
      <c r="M152" s="158">
        <f t="shared" si="34"/>
        <v>0</v>
      </c>
      <c r="N152" s="334"/>
      <c r="O152" s="158">
        <f t="shared" si="35"/>
        <v>0</v>
      </c>
      <c r="P152" s="158">
        <f t="shared" si="36"/>
        <v>0</v>
      </c>
      <c r="Q152" s="1"/>
    </row>
    <row r="153" spans="2:17">
      <c r="B153" s="9" t="str">
        <f t="shared" si="37"/>
        <v/>
      </c>
      <c r="C153" s="153">
        <f>IF(D93="","-",+C152+1)</f>
        <v>2066</v>
      </c>
      <c r="D153" s="154">
        <f>IF(F152+SUM(E$99:E152)=D$92,F152,D$92-SUM(E$99:E152))</f>
        <v>0</v>
      </c>
      <c r="E153" s="160">
        <f>IF(+J96&lt;F152,J96,D153)</f>
        <v>0</v>
      </c>
      <c r="F153" s="159">
        <f t="shared" si="38"/>
        <v>0</v>
      </c>
      <c r="G153" s="159">
        <f t="shared" si="30"/>
        <v>0</v>
      </c>
      <c r="H153" s="163">
        <f t="shared" si="31"/>
        <v>0</v>
      </c>
      <c r="I153" s="253">
        <f t="shared" si="32"/>
        <v>0</v>
      </c>
      <c r="J153" s="158">
        <f t="shared" si="33"/>
        <v>0</v>
      </c>
      <c r="K153" s="158"/>
      <c r="L153" s="334"/>
      <c r="M153" s="158">
        <f t="shared" si="34"/>
        <v>0</v>
      </c>
      <c r="N153" s="334"/>
      <c r="O153" s="158">
        <f t="shared" si="35"/>
        <v>0</v>
      </c>
      <c r="P153" s="158">
        <f t="shared" si="36"/>
        <v>0</v>
      </c>
      <c r="Q153" s="1"/>
    </row>
    <row r="154" spans="2:17" ht="13.5" thickBot="1">
      <c r="B154" s="9" t="str">
        <f t="shared" si="37"/>
        <v/>
      </c>
      <c r="C154" s="164">
        <f>IF(D93="","-",+C153+1)</f>
        <v>2067</v>
      </c>
      <c r="D154" s="215">
        <f>IF(F153+SUM(E$99:E153)=D$92,F153,D$92-SUM(E$99:E153))</f>
        <v>0</v>
      </c>
      <c r="E154" s="166">
        <f>IF(+J96&lt;F153,J96,D154)</f>
        <v>0</v>
      </c>
      <c r="F154" s="165">
        <f t="shared" si="38"/>
        <v>0</v>
      </c>
      <c r="G154" s="165">
        <f t="shared" si="30"/>
        <v>0</v>
      </c>
      <c r="H154" s="167">
        <f t="shared" si="31"/>
        <v>0</v>
      </c>
      <c r="I154" s="254">
        <f t="shared" si="32"/>
        <v>0</v>
      </c>
      <c r="J154" s="169">
        <f t="shared" si="33"/>
        <v>0</v>
      </c>
      <c r="K154" s="158"/>
      <c r="L154" s="335"/>
      <c r="M154" s="169">
        <f t="shared" si="34"/>
        <v>0</v>
      </c>
      <c r="N154" s="335"/>
      <c r="O154" s="169">
        <f t="shared" si="35"/>
        <v>0</v>
      </c>
      <c r="P154" s="169">
        <f t="shared" si="36"/>
        <v>0</v>
      </c>
      <c r="Q154" s="1"/>
    </row>
    <row r="155" spans="2:17">
      <c r="C155" s="154" t="s">
        <v>73</v>
      </c>
      <c r="D155" s="111"/>
      <c r="E155" s="111">
        <f>SUM(E99:E154)</f>
        <v>1881886.9999999998</v>
      </c>
      <c r="F155" s="111"/>
      <c r="G155" s="111"/>
      <c r="H155" s="111">
        <f>SUM(H99:H154)</f>
        <v>6905754.698508068</v>
      </c>
      <c r="I155" s="111">
        <f>SUM(I99:I154)</f>
        <v>6905754.698508068</v>
      </c>
      <c r="J155" s="111">
        <f>SUM(J99:J154)</f>
        <v>0</v>
      </c>
      <c r="K155" s="111"/>
      <c r="L155" s="111"/>
      <c r="M155" s="111"/>
      <c r="N155" s="111"/>
      <c r="O155" s="111"/>
      <c r="P155" s="1"/>
      <c r="Q155" s="1"/>
    </row>
    <row r="156" spans="2:17">
      <c r="D156" s="2"/>
      <c r="E156" s="1"/>
      <c r="F156" s="1"/>
      <c r="G156" s="1"/>
      <c r="H156" s="1"/>
      <c r="I156" s="3"/>
      <c r="J156" s="3"/>
      <c r="K156" s="111"/>
      <c r="L156" s="3"/>
      <c r="M156" s="3"/>
      <c r="N156" s="3"/>
      <c r="O156" s="3"/>
      <c r="P156" s="1"/>
      <c r="Q156" s="1"/>
    </row>
    <row r="157" spans="2:17">
      <c r="C157" s="216" t="s">
        <v>87</v>
      </c>
      <c r="D157" s="2"/>
      <c r="E157" s="1"/>
      <c r="F157" s="1"/>
      <c r="G157" s="1"/>
      <c r="H157" s="1"/>
      <c r="I157" s="3"/>
      <c r="J157" s="3"/>
      <c r="K157" s="111"/>
      <c r="L157" s="3"/>
      <c r="M157" s="3"/>
      <c r="N157" s="3"/>
      <c r="O157" s="3"/>
      <c r="P157" s="1"/>
      <c r="Q157" s="1"/>
    </row>
    <row r="158" spans="2:17">
      <c r="D158" s="2"/>
      <c r="E158" s="1"/>
      <c r="F158" s="1"/>
      <c r="G158" s="1"/>
      <c r="H158" s="1"/>
      <c r="I158" s="3"/>
      <c r="J158" s="3"/>
      <c r="K158" s="111"/>
      <c r="L158" s="3"/>
      <c r="M158" s="3"/>
      <c r="N158" s="3"/>
      <c r="O158" s="3"/>
      <c r="P158" s="1"/>
      <c r="Q158" s="1"/>
    </row>
    <row r="159" spans="2:17">
      <c r="C159" s="170" t="s">
        <v>92</v>
      </c>
      <c r="D159" s="154"/>
      <c r="E159" s="154"/>
      <c r="F159" s="154"/>
      <c r="G159" s="154"/>
      <c r="H159" s="111"/>
      <c r="I159" s="111"/>
      <c r="J159" s="171"/>
      <c r="K159" s="171"/>
      <c r="L159" s="171"/>
      <c r="M159" s="171"/>
      <c r="N159" s="171"/>
      <c r="O159" s="171"/>
      <c r="P159" s="1"/>
      <c r="Q159" s="1"/>
    </row>
    <row r="160" spans="2:17">
      <c r="C160" s="217" t="s">
        <v>74</v>
      </c>
      <c r="D160" s="154"/>
      <c r="E160" s="154"/>
      <c r="F160" s="154"/>
      <c r="G160" s="154"/>
      <c r="H160" s="111"/>
      <c r="I160" s="111"/>
      <c r="J160" s="171"/>
      <c r="K160" s="171"/>
      <c r="L160" s="171"/>
      <c r="M160" s="171"/>
      <c r="N160" s="171"/>
      <c r="O160" s="171"/>
      <c r="P160" s="1"/>
      <c r="Q160" s="1"/>
    </row>
    <row r="161" spans="3:17">
      <c r="C161" s="217" t="s">
        <v>75</v>
      </c>
      <c r="D161" s="154"/>
      <c r="E161" s="154"/>
      <c r="F161" s="154"/>
      <c r="G161" s="154"/>
      <c r="H161" s="111"/>
      <c r="I161" s="111"/>
      <c r="J161" s="171"/>
      <c r="K161" s="171"/>
      <c r="L161" s="171"/>
      <c r="M161" s="171"/>
      <c r="N161" s="171"/>
      <c r="O161" s="171"/>
      <c r="P161" s="1"/>
      <c r="Q161" s="1"/>
    </row>
    <row r="162" spans="3:17" ht="18">
      <c r="C162" s="217"/>
      <c r="D162" s="154"/>
      <c r="E162" s="154"/>
      <c r="F162" s="154"/>
      <c r="G162" s="154"/>
      <c r="H162" s="111"/>
      <c r="I162" s="111"/>
      <c r="J162" s="171"/>
      <c r="K162" s="171"/>
      <c r="L162" s="171"/>
      <c r="M162" s="171"/>
      <c r="N162" s="171"/>
      <c r="P162" s="237" t="s">
        <v>126</v>
      </c>
      <c r="Q162" s="1"/>
    </row>
  </sheetData>
  <phoneticPr fontId="0" type="noConversion"/>
  <conditionalFormatting sqref="C17:C72">
    <cfRule type="cellIs" dxfId="107" priority="1" stopIfTrue="1" operator="equal">
      <formula>$I$10</formula>
    </cfRule>
  </conditionalFormatting>
  <conditionalFormatting sqref="C99:C154">
    <cfRule type="cellIs" dxfId="106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1"/>
  <dimension ref="A1:Q162"/>
  <sheetViews>
    <sheetView view="pageBreakPreview" zoomScale="75" zoomScaleNormal="100" zoomScaleSheetLayoutView="75" workbookViewId="0">
      <selection activeCell="C19" sqref="C19"/>
    </sheetView>
  </sheetViews>
  <sheetFormatPr defaultRowHeight="12.75" customHeight="1"/>
  <cols>
    <col min="1" max="1" width="4.7109375" customWidth="1"/>
    <col min="2" max="2" width="6.7109375" customWidth="1"/>
    <col min="3" max="3" width="23.28515625" customWidth="1"/>
    <col min="4" max="8" width="17.7109375" customWidth="1"/>
    <col min="9" max="9" width="20.42578125" customWidth="1"/>
    <col min="10" max="10" width="16.42578125" customWidth="1"/>
    <col min="11" max="11" width="17.7109375" customWidth="1"/>
    <col min="12" max="12" width="16.140625" customWidth="1"/>
    <col min="13" max="13" width="17.7109375" customWidth="1"/>
    <col min="14" max="14" width="16.140625" customWidth="1"/>
    <col min="15" max="15" width="16.85546875" customWidth="1"/>
    <col min="16" max="16" width="24.42578125" customWidth="1"/>
    <col min="17" max="17" width="4.7109375" customWidth="1"/>
    <col min="23" max="23" width="9.140625" customWidth="1"/>
  </cols>
  <sheetData>
    <row r="1" spans="1:17" ht="20.25">
      <c r="A1" s="243" t="s">
        <v>128</v>
      </c>
      <c r="B1" s="1"/>
      <c r="C1" s="21"/>
      <c r="D1" s="2"/>
      <c r="E1" s="1"/>
      <c r="F1" s="99"/>
      <c r="G1" s="1"/>
      <c r="H1" s="3"/>
      <c r="J1" s="7"/>
      <c r="K1" s="109"/>
      <c r="L1" s="109"/>
      <c r="M1" s="109"/>
      <c r="P1" s="249" t="str">
        <f ca="1">"SWEPCO Project "&amp;RIGHT(MID(CELL("filename",$A$1),FIND("]",CELL("filename",$A$1))+1,256),2)&amp;" of "&amp;COUNT('S.001:S.xyz - blank'!$P$3)-1</f>
        <v>SWEPCO Project 30 of 73</v>
      </c>
      <c r="Q1" s="108"/>
    </row>
    <row r="2" spans="1:17" ht="18">
      <c r="B2" s="1"/>
      <c r="C2" s="1"/>
      <c r="D2" s="2"/>
      <c r="E2" s="1"/>
      <c r="F2" s="1"/>
      <c r="G2" s="1"/>
      <c r="H2" s="3"/>
      <c r="I2" s="1"/>
      <c r="J2" s="4"/>
      <c r="K2" s="1"/>
      <c r="L2" s="1"/>
      <c r="M2" s="1"/>
      <c r="N2" s="1"/>
      <c r="P2" s="237" t="s">
        <v>124</v>
      </c>
    </row>
    <row r="3" spans="1:17" ht="18.75">
      <c r="B3" s="5" t="s">
        <v>40</v>
      </c>
      <c r="C3" s="68" t="s">
        <v>41</v>
      </c>
      <c r="D3" s="2"/>
      <c r="E3" s="1"/>
      <c r="F3" s="1"/>
      <c r="G3" s="1"/>
      <c r="H3" s="3"/>
      <c r="I3" s="3"/>
      <c r="J3" s="111"/>
      <c r="K3" s="3"/>
      <c r="L3" s="3"/>
      <c r="M3" s="3"/>
      <c r="N3" s="3"/>
      <c r="O3" s="1" t="str">
        <f>RIGHT(N3,3)</f>
        <v/>
      </c>
      <c r="P3" s="239">
        <v>1</v>
      </c>
    </row>
    <row r="4" spans="1:17" ht="15.75" thickBot="1">
      <c r="C4" s="67"/>
      <c r="D4" s="2"/>
      <c r="E4" s="1"/>
      <c r="F4" s="1"/>
      <c r="G4" s="1"/>
      <c r="H4" s="3"/>
      <c r="I4" s="3"/>
      <c r="J4" s="111"/>
      <c r="K4" s="3"/>
      <c r="L4" s="3"/>
      <c r="M4" s="3"/>
      <c r="N4" s="3"/>
      <c r="O4" s="1"/>
      <c r="P4" s="1"/>
    </row>
    <row r="5" spans="1:17" ht="15">
      <c r="C5" s="112" t="s">
        <v>42</v>
      </c>
      <c r="D5" s="2"/>
      <c r="E5" s="1"/>
      <c r="F5" s="1"/>
      <c r="G5" s="113"/>
      <c r="H5" s="1" t="s">
        <v>43</v>
      </c>
      <c r="I5" s="1"/>
      <c r="J5" s="4"/>
      <c r="K5" s="268" t="s">
        <v>152</v>
      </c>
      <c r="L5" s="114"/>
      <c r="M5" s="115"/>
      <c r="N5" s="116">
        <f>VLOOKUP(I10,C17:I72,5)</f>
        <v>5084323.9573062724</v>
      </c>
      <c r="P5" s="1"/>
    </row>
    <row r="6" spans="1:17" ht="15.75">
      <c r="C6" s="8"/>
      <c r="D6" s="2"/>
      <c r="E6" s="1"/>
      <c r="F6" s="1"/>
      <c r="G6" s="1"/>
      <c r="H6" s="117"/>
      <c r="I6" s="117"/>
      <c r="J6" s="118"/>
      <c r="K6" s="269" t="s">
        <v>153</v>
      </c>
      <c r="L6" s="119"/>
      <c r="M6" s="4"/>
      <c r="N6" s="120">
        <f>VLOOKUP(I10,C17:I72,6)</f>
        <v>5084323.9573062724</v>
      </c>
      <c r="O6" s="1"/>
      <c r="P6" s="1"/>
    </row>
    <row r="7" spans="1:17" ht="13.5" thickBot="1">
      <c r="C7" s="121" t="s">
        <v>44</v>
      </c>
      <c r="D7" s="274" t="s">
        <v>271</v>
      </c>
      <c r="E7" s="1"/>
      <c r="F7" s="1"/>
      <c r="G7" s="170"/>
      <c r="H7" s="3"/>
      <c r="I7" s="3"/>
      <c r="J7" s="111"/>
      <c r="K7" s="122" t="s">
        <v>45</v>
      </c>
      <c r="L7" s="123"/>
      <c r="M7" s="123"/>
      <c r="N7" s="124">
        <f>+N6-N5</f>
        <v>0</v>
      </c>
      <c r="O7" s="1"/>
      <c r="P7" s="1"/>
    </row>
    <row r="8" spans="1:17" ht="13.5" thickBot="1">
      <c r="C8" s="125"/>
      <c r="D8" s="250" t="str">
        <f>IF(D10&lt;100000,"DOES NOT MEET SPP $100,000 MINIMUM INVESTMENT FOR REGIONAL BPU SHARING.","")</f>
        <v/>
      </c>
      <c r="E8" s="126"/>
      <c r="F8" s="126"/>
      <c r="G8" s="126"/>
      <c r="H8" s="126"/>
      <c r="I8" s="126"/>
      <c r="J8" s="101"/>
      <c r="K8" s="126"/>
      <c r="L8" s="126"/>
      <c r="M8" s="126"/>
      <c r="N8" s="126"/>
      <c r="O8" s="101"/>
      <c r="P8" s="21"/>
    </row>
    <row r="9" spans="1:17" ht="13.5" thickBot="1">
      <c r="A9" s="103"/>
      <c r="C9" s="127" t="s">
        <v>46</v>
      </c>
      <c r="D9" s="371"/>
      <c r="E9" s="401" t="s">
        <v>421</v>
      </c>
      <c r="F9" s="128"/>
      <c r="G9" s="128"/>
      <c r="H9" s="128"/>
      <c r="I9" s="129"/>
      <c r="J9" s="130"/>
      <c r="O9" s="131"/>
      <c r="P9" s="4"/>
    </row>
    <row r="10" spans="1:17">
      <c r="C10" s="132" t="s">
        <v>47</v>
      </c>
      <c r="D10" s="133">
        <v>47660029</v>
      </c>
      <c r="E10" s="61" t="s">
        <v>459</v>
      </c>
      <c r="F10" s="131"/>
      <c r="G10" s="134"/>
      <c r="H10" s="134"/>
      <c r="I10" s="135">
        <f>+SWE.WS.F.BPU.ATRR.Projected!K17</f>
        <v>2019</v>
      </c>
      <c r="J10" s="130"/>
      <c r="K10" s="111" t="s">
        <v>48</v>
      </c>
      <c r="O10" s="4"/>
      <c r="P10" s="4"/>
    </row>
    <row r="11" spans="1:17">
      <c r="C11" s="136" t="s">
        <v>49</v>
      </c>
      <c r="D11" s="137">
        <v>2012</v>
      </c>
      <c r="E11" s="136" t="s">
        <v>50</v>
      </c>
      <c r="F11" s="134"/>
      <c r="G11" s="7"/>
      <c r="H11" s="7"/>
      <c r="I11" s="138">
        <v>0</v>
      </c>
      <c r="J11" s="139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4"/>
      <c r="P11" s="4"/>
    </row>
    <row r="12" spans="1:17">
      <c r="C12" s="136" t="s">
        <v>51</v>
      </c>
      <c r="D12" s="133">
        <v>8</v>
      </c>
      <c r="E12" s="136" t="s">
        <v>52</v>
      </c>
      <c r="F12" s="134"/>
      <c r="G12" s="7"/>
      <c r="H12" s="7"/>
      <c r="I12" s="140">
        <f>SWE.WS.F.BPU.ATRR.Projected!$F$76</f>
        <v>9.9555672459071778E-2</v>
      </c>
      <c r="J12" s="141"/>
      <c r="K12" t="s">
        <v>53</v>
      </c>
      <c r="O12" s="4"/>
      <c r="P12" s="4"/>
    </row>
    <row r="13" spans="1:17">
      <c r="C13" s="136" t="s">
        <v>54</v>
      </c>
      <c r="D13" s="138">
        <f>+SWE.WS.F.BPU.ATRR.Projected!F$87</f>
        <v>43</v>
      </c>
      <c r="E13" s="136" t="s">
        <v>55</v>
      </c>
      <c r="F13" s="134"/>
      <c r="G13" s="7"/>
      <c r="H13" s="7"/>
      <c r="I13" s="140">
        <f>IF(G5="",I12,SWE.WS.F.BPU.ATRR.Projected!$F$75)</f>
        <v>9.9555672459071778E-2</v>
      </c>
      <c r="J13" s="141"/>
      <c r="K13" s="111" t="s">
        <v>56</v>
      </c>
      <c r="L13" s="58"/>
      <c r="M13" s="58"/>
      <c r="N13" s="58"/>
      <c r="O13" s="4"/>
      <c r="P13" s="4"/>
    </row>
    <row r="14" spans="1:17" ht="13.5" thickBot="1">
      <c r="C14" s="136" t="s">
        <v>57</v>
      </c>
      <c r="D14" s="137" t="s">
        <v>58</v>
      </c>
      <c r="E14" s="4" t="s">
        <v>59</v>
      </c>
      <c r="F14" s="134"/>
      <c r="G14" s="7"/>
      <c r="H14" s="7"/>
      <c r="I14" s="142">
        <f>IF(D10=0,0,D10/D13)</f>
        <v>1108372.7674418604</v>
      </c>
      <c r="J14" s="111"/>
      <c r="K14" s="111"/>
      <c r="L14" s="111"/>
      <c r="M14" s="111"/>
      <c r="N14" s="111"/>
      <c r="O14" s="4"/>
      <c r="P14" s="4"/>
    </row>
    <row r="15" spans="1:17" ht="38.25">
      <c r="C15" s="143" t="s">
        <v>47</v>
      </c>
      <c r="D15" s="144" t="s">
        <v>60</v>
      </c>
      <c r="E15" s="144" t="s">
        <v>61</v>
      </c>
      <c r="F15" s="144" t="s">
        <v>62</v>
      </c>
      <c r="G15" s="434" t="s">
        <v>378</v>
      </c>
      <c r="H15" s="435" t="s">
        <v>379</v>
      </c>
      <c r="I15" s="351" t="s">
        <v>249</v>
      </c>
      <c r="J15" s="145"/>
      <c r="K15" s="271" t="s">
        <v>219</v>
      </c>
      <c r="L15" s="146" t="s">
        <v>64</v>
      </c>
      <c r="M15" s="271" t="s">
        <v>219</v>
      </c>
      <c r="N15" s="146" t="s">
        <v>64</v>
      </c>
      <c r="O15" s="146" t="s">
        <v>65</v>
      </c>
      <c r="P15" s="4"/>
    </row>
    <row r="16" spans="1:17" ht="13.5" thickBot="1">
      <c r="C16" s="147" t="s">
        <v>66</v>
      </c>
      <c r="D16" s="147" t="s">
        <v>67</v>
      </c>
      <c r="E16" s="147" t="s">
        <v>68</v>
      </c>
      <c r="F16" s="147" t="s">
        <v>67</v>
      </c>
      <c r="G16" s="408" t="s">
        <v>69</v>
      </c>
      <c r="H16" s="148" t="s">
        <v>70</v>
      </c>
      <c r="I16" s="149" t="s">
        <v>89</v>
      </c>
      <c r="J16" s="150" t="s">
        <v>71</v>
      </c>
      <c r="K16" s="151" t="s">
        <v>72</v>
      </c>
      <c r="L16" s="151" t="s">
        <v>72</v>
      </c>
      <c r="M16" s="151" t="s">
        <v>90</v>
      </c>
      <c r="N16" s="152" t="s">
        <v>90</v>
      </c>
      <c r="O16" s="151" t="s">
        <v>90</v>
      </c>
      <c r="P16" s="4"/>
    </row>
    <row r="17" spans="2:16">
      <c r="C17" s="153">
        <f>IF(D11= "","-",D11)</f>
        <v>2012</v>
      </c>
      <c r="D17" s="357">
        <v>47434000</v>
      </c>
      <c r="E17" s="358">
        <v>376460.31746031746</v>
      </c>
      <c r="F17" s="357">
        <v>47057539.682539679</v>
      </c>
      <c r="G17" s="358">
        <v>7374864.2102739988</v>
      </c>
      <c r="H17" s="359">
        <v>7374864.2102739988</v>
      </c>
      <c r="I17" s="405">
        <v>0</v>
      </c>
      <c r="J17" s="156"/>
      <c r="K17" s="256">
        <f t="shared" ref="K17:K22" si="0">G17</f>
        <v>7374864.2102739988</v>
      </c>
      <c r="L17" s="172">
        <f t="shared" ref="L17:L48" si="1">IF(K17&lt;&gt;0,+G17-K17,0)</f>
        <v>0</v>
      </c>
      <c r="M17" s="256">
        <f t="shared" ref="M17:M22" si="2">H17</f>
        <v>7374864.2102739988</v>
      </c>
      <c r="N17" s="157">
        <f t="shared" ref="N17:N48" si="3">IF(M17&lt;&gt;0,+H17-M17,0)</f>
        <v>0</v>
      </c>
      <c r="O17" s="158">
        <f t="shared" ref="O17:O48" si="4">+N17-L17</f>
        <v>0</v>
      </c>
      <c r="P17" s="4"/>
    </row>
    <row r="18" spans="2:16">
      <c r="B18" s="9" t="str">
        <f t="shared" ref="B18:B49" si="5">IF(D18=F17,"","IU")</f>
        <v>IU</v>
      </c>
      <c r="C18" s="153">
        <f>IF(D11="","-",+C17+1)</f>
        <v>2013</v>
      </c>
      <c r="D18" s="396">
        <v>46796111.682539679</v>
      </c>
      <c r="E18" s="397">
        <v>1123156.4761904762</v>
      </c>
      <c r="F18" s="396">
        <v>45672955.206349202</v>
      </c>
      <c r="G18" s="397">
        <v>7516780.2053061184</v>
      </c>
      <c r="H18" s="395">
        <v>7516780.2053061184</v>
      </c>
      <c r="I18" s="404">
        <v>0</v>
      </c>
      <c r="J18" s="156"/>
      <c r="K18" s="258">
        <f t="shared" si="0"/>
        <v>7516780.2053061184</v>
      </c>
      <c r="L18" s="257">
        <f t="shared" ref="L18:L23" si="6">IF(K18&lt;&gt;0,+G18-K18,0)</f>
        <v>0</v>
      </c>
      <c r="M18" s="258">
        <f t="shared" si="2"/>
        <v>7516780.2053061184</v>
      </c>
      <c r="N18" s="158">
        <f t="shared" ref="N18:N23" si="7">IF(M18&lt;&gt;0,+H18-M18,0)</f>
        <v>0</v>
      </c>
      <c r="O18" s="158">
        <f t="shared" ref="O18:O23" si="8">+N18-L18</f>
        <v>0</v>
      </c>
      <c r="P18" s="4"/>
    </row>
    <row r="19" spans="2:16">
      <c r="B19" s="9" t="str">
        <f t="shared" si="5"/>
        <v>IU</v>
      </c>
      <c r="C19" s="153">
        <f>IF(D11="","-",+C18+1)</f>
        <v>2014</v>
      </c>
      <c r="D19" s="396">
        <v>45915504.206349209</v>
      </c>
      <c r="E19" s="397">
        <v>1128931.4523809524</v>
      </c>
      <c r="F19" s="396">
        <v>44786572.753968254</v>
      </c>
      <c r="G19" s="397">
        <v>7171110.7453941712</v>
      </c>
      <c r="H19" s="395">
        <v>7171110.7453941712</v>
      </c>
      <c r="I19" s="404">
        <v>0</v>
      </c>
      <c r="J19" s="156"/>
      <c r="K19" s="258">
        <f t="shared" si="0"/>
        <v>7171110.7453941712</v>
      </c>
      <c r="L19" s="257">
        <f t="shared" si="6"/>
        <v>0</v>
      </c>
      <c r="M19" s="258">
        <f t="shared" si="2"/>
        <v>7171110.7453941712</v>
      </c>
      <c r="N19" s="158">
        <f t="shared" si="7"/>
        <v>0</v>
      </c>
      <c r="O19" s="158">
        <f t="shared" si="8"/>
        <v>0</v>
      </c>
      <c r="P19" s="4"/>
    </row>
    <row r="20" spans="2:16">
      <c r="B20" s="9" t="str">
        <f t="shared" si="5"/>
        <v>IU</v>
      </c>
      <c r="C20" s="153">
        <f>IF(D11="","-",+C19+1)</f>
        <v>2015</v>
      </c>
      <c r="D20" s="396">
        <v>45031351.753968254</v>
      </c>
      <c r="E20" s="397">
        <v>1134759.5238095238</v>
      </c>
      <c r="F20" s="396">
        <v>43896592.230158731</v>
      </c>
      <c r="G20" s="397">
        <v>6916151.4669681974</v>
      </c>
      <c r="H20" s="395">
        <v>6916151.4669681974</v>
      </c>
      <c r="I20" s="156">
        <v>0</v>
      </c>
      <c r="J20" s="156"/>
      <c r="K20" s="258">
        <f t="shared" si="0"/>
        <v>6916151.4669681974</v>
      </c>
      <c r="L20" s="257">
        <f t="shared" si="6"/>
        <v>0</v>
      </c>
      <c r="M20" s="258">
        <f t="shared" si="2"/>
        <v>6916151.4669681974</v>
      </c>
      <c r="N20" s="158">
        <f t="shared" si="7"/>
        <v>0</v>
      </c>
      <c r="O20" s="158">
        <f t="shared" si="8"/>
        <v>0</v>
      </c>
      <c r="P20" s="4"/>
    </row>
    <row r="21" spans="2:16">
      <c r="B21" s="9" t="str">
        <f t="shared" si="5"/>
        <v/>
      </c>
      <c r="C21" s="153">
        <f>IF(D12="","-",+C20+1)</f>
        <v>2016</v>
      </c>
      <c r="D21" s="396">
        <v>43896592.230158731</v>
      </c>
      <c r="E21" s="397">
        <v>1134759.5238095238</v>
      </c>
      <c r="F21" s="396">
        <v>42761832.706349209</v>
      </c>
      <c r="G21" s="397">
        <v>6697217.6540145967</v>
      </c>
      <c r="H21" s="395">
        <v>6697217.6540145967</v>
      </c>
      <c r="I21" s="156">
        <f t="shared" ref="I21:I48" si="9">H21-G21</f>
        <v>0</v>
      </c>
      <c r="J21" s="156"/>
      <c r="K21" s="258">
        <f t="shared" si="0"/>
        <v>6697217.6540145967</v>
      </c>
      <c r="L21" s="257">
        <f t="shared" si="6"/>
        <v>0</v>
      </c>
      <c r="M21" s="258">
        <f t="shared" si="2"/>
        <v>6697217.6540145967</v>
      </c>
      <c r="N21" s="158">
        <f t="shared" si="7"/>
        <v>0</v>
      </c>
      <c r="O21" s="158">
        <f t="shared" si="8"/>
        <v>0</v>
      </c>
      <c r="P21" s="4"/>
    </row>
    <row r="22" spans="2:16">
      <c r="B22" s="9" t="str">
        <f t="shared" si="5"/>
        <v>IU</v>
      </c>
      <c r="C22" s="153">
        <f>IF(D11="","-",+C21+1)</f>
        <v>2017</v>
      </c>
      <c r="D22" s="396">
        <v>42761961.706349209</v>
      </c>
      <c r="E22" s="397">
        <v>1108372.7674418604</v>
      </c>
      <c r="F22" s="396">
        <v>41653588.938907348</v>
      </c>
      <c r="G22" s="397">
        <v>6337600.9904746711</v>
      </c>
      <c r="H22" s="395">
        <v>6337600.9904746711</v>
      </c>
      <c r="I22" s="156">
        <v>0</v>
      </c>
      <c r="J22" s="156"/>
      <c r="K22" s="258">
        <f t="shared" si="0"/>
        <v>6337600.9904746711</v>
      </c>
      <c r="L22" s="257">
        <f t="shared" si="6"/>
        <v>0</v>
      </c>
      <c r="M22" s="258">
        <f t="shared" si="2"/>
        <v>6337600.9904746711</v>
      </c>
      <c r="N22" s="158">
        <f t="shared" si="7"/>
        <v>0</v>
      </c>
      <c r="O22" s="158">
        <f t="shared" si="8"/>
        <v>0</v>
      </c>
      <c r="P22" s="4"/>
    </row>
    <row r="23" spans="2:16">
      <c r="B23" s="9" t="str">
        <f t="shared" si="5"/>
        <v/>
      </c>
      <c r="C23" s="153">
        <f>IF(D11="","-",+C22+1)</f>
        <v>2018</v>
      </c>
      <c r="D23" s="396">
        <v>41653588.938907348</v>
      </c>
      <c r="E23" s="397">
        <v>1162439.7317073171</v>
      </c>
      <c r="F23" s="396">
        <v>40491149.207200028</v>
      </c>
      <c r="G23" s="397">
        <v>5757789.29986329</v>
      </c>
      <c r="H23" s="395">
        <v>5757789.29986329</v>
      </c>
      <c r="I23" s="156">
        <f t="shared" si="9"/>
        <v>0</v>
      </c>
      <c r="J23" s="156"/>
      <c r="K23" s="258">
        <f>G23</f>
        <v>5757789.29986329</v>
      </c>
      <c r="L23" s="257">
        <f t="shared" si="6"/>
        <v>0</v>
      </c>
      <c r="M23" s="258">
        <f>H23</f>
        <v>5757789.29986329</v>
      </c>
      <c r="N23" s="158">
        <f t="shared" si="7"/>
        <v>0</v>
      </c>
      <c r="O23" s="158">
        <f t="shared" si="8"/>
        <v>0</v>
      </c>
      <c r="P23" s="4"/>
    </row>
    <row r="24" spans="2:16">
      <c r="B24" s="9" t="str">
        <f t="shared" si="5"/>
        <v/>
      </c>
      <c r="C24" s="153">
        <f>IF(D11="","-",+C23+1)</f>
        <v>2019</v>
      </c>
      <c r="D24" s="159">
        <f>IF(F23+SUM(E$17:E23)=D$10,F23,D$10-SUM(E$17:E23))</f>
        <v>40491149.207200028</v>
      </c>
      <c r="E24" s="160">
        <f>IF(+I14&lt;F23,I14,D24)</f>
        <v>1108372.7674418604</v>
      </c>
      <c r="F24" s="159">
        <f t="shared" ref="F24:F48" si="10">+D24-E24</f>
        <v>39382776.439758167</v>
      </c>
      <c r="G24" s="161">
        <f t="shared" ref="G24:G53" si="11">+I$12*((D24+F24)/2)+E24</f>
        <v>5084323.9573062724</v>
      </c>
      <c r="H24" s="142">
        <f t="shared" ref="H24:H53" si="12">+I$13*((D24+F24)/2)+E24</f>
        <v>5084323.9573062724</v>
      </c>
      <c r="I24" s="156">
        <f t="shared" si="9"/>
        <v>0</v>
      </c>
      <c r="J24" s="156"/>
      <c r="K24" s="334"/>
      <c r="L24" s="158">
        <f t="shared" si="1"/>
        <v>0</v>
      </c>
      <c r="M24" s="334"/>
      <c r="N24" s="158">
        <f t="shared" si="3"/>
        <v>0</v>
      </c>
      <c r="O24" s="158">
        <f t="shared" si="4"/>
        <v>0</v>
      </c>
      <c r="P24" s="4"/>
    </row>
    <row r="25" spans="2:16">
      <c r="B25" s="9" t="str">
        <f t="shared" si="5"/>
        <v/>
      </c>
      <c r="C25" s="153">
        <f>IF(D11="","-",+C24+1)</f>
        <v>2020</v>
      </c>
      <c r="D25" s="159">
        <f>IF(F24+SUM(E$17:E24)=D$10,F24,D$10-SUM(E$17:E24))</f>
        <v>39382776.439758167</v>
      </c>
      <c r="E25" s="160">
        <f>IF(+I14&lt;F24,I14,D25)</f>
        <v>1108372.7674418604</v>
      </c>
      <c r="F25" s="159">
        <f t="shared" si="10"/>
        <v>38274403.672316305</v>
      </c>
      <c r="G25" s="161">
        <f t="shared" si="11"/>
        <v>4973979.161108274</v>
      </c>
      <c r="H25" s="142">
        <f t="shared" si="12"/>
        <v>4973979.161108274</v>
      </c>
      <c r="I25" s="156">
        <f t="shared" si="9"/>
        <v>0</v>
      </c>
      <c r="J25" s="156"/>
      <c r="K25" s="334"/>
      <c r="L25" s="158">
        <f t="shared" si="1"/>
        <v>0</v>
      </c>
      <c r="M25" s="334"/>
      <c r="N25" s="158">
        <f t="shared" si="3"/>
        <v>0</v>
      </c>
      <c r="O25" s="158">
        <f t="shared" si="4"/>
        <v>0</v>
      </c>
      <c r="P25" s="4"/>
    </row>
    <row r="26" spans="2:16">
      <c r="B26" s="9" t="str">
        <f t="shared" si="5"/>
        <v/>
      </c>
      <c r="C26" s="153">
        <f>IF(D11="","-",+C25+1)</f>
        <v>2021</v>
      </c>
      <c r="D26" s="159">
        <f>IF(F25+SUM(E$17:E25)=D$10,F25,D$10-SUM(E$17:E25))</f>
        <v>38274403.672316305</v>
      </c>
      <c r="E26" s="160">
        <f>IF(+I14&lt;F25,I14,D26)</f>
        <v>1108372.7674418604</v>
      </c>
      <c r="F26" s="159">
        <f t="shared" si="10"/>
        <v>37166030.904874444</v>
      </c>
      <c r="G26" s="161">
        <f t="shared" si="11"/>
        <v>4863634.3649102785</v>
      </c>
      <c r="H26" s="142">
        <f t="shared" si="12"/>
        <v>4863634.3649102785</v>
      </c>
      <c r="I26" s="156">
        <f t="shared" si="9"/>
        <v>0</v>
      </c>
      <c r="J26" s="156"/>
      <c r="K26" s="334"/>
      <c r="L26" s="158">
        <f t="shared" si="1"/>
        <v>0</v>
      </c>
      <c r="M26" s="334"/>
      <c r="N26" s="158">
        <f t="shared" si="3"/>
        <v>0</v>
      </c>
      <c r="O26" s="158">
        <f t="shared" si="4"/>
        <v>0</v>
      </c>
      <c r="P26" s="4"/>
    </row>
    <row r="27" spans="2:16">
      <c r="B27" s="9" t="str">
        <f t="shared" si="5"/>
        <v/>
      </c>
      <c r="C27" s="153">
        <f>IF(D11="","-",+C26+1)</f>
        <v>2022</v>
      </c>
      <c r="D27" s="159">
        <f>IF(F26+SUM(E$17:E26)=D$10,F26,D$10-SUM(E$17:E26))</f>
        <v>37166030.904874444</v>
      </c>
      <c r="E27" s="160">
        <f>IF(+I14&lt;F26,I14,D27)</f>
        <v>1108372.7674418604</v>
      </c>
      <c r="F27" s="159">
        <f t="shared" si="10"/>
        <v>36057658.137432583</v>
      </c>
      <c r="G27" s="161">
        <f t="shared" si="11"/>
        <v>4753289.5687122811</v>
      </c>
      <c r="H27" s="142">
        <f t="shared" si="12"/>
        <v>4753289.5687122811</v>
      </c>
      <c r="I27" s="156">
        <f t="shared" si="9"/>
        <v>0</v>
      </c>
      <c r="J27" s="156"/>
      <c r="K27" s="334"/>
      <c r="L27" s="158">
        <f t="shared" si="1"/>
        <v>0</v>
      </c>
      <c r="M27" s="334"/>
      <c r="N27" s="158">
        <f t="shared" si="3"/>
        <v>0</v>
      </c>
      <c r="O27" s="158">
        <f t="shared" si="4"/>
        <v>0</v>
      </c>
      <c r="P27" s="4"/>
    </row>
    <row r="28" spans="2:16">
      <c r="B28" s="9" t="str">
        <f t="shared" si="5"/>
        <v/>
      </c>
      <c r="C28" s="153">
        <f>IF(D11="","-",+C27+1)</f>
        <v>2023</v>
      </c>
      <c r="D28" s="159">
        <f>IF(F27+SUM(E$17:E27)=D$10,F27,D$10-SUM(E$17:E27))</f>
        <v>36057658.137432583</v>
      </c>
      <c r="E28" s="160">
        <f>IF(+I14&lt;F27,I14,D28)</f>
        <v>1108372.7674418604</v>
      </c>
      <c r="F28" s="159">
        <f t="shared" si="10"/>
        <v>34949285.369990721</v>
      </c>
      <c r="G28" s="161">
        <f t="shared" si="11"/>
        <v>4642944.7725142846</v>
      </c>
      <c r="H28" s="142">
        <f t="shared" si="12"/>
        <v>4642944.7725142846</v>
      </c>
      <c r="I28" s="156">
        <f t="shared" si="9"/>
        <v>0</v>
      </c>
      <c r="J28" s="156"/>
      <c r="K28" s="334"/>
      <c r="L28" s="158">
        <f t="shared" si="1"/>
        <v>0</v>
      </c>
      <c r="M28" s="334"/>
      <c r="N28" s="158">
        <f t="shared" si="3"/>
        <v>0</v>
      </c>
      <c r="O28" s="158">
        <f t="shared" si="4"/>
        <v>0</v>
      </c>
      <c r="P28" s="4"/>
    </row>
    <row r="29" spans="2:16">
      <c r="B29" s="9" t="str">
        <f t="shared" si="5"/>
        <v/>
      </c>
      <c r="C29" s="153">
        <f>IF(D11="","-",+C28+1)</f>
        <v>2024</v>
      </c>
      <c r="D29" s="159">
        <f>IF(F28+SUM(E$17:E28)=D$10,F28,D$10-SUM(E$17:E28))</f>
        <v>34949285.369990721</v>
      </c>
      <c r="E29" s="160">
        <f>IF(+I14&lt;F28,I14,D29)</f>
        <v>1108372.7674418604</v>
      </c>
      <c r="F29" s="159">
        <f t="shared" si="10"/>
        <v>33840912.60254886</v>
      </c>
      <c r="G29" s="161">
        <f t="shared" si="11"/>
        <v>4532599.9763162872</v>
      </c>
      <c r="H29" s="142">
        <f t="shared" si="12"/>
        <v>4532599.9763162872</v>
      </c>
      <c r="I29" s="156">
        <f t="shared" si="9"/>
        <v>0</v>
      </c>
      <c r="J29" s="156"/>
      <c r="K29" s="334"/>
      <c r="L29" s="158">
        <f t="shared" si="1"/>
        <v>0</v>
      </c>
      <c r="M29" s="334"/>
      <c r="N29" s="158">
        <f t="shared" si="3"/>
        <v>0</v>
      </c>
      <c r="O29" s="158">
        <f t="shared" si="4"/>
        <v>0</v>
      </c>
      <c r="P29" s="4"/>
    </row>
    <row r="30" spans="2:16">
      <c r="B30" s="9" t="str">
        <f t="shared" si="5"/>
        <v/>
      </c>
      <c r="C30" s="153">
        <f>IF(D11="","-",+C29+1)</f>
        <v>2025</v>
      </c>
      <c r="D30" s="159">
        <f>IF(F29+SUM(E$17:E29)=D$10,F29,D$10-SUM(E$17:E29))</f>
        <v>33840912.60254886</v>
      </c>
      <c r="E30" s="160">
        <f>IF(+I14&lt;F29,I14,D30)</f>
        <v>1108372.7674418604</v>
      </c>
      <c r="F30" s="159">
        <f t="shared" si="10"/>
        <v>32732539.835106999</v>
      </c>
      <c r="G30" s="161">
        <f t="shared" si="11"/>
        <v>4422255.1801182907</v>
      </c>
      <c r="H30" s="142">
        <f t="shared" si="12"/>
        <v>4422255.1801182907</v>
      </c>
      <c r="I30" s="156">
        <f t="shared" si="9"/>
        <v>0</v>
      </c>
      <c r="J30" s="156"/>
      <c r="K30" s="334"/>
      <c r="L30" s="158">
        <f t="shared" si="1"/>
        <v>0</v>
      </c>
      <c r="M30" s="334"/>
      <c r="N30" s="158">
        <f t="shared" si="3"/>
        <v>0</v>
      </c>
      <c r="O30" s="158">
        <f t="shared" si="4"/>
        <v>0</v>
      </c>
      <c r="P30" s="4"/>
    </row>
    <row r="31" spans="2:16">
      <c r="B31" s="9" t="str">
        <f t="shared" si="5"/>
        <v/>
      </c>
      <c r="C31" s="153">
        <f>IF(D11="","-",+C30+1)</f>
        <v>2026</v>
      </c>
      <c r="D31" s="159">
        <f>IF(F30+SUM(E$17:E30)=D$10,F30,D$10-SUM(E$17:E30))</f>
        <v>32732539.835106999</v>
      </c>
      <c r="E31" s="160">
        <f>IF(+I14&lt;F30,I14,D31)</f>
        <v>1108372.7674418604</v>
      </c>
      <c r="F31" s="159">
        <f t="shared" si="10"/>
        <v>31624167.067665137</v>
      </c>
      <c r="G31" s="161">
        <f t="shared" si="11"/>
        <v>4311910.3839202933</v>
      </c>
      <c r="H31" s="142">
        <f t="shared" si="12"/>
        <v>4311910.3839202933</v>
      </c>
      <c r="I31" s="156">
        <f t="shared" si="9"/>
        <v>0</v>
      </c>
      <c r="J31" s="156"/>
      <c r="K31" s="334"/>
      <c r="L31" s="158">
        <f t="shared" si="1"/>
        <v>0</v>
      </c>
      <c r="M31" s="334"/>
      <c r="N31" s="158">
        <f t="shared" si="3"/>
        <v>0</v>
      </c>
      <c r="O31" s="158">
        <f t="shared" si="4"/>
        <v>0</v>
      </c>
      <c r="P31" s="4"/>
    </row>
    <row r="32" spans="2:16">
      <c r="B32" s="9" t="str">
        <f t="shared" si="5"/>
        <v/>
      </c>
      <c r="C32" s="153">
        <f>IF(D11="","-",+C31+1)</f>
        <v>2027</v>
      </c>
      <c r="D32" s="159">
        <f>IF(F31+SUM(E$17:E31)=D$10,F31,D$10-SUM(E$17:E31))</f>
        <v>31624167.067665137</v>
      </c>
      <c r="E32" s="160">
        <f>IF(+I14&lt;F31,I14,D32)</f>
        <v>1108372.7674418604</v>
      </c>
      <c r="F32" s="159">
        <f t="shared" si="10"/>
        <v>30515794.300223276</v>
      </c>
      <c r="G32" s="161">
        <f t="shared" si="11"/>
        <v>4201565.5877222968</v>
      </c>
      <c r="H32" s="142">
        <f t="shared" si="12"/>
        <v>4201565.5877222968</v>
      </c>
      <c r="I32" s="156">
        <f t="shared" si="9"/>
        <v>0</v>
      </c>
      <c r="J32" s="156"/>
      <c r="K32" s="334"/>
      <c r="L32" s="158">
        <f t="shared" si="1"/>
        <v>0</v>
      </c>
      <c r="M32" s="334"/>
      <c r="N32" s="158">
        <f t="shared" si="3"/>
        <v>0</v>
      </c>
      <c r="O32" s="158">
        <f t="shared" si="4"/>
        <v>0</v>
      </c>
      <c r="P32" s="4"/>
    </row>
    <row r="33" spans="2:16">
      <c r="B33" s="9" t="str">
        <f t="shared" si="5"/>
        <v/>
      </c>
      <c r="C33" s="153">
        <f>IF(D11="","-",+C32+1)</f>
        <v>2028</v>
      </c>
      <c r="D33" s="159">
        <f>IF(F32+SUM(E$17:E32)=D$10,F32,D$10-SUM(E$17:E32))</f>
        <v>30515794.300223276</v>
      </c>
      <c r="E33" s="160">
        <f>IF(+I14&lt;F32,I14,D33)</f>
        <v>1108372.7674418604</v>
      </c>
      <c r="F33" s="159">
        <f t="shared" si="10"/>
        <v>29407421.532781415</v>
      </c>
      <c r="G33" s="161">
        <f t="shared" si="11"/>
        <v>4091220.7915242999</v>
      </c>
      <c r="H33" s="142">
        <f t="shared" si="12"/>
        <v>4091220.7915242999</v>
      </c>
      <c r="I33" s="156">
        <f t="shared" si="9"/>
        <v>0</v>
      </c>
      <c r="J33" s="156"/>
      <c r="K33" s="334"/>
      <c r="L33" s="158">
        <f t="shared" si="1"/>
        <v>0</v>
      </c>
      <c r="M33" s="334"/>
      <c r="N33" s="158">
        <f t="shared" si="3"/>
        <v>0</v>
      </c>
      <c r="O33" s="158">
        <f t="shared" si="4"/>
        <v>0</v>
      </c>
      <c r="P33" s="4"/>
    </row>
    <row r="34" spans="2:16">
      <c r="B34" s="9" t="str">
        <f t="shared" si="5"/>
        <v/>
      </c>
      <c r="C34" s="153">
        <f>IF(D11="","-",+C33+1)</f>
        <v>2029</v>
      </c>
      <c r="D34" s="159">
        <f>IF(F33+SUM(E$17:E33)=D$10,F33,D$10-SUM(E$17:E33))</f>
        <v>29407421.532781415</v>
      </c>
      <c r="E34" s="160">
        <f>IF(+I14&lt;F33,I14,D34)</f>
        <v>1108372.7674418604</v>
      </c>
      <c r="F34" s="159">
        <f t="shared" si="10"/>
        <v>28299048.765339553</v>
      </c>
      <c r="G34" s="161">
        <f t="shared" si="11"/>
        <v>3980875.9953263029</v>
      </c>
      <c r="H34" s="142">
        <f t="shared" si="12"/>
        <v>3980875.9953263029</v>
      </c>
      <c r="I34" s="156">
        <f t="shared" si="9"/>
        <v>0</v>
      </c>
      <c r="J34" s="156"/>
      <c r="K34" s="334"/>
      <c r="L34" s="158">
        <f t="shared" si="1"/>
        <v>0</v>
      </c>
      <c r="M34" s="334"/>
      <c r="N34" s="158">
        <f t="shared" si="3"/>
        <v>0</v>
      </c>
      <c r="O34" s="158">
        <f t="shared" si="4"/>
        <v>0</v>
      </c>
      <c r="P34" s="4"/>
    </row>
    <row r="35" spans="2:16">
      <c r="B35" s="9" t="str">
        <f t="shared" si="5"/>
        <v/>
      </c>
      <c r="C35" s="153">
        <f>IF(D11="","-",+C34+1)</f>
        <v>2030</v>
      </c>
      <c r="D35" s="159">
        <f>IF(F34+SUM(E$17:E34)=D$10,F34,D$10-SUM(E$17:E34))</f>
        <v>28299048.765339553</v>
      </c>
      <c r="E35" s="160">
        <f>IF(+I14&lt;F34,I14,D35)</f>
        <v>1108372.7674418604</v>
      </c>
      <c r="F35" s="159">
        <f t="shared" si="10"/>
        <v>27190675.997897692</v>
      </c>
      <c r="G35" s="161">
        <f t="shared" si="11"/>
        <v>3870531.199128306</v>
      </c>
      <c r="H35" s="142">
        <f t="shared" si="12"/>
        <v>3870531.199128306</v>
      </c>
      <c r="I35" s="156">
        <f t="shared" si="9"/>
        <v>0</v>
      </c>
      <c r="J35" s="156"/>
      <c r="K35" s="334"/>
      <c r="L35" s="158">
        <f t="shared" si="1"/>
        <v>0</v>
      </c>
      <c r="M35" s="334"/>
      <c r="N35" s="158">
        <f t="shared" si="3"/>
        <v>0</v>
      </c>
      <c r="O35" s="158">
        <f t="shared" si="4"/>
        <v>0</v>
      </c>
      <c r="P35" s="4"/>
    </row>
    <row r="36" spans="2:16">
      <c r="B36" s="9" t="str">
        <f t="shared" si="5"/>
        <v/>
      </c>
      <c r="C36" s="153">
        <f>IF(D11="","-",+C35+1)</f>
        <v>2031</v>
      </c>
      <c r="D36" s="159">
        <f>IF(F35+SUM(E$17:E35)=D$10,F35,D$10-SUM(E$17:E35))</f>
        <v>27190675.997897692</v>
      </c>
      <c r="E36" s="160">
        <f>IF(+I14&lt;F35,I14,D36)</f>
        <v>1108372.7674418604</v>
      </c>
      <c r="F36" s="159">
        <f t="shared" si="10"/>
        <v>26082303.230455831</v>
      </c>
      <c r="G36" s="161">
        <f t="shared" si="11"/>
        <v>3760186.4029303091</v>
      </c>
      <c r="H36" s="142">
        <f t="shared" si="12"/>
        <v>3760186.4029303091</v>
      </c>
      <c r="I36" s="156">
        <f t="shared" si="9"/>
        <v>0</v>
      </c>
      <c r="J36" s="156"/>
      <c r="K36" s="334"/>
      <c r="L36" s="158">
        <f t="shared" si="1"/>
        <v>0</v>
      </c>
      <c r="M36" s="334"/>
      <c r="N36" s="158">
        <f t="shared" si="3"/>
        <v>0</v>
      </c>
      <c r="O36" s="158">
        <f t="shared" si="4"/>
        <v>0</v>
      </c>
      <c r="P36" s="4"/>
    </row>
    <row r="37" spans="2:16">
      <c r="B37" s="9" t="str">
        <f t="shared" si="5"/>
        <v/>
      </c>
      <c r="C37" s="153">
        <f>IF(D11="","-",+C36+1)</f>
        <v>2032</v>
      </c>
      <c r="D37" s="159">
        <f>IF(F36+SUM(E$17:E36)=D$10,F36,D$10-SUM(E$17:E36))</f>
        <v>26082303.230455831</v>
      </c>
      <c r="E37" s="160">
        <f>IF(+I14&lt;F36,I14,D37)</f>
        <v>1108372.7674418604</v>
      </c>
      <c r="F37" s="159">
        <f t="shared" si="10"/>
        <v>24973930.463013969</v>
      </c>
      <c r="G37" s="161">
        <f t="shared" si="11"/>
        <v>3649841.6067323126</v>
      </c>
      <c r="H37" s="142">
        <f t="shared" si="12"/>
        <v>3649841.6067323126</v>
      </c>
      <c r="I37" s="156">
        <f t="shared" si="9"/>
        <v>0</v>
      </c>
      <c r="J37" s="156"/>
      <c r="K37" s="334"/>
      <c r="L37" s="158">
        <f t="shared" si="1"/>
        <v>0</v>
      </c>
      <c r="M37" s="334"/>
      <c r="N37" s="158">
        <f t="shared" si="3"/>
        <v>0</v>
      </c>
      <c r="O37" s="158">
        <f t="shared" si="4"/>
        <v>0</v>
      </c>
      <c r="P37" s="4"/>
    </row>
    <row r="38" spans="2:16">
      <c r="B38" s="9" t="str">
        <f t="shared" si="5"/>
        <v/>
      </c>
      <c r="C38" s="153">
        <f>IF(D11="","-",+C37+1)</f>
        <v>2033</v>
      </c>
      <c r="D38" s="159">
        <f>IF(F37+SUM(E$17:E37)=D$10,F37,D$10-SUM(E$17:E37))</f>
        <v>24973930.463013969</v>
      </c>
      <c r="E38" s="160">
        <f>IF(+I14&lt;F37,I14,D38)</f>
        <v>1108372.7674418604</v>
      </c>
      <c r="F38" s="159">
        <f t="shared" si="10"/>
        <v>23865557.695572108</v>
      </c>
      <c r="G38" s="161">
        <f t="shared" si="11"/>
        <v>3539496.8105343156</v>
      </c>
      <c r="H38" s="142">
        <f t="shared" si="12"/>
        <v>3539496.8105343156</v>
      </c>
      <c r="I38" s="156">
        <f t="shared" si="9"/>
        <v>0</v>
      </c>
      <c r="J38" s="156"/>
      <c r="K38" s="334"/>
      <c r="L38" s="158">
        <f t="shared" si="1"/>
        <v>0</v>
      </c>
      <c r="M38" s="334"/>
      <c r="N38" s="158">
        <f t="shared" si="3"/>
        <v>0</v>
      </c>
      <c r="O38" s="158">
        <f t="shared" si="4"/>
        <v>0</v>
      </c>
      <c r="P38" s="4"/>
    </row>
    <row r="39" spans="2:16">
      <c r="B39" s="9" t="str">
        <f t="shared" si="5"/>
        <v/>
      </c>
      <c r="C39" s="153">
        <f>IF(D11="","-",+C38+1)</f>
        <v>2034</v>
      </c>
      <c r="D39" s="159">
        <f>IF(F38+SUM(E$17:E38)=D$10,F38,D$10-SUM(E$17:E38))</f>
        <v>23865557.695572108</v>
      </c>
      <c r="E39" s="160">
        <f>IF(+I14&lt;F38,I14,D39)</f>
        <v>1108372.7674418604</v>
      </c>
      <c r="F39" s="159">
        <f t="shared" si="10"/>
        <v>22757184.928130247</v>
      </c>
      <c r="G39" s="161">
        <f t="shared" si="11"/>
        <v>3429152.0143363187</v>
      </c>
      <c r="H39" s="142">
        <f t="shared" si="12"/>
        <v>3429152.0143363187</v>
      </c>
      <c r="I39" s="156">
        <f t="shared" si="9"/>
        <v>0</v>
      </c>
      <c r="J39" s="156"/>
      <c r="K39" s="334"/>
      <c r="L39" s="158">
        <f t="shared" si="1"/>
        <v>0</v>
      </c>
      <c r="M39" s="334"/>
      <c r="N39" s="158">
        <f t="shared" si="3"/>
        <v>0</v>
      </c>
      <c r="O39" s="158">
        <f t="shared" si="4"/>
        <v>0</v>
      </c>
      <c r="P39" s="4"/>
    </row>
    <row r="40" spans="2:16">
      <c r="B40" s="9" t="str">
        <f t="shared" si="5"/>
        <v/>
      </c>
      <c r="C40" s="153">
        <f>IF(D11="","-",+C39+1)</f>
        <v>2035</v>
      </c>
      <c r="D40" s="159">
        <f>IF(F39+SUM(E$17:E39)=D$10,F39,D$10-SUM(E$17:E39))</f>
        <v>22757184.928130247</v>
      </c>
      <c r="E40" s="160">
        <f>IF(+I14&lt;F39,I14,D40)</f>
        <v>1108372.7674418604</v>
      </c>
      <c r="F40" s="159">
        <f t="shared" si="10"/>
        <v>21648812.160688385</v>
      </c>
      <c r="G40" s="161">
        <f t="shared" si="11"/>
        <v>3318807.2181383218</v>
      </c>
      <c r="H40" s="142">
        <f t="shared" si="12"/>
        <v>3318807.2181383218</v>
      </c>
      <c r="I40" s="156">
        <f t="shared" si="9"/>
        <v>0</v>
      </c>
      <c r="J40" s="156"/>
      <c r="K40" s="334"/>
      <c r="L40" s="158">
        <f t="shared" si="1"/>
        <v>0</v>
      </c>
      <c r="M40" s="334"/>
      <c r="N40" s="158">
        <f t="shared" si="3"/>
        <v>0</v>
      </c>
      <c r="O40" s="158">
        <f t="shared" si="4"/>
        <v>0</v>
      </c>
      <c r="P40" s="4"/>
    </row>
    <row r="41" spans="2:16">
      <c r="B41" s="9" t="str">
        <f t="shared" si="5"/>
        <v/>
      </c>
      <c r="C41" s="153">
        <f>IF(D11="","-",+C40+1)</f>
        <v>2036</v>
      </c>
      <c r="D41" s="159">
        <f>IF(F40+SUM(E$17:E40)=D$10,F40,D$10-SUM(E$17:E40))</f>
        <v>21648812.160688385</v>
      </c>
      <c r="E41" s="160">
        <f>IF(+I14&lt;F40,I14,D41)</f>
        <v>1108372.7674418604</v>
      </c>
      <c r="F41" s="159">
        <f t="shared" si="10"/>
        <v>20540439.393246524</v>
      </c>
      <c r="G41" s="161">
        <f t="shared" si="11"/>
        <v>3208462.4219403248</v>
      </c>
      <c r="H41" s="142">
        <f t="shared" si="12"/>
        <v>3208462.4219403248</v>
      </c>
      <c r="I41" s="156">
        <f t="shared" si="9"/>
        <v>0</v>
      </c>
      <c r="J41" s="156"/>
      <c r="K41" s="334"/>
      <c r="L41" s="158">
        <f t="shared" si="1"/>
        <v>0</v>
      </c>
      <c r="M41" s="334"/>
      <c r="N41" s="158">
        <f t="shared" si="3"/>
        <v>0</v>
      </c>
      <c r="O41" s="158">
        <f t="shared" si="4"/>
        <v>0</v>
      </c>
      <c r="P41" s="4"/>
    </row>
    <row r="42" spans="2:16">
      <c r="B42" s="9" t="str">
        <f t="shared" si="5"/>
        <v/>
      </c>
      <c r="C42" s="153">
        <f>IF(D11="","-",+C41+1)</f>
        <v>2037</v>
      </c>
      <c r="D42" s="159">
        <f>IF(F41+SUM(E$17:E41)=D$10,F41,D$10-SUM(E$17:E41))</f>
        <v>20540439.393246524</v>
      </c>
      <c r="E42" s="160">
        <f>IF(+I14&lt;F41,I14,D42)</f>
        <v>1108372.7674418604</v>
      </c>
      <c r="F42" s="159">
        <f t="shared" si="10"/>
        <v>19432066.625804663</v>
      </c>
      <c r="G42" s="161">
        <f t="shared" si="11"/>
        <v>3098117.6257423279</v>
      </c>
      <c r="H42" s="142">
        <f t="shared" si="12"/>
        <v>3098117.6257423279</v>
      </c>
      <c r="I42" s="156">
        <f t="shared" si="9"/>
        <v>0</v>
      </c>
      <c r="J42" s="156"/>
      <c r="K42" s="334"/>
      <c r="L42" s="158">
        <f t="shared" si="1"/>
        <v>0</v>
      </c>
      <c r="M42" s="334"/>
      <c r="N42" s="158">
        <f t="shared" si="3"/>
        <v>0</v>
      </c>
      <c r="O42" s="158">
        <f t="shared" si="4"/>
        <v>0</v>
      </c>
      <c r="P42" s="4"/>
    </row>
    <row r="43" spans="2:16">
      <c r="B43" s="9" t="str">
        <f t="shared" si="5"/>
        <v/>
      </c>
      <c r="C43" s="153">
        <f>IF(D11="","-",+C42+1)</f>
        <v>2038</v>
      </c>
      <c r="D43" s="159">
        <f>IF(F42+SUM(E$17:E42)=D$10,F42,D$10-SUM(E$17:E42))</f>
        <v>19432066.625804663</v>
      </c>
      <c r="E43" s="160">
        <f>IF(+I14&lt;F42,I14,D43)</f>
        <v>1108372.7674418604</v>
      </c>
      <c r="F43" s="159">
        <f t="shared" si="10"/>
        <v>18323693.858362801</v>
      </c>
      <c r="G43" s="161">
        <f t="shared" si="11"/>
        <v>2987772.8295443309</v>
      </c>
      <c r="H43" s="142">
        <f t="shared" si="12"/>
        <v>2987772.8295443309</v>
      </c>
      <c r="I43" s="156">
        <f t="shared" si="9"/>
        <v>0</v>
      </c>
      <c r="J43" s="156"/>
      <c r="K43" s="334"/>
      <c r="L43" s="158">
        <f t="shared" si="1"/>
        <v>0</v>
      </c>
      <c r="M43" s="334"/>
      <c r="N43" s="158">
        <f t="shared" si="3"/>
        <v>0</v>
      </c>
      <c r="O43" s="158">
        <f t="shared" si="4"/>
        <v>0</v>
      </c>
      <c r="P43" s="4"/>
    </row>
    <row r="44" spans="2:16">
      <c r="B44" s="9" t="str">
        <f t="shared" si="5"/>
        <v/>
      </c>
      <c r="C44" s="153">
        <f>IF(D11="","-",+C43+1)</f>
        <v>2039</v>
      </c>
      <c r="D44" s="159">
        <f>IF(F43+SUM(E$17:E43)=D$10,F43,D$10-SUM(E$17:E43))</f>
        <v>18323693.858362801</v>
      </c>
      <c r="E44" s="160">
        <f>IF(+I14&lt;F43,I14,D44)</f>
        <v>1108372.7674418604</v>
      </c>
      <c r="F44" s="159">
        <f t="shared" si="10"/>
        <v>17215321.09092094</v>
      </c>
      <c r="G44" s="161">
        <f t="shared" si="11"/>
        <v>2877428.0333463345</v>
      </c>
      <c r="H44" s="142">
        <f t="shared" si="12"/>
        <v>2877428.0333463345</v>
      </c>
      <c r="I44" s="156">
        <f t="shared" si="9"/>
        <v>0</v>
      </c>
      <c r="J44" s="156"/>
      <c r="K44" s="334"/>
      <c r="L44" s="158">
        <f t="shared" si="1"/>
        <v>0</v>
      </c>
      <c r="M44" s="334"/>
      <c r="N44" s="158">
        <f t="shared" si="3"/>
        <v>0</v>
      </c>
      <c r="O44" s="158">
        <f t="shared" si="4"/>
        <v>0</v>
      </c>
      <c r="P44" s="4"/>
    </row>
    <row r="45" spans="2:16">
      <c r="B45" s="9" t="str">
        <f t="shared" si="5"/>
        <v/>
      </c>
      <c r="C45" s="153">
        <f>IF(D11="","-",+C44+1)</f>
        <v>2040</v>
      </c>
      <c r="D45" s="159">
        <f>IF(F44+SUM(E$17:E44)=D$10,F44,D$10-SUM(E$17:E44))</f>
        <v>17215321.09092094</v>
      </c>
      <c r="E45" s="160">
        <f>IF(+I14&lt;F44,I14,D45)</f>
        <v>1108372.7674418604</v>
      </c>
      <c r="F45" s="159">
        <f t="shared" si="10"/>
        <v>16106948.323479079</v>
      </c>
      <c r="G45" s="161">
        <f t="shared" si="11"/>
        <v>2767083.2371483371</v>
      </c>
      <c r="H45" s="142">
        <f t="shared" si="12"/>
        <v>2767083.2371483371</v>
      </c>
      <c r="I45" s="156">
        <f t="shared" si="9"/>
        <v>0</v>
      </c>
      <c r="J45" s="156"/>
      <c r="K45" s="334"/>
      <c r="L45" s="158">
        <f t="shared" si="1"/>
        <v>0</v>
      </c>
      <c r="M45" s="334"/>
      <c r="N45" s="158">
        <f t="shared" si="3"/>
        <v>0</v>
      </c>
      <c r="O45" s="158">
        <f t="shared" si="4"/>
        <v>0</v>
      </c>
      <c r="P45" s="4"/>
    </row>
    <row r="46" spans="2:16">
      <c r="B46" s="9" t="str">
        <f t="shared" si="5"/>
        <v/>
      </c>
      <c r="C46" s="153">
        <f>IF(D11="","-",+C45+1)</f>
        <v>2041</v>
      </c>
      <c r="D46" s="159">
        <f>IF(F45+SUM(E$17:E45)=D$10,F45,D$10-SUM(E$17:E45))</f>
        <v>16106948.323479079</v>
      </c>
      <c r="E46" s="160">
        <f>IF(+I14&lt;F45,I14,D46)</f>
        <v>1108372.7674418604</v>
      </c>
      <c r="F46" s="159">
        <f t="shared" si="10"/>
        <v>14998575.556037217</v>
      </c>
      <c r="G46" s="161">
        <f t="shared" si="11"/>
        <v>2656738.4409503406</v>
      </c>
      <c r="H46" s="142">
        <f t="shared" si="12"/>
        <v>2656738.4409503406</v>
      </c>
      <c r="I46" s="156">
        <f t="shared" si="9"/>
        <v>0</v>
      </c>
      <c r="J46" s="156"/>
      <c r="K46" s="334"/>
      <c r="L46" s="158">
        <f t="shared" si="1"/>
        <v>0</v>
      </c>
      <c r="M46" s="334"/>
      <c r="N46" s="158">
        <f t="shared" si="3"/>
        <v>0</v>
      </c>
      <c r="O46" s="158">
        <f t="shared" si="4"/>
        <v>0</v>
      </c>
      <c r="P46" s="4"/>
    </row>
    <row r="47" spans="2:16">
      <c r="B47" s="9" t="str">
        <f t="shared" si="5"/>
        <v/>
      </c>
      <c r="C47" s="153">
        <f>IF(D11="","-",+C46+1)</f>
        <v>2042</v>
      </c>
      <c r="D47" s="159">
        <f>IF(F46+SUM(E$17:E46)=D$10,F46,D$10-SUM(E$17:E46))</f>
        <v>14998575.556037217</v>
      </c>
      <c r="E47" s="160">
        <f>IF(+I14&lt;F46,I14,D47)</f>
        <v>1108372.7674418604</v>
      </c>
      <c r="F47" s="159">
        <f t="shared" si="10"/>
        <v>13890202.788595356</v>
      </c>
      <c r="G47" s="161">
        <f t="shared" si="11"/>
        <v>2546393.6447523437</v>
      </c>
      <c r="H47" s="142">
        <f t="shared" si="12"/>
        <v>2546393.6447523437</v>
      </c>
      <c r="I47" s="156">
        <f t="shared" si="9"/>
        <v>0</v>
      </c>
      <c r="J47" s="156"/>
      <c r="K47" s="334"/>
      <c r="L47" s="158">
        <f t="shared" si="1"/>
        <v>0</v>
      </c>
      <c r="M47" s="334"/>
      <c r="N47" s="158">
        <f t="shared" si="3"/>
        <v>0</v>
      </c>
      <c r="O47" s="158">
        <f t="shared" si="4"/>
        <v>0</v>
      </c>
      <c r="P47" s="4"/>
    </row>
    <row r="48" spans="2:16">
      <c r="B48" s="9" t="str">
        <f t="shared" si="5"/>
        <v/>
      </c>
      <c r="C48" s="153">
        <f>IF(D11="","-",+C47+1)</f>
        <v>2043</v>
      </c>
      <c r="D48" s="159">
        <f>IF(F47+SUM(E$17:E47)=D$10,F47,D$10-SUM(E$17:E47))</f>
        <v>13890202.788595356</v>
      </c>
      <c r="E48" s="160">
        <f>IF(+I14&lt;F47,I14,D48)</f>
        <v>1108372.7674418604</v>
      </c>
      <c r="F48" s="159">
        <f t="shared" si="10"/>
        <v>12781830.021153495</v>
      </c>
      <c r="G48" s="161">
        <f t="shared" si="11"/>
        <v>2436048.8485543467</v>
      </c>
      <c r="H48" s="142">
        <f t="shared" si="12"/>
        <v>2436048.8485543467</v>
      </c>
      <c r="I48" s="156">
        <f t="shared" si="9"/>
        <v>0</v>
      </c>
      <c r="J48" s="156"/>
      <c r="K48" s="334"/>
      <c r="L48" s="158">
        <f t="shared" si="1"/>
        <v>0</v>
      </c>
      <c r="M48" s="334"/>
      <c r="N48" s="158">
        <f t="shared" si="3"/>
        <v>0</v>
      </c>
      <c r="O48" s="158">
        <f t="shared" si="4"/>
        <v>0</v>
      </c>
      <c r="P48" s="4"/>
    </row>
    <row r="49" spans="2:17">
      <c r="B49" s="9" t="str">
        <f t="shared" si="5"/>
        <v/>
      </c>
      <c r="C49" s="153">
        <f>IF(D11="","-",+C48+1)</f>
        <v>2044</v>
      </c>
      <c r="D49" s="159">
        <f>IF(F48+SUM(E$17:E48)=D$10,F48,D$10-SUM(E$17:E48))</f>
        <v>12781830.021153495</v>
      </c>
      <c r="E49" s="160">
        <f>IF(+I14&lt;F48,I14,D49)</f>
        <v>1108372.7674418604</v>
      </c>
      <c r="F49" s="159">
        <f t="shared" ref="F49:F72" si="13">+D49-E49</f>
        <v>11673457.253711633</v>
      </c>
      <c r="G49" s="161">
        <f t="shared" si="11"/>
        <v>2325704.0523563498</v>
      </c>
      <c r="H49" s="142">
        <f t="shared" si="12"/>
        <v>2325704.0523563498</v>
      </c>
      <c r="I49" s="156">
        <f t="shared" ref="I49:I72" si="14">H49-G49</f>
        <v>0</v>
      </c>
      <c r="J49" s="156"/>
      <c r="K49" s="334"/>
      <c r="L49" s="158">
        <f t="shared" ref="L49:L72" si="15">IF(K49&lt;&gt;0,+G49-K49,0)</f>
        <v>0</v>
      </c>
      <c r="M49" s="334"/>
      <c r="N49" s="158">
        <f t="shared" ref="N49:N72" si="16">IF(M49&lt;&gt;0,+H49-M49,0)</f>
        <v>0</v>
      </c>
      <c r="O49" s="158">
        <f t="shared" ref="O49:O72" si="17">+N49-L49</f>
        <v>0</v>
      </c>
      <c r="P49" s="4"/>
    </row>
    <row r="50" spans="2:17">
      <c r="B50" s="9" t="str">
        <f t="shared" ref="B50:B72" si="18">IF(D50=F49,"","IU")</f>
        <v/>
      </c>
      <c r="C50" s="153">
        <f>IF(D11="","-",+C49+1)</f>
        <v>2045</v>
      </c>
      <c r="D50" s="159">
        <f>IF(F49+SUM(E$17:E49)=D$10,F49,D$10-SUM(E$17:E49))</f>
        <v>11673457.253711633</v>
      </c>
      <c r="E50" s="160">
        <f>IF(+I14&lt;F49,I14,D50)</f>
        <v>1108372.7674418604</v>
      </c>
      <c r="F50" s="159">
        <f t="shared" si="13"/>
        <v>10565084.486269772</v>
      </c>
      <c r="G50" s="161">
        <f t="shared" si="11"/>
        <v>2215359.2561583528</v>
      </c>
      <c r="H50" s="142">
        <f t="shared" si="12"/>
        <v>2215359.2561583528</v>
      </c>
      <c r="I50" s="156">
        <f t="shared" si="14"/>
        <v>0</v>
      </c>
      <c r="J50" s="156"/>
      <c r="K50" s="334"/>
      <c r="L50" s="158">
        <f t="shared" si="15"/>
        <v>0</v>
      </c>
      <c r="M50" s="334"/>
      <c r="N50" s="158">
        <f t="shared" si="16"/>
        <v>0</v>
      </c>
      <c r="O50" s="158">
        <f t="shared" si="17"/>
        <v>0</v>
      </c>
      <c r="P50" s="4"/>
    </row>
    <row r="51" spans="2:17">
      <c r="B51" s="9" t="str">
        <f t="shared" si="18"/>
        <v/>
      </c>
      <c r="C51" s="153">
        <f>IF(D11="","-",+C50+1)</f>
        <v>2046</v>
      </c>
      <c r="D51" s="159">
        <f>IF(F50+SUM(E$17:E50)=D$10,F50,D$10-SUM(E$17:E50))</f>
        <v>10565084.486269772</v>
      </c>
      <c r="E51" s="160">
        <f>IF(+I14&lt;F50,I14,D51)</f>
        <v>1108372.7674418604</v>
      </c>
      <c r="F51" s="159">
        <f t="shared" si="13"/>
        <v>9456711.7188279107</v>
      </c>
      <c r="G51" s="161">
        <f t="shared" si="11"/>
        <v>2105014.4599603559</v>
      </c>
      <c r="H51" s="142">
        <f t="shared" si="12"/>
        <v>2105014.4599603559</v>
      </c>
      <c r="I51" s="156">
        <f t="shared" si="14"/>
        <v>0</v>
      </c>
      <c r="J51" s="156"/>
      <c r="K51" s="334"/>
      <c r="L51" s="158">
        <f t="shared" si="15"/>
        <v>0</v>
      </c>
      <c r="M51" s="334"/>
      <c r="N51" s="158">
        <f t="shared" si="16"/>
        <v>0</v>
      </c>
      <c r="O51" s="158">
        <f t="shared" si="17"/>
        <v>0</v>
      </c>
      <c r="P51" s="4"/>
    </row>
    <row r="52" spans="2:17">
      <c r="B52" s="9" t="str">
        <f t="shared" si="18"/>
        <v/>
      </c>
      <c r="C52" s="153">
        <f>IF(D11="","-",+C51+1)</f>
        <v>2047</v>
      </c>
      <c r="D52" s="159">
        <f>IF(F51+SUM(E$17:E51)=D$10,F51,D$10-SUM(E$17:E51))</f>
        <v>9456711.7188279107</v>
      </c>
      <c r="E52" s="160">
        <f>IF(+I14&lt;F51,I14,D52)</f>
        <v>1108372.7674418604</v>
      </c>
      <c r="F52" s="159">
        <f t="shared" si="13"/>
        <v>8348338.9513860503</v>
      </c>
      <c r="G52" s="161">
        <f t="shared" si="11"/>
        <v>1994669.6637623592</v>
      </c>
      <c r="H52" s="142">
        <f t="shared" si="12"/>
        <v>1994669.6637623592</v>
      </c>
      <c r="I52" s="156">
        <f t="shared" si="14"/>
        <v>0</v>
      </c>
      <c r="J52" s="156"/>
      <c r="K52" s="334"/>
      <c r="L52" s="158">
        <f t="shared" si="15"/>
        <v>0</v>
      </c>
      <c r="M52" s="334"/>
      <c r="N52" s="158">
        <f t="shared" si="16"/>
        <v>0</v>
      </c>
      <c r="O52" s="158">
        <f t="shared" si="17"/>
        <v>0</v>
      </c>
      <c r="P52" s="4"/>
    </row>
    <row r="53" spans="2:17">
      <c r="B53" s="9" t="str">
        <f t="shared" si="18"/>
        <v/>
      </c>
      <c r="C53" s="153">
        <f>IF(D11="","-",+C52+1)</f>
        <v>2048</v>
      </c>
      <c r="D53" s="159">
        <f>IF(F52+SUM(E$17:E52)=D$10,F52,D$10-SUM(E$17:E52))</f>
        <v>8348338.9513860503</v>
      </c>
      <c r="E53" s="160">
        <f>IF(+I14&lt;F52,I14,D53)</f>
        <v>1108372.7674418604</v>
      </c>
      <c r="F53" s="159">
        <f t="shared" si="13"/>
        <v>7239966.1839441899</v>
      </c>
      <c r="G53" s="161">
        <f t="shared" si="11"/>
        <v>1884324.8675643625</v>
      </c>
      <c r="H53" s="142">
        <f t="shared" si="12"/>
        <v>1884324.8675643625</v>
      </c>
      <c r="I53" s="156">
        <f t="shared" si="14"/>
        <v>0</v>
      </c>
      <c r="J53" s="156"/>
      <c r="K53" s="334"/>
      <c r="L53" s="158">
        <f t="shared" si="15"/>
        <v>0</v>
      </c>
      <c r="M53" s="334"/>
      <c r="N53" s="158">
        <f t="shared" si="16"/>
        <v>0</v>
      </c>
      <c r="O53" s="158">
        <f t="shared" si="17"/>
        <v>0</v>
      </c>
      <c r="P53" s="4"/>
    </row>
    <row r="54" spans="2:17">
      <c r="B54" s="9" t="str">
        <f t="shared" si="18"/>
        <v/>
      </c>
      <c r="C54" s="153">
        <f>IF(D11="","-",+C53+1)</f>
        <v>2049</v>
      </c>
      <c r="D54" s="159">
        <f>IF(F53+SUM(E$17:E53)=D$10,F53,D$10-SUM(E$17:E53))</f>
        <v>7239966.1839441899</v>
      </c>
      <c r="E54" s="160">
        <f>IF(+I14&lt;F53,I14,D54)</f>
        <v>1108372.7674418604</v>
      </c>
      <c r="F54" s="159">
        <f t="shared" si="13"/>
        <v>6131593.4165023295</v>
      </c>
      <c r="G54" s="161">
        <f t="shared" ref="G54:G72" si="19">+I$12*((D54+F54)/2)+E54</f>
        <v>1773980.0713663655</v>
      </c>
      <c r="H54" s="142">
        <f t="shared" ref="H54:H72" si="20">+I$13*((D54+F54)/2)+E54</f>
        <v>1773980.0713663655</v>
      </c>
      <c r="I54" s="156">
        <f t="shared" si="14"/>
        <v>0</v>
      </c>
      <c r="J54" s="156"/>
      <c r="K54" s="334"/>
      <c r="L54" s="158">
        <f t="shared" si="15"/>
        <v>0</v>
      </c>
      <c r="M54" s="334"/>
      <c r="N54" s="158">
        <f t="shared" si="16"/>
        <v>0</v>
      </c>
      <c r="O54" s="158">
        <f t="shared" si="17"/>
        <v>0</v>
      </c>
      <c r="P54" s="4"/>
    </row>
    <row r="55" spans="2:17">
      <c r="B55" s="9" t="str">
        <f t="shared" si="18"/>
        <v/>
      </c>
      <c r="C55" s="153">
        <f>IF(D11="","-",+C54+1)</f>
        <v>2050</v>
      </c>
      <c r="D55" s="159">
        <f>IF(F54+SUM(E$17:E54)=D$10,F54,D$10-SUM(E$17:E54))</f>
        <v>6131593.4165023295</v>
      </c>
      <c r="E55" s="160">
        <f>IF(+I14&lt;F54,I14,D55)</f>
        <v>1108372.7674418604</v>
      </c>
      <c r="F55" s="159">
        <f t="shared" si="13"/>
        <v>5023220.6490604691</v>
      </c>
      <c r="G55" s="161">
        <f t="shared" si="19"/>
        <v>1663635.2751683688</v>
      </c>
      <c r="H55" s="142">
        <f t="shared" si="20"/>
        <v>1663635.2751683688</v>
      </c>
      <c r="I55" s="156">
        <f t="shared" si="14"/>
        <v>0</v>
      </c>
      <c r="J55" s="156"/>
      <c r="K55" s="334"/>
      <c r="L55" s="158">
        <f t="shared" si="15"/>
        <v>0</v>
      </c>
      <c r="M55" s="334"/>
      <c r="N55" s="158">
        <f t="shared" si="16"/>
        <v>0</v>
      </c>
      <c r="O55" s="158">
        <f t="shared" si="17"/>
        <v>0</v>
      </c>
      <c r="P55" s="4"/>
    </row>
    <row r="56" spans="2:17">
      <c r="B56" s="9" t="str">
        <f t="shared" si="18"/>
        <v/>
      </c>
      <c r="C56" s="153">
        <f>IF(D11="","-",+C55+1)</f>
        <v>2051</v>
      </c>
      <c r="D56" s="159">
        <f>IF(F55+SUM(E$17:E55)=D$10,F55,D$10-SUM(E$17:E55))</f>
        <v>5023220.6490604691</v>
      </c>
      <c r="E56" s="160">
        <f>IF(+I14&lt;F55,I14,D56)</f>
        <v>1108372.7674418604</v>
      </c>
      <c r="F56" s="159">
        <f t="shared" si="13"/>
        <v>3914847.8816186087</v>
      </c>
      <c r="G56" s="161">
        <f t="shared" si="19"/>
        <v>1553290.4789703719</v>
      </c>
      <c r="H56" s="142">
        <f t="shared" si="20"/>
        <v>1553290.4789703719</v>
      </c>
      <c r="I56" s="156">
        <f t="shared" si="14"/>
        <v>0</v>
      </c>
      <c r="J56" s="156"/>
      <c r="K56" s="334"/>
      <c r="L56" s="158">
        <f t="shared" si="15"/>
        <v>0</v>
      </c>
      <c r="M56" s="334"/>
      <c r="N56" s="158">
        <f t="shared" si="16"/>
        <v>0</v>
      </c>
      <c r="O56" s="158">
        <f t="shared" si="17"/>
        <v>0</v>
      </c>
      <c r="P56" s="4"/>
    </row>
    <row r="57" spans="2:17">
      <c r="B57" s="9" t="str">
        <f t="shared" si="18"/>
        <v/>
      </c>
      <c r="C57" s="153">
        <f>IF(D11="","-",+C56+1)</f>
        <v>2052</v>
      </c>
      <c r="D57" s="159">
        <f>IF(F56+SUM(E$17:E56)=D$10,F56,D$10-SUM(E$17:E56))</f>
        <v>3914847.8816186087</v>
      </c>
      <c r="E57" s="160">
        <f>IF(+I14&lt;F56,I14,D57)</f>
        <v>1108372.7674418604</v>
      </c>
      <c r="F57" s="159">
        <f t="shared" si="13"/>
        <v>2806475.1141767483</v>
      </c>
      <c r="G57" s="161">
        <f t="shared" si="19"/>
        <v>1442945.6827723752</v>
      </c>
      <c r="H57" s="142">
        <f t="shared" si="20"/>
        <v>1442945.6827723752</v>
      </c>
      <c r="I57" s="156">
        <f t="shared" si="14"/>
        <v>0</v>
      </c>
      <c r="J57" s="156"/>
      <c r="K57" s="334"/>
      <c r="L57" s="158">
        <f t="shared" si="15"/>
        <v>0</v>
      </c>
      <c r="M57" s="334"/>
      <c r="N57" s="158">
        <f t="shared" si="16"/>
        <v>0</v>
      </c>
      <c r="O57" s="158">
        <f t="shared" si="17"/>
        <v>0</v>
      </c>
      <c r="P57" s="4"/>
    </row>
    <row r="58" spans="2:17">
      <c r="B58" s="9" t="str">
        <f t="shared" si="18"/>
        <v/>
      </c>
      <c r="C58" s="153">
        <f>IF(D11="","-",+C57+1)</f>
        <v>2053</v>
      </c>
      <c r="D58" s="159">
        <f>IF(F57+SUM(E$17:E57)=D$10,F57,D$10-SUM(E$17:E57))</f>
        <v>2806475.1141767483</v>
      </c>
      <c r="E58" s="160">
        <f>IF(+I14&lt;F57,I14,D58)</f>
        <v>1108372.7674418604</v>
      </c>
      <c r="F58" s="159">
        <f t="shared" si="13"/>
        <v>1698102.3467348879</v>
      </c>
      <c r="G58" s="161">
        <f t="shared" si="19"/>
        <v>1332600.8865743785</v>
      </c>
      <c r="H58" s="142">
        <f t="shared" si="20"/>
        <v>1332600.8865743785</v>
      </c>
      <c r="I58" s="156">
        <f t="shared" si="14"/>
        <v>0</v>
      </c>
      <c r="J58" s="156"/>
      <c r="K58" s="334"/>
      <c r="L58" s="158">
        <f t="shared" si="15"/>
        <v>0</v>
      </c>
      <c r="M58" s="334"/>
      <c r="N58" s="158">
        <f t="shared" si="16"/>
        <v>0</v>
      </c>
      <c r="O58" s="158">
        <f t="shared" si="17"/>
        <v>0</v>
      </c>
      <c r="P58" s="4"/>
      <c r="Q58" t="str">
        <f>IF(ROUND(Q57,0)=ROUND(SUM(Q18:Q56),0),"","Error -- check allocations above).")</f>
        <v/>
      </c>
    </row>
    <row r="59" spans="2:17">
      <c r="B59" s="9" t="str">
        <f t="shared" si="18"/>
        <v/>
      </c>
      <c r="C59" s="153">
        <f>IF(D11="","-",+C58+1)</f>
        <v>2054</v>
      </c>
      <c r="D59" s="159">
        <f>IF(F58+SUM(E$17:E58)=D$10,F58,D$10-SUM(E$17:E58))</f>
        <v>1698102.3467348879</v>
      </c>
      <c r="E59" s="160">
        <f>IF(+I14&lt;F58,I14,D59)</f>
        <v>1108372.7674418604</v>
      </c>
      <c r="F59" s="159">
        <f t="shared" si="13"/>
        <v>589729.57929302752</v>
      </c>
      <c r="G59" s="161">
        <f t="shared" si="19"/>
        <v>1222256.0903763818</v>
      </c>
      <c r="H59" s="142">
        <f t="shared" si="20"/>
        <v>1222256.0903763818</v>
      </c>
      <c r="I59" s="156">
        <f t="shared" si="14"/>
        <v>0</v>
      </c>
      <c r="J59" s="156"/>
      <c r="K59" s="334"/>
      <c r="L59" s="158">
        <f t="shared" si="15"/>
        <v>0</v>
      </c>
      <c r="M59" s="334"/>
      <c r="N59" s="158">
        <f t="shared" si="16"/>
        <v>0</v>
      </c>
      <c r="O59" s="158">
        <f t="shared" si="17"/>
        <v>0</v>
      </c>
      <c r="P59" s="4"/>
    </row>
    <row r="60" spans="2:17">
      <c r="B60" s="9" t="str">
        <f t="shared" si="18"/>
        <v/>
      </c>
      <c r="C60" s="153">
        <f>IF(D11="","-",+C59+1)</f>
        <v>2055</v>
      </c>
      <c r="D60" s="159">
        <f>IF(F59+SUM(E$17:E59)=D$10,F59,D$10-SUM(E$17:E59))</f>
        <v>589729.57929302752</v>
      </c>
      <c r="E60" s="160">
        <f>IF(+I14&lt;F59,I14,D60)</f>
        <v>589729.57929302752</v>
      </c>
      <c r="F60" s="159">
        <f t="shared" si="13"/>
        <v>0</v>
      </c>
      <c r="G60" s="161">
        <f t="shared" si="19"/>
        <v>619085.04171078897</v>
      </c>
      <c r="H60" s="142">
        <f t="shared" si="20"/>
        <v>619085.04171078897</v>
      </c>
      <c r="I60" s="156">
        <f t="shared" si="14"/>
        <v>0</v>
      </c>
      <c r="J60" s="156"/>
      <c r="K60" s="334"/>
      <c r="L60" s="158">
        <f t="shared" si="15"/>
        <v>0</v>
      </c>
      <c r="M60" s="334"/>
      <c r="N60" s="158">
        <f t="shared" si="16"/>
        <v>0</v>
      </c>
      <c r="O60" s="158">
        <f t="shared" si="17"/>
        <v>0</v>
      </c>
      <c r="P60" s="4"/>
    </row>
    <row r="61" spans="2:17">
      <c r="B61" s="9" t="str">
        <f t="shared" si="18"/>
        <v/>
      </c>
      <c r="C61" s="153">
        <f>IF(D11="","-",+C60+1)</f>
        <v>2056</v>
      </c>
      <c r="D61" s="159">
        <f>IF(F60+SUM(E$17:E60)=D$10,F60,D$10-SUM(E$17:E60))</f>
        <v>0</v>
      </c>
      <c r="E61" s="160">
        <f>IF(+I14&lt;F60,I14,D61)</f>
        <v>0</v>
      </c>
      <c r="F61" s="159">
        <f t="shared" si="13"/>
        <v>0</v>
      </c>
      <c r="G61" s="163">
        <f t="shared" si="19"/>
        <v>0</v>
      </c>
      <c r="H61" s="142">
        <f t="shared" si="20"/>
        <v>0</v>
      </c>
      <c r="I61" s="156">
        <f t="shared" si="14"/>
        <v>0</v>
      </c>
      <c r="J61" s="156"/>
      <c r="K61" s="334"/>
      <c r="L61" s="158">
        <f t="shared" si="15"/>
        <v>0</v>
      </c>
      <c r="M61" s="334"/>
      <c r="N61" s="158">
        <f t="shared" si="16"/>
        <v>0</v>
      </c>
      <c r="O61" s="158">
        <f t="shared" si="17"/>
        <v>0</v>
      </c>
      <c r="P61" s="4"/>
    </row>
    <row r="62" spans="2:17">
      <c r="B62" s="9" t="str">
        <f t="shared" si="18"/>
        <v/>
      </c>
      <c r="C62" s="153">
        <f>IF(D11="","-",+C61+1)</f>
        <v>2057</v>
      </c>
      <c r="D62" s="159">
        <f>IF(F61+SUM(E$17:E61)=D$10,F61,D$10-SUM(E$17:E61))</f>
        <v>0</v>
      </c>
      <c r="E62" s="160">
        <f>IF(+I14&lt;F61,I14,D62)</f>
        <v>0</v>
      </c>
      <c r="F62" s="159">
        <f t="shared" si="13"/>
        <v>0</v>
      </c>
      <c r="G62" s="163">
        <f t="shared" si="19"/>
        <v>0</v>
      </c>
      <c r="H62" s="142">
        <f t="shared" si="20"/>
        <v>0</v>
      </c>
      <c r="I62" s="156">
        <f t="shared" si="14"/>
        <v>0</v>
      </c>
      <c r="J62" s="156"/>
      <c r="K62" s="334"/>
      <c r="L62" s="158">
        <f t="shared" si="15"/>
        <v>0</v>
      </c>
      <c r="M62" s="334"/>
      <c r="N62" s="158">
        <f t="shared" si="16"/>
        <v>0</v>
      </c>
      <c r="O62" s="158">
        <f t="shared" si="17"/>
        <v>0</v>
      </c>
      <c r="P62" s="4"/>
    </row>
    <row r="63" spans="2:17">
      <c r="B63" s="9" t="str">
        <f t="shared" si="18"/>
        <v/>
      </c>
      <c r="C63" s="153">
        <f>IF(D11="","-",+C62+1)</f>
        <v>2058</v>
      </c>
      <c r="D63" s="159">
        <f>IF(F62+SUM(E$17:E62)=D$10,F62,D$10-SUM(E$17:E62))</f>
        <v>0</v>
      </c>
      <c r="E63" s="160">
        <f>IF(+I14&lt;F62,I14,D63)</f>
        <v>0</v>
      </c>
      <c r="F63" s="159">
        <f t="shared" si="13"/>
        <v>0</v>
      </c>
      <c r="G63" s="163">
        <f t="shared" si="19"/>
        <v>0</v>
      </c>
      <c r="H63" s="142">
        <f t="shared" si="20"/>
        <v>0</v>
      </c>
      <c r="I63" s="156">
        <f t="shared" si="14"/>
        <v>0</v>
      </c>
      <c r="J63" s="156"/>
      <c r="K63" s="334"/>
      <c r="L63" s="158">
        <f t="shared" si="15"/>
        <v>0</v>
      </c>
      <c r="M63" s="334"/>
      <c r="N63" s="158">
        <f t="shared" si="16"/>
        <v>0</v>
      </c>
      <c r="O63" s="158">
        <f t="shared" si="17"/>
        <v>0</v>
      </c>
      <c r="P63" s="4"/>
    </row>
    <row r="64" spans="2:17">
      <c r="B64" s="9" t="str">
        <f t="shared" si="18"/>
        <v/>
      </c>
      <c r="C64" s="153">
        <f>IF(D11="","-",+C63+1)</f>
        <v>2059</v>
      </c>
      <c r="D64" s="159">
        <f>IF(F63+SUM(E$17:E63)=D$10,F63,D$10-SUM(E$17:E63))</f>
        <v>0</v>
      </c>
      <c r="E64" s="160">
        <f>IF(+I14&lt;F63,I14,D64)</f>
        <v>0</v>
      </c>
      <c r="F64" s="159">
        <f t="shared" si="13"/>
        <v>0</v>
      </c>
      <c r="G64" s="163">
        <f t="shared" si="19"/>
        <v>0</v>
      </c>
      <c r="H64" s="142">
        <f t="shared" si="20"/>
        <v>0</v>
      </c>
      <c r="I64" s="156">
        <f t="shared" si="14"/>
        <v>0</v>
      </c>
      <c r="J64" s="156"/>
      <c r="K64" s="334"/>
      <c r="L64" s="158">
        <f t="shared" si="15"/>
        <v>0</v>
      </c>
      <c r="M64" s="334"/>
      <c r="N64" s="158">
        <f t="shared" si="16"/>
        <v>0</v>
      </c>
      <c r="O64" s="158">
        <f t="shared" si="17"/>
        <v>0</v>
      </c>
      <c r="P64" s="4"/>
    </row>
    <row r="65" spans="1:16">
      <c r="B65" s="9" t="str">
        <f t="shared" si="18"/>
        <v/>
      </c>
      <c r="C65" s="153">
        <f>IF(D11="","-",+C64+1)</f>
        <v>2060</v>
      </c>
      <c r="D65" s="159">
        <f>IF(F64+SUM(E$17:E64)=D$10,F64,D$10-SUM(E$17:E64))</f>
        <v>0</v>
      </c>
      <c r="E65" s="160">
        <f>IF(+I14&lt;F64,I14,D65)</f>
        <v>0</v>
      </c>
      <c r="F65" s="159">
        <f t="shared" si="13"/>
        <v>0</v>
      </c>
      <c r="G65" s="163">
        <f t="shared" si="19"/>
        <v>0</v>
      </c>
      <c r="H65" s="142">
        <f t="shared" si="20"/>
        <v>0</v>
      </c>
      <c r="I65" s="156">
        <f t="shared" si="14"/>
        <v>0</v>
      </c>
      <c r="J65" s="156"/>
      <c r="K65" s="334"/>
      <c r="L65" s="158">
        <f t="shared" si="15"/>
        <v>0</v>
      </c>
      <c r="M65" s="334"/>
      <c r="N65" s="158">
        <f t="shared" si="16"/>
        <v>0</v>
      </c>
      <c r="O65" s="158">
        <f t="shared" si="17"/>
        <v>0</v>
      </c>
      <c r="P65" s="4"/>
    </row>
    <row r="66" spans="1:16">
      <c r="B66" s="9" t="str">
        <f t="shared" si="18"/>
        <v/>
      </c>
      <c r="C66" s="153">
        <f>IF(D11="","-",+C65+1)</f>
        <v>2061</v>
      </c>
      <c r="D66" s="159">
        <f>IF(F65+SUM(E$17:E65)=D$10,F65,D$10-SUM(E$17:E65))</f>
        <v>0</v>
      </c>
      <c r="E66" s="160">
        <f>IF(+I14&lt;F65,I14,D66)</f>
        <v>0</v>
      </c>
      <c r="F66" s="159">
        <f t="shared" si="13"/>
        <v>0</v>
      </c>
      <c r="G66" s="163">
        <f t="shared" si="19"/>
        <v>0</v>
      </c>
      <c r="H66" s="142">
        <f t="shared" si="20"/>
        <v>0</v>
      </c>
      <c r="I66" s="156">
        <f t="shared" si="14"/>
        <v>0</v>
      </c>
      <c r="J66" s="156"/>
      <c r="K66" s="334"/>
      <c r="L66" s="158">
        <f t="shared" si="15"/>
        <v>0</v>
      </c>
      <c r="M66" s="334"/>
      <c r="N66" s="158">
        <f t="shared" si="16"/>
        <v>0</v>
      </c>
      <c r="O66" s="158">
        <f t="shared" si="17"/>
        <v>0</v>
      </c>
      <c r="P66" s="4"/>
    </row>
    <row r="67" spans="1:16">
      <c r="B67" s="9" t="str">
        <f t="shared" si="18"/>
        <v/>
      </c>
      <c r="C67" s="153">
        <f>IF(D11="","-",+C66+1)</f>
        <v>2062</v>
      </c>
      <c r="D67" s="159">
        <f>IF(F66+SUM(E$17:E66)=D$10,F66,D$10-SUM(E$17:E66))</f>
        <v>0</v>
      </c>
      <c r="E67" s="160">
        <f>IF(+I14&lt;F66,I14,D67)</f>
        <v>0</v>
      </c>
      <c r="F67" s="159">
        <f t="shared" si="13"/>
        <v>0</v>
      </c>
      <c r="G67" s="163">
        <f t="shared" si="19"/>
        <v>0</v>
      </c>
      <c r="H67" s="142">
        <f t="shared" si="20"/>
        <v>0</v>
      </c>
      <c r="I67" s="156">
        <f t="shared" si="14"/>
        <v>0</v>
      </c>
      <c r="J67" s="156"/>
      <c r="K67" s="334"/>
      <c r="L67" s="158">
        <f t="shared" si="15"/>
        <v>0</v>
      </c>
      <c r="M67" s="334"/>
      <c r="N67" s="158">
        <f t="shared" si="16"/>
        <v>0</v>
      </c>
      <c r="O67" s="158">
        <f t="shared" si="17"/>
        <v>0</v>
      </c>
      <c r="P67" s="4"/>
    </row>
    <row r="68" spans="1:16">
      <c r="B68" s="9" t="str">
        <f t="shared" si="18"/>
        <v/>
      </c>
      <c r="C68" s="153">
        <f>IF(D11="","-",+C67+1)</f>
        <v>2063</v>
      </c>
      <c r="D68" s="159">
        <f>IF(F67+SUM(E$17:E67)=D$10,F67,D$10-SUM(E$17:E67))</f>
        <v>0</v>
      </c>
      <c r="E68" s="160">
        <f>IF(+I14&lt;F67,I14,D68)</f>
        <v>0</v>
      </c>
      <c r="F68" s="159">
        <f t="shared" si="13"/>
        <v>0</v>
      </c>
      <c r="G68" s="163">
        <f t="shared" si="19"/>
        <v>0</v>
      </c>
      <c r="H68" s="142">
        <f t="shared" si="20"/>
        <v>0</v>
      </c>
      <c r="I68" s="156">
        <f t="shared" si="14"/>
        <v>0</v>
      </c>
      <c r="J68" s="156"/>
      <c r="K68" s="334"/>
      <c r="L68" s="158">
        <f t="shared" si="15"/>
        <v>0</v>
      </c>
      <c r="M68" s="334"/>
      <c r="N68" s="158">
        <f t="shared" si="16"/>
        <v>0</v>
      </c>
      <c r="O68" s="158">
        <f t="shared" si="17"/>
        <v>0</v>
      </c>
      <c r="P68" s="4"/>
    </row>
    <row r="69" spans="1:16">
      <c r="B69" s="9" t="str">
        <f t="shared" si="18"/>
        <v/>
      </c>
      <c r="C69" s="153">
        <f>IF(D11="","-",+C68+1)</f>
        <v>2064</v>
      </c>
      <c r="D69" s="159">
        <f>IF(F68+SUM(E$17:E68)=D$10,F68,D$10-SUM(E$17:E68))</f>
        <v>0</v>
      </c>
      <c r="E69" s="160">
        <f>IF(+I14&lt;F68,I14,D69)</f>
        <v>0</v>
      </c>
      <c r="F69" s="159">
        <f t="shared" si="13"/>
        <v>0</v>
      </c>
      <c r="G69" s="163">
        <f t="shared" si="19"/>
        <v>0</v>
      </c>
      <c r="H69" s="142">
        <f t="shared" si="20"/>
        <v>0</v>
      </c>
      <c r="I69" s="156">
        <f t="shared" si="14"/>
        <v>0</v>
      </c>
      <c r="J69" s="156"/>
      <c r="K69" s="334"/>
      <c r="L69" s="158">
        <f t="shared" si="15"/>
        <v>0</v>
      </c>
      <c r="M69" s="334"/>
      <c r="N69" s="158">
        <f t="shared" si="16"/>
        <v>0</v>
      </c>
      <c r="O69" s="158">
        <f t="shared" si="17"/>
        <v>0</v>
      </c>
      <c r="P69" s="4"/>
    </row>
    <row r="70" spans="1:16">
      <c r="B70" s="9" t="str">
        <f t="shared" si="18"/>
        <v/>
      </c>
      <c r="C70" s="153">
        <f>IF(D11="","-",+C69+1)</f>
        <v>2065</v>
      </c>
      <c r="D70" s="159">
        <f>IF(F69+SUM(E$17:E69)=D$10,F69,D$10-SUM(E$17:E69))</f>
        <v>0</v>
      </c>
      <c r="E70" s="160">
        <f>IF(+I14&lt;F69,I14,D70)</f>
        <v>0</v>
      </c>
      <c r="F70" s="159">
        <f t="shared" si="13"/>
        <v>0</v>
      </c>
      <c r="G70" s="163">
        <f t="shared" si="19"/>
        <v>0</v>
      </c>
      <c r="H70" s="142">
        <f t="shared" si="20"/>
        <v>0</v>
      </c>
      <c r="I70" s="156">
        <f t="shared" si="14"/>
        <v>0</v>
      </c>
      <c r="J70" s="156"/>
      <c r="K70" s="334"/>
      <c r="L70" s="158">
        <f t="shared" si="15"/>
        <v>0</v>
      </c>
      <c r="M70" s="334"/>
      <c r="N70" s="158">
        <f t="shared" si="16"/>
        <v>0</v>
      </c>
      <c r="O70" s="158">
        <f t="shared" si="17"/>
        <v>0</v>
      </c>
      <c r="P70" s="4"/>
    </row>
    <row r="71" spans="1:16">
      <c r="B71" s="9" t="str">
        <f t="shared" si="18"/>
        <v/>
      </c>
      <c r="C71" s="153">
        <f>IF(D11="","-",+C70+1)</f>
        <v>2066</v>
      </c>
      <c r="D71" s="159">
        <f>IF(F70+SUM(E$17:E70)=D$10,F70,D$10-SUM(E$17:E70))</f>
        <v>0</v>
      </c>
      <c r="E71" s="160">
        <f>IF(+I14&lt;F70,I14,D71)</f>
        <v>0</v>
      </c>
      <c r="F71" s="159">
        <f t="shared" si="13"/>
        <v>0</v>
      </c>
      <c r="G71" s="163">
        <f t="shared" si="19"/>
        <v>0</v>
      </c>
      <c r="H71" s="142">
        <f t="shared" si="20"/>
        <v>0</v>
      </c>
      <c r="I71" s="156">
        <f t="shared" si="14"/>
        <v>0</v>
      </c>
      <c r="J71" s="156"/>
      <c r="K71" s="334"/>
      <c r="L71" s="158">
        <f t="shared" si="15"/>
        <v>0</v>
      </c>
      <c r="M71" s="334"/>
      <c r="N71" s="158">
        <f t="shared" si="16"/>
        <v>0</v>
      </c>
      <c r="O71" s="158">
        <f t="shared" si="17"/>
        <v>0</v>
      </c>
      <c r="P71" s="4"/>
    </row>
    <row r="72" spans="1:16" ht="13.5" thickBot="1">
      <c r="B72" s="9" t="str">
        <f t="shared" si="18"/>
        <v/>
      </c>
      <c r="C72" s="164">
        <f>IF(D11="","-",+C71+1)</f>
        <v>2067</v>
      </c>
      <c r="D72" s="165">
        <f>IF(F71+SUM(E$17:E71)=D$10,F71,D$10-SUM(E$17:E71))</f>
        <v>0</v>
      </c>
      <c r="E72" s="166">
        <f>IF(+I14&lt;F71,I14,D72)</f>
        <v>0</v>
      </c>
      <c r="F72" s="165">
        <f t="shared" si="13"/>
        <v>0</v>
      </c>
      <c r="G72" s="167">
        <f t="shared" si="19"/>
        <v>0</v>
      </c>
      <c r="H72" s="124">
        <f t="shared" si="20"/>
        <v>0</v>
      </c>
      <c r="I72" s="168">
        <f t="shared" si="14"/>
        <v>0</v>
      </c>
      <c r="J72" s="156"/>
      <c r="K72" s="335"/>
      <c r="L72" s="169">
        <f t="shared" si="15"/>
        <v>0</v>
      </c>
      <c r="M72" s="335"/>
      <c r="N72" s="169">
        <f t="shared" si="16"/>
        <v>0</v>
      </c>
      <c r="O72" s="169">
        <f t="shared" si="17"/>
        <v>0</v>
      </c>
      <c r="P72" s="4"/>
    </row>
    <row r="73" spans="1:16">
      <c r="C73" s="154" t="s">
        <v>73</v>
      </c>
      <c r="D73" s="111"/>
      <c r="E73" s="111">
        <f>SUM(E17:E72)</f>
        <v>47660029</v>
      </c>
      <c r="F73" s="111"/>
      <c r="G73" s="111">
        <f>SUM(G17:G72)</f>
        <v>161909040.47229359</v>
      </c>
      <c r="H73" s="111">
        <f>SUM(H17:H72)</f>
        <v>161909040.47229359</v>
      </c>
      <c r="I73" s="111">
        <f>SUM(I17:I72)</f>
        <v>0</v>
      </c>
      <c r="J73" s="111"/>
      <c r="K73" s="111"/>
      <c r="L73" s="111"/>
      <c r="M73" s="111"/>
      <c r="N73" s="111"/>
      <c r="O73" s="4"/>
      <c r="P73" s="4"/>
    </row>
    <row r="74" spans="1:16">
      <c r="D74" s="2"/>
      <c r="E74" s="1"/>
      <c r="F74" s="1"/>
      <c r="G74" s="1"/>
      <c r="H74" s="3"/>
      <c r="I74" s="3"/>
      <c r="J74" s="111"/>
      <c r="K74" s="3"/>
      <c r="L74" s="3"/>
      <c r="M74" s="3"/>
      <c r="N74" s="3"/>
      <c r="O74" s="1"/>
      <c r="P74" s="1"/>
    </row>
    <row r="75" spans="1:16">
      <c r="C75" s="170" t="s">
        <v>91</v>
      </c>
      <c r="D75" s="2"/>
      <c r="E75" s="1"/>
      <c r="F75" s="1"/>
      <c r="G75" s="1"/>
      <c r="H75" s="3"/>
      <c r="I75" s="3"/>
      <c r="J75" s="111"/>
      <c r="K75" s="3"/>
      <c r="L75" s="3"/>
      <c r="M75" s="3"/>
      <c r="N75" s="3"/>
      <c r="O75" s="1"/>
      <c r="P75" s="1"/>
    </row>
    <row r="76" spans="1:16">
      <c r="C76" s="121" t="s">
        <v>74</v>
      </c>
      <c r="D76" s="2"/>
      <c r="E76" s="1"/>
      <c r="F76" s="1"/>
      <c r="G76" s="1"/>
      <c r="H76" s="3"/>
      <c r="I76" s="3"/>
      <c r="J76" s="111"/>
      <c r="K76" s="3"/>
      <c r="L76" s="3"/>
      <c r="M76" s="3"/>
      <c r="N76" s="3"/>
      <c r="O76" s="4"/>
      <c r="P76" s="4"/>
    </row>
    <row r="77" spans="1:16" ht="18">
      <c r="C77" s="121" t="s">
        <v>75</v>
      </c>
      <c r="D77" s="154"/>
      <c r="E77" s="154"/>
      <c r="F77" s="154"/>
      <c r="G77" s="111"/>
      <c r="H77" s="111"/>
      <c r="I77" s="171"/>
      <c r="J77" s="171"/>
      <c r="K77" s="171"/>
      <c r="L77" s="171"/>
      <c r="M77" s="171"/>
      <c r="N77" s="171"/>
      <c r="O77" s="110"/>
      <c r="P77" s="4"/>
    </row>
    <row r="78" spans="1:16">
      <c r="C78" s="121"/>
      <c r="D78" s="154"/>
      <c r="E78" s="154"/>
      <c r="F78" s="154"/>
      <c r="G78" s="111"/>
      <c r="H78" s="111"/>
      <c r="I78" s="171"/>
      <c r="J78" s="171"/>
      <c r="K78" s="171"/>
      <c r="L78" s="171"/>
      <c r="M78" s="171"/>
      <c r="N78" s="171"/>
      <c r="O78" s="4"/>
      <c r="P78" s="1"/>
    </row>
    <row r="79" spans="1:16" ht="15">
      <c r="A79" s="241"/>
      <c r="B79" s="1"/>
      <c r="C79" s="21"/>
      <c r="D79" s="2"/>
      <c r="E79" s="1"/>
      <c r="F79" s="107"/>
      <c r="G79" s="1"/>
      <c r="H79" s="3"/>
      <c r="I79" s="1"/>
      <c r="J79" s="4"/>
      <c r="K79" s="1"/>
      <c r="L79" s="1"/>
      <c r="M79" s="1"/>
      <c r="N79" s="1"/>
    </row>
    <row r="80" spans="1:16" ht="18">
      <c r="B80" s="1"/>
      <c r="C80" s="242"/>
      <c r="D80" s="2"/>
      <c r="E80" s="1"/>
      <c r="F80" s="107"/>
      <c r="G80" s="1"/>
      <c r="H80" s="3"/>
      <c r="I80" s="1"/>
      <c r="J80" s="4"/>
      <c r="K80" s="1"/>
      <c r="L80" s="1"/>
      <c r="M80" s="1"/>
      <c r="N80" s="1"/>
      <c r="P80" s="244" t="s">
        <v>125</v>
      </c>
    </row>
    <row r="81" spans="1:17">
      <c r="B81" s="1"/>
      <c r="C81" s="242"/>
      <c r="D81" s="2"/>
      <c r="E81" s="1"/>
      <c r="F81" s="107"/>
      <c r="G81" s="1"/>
      <c r="H81" s="3"/>
      <c r="I81" s="1"/>
      <c r="J81" s="4"/>
      <c r="K81" s="1"/>
      <c r="L81" s="1"/>
      <c r="M81" s="1"/>
      <c r="N81" s="1"/>
      <c r="O81" s="1"/>
      <c r="P81" s="1"/>
    </row>
    <row r="82" spans="1:17">
      <c r="B82" s="1"/>
      <c r="C82" s="21"/>
      <c r="D82" s="2"/>
      <c r="E82" s="1"/>
      <c r="F82" s="107"/>
      <c r="G82" s="1"/>
      <c r="H82" s="3"/>
      <c r="I82" s="1"/>
      <c r="J82" s="4"/>
      <c r="K82" s="1"/>
      <c r="L82" s="1"/>
      <c r="M82" s="1"/>
      <c r="N82" s="1"/>
      <c r="O82" s="1"/>
      <c r="P82" s="1"/>
      <c r="Q82" s="1"/>
    </row>
    <row r="83" spans="1:17" ht="20.25">
      <c r="A83" s="243" t="s">
        <v>129</v>
      </c>
      <c r="B83" s="1"/>
      <c r="C83" s="21"/>
      <c r="D83" s="2"/>
      <c r="E83" s="1"/>
      <c r="F83" s="99"/>
      <c r="G83" s="99"/>
      <c r="H83" s="1"/>
      <c r="I83" s="3"/>
      <c r="K83" s="7"/>
      <c r="L83" s="109"/>
      <c r="M83" s="109"/>
      <c r="P83" s="110" t="str">
        <f ca="1">P1</f>
        <v>SWEPCO Project 30 of 73</v>
      </c>
      <c r="Q83" s="1"/>
    </row>
    <row r="84" spans="1:17" ht="18">
      <c r="B84" s="1"/>
      <c r="C84" s="1"/>
      <c r="D84" s="2"/>
      <c r="E84" s="1"/>
      <c r="F84" s="1"/>
      <c r="G84" s="1"/>
      <c r="H84" s="1"/>
      <c r="I84" s="3"/>
      <c r="J84" s="1"/>
      <c r="K84" s="4"/>
      <c r="L84" s="1"/>
      <c r="M84" s="1"/>
      <c r="P84" s="237" t="s">
        <v>123</v>
      </c>
      <c r="Q84" s="1"/>
    </row>
    <row r="85" spans="1:17" ht="18.75" thickBot="1">
      <c r="B85" s="5" t="s">
        <v>40</v>
      </c>
      <c r="C85" s="197" t="s">
        <v>78</v>
      </c>
      <c r="D85" s="2"/>
      <c r="E85" s="1"/>
      <c r="F85" s="1"/>
      <c r="G85" s="1"/>
      <c r="H85" s="1"/>
      <c r="I85" s="3"/>
      <c r="J85" s="3"/>
      <c r="K85" s="111"/>
      <c r="L85" s="3"/>
      <c r="M85" s="3"/>
      <c r="N85" s="3"/>
      <c r="O85" s="111"/>
      <c r="P85" s="1"/>
      <c r="Q85" s="1"/>
    </row>
    <row r="86" spans="1:17" ht="15.75" thickBot="1">
      <c r="C86" s="67"/>
      <c r="D86" s="2"/>
      <c r="E86" s="1"/>
      <c r="F86" s="1"/>
      <c r="G86" s="1"/>
      <c r="H86" s="1"/>
      <c r="I86" s="3"/>
      <c r="J86" s="3"/>
      <c r="K86" s="111"/>
      <c r="L86" s="265">
        <f>+J92</f>
        <v>2017</v>
      </c>
      <c r="M86" s="266" t="s">
        <v>7</v>
      </c>
      <c r="N86" s="270" t="s">
        <v>154</v>
      </c>
      <c r="O86" s="267" t="s">
        <v>9</v>
      </c>
      <c r="P86" s="1"/>
      <c r="Q86" s="1"/>
    </row>
    <row r="87" spans="1:17" ht="15">
      <c r="C87" s="235" t="s">
        <v>42</v>
      </c>
      <c r="D87" s="2"/>
      <c r="E87" s="1"/>
      <c r="F87" s="1"/>
      <c r="G87" s="1"/>
      <c r="H87" s="113"/>
      <c r="I87" s="1" t="s">
        <v>43</v>
      </c>
      <c r="J87" s="1"/>
      <c r="K87" s="261"/>
      <c r="L87" s="259" t="s">
        <v>381</v>
      </c>
      <c r="M87" s="198">
        <f>IF(J92&lt;D11,0,VLOOKUP(J92,C17:O72,9))</f>
        <v>6337600.9904746711</v>
      </c>
      <c r="N87" s="198">
        <f>IF(J92&lt;D11,0,VLOOKUP(J92,C17:O72,11))</f>
        <v>6337600.9904746711</v>
      </c>
      <c r="O87" s="199">
        <f>+N87-M87</f>
        <v>0</v>
      </c>
      <c r="P87" s="1"/>
      <c r="Q87" s="1"/>
    </row>
    <row r="88" spans="1:17" ht="15.75">
      <c r="C88" s="8"/>
      <c r="D88" s="2"/>
      <c r="E88" s="1"/>
      <c r="F88" s="1"/>
      <c r="G88" s="1"/>
      <c r="H88" s="1"/>
      <c r="I88" s="117"/>
      <c r="J88" s="117"/>
      <c r="K88" s="263"/>
      <c r="L88" s="264" t="s">
        <v>382</v>
      </c>
      <c r="M88" s="200">
        <f>IF(J92&lt;D11,0,VLOOKUP(J92,C99:P154,6))</f>
        <v>6262248.4706521584</v>
      </c>
      <c r="N88" s="200">
        <f>IF(J92&lt;D11,0,VLOOKUP(J92,C99:P154,7))</f>
        <v>6262248.4706521584</v>
      </c>
      <c r="O88" s="201">
        <f>+N88-M88</f>
        <v>0</v>
      </c>
      <c r="P88" s="1"/>
      <c r="Q88" s="1"/>
    </row>
    <row r="89" spans="1:17" ht="13.5" thickBot="1">
      <c r="C89" s="121" t="s">
        <v>79</v>
      </c>
      <c r="D89" s="274" t="str">
        <f>D7</f>
        <v>NW Texarkana - Turk 345</v>
      </c>
      <c r="E89" s="1"/>
      <c r="F89" s="1"/>
      <c r="G89" s="1"/>
      <c r="H89" s="1"/>
      <c r="I89" s="3"/>
      <c r="J89" s="3"/>
      <c r="K89" s="262"/>
      <c r="L89" s="260" t="s">
        <v>151</v>
      </c>
      <c r="M89" s="203">
        <f>+M88-M87</f>
        <v>-75352.519822512753</v>
      </c>
      <c r="N89" s="203">
        <f>+N88-N87</f>
        <v>-75352.519822512753</v>
      </c>
      <c r="O89" s="204">
        <f>+O88-O87</f>
        <v>0</v>
      </c>
      <c r="P89" s="1"/>
      <c r="Q89" s="1"/>
    </row>
    <row r="90" spans="1:17" ht="13.5" thickBot="1">
      <c r="C90" s="170"/>
      <c r="D90" s="173" t="str">
        <f>D8</f>
        <v/>
      </c>
      <c r="E90" s="107"/>
      <c r="F90" s="107"/>
      <c r="G90" s="107"/>
      <c r="H90" s="126"/>
      <c r="I90" s="3"/>
      <c r="J90" s="3"/>
      <c r="K90" s="111"/>
      <c r="L90" s="3"/>
      <c r="M90" s="3"/>
      <c r="N90" s="3"/>
      <c r="O90" s="111"/>
      <c r="P90" s="1"/>
      <c r="Q90" s="1"/>
    </row>
    <row r="91" spans="1:17" ht="13.5" thickBot="1">
      <c r="A91" s="103"/>
      <c r="C91" s="205" t="s">
        <v>80</v>
      </c>
      <c r="D91" s="224"/>
      <c r="E91" s="206"/>
      <c r="F91" s="206"/>
      <c r="G91" s="206"/>
      <c r="H91" s="206"/>
      <c r="I91" s="206"/>
      <c r="J91" s="238"/>
      <c r="K91" s="207"/>
      <c r="P91" s="131"/>
      <c r="Q91" s="1"/>
    </row>
    <row r="92" spans="1:17">
      <c r="C92" s="136" t="s">
        <v>47</v>
      </c>
      <c r="D92" s="133">
        <v>47660029</v>
      </c>
      <c r="E92" s="21" t="s">
        <v>81</v>
      </c>
      <c r="H92" s="134"/>
      <c r="I92" s="134"/>
      <c r="J92" s="135">
        <f>+'SWE.WS.G.BPU.ATRR.True-up'!M15</f>
        <v>2017</v>
      </c>
      <c r="K92" s="130"/>
      <c r="L92" s="111" t="s">
        <v>82</v>
      </c>
      <c r="P92" s="4"/>
      <c r="Q92" s="1"/>
    </row>
    <row r="93" spans="1:17">
      <c r="C93" s="136" t="s">
        <v>49</v>
      </c>
      <c r="D93" s="219">
        <f>IF(D11=I10,"",D11)</f>
        <v>2012</v>
      </c>
      <c r="E93" s="136" t="s">
        <v>50</v>
      </c>
      <c r="F93" s="134"/>
      <c r="G93" s="134"/>
      <c r="J93" s="138">
        <f>IF(H87="",0,'SWE.WS.G.BPU.ATRR.True-up'!$F$12)</f>
        <v>0</v>
      </c>
      <c r="K93" s="139"/>
      <c r="L93" t="str">
        <f>"          INPUT TRUE-UP ARR (WITH &amp; WITHOUT INCENTIVES) FROM EACH PRIOR YEAR"</f>
        <v xml:space="preserve">          INPUT TRUE-UP ARR (WITH &amp; WITHOUT INCENTIVES) FROM EACH PRIOR YEAR</v>
      </c>
      <c r="P93" s="4"/>
      <c r="Q93" s="1"/>
    </row>
    <row r="94" spans="1:17">
      <c r="C94" s="136" t="s">
        <v>51</v>
      </c>
      <c r="D94" s="218">
        <f>IF(D11=I10,"",D12)</f>
        <v>8</v>
      </c>
      <c r="E94" s="136" t="s">
        <v>52</v>
      </c>
      <c r="F94" s="134"/>
      <c r="G94" s="134"/>
      <c r="J94" s="140">
        <f>'SWE.WS.G.BPU.ATRR.True-up'!$F$80</f>
        <v>0.12147145768398206</v>
      </c>
      <c r="K94" s="141"/>
      <c r="L94" t="s">
        <v>83</v>
      </c>
      <c r="P94" s="4"/>
      <c r="Q94" s="1"/>
    </row>
    <row r="95" spans="1:17">
      <c r="C95" s="136" t="s">
        <v>54</v>
      </c>
      <c r="D95" s="138">
        <f>'SWE.WS.G.BPU.ATRR.True-up'!F$92</f>
        <v>42</v>
      </c>
      <c r="E95" s="136" t="s">
        <v>55</v>
      </c>
      <c r="F95" s="134"/>
      <c r="G95" s="134"/>
      <c r="J95" s="140">
        <f>IF(H87="",J94,'SWE.WS.G.BPU.ATRR.True-up'!$F$79)</f>
        <v>0.12147145768398206</v>
      </c>
      <c r="K95" s="58"/>
      <c r="L95" s="111" t="s">
        <v>56</v>
      </c>
      <c r="M95" s="58"/>
      <c r="N95" s="58"/>
      <c r="O95" s="58"/>
      <c r="P95" s="4"/>
      <c r="Q95" s="1"/>
    </row>
    <row r="96" spans="1:17" ht="13.5" thickBot="1">
      <c r="C96" s="136" t="s">
        <v>57</v>
      </c>
      <c r="D96" s="220" t="str">
        <f>+D14</f>
        <v>No</v>
      </c>
      <c r="E96" s="202" t="s">
        <v>59</v>
      </c>
      <c r="F96" s="208"/>
      <c r="G96" s="208"/>
      <c r="H96" s="209"/>
      <c r="I96" s="209"/>
      <c r="J96" s="124">
        <f>IF(D92=0,0,D92/D95)</f>
        <v>1134762.5952380951</v>
      </c>
      <c r="K96" s="111"/>
      <c r="L96" s="111"/>
      <c r="M96" s="111"/>
      <c r="N96" s="111"/>
      <c r="O96" s="111"/>
      <c r="P96" s="4"/>
      <c r="Q96" s="1"/>
    </row>
    <row r="97" spans="1:17" ht="38.25">
      <c r="A97" s="6"/>
      <c r="B97" s="6"/>
      <c r="C97" s="210" t="s">
        <v>47</v>
      </c>
      <c r="D97" s="211" t="s">
        <v>60</v>
      </c>
      <c r="E97" s="146" t="s">
        <v>61</v>
      </c>
      <c r="F97" s="146" t="s">
        <v>62</v>
      </c>
      <c r="G97" s="144" t="s">
        <v>84</v>
      </c>
      <c r="H97" s="434" t="s">
        <v>378</v>
      </c>
      <c r="I97" s="435" t="s">
        <v>379</v>
      </c>
      <c r="J97" s="210" t="s">
        <v>85</v>
      </c>
      <c r="K97" s="212"/>
      <c r="L97" s="271" t="s">
        <v>220</v>
      </c>
      <c r="M97" s="146" t="s">
        <v>86</v>
      </c>
      <c r="N97" s="271" t="s">
        <v>220</v>
      </c>
      <c r="O97" s="146" t="s">
        <v>86</v>
      </c>
      <c r="P97" s="146" t="s">
        <v>65</v>
      </c>
      <c r="Q97" s="1"/>
    </row>
    <row r="98" spans="1:17" ht="13.5" thickBot="1">
      <c r="C98" s="147" t="s">
        <v>66</v>
      </c>
      <c r="D98" s="213" t="s">
        <v>67</v>
      </c>
      <c r="E98" s="147" t="s">
        <v>68</v>
      </c>
      <c r="F98" s="147" t="s">
        <v>67</v>
      </c>
      <c r="G98" s="147" t="s">
        <v>67</v>
      </c>
      <c r="H98" s="407" t="s">
        <v>69</v>
      </c>
      <c r="I98" s="148" t="s">
        <v>70</v>
      </c>
      <c r="J98" s="149" t="s">
        <v>89</v>
      </c>
      <c r="K98" s="150"/>
      <c r="L98" s="151" t="s">
        <v>72</v>
      </c>
      <c r="M98" s="151" t="s">
        <v>72</v>
      </c>
      <c r="N98" s="151" t="s">
        <v>90</v>
      </c>
      <c r="O98" s="151" t="s">
        <v>90</v>
      </c>
      <c r="P98" s="151" t="s">
        <v>90</v>
      </c>
      <c r="Q98" s="1"/>
    </row>
    <row r="99" spans="1:17">
      <c r="C99" s="153">
        <f>IF(D93= "","-",D93)</f>
        <v>2012</v>
      </c>
      <c r="D99" s="357">
        <v>0</v>
      </c>
      <c r="E99" s="360">
        <v>374385.49206349207</v>
      </c>
      <c r="F99" s="361">
        <v>46798186.507936507</v>
      </c>
      <c r="G99" s="365">
        <v>23399093.253968254</v>
      </c>
      <c r="H99" s="362">
        <v>3817654.064849725</v>
      </c>
      <c r="I99" s="363">
        <v>3817654.064849725</v>
      </c>
      <c r="J99" s="403">
        <f t="shared" ref="J99:J130" si="21">+I99-H99</f>
        <v>0</v>
      </c>
      <c r="K99" s="158"/>
      <c r="L99" s="256">
        <f>H99</f>
        <v>3817654.064849725</v>
      </c>
      <c r="M99" s="172">
        <f t="shared" ref="M99:M130" si="22">IF(L99&lt;&gt;0,+H99-L99,0)</f>
        <v>0</v>
      </c>
      <c r="N99" s="256">
        <f>I99</f>
        <v>3817654.064849725</v>
      </c>
      <c r="O99" s="157">
        <f t="shared" ref="O99:O130" si="23">IF(N99&lt;&gt;0,+I99-N99,0)</f>
        <v>0</v>
      </c>
      <c r="P99" s="157">
        <f t="shared" ref="P99:P130" si="24">+O99-M99</f>
        <v>0</v>
      </c>
      <c r="Q99" s="1"/>
    </row>
    <row r="100" spans="1:17">
      <c r="B100" s="9" t="str">
        <f t="shared" ref="B100:B131" si="25">IF(D100=F99,"","IU")</f>
        <v>IU</v>
      </c>
      <c r="C100" s="153">
        <f>IF(D93="","-",+C99+1)</f>
        <v>2013</v>
      </c>
      <c r="D100" s="357">
        <v>47040735.507936507</v>
      </c>
      <c r="E100" s="360">
        <v>1128931.4523809524</v>
      </c>
      <c r="F100" s="361">
        <v>45911804.055555552</v>
      </c>
      <c r="G100" s="361">
        <v>46476269.78174603</v>
      </c>
      <c r="H100" s="362">
        <v>7416785.108146511</v>
      </c>
      <c r="I100" s="363">
        <v>7416785.108146511</v>
      </c>
      <c r="J100" s="403">
        <v>0</v>
      </c>
      <c r="K100" s="158"/>
      <c r="L100" s="258">
        <f>H100</f>
        <v>7416785.108146511</v>
      </c>
      <c r="M100" s="257">
        <f>IF(L100&lt;&gt;0,+H100-L100,0)</f>
        <v>0</v>
      </c>
      <c r="N100" s="258">
        <f>I100</f>
        <v>7416785.108146511</v>
      </c>
      <c r="O100" s="158">
        <f>IF(N100&lt;&gt;0,+I100-N100,0)</f>
        <v>0</v>
      </c>
      <c r="P100" s="158">
        <f>+O100-M100</f>
        <v>0</v>
      </c>
      <c r="Q100" s="1"/>
    </row>
    <row r="101" spans="1:17">
      <c r="B101" s="9" t="str">
        <f t="shared" si="25"/>
        <v>IU</v>
      </c>
      <c r="C101" s="153">
        <f>IF(D93="","-",+C100+1)</f>
        <v>2014</v>
      </c>
      <c r="D101" s="357">
        <v>46156435.055555552</v>
      </c>
      <c r="E101" s="360">
        <v>1134756</v>
      </c>
      <c r="F101" s="361">
        <v>45021679.055555552</v>
      </c>
      <c r="G101" s="361">
        <v>45589057.055555552</v>
      </c>
      <c r="H101" s="362">
        <v>7331378.3623912428</v>
      </c>
      <c r="I101" s="363">
        <v>7331378.3623912428</v>
      </c>
      <c r="J101" s="158">
        <v>0</v>
      </c>
      <c r="K101" s="158"/>
      <c r="L101" s="258">
        <f>H101</f>
        <v>7331378.3623912428</v>
      </c>
      <c r="M101" s="257">
        <f>IF(L101&lt;&gt;0,+H101-L101,0)</f>
        <v>0</v>
      </c>
      <c r="N101" s="258">
        <f>I101</f>
        <v>7331378.3623912428</v>
      </c>
      <c r="O101" s="158">
        <f>IF(N101&lt;&gt;0,+I101-N101,0)</f>
        <v>0</v>
      </c>
      <c r="P101" s="158">
        <f>+O101-M101</f>
        <v>0</v>
      </c>
      <c r="Q101" s="1"/>
    </row>
    <row r="102" spans="1:17">
      <c r="B102" s="9" t="str">
        <f t="shared" si="25"/>
        <v/>
      </c>
      <c r="C102" s="153">
        <f>IF(D93="","-",+C101+1)</f>
        <v>2015</v>
      </c>
      <c r="D102" s="357">
        <v>45021679.055555552</v>
      </c>
      <c r="E102" s="360">
        <v>1134756</v>
      </c>
      <c r="F102" s="361">
        <v>43886923.055555552</v>
      </c>
      <c r="G102" s="361">
        <v>44454301.055555552</v>
      </c>
      <c r="H102" s="362">
        <v>6992449.3668075977</v>
      </c>
      <c r="I102" s="363">
        <v>6992449.3668075977</v>
      </c>
      <c r="J102" s="158">
        <f t="shared" si="21"/>
        <v>0</v>
      </c>
      <c r="K102" s="158"/>
      <c r="L102" s="258">
        <f>H102</f>
        <v>6992449.3668075977</v>
      </c>
      <c r="M102" s="257">
        <f>IF(L102&lt;&gt;0,+H102-L102,0)</f>
        <v>0</v>
      </c>
      <c r="N102" s="258">
        <f>I102</f>
        <v>6992449.3668075977</v>
      </c>
      <c r="O102" s="158">
        <f>IF(N102&lt;&gt;0,+I102-N102,0)</f>
        <v>0</v>
      </c>
      <c r="P102" s="158">
        <f>+O102-M102</f>
        <v>0</v>
      </c>
      <c r="Q102" s="1"/>
    </row>
    <row r="103" spans="1:17">
      <c r="B103" s="9" t="str">
        <f t="shared" si="25"/>
        <v>IU</v>
      </c>
      <c r="C103" s="153">
        <f>IF(D93="","-",+C102+1)</f>
        <v>2016</v>
      </c>
      <c r="D103" s="357">
        <v>43887200.055555552</v>
      </c>
      <c r="E103" s="360">
        <v>1108372.7674418604</v>
      </c>
      <c r="F103" s="361">
        <v>42778827.288113691</v>
      </c>
      <c r="G103" s="361">
        <v>43333013.671834618</v>
      </c>
      <c r="H103" s="362">
        <v>6609498.3455806924</v>
      </c>
      <c r="I103" s="363">
        <v>6609498.3455806924</v>
      </c>
      <c r="J103" s="158">
        <v>0</v>
      </c>
      <c r="K103" s="158"/>
      <c r="L103" s="258">
        <f>H103</f>
        <v>6609498.3455806924</v>
      </c>
      <c r="M103" s="257">
        <f>IF(L103&lt;&gt;0,+H103-L103,0)</f>
        <v>0</v>
      </c>
      <c r="N103" s="258">
        <f>I103</f>
        <v>6609498.3455806924</v>
      </c>
      <c r="O103" s="158">
        <f>IF(N103&lt;&gt;0,+I103-N103,0)</f>
        <v>0</v>
      </c>
      <c r="P103" s="158">
        <f>+O103-M103</f>
        <v>0</v>
      </c>
      <c r="Q103" s="1"/>
    </row>
    <row r="104" spans="1:17">
      <c r="B104" s="9" t="str">
        <f t="shared" si="25"/>
        <v/>
      </c>
      <c r="C104" s="153">
        <f>IF(D93="","-",+C103+1)</f>
        <v>2017</v>
      </c>
      <c r="D104" s="154">
        <f>IF(F103+SUM(E$99:E103)=D$92,F103,D$92-SUM(E$99:E103))</f>
        <v>42778827.288113691</v>
      </c>
      <c r="E104" s="160">
        <f>IF(+J96&lt;F103,J96,D104)</f>
        <v>1134762.5952380951</v>
      </c>
      <c r="F104" s="159">
        <f t="shared" ref="F104:F131" si="26">+D104-E104</f>
        <v>41644064.692875594</v>
      </c>
      <c r="G104" s="159">
        <f t="shared" ref="G104:G130" si="27">+(F104+D104)/2</f>
        <v>42211445.990494639</v>
      </c>
      <c r="H104" s="163">
        <f t="shared" ref="H104:H130" si="28">+J$94*G104+E104</f>
        <v>6262248.4706521584</v>
      </c>
      <c r="I104" s="253">
        <f t="shared" ref="I104:I130" si="29">+J$95*G104+E104</f>
        <v>6262248.4706521584</v>
      </c>
      <c r="J104" s="158">
        <f t="shared" si="21"/>
        <v>0</v>
      </c>
      <c r="K104" s="158"/>
      <c r="L104" s="334"/>
      <c r="M104" s="158">
        <f t="shared" si="22"/>
        <v>0</v>
      </c>
      <c r="N104" s="334"/>
      <c r="O104" s="158">
        <f t="shared" si="23"/>
        <v>0</v>
      </c>
      <c r="P104" s="158">
        <f t="shared" si="24"/>
        <v>0</v>
      </c>
      <c r="Q104" s="1"/>
    </row>
    <row r="105" spans="1:17">
      <c r="B105" s="9" t="str">
        <f t="shared" si="25"/>
        <v/>
      </c>
      <c r="C105" s="153">
        <f>IF(D93="","-",+C104+1)</f>
        <v>2018</v>
      </c>
      <c r="D105" s="154">
        <f>IF(F104+SUM(E$99:E104)=D$92,F104,D$92-SUM(E$99:E104))</f>
        <v>41644064.692875594</v>
      </c>
      <c r="E105" s="160">
        <f>IF(+J96&lt;F104,J96,D105)</f>
        <v>1134762.5952380951</v>
      </c>
      <c r="F105" s="159">
        <f t="shared" si="26"/>
        <v>40509302.097637497</v>
      </c>
      <c r="G105" s="159">
        <f t="shared" si="27"/>
        <v>41076683.395256549</v>
      </c>
      <c r="H105" s="163">
        <f t="shared" si="28"/>
        <v>6124407.2040833291</v>
      </c>
      <c r="I105" s="253">
        <f t="shared" si="29"/>
        <v>6124407.2040833291</v>
      </c>
      <c r="J105" s="158">
        <f t="shared" si="21"/>
        <v>0</v>
      </c>
      <c r="K105" s="158"/>
      <c r="L105" s="334"/>
      <c r="M105" s="158">
        <f t="shared" si="22"/>
        <v>0</v>
      </c>
      <c r="N105" s="334"/>
      <c r="O105" s="158">
        <f t="shared" si="23"/>
        <v>0</v>
      </c>
      <c r="P105" s="158">
        <f t="shared" si="24"/>
        <v>0</v>
      </c>
      <c r="Q105" s="1"/>
    </row>
    <row r="106" spans="1:17">
      <c r="B106" s="9" t="str">
        <f t="shared" si="25"/>
        <v/>
      </c>
      <c r="C106" s="153">
        <f>IF(D93="","-",+C105+1)</f>
        <v>2019</v>
      </c>
      <c r="D106" s="154">
        <f>IF(F105+SUM(E$99:E105)=D$92,F105,D$92-SUM(E$99:E105))</f>
        <v>40509302.097637497</v>
      </c>
      <c r="E106" s="160">
        <f>IF(+J96&lt;F105,J96,D106)</f>
        <v>1134762.5952380951</v>
      </c>
      <c r="F106" s="159">
        <f t="shared" si="26"/>
        <v>39374539.5023994</v>
      </c>
      <c r="G106" s="159">
        <f t="shared" si="27"/>
        <v>39941920.800018445</v>
      </c>
      <c r="H106" s="163">
        <f t="shared" si="28"/>
        <v>5986565.9375144988</v>
      </c>
      <c r="I106" s="253">
        <f t="shared" si="29"/>
        <v>5986565.9375144988</v>
      </c>
      <c r="J106" s="158">
        <f t="shared" si="21"/>
        <v>0</v>
      </c>
      <c r="K106" s="158"/>
      <c r="L106" s="334"/>
      <c r="M106" s="158">
        <f t="shared" si="22"/>
        <v>0</v>
      </c>
      <c r="N106" s="334"/>
      <c r="O106" s="158">
        <f t="shared" si="23"/>
        <v>0</v>
      </c>
      <c r="P106" s="158">
        <f t="shared" si="24"/>
        <v>0</v>
      </c>
      <c r="Q106" s="1"/>
    </row>
    <row r="107" spans="1:17">
      <c r="B107" s="9" t="str">
        <f t="shared" si="25"/>
        <v/>
      </c>
      <c r="C107" s="153">
        <f>IF(D93="","-",+C106+1)</f>
        <v>2020</v>
      </c>
      <c r="D107" s="154">
        <f>IF(F106+SUM(E$99:E106)=D$92,F106,D$92-SUM(E$99:E106))</f>
        <v>39374539.5023994</v>
      </c>
      <c r="E107" s="160">
        <f>IF(+J96&lt;F106,J96,D107)</f>
        <v>1134762.5952380951</v>
      </c>
      <c r="F107" s="159">
        <f t="shared" si="26"/>
        <v>38239776.907161303</v>
      </c>
      <c r="G107" s="159">
        <f t="shared" si="27"/>
        <v>38807158.204780355</v>
      </c>
      <c r="H107" s="163">
        <f t="shared" si="28"/>
        <v>5848724.6709456695</v>
      </c>
      <c r="I107" s="253">
        <f t="shared" si="29"/>
        <v>5848724.6709456695</v>
      </c>
      <c r="J107" s="158">
        <f t="shared" si="21"/>
        <v>0</v>
      </c>
      <c r="K107" s="158"/>
      <c r="L107" s="334"/>
      <c r="M107" s="158">
        <f t="shared" si="22"/>
        <v>0</v>
      </c>
      <c r="N107" s="334"/>
      <c r="O107" s="158">
        <f t="shared" si="23"/>
        <v>0</v>
      </c>
      <c r="P107" s="158">
        <f t="shared" si="24"/>
        <v>0</v>
      </c>
      <c r="Q107" s="1"/>
    </row>
    <row r="108" spans="1:17">
      <c r="B108" s="9" t="str">
        <f t="shared" si="25"/>
        <v/>
      </c>
      <c r="C108" s="153">
        <f>IF(D93="","-",+C107+1)</f>
        <v>2021</v>
      </c>
      <c r="D108" s="154">
        <f>IF(F107+SUM(E$99:E107)=D$92,F107,D$92-SUM(E$99:E107))</f>
        <v>38239776.907161303</v>
      </c>
      <c r="E108" s="160">
        <f>IF(+J96&lt;F107,J96,D108)</f>
        <v>1134762.5952380951</v>
      </c>
      <c r="F108" s="159">
        <f t="shared" si="26"/>
        <v>37105014.311923206</v>
      </c>
      <c r="G108" s="159">
        <f t="shared" si="27"/>
        <v>37672395.609542251</v>
      </c>
      <c r="H108" s="163">
        <f t="shared" si="28"/>
        <v>5710883.4043768384</v>
      </c>
      <c r="I108" s="253">
        <f t="shared" si="29"/>
        <v>5710883.4043768384</v>
      </c>
      <c r="J108" s="158">
        <f t="shared" si="21"/>
        <v>0</v>
      </c>
      <c r="K108" s="158"/>
      <c r="L108" s="334"/>
      <c r="M108" s="158">
        <f t="shared" si="22"/>
        <v>0</v>
      </c>
      <c r="N108" s="334"/>
      <c r="O108" s="158">
        <f t="shared" si="23"/>
        <v>0</v>
      </c>
      <c r="P108" s="158">
        <f t="shared" si="24"/>
        <v>0</v>
      </c>
      <c r="Q108" s="1"/>
    </row>
    <row r="109" spans="1:17">
      <c r="B109" s="9" t="str">
        <f t="shared" si="25"/>
        <v/>
      </c>
      <c r="C109" s="153">
        <f>IF(D93="","-",+C108+1)</f>
        <v>2022</v>
      </c>
      <c r="D109" s="154">
        <f>IF(F108+SUM(E$99:E108)=D$92,F108,D$92-SUM(E$99:E108))</f>
        <v>37105014.311923206</v>
      </c>
      <c r="E109" s="160">
        <f>IF(+J96&lt;F108,J96,D109)</f>
        <v>1134762.5952380951</v>
      </c>
      <c r="F109" s="159">
        <f t="shared" si="26"/>
        <v>35970251.716685109</v>
      </c>
      <c r="G109" s="159">
        <f t="shared" si="27"/>
        <v>36537633.014304161</v>
      </c>
      <c r="H109" s="163">
        <f t="shared" si="28"/>
        <v>5573042.1378080091</v>
      </c>
      <c r="I109" s="253">
        <f t="shared" si="29"/>
        <v>5573042.1378080091</v>
      </c>
      <c r="J109" s="158">
        <f t="shared" si="21"/>
        <v>0</v>
      </c>
      <c r="K109" s="158"/>
      <c r="L109" s="334"/>
      <c r="M109" s="158">
        <f t="shared" si="22"/>
        <v>0</v>
      </c>
      <c r="N109" s="334"/>
      <c r="O109" s="158">
        <f t="shared" si="23"/>
        <v>0</v>
      </c>
      <c r="P109" s="158">
        <f t="shared" si="24"/>
        <v>0</v>
      </c>
      <c r="Q109" s="1"/>
    </row>
    <row r="110" spans="1:17">
      <c r="B110" s="9" t="str">
        <f t="shared" si="25"/>
        <v/>
      </c>
      <c r="C110" s="153">
        <f>IF(D93="","-",+C109+1)</f>
        <v>2023</v>
      </c>
      <c r="D110" s="154">
        <f>IF(F109+SUM(E$99:E109)=D$92,F109,D$92-SUM(E$99:E109))</f>
        <v>35970251.716685109</v>
      </c>
      <c r="E110" s="160">
        <f>IF(+J96&lt;F109,J96,D110)</f>
        <v>1134762.5952380951</v>
      </c>
      <c r="F110" s="159">
        <f t="shared" si="26"/>
        <v>34835489.121447012</v>
      </c>
      <c r="G110" s="159">
        <f t="shared" si="27"/>
        <v>35402870.419066057</v>
      </c>
      <c r="H110" s="163">
        <f t="shared" si="28"/>
        <v>5435200.8712391779</v>
      </c>
      <c r="I110" s="253">
        <f t="shared" si="29"/>
        <v>5435200.8712391779</v>
      </c>
      <c r="J110" s="158">
        <f t="shared" si="21"/>
        <v>0</v>
      </c>
      <c r="K110" s="158"/>
      <c r="L110" s="334"/>
      <c r="M110" s="158">
        <f t="shared" si="22"/>
        <v>0</v>
      </c>
      <c r="N110" s="334"/>
      <c r="O110" s="158">
        <f t="shared" si="23"/>
        <v>0</v>
      </c>
      <c r="P110" s="158">
        <f t="shared" si="24"/>
        <v>0</v>
      </c>
      <c r="Q110" s="1"/>
    </row>
    <row r="111" spans="1:17">
      <c r="B111" s="9" t="str">
        <f t="shared" si="25"/>
        <v/>
      </c>
      <c r="C111" s="153">
        <f>IF(D93="","-",+C110+1)</f>
        <v>2024</v>
      </c>
      <c r="D111" s="154">
        <f>IF(F110+SUM(E$99:E110)=D$92,F110,D$92-SUM(E$99:E110))</f>
        <v>34835489.121447012</v>
      </c>
      <c r="E111" s="160">
        <f>IF(+J96&lt;F110,J96,D111)</f>
        <v>1134762.5952380951</v>
      </c>
      <c r="F111" s="159">
        <f t="shared" si="26"/>
        <v>33700726.526208915</v>
      </c>
      <c r="G111" s="159">
        <f t="shared" si="27"/>
        <v>34268107.823827967</v>
      </c>
      <c r="H111" s="163">
        <f t="shared" si="28"/>
        <v>5297359.6046703486</v>
      </c>
      <c r="I111" s="253">
        <f t="shared" si="29"/>
        <v>5297359.6046703486</v>
      </c>
      <c r="J111" s="158">
        <f t="shared" si="21"/>
        <v>0</v>
      </c>
      <c r="K111" s="158"/>
      <c r="L111" s="334"/>
      <c r="M111" s="158">
        <f t="shared" si="22"/>
        <v>0</v>
      </c>
      <c r="N111" s="334"/>
      <c r="O111" s="158">
        <f t="shared" si="23"/>
        <v>0</v>
      </c>
      <c r="P111" s="158">
        <f t="shared" si="24"/>
        <v>0</v>
      </c>
      <c r="Q111" s="1"/>
    </row>
    <row r="112" spans="1:17">
      <c r="B112" s="9" t="str">
        <f t="shared" si="25"/>
        <v/>
      </c>
      <c r="C112" s="153">
        <f>IF(D93="","-",+C111+1)</f>
        <v>2025</v>
      </c>
      <c r="D112" s="154">
        <f>IF(F111+SUM(E$99:E111)=D$92,F111,D$92-SUM(E$99:E111))</f>
        <v>33700726.526208915</v>
      </c>
      <c r="E112" s="160">
        <f>IF(+J96&lt;F111,J96,D112)</f>
        <v>1134762.5952380951</v>
      </c>
      <c r="F112" s="159">
        <f t="shared" si="26"/>
        <v>32565963.930970818</v>
      </c>
      <c r="G112" s="159">
        <f t="shared" si="27"/>
        <v>33133345.228589866</v>
      </c>
      <c r="H112" s="163">
        <f t="shared" si="28"/>
        <v>5159518.3381015174</v>
      </c>
      <c r="I112" s="253">
        <f t="shared" si="29"/>
        <v>5159518.3381015174</v>
      </c>
      <c r="J112" s="158">
        <f t="shared" si="21"/>
        <v>0</v>
      </c>
      <c r="K112" s="158"/>
      <c r="L112" s="334"/>
      <c r="M112" s="158">
        <f t="shared" si="22"/>
        <v>0</v>
      </c>
      <c r="N112" s="334"/>
      <c r="O112" s="158">
        <f t="shared" si="23"/>
        <v>0</v>
      </c>
      <c r="P112" s="158">
        <f t="shared" si="24"/>
        <v>0</v>
      </c>
      <c r="Q112" s="1"/>
    </row>
    <row r="113" spans="2:17">
      <c r="B113" s="9" t="str">
        <f t="shared" si="25"/>
        <v/>
      </c>
      <c r="C113" s="153">
        <f>IF(D93="","-",+C112+1)</f>
        <v>2026</v>
      </c>
      <c r="D113" s="154">
        <f>IF(F112+SUM(E$99:E112)=D$92,F112,D$92-SUM(E$99:E112))</f>
        <v>32565963.930970818</v>
      </c>
      <c r="E113" s="160">
        <f>IF(+J96&lt;F112,J96,D113)</f>
        <v>1134762.5952380951</v>
      </c>
      <c r="F113" s="159">
        <f t="shared" si="26"/>
        <v>31431201.335732721</v>
      </c>
      <c r="G113" s="159">
        <f t="shared" si="27"/>
        <v>31998582.633351769</v>
      </c>
      <c r="H113" s="163">
        <f t="shared" si="28"/>
        <v>5021677.0715326872</v>
      </c>
      <c r="I113" s="253">
        <f t="shared" si="29"/>
        <v>5021677.0715326872</v>
      </c>
      <c r="J113" s="158">
        <f t="shared" si="21"/>
        <v>0</v>
      </c>
      <c r="K113" s="158"/>
      <c r="L113" s="334"/>
      <c r="M113" s="158">
        <f t="shared" si="22"/>
        <v>0</v>
      </c>
      <c r="N113" s="334"/>
      <c r="O113" s="158">
        <f t="shared" si="23"/>
        <v>0</v>
      </c>
      <c r="P113" s="158">
        <f t="shared" si="24"/>
        <v>0</v>
      </c>
      <c r="Q113" s="1"/>
    </row>
    <row r="114" spans="2:17">
      <c r="B114" s="9" t="str">
        <f t="shared" si="25"/>
        <v/>
      </c>
      <c r="C114" s="153">
        <f>IF(D93="","-",+C113+1)</f>
        <v>2027</v>
      </c>
      <c r="D114" s="154">
        <f>IF(F113+SUM(E$99:E113)=D$92,F113,D$92-SUM(E$99:E113))</f>
        <v>31431201.335732721</v>
      </c>
      <c r="E114" s="160">
        <f>IF(+J96&lt;F113,J96,D114)</f>
        <v>1134762.5952380951</v>
      </c>
      <c r="F114" s="159">
        <f t="shared" si="26"/>
        <v>30296438.740494624</v>
      </c>
      <c r="G114" s="159">
        <f t="shared" si="27"/>
        <v>30863820.038113672</v>
      </c>
      <c r="H114" s="163">
        <f t="shared" si="28"/>
        <v>4883835.8049638569</v>
      </c>
      <c r="I114" s="253">
        <f t="shared" si="29"/>
        <v>4883835.8049638569</v>
      </c>
      <c r="J114" s="158">
        <f t="shared" si="21"/>
        <v>0</v>
      </c>
      <c r="K114" s="158"/>
      <c r="L114" s="334"/>
      <c r="M114" s="158">
        <f t="shared" si="22"/>
        <v>0</v>
      </c>
      <c r="N114" s="334"/>
      <c r="O114" s="158">
        <f t="shared" si="23"/>
        <v>0</v>
      </c>
      <c r="P114" s="158">
        <f t="shared" si="24"/>
        <v>0</v>
      </c>
      <c r="Q114" s="1"/>
    </row>
    <row r="115" spans="2:17">
      <c r="B115" s="9" t="str">
        <f t="shared" si="25"/>
        <v/>
      </c>
      <c r="C115" s="153">
        <f>IF(D93="","-",+C114+1)</f>
        <v>2028</v>
      </c>
      <c r="D115" s="154">
        <f>IF(F114+SUM(E$99:E114)=D$92,F114,D$92-SUM(E$99:E114))</f>
        <v>30296438.740494624</v>
      </c>
      <c r="E115" s="160">
        <f>IF(+J96&lt;F114,J96,D115)</f>
        <v>1134762.5952380951</v>
      </c>
      <c r="F115" s="159">
        <f t="shared" si="26"/>
        <v>29161676.145256527</v>
      </c>
      <c r="G115" s="159">
        <f t="shared" si="27"/>
        <v>29729057.442875575</v>
      </c>
      <c r="H115" s="163">
        <f t="shared" si="28"/>
        <v>4745994.5383950267</v>
      </c>
      <c r="I115" s="253">
        <f t="shared" si="29"/>
        <v>4745994.5383950267</v>
      </c>
      <c r="J115" s="158">
        <f t="shared" si="21"/>
        <v>0</v>
      </c>
      <c r="K115" s="158"/>
      <c r="L115" s="334"/>
      <c r="M115" s="158">
        <f t="shared" si="22"/>
        <v>0</v>
      </c>
      <c r="N115" s="334"/>
      <c r="O115" s="158">
        <f t="shared" si="23"/>
        <v>0</v>
      </c>
      <c r="P115" s="158">
        <f t="shared" si="24"/>
        <v>0</v>
      </c>
      <c r="Q115" s="1"/>
    </row>
    <row r="116" spans="2:17">
      <c r="B116" s="9" t="str">
        <f t="shared" si="25"/>
        <v/>
      </c>
      <c r="C116" s="153">
        <f>IF(D93="","-",+C115+1)</f>
        <v>2029</v>
      </c>
      <c r="D116" s="154">
        <f>IF(F115+SUM(E$99:E115)=D$92,F115,D$92-SUM(E$99:E115))</f>
        <v>29161676.145256527</v>
      </c>
      <c r="E116" s="160">
        <f>IF(+J96&lt;F115,J96,D116)</f>
        <v>1134762.5952380951</v>
      </c>
      <c r="F116" s="159">
        <f t="shared" si="26"/>
        <v>28026913.55001843</v>
      </c>
      <c r="G116" s="159">
        <f t="shared" si="27"/>
        <v>28594294.847637478</v>
      </c>
      <c r="H116" s="163">
        <f t="shared" si="28"/>
        <v>4608153.2718261974</v>
      </c>
      <c r="I116" s="253">
        <f t="shared" si="29"/>
        <v>4608153.2718261974</v>
      </c>
      <c r="J116" s="158">
        <f t="shared" si="21"/>
        <v>0</v>
      </c>
      <c r="K116" s="158"/>
      <c r="L116" s="334"/>
      <c r="M116" s="158">
        <f t="shared" si="22"/>
        <v>0</v>
      </c>
      <c r="N116" s="334"/>
      <c r="O116" s="158">
        <f t="shared" si="23"/>
        <v>0</v>
      </c>
      <c r="P116" s="158">
        <f t="shared" si="24"/>
        <v>0</v>
      </c>
      <c r="Q116" s="1"/>
    </row>
    <row r="117" spans="2:17">
      <c r="B117" s="9" t="str">
        <f t="shared" si="25"/>
        <v/>
      </c>
      <c r="C117" s="153">
        <f>IF(D93="","-",+C116+1)</f>
        <v>2030</v>
      </c>
      <c r="D117" s="154">
        <f>IF(F116+SUM(E$99:E116)=D$92,F116,D$92-SUM(E$99:E116))</f>
        <v>28026913.55001843</v>
      </c>
      <c r="E117" s="160">
        <f>IF(+J96&lt;F116,J96,D117)</f>
        <v>1134762.5952380951</v>
      </c>
      <c r="F117" s="159">
        <f t="shared" si="26"/>
        <v>26892150.954780333</v>
      </c>
      <c r="G117" s="159">
        <f t="shared" si="27"/>
        <v>27459532.252399381</v>
      </c>
      <c r="H117" s="163">
        <f t="shared" si="28"/>
        <v>4470312.0052573672</v>
      </c>
      <c r="I117" s="253">
        <f t="shared" si="29"/>
        <v>4470312.0052573672</v>
      </c>
      <c r="J117" s="158">
        <f t="shared" si="21"/>
        <v>0</v>
      </c>
      <c r="K117" s="158"/>
      <c r="L117" s="334"/>
      <c r="M117" s="158">
        <f t="shared" si="22"/>
        <v>0</v>
      </c>
      <c r="N117" s="334"/>
      <c r="O117" s="158">
        <f t="shared" si="23"/>
        <v>0</v>
      </c>
      <c r="P117" s="158">
        <f t="shared" si="24"/>
        <v>0</v>
      </c>
      <c r="Q117" s="1"/>
    </row>
    <row r="118" spans="2:17">
      <c r="B118" s="9" t="str">
        <f t="shared" si="25"/>
        <v/>
      </c>
      <c r="C118" s="153">
        <f>IF(D93="","-",+C117+1)</f>
        <v>2031</v>
      </c>
      <c r="D118" s="154">
        <f>IF(F117+SUM(E$99:E117)=D$92,F117,D$92-SUM(E$99:E117))</f>
        <v>26892150.954780333</v>
      </c>
      <c r="E118" s="160">
        <f>IF(+J96&lt;F117,J96,D118)</f>
        <v>1134762.5952380951</v>
      </c>
      <c r="F118" s="159">
        <f t="shared" si="26"/>
        <v>25757388.359542236</v>
      </c>
      <c r="G118" s="159">
        <f t="shared" si="27"/>
        <v>26324769.657161284</v>
      </c>
      <c r="H118" s="163">
        <f t="shared" si="28"/>
        <v>4332470.7386885369</v>
      </c>
      <c r="I118" s="253">
        <f t="shared" si="29"/>
        <v>4332470.7386885369</v>
      </c>
      <c r="J118" s="158">
        <f t="shared" si="21"/>
        <v>0</v>
      </c>
      <c r="K118" s="158"/>
      <c r="L118" s="334"/>
      <c r="M118" s="158">
        <f t="shared" si="22"/>
        <v>0</v>
      </c>
      <c r="N118" s="334"/>
      <c r="O118" s="158">
        <f t="shared" si="23"/>
        <v>0</v>
      </c>
      <c r="P118" s="158">
        <f t="shared" si="24"/>
        <v>0</v>
      </c>
      <c r="Q118" s="1"/>
    </row>
    <row r="119" spans="2:17">
      <c r="B119" s="9" t="str">
        <f t="shared" si="25"/>
        <v/>
      </c>
      <c r="C119" s="153">
        <f>IF(D93="","-",+C118+1)</f>
        <v>2032</v>
      </c>
      <c r="D119" s="154">
        <f>IF(F118+SUM(E$99:E118)=D$92,F118,D$92-SUM(E$99:E118))</f>
        <v>25757388.359542236</v>
      </c>
      <c r="E119" s="160">
        <f>IF(+J96&lt;F118,J96,D119)</f>
        <v>1134762.5952380951</v>
      </c>
      <c r="F119" s="159">
        <f t="shared" si="26"/>
        <v>24622625.764304139</v>
      </c>
      <c r="G119" s="159">
        <f t="shared" si="27"/>
        <v>25190007.061923187</v>
      </c>
      <c r="H119" s="163">
        <f t="shared" si="28"/>
        <v>4194629.4721197067</v>
      </c>
      <c r="I119" s="253">
        <f t="shared" si="29"/>
        <v>4194629.4721197067</v>
      </c>
      <c r="J119" s="158">
        <f t="shared" si="21"/>
        <v>0</v>
      </c>
      <c r="K119" s="158"/>
      <c r="L119" s="334"/>
      <c r="M119" s="158">
        <f t="shared" si="22"/>
        <v>0</v>
      </c>
      <c r="N119" s="334"/>
      <c r="O119" s="158">
        <f t="shared" si="23"/>
        <v>0</v>
      </c>
      <c r="P119" s="158">
        <f t="shared" si="24"/>
        <v>0</v>
      </c>
      <c r="Q119" s="1"/>
    </row>
    <row r="120" spans="2:17">
      <c r="B120" s="9" t="str">
        <f t="shared" si="25"/>
        <v/>
      </c>
      <c r="C120" s="153">
        <f>IF(D93="","-",+C119+1)</f>
        <v>2033</v>
      </c>
      <c r="D120" s="154">
        <f>IF(F119+SUM(E$99:E119)=D$92,F119,D$92-SUM(E$99:E119))</f>
        <v>24622625.764304139</v>
      </c>
      <c r="E120" s="160">
        <f>IF(+J96&lt;F119,J96,D120)</f>
        <v>1134762.5952380951</v>
      </c>
      <c r="F120" s="159">
        <f t="shared" si="26"/>
        <v>23487863.169066042</v>
      </c>
      <c r="G120" s="159">
        <f t="shared" si="27"/>
        <v>24055244.46668509</v>
      </c>
      <c r="H120" s="163">
        <f t="shared" si="28"/>
        <v>4056788.2055508764</v>
      </c>
      <c r="I120" s="253">
        <f t="shared" si="29"/>
        <v>4056788.2055508764</v>
      </c>
      <c r="J120" s="158">
        <f t="shared" si="21"/>
        <v>0</v>
      </c>
      <c r="K120" s="158"/>
      <c r="L120" s="334"/>
      <c r="M120" s="158">
        <f t="shared" si="22"/>
        <v>0</v>
      </c>
      <c r="N120" s="334"/>
      <c r="O120" s="158">
        <f t="shared" si="23"/>
        <v>0</v>
      </c>
      <c r="P120" s="158">
        <f t="shared" si="24"/>
        <v>0</v>
      </c>
      <c r="Q120" s="1"/>
    </row>
    <row r="121" spans="2:17">
      <c r="B121" s="9" t="str">
        <f t="shared" si="25"/>
        <v/>
      </c>
      <c r="C121" s="153">
        <f>IF(D93="","-",+C120+1)</f>
        <v>2034</v>
      </c>
      <c r="D121" s="154">
        <f>IF(F120+SUM(E$99:E120)=D$92,F120,D$92-SUM(E$99:E120))</f>
        <v>23487863.169066042</v>
      </c>
      <c r="E121" s="160">
        <f>IF(+J96&lt;F120,J96,D121)</f>
        <v>1134762.5952380951</v>
      </c>
      <c r="F121" s="159">
        <f t="shared" si="26"/>
        <v>22353100.573827945</v>
      </c>
      <c r="G121" s="159">
        <f t="shared" si="27"/>
        <v>22920481.871446993</v>
      </c>
      <c r="H121" s="163">
        <f t="shared" si="28"/>
        <v>3918946.9389820462</v>
      </c>
      <c r="I121" s="253">
        <f t="shared" si="29"/>
        <v>3918946.9389820462</v>
      </c>
      <c r="J121" s="158">
        <f t="shared" si="21"/>
        <v>0</v>
      </c>
      <c r="K121" s="158"/>
      <c r="L121" s="334"/>
      <c r="M121" s="158">
        <f t="shared" si="22"/>
        <v>0</v>
      </c>
      <c r="N121" s="334"/>
      <c r="O121" s="158">
        <f t="shared" si="23"/>
        <v>0</v>
      </c>
      <c r="P121" s="158">
        <f t="shared" si="24"/>
        <v>0</v>
      </c>
      <c r="Q121" s="1"/>
    </row>
    <row r="122" spans="2:17">
      <c r="B122" s="9" t="str">
        <f t="shared" si="25"/>
        <v/>
      </c>
      <c r="C122" s="153">
        <f>IF(D93="","-",+C121+1)</f>
        <v>2035</v>
      </c>
      <c r="D122" s="154">
        <f>IF(F121+SUM(E$99:E121)=D$92,F121,D$92-SUM(E$99:E121))</f>
        <v>22353100.573827945</v>
      </c>
      <c r="E122" s="160">
        <f>IF(+J96&lt;F121,J96,D122)</f>
        <v>1134762.5952380951</v>
      </c>
      <c r="F122" s="159">
        <f t="shared" si="26"/>
        <v>21218337.978589848</v>
      </c>
      <c r="G122" s="159">
        <f t="shared" si="27"/>
        <v>21785719.276208896</v>
      </c>
      <c r="H122" s="163">
        <f t="shared" si="28"/>
        <v>3781105.6724132164</v>
      </c>
      <c r="I122" s="253">
        <f t="shared" si="29"/>
        <v>3781105.6724132164</v>
      </c>
      <c r="J122" s="158">
        <f t="shared" si="21"/>
        <v>0</v>
      </c>
      <c r="K122" s="158"/>
      <c r="L122" s="334"/>
      <c r="M122" s="158">
        <f t="shared" si="22"/>
        <v>0</v>
      </c>
      <c r="N122" s="334"/>
      <c r="O122" s="158">
        <f t="shared" si="23"/>
        <v>0</v>
      </c>
      <c r="P122" s="158">
        <f t="shared" si="24"/>
        <v>0</v>
      </c>
      <c r="Q122" s="1"/>
    </row>
    <row r="123" spans="2:17">
      <c r="B123" s="9" t="str">
        <f t="shared" si="25"/>
        <v/>
      </c>
      <c r="C123" s="153">
        <f>IF(D93="","-",+C122+1)</f>
        <v>2036</v>
      </c>
      <c r="D123" s="154">
        <f>IF(F122+SUM(E$99:E122)=D$92,F122,D$92-SUM(E$99:E122))</f>
        <v>21218337.978589848</v>
      </c>
      <c r="E123" s="160">
        <f>IF(+J96&lt;F122,J96,D123)</f>
        <v>1134762.5952380951</v>
      </c>
      <c r="F123" s="159">
        <f t="shared" si="26"/>
        <v>20083575.383351751</v>
      </c>
      <c r="G123" s="159">
        <f t="shared" si="27"/>
        <v>20650956.680970799</v>
      </c>
      <c r="H123" s="163">
        <f t="shared" si="28"/>
        <v>3643264.4058443862</v>
      </c>
      <c r="I123" s="253">
        <f t="shared" si="29"/>
        <v>3643264.4058443862</v>
      </c>
      <c r="J123" s="158">
        <f t="shared" si="21"/>
        <v>0</v>
      </c>
      <c r="K123" s="158"/>
      <c r="L123" s="334"/>
      <c r="M123" s="158">
        <f t="shared" si="22"/>
        <v>0</v>
      </c>
      <c r="N123" s="334"/>
      <c r="O123" s="158">
        <f t="shared" si="23"/>
        <v>0</v>
      </c>
      <c r="P123" s="158">
        <f t="shared" si="24"/>
        <v>0</v>
      </c>
      <c r="Q123" s="1"/>
    </row>
    <row r="124" spans="2:17">
      <c r="B124" s="9" t="str">
        <f t="shared" si="25"/>
        <v/>
      </c>
      <c r="C124" s="153">
        <f>IF(D93="","-",+C123+1)</f>
        <v>2037</v>
      </c>
      <c r="D124" s="154">
        <f>IF(F123+SUM(E$99:E123)=D$92,F123,D$92-SUM(E$99:E123))</f>
        <v>20083575.383351751</v>
      </c>
      <c r="E124" s="160">
        <f>IF(+J96&lt;F123,J96,D124)</f>
        <v>1134762.5952380951</v>
      </c>
      <c r="F124" s="159">
        <f t="shared" si="26"/>
        <v>18948812.788113654</v>
      </c>
      <c r="G124" s="159">
        <f t="shared" si="27"/>
        <v>19516194.085732702</v>
      </c>
      <c r="H124" s="163">
        <f t="shared" si="28"/>
        <v>3505423.139275556</v>
      </c>
      <c r="I124" s="253">
        <f t="shared" si="29"/>
        <v>3505423.139275556</v>
      </c>
      <c r="J124" s="158">
        <f t="shared" si="21"/>
        <v>0</v>
      </c>
      <c r="K124" s="158"/>
      <c r="L124" s="334"/>
      <c r="M124" s="158">
        <f t="shared" si="22"/>
        <v>0</v>
      </c>
      <c r="N124" s="334"/>
      <c r="O124" s="158">
        <f t="shared" si="23"/>
        <v>0</v>
      </c>
      <c r="P124" s="158">
        <f t="shared" si="24"/>
        <v>0</v>
      </c>
      <c r="Q124" s="1"/>
    </row>
    <row r="125" spans="2:17">
      <c r="B125" s="9" t="str">
        <f t="shared" si="25"/>
        <v/>
      </c>
      <c r="C125" s="153">
        <f>IF(D93="","-",+C124+1)</f>
        <v>2038</v>
      </c>
      <c r="D125" s="154">
        <f>IF(F124+SUM(E$99:E124)=D$92,F124,D$92-SUM(E$99:E124))</f>
        <v>18948812.788113654</v>
      </c>
      <c r="E125" s="160">
        <f>IF(+J96&lt;F124,J96,D125)</f>
        <v>1134762.5952380951</v>
      </c>
      <c r="F125" s="159">
        <f t="shared" si="26"/>
        <v>17814050.192875557</v>
      </c>
      <c r="G125" s="159">
        <f t="shared" si="27"/>
        <v>18381431.490494605</v>
      </c>
      <c r="H125" s="163">
        <f t="shared" si="28"/>
        <v>3367581.8727067257</v>
      </c>
      <c r="I125" s="253">
        <f t="shared" si="29"/>
        <v>3367581.8727067257</v>
      </c>
      <c r="J125" s="158">
        <f t="shared" si="21"/>
        <v>0</v>
      </c>
      <c r="K125" s="158"/>
      <c r="L125" s="334"/>
      <c r="M125" s="158">
        <f t="shared" si="22"/>
        <v>0</v>
      </c>
      <c r="N125" s="334"/>
      <c r="O125" s="158">
        <f t="shared" si="23"/>
        <v>0</v>
      </c>
      <c r="P125" s="158">
        <f t="shared" si="24"/>
        <v>0</v>
      </c>
      <c r="Q125" s="1"/>
    </row>
    <row r="126" spans="2:17">
      <c r="B126" s="9" t="str">
        <f t="shared" si="25"/>
        <v/>
      </c>
      <c r="C126" s="153">
        <f>IF(D93="","-",+C125+1)</f>
        <v>2039</v>
      </c>
      <c r="D126" s="154">
        <f>IF(F125+SUM(E$99:E125)=D$92,F125,D$92-SUM(E$99:E125))</f>
        <v>17814050.192875557</v>
      </c>
      <c r="E126" s="160">
        <f>IF(+J96&lt;F125,J96,D126)</f>
        <v>1134762.5952380951</v>
      </c>
      <c r="F126" s="159">
        <f t="shared" si="26"/>
        <v>16679287.597637461</v>
      </c>
      <c r="G126" s="159">
        <f t="shared" si="27"/>
        <v>17246668.895256508</v>
      </c>
      <c r="H126" s="163">
        <f t="shared" si="28"/>
        <v>3229740.606137896</v>
      </c>
      <c r="I126" s="253">
        <f t="shared" si="29"/>
        <v>3229740.606137896</v>
      </c>
      <c r="J126" s="158">
        <f t="shared" si="21"/>
        <v>0</v>
      </c>
      <c r="K126" s="158"/>
      <c r="L126" s="334"/>
      <c r="M126" s="158">
        <f t="shared" si="22"/>
        <v>0</v>
      </c>
      <c r="N126" s="334"/>
      <c r="O126" s="158">
        <f t="shared" si="23"/>
        <v>0</v>
      </c>
      <c r="P126" s="158">
        <f t="shared" si="24"/>
        <v>0</v>
      </c>
      <c r="Q126" s="1"/>
    </row>
    <row r="127" spans="2:17">
      <c r="B127" s="9" t="str">
        <f t="shared" si="25"/>
        <v/>
      </c>
      <c r="C127" s="153">
        <f>IF(D93="","-",+C126+1)</f>
        <v>2040</v>
      </c>
      <c r="D127" s="154">
        <f>IF(F126+SUM(E$99:E126)=D$92,F126,D$92-SUM(E$99:E126))</f>
        <v>16679287.597637461</v>
      </c>
      <c r="E127" s="160">
        <f>IF(+J96&lt;F126,J96,D127)</f>
        <v>1134762.5952380951</v>
      </c>
      <c r="F127" s="159">
        <f t="shared" si="26"/>
        <v>15544525.002399366</v>
      </c>
      <c r="G127" s="159">
        <f t="shared" si="27"/>
        <v>16111906.300018415</v>
      </c>
      <c r="H127" s="163">
        <f t="shared" si="28"/>
        <v>3091899.3395690657</v>
      </c>
      <c r="I127" s="253">
        <f t="shared" si="29"/>
        <v>3091899.3395690657</v>
      </c>
      <c r="J127" s="158">
        <f t="shared" si="21"/>
        <v>0</v>
      </c>
      <c r="K127" s="158"/>
      <c r="L127" s="334"/>
      <c r="M127" s="158">
        <f t="shared" si="22"/>
        <v>0</v>
      </c>
      <c r="N127" s="334"/>
      <c r="O127" s="158">
        <f t="shared" si="23"/>
        <v>0</v>
      </c>
      <c r="P127" s="158">
        <f t="shared" si="24"/>
        <v>0</v>
      </c>
      <c r="Q127" s="1"/>
    </row>
    <row r="128" spans="2:17">
      <c r="B128" s="9" t="str">
        <f t="shared" si="25"/>
        <v/>
      </c>
      <c r="C128" s="153">
        <f>IF(D93="","-",+C127+1)</f>
        <v>2041</v>
      </c>
      <c r="D128" s="154">
        <f>IF(F127+SUM(E$99:E127)=D$92,F127,D$92-SUM(E$99:E127))</f>
        <v>15544525.002399366</v>
      </c>
      <c r="E128" s="160">
        <f>IF(+J96&lt;F127,J96,D128)</f>
        <v>1134762.5952380951</v>
      </c>
      <c r="F128" s="159">
        <f t="shared" si="26"/>
        <v>14409762.407161271</v>
      </c>
      <c r="G128" s="159">
        <f t="shared" si="27"/>
        <v>14977143.704780318</v>
      </c>
      <c r="H128" s="163">
        <f t="shared" si="28"/>
        <v>2954058.0730002355</v>
      </c>
      <c r="I128" s="253">
        <f t="shared" si="29"/>
        <v>2954058.0730002355</v>
      </c>
      <c r="J128" s="158">
        <f t="shared" si="21"/>
        <v>0</v>
      </c>
      <c r="K128" s="158"/>
      <c r="L128" s="334"/>
      <c r="M128" s="158">
        <f t="shared" si="22"/>
        <v>0</v>
      </c>
      <c r="N128" s="334"/>
      <c r="O128" s="158">
        <f t="shared" si="23"/>
        <v>0</v>
      </c>
      <c r="P128" s="158">
        <f t="shared" si="24"/>
        <v>0</v>
      </c>
      <c r="Q128" s="1"/>
    </row>
    <row r="129" spans="2:17">
      <c r="B129" s="9" t="str">
        <f t="shared" si="25"/>
        <v/>
      </c>
      <c r="C129" s="153">
        <f>IF(D93="","-",+C128+1)</f>
        <v>2042</v>
      </c>
      <c r="D129" s="154">
        <f>IF(F128+SUM(E$99:E128)=D$92,F128,D$92-SUM(E$99:E128))</f>
        <v>14409762.407161271</v>
      </c>
      <c r="E129" s="160">
        <f>IF(+J96&lt;F128,J96,D129)</f>
        <v>1134762.5952380951</v>
      </c>
      <c r="F129" s="159">
        <f t="shared" si="26"/>
        <v>13274999.811923176</v>
      </c>
      <c r="G129" s="159">
        <f t="shared" si="27"/>
        <v>13842381.109542225</v>
      </c>
      <c r="H129" s="163">
        <f t="shared" si="28"/>
        <v>2816216.8064314062</v>
      </c>
      <c r="I129" s="253">
        <f t="shared" si="29"/>
        <v>2816216.8064314062</v>
      </c>
      <c r="J129" s="158">
        <f t="shared" si="21"/>
        <v>0</v>
      </c>
      <c r="K129" s="158"/>
      <c r="L129" s="334"/>
      <c r="M129" s="158">
        <f t="shared" si="22"/>
        <v>0</v>
      </c>
      <c r="N129" s="334"/>
      <c r="O129" s="158">
        <f t="shared" si="23"/>
        <v>0</v>
      </c>
      <c r="P129" s="158">
        <f t="shared" si="24"/>
        <v>0</v>
      </c>
      <c r="Q129" s="1"/>
    </row>
    <row r="130" spans="2:17">
      <c r="B130" s="9" t="str">
        <f t="shared" si="25"/>
        <v/>
      </c>
      <c r="C130" s="153">
        <f>IF(D93="","-",+C129+1)</f>
        <v>2043</v>
      </c>
      <c r="D130" s="154">
        <f>IF(F129+SUM(E$99:E129)=D$92,F129,D$92-SUM(E$99:E129))</f>
        <v>13274999.811923176</v>
      </c>
      <c r="E130" s="160">
        <f>IF(+J96&lt;F129,J96,D130)</f>
        <v>1134762.5952380951</v>
      </c>
      <c r="F130" s="159">
        <f t="shared" si="26"/>
        <v>12140237.216685081</v>
      </c>
      <c r="G130" s="159">
        <f t="shared" si="27"/>
        <v>12707618.514304128</v>
      </c>
      <c r="H130" s="163">
        <f t="shared" si="28"/>
        <v>2678375.5398625759</v>
      </c>
      <c r="I130" s="253">
        <f t="shared" si="29"/>
        <v>2678375.5398625759</v>
      </c>
      <c r="J130" s="158">
        <f t="shared" si="21"/>
        <v>0</v>
      </c>
      <c r="K130" s="158"/>
      <c r="L130" s="334"/>
      <c r="M130" s="158">
        <f t="shared" si="22"/>
        <v>0</v>
      </c>
      <c r="N130" s="334"/>
      <c r="O130" s="158">
        <f t="shared" si="23"/>
        <v>0</v>
      </c>
      <c r="P130" s="158">
        <f t="shared" si="24"/>
        <v>0</v>
      </c>
      <c r="Q130" s="1"/>
    </row>
    <row r="131" spans="2:17">
      <c r="B131" s="9" t="str">
        <f t="shared" si="25"/>
        <v/>
      </c>
      <c r="C131" s="153">
        <f>IF(D93="","-",+C130+1)</f>
        <v>2044</v>
      </c>
      <c r="D131" s="154">
        <f>IF(F130+SUM(E$99:E130)=D$92,F130,D$92-SUM(E$99:E130))</f>
        <v>12140237.216685081</v>
      </c>
      <c r="E131" s="160">
        <f>IF(+J96&lt;F130,J96,D131)</f>
        <v>1134762.5952380951</v>
      </c>
      <c r="F131" s="159">
        <f t="shared" si="26"/>
        <v>11005474.621446986</v>
      </c>
      <c r="G131" s="159">
        <f t="shared" ref="G131:G154" si="30">+(F131+D131)/2</f>
        <v>11572855.919066034</v>
      </c>
      <c r="H131" s="163">
        <f t="shared" ref="H131:H154" si="31">+J$94*G131+E131</f>
        <v>2540534.2732937462</v>
      </c>
      <c r="I131" s="253">
        <f t="shared" ref="I131:I154" si="32">+J$95*G131+E131</f>
        <v>2540534.2732937462</v>
      </c>
      <c r="J131" s="158">
        <f t="shared" ref="J131:J154" si="33">+I131-H131</f>
        <v>0</v>
      </c>
      <c r="K131" s="158"/>
      <c r="L131" s="334"/>
      <c r="M131" s="158">
        <f t="shared" ref="M131:M154" si="34">IF(L131&lt;&gt;0,+H131-L131,0)</f>
        <v>0</v>
      </c>
      <c r="N131" s="334"/>
      <c r="O131" s="158">
        <f t="shared" ref="O131:O154" si="35">IF(N131&lt;&gt;0,+I131-N131,0)</f>
        <v>0</v>
      </c>
      <c r="P131" s="158">
        <f t="shared" ref="P131:P154" si="36">+O131-M131</f>
        <v>0</v>
      </c>
      <c r="Q131" s="1"/>
    </row>
    <row r="132" spans="2:17">
      <c r="B132" s="9" t="str">
        <f t="shared" ref="B132:B154" si="37">IF(D132=F131,"","IU")</f>
        <v/>
      </c>
      <c r="C132" s="153">
        <f>IF(D93="","-",+C131+1)</f>
        <v>2045</v>
      </c>
      <c r="D132" s="154">
        <f>IF(F131+SUM(E$99:E131)=D$92,F131,D$92-SUM(E$99:E131))</f>
        <v>11005474.621446986</v>
      </c>
      <c r="E132" s="160">
        <f>IF(+J96&lt;F131,J96,D132)</f>
        <v>1134762.5952380951</v>
      </c>
      <c r="F132" s="159">
        <f t="shared" ref="F132:F154" si="38">+D132-E132</f>
        <v>9870712.0262088906</v>
      </c>
      <c r="G132" s="159">
        <f t="shared" si="30"/>
        <v>10438093.323827937</v>
      </c>
      <c r="H132" s="163">
        <f t="shared" si="31"/>
        <v>2402693.0067249159</v>
      </c>
      <c r="I132" s="253">
        <f t="shared" si="32"/>
        <v>2402693.0067249159</v>
      </c>
      <c r="J132" s="158">
        <f t="shared" si="33"/>
        <v>0</v>
      </c>
      <c r="K132" s="158"/>
      <c r="L132" s="334"/>
      <c r="M132" s="158">
        <f t="shared" si="34"/>
        <v>0</v>
      </c>
      <c r="N132" s="334"/>
      <c r="O132" s="158">
        <f t="shared" si="35"/>
        <v>0</v>
      </c>
      <c r="P132" s="158">
        <f t="shared" si="36"/>
        <v>0</v>
      </c>
      <c r="Q132" s="1"/>
    </row>
    <row r="133" spans="2:17">
      <c r="B133" s="9" t="str">
        <f t="shared" si="37"/>
        <v/>
      </c>
      <c r="C133" s="153">
        <f>IF(D93="","-",+C132+1)</f>
        <v>2046</v>
      </c>
      <c r="D133" s="154">
        <f>IF(F132+SUM(E$99:E132)=D$92,F132,D$92-SUM(E$99:E132))</f>
        <v>9870712.0262088906</v>
      </c>
      <c r="E133" s="160">
        <f>IF(+J96&lt;F132,J96,D133)</f>
        <v>1134762.5952380951</v>
      </c>
      <c r="F133" s="159">
        <f t="shared" si="38"/>
        <v>8735949.4309707955</v>
      </c>
      <c r="G133" s="159">
        <f t="shared" si="30"/>
        <v>9303330.728589844</v>
      </c>
      <c r="H133" s="163">
        <f t="shared" si="31"/>
        <v>2264851.7401560862</v>
      </c>
      <c r="I133" s="253">
        <f t="shared" si="32"/>
        <v>2264851.7401560862</v>
      </c>
      <c r="J133" s="158">
        <f t="shared" si="33"/>
        <v>0</v>
      </c>
      <c r="K133" s="158"/>
      <c r="L133" s="334"/>
      <c r="M133" s="158">
        <f t="shared" si="34"/>
        <v>0</v>
      </c>
      <c r="N133" s="334"/>
      <c r="O133" s="158">
        <f t="shared" si="35"/>
        <v>0</v>
      </c>
      <c r="P133" s="158">
        <f t="shared" si="36"/>
        <v>0</v>
      </c>
      <c r="Q133" s="1"/>
    </row>
    <row r="134" spans="2:17">
      <c r="B134" s="9" t="str">
        <f t="shared" si="37"/>
        <v/>
      </c>
      <c r="C134" s="153">
        <f>IF(D93="","-",+C133+1)</f>
        <v>2047</v>
      </c>
      <c r="D134" s="154">
        <f>IF(F133+SUM(E$99:E133)=D$92,F133,D$92-SUM(E$99:E133))</f>
        <v>8735949.4309707955</v>
      </c>
      <c r="E134" s="160">
        <f>IF(+J96&lt;F133,J96,D134)</f>
        <v>1134762.5952380951</v>
      </c>
      <c r="F134" s="159">
        <f t="shared" si="38"/>
        <v>7601186.8357327003</v>
      </c>
      <c r="G134" s="159">
        <f t="shared" si="30"/>
        <v>8168568.1333517479</v>
      </c>
      <c r="H134" s="163">
        <f t="shared" si="31"/>
        <v>2127010.4735872564</v>
      </c>
      <c r="I134" s="253">
        <f t="shared" si="32"/>
        <v>2127010.4735872564</v>
      </c>
      <c r="J134" s="158">
        <f t="shared" si="33"/>
        <v>0</v>
      </c>
      <c r="K134" s="158"/>
      <c r="L134" s="334"/>
      <c r="M134" s="158">
        <f t="shared" si="34"/>
        <v>0</v>
      </c>
      <c r="N134" s="334"/>
      <c r="O134" s="158">
        <f t="shared" si="35"/>
        <v>0</v>
      </c>
      <c r="P134" s="158">
        <f t="shared" si="36"/>
        <v>0</v>
      </c>
      <c r="Q134" s="1"/>
    </row>
    <row r="135" spans="2:17">
      <c r="B135" s="9" t="str">
        <f t="shared" si="37"/>
        <v/>
      </c>
      <c r="C135" s="153">
        <f>IF(D93="","-",+C134+1)</f>
        <v>2048</v>
      </c>
      <c r="D135" s="154">
        <f>IF(F134+SUM(E$99:E134)=D$92,F134,D$92-SUM(E$99:E134))</f>
        <v>7601186.8357327003</v>
      </c>
      <c r="E135" s="160">
        <f>IF(+J96&lt;F134,J96,D135)</f>
        <v>1134762.5952380951</v>
      </c>
      <c r="F135" s="159">
        <f t="shared" si="38"/>
        <v>6466424.2404946052</v>
      </c>
      <c r="G135" s="159">
        <f t="shared" si="30"/>
        <v>7033805.5381136527</v>
      </c>
      <c r="H135" s="163">
        <f t="shared" si="31"/>
        <v>1989169.2070184264</v>
      </c>
      <c r="I135" s="253">
        <f t="shared" si="32"/>
        <v>1989169.2070184264</v>
      </c>
      <c r="J135" s="158">
        <f t="shared" si="33"/>
        <v>0</v>
      </c>
      <c r="K135" s="158"/>
      <c r="L135" s="334"/>
      <c r="M135" s="158">
        <f t="shared" si="34"/>
        <v>0</v>
      </c>
      <c r="N135" s="334"/>
      <c r="O135" s="158">
        <f t="shared" si="35"/>
        <v>0</v>
      </c>
      <c r="P135" s="158">
        <f t="shared" si="36"/>
        <v>0</v>
      </c>
      <c r="Q135" s="1"/>
    </row>
    <row r="136" spans="2:17">
      <c r="B136" s="9" t="str">
        <f t="shared" si="37"/>
        <v/>
      </c>
      <c r="C136" s="153">
        <f>IF(D93="","-",+C135+1)</f>
        <v>2049</v>
      </c>
      <c r="D136" s="154">
        <f>IF(F135+SUM(E$99:E135)=D$92,F135,D$92-SUM(E$99:E135))</f>
        <v>6466424.2404946052</v>
      </c>
      <c r="E136" s="160">
        <f>IF(+J96&lt;F135,J96,D136)</f>
        <v>1134762.5952380951</v>
      </c>
      <c r="F136" s="159">
        <f t="shared" si="38"/>
        <v>5331661.64525651</v>
      </c>
      <c r="G136" s="159">
        <f t="shared" si="30"/>
        <v>5899042.9428755576</v>
      </c>
      <c r="H136" s="163">
        <f t="shared" si="31"/>
        <v>1851327.9404495964</v>
      </c>
      <c r="I136" s="253">
        <f t="shared" si="32"/>
        <v>1851327.9404495964</v>
      </c>
      <c r="J136" s="158">
        <f t="shared" si="33"/>
        <v>0</v>
      </c>
      <c r="K136" s="158"/>
      <c r="L136" s="334"/>
      <c r="M136" s="158">
        <f t="shared" si="34"/>
        <v>0</v>
      </c>
      <c r="N136" s="334"/>
      <c r="O136" s="158">
        <f t="shared" si="35"/>
        <v>0</v>
      </c>
      <c r="P136" s="158">
        <f t="shared" si="36"/>
        <v>0</v>
      </c>
      <c r="Q136" s="1"/>
    </row>
    <row r="137" spans="2:17">
      <c r="B137" s="9" t="str">
        <f t="shared" si="37"/>
        <v/>
      </c>
      <c r="C137" s="153">
        <f>IF(D93="","-",+C136+1)</f>
        <v>2050</v>
      </c>
      <c r="D137" s="154">
        <f>IF(F136+SUM(E$99:E136)=D$92,F136,D$92-SUM(E$99:E136))</f>
        <v>5331661.64525651</v>
      </c>
      <c r="E137" s="160">
        <f>IF(+J96&lt;F136,J96,D137)</f>
        <v>1134762.5952380951</v>
      </c>
      <c r="F137" s="159">
        <f t="shared" si="38"/>
        <v>4196899.0500184149</v>
      </c>
      <c r="G137" s="159">
        <f t="shared" si="30"/>
        <v>4764280.3476374624</v>
      </c>
      <c r="H137" s="163">
        <f t="shared" si="31"/>
        <v>1713486.6738807666</v>
      </c>
      <c r="I137" s="253">
        <f t="shared" si="32"/>
        <v>1713486.6738807666</v>
      </c>
      <c r="J137" s="158">
        <f t="shared" si="33"/>
        <v>0</v>
      </c>
      <c r="K137" s="158"/>
      <c r="L137" s="334"/>
      <c r="M137" s="158">
        <f t="shared" si="34"/>
        <v>0</v>
      </c>
      <c r="N137" s="334"/>
      <c r="O137" s="158">
        <f t="shared" si="35"/>
        <v>0</v>
      </c>
      <c r="P137" s="158">
        <f t="shared" si="36"/>
        <v>0</v>
      </c>
      <c r="Q137" s="1"/>
    </row>
    <row r="138" spans="2:17">
      <c r="B138" s="9" t="str">
        <f t="shared" si="37"/>
        <v/>
      </c>
      <c r="C138" s="153">
        <f>IF(D93="","-",+C137+1)</f>
        <v>2051</v>
      </c>
      <c r="D138" s="154">
        <f>IF(F137+SUM(E$99:E137)=D$92,F137,D$92-SUM(E$99:E137))</f>
        <v>4196899.0500184149</v>
      </c>
      <c r="E138" s="160">
        <f>IF(+J96&lt;F137,J96,D138)</f>
        <v>1134762.5952380951</v>
      </c>
      <c r="F138" s="159">
        <f t="shared" si="38"/>
        <v>3062136.4547803197</v>
      </c>
      <c r="G138" s="159">
        <f t="shared" si="30"/>
        <v>3629517.7523993673</v>
      </c>
      <c r="H138" s="163">
        <f t="shared" si="31"/>
        <v>1575645.4073119366</v>
      </c>
      <c r="I138" s="253">
        <f t="shared" si="32"/>
        <v>1575645.4073119366</v>
      </c>
      <c r="J138" s="158">
        <f t="shared" si="33"/>
        <v>0</v>
      </c>
      <c r="K138" s="158"/>
      <c r="L138" s="334"/>
      <c r="M138" s="158">
        <f t="shared" si="34"/>
        <v>0</v>
      </c>
      <c r="N138" s="334"/>
      <c r="O138" s="158">
        <f t="shared" si="35"/>
        <v>0</v>
      </c>
      <c r="P138" s="158">
        <f t="shared" si="36"/>
        <v>0</v>
      </c>
      <c r="Q138" s="1"/>
    </row>
    <row r="139" spans="2:17">
      <c r="B139" s="9" t="str">
        <f t="shared" si="37"/>
        <v/>
      </c>
      <c r="C139" s="153">
        <f>IF(D93="","-",+C138+1)</f>
        <v>2052</v>
      </c>
      <c r="D139" s="154">
        <f>IF(F138+SUM(E$99:E138)=D$92,F138,D$92-SUM(E$99:E138))</f>
        <v>3062136.4547803197</v>
      </c>
      <c r="E139" s="160">
        <f>IF(+J96&lt;F138,J96,D139)</f>
        <v>1134762.5952380951</v>
      </c>
      <c r="F139" s="159">
        <f t="shared" si="38"/>
        <v>1927373.8595422246</v>
      </c>
      <c r="G139" s="159">
        <f t="shared" si="30"/>
        <v>2494755.1571612721</v>
      </c>
      <c r="H139" s="163">
        <f t="shared" si="31"/>
        <v>1437804.1407431066</v>
      </c>
      <c r="I139" s="253">
        <f t="shared" si="32"/>
        <v>1437804.1407431066</v>
      </c>
      <c r="J139" s="158">
        <f t="shared" si="33"/>
        <v>0</v>
      </c>
      <c r="K139" s="158"/>
      <c r="L139" s="334"/>
      <c r="M139" s="158">
        <f t="shared" si="34"/>
        <v>0</v>
      </c>
      <c r="N139" s="334"/>
      <c r="O139" s="158">
        <f t="shared" si="35"/>
        <v>0</v>
      </c>
      <c r="P139" s="158">
        <f t="shared" si="36"/>
        <v>0</v>
      </c>
      <c r="Q139" s="1"/>
    </row>
    <row r="140" spans="2:17">
      <c r="B140" s="9" t="str">
        <f t="shared" si="37"/>
        <v/>
      </c>
      <c r="C140" s="153">
        <f>IF(D93="","-",+C139+1)</f>
        <v>2053</v>
      </c>
      <c r="D140" s="154">
        <f>IF(F139+SUM(E$99:E139)=D$92,F139,D$92-SUM(E$99:E139))</f>
        <v>1927373.8595422246</v>
      </c>
      <c r="E140" s="160">
        <f>IF(+J96&lt;F139,J96,D140)</f>
        <v>1134762.5952380951</v>
      </c>
      <c r="F140" s="159">
        <f t="shared" si="38"/>
        <v>792611.26430412941</v>
      </c>
      <c r="G140" s="159">
        <f t="shared" si="30"/>
        <v>1359992.561923177</v>
      </c>
      <c r="H140" s="163">
        <f t="shared" si="31"/>
        <v>1299962.8741742766</v>
      </c>
      <c r="I140" s="253">
        <f t="shared" si="32"/>
        <v>1299962.8741742766</v>
      </c>
      <c r="J140" s="158">
        <f t="shared" si="33"/>
        <v>0</v>
      </c>
      <c r="K140" s="158"/>
      <c r="L140" s="334"/>
      <c r="M140" s="158">
        <f t="shared" si="34"/>
        <v>0</v>
      </c>
      <c r="N140" s="334"/>
      <c r="O140" s="158">
        <f t="shared" si="35"/>
        <v>0</v>
      </c>
      <c r="P140" s="158">
        <f t="shared" si="36"/>
        <v>0</v>
      </c>
      <c r="Q140" s="1"/>
    </row>
    <row r="141" spans="2:17">
      <c r="B141" s="9" t="str">
        <f t="shared" si="37"/>
        <v/>
      </c>
      <c r="C141" s="153">
        <f>IF(D93="","-",+C140+1)</f>
        <v>2054</v>
      </c>
      <c r="D141" s="154">
        <f>IF(F140+SUM(E$99:E140)=D$92,F140,D$92-SUM(E$99:E140))</f>
        <v>792611.26430412941</v>
      </c>
      <c r="E141" s="160">
        <f>IF(+J96&lt;F140,J96,D141)</f>
        <v>792611.26430412941</v>
      </c>
      <c r="F141" s="159">
        <f t="shared" si="38"/>
        <v>0</v>
      </c>
      <c r="G141" s="159">
        <f t="shared" si="30"/>
        <v>396305.6321520647</v>
      </c>
      <c r="H141" s="163">
        <f t="shared" si="31"/>
        <v>840751.08713001269</v>
      </c>
      <c r="I141" s="253">
        <f t="shared" si="32"/>
        <v>840751.08713001269</v>
      </c>
      <c r="J141" s="158">
        <f t="shared" si="33"/>
        <v>0</v>
      </c>
      <c r="K141" s="158"/>
      <c r="L141" s="334"/>
      <c r="M141" s="158">
        <f t="shared" si="34"/>
        <v>0</v>
      </c>
      <c r="N141" s="334"/>
      <c r="O141" s="158">
        <f t="shared" si="35"/>
        <v>0</v>
      </c>
      <c r="P141" s="158">
        <f t="shared" si="36"/>
        <v>0</v>
      </c>
      <c r="Q141" s="1"/>
    </row>
    <row r="142" spans="2:17">
      <c r="B142" s="9" t="str">
        <f t="shared" si="37"/>
        <v/>
      </c>
      <c r="C142" s="153">
        <f>IF(D93="","-",+C141+1)</f>
        <v>2055</v>
      </c>
      <c r="D142" s="154">
        <f>IF(F141+SUM(E$99:E141)=D$92,F141,D$92-SUM(E$99:E141))</f>
        <v>0</v>
      </c>
      <c r="E142" s="160">
        <f>IF(+J96&lt;F141,J96,D142)</f>
        <v>0</v>
      </c>
      <c r="F142" s="159">
        <f t="shared" si="38"/>
        <v>0</v>
      </c>
      <c r="G142" s="159">
        <f t="shared" si="30"/>
        <v>0</v>
      </c>
      <c r="H142" s="163">
        <f t="shared" si="31"/>
        <v>0</v>
      </c>
      <c r="I142" s="253">
        <f t="shared" si="32"/>
        <v>0</v>
      </c>
      <c r="J142" s="158">
        <f t="shared" si="33"/>
        <v>0</v>
      </c>
      <c r="K142" s="158"/>
      <c r="L142" s="334"/>
      <c r="M142" s="158">
        <f t="shared" si="34"/>
        <v>0</v>
      </c>
      <c r="N142" s="334"/>
      <c r="O142" s="158">
        <f t="shared" si="35"/>
        <v>0</v>
      </c>
      <c r="P142" s="158">
        <f t="shared" si="36"/>
        <v>0</v>
      </c>
      <c r="Q142" s="1"/>
    </row>
    <row r="143" spans="2:17">
      <c r="B143" s="9" t="str">
        <f t="shared" si="37"/>
        <v/>
      </c>
      <c r="C143" s="153">
        <f>IF(D93="","-",+C142+1)</f>
        <v>2056</v>
      </c>
      <c r="D143" s="154">
        <f>IF(F142+SUM(E$99:E142)=D$92,F142,D$92-SUM(E$99:E142))</f>
        <v>0</v>
      </c>
      <c r="E143" s="160">
        <f>IF(+J96&lt;F142,J96,D143)</f>
        <v>0</v>
      </c>
      <c r="F143" s="159">
        <f t="shared" si="38"/>
        <v>0</v>
      </c>
      <c r="G143" s="159">
        <f t="shared" si="30"/>
        <v>0</v>
      </c>
      <c r="H143" s="163">
        <f t="shared" si="31"/>
        <v>0</v>
      </c>
      <c r="I143" s="253">
        <f t="shared" si="32"/>
        <v>0</v>
      </c>
      <c r="J143" s="158">
        <f t="shared" si="33"/>
        <v>0</v>
      </c>
      <c r="K143" s="158"/>
      <c r="L143" s="334"/>
      <c r="M143" s="158">
        <f t="shared" si="34"/>
        <v>0</v>
      </c>
      <c r="N143" s="334"/>
      <c r="O143" s="158">
        <f t="shared" si="35"/>
        <v>0</v>
      </c>
      <c r="P143" s="158">
        <f t="shared" si="36"/>
        <v>0</v>
      </c>
      <c r="Q143" s="1"/>
    </row>
    <row r="144" spans="2:17">
      <c r="B144" s="9" t="str">
        <f t="shared" si="37"/>
        <v/>
      </c>
      <c r="C144" s="153">
        <f>IF(D93="","-",+C143+1)</f>
        <v>2057</v>
      </c>
      <c r="D144" s="154">
        <f>IF(F143+SUM(E$99:E143)=D$92,F143,D$92-SUM(E$99:E143))</f>
        <v>0</v>
      </c>
      <c r="E144" s="160">
        <f>IF(+J96&lt;F143,J96,D144)</f>
        <v>0</v>
      </c>
      <c r="F144" s="159">
        <f t="shared" si="38"/>
        <v>0</v>
      </c>
      <c r="G144" s="159">
        <f t="shared" si="30"/>
        <v>0</v>
      </c>
      <c r="H144" s="163">
        <f t="shared" si="31"/>
        <v>0</v>
      </c>
      <c r="I144" s="253">
        <f t="shared" si="32"/>
        <v>0</v>
      </c>
      <c r="J144" s="158">
        <f t="shared" si="33"/>
        <v>0</v>
      </c>
      <c r="K144" s="158"/>
      <c r="L144" s="334"/>
      <c r="M144" s="158">
        <f t="shared" si="34"/>
        <v>0</v>
      </c>
      <c r="N144" s="334"/>
      <c r="O144" s="158">
        <f t="shared" si="35"/>
        <v>0</v>
      </c>
      <c r="P144" s="158">
        <f t="shared" si="36"/>
        <v>0</v>
      </c>
      <c r="Q144" s="1"/>
    </row>
    <row r="145" spans="2:17">
      <c r="B145" s="9" t="str">
        <f t="shared" si="37"/>
        <v/>
      </c>
      <c r="C145" s="153">
        <f>IF(D93="","-",+C144+1)</f>
        <v>2058</v>
      </c>
      <c r="D145" s="154">
        <f>IF(F144+SUM(E$99:E144)=D$92,F144,D$92-SUM(E$99:E144))</f>
        <v>0</v>
      </c>
      <c r="E145" s="160">
        <f>IF(+J96&lt;F144,J96,D145)</f>
        <v>0</v>
      </c>
      <c r="F145" s="159">
        <f t="shared" si="38"/>
        <v>0</v>
      </c>
      <c r="G145" s="159">
        <f t="shared" si="30"/>
        <v>0</v>
      </c>
      <c r="H145" s="163">
        <f t="shared" si="31"/>
        <v>0</v>
      </c>
      <c r="I145" s="253">
        <f t="shared" si="32"/>
        <v>0</v>
      </c>
      <c r="J145" s="158">
        <f t="shared" si="33"/>
        <v>0</v>
      </c>
      <c r="K145" s="158"/>
      <c r="L145" s="334"/>
      <c r="M145" s="158">
        <f t="shared" si="34"/>
        <v>0</v>
      </c>
      <c r="N145" s="334"/>
      <c r="O145" s="158">
        <f t="shared" si="35"/>
        <v>0</v>
      </c>
      <c r="P145" s="158">
        <f t="shared" si="36"/>
        <v>0</v>
      </c>
      <c r="Q145" s="1"/>
    </row>
    <row r="146" spans="2:17">
      <c r="B146" s="9" t="str">
        <f t="shared" si="37"/>
        <v/>
      </c>
      <c r="C146" s="153">
        <f>IF(D93="","-",+C145+1)</f>
        <v>2059</v>
      </c>
      <c r="D146" s="154">
        <f>IF(F145+SUM(E$99:E145)=D$92,F145,D$92-SUM(E$99:E145))</f>
        <v>0</v>
      </c>
      <c r="E146" s="160">
        <f>IF(+J96&lt;F145,J96,D146)</f>
        <v>0</v>
      </c>
      <c r="F146" s="159">
        <f t="shared" si="38"/>
        <v>0</v>
      </c>
      <c r="G146" s="159">
        <f t="shared" si="30"/>
        <v>0</v>
      </c>
      <c r="H146" s="163">
        <f t="shared" si="31"/>
        <v>0</v>
      </c>
      <c r="I146" s="253">
        <f t="shared" si="32"/>
        <v>0</v>
      </c>
      <c r="J146" s="158">
        <f t="shared" si="33"/>
        <v>0</v>
      </c>
      <c r="K146" s="158"/>
      <c r="L146" s="334"/>
      <c r="M146" s="158">
        <f t="shared" si="34"/>
        <v>0</v>
      </c>
      <c r="N146" s="334"/>
      <c r="O146" s="158">
        <f t="shared" si="35"/>
        <v>0</v>
      </c>
      <c r="P146" s="158">
        <f t="shared" si="36"/>
        <v>0</v>
      </c>
      <c r="Q146" s="1"/>
    </row>
    <row r="147" spans="2:17">
      <c r="B147" s="9" t="str">
        <f t="shared" si="37"/>
        <v/>
      </c>
      <c r="C147" s="153">
        <f>IF(D93="","-",+C146+1)</f>
        <v>2060</v>
      </c>
      <c r="D147" s="154">
        <f>IF(F146+SUM(E$99:E146)=D$92,F146,D$92-SUM(E$99:E146))</f>
        <v>0</v>
      </c>
      <c r="E147" s="160">
        <f>IF(+J96&lt;F146,J96,D147)</f>
        <v>0</v>
      </c>
      <c r="F147" s="159">
        <f t="shared" si="38"/>
        <v>0</v>
      </c>
      <c r="G147" s="159">
        <f t="shared" si="30"/>
        <v>0</v>
      </c>
      <c r="H147" s="163">
        <f t="shared" si="31"/>
        <v>0</v>
      </c>
      <c r="I147" s="253">
        <f t="shared" si="32"/>
        <v>0</v>
      </c>
      <c r="J147" s="158">
        <f t="shared" si="33"/>
        <v>0</v>
      </c>
      <c r="K147" s="158"/>
      <c r="L147" s="334"/>
      <c r="M147" s="158">
        <f t="shared" si="34"/>
        <v>0</v>
      </c>
      <c r="N147" s="334"/>
      <c r="O147" s="158">
        <f t="shared" si="35"/>
        <v>0</v>
      </c>
      <c r="P147" s="158">
        <f t="shared" si="36"/>
        <v>0</v>
      </c>
      <c r="Q147" s="1"/>
    </row>
    <row r="148" spans="2:17">
      <c r="B148" s="9" t="str">
        <f t="shared" si="37"/>
        <v/>
      </c>
      <c r="C148" s="153">
        <f>IF(D93="","-",+C147+1)</f>
        <v>2061</v>
      </c>
      <c r="D148" s="154">
        <f>IF(F147+SUM(E$99:E147)=D$92,F147,D$92-SUM(E$99:E147))</f>
        <v>0</v>
      </c>
      <c r="E148" s="160">
        <f>IF(+J96&lt;F147,J96,D148)</f>
        <v>0</v>
      </c>
      <c r="F148" s="159">
        <f t="shared" si="38"/>
        <v>0</v>
      </c>
      <c r="G148" s="159">
        <f t="shared" si="30"/>
        <v>0</v>
      </c>
      <c r="H148" s="163">
        <f t="shared" si="31"/>
        <v>0</v>
      </c>
      <c r="I148" s="253">
        <f t="shared" si="32"/>
        <v>0</v>
      </c>
      <c r="J148" s="158">
        <f t="shared" si="33"/>
        <v>0</v>
      </c>
      <c r="K148" s="158"/>
      <c r="L148" s="334"/>
      <c r="M148" s="158">
        <f t="shared" si="34"/>
        <v>0</v>
      </c>
      <c r="N148" s="334"/>
      <c r="O148" s="158">
        <f t="shared" si="35"/>
        <v>0</v>
      </c>
      <c r="P148" s="158">
        <f t="shared" si="36"/>
        <v>0</v>
      </c>
      <c r="Q148" s="1"/>
    </row>
    <row r="149" spans="2:17">
      <c r="B149" s="9" t="str">
        <f t="shared" si="37"/>
        <v/>
      </c>
      <c r="C149" s="153">
        <f>IF(D93="","-",+C148+1)</f>
        <v>2062</v>
      </c>
      <c r="D149" s="154">
        <f>IF(F148+SUM(E$99:E148)=D$92,F148,D$92-SUM(E$99:E148))</f>
        <v>0</v>
      </c>
      <c r="E149" s="160">
        <f>IF(+J96&lt;F148,J96,D149)</f>
        <v>0</v>
      </c>
      <c r="F149" s="159">
        <f t="shared" si="38"/>
        <v>0</v>
      </c>
      <c r="G149" s="159">
        <f t="shared" si="30"/>
        <v>0</v>
      </c>
      <c r="H149" s="163">
        <f t="shared" si="31"/>
        <v>0</v>
      </c>
      <c r="I149" s="253">
        <f t="shared" si="32"/>
        <v>0</v>
      </c>
      <c r="J149" s="158">
        <f t="shared" si="33"/>
        <v>0</v>
      </c>
      <c r="K149" s="158"/>
      <c r="L149" s="334"/>
      <c r="M149" s="158">
        <f t="shared" si="34"/>
        <v>0</v>
      </c>
      <c r="N149" s="334"/>
      <c r="O149" s="158">
        <f t="shared" si="35"/>
        <v>0</v>
      </c>
      <c r="P149" s="158">
        <f t="shared" si="36"/>
        <v>0</v>
      </c>
      <c r="Q149" s="1"/>
    </row>
    <row r="150" spans="2:17">
      <c r="B150" s="9" t="str">
        <f t="shared" si="37"/>
        <v/>
      </c>
      <c r="C150" s="153">
        <f>IF(D93="","-",+C149+1)</f>
        <v>2063</v>
      </c>
      <c r="D150" s="154">
        <f>IF(F149+SUM(E$99:E149)=D$92,F149,D$92-SUM(E$99:E149))</f>
        <v>0</v>
      </c>
      <c r="E150" s="160">
        <f>IF(+J96&lt;F149,J96,D150)</f>
        <v>0</v>
      </c>
      <c r="F150" s="159">
        <f t="shared" si="38"/>
        <v>0</v>
      </c>
      <c r="G150" s="159">
        <f t="shared" si="30"/>
        <v>0</v>
      </c>
      <c r="H150" s="163">
        <f t="shared" si="31"/>
        <v>0</v>
      </c>
      <c r="I150" s="253">
        <f t="shared" si="32"/>
        <v>0</v>
      </c>
      <c r="J150" s="158">
        <f t="shared" si="33"/>
        <v>0</v>
      </c>
      <c r="K150" s="158"/>
      <c r="L150" s="334"/>
      <c r="M150" s="158">
        <f t="shared" si="34"/>
        <v>0</v>
      </c>
      <c r="N150" s="334"/>
      <c r="O150" s="158">
        <f t="shared" si="35"/>
        <v>0</v>
      </c>
      <c r="P150" s="158">
        <f t="shared" si="36"/>
        <v>0</v>
      </c>
      <c r="Q150" s="1"/>
    </row>
    <row r="151" spans="2:17">
      <c r="B151" s="9" t="str">
        <f t="shared" si="37"/>
        <v/>
      </c>
      <c r="C151" s="153">
        <f>IF(D93="","-",+C150+1)</f>
        <v>2064</v>
      </c>
      <c r="D151" s="154">
        <f>IF(F150+SUM(E$99:E150)=D$92,F150,D$92-SUM(E$99:E150))</f>
        <v>0</v>
      </c>
      <c r="E151" s="160">
        <f>IF(+J96&lt;F150,J96,D151)</f>
        <v>0</v>
      </c>
      <c r="F151" s="159">
        <f t="shared" si="38"/>
        <v>0</v>
      </c>
      <c r="G151" s="159">
        <f t="shared" si="30"/>
        <v>0</v>
      </c>
      <c r="H151" s="163">
        <f t="shared" si="31"/>
        <v>0</v>
      </c>
      <c r="I151" s="253">
        <f t="shared" si="32"/>
        <v>0</v>
      </c>
      <c r="J151" s="158">
        <f t="shared" si="33"/>
        <v>0</v>
      </c>
      <c r="K151" s="158"/>
      <c r="L151" s="334"/>
      <c r="M151" s="158">
        <f t="shared" si="34"/>
        <v>0</v>
      </c>
      <c r="N151" s="334"/>
      <c r="O151" s="158">
        <f t="shared" si="35"/>
        <v>0</v>
      </c>
      <c r="P151" s="158">
        <f t="shared" si="36"/>
        <v>0</v>
      </c>
      <c r="Q151" s="1"/>
    </row>
    <row r="152" spans="2:17">
      <c r="B152" s="9" t="str">
        <f t="shared" si="37"/>
        <v/>
      </c>
      <c r="C152" s="153">
        <f>IF(D93="","-",+C151+1)</f>
        <v>2065</v>
      </c>
      <c r="D152" s="154">
        <f>IF(F151+SUM(E$99:E151)=D$92,F151,D$92-SUM(E$99:E151))</f>
        <v>0</v>
      </c>
      <c r="E152" s="160">
        <f>IF(+J96&lt;F151,J96,D152)</f>
        <v>0</v>
      </c>
      <c r="F152" s="159">
        <f t="shared" si="38"/>
        <v>0</v>
      </c>
      <c r="G152" s="159">
        <f t="shared" si="30"/>
        <v>0</v>
      </c>
      <c r="H152" s="163">
        <f t="shared" si="31"/>
        <v>0</v>
      </c>
      <c r="I152" s="253">
        <f t="shared" si="32"/>
        <v>0</v>
      </c>
      <c r="J152" s="158">
        <f t="shared" si="33"/>
        <v>0</v>
      </c>
      <c r="K152" s="158"/>
      <c r="L152" s="334"/>
      <c r="M152" s="158">
        <f t="shared" si="34"/>
        <v>0</v>
      </c>
      <c r="N152" s="334"/>
      <c r="O152" s="158">
        <f t="shared" si="35"/>
        <v>0</v>
      </c>
      <c r="P152" s="158">
        <f t="shared" si="36"/>
        <v>0</v>
      </c>
      <c r="Q152" s="1"/>
    </row>
    <row r="153" spans="2:17">
      <c r="B153" s="9" t="str">
        <f t="shared" si="37"/>
        <v/>
      </c>
      <c r="C153" s="153">
        <f>IF(D93="","-",+C152+1)</f>
        <v>2066</v>
      </c>
      <c r="D153" s="154">
        <f>IF(F152+SUM(E$99:E152)=D$92,F152,D$92-SUM(E$99:E152))</f>
        <v>0</v>
      </c>
      <c r="E153" s="160">
        <f>IF(+J96&lt;F152,J96,D153)</f>
        <v>0</v>
      </c>
      <c r="F153" s="159">
        <f t="shared" si="38"/>
        <v>0</v>
      </c>
      <c r="G153" s="159">
        <f t="shared" si="30"/>
        <v>0</v>
      </c>
      <c r="H153" s="163">
        <f t="shared" si="31"/>
        <v>0</v>
      </c>
      <c r="I153" s="253">
        <f t="shared" si="32"/>
        <v>0</v>
      </c>
      <c r="J153" s="158">
        <f t="shared" si="33"/>
        <v>0</v>
      </c>
      <c r="K153" s="158"/>
      <c r="L153" s="334"/>
      <c r="M153" s="158">
        <f t="shared" si="34"/>
        <v>0</v>
      </c>
      <c r="N153" s="334"/>
      <c r="O153" s="158">
        <f t="shared" si="35"/>
        <v>0</v>
      </c>
      <c r="P153" s="158">
        <f t="shared" si="36"/>
        <v>0</v>
      </c>
      <c r="Q153" s="1"/>
    </row>
    <row r="154" spans="2:17" ht="13.5" thickBot="1">
      <c r="B154" s="9" t="str">
        <f t="shared" si="37"/>
        <v/>
      </c>
      <c r="C154" s="164">
        <f>IF(D93="","-",+C153+1)</f>
        <v>2067</v>
      </c>
      <c r="D154" s="215">
        <f>IF(F153+SUM(E$99:E153)=D$92,F153,D$92-SUM(E$99:E153))</f>
        <v>0</v>
      </c>
      <c r="E154" s="166">
        <f>IF(+J96&lt;F153,J96,D154)</f>
        <v>0</v>
      </c>
      <c r="F154" s="165">
        <f t="shared" si="38"/>
        <v>0</v>
      </c>
      <c r="G154" s="165">
        <f t="shared" si="30"/>
        <v>0</v>
      </c>
      <c r="H154" s="167">
        <f t="shared" si="31"/>
        <v>0</v>
      </c>
      <c r="I154" s="254">
        <f t="shared" si="32"/>
        <v>0</v>
      </c>
      <c r="J154" s="169">
        <f t="shared" si="33"/>
        <v>0</v>
      </c>
      <c r="K154" s="158"/>
      <c r="L154" s="335"/>
      <c r="M154" s="169">
        <f t="shared" si="34"/>
        <v>0</v>
      </c>
      <c r="N154" s="335"/>
      <c r="O154" s="169">
        <f t="shared" si="35"/>
        <v>0</v>
      </c>
      <c r="P154" s="169">
        <f t="shared" si="36"/>
        <v>0</v>
      </c>
      <c r="Q154" s="1"/>
    </row>
    <row r="155" spans="2:17">
      <c r="C155" s="154" t="s">
        <v>73</v>
      </c>
      <c r="D155" s="111"/>
      <c r="E155" s="111">
        <f>SUM(E99:E154)</f>
        <v>47660029.000000007</v>
      </c>
      <c r="F155" s="111"/>
      <c r="G155" s="111"/>
      <c r="H155" s="111">
        <f>SUM(H99:H154)</f>
        <v>172909426.21419477</v>
      </c>
      <c r="I155" s="111">
        <f>SUM(I99:I154)</f>
        <v>172909426.21419477</v>
      </c>
      <c r="J155" s="111">
        <f>SUM(J99:J154)</f>
        <v>0</v>
      </c>
      <c r="K155" s="111"/>
      <c r="L155" s="111"/>
      <c r="M155" s="111"/>
      <c r="N155" s="111"/>
      <c r="O155" s="111"/>
      <c r="P155" s="1"/>
      <c r="Q155" s="1"/>
    </row>
    <row r="156" spans="2:17">
      <c r="D156" s="2"/>
      <c r="E156" s="1"/>
      <c r="F156" s="1"/>
      <c r="G156" s="1"/>
      <c r="H156" s="1"/>
      <c r="I156" s="3"/>
      <c r="J156" s="3"/>
      <c r="K156" s="111"/>
      <c r="L156" s="3"/>
      <c r="M156" s="3"/>
      <c r="N156" s="3"/>
      <c r="O156" s="3"/>
      <c r="P156" s="1"/>
      <c r="Q156" s="1"/>
    </row>
    <row r="157" spans="2:17">
      <c r="C157" s="216" t="s">
        <v>87</v>
      </c>
      <c r="D157" s="2"/>
      <c r="E157" s="1"/>
      <c r="F157" s="1"/>
      <c r="G157" s="1"/>
      <c r="H157" s="1"/>
      <c r="I157" s="3"/>
      <c r="J157" s="3"/>
      <c r="K157" s="111"/>
      <c r="L157" s="3"/>
      <c r="M157" s="3"/>
      <c r="N157" s="3"/>
      <c r="O157" s="3"/>
      <c r="P157" s="1"/>
      <c r="Q157" s="1"/>
    </row>
    <row r="158" spans="2:17">
      <c r="D158" s="2"/>
      <c r="E158" s="1"/>
      <c r="F158" s="1"/>
      <c r="G158" s="1"/>
      <c r="H158" s="1"/>
      <c r="I158" s="3"/>
      <c r="J158" s="3"/>
      <c r="K158" s="111"/>
      <c r="L158" s="3"/>
      <c r="M158" s="3"/>
      <c r="N158" s="3"/>
      <c r="O158" s="3"/>
      <c r="P158" s="1"/>
      <c r="Q158" s="1"/>
    </row>
    <row r="159" spans="2:17">
      <c r="C159" s="170" t="s">
        <v>92</v>
      </c>
      <c r="D159" s="154"/>
      <c r="E159" s="154"/>
      <c r="F159" s="154"/>
      <c r="G159" s="154"/>
      <c r="H159" s="111"/>
      <c r="I159" s="111"/>
      <c r="J159" s="171"/>
      <c r="K159" s="171"/>
      <c r="L159" s="171"/>
      <c r="M159" s="171"/>
      <c r="N159" s="171"/>
      <c r="O159" s="171"/>
      <c r="P159" s="1"/>
      <c r="Q159" s="1"/>
    </row>
    <row r="160" spans="2:17">
      <c r="C160" s="217" t="s">
        <v>74</v>
      </c>
      <c r="D160" s="154"/>
      <c r="E160" s="154"/>
      <c r="F160" s="154"/>
      <c r="G160" s="154"/>
      <c r="H160" s="111"/>
      <c r="I160" s="111"/>
      <c r="J160" s="171"/>
      <c r="K160" s="171"/>
      <c r="L160" s="171"/>
      <c r="M160" s="171"/>
      <c r="N160" s="171"/>
      <c r="O160" s="171"/>
      <c r="P160" s="1"/>
      <c r="Q160" s="1"/>
    </row>
    <row r="161" spans="3:17">
      <c r="C161" s="217" t="s">
        <v>75</v>
      </c>
      <c r="D161" s="154"/>
      <c r="E161" s="154"/>
      <c r="F161" s="154"/>
      <c r="G161" s="154"/>
      <c r="H161" s="111"/>
      <c r="I161" s="111"/>
      <c r="J161" s="171"/>
      <c r="K161" s="171"/>
      <c r="L161" s="171"/>
      <c r="M161" s="171"/>
      <c r="N161" s="171"/>
      <c r="O161" s="171"/>
      <c r="P161" s="1"/>
      <c r="Q161" s="1"/>
    </row>
    <row r="162" spans="3:17" ht="18">
      <c r="C162" s="217"/>
      <c r="D162" s="154"/>
      <c r="E162" s="154"/>
      <c r="F162" s="154"/>
      <c r="G162" s="154"/>
      <c r="H162" s="111"/>
      <c r="I162" s="111"/>
      <c r="J162" s="171"/>
      <c r="K162" s="171"/>
      <c r="L162" s="171"/>
      <c r="M162" s="171"/>
      <c r="N162" s="171"/>
      <c r="P162" s="237" t="s">
        <v>126</v>
      </c>
      <c r="Q162" s="1"/>
    </row>
  </sheetData>
  <phoneticPr fontId="0" type="noConversion"/>
  <conditionalFormatting sqref="C17:C72">
    <cfRule type="cellIs" dxfId="105" priority="1" stopIfTrue="1" operator="equal">
      <formula>$I$10</formula>
    </cfRule>
  </conditionalFormatting>
  <conditionalFormatting sqref="C99:C154">
    <cfRule type="cellIs" dxfId="104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2"/>
  <dimension ref="A1:Q162"/>
  <sheetViews>
    <sheetView view="pageBreakPreview" zoomScale="75" zoomScaleNormal="100" zoomScaleSheetLayoutView="75" workbookViewId="0">
      <selection activeCell="C19" sqref="C19"/>
    </sheetView>
  </sheetViews>
  <sheetFormatPr defaultRowHeight="12.75" customHeight="1"/>
  <cols>
    <col min="1" max="1" width="4.7109375" customWidth="1"/>
    <col min="2" max="2" width="6.7109375" customWidth="1"/>
    <col min="3" max="3" width="23.28515625" customWidth="1"/>
    <col min="4" max="8" width="17.7109375" customWidth="1"/>
    <col min="9" max="9" width="20.42578125" customWidth="1"/>
    <col min="10" max="10" width="16.42578125" customWidth="1"/>
    <col min="11" max="11" width="17.7109375" customWidth="1"/>
    <col min="12" max="12" width="16.140625" customWidth="1"/>
    <col min="13" max="13" width="17.7109375" customWidth="1"/>
    <col min="14" max="14" width="16.140625" customWidth="1"/>
    <col min="15" max="15" width="16.85546875" customWidth="1"/>
    <col min="16" max="16" width="24.42578125" customWidth="1"/>
    <col min="17" max="17" width="4.7109375" customWidth="1"/>
    <col min="23" max="23" width="9.140625" customWidth="1"/>
  </cols>
  <sheetData>
    <row r="1" spans="1:17" ht="20.25">
      <c r="A1" s="243" t="s">
        <v>128</v>
      </c>
      <c r="B1" s="1"/>
      <c r="C1" s="21"/>
      <c r="D1" s="2"/>
      <c r="E1" s="1"/>
      <c r="F1" s="99"/>
      <c r="G1" s="1"/>
      <c r="H1" s="3"/>
      <c r="J1" s="7"/>
      <c r="K1" s="109"/>
      <c r="L1" s="109"/>
      <c r="M1" s="109"/>
      <c r="P1" s="249" t="str">
        <f ca="1">"SWEPCO Project "&amp;RIGHT(MID(CELL("filename",$A$1),FIND("]",CELL("filename",$A$1))+1,256),2)&amp;" of "&amp;COUNT('S.001:S.xyz - blank'!$P$3)-1</f>
        <v>SWEPCO Project 31 of 73</v>
      </c>
      <c r="Q1" s="108"/>
    </row>
    <row r="2" spans="1:17" ht="18">
      <c r="B2" s="1"/>
      <c r="C2" s="1"/>
      <c r="D2" s="2"/>
      <c r="E2" s="1"/>
      <c r="F2" s="1"/>
      <c r="G2" s="1"/>
      <c r="H2" s="3"/>
      <c r="I2" s="1"/>
      <c r="J2" s="4"/>
      <c r="K2" s="1"/>
      <c r="L2" s="1"/>
      <c r="M2" s="1"/>
      <c r="N2" s="1"/>
      <c r="P2" s="237" t="s">
        <v>124</v>
      </c>
    </row>
    <row r="3" spans="1:17" ht="18.75">
      <c r="B3" s="5" t="s">
        <v>40</v>
      </c>
      <c r="C3" s="68" t="s">
        <v>41</v>
      </c>
      <c r="D3" s="2"/>
      <c r="E3" s="1"/>
      <c r="F3" s="1"/>
      <c r="G3" s="1"/>
      <c r="H3" s="3"/>
      <c r="I3" s="3"/>
      <c r="J3" s="111"/>
      <c r="K3" s="3"/>
      <c r="L3" s="3"/>
      <c r="M3" s="3"/>
      <c r="N3" s="3"/>
      <c r="O3" s="1" t="str">
        <f>RIGHT(N3,3)</f>
        <v/>
      </c>
      <c r="P3" s="239">
        <v>1</v>
      </c>
    </row>
    <row r="4" spans="1:17" ht="15.75" thickBot="1">
      <c r="C4" s="67"/>
      <c r="D4" s="2"/>
      <c r="E4" s="1"/>
      <c r="F4" s="1"/>
      <c r="G4" s="1"/>
      <c r="H4" s="3"/>
      <c r="I4" s="3"/>
      <c r="J4" s="111"/>
      <c r="K4" s="3"/>
      <c r="L4" s="3"/>
      <c r="M4" s="3"/>
      <c r="N4" s="3"/>
      <c r="O4" s="1"/>
      <c r="P4" s="1"/>
    </row>
    <row r="5" spans="1:17" ht="15">
      <c r="C5" s="112" t="s">
        <v>42</v>
      </c>
      <c r="D5" s="2"/>
      <c r="E5" s="1"/>
      <c r="F5" s="1"/>
      <c r="G5" s="113"/>
      <c r="H5" s="1" t="s">
        <v>43</v>
      </c>
      <c r="I5" s="1"/>
      <c r="J5" s="4"/>
      <c r="K5" s="268" t="s">
        <v>152</v>
      </c>
      <c r="L5" s="114"/>
      <c r="M5" s="115"/>
      <c r="N5" s="116">
        <f>VLOOKUP(I10,C17:I72,5)</f>
        <v>24452.51509919242</v>
      </c>
      <c r="P5" s="1"/>
    </row>
    <row r="6" spans="1:17" ht="15.75">
      <c r="C6" s="8"/>
      <c r="D6" s="2"/>
      <c r="E6" s="1"/>
      <c r="F6" s="1"/>
      <c r="G6" s="1"/>
      <c r="H6" s="117"/>
      <c r="I6" s="117"/>
      <c r="J6" s="118"/>
      <c r="K6" s="269" t="s">
        <v>153</v>
      </c>
      <c r="L6" s="119"/>
      <c r="M6" s="4"/>
      <c r="N6" s="120">
        <f>VLOOKUP(I10,C17:I72,6)</f>
        <v>24452.51509919242</v>
      </c>
      <c r="O6" s="1"/>
      <c r="P6" s="1"/>
    </row>
    <row r="7" spans="1:17" ht="13.5" thickBot="1">
      <c r="C7" s="121" t="s">
        <v>44</v>
      </c>
      <c r="D7" s="274" t="s">
        <v>273</v>
      </c>
      <c r="E7" s="1"/>
      <c r="F7" s="1"/>
      <c r="G7" s="170"/>
      <c r="H7" s="3"/>
      <c r="I7" s="3"/>
      <c r="J7" s="111"/>
      <c r="K7" s="122" t="s">
        <v>45</v>
      </c>
      <c r="L7" s="123"/>
      <c r="M7" s="123"/>
      <c r="N7" s="124">
        <f>+N6-N5</f>
        <v>0</v>
      </c>
      <c r="O7" s="1"/>
      <c r="P7" s="1"/>
    </row>
    <row r="8" spans="1:17" ht="13.5" thickBot="1">
      <c r="C8" s="125"/>
      <c r="D8" s="250" t="str">
        <f>IF(D10&lt;100000,"DOES NOT MEET SPP $100,000 MINIMUM INVESTMENT FOR REGIONAL BPU SHARING.","")</f>
        <v/>
      </c>
      <c r="E8" s="126"/>
      <c r="F8" s="126"/>
      <c r="G8" s="126"/>
      <c r="H8" s="126"/>
      <c r="I8" s="126"/>
      <c r="J8" s="101"/>
      <c r="K8" s="126"/>
      <c r="L8" s="126"/>
      <c r="M8" s="126"/>
      <c r="N8" s="126"/>
      <c r="O8" s="101"/>
      <c r="P8" s="21"/>
    </row>
    <row r="9" spans="1:17" ht="13.5" thickBot="1">
      <c r="A9" s="103"/>
      <c r="C9" s="127" t="s">
        <v>46</v>
      </c>
      <c r="D9" s="371" t="s">
        <v>272</v>
      </c>
      <c r="E9" s="401" t="s">
        <v>422</v>
      </c>
      <c r="F9" s="128"/>
      <c r="G9" s="128"/>
      <c r="H9" s="128"/>
      <c r="I9" s="129"/>
      <c r="J9" s="130"/>
      <c r="O9" s="131"/>
      <c r="P9" s="4"/>
    </row>
    <row r="10" spans="1:17">
      <c r="C10" s="132" t="s">
        <v>47</v>
      </c>
      <c r="D10" s="133">
        <v>230750</v>
      </c>
      <c r="E10" s="61" t="s">
        <v>459</v>
      </c>
      <c r="F10" s="131"/>
      <c r="G10" s="134"/>
      <c r="H10" s="134"/>
      <c r="I10" s="135">
        <f>+SWE.WS.F.BPU.ATRR.Projected!K17</f>
        <v>2019</v>
      </c>
      <c r="J10" s="130"/>
      <c r="K10" s="111" t="s">
        <v>48</v>
      </c>
      <c r="O10" s="4"/>
      <c r="P10" s="4"/>
    </row>
    <row r="11" spans="1:17">
      <c r="C11" s="136" t="s">
        <v>49</v>
      </c>
      <c r="D11" s="137">
        <v>2012</v>
      </c>
      <c r="E11" s="136" t="s">
        <v>50</v>
      </c>
      <c r="F11" s="134"/>
      <c r="G11" s="7"/>
      <c r="H11" s="7"/>
      <c r="I11" s="138">
        <v>0</v>
      </c>
      <c r="J11" s="139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4"/>
      <c r="P11" s="4"/>
    </row>
    <row r="12" spans="1:17">
      <c r="C12" s="136" t="s">
        <v>51</v>
      </c>
      <c r="D12" s="133">
        <v>6</v>
      </c>
      <c r="E12" s="136" t="s">
        <v>52</v>
      </c>
      <c r="F12" s="134"/>
      <c r="G12" s="7"/>
      <c r="H12" s="7"/>
      <c r="I12" s="140">
        <f>SWE.WS.F.BPU.ATRR.Projected!$F$76</f>
        <v>9.9555672459071778E-2</v>
      </c>
      <c r="J12" s="141"/>
      <c r="K12" t="s">
        <v>53</v>
      </c>
      <c r="O12" s="4"/>
      <c r="P12" s="4"/>
    </row>
    <row r="13" spans="1:17">
      <c r="C13" s="136" t="s">
        <v>54</v>
      </c>
      <c r="D13" s="138">
        <f>+SWE.WS.F.BPU.ATRR.Projected!F$87</f>
        <v>43</v>
      </c>
      <c r="E13" s="136" t="s">
        <v>55</v>
      </c>
      <c r="F13" s="134"/>
      <c r="G13" s="7"/>
      <c r="H13" s="7"/>
      <c r="I13" s="140">
        <f>IF(G5="",I12,SWE.WS.F.BPU.ATRR.Projected!$F$75)</f>
        <v>9.9555672459071778E-2</v>
      </c>
      <c r="J13" s="141"/>
      <c r="K13" s="111" t="s">
        <v>56</v>
      </c>
      <c r="L13" s="58"/>
      <c r="M13" s="58"/>
      <c r="N13" s="58"/>
      <c r="O13" s="4"/>
      <c r="P13" s="4"/>
    </row>
    <row r="14" spans="1:17" ht="13.5" thickBot="1">
      <c r="C14" s="136" t="s">
        <v>57</v>
      </c>
      <c r="D14" s="137" t="s">
        <v>58</v>
      </c>
      <c r="E14" s="4" t="s">
        <v>59</v>
      </c>
      <c r="F14" s="134"/>
      <c r="G14" s="7"/>
      <c r="H14" s="7"/>
      <c r="I14" s="142">
        <f>IF(D10=0,0,D10/D13)</f>
        <v>5366.2790697674418</v>
      </c>
      <c r="J14" s="111"/>
      <c r="K14" s="111"/>
      <c r="L14" s="111"/>
      <c r="M14" s="111"/>
      <c r="N14" s="111"/>
      <c r="O14" s="4"/>
      <c r="P14" s="4"/>
    </row>
    <row r="15" spans="1:17" ht="38.25">
      <c r="C15" s="143" t="s">
        <v>47</v>
      </c>
      <c r="D15" s="144" t="s">
        <v>60</v>
      </c>
      <c r="E15" s="144" t="s">
        <v>61</v>
      </c>
      <c r="F15" s="144" t="s">
        <v>62</v>
      </c>
      <c r="G15" s="434" t="s">
        <v>378</v>
      </c>
      <c r="H15" s="435" t="s">
        <v>379</v>
      </c>
      <c r="I15" s="351" t="s">
        <v>249</v>
      </c>
      <c r="J15" s="145"/>
      <c r="K15" s="271" t="s">
        <v>219</v>
      </c>
      <c r="L15" s="146" t="s">
        <v>64</v>
      </c>
      <c r="M15" s="271" t="s">
        <v>219</v>
      </c>
      <c r="N15" s="146" t="s">
        <v>64</v>
      </c>
      <c r="O15" s="146" t="s">
        <v>65</v>
      </c>
      <c r="P15" s="4"/>
    </row>
    <row r="16" spans="1:17" ht="13.5" thickBot="1">
      <c r="C16" s="147" t="s">
        <v>66</v>
      </c>
      <c r="D16" s="147" t="s">
        <v>67</v>
      </c>
      <c r="E16" s="147" t="s">
        <v>68</v>
      </c>
      <c r="F16" s="147" t="s">
        <v>67</v>
      </c>
      <c r="G16" s="408" t="s">
        <v>69</v>
      </c>
      <c r="H16" s="148" t="s">
        <v>70</v>
      </c>
      <c r="I16" s="149" t="s">
        <v>89</v>
      </c>
      <c r="J16" s="150" t="s">
        <v>71</v>
      </c>
      <c r="K16" s="151" t="s">
        <v>72</v>
      </c>
      <c r="L16" s="151" t="s">
        <v>72</v>
      </c>
      <c r="M16" s="151" t="s">
        <v>90</v>
      </c>
      <c r="N16" s="152" t="s">
        <v>90</v>
      </c>
      <c r="O16" s="151" t="s">
        <v>90</v>
      </c>
      <c r="P16" s="4"/>
    </row>
    <row r="17" spans="2:16">
      <c r="C17" s="153">
        <f>IF(D11= "","-",D11)</f>
        <v>2012</v>
      </c>
      <c r="D17" s="357">
        <v>284100</v>
      </c>
      <c r="E17" s="358">
        <v>3382.1428571428578</v>
      </c>
      <c r="F17" s="357">
        <v>280717.85714285716</v>
      </c>
      <c r="G17" s="358">
        <v>45130.541890843866</v>
      </c>
      <c r="H17" s="359">
        <v>45130.541890843866</v>
      </c>
      <c r="I17" s="405">
        <v>0</v>
      </c>
      <c r="J17" s="156"/>
      <c r="K17" s="256">
        <f t="shared" ref="K17:K22" si="0">G17</f>
        <v>45130.541890843866</v>
      </c>
      <c r="L17" s="172">
        <f t="shared" ref="L17:L48" si="1">IF(K17&lt;&gt;0,+G17-K17,0)</f>
        <v>0</v>
      </c>
      <c r="M17" s="256">
        <f t="shared" ref="M17:M22" si="2">H17</f>
        <v>45130.541890843866</v>
      </c>
      <c r="N17" s="157">
        <f t="shared" ref="N17:N48" si="3">IF(M17&lt;&gt;0,+H17-M17,0)</f>
        <v>0</v>
      </c>
      <c r="O17" s="158">
        <f t="shared" ref="O17:O48" si="4">+N17-L17</f>
        <v>0</v>
      </c>
      <c r="P17" s="4"/>
    </row>
    <row r="18" spans="2:16">
      <c r="B18" s="9" t="str">
        <f t="shared" ref="B18:B49" si="5">IF(D18=F17,"","IU")</f>
        <v>IU</v>
      </c>
      <c r="C18" s="153">
        <f>IF(D11="","-",+C17+1)</f>
        <v>2013</v>
      </c>
      <c r="D18" s="357">
        <v>227367.85714285713</v>
      </c>
      <c r="E18" s="360">
        <v>5494.0476190476193</v>
      </c>
      <c r="F18" s="357">
        <v>221873.8095238095</v>
      </c>
      <c r="G18" s="360">
        <v>36553.514803328042</v>
      </c>
      <c r="H18" s="359">
        <v>36553.514803328042</v>
      </c>
      <c r="I18" s="404">
        <v>0</v>
      </c>
      <c r="J18" s="156"/>
      <c r="K18" s="258">
        <f t="shared" si="0"/>
        <v>36553.514803328042</v>
      </c>
      <c r="L18" s="257">
        <f t="shared" ref="L18:L23" si="6">IF(K18&lt;&gt;0,+G18-K18,0)</f>
        <v>0</v>
      </c>
      <c r="M18" s="258">
        <f t="shared" si="2"/>
        <v>36553.514803328042</v>
      </c>
      <c r="N18" s="158">
        <f t="shared" ref="N18:N23" si="7">IF(M18&lt;&gt;0,+H18-M18,0)</f>
        <v>0</v>
      </c>
      <c r="O18" s="158">
        <f t="shared" ref="O18:O23" si="8">+N18-L18</f>
        <v>0</v>
      </c>
      <c r="P18" s="4"/>
    </row>
    <row r="19" spans="2:16">
      <c r="B19" s="9" t="str">
        <f t="shared" si="5"/>
        <v/>
      </c>
      <c r="C19" s="153">
        <f>IF(D11="","-",+C18+1)</f>
        <v>2014</v>
      </c>
      <c r="D19" s="357">
        <v>221873.8095238095</v>
      </c>
      <c r="E19" s="360">
        <v>5494.0476190476193</v>
      </c>
      <c r="F19" s="357">
        <v>216379.76190476186</v>
      </c>
      <c r="G19" s="360">
        <v>34685.951272631864</v>
      </c>
      <c r="H19" s="359">
        <v>34685.951272631864</v>
      </c>
      <c r="I19" s="404">
        <v>0</v>
      </c>
      <c r="J19" s="156"/>
      <c r="K19" s="258">
        <f t="shared" si="0"/>
        <v>34685.951272631864</v>
      </c>
      <c r="L19" s="257">
        <f t="shared" si="6"/>
        <v>0</v>
      </c>
      <c r="M19" s="258">
        <f t="shared" si="2"/>
        <v>34685.951272631864</v>
      </c>
      <c r="N19" s="158">
        <f t="shared" si="7"/>
        <v>0</v>
      </c>
      <c r="O19" s="158">
        <f t="shared" si="8"/>
        <v>0</v>
      </c>
      <c r="P19" s="4"/>
    </row>
    <row r="20" spans="2:16">
      <c r="B20" s="9" t="str">
        <f t="shared" si="5"/>
        <v/>
      </c>
      <c r="C20" s="153">
        <f>IF(D11="","-",+C19+1)</f>
        <v>2015</v>
      </c>
      <c r="D20" s="357">
        <v>216379.76190476186</v>
      </c>
      <c r="E20" s="360">
        <v>5494.0476190476193</v>
      </c>
      <c r="F20" s="357">
        <v>210885.71428571423</v>
      </c>
      <c r="G20" s="360">
        <v>33268.708647541804</v>
      </c>
      <c r="H20" s="359">
        <v>33268.708647541804</v>
      </c>
      <c r="I20" s="156">
        <v>0</v>
      </c>
      <c r="J20" s="156"/>
      <c r="K20" s="258">
        <f t="shared" si="0"/>
        <v>33268.708647541804</v>
      </c>
      <c r="L20" s="257">
        <f t="shared" si="6"/>
        <v>0</v>
      </c>
      <c r="M20" s="258">
        <f t="shared" si="2"/>
        <v>33268.708647541804</v>
      </c>
      <c r="N20" s="158">
        <f t="shared" si="7"/>
        <v>0</v>
      </c>
      <c r="O20" s="158">
        <f t="shared" si="8"/>
        <v>0</v>
      </c>
      <c r="P20" s="4"/>
    </row>
    <row r="21" spans="2:16">
      <c r="B21" s="9" t="str">
        <f t="shared" si="5"/>
        <v/>
      </c>
      <c r="C21" s="153">
        <f>IF(D12="","-",+C20+1)</f>
        <v>2016</v>
      </c>
      <c r="D21" s="357">
        <v>210885.71428571423</v>
      </c>
      <c r="E21" s="360">
        <v>5494.0476190476193</v>
      </c>
      <c r="F21" s="357">
        <v>205391.6666666666</v>
      </c>
      <c r="G21" s="360">
        <v>32211.390488141627</v>
      </c>
      <c r="H21" s="359">
        <v>32211.390488141627</v>
      </c>
      <c r="I21" s="156">
        <f t="shared" ref="I21:I48" si="9">H21-G21</f>
        <v>0</v>
      </c>
      <c r="J21" s="156"/>
      <c r="K21" s="258">
        <f t="shared" si="0"/>
        <v>32211.390488141627</v>
      </c>
      <c r="L21" s="257">
        <f t="shared" si="6"/>
        <v>0</v>
      </c>
      <c r="M21" s="258">
        <f t="shared" si="2"/>
        <v>32211.390488141627</v>
      </c>
      <c r="N21" s="158">
        <f t="shared" si="7"/>
        <v>0</v>
      </c>
      <c r="O21" s="158">
        <f t="shared" si="8"/>
        <v>0</v>
      </c>
      <c r="P21" s="4"/>
    </row>
    <row r="22" spans="2:16">
      <c r="B22" s="9" t="str">
        <f t="shared" si="5"/>
        <v/>
      </c>
      <c r="C22" s="153">
        <f>IF(D11="","-",+C21+1)</f>
        <v>2017</v>
      </c>
      <c r="D22" s="357">
        <v>205391.6666666666</v>
      </c>
      <c r="E22" s="360">
        <v>5366.2790697674418</v>
      </c>
      <c r="F22" s="357">
        <v>200025.38759689915</v>
      </c>
      <c r="G22" s="360">
        <v>30480.352081775804</v>
      </c>
      <c r="H22" s="359">
        <v>30480.352081775804</v>
      </c>
      <c r="I22" s="156">
        <v>0</v>
      </c>
      <c r="J22" s="156"/>
      <c r="K22" s="258">
        <f t="shared" si="0"/>
        <v>30480.352081775804</v>
      </c>
      <c r="L22" s="257">
        <f t="shared" si="6"/>
        <v>0</v>
      </c>
      <c r="M22" s="258">
        <f t="shared" si="2"/>
        <v>30480.352081775804</v>
      </c>
      <c r="N22" s="158">
        <f t="shared" si="7"/>
        <v>0</v>
      </c>
      <c r="O22" s="158">
        <f t="shared" si="8"/>
        <v>0</v>
      </c>
      <c r="P22" s="4"/>
    </row>
    <row r="23" spans="2:16">
      <c r="B23" s="9" t="str">
        <f t="shared" si="5"/>
        <v/>
      </c>
      <c r="C23" s="153">
        <f>IF(D11="","-",+C22+1)</f>
        <v>2018</v>
      </c>
      <c r="D23" s="357">
        <v>200025.38759689915</v>
      </c>
      <c r="E23" s="360">
        <v>5628.0487804878048</v>
      </c>
      <c r="F23" s="357">
        <v>194397.33881641136</v>
      </c>
      <c r="G23" s="360">
        <v>27692.886363516831</v>
      </c>
      <c r="H23" s="359">
        <v>27692.886363516831</v>
      </c>
      <c r="I23" s="156">
        <f t="shared" si="9"/>
        <v>0</v>
      </c>
      <c r="J23" s="156"/>
      <c r="K23" s="258">
        <f>G23</f>
        <v>27692.886363516831</v>
      </c>
      <c r="L23" s="257">
        <f t="shared" si="6"/>
        <v>0</v>
      </c>
      <c r="M23" s="258">
        <f>H23</f>
        <v>27692.886363516831</v>
      </c>
      <c r="N23" s="158">
        <f t="shared" si="7"/>
        <v>0</v>
      </c>
      <c r="O23" s="158">
        <f t="shared" si="8"/>
        <v>0</v>
      </c>
      <c r="P23" s="4"/>
    </row>
    <row r="24" spans="2:16">
      <c r="B24" s="9" t="str">
        <f t="shared" si="5"/>
        <v/>
      </c>
      <c r="C24" s="153">
        <f>IF(D11="","-",+C23+1)</f>
        <v>2019</v>
      </c>
      <c r="D24" s="159">
        <f>IF(F23+SUM(E$17:E23)=D$10,F23,D$10-SUM(E$17:E23))</f>
        <v>194397.33881641136</v>
      </c>
      <c r="E24" s="160">
        <f>IF(+I14&lt;F23,I14,D24)</f>
        <v>5366.2790697674418</v>
      </c>
      <c r="F24" s="159">
        <f t="shared" ref="F24:F48" si="10">+D24-E24</f>
        <v>189031.05974664391</v>
      </c>
      <c r="G24" s="161">
        <f t="shared" ref="G24:G53" si="11">+I$12*((D24+F24)/2)+E24</f>
        <v>24452.51509919242</v>
      </c>
      <c r="H24" s="142">
        <f t="shared" ref="H24:H53" si="12">+I$13*((D24+F24)/2)+E24</f>
        <v>24452.51509919242</v>
      </c>
      <c r="I24" s="156">
        <f t="shared" si="9"/>
        <v>0</v>
      </c>
      <c r="J24" s="156"/>
      <c r="K24" s="334"/>
      <c r="L24" s="158">
        <f t="shared" si="1"/>
        <v>0</v>
      </c>
      <c r="M24" s="334"/>
      <c r="N24" s="158">
        <f t="shared" si="3"/>
        <v>0</v>
      </c>
      <c r="O24" s="158">
        <f t="shared" si="4"/>
        <v>0</v>
      </c>
      <c r="P24" s="4"/>
    </row>
    <row r="25" spans="2:16">
      <c r="B25" s="9" t="str">
        <f t="shared" si="5"/>
        <v/>
      </c>
      <c r="C25" s="153">
        <f>IF(D11="","-",+C24+1)</f>
        <v>2020</v>
      </c>
      <c r="D25" s="159">
        <f>IF(F24+SUM(E$17:E24)=D$10,F24,D$10-SUM(E$17:E24))</f>
        <v>189031.05974664391</v>
      </c>
      <c r="E25" s="160">
        <f>IF(+I14&lt;F24,I14,D25)</f>
        <v>5366.2790697674418</v>
      </c>
      <c r="F25" s="159">
        <f t="shared" si="10"/>
        <v>183664.78067687646</v>
      </c>
      <c r="G25" s="161">
        <f t="shared" si="11"/>
        <v>23918.271577798681</v>
      </c>
      <c r="H25" s="142">
        <f t="shared" si="12"/>
        <v>23918.271577798681</v>
      </c>
      <c r="I25" s="156">
        <f t="shared" si="9"/>
        <v>0</v>
      </c>
      <c r="J25" s="156"/>
      <c r="K25" s="334"/>
      <c r="L25" s="158">
        <f t="shared" si="1"/>
        <v>0</v>
      </c>
      <c r="M25" s="334"/>
      <c r="N25" s="158">
        <f t="shared" si="3"/>
        <v>0</v>
      </c>
      <c r="O25" s="158">
        <f t="shared" si="4"/>
        <v>0</v>
      </c>
      <c r="P25" s="4"/>
    </row>
    <row r="26" spans="2:16">
      <c r="B26" s="9" t="str">
        <f t="shared" si="5"/>
        <v/>
      </c>
      <c r="C26" s="153">
        <f>IF(D11="","-",+C25+1)</f>
        <v>2021</v>
      </c>
      <c r="D26" s="159">
        <f>IF(F25+SUM(E$17:E25)=D$10,F25,D$10-SUM(E$17:E25))</f>
        <v>183664.78067687646</v>
      </c>
      <c r="E26" s="160">
        <f>IF(+I14&lt;F25,I14,D26)</f>
        <v>5366.2790697674418</v>
      </c>
      <c r="F26" s="159">
        <f t="shared" si="10"/>
        <v>178298.50160710901</v>
      </c>
      <c r="G26" s="161">
        <f t="shared" si="11"/>
        <v>23384.028056404939</v>
      </c>
      <c r="H26" s="142">
        <f t="shared" si="12"/>
        <v>23384.028056404939</v>
      </c>
      <c r="I26" s="156">
        <f t="shared" si="9"/>
        <v>0</v>
      </c>
      <c r="J26" s="156"/>
      <c r="K26" s="334"/>
      <c r="L26" s="158">
        <f t="shared" si="1"/>
        <v>0</v>
      </c>
      <c r="M26" s="334"/>
      <c r="N26" s="158">
        <f t="shared" si="3"/>
        <v>0</v>
      </c>
      <c r="O26" s="158">
        <f t="shared" si="4"/>
        <v>0</v>
      </c>
      <c r="P26" s="4"/>
    </row>
    <row r="27" spans="2:16">
      <c r="B27" s="9" t="str">
        <f t="shared" si="5"/>
        <v/>
      </c>
      <c r="C27" s="153">
        <f>IF(D11="","-",+C26+1)</f>
        <v>2022</v>
      </c>
      <c r="D27" s="159">
        <f>IF(F26+SUM(E$17:E26)=D$10,F26,D$10-SUM(E$17:E26))</f>
        <v>178298.50160710901</v>
      </c>
      <c r="E27" s="160">
        <f>IF(+I14&lt;F26,I14,D27)</f>
        <v>5366.2790697674418</v>
      </c>
      <c r="F27" s="159">
        <f t="shared" si="10"/>
        <v>172932.22253734156</v>
      </c>
      <c r="G27" s="161">
        <f t="shared" si="11"/>
        <v>22849.7845350112</v>
      </c>
      <c r="H27" s="142">
        <f t="shared" si="12"/>
        <v>22849.7845350112</v>
      </c>
      <c r="I27" s="156">
        <f t="shared" si="9"/>
        <v>0</v>
      </c>
      <c r="J27" s="156"/>
      <c r="K27" s="334"/>
      <c r="L27" s="158">
        <f t="shared" si="1"/>
        <v>0</v>
      </c>
      <c r="M27" s="334"/>
      <c r="N27" s="158">
        <f t="shared" si="3"/>
        <v>0</v>
      </c>
      <c r="O27" s="158">
        <f t="shared" si="4"/>
        <v>0</v>
      </c>
      <c r="P27" s="4"/>
    </row>
    <row r="28" spans="2:16">
      <c r="B28" s="9" t="str">
        <f t="shared" si="5"/>
        <v/>
      </c>
      <c r="C28" s="153">
        <f>IF(D11="","-",+C27+1)</f>
        <v>2023</v>
      </c>
      <c r="D28" s="159">
        <f>IF(F27+SUM(E$17:E27)=D$10,F27,D$10-SUM(E$17:E27))</f>
        <v>172932.22253734156</v>
      </c>
      <c r="E28" s="160">
        <f>IF(+I14&lt;F27,I14,D28)</f>
        <v>5366.2790697674418</v>
      </c>
      <c r="F28" s="159">
        <f t="shared" si="10"/>
        <v>167565.94346757411</v>
      </c>
      <c r="G28" s="161">
        <f t="shared" si="11"/>
        <v>22315.541013617458</v>
      </c>
      <c r="H28" s="142">
        <f t="shared" si="12"/>
        <v>22315.541013617458</v>
      </c>
      <c r="I28" s="156">
        <f t="shared" si="9"/>
        <v>0</v>
      </c>
      <c r="J28" s="156"/>
      <c r="K28" s="334"/>
      <c r="L28" s="158">
        <f t="shared" si="1"/>
        <v>0</v>
      </c>
      <c r="M28" s="334"/>
      <c r="N28" s="158">
        <f t="shared" si="3"/>
        <v>0</v>
      </c>
      <c r="O28" s="158">
        <f t="shared" si="4"/>
        <v>0</v>
      </c>
      <c r="P28" s="4"/>
    </row>
    <row r="29" spans="2:16">
      <c r="B29" s="9" t="str">
        <f t="shared" si="5"/>
        <v/>
      </c>
      <c r="C29" s="153">
        <f>IF(D11="","-",+C28+1)</f>
        <v>2024</v>
      </c>
      <c r="D29" s="159">
        <f>IF(F28+SUM(E$17:E28)=D$10,F28,D$10-SUM(E$17:E28))</f>
        <v>167565.94346757411</v>
      </c>
      <c r="E29" s="160">
        <f>IF(+I14&lt;F28,I14,D29)</f>
        <v>5366.2790697674418</v>
      </c>
      <c r="F29" s="159">
        <f t="shared" si="10"/>
        <v>162199.66439780666</v>
      </c>
      <c r="G29" s="161">
        <f t="shared" si="11"/>
        <v>21781.297492223719</v>
      </c>
      <c r="H29" s="142">
        <f t="shared" si="12"/>
        <v>21781.297492223719</v>
      </c>
      <c r="I29" s="156">
        <f t="shared" si="9"/>
        <v>0</v>
      </c>
      <c r="J29" s="156"/>
      <c r="K29" s="334"/>
      <c r="L29" s="158">
        <f t="shared" si="1"/>
        <v>0</v>
      </c>
      <c r="M29" s="334"/>
      <c r="N29" s="158">
        <f t="shared" si="3"/>
        <v>0</v>
      </c>
      <c r="O29" s="158">
        <f t="shared" si="4"/>
        <v>0</v>
      </c>
      <c r="P29" s="4"/>
    </row>
    <row r="30" spans="2:16">
      <c r="B30" s="9" t="str">
        <f t="shared" si="5"/>
        <v/>
      </c>
      <c r="C30" s="153">
        <f>IF(D11="","-",+C29+1)</f>
        <v>2025</v>
      </c>
      <c r="D30" s="159">
        <f>IF(F29+SUM(E$17:E29)=D$10,F29,D$10-SUM(E$17:E29))</f>
        <v>162199.66439780666</v>
      </c>
      <c r="E30" s="160">
        <f>IF(+I14&lt;F29,I14,D30)</f>
        <v>5366.2790697674418</v>
      </c>
      <c r="F30" s="159">
        <f t="shared" si="10"/>
        <v>156833.38532803921</v>
      </c>
      <c r="G30" s="161">
        <f t="shared" si="11"/>
        <v>21247.053970829977</v>
      </c>
      <c r="H30" s="142">
        <f t="shared" si="12"/>
        <v>21247.053970829977</v>
      </c>
      <c r="I30" s="156">
        <f t="shared" si="9"/>
        <v>0</v>
      </c>
      <c r="J30" s="156"/>
      <c r="K30" s="334"/>
      <c r="L30" s="158">
        <f t="shared" si="1"/>
        <v>0</v>
      </c>
      <c r="M30" s="334"/>
      <c r="N30" s="158">
        <f t="shared" si="3"/>
        <v>0</v>
      </c>
      <c r="O30" s="158">
        <f t="shared" si="4"/>
        <v>0</v>
      </c>
      <c r="P30" s="4"/>
    </row>
    <row r="31" spans="2:16">
      <c r="B31" s="9" t="str">
        <f t="shared" si="5"/>
        <v/>
      </c>
      <c r="C31" s="153">
        <f>IF(D11="","-",+C30+1)</f>
        <v>2026</v>
      </c>
      <c r="D31" s="159">
        <f>IF(F30+SUM(E$17:E30)=D$10,F30,D$10-SUM(E$17:E30))</f>
        <v>156833.38532803921</v>
      </c>
      <c r="E31" s="160">
        <f>IF(+I14&lt;F30,I14,D31)</f>
        <v>5366.2790697674418</v>
      </c>
      <c r="F31" s="159">
        <f t="shared" si="10"/>
        <v>151467.10625827176</v>
      </c>
      <c r="G31" s="161">
        <f t="shared" si="11"/>
        <v>20712.810449436238</v>
      </c>
      <c r="H31" s="142">
        <f t="shared" si="12"/>
        <v>20712.810449436238</v>
      </c>
      <c r="I31" s="156">
        <f t="shared" si="9"/>
        <v>0</v>
      </c>
      <c r="J31" s="156"/>
      <c r="K31" s="334"/>
      <c r="L31" s="158">
        <f t="shared" si="1"/>
        <v>0</v>
      </c>
      <c r="M31" s="334"/>
      <c r="N31" s="158">
        <f t="shared" si="3"/>
        <v>0</v>
      </c>
      <c r="O31" s="158">
        <f t="shared" si="4"/>
        <v>0</v>
      </c>
      <c r="P31" s="4"/>
    </row>
    <row r="32" spans="2:16">
      <c r="B32" s="9" t="str">
        <f t="shared" si="5"/>
        <v/>
      </c>
      <c r="C32" s="153">
        <f>IF(D11="","-",+C31+1)</f>
        <v>2027</v>
      </c>
      <c r="D32" s="159">
        <f>IF(F31+SUM(E$17:E31)=D$10,F31,D$10-SUM(E$17:E31))</f>
        <v>151467.10625827176</v>
      </c>
      <c r="E32" s="160">
        <f>IF(+I14&lt;F31,I14,D32)</f>
        <v>5366.2790697674418</v>
      </c>
      <c r="F32" s="159">
        <f t="shared" si="10"/>
        <v>146100.82718850431</v>
      </c>
      <c r="G32" s="161">
        <f t="shared" si="11"/>
        <v>20178.566928042495</v>
      </c>
      <c r="H32" s="142">
        <f t="shared" si="12"/>
        <v>20178.566928042495</v>
      </c>
      <c r="I32" s="156">
        <f t="shared" si="9"/>
        <v>0</v>
      </c>
      <c r="J32" s="156"/>
      <c r="K32" s="334"/>
      <c r="L32" s="158">
        <f t="shared" si="1"/>
        <v>0</v>
      </c>
      <c r="M32" s="334"/>
      <c r="N32" s="158">
        <f t="shared" si="3"/>
        <v>0</v>
      </c>
      <c r="O32" s="158">
        <f t="shared" si="4"/>
        <v>0</v>
      </c>
      <c r="P32" s="4"/>
    </row>
    <row r="33" spans="2:16">
      <c r="B33" s="9" t="str">
        <f t="shared" si="5"/>
        <v/>
      </c>
      <c r="C33" s="153">
        <f>IF(D11="","-",+C32+1)</f>
        <v>2028</v>
      </c>
      <c r="D33" s="159">
        <f>IF(F32+SUM(E$17:E32)=D$10,F32,D$10-SUM(E$17:E32))</f>
        <v>146100.82718850431</v>
      </c>
      <c r="E33" s="160">
        <f>IF(+I14&lt;F32,I14,D33)</f>
        <v>5366.2790697674418</v>
      </c>
      <c r="F33" s="159">
        <f t="shared" si="10"/>
        <v>140734.54811873686</v>
      </c>
      <c r="G33" s="161">
        <f t="shared" si="11"/>
        <v>19644.323406648757</v>
      </c>
      <c r="H33" s="142">
        <f t="shared" si="12"/>
        <v>19644.323406648757</v>
      </c>
      <c r="I33" s="156">
        <f t="shared" si="9"/>
        <v>0</v>
      </c>
      <c r="J33" s="156"/>
      <c r="K33" s="334"/>
      <c r="L33" s="158">
        <f t="shared" si="1"/>
        <v>0</v>
      </c>
      <c r="M33" s="334"/>
      <c r="N33" s="158">
        <f t="shared" si="3"/>
        <v>0</v>
      </c>
      <c r="O33" s="158">
        <f t="shared" si="4"/>
        <v>0</v>
      </c>
      <c r="P33" s="4"/>
    </row>
    <row r="34" spans="2:16">
      <c r="B34" s="9" t="str">
        <f t="shared" si="5"/>
        <v/>
      </c>
      <c r="C34" s="153">
        <f>IF(D11="","-",+C33+1)</f>
        <v>2029</v>
      </c>
      <c r="D34" s="159">
        <f>IF(F33+SUM(E$17:E33)=D$10,F33,D$10-SUM(E$17:E33))</f>
        <v>140734.54811873686</v>
      </c>
      <c r="E34" s="160">
        <f>IF(+I14&lt;F33,I14,D34)</f>
        <v>5366.2790697674418</v>
      </c>
      <c r="F34" s="159">
        <f t="shared" si="10"/>
        <v>135368.26904896941</v>
      </c>
      <c r="G34" s="161">
        <f t="shared" si="11"/>
        <v>19110.079885255014</v>
      </c>
      <c r="H34" s="142">
        <f t="shared" si="12"/>
        <v>19110.079885255014</v>
      </c>
      <c r="I34" s="156">
        <f t="shared" si="9"/>
        <v>0</v>
      </c>
      <c r="J34" s="156"/>
      <c r="K34" s="334"/>
      <c r="L34" s="158">
        <f t="shared" si="1"/>
        <v>0</v>
      </c>
      <c r="M34" s="334"/>
      <c r="N34" s="158">
        <f t="shared" si="3"/>
        <v>0</v>
      </c>
      <c r="O34" s="158">
        <f t="shared" si="4"/>
        <v>0</v>
      </c>
      <c r="P34" s="4"/>
    </row>
    <row r="35" spans="2:16">
      <c r="B35" s="9" t="str">
        <f t="shared" si="5"/>
        <v/>
      </c>
      <c r="C35" s="153">
        <f>IF(D11="","-",+C34+1)</f>
        <v>2030</v>
      </c>
      <c r="D35" s="159">
        <f>IF(F34+SUM(E$17:E34)=D$10,F34,D$10-SUM(E$17:E34))</f>
        <v>135368.26904896941</v>
      </c>
      <c r="E35" s="160">
        <f>IF(+I14&lt;F34,I14,D35)</f>
        <v>5366.2790697674418</v>
      </c>
      <c r="F35" s="159">
        <f t="shared" si="10"/>
        <v>130001.98997920197</v>
      </c>
      <c r="G35" s="161">
        <f t="shared" si="11"/>
        <v>18575.836363861275</v>
      </c>
      <c r="H35" s="142">
        <f t="shared" si="12"/>
        <v>18575.836363861275</v>
      </c>
      <c r="I35" s="156">
        <f t="shared" si="9"/>
        <v>0</v>
      </c>
      <c r="J35" s="156"/>
      <c r="K35" s="334"/>
      <c r="L35" s="158">
        <f t="shared" si="1"/>
        <v>0</v>
      </c>
      <c r="M35" s="334"/>
      <c r="N35" s="158">
        <f t="shared" si="3"/>
        <v>0</v>
      </c>
      <c r="O35" s="158">
        <f t="shared" si="4"/>
        <v>0</v>
      </c>
      <c r="P35" s="4"/>
    </row>
    <row r="36" spans="2:16">
      <c r="B36" s="9" t="str">
        <f t="shared" si="5"/>
        <v/>
      </c>
      <c r="C36" s="153">
        <f>IF(D11="","-",+C35+1)</f>
        <v>2031</v>
      </c>
      <c r="D36" s="159">
        <f>IF(F35+SUM(E$17:E35)=D$10,F35,D$10-SUM(E$17:E35))</f>
        <v>130001.98997920197</v>
      </c>
      <c r="E36" s="160">
        <f>IF(+I14&lt;F35,I14,D36)</f>
        <v>5366.2790697674418</v>
      </c>
      <c r="F36" s="159">
        <f t="shared" si="10"/>
        <v>124635.71090943454</v>
      </c>
      <c r="G36" s="161">
        <f t="shared" si="11"/>
        <v>18041.592842467537</v>
      </c>
      <c r="H36" s="142">
        <f t="shared" si="12"/>
        <v>18041.592842467537</v>
      </c>
      <c r="I36" s="156">
        <f t="shared" si="9"/>
        <v>0</v>
      </c>
      <c r="J36" s="156"/>
      <c r="K36" s="334"/>
      <c r="L36" s="158">
        <f t="shared" si="1"/>
        <v>0</v>
      </c>
      <c r="M36" s="334"/>
      <c r="N36" s="158">
        <f t="shared" si="3"/>
        <v>0</v>
      </c>
      <c r="O36" s="158">
        <f t="shared" si="4"/>
        <v>0</v>
      </c>
      <c r="P36" s="4"/>
    </row>
    <row r="37" spans="2:16">
      <c r="B37" s="9" t="str">
        <f t="shared" si="5"/>
        <v/>
      </c>
      <c r="C37" s="153">
        <f>IF(D11="","-",+C36+1)</f>
        <v>2032</v>
      </c>
      <c r="D37" s="159">
        <f>IF(F36+SUM(E$17:E36)=D$10,F36,D$10-SUM(E$17:E36))</f>
        <v>124635.71090943454</v>
      </c>
      <c r="E37" s="160">
        <f>IF(+I14&lt;F36,I14,D37)</f>
        <v>5366.2790697674418</v>
      </c>
      <c r="F37" s="159">
        <f t="shared" si="10"/>
        <v>119269.4318396671</v>
      </c>
      <c r="G37" s="161">
        <f t="shared" si="11"/>
        <v>17507.349321073794</v>
      </c>
      <c r="H37" s="142">
        <f t="shared" si="12"/>
        <v>17507.349321073794</v>
      </c>
      <c r="I37" s="156">
        <f t="shared" si="9"/>
        <v>0</v>
      </c>
      <c r="J37" s="156"/>
      <c r="K37" s="334"/>
      <c r="L37" s="158">
        <f t="shared" si="1"/>
        <v>0</v>
      </c>
      <c r="M37" s="334"/>
      <c r="N37" s="158">
        <f t="shared" si="3"/>
        <v>0</v>
      </c>
      <c r="O37" s="158">
        <f t="shared" si="4"/>
        <v>0</v>
      </c>
      <c r="P37" s="4"/>
    </row>
    <row r="38" spans="2:16">
      <c r="B38" s="9" t="str">
        <f t="shared" si="5"/>
        <v/>
      </c>
      <c r="C38" s="153">
        <f>IF(D11="","-",+C37+1)</f>
        <v>2033</v>
      </c>
      <c r="D38" s="159">
        <f>IF(F37+SUM(E$17:E37)=D$10,F37,D$10-SUM(E$17:E37))</f>
        <v>119269.4318396671</v>
      </c>
      <c r="E38" s="160">
        <f>IF(+I14&lt;F37,I14,D38)</f>
        <v>5366.2790697674418</v>
      </c>
      <c r="F38" s="159">
        <f t="shared" si="10"/>
        <v>113903.15276989967</v>
      </c>
      <c r="G38" s="161">
        <f t="shared" si="11"/>
        <v>16973.105799680059</v>
      </c>
      <c r="H38" s="142">
        <f t="shared" si="12"/>
        <v>16973.105799680059</v>
      </c>
      <c r="I38" s="156">
        <f t="shared" si="9"/>
        <v>0</v>
      </c>
      <c r="J38" s="156"/>
      <c r="K38" s="334"/>
      <c r="L38" s="158">
        <f t="shared" si="1"/>
        <v>0</v>
      </c>
      <c r="M38" s="334"/>
      <c r="N38" s="158">
        <f t="shared" si="3"/>
        <v>0</v>
      </c>
      <c r="O38" s="158">
        <f t="shared" si="4"/>
        <v>0</v>
      </c>
      <c r="P38" s="4"/>
    </row>
    <row r="39" spans="2:16">
      <c r="B39" s="9" t="str">
        <f t="shared" si="5"/>
        <v/>
      </c>
      <c r="C39" s="153">
        <f>IF(D11="","-",+C38+1)</f>
        <v>2034</v>
      </c>
      <c r="D39" s="159">
        <f>IF(F38+SUM(E$17:E38)=D$10,F38,D$10-SUM(E$17:E38))</f>
        <v>113903.15276989967</v>
      </c>
      <c r="E39" s="160">
        <f>IF(+I14&lt;F38,I14,D39)</f>
        <v>5366.2790697674418</v>
      </c>
      <c r="F39" s="159">
        <f t="shared" si="10"/>
        <v>108536.87370013223</v>
      </c>
      <c r="G39" s="161">
        <f t="shared" si="11"/>
        <v>16438.862278286317</v>
      </c>
      <c r="H39" s="142">
        <f t="shared" si="12"/>
        <v>16438.862278286317</v>
      </c>
      <c r="I39" s="156">
        <f t="shared" si="9"/>
        <v>0</v>
      </c>
      <c r="J39" s="156"/>
      <c r="K39" s="334"/>
      <c r="L39" s="158">
        <f t="shared" si="1"/>
        <v>0</v>
      </c>
      <c r="M39" s="334"/>
      <c r="N39" s="158">
        <f t="shared" si="3"/>
        <v>0</v>
      </c>
      <c r="O39" s="158">
        <f t="shared" si="4"/>
        <v>0</v>
      </c>
      <c r="P39" s="4"/>
    </row>
    <row r="40" spans="2:16">
      <c r="B40" s="9" t="str">
        <f t="shared" si="5"/>
        <v/>
      </c>
      <c r="C40" s="153">
        <f>IF(D11="","-",+C39+1)</f>
        <v>2035</v>
      </c>
      <c r="D40" s="159">
        <f>IF(F39+SUM(E$17:E39)=D$10,F39,D$10-SUM(E$17:E39))</f>
        <v>108536.87370013223</v>
      </c>
      <c r="E40" s="160">
        <f>IF(+I14&lt;F39,I14,D40)</f>
        <v>5366.2790697674418</v>
      </c>
      <c r="F40" s="159">
        <f t="shared" si="10"/>
        <v>103170.59463036479</v>
      </c>
      <c r="G40" s="161">
        <f t="shared" si="11"/>
        <v>15904.618756892578</v>
      </c>
      <c r="H40" s="142">
        <f t="shared" si="12"/>
        <v>15904.618756892578</v>
      </c>
      <c r="I40" s="156">
        <f t="shared" si="9"/>
        <v>0</v>
      </c>
      <c r="J40" s="156"/>
      <c r="K40" s="334"/>
      <c r="L40" s="158">
        <f t="shared" si="1"/>
        <v>0</v>
      </c>
      <c r="M40" s="334"/>
      <c r="N40" s="158">
        <f t="shared" si="3"/>
        <v>0</v>
      </c>
      <c r="O40" s="158">
        <f t="shared" si="4"/>
        <v>0</v>
      </c>
      <c r="P40" s="4"/>
    </row>
    <row r="41" spans="2:16">
      <c r="B41" s="9" t="str">
        <f t="shared" si="5"/>
        <v/>
      </c>
      <c r="C41" s="153">
        <f>IF(D11="","-",+C40+1)</f>
        <v>2036</v>
      </c>
      <c r="D41" s="159">
        <f>IF(F40+SUM(E$17:E40)=D$10,F40,D$10-SUM(E$17:E40))</f>
        <v>103170.59463036479</v>
      </c>
      <c r="E41" s="160">
        <f>IF(+I14&lt;F40,I14,D41)</f>
        <v>5366.2790697674418</v>
      </c>
      <c r="F41" s="159">
        <f t="shared" si="10"/>
        <v>97804.315560597359</v>
      </c>
      <c r="G41" s="161">
        <f t="shared" si="11"/>
        <v>15370.375235498839</v>
      </c>
      <c r="H41" s="142">
        <f t="shared" si="12"/>
        <v>15370.375235498839</v>
      </c>
      <c r="I41" s="156">
        <f t="shared" si="9"/>
        <v>0</v>
      </c>
      <c r="J41" s="156"/>
      <c r="K41" s="334"/>
      <c r="L41" s="158">
        <f t="shared" si="1"/>
        <v>0</v>
      </c>
      <c r="M41" s="334"/>
      <c r="N41" s="158">
        <f t="shared" si="3"/>
        <v>0</v>
      </c>
      <c r="O41" s="158">
        <f t="shared" si="4"/>
        <v>0</v>
      </c>
      <c r="P41" s="4"/>
    </row>
    <row r="42" spans="2:16">
      <c r="B42" s="9" t="str">
        <f t="shared" si="5"/>
        <v/>
      </c>
      <c r="C42" s="153">
        <f>IF(D11="","-",+C41+1)</f>
        <v>2037</v>
      </c>
      <c r="D42" s="159">
        <f>IF(F41+SUM(E$17:E41)=D$10,F41,D$10-SUM(E$17:E41))</f>
        <v>97804.315560597359</v>
      </c>
      <c r="E42" s="160">
        <f>IF(+I14&lt;F41,I14,D42)</f>
        <v>5366.2790697674418</v>
      </c>
      <c r="F42" s="159">
        <f t="shared" si="10"/>
        <v>92438.036490829923</v>
      </c>
      <c r="G42" s="161">
        <f t="shared" si="11"/>
        <v>14836.1317141051</v>
      </c>
      <c r="H42" s="142">
        <f t="shared" si="12"/>
        <v>14836.1317141051</v>
      </c>
      <c r="I42" s="156">
        <f t="shared" si="9"/>
        <v>0</v>
      </c>
      <c r="J42" s="156"/>
      <c r="K42" s="334"/>
      <c r="L42" s="158">
        <f t="shared" si="1"/>
        <v>0</v>
      </c>
      <c r="M42" s="334"/>
      <c r="N42" s="158">
        <f t="shared" si="3"/>
        <v>0</v>
      </c>
      <c r="O42" s="158">
        <f t="shared" si="4"/>
        <v>0</v>
      </c>
      <c r="P42" s="4"/>
    </row>
    <row r="43" spans="2:16">
      <c r="B43" s="9" t="str">
        <f t="shared" si="5"/>
        <v/>
      </c>
      <c r="C43" s="153">
        <f>IF(D11="","-",+C42+1)</f>
        <v>2038</v>
      </c>
      <c r="D43" s="159">
        <f>IF(F42+SUM(E$17:E42)=D$10,F42,D$10-SUM(E$17:E42))</f>
        <v>92438.036490829923</v>
      </c>
      <c r="E43" s="160">
        <f>IF(+I14&lt;F42,I14,D43)</f>
        <v>5366.2790697674418</v>
      </c>
      <c r="F43" s="159">
        <f t="shared" si="10"/>
        <v>87071.757421062488</v>
      </c>
      <c r="G43" s="161">
        <f t="shared" si="11"/>
        <v>14301.888192711362</v>
      </c>
      <c r="H43" s="142">
        <f t="shared" si="12"/>
        <v>14301.888192711362</v>
      </c>
      <c r="I43" s="156">
        <f t="shared" si="9"/>
        <v>0</v>
      </c>
      <c r="J43" s="156"/>
      <c r="K43" s="334"/>
      <c r="L43" s="158">
        <f t="shared" si="1"/>
        <v>0</v>
      </c>
      <c r="M43" s="334"/>
      <c r="N43" s="158">
        <f t="shared" si="3"/>
        <v>0</v>
      </c>
      <c r="O43" s="158">
        <f t="shared" si="4"/>
        <v>0</v>
      </c>
      <c r="P43" s="4"/>
    </row>
    <row r="44" spans="2:16">
      <c r="B44" s="9" t="str">
        <f t="shared" si="5"/>
        <v/>
      </c>
      <c r="C44" s="153">
        <f>IF(D11="","-",+C43+1)</f>
        <v>2039</v>
      </c>
      <c r="D44" s="159">
        <f>IF(F43+SUM(E$17:E43)=D$10,F43,D$10-SUM(E$17:E43))</f>
        <v>87071.757421062488</v>
      </c>
      <c r="E44" s="160">
        <f>IF(+I14&lt;F43,I14,D44)</f>
        <v>5366.2790697674418</v>
      </c>
      <c r="F44" s="159">
        <f t="shared" si="10"/>
        <v>81705.478351295053</v>
      </c>
      <c r="G44" s="161">
        <f t="shared" si="11"/>
        <v>13767.644671317623</v>
      </c>
      <c r="H44" s="142">
        <f t="shared" si="12"/>
        <v>13767.644671317623</v>
      </c>
      <c r="I44" s="156">
        <f t="shared" si="9"/>
        <v>0</v>
      </c>
      <c r="J44" s="156"/>
      <c r="K44" s="334"/>
      <c r="L44" s="158">
        <f t="shared" si="1"/>
        <v>0</v>
      </c>
      <c r="M44" s="334"/>
      <c r="N44" s="158">
        <f t="shared" si="3"/>
        <v>0</v>
      </c>
      <c r="O44" s="158">
        <f t="shared" si="4"/>
        <v>0</v>
      </c>
      <c r="P44" s="4"/>
    </row>
    <row r="45" spans="2:16">
      <c r="B45" s="9" t="str">
        <f t="shared" si="5"/>
        <v/>
      </c>
      <c r="C45" s="153">
        <f>IF(D11="","-",+C44+1)</f>
        <v>2040</v>
      </c>
      <c r="D45" s="159">
        <f>IF(F44+SUM(E$17:E44)=D$10,F44,D$10-SUM(E$17:E44))</f>
        <v>81705.478351295053</v>
      </c>
      <c r="E45" s="160">
        <f>IF(+I14&lt;F44,I14,D45)</f>
        <v>5366.2790697674418</v>
      </c>
      <c r="F45" s="159">
        <f t="shared" si="10"/>
        <v>76339.199281527617</v>
      </c>
      <c r="G45" s="161">
        <f t="shared" si="11"/>
        <v>13233.40114992388</v>
      </c>
      <c r="H45" s="142">
        <f t="shared" si="12"/>
        <v>13233.40114992388</v>
      </c>
      <c r="I45" s="156">
        <f t="shared" si="9"/>
        <v>0</v>
      </c>
      <c r="J45" s="156"/>
      <c r="K45" s="334"/>
      <c r="L45" s="158">
        <f t="shared" si="1"/>
        <v>0</v>
      </c>
      <c r="M45" s="334"/>
      <c r="N45" s="158">
        <f t="shared" si="3"/>
        <v>0</v>
      </c>
      <c r="O45" s="158">
        <f t="shared" si="4"/>
        <v>0</v>
      </c>
      <c r="P45" s="4"/>
    </row>
    <row r="46" spans="2:16">
      <c r="B46" s="9" t="str">
        <f t="shared" si="5"/>
        <v/>
      </c>
      <c r="C46" s="153">
        <f>IF(D11="","-",+C45+1)</f>
        <v>2041</v>
      </c>
      <c r="D46" s="159">
        <f>IF(F45+SUM(E$17:E45)=D$10,F45,D$10-SUM(E$17:E45))</f>
        <v>76339.199281527617</v>
      </c>
      <c r="E46" s="160">
        <f>IF(+I14&lt;F45,I14,D46)</f>
        <v>5366.2790697674418</v>
      </c>
      <c r="F46" s="159">
        <f t="shared" si="10"/>
        <v>70972.920211760182</v>
      </c>
      <c r="G46" s="161">
        <f t="shared" si="11"/>
        <v>12699.157628530145</v>
      </c>
      <c r="H46" s="142">
        <f t="shared" si="12"/>
        <v>12699.157628530145</v>
      </c>
      <c r="I46" s="156">
        <f t="shared" si="9"/>
        <v>0</v>
      </c>
      <c r="J46" s="156"/>
      <c r="K46" s="334"/>
      <c r="L46" s="158">
        <f t="shared" si="1"/>
        <v>0</v>
      </c>
      <c r="M46" s="334"/>
      <c r="N46" s="158">
        <f t="shared" si="3"/>
        <v>0</v>
      </c>
      <c r="O46" s="158">
        <f t="shared" si="4"/>
        <v>0</v>
      </c>
      <c r="P46" s="4"/>
    </row>
    <row r="47" spans="2:16">
      <c r="B47" s="9" t="str">
        <f t="shared" si="5"/>
        <v/>
      </c>
      <c r="C47" s="153">
        <f>IF(D11="","-",+C46+1)</f>
        <v>2042</v>
      </c>
      <c r="D47" s="159">
        <f>IF(F46+SUM(E$17:E46)=D$10,F46,D$10-SUM(E$17:E46))</f>
        <v>70972.920211760182</v>
      </c>
      <c r="E47" s="160">
        <f>IF(+I14&lt;F46,I14,D47)</f>
        <v>5366.2790697674418</v>
      </c>
      <c r="F47" s="159">
        <f t="shared" si="10"/>
        <v>65606.641141992746</v>
      </c>
      <c r="G47" s="161">
        <f t="shared" si="11"/>
        <v>12164.914107136403</v>
      </c>
      <c r="H47" s="142">
        <f t="shared" si="12"/>
        <v>12164.914107136403</v>
      </c>
      <c r="I47" s="156">
        <f t="shared" si="9"/>
        <v>0</v>
      </c>
      <c r="J47" s="156"/>
      <c r="K47" s="334"/>
      <c r="L47" s="158">
        <f t="shared" si="1"/>
        <v>0</v>
      </c>
      <c r="M47" s="334"/>
      <c r="N47" s="158">
        <f t="shared" si="3"/>
        <v>0</v>
      </c>
      <c r="O47" s="158">
        <f t="shared" si="4"/>
        <v>0</v>
      </c>
      <c r="P47" s="4"/>
    </row>
    <row r="48" spans="2:16">
      <c r="B48" s="9" t="str">
        <f t="shared" si="5"/>
        <v/>
      </c>
      <c r="C48" s="153">
        <f>IF(D11="","-",+C47+1)</f>
        <v>2043</v>
      </c>
      <c r="D48" s="159">
        <f>IF(F47+SUM(E$17:E47)=D$10,F47,D$10-SUM(E$17:E47))</f>
        <v>65606.641141992746</v>
      </c>
      <c r="E48" s="160">
        <f>IF(+I14&lt;F47,I14,D48)</f>
        <v>5366.2790697674418</v>
      </c>
      <c r="F48" s="159">
        <f t="shared" si="10"/>
        <v>60240.362072225304</v>
      </c>
      <c r="G48" s="161">
        <f t="shared" si="11"/>
        <v>11630.670585742664</v>
      </c>
      <c r="H48" s="142">
        <f t="shared" si="12"/>
        <v>11630.670585742664</v>
      </c>
      <c r="I48" s="156">
        <f t="shared" si="9"/>
        <v>0</v>
      </c>
      <c r="J48" s="156"/>
      <c r="K48" s="334"/>
      <c r="L48" s="158">
        <f t="shared" si="1"/>
        <v>0</v>
      </c>
      <c r="M48" s="334"/>
      <c r="N48" s="158">
        <f t="shared" si="3"/>
        <v>0</v>
      </c>
      <c r="O48" s="158">
        <f t="shared" si="4"/>
        <v>0</v>
      </c>
      <c r="P48" s="4"/>
    </row>
    <row r="49" spans="2:17">
      <c r="B49" s="9" t="str">
        <f t="shared" si="5"/>
        <v/>
      </c>
      <c r="C49" s="153">
        <f>IF(D11="","-",+C48+1)</f>
        <v>2044</v>
      </c>
      <c r="D49" s="159">
        <f>IF(F48+SUM(E$17:E48)=D$10,F48,D$10-SUM(E$17:E48))</f>
        <v>60240.362072225304</v>
      </c>
      <c r="E49" s="160">
        <f>IF(+I14&lt;F48,I14,D49)</f>
        <v>5366.2790697674418</v>
      </c>
      <c r="F49" s="159">
        <f t="shared" ref="F49:F72" si="13">+D49-E49</f>
        <v>54874.083002457861</v>
      </c>
      <c r="G49" s="161">
        <f t="shared" si="11"/>
        <v>11096.427064348925</v>
      </c>
      <c r="H49" s="142">
        <f t="shared" si="12"/>
        <v>11096.427064348925</v>
      </c>
      <c r="I49" s="156">
        <f t="shared" ref="I49:I72" si="14">H49-G49</f>
        <v>0</v>
      </c>
      <c r="J49" s="156"/>
      <c r="K49" s="334"/>
      <c r="L49" s="158">
        <f t="shared" ref="L49:L72" si="15">IF(K49&lt;&gt;0,+G49-K49,0)</f>
        <v>0</v>
      </c>
      <c r="M49" s="334"/>
      <c r="N49" s="158">
        <f t="shared" ref="N49:N72" si="16">IF(M49&lt;&gt;0,+H49-M49,0)</f>
        <v>0</v>
      </c>
      <c r="O49" s="158">
        <f t="shared" ref="O49:O72" si="17">+N49-L49</f>
        <v>0</v>
      </c>
      <c r="P49" s="4"/>
    </row>
    <row r="50" spans="2:17">
      <c r="B50" s="9" t="str">
        <f t="shared" ref="B50:B72" si="18">IF(D50=F49,"","IU")</f>
        <v/>
      </c>
      <c r="C50" s="153">
        <f>IF(D11="","-",+C49+1)</f>
        <v>2045</v>
      </c>
      <c r="D50" s="159">
        <f>IF(F49+SUM(E$17:E49)=D$10,F49,D$10-SUM(E$17:E49))</f>
        <v>54874.083002457861</v>
      </c>
      <c r="E50" s="160">
        <f>IF(+I14&lt;F49,I14,D50)</f>
        <v>5366.2790697674418</v>
      </c>
      <c r="F50" s="159">
        <f t="shared" si="13"/>
        <v>49507.803932690418</v>
      </c>
      <c r="G50" s="161">
        <f t="shared" si="11"/>
        <v>10562.183542955185</v>
      </c>
      <c r="H50" s="142">
        <f t="shared" si="12"/>
        <v>10562.183542955185</v>
      </c>
      <c r="I50" s="156">
        <f t="shared" si="14"/>
        <v>0</v>
      </c>
      <c r="J50" s="156"/>
      <c r="K50" s="334"/>
      <c r="L50" s="158">
        <f t="shared" si="15"/>
        <v>0</v>
      </c>
      <c r="M50" s="334"/>
      <c r="N50" s="158">
        <f t="shared" si="16"/>
        <v>0</v>
      </c>
      <c r="O50" s="158">
        <f t="shared" si="17"/>
        <v>0</v>
      </c>
      <c r="P50" s="4"/>
    </row>
    <row r="51" spans="2:17">
      <c r="B51" s="9" t="str">
        <f t="shared" si="18"/>
        <v/>
      </c>
      <c r="C51" s="153">
        <f>IF(D11="","-",+C50+1)</f>
        <v>2046</v>
      </c>
      <c r="D51" s="159">
        <f>IF(F50+SUM(E$17:E50)=D$10,F50,D$10-SUM(E$17:E50))</f>
        <v>49507.803932690418</v>
      </c>
      <c r="E51" s="160">
        <f>IF(+I14&lt;F50,I14,D51)</f>
        <v>5366.2790697674418</v>
      </c>
      <c r="F51" s="159">
        <f t="shared" si="13"/>
        <v>44141.524862922975</v>
      </c>
      <c r="G51" s="161">
        <f t="shared" si="11"/>
        <v>10027.940021561444</v>
      </c>
      <c r="H51" s="142">
        <f t="shared" si="12"/>
        <v>10027.940021561444</v>
      </c>
      <c r="I51" s="156">
        <f t="shared" si="14"/>
        <v>0</v>
      </c>
      <c r="J51" s="156"/>
      <c r="K51" s="334"/>
      <c r="L51" s="158">
        <f t="shared" si="15"/>
        <v>0</v>
      </c>
      <c r="M51" s="334"/>
      <c r="N51" s="158">
        <f t="shared" si="16"/>
        <v>0</v>
      </c>
      <c r="O51" s="158">
        <f t="shared" si="17"/>
        <v>0</v>
      </c>
      <c r="P51" s="4"/>
    </row>
    <row r="52" spans="2:17">
      <c r="B52" s="9" t="str">
        <f t="shared" si="18"/>
        <v/>
      </c>
      <c r="C52" s="153">
        <f>IF(D11="","-",+C51+1)</f>
        <v>2047</v>
      </c>
      <c r="D52" s="159">
        <f>IF(F51+SUM(E$17:E51)=D$10,F51,D$10-SUM(E$17:E51))</f>
        <v>44141.524862922975</v>
      </c>
      <c r="E52" s="160">
        <f>IF(+I14&lt;F51,I14,D52)</f>
        <v>5366.2790697674418</v>
      </c>
      <c r="F52" s="159">
        <f t="shared" si="13"/>
        <v>38775.245793155533</v>
      </c>
      <c r="G52" s="161">
        <f t="shared" si="11"/>
        <v>9493.6965001677054</v>
      </c>
      <c r="H52" s="142">
        <f t="shared" si="12"/>
        <v>9493.6965001677054</v>
      </c>
      <c r="I52" s="156">
        <f t="shared" si="14"/>
        <v>0</v>
      </c>
      <c r="J52" s="156"/>
      <c r="K52" s="334"/>
      <c r="L52" s="158">
        <f t="shared" si="15"/>
        <v>0</v>
      </c>
      <c r="M52" s="334"/>
      <c r="N52" s="158">
        <f t="shared" si="16"/>
        <v>0</v>
      </c>
      <c r="O52" s="158">
        <f t="shared" si="17"/>
        <v>0</v>
      </c>
      <c r="P52" s="4"/>
    </row>
    <row r="53" spans="2:17">
      <c r="B53" s="9" t="str">
        <f t="shared" si="18"/>
        <v/>
      </c>
      <c r="C53" s="153">
        <f>IF(D11="","-",+C52+1)</f>
        <v>2048</v>
      </c>
      <c r="D53" s="159">
        <f>IF(F52+SUM(E$17:E52)=D$10,F52,D$10-SUM(E$17:E52))</f>
        <v>38775.245793155533</v>
      </c>
      <c r="E53" s="160">
        <f>IF(+I14&lt;F52,I14,D53)</f>
        <v>5366.2790697674418</v>
      </c>
      <c r="F53" s="159">
        <f t="shared" si="13"/>
        <v>33408.96672338809</v>
      </c>
      <c r="G53" s="161">
        <f t="shared" si="11"/>
        <v>8959.4529787739648</v>
      </c>
      <c r="H53" s="142">
        <f t="shared" si="12"/>
        <v>8959.4529787739648</v>
      </c>
      <c r="I53" s="156">
        <f t="shared" si="14"/>
        <v>0</v>
      </c>
      <c r="J53" s="156"/>
      <c r="K53" s="334"/>
      <c r="L53" s="158">
        <f t="shared" si="15"/>
        <v>0</v>
      </c>
      <c r="M53" s="334"/>
      <c r="N53" s="158">
        <f t="shared" si="16"/>
        <v>0</v>
      </c>
      <c r="O53" s="158">
        <f t="shared" si="17"/>
        <v>0</v>
      </c>
      <c r="P53" s="4"/>
    </row>
    <row r="54" spans="2:17">
      <c r="B54" s="9" t="str">
        <f t="shared" si="18"/>
        <v/>
      </c>
      <c r="C54" s="153">
        <f>IF(D11="","-",+C53+1)</f>
        <v>2049</v>
      </c>
      <c r="D54" s="159">
        <f>IF(F53+SUM(E$17:E53)=D$10,F53,D$10-SUM(E$17:E53))</f>
        <v>33408.96672338809</v>
      </c>
      <c r="E54" s="160">
        <f>IF(+I14&lt;F53,I14,D54)</f>
        <v>5366.2790697674418</v>
      </c>
      <c r="F54" s="159">
        <f t="shared" si="13"/>
        <v>28042.687653620647</v>
      </c>
      <c r="G54" s="161">
        <f t="shared" ref="G54:G72" si="19">+I$12*((D54+F54)/2)+E54</f>
        <v>8425.2094573802242</v>
      </c>
      <c r="H54" s="142">
        <f t="shared" ref="H54:H72" si="20">+I$13*((D54+F54)/2)+E54</f>
        <v>8425.2094573802242</v>
      </c>
      <c r="I54" s="156">
        <f t="shared" si="14"/>
        <v>0</v>
      </c>
      <c r="J54" s="156"/>
      <c r="K54" s="334"/>
      <c r="L54" s="158">
        <f t="shared" si="15"/>
        <v>0</v>
      </c>
      <c r="M54" s="334"/>
      <c r="N54" s="158">
        <f t="shared" si="16"/>
        <v>0</v>
      </c>
      <c r="O54" s="158">
        <f t="shared" si="17"/>
        <v>0</v>
      </c>
      <c r="P54" s="4"/>
    </row>
    <row r="55" spans="2:17">
      <c r="B55" s="9" t="str">
        <f t="shared" si="18"/>
        <v/>
      </c>
      <c r="C55" s="153">
        <f>IF(D11="","-",+C54+1)</f>
        <v>2050</v>
      </c>
      <c r="D55" s="159">
        <f>IF(F54+SUM(E$17:E54)=D$10,F54,D$10-SUM(E$17:E54))</f>
        <v>28042.687653620647</v>
      </c>
      <c r="E55" s="160">
        <f>IF(+I14&lt;F54,I14,D55)</f>
        <v>5366.2790697674418</v>
      </c>
      <c r="F55" s="159">
        <f t="shared" si="13"/>
        <v>22676.408583853205</v>
      </c>
      <c r="G55" s="161">
        <f t="shared" si="19"/>
        <v>7890.9659359864854</v>
      </c>
      <c r="H55" s="142">
        <f t="shared" si="20"/>
        <v>7890.9659359864854</v>
      </c>
      <c r="I55" s="156">
        <f t="shared" si="14"/>
        <v>0</v>
      </c>
      <c r="J55" s="156"/>
      <c r="K55" s="334"/>
      <c r="L55" s="158">
        <f t="shared" si="15"/>
        <v>0</v>
      </c>
      <c r="M55" s="334"/>
      <c r="N55" s="158">
        <f t="shared" si="16"/>
        <v>0</v>
      </c>
      <c r="O55" s="158">
        <f t="shared" si="17"/>
        <v>0</v>
      </c>
      <c r="P55" s="4"/>
    </row>
    <row r="56" spans="2:17">
      <c r="B56" s="9" t="str">
        <f t="shared" si="18"/>
        <v/>
      </c>
      <c r="C56" s="153">
        <f>IF(D11="","-",+C55+1)</f>
        <v>2051</v>
      </c>
      <c r="D56" s="159">
        <f>IF(F55+SUM(E$17:E55)=D$10,F55,D$10-SUM(E$17:E55))</f>
        <v>22676.408583853205</v>
      </c>
      <c r="E56" s="160">
        <f>IF(+I14&lt;F55,I14,D56)</f>
        <v>5366.2790697674418</v>
      </c>
      <c r="F56" s="159">
        <f t="shared" si="13"/>
        <v>17310.129514085762</v>
      </c>
      <c r="G56" s="161">
        <f t="shared" si="19"/>
        <v>7356.7224145927448</v>
      </c>
      <c r="H56" s="142">
        <f t="shared" si="20"/>
        <v>7356.7224145927448</v>
      </c>
      <c r="I56" s="156">
        <f t="shared" si="14"/>
        <v>0</v>
      </c>
      <c r="J56" s="156"/>
      <c r="K56" s="334"/>
      <c r="L56" s="158">
        <f t="shared" si="15"/>
        <v>0</v>
      </c>
      <c r="M56" s="334"/>
      <c r="N56" s="158">
        <f t="shared" si="16"/>
        <v>0</v>
      </c>
      <c r="O56" s="158">
        <f t="shared" si="17"/>
        <v>0</v>
      </c>
      <c r="P56" s="4"/>
    </row>
    <row r="57" spans="2:17">
      <c r="B57" s="9" t="str">
        <f t="shared" si="18"/>
        <v/>
      </c>
      <c r="C57" s="153">
        <f>IF(D11="","-",+C56+1)</f>
        <v>2052</v>
      </c>
      <c r="D57" s="159">
        <f>IF(F56+SUM(E$17:E56)=D$10,F56,D$10-SUM(E$17:E56))</f>
        <v>17310.129514085762</v>
      </c>
      <c r="E57" s="160">
        <f>IF(+I14&lt;F56,I14,D57)</f>
        <v>5366.2790697674418</v>
      </c>
      <c r="F57" s="159">
        <f t="shared" si="13"/>
        <v>11943.850444318319</v>
      </c>
      <c r="G57" s="161">
        <f t="shared" si="19"/>
        <v>6822.4788931990051</v>
      </c>
      <c r="H57" s="142">
        <f t="shared" si="20"/>
        <v>6822.4788931990051</v>
      </c>
      <c r="I57" s="156">
        <f t="shared" si="14"/>
        <v>0</v>
      </c>
      <c r="J57" s="156"/>
      <c r="K57" s="334"/>
      <c r="L57" s="158">
        <f t="shared" si="15"/>
        <v>0</v>
      </c>
      <c r="M57" s="334"/>
      <c r="N57" s="158">
        <f t="shared" si="16"/>
        <v>0</v>
      </c>
      <c r="O57" s="158">
        <f t="shared" si="17"/>
        <v>0</v>
      </c>
      <c r="P57" s="4"/>
    </row>
    <row r="58" spans="2:17">
      <c r="B58" s="9" t="str">
        <f t="shared" si="18"/>
        <v/>
      </c>
      <c r="C58" s="153">
        <f>IF(D11="","-",+C57+1)</f>
        <v>2053</v>
      </c>
      <c r="D58" s="159">
        <f>IF(F57+SUM(E$17:E57)=D$10,F57,D$10-SUM(E$17:E57))</f>
        <v>11943.850444318319</v>
      </c>
      <c r="E58" s="160">
        <f>IF(+I14&lt;F57,I14,D58)</f>
        <v>5366.2790697674418</v>
      </c>
      <c r="F58" s="159">
        <f t="shared" si="13"/>
        <v>6577.5713745508774</v>
      </c>
      <c r="G58" s="161">
        <f t="shared" si="19"/>
        <v>6288.2353718052655</v>
      </c>
      <c r="H58" s="142">
        <f t="shared" si="20"/>
        <v>6288.2353718052655</v>
      </c>
      <c r="I58" s="156">
        <f t="shared" si="14"/>
        <v>0</v>
      </c>
      <c r="J58" s="156"/>
      <c r="K58" s="334"/>
      <c r="L58" s="158">
        <f t="shared" si="15"/>
        <v>0</v>
      </c>
      <c r="M58" s="334"/>
      <c r="N58" s="158">
        <f t="shared" si="16"/>
        <v>0</v>
      </c>
      <c r="O58" s="158">
        <f t="shared" si="17"/>
        <v>0</v>
      </c>
      <c r="P58" s="4"/>
      <c r="Q58" t="str">
        <f>IF(ROUND(Q57,0)=ROUND(SUM(Q18:Q56),0),"","Error -- check allocations above).")</f>
        <v/>
      </c>
    </row>
    <row r="59" spans="2:17">
      <c r="B59" s="9" t="str">
        <f t="shared" si="18"/>
        <v/>
      </c>
      <c r="C59" s="153">
        <f>IF(D11="","-",+C58+1)</f>
        <v>2054</v>
      </c>
      <c r="D59" s="159">
        <f>IF(F58+SUM(E$17:E58)=D$10,F58,D$10-SUM(E$17:E58))</f>
        <v>6577.5713745508774</v>
      </c>
      <c r="E59" s="160">
        <f>IF(+I14&lt;F58,I14,D59)</f>
        <v>5366.2790697674418</v>
      </c>
      <c r="F59" s="159">
        <f t="shared" si="13"/>
        <v>1211.2923047834356</v>
      </c>
      <c r="G59" s="161">
        <f t="shared" si="19"/>
        <v>5753.9918504115258</v>
      </c>
      <c r="H59" s="142">
        <f t="shared" si="20"/>
        <v>5753.9918504115258</v>
      </c>
      <c r="I59" s="156">
        <f t="shared" si="14"/>
        <v>0</v>
      </c>
      <c r="J59" s="156"/>
      <c r="K59" s="334"/>
      <c r="L59" s="158">
        <f t="shared" si="15"/>
        <v>0</v>
      </c>
      <c r="M59" s="334"/>
      <c r="N59" s="158">
        <f t="shared" si="16"/>
        <v>0</v>
      </c>
      <c r="O59" s="158">
        <f t="shared" si="17"/>
        <v>0</v>
      </c>
      <c r="P59" s="4"/>
    </row>
    <row r="60" spans="2:17">
      <c r="B60" s="9" t="str">
        <f t="shared" si="18"/>
        <v/>
      </c>
      <c r="C60" s="153">
        <f>IF(D11="","-",+C59+1)</f>
        <v>2055</v>
      </c>
      <c r="D60" s="159">
        <f>IF(F59+SUM(E$17:E59)=D$10,F59,D$10-SUM(E$17:E59))</f>
        <v>1211.2923047834356</v>
      </c>
      <c r="E60" s="160">
        <f>IF(+I14&lt;F59,I14,D60)</f>
        <v>1211.2923047834356</v>
      </c>
      <c r="F60" s="159">
        <f t="shared" si="13"/>
        <v>0</v>
      </c>
      <c r="G60" s="161">
        <f t="shared" si="19"/>
        <v>1271.5878147570425</v>
      </c>
      <c r="H60" s="142">
        <f t="shared" si="20"/>
        <v>1271.5878147570425</v>
      </c>
      <c r="I60" s="156">
        <f t="shared" si="14"/>
        <v>0</v>
      </c>
      <c r="J60" s="156"/>
      <c r="K60" s="334"/>
      <c r="L60" s="158">
        <f t="shared" si="15"/>
        <v>0</v>
      </c>
      <c r="M60" s="334"/>
      <c r="N60" s="158">
        <f t="shared" si="16"/>
        <v>0</v>
      </c>
      <c r="O60" s="158">
        <f t="shared" si="17"/>
        <v>0</v>
      </c>
      <c r="P60" s="4"/>
    </row>
    <row r="61" spans="2:17">
      <c r="B61" s="9" t="str">
        <f t="shared" si="18"/>
        <v/>
      </c>
      <c r="C61" s="153">
        <f>IF(D11="","-",+C60+1)</f>
        <v>2056</v>
      </c>
      <c r="D61" s="159">
        <f>IF(F60+SUM(E$17:E60)=D$10,F60,D$10-SUM(E$17:E60))</f>
        <v>0</v>
      </c>
      <c r="E61" s="160">
        <f>IF(+I14&lt;F60,I14,D61)</f>
        <v>0</v>
      </c>
      <c r="F61" s="159">
        <f t="shared" si="13"/>
        <v>0</v>
      </c>
      <c r="G61" s="163">
        <f t="shared" si="19"/>
        <v>0</v>
      </c>
      <c r="H61" s="142">
        <f t="shared" si="20"/>
        <v>0</v>
      </c>
      <c r="I61" s="156">
        <f t="shared" si="14"/>
        <v>0</v>
      </c>
      <c r="J61" s="156"/>
      <c r="K61" s="334"/>
      <c r="L61" s="158">
        <f t="shared" si="15"/>
        <v>0</v>
      </c>
      <c r="M61" s="334"/>
      <c r="N61" s="158">
        <f t="shared" si="16"/>
        <v>0</v>
      </c>
      <c r="O61" s="158">
        <f t="shared" si="17"/>
        <v>0</v>
      </c>
      <c r="P61" s="4"/>
    </row>
    <row r="62" spans="2:17">
      <c r="B62" s="9" t="str">
        <f t="shared" si="18"/>
        <v/>
      </c>
      <c r="C62" s="153">
        <f>IF(D11="","-",+C61+1)</f>
        <v>2057</v>
      </c>
      <c r="D62" s="159">
        <f>IF(F61+SUM(E$17:E61)=D$10,F61,D$10-SUM(E$17:E61))</f>
        <v>0</v>
      </c>
      <c r="E62" s="160">
        <f>IF(+I14&lt;F61,I14,D62)</f>
        <v>0</v>
      </c>
      <c r="F62" s="159">
        <f t="shared" si="13"/>
        <v>0</v>
      </c>
      <c r="G62" s="163">
        <f t="shared" si="19"/>
        <v>0</v>
      </c>
      <c r="H62" s="142">
        <f t="shared" si="20"/>
        <v>0</v>
      </c>
      <c r="I62" s="156">
        <f t="shared" si="14"/>
        <v>0</v>
      </c>
      <c r="J62" s="156"/>
      <c r="K62" s="334"/>
      <c r="L62" s="158">
        <f t="shared" si="15"/>
        <v>0</v>
      </c>
      <c r="M62" s="334"/>
      <c r="N62" s="158">
        <f t="shared" si="16"/>
        <v>0</v>
      </c>
      <c r="O62" s="158">
        <f t="shared" si="17"/>
        <v>0</v>
      </c>
      <c r="P62" s="4"/>
    </row>
    <row r="63" spans="2:17">
      <c r="B63" s="9" t="str">
        <f t="shared" si="18"/>
        <v/>
      </c>
      <c r="C63" s="153">
        <f>IF(D11="","-",+C62+1)</f>
        <v>2058</v>
      </c>
      <c r="D63" s="159">
        <f>IF(F62+SUM(E$17:E62)=D$10,F62,D$10-SUM(E$17:E62))</f>
        <v>0</v>
      </c>
      <c r="E63" s="160">
        <f>IF(+I14&lt;F62,I14,D63)</f>
        <v>0</v>
      </c>
      <c r="F63" s="159">
        <f t="shared" si="13"/>
        <v>0</v>
      </c>
      <c r="G63" s="163">
        <f t="shared" si="19"/>
        <v>0</v>
      </c>
      <c r="H63" s="142">
        <f t="shared" si="20"/>
        <v>0</v>
      </c>
      <c r="I63" s="156">
        <f t="shared" si="14"/>
        <v>0</v>
      </c>
      <c r="J63" s="156"/>
      <c r="K63" s="334"/>
      <c r="L63" s="158">
        <f t="shared" si="15"/>
        <v>0</v>
      </c>
      <c r="M63" s="334"/>
      <c r="N63" s="158">
        <f t="shared" si="16"/>
        <v>0</v>
      </c>
      <c r="O63" s="158">
        <f t="shared" si="17"/>
        <v>0</v>
      </c>
      <c r="P63" s="4"/>
    </row>
    <row r="64" spans="2:17">
      <c r="B64" s="9" t="str">
        <f t="shared" si="18"/>
        <v/>
      </c>
      <c r="C64" s="153">
        <f>IF(D11="","-",+C63+1)</f>
        <v>2059</v>
      </c>
      <c r="D64" s="159">
        <f>IF(F63+SUM(E$17:E63)=D$10,F63,D$10-SUM(E$17:E63))</f>
        <v>0</v>
      </c>
      <c r="E64" s="160">
        <f>IF(+I14&lt;F63,I14,D64)</f>
        <v>0</v>
      </c>
      <c r="F64" s="159">
        <f t="shared" si="13"/>
        <v>0</v>
      </c>
      <c r="G64" s="163">
        <f t="shared" si="19"/>
        <v>0</v>
      </c>
      <c r="H64" s="142">
        <f t="shared" si="20"/>
        <v>0</v>
      </c>
      <c r="I64" s="156">
        <f t="shared" si="14"/>
        <v>0</v>
      </c>
      <c r="J64" s="156"/>
      <c r="K64" s="334"/>
      <c r="L64" s="158">
        <f t="shared" si="15"/>
        <v>0</v>
      </c>
      <c r="M64" s="334"/>
      <c r="N64" s="158">
        <f t="shared" si="16"/>
        <v>0</v>
      </c>
      <c r="O64" s="158">
        <f t="shared" si="17"/>
        <v>0</v>
      </c>
      <c r="P64" s="4"/>
    </row>
    <row r="65" spans="1:16">
      <c r="B65" s="9" t="str">
        <f t="shared" si="18"/>
        <v/>
      </c>
      <c r="C65" s="153">
        <f>IF(D11="","-",+C64+1)</f>
        <v>2060</v>
      </c>
      <c r="D65" s="159">
        <f>IF(F64+SUM(E$17:E64)=D$10,F64,D$10-SUM(E$17:E64))</f>
        <v>0</v>
      </c>
      <c r="E65" s="160">
        <f>IF(+I14&lt;F64,I14,D65)</f>
        <v>0</v>
      </c>
      <c r="F65" s="159">
        <f t="shared" si="13"/>
        <v>0</v>
      </c>
      <c r="G65" s="163">
        <f t="shared" si="19"/>
        <v>0</v>
      </c>
      <c r="H65" s="142">
        <f t="shared" si="20"/>
        <v>0</v>
      </c>
      <c r="I65" s="156">
        <f t="shared" si="14"/>
        <v>0</v>
      </c>
      <c r="J65" s="156"/>
      <c r="K65" s="334"/>
      <c r="L65" s="158">
        <f t="shared" si="15"/>
        <v>0</v>
      </c>
      <c r="M65" s="334"/>
      <c r="N65" s="158">
        <f t="shared" si="16"/>
        <v>0</v>
      </c>
      <c r="O65" s="158">
        <f t="shared" si="17"/>
        <v>0</v>
      </c>
      <c r="P65" s="4"/>
    </row>
    <row r="66" spans="1:16">
      <c r="B66" s="9" t="str">
        <f t="shared" si="18"/>
        <v/>
      </c>
      <c r="C66" s="153">
        <f>IF(D11="","-",+C65+1)</f>
        <v>2061</v>
      </c>
      <c r="D66" s="159">
        <f>IF(F65+SUM(E$17:E65)=D$10,F65,D$10-SUM(E$17:E65))</f>
        <v>0</v>
      </c>
      <c r="E66" s="160">
        <f>IF(+I14&lt;F65,I14,D66)</f>
        <v>0</v>
      </c>
      <c r="F66" s="159">
        <f t="shared" si="13"/>
        <v>0</v>
      </c>
      <c r="G66" s="163">
        <f t="shared" si="19"/>
        <v>0</v>
      </c>
      <c r="H66" s="142">
        <f t="shared" si="20"/>
        <v>0</v>
      </c>
      <c r="I66" s="156">
        <f t="shared" si="14"/>
        <v>0</v>
      </c>
      <c r="J66" s="156"/>
      <c r="K66" s="334"/>
      <c r="L66" s="158">
        <f t="shared" si="15"/>
        <v>0</v>
      </c>
      <c r="M66" s="334"/>
      <c r="N66" s="158">
        <f t="shared" si="16"/>
        <v>0</v>
      </c>
      <c r="O66" s="158">
        <f t="shared" si="17"/>
        <v>0</v>
      </c>
      <c r="P66" s="4"/>
    </row>
    <row r="67" spans="1:16">
      <c r="B67" s="9" t="str">
        <f t="shared" si="18"/>
        <v/>
      </c>
      <c r="C67" s="153">
        <f>IF(D11="","-",+C66+1)</f>
        <v>2062</v>
      </c>
      <c r="D67" s="159">
        <f>IF(F66+SUM(E$17:E66)=D$10,F66,D$10-SUM(E$17:E66))</f>
        <v>0</v>
      </c>
      <c r="E67" s="160">
        <f>IF(+I14&lt;F66,I14,D67)</f>
        <v>0</v>
      </c>
      <c r="F67" s="159">
        <f t="shared" si="13"/>
        <v>0</v>
      </c>
      <c r="G67" s="163">
        <f t="shared" si="19"/>
        <v>0</v>
      </c>
      <c r="H67" s="142">
        <f t="shared" si="20"/>
        <v>0</v>
      </c>
      <c r="I67" s="156">
        <f t="shared" si="14"/>
        <v>0</v>
      </c>
      <c r="J67" s="156"/>
      <c r="K67" s="334"/>
      <c r="L67" s="158">
        <f t="shared" si="15"/>
        <v>0</v>
      </c>
      <c r="M67" s="334"/>
      <c r="N67" s="158">
        <f t="shared" si="16"/>
        <v>0</v>
      </c>
      <c r="O67" s="158">
        <f t="shared" si="17"/>
        <v>0</v>
      </c>
      <c r="P67" s="4"/>
    </row>
    <row r="68" spans="1:16">
      <c r="B68" s="9" t="str">
        <f t="shared" si="18"/>
        <v/>
      </c>
      <c r="C68" s="153">
        <f>IF(D11="","-",+C67+1)</f>
        <v>2063</v>
      </c>
      <c r="D68" s="159">
        <f>IF(F67+SUM(E$17:E67)=D$10,F67,D$10-SUM(E$17:E67))</f>
        <v>0</v>
      </c>
      <c r="E68" s="160">
        <f>IF(+I14&lt;F67,I14,D68)</f>
        <v>0</v>
      </c>
      <c r="F68" s="159">
        <f t="shared" si="13"/>
        <v>0</v>
      </c>
      <c r="G68" s="163">
        <f t="shared" si="19"/>
        <v>0</v>
      </c>
      <c r="H68" s="142">
        <f t="shared" si="20"/>
        <v>0</v>
      </c>
      <c r="I68" s="156">
        <f t="shared" si="14"/>
        <v>0</v>
      </c>
      <c r="J68" s="156"/>
      <c r="K68" s="334"/>
      <c r="L68" s="158">
        <f t="shared" si="15"/>
        <v>0</v>
      </c>
      <c r="M68" s="334"/>
      <c r="N68" s="158">
        <f t="shared" si="16"/>
        <v>0</v>
      </c>
      <c r="O68" s="158">
        <f t="shared" si="17"/>
        <v>0</v>
      </c>
      <c r="P68" s="4"/>
    </row>
    <row r="69" spans="1:16">
      <c r="B69" s="9" t="str">
        <f t="shared" si="18"/>
        <v/>
      </c>
      <c r="C69" s="153">
        <f>IF(D11="","-",+C68+1)</f>
        <v>2064</v>
      </c>
      <c r="D69" s="159">
        <f>IF(F68+SUM(E$17:E68)=D$10,F68,D$10-SUM(E$17:E68))</f>
        <v>0</v>
      </c>
      <c r="E69" s="160">
        <f>IF(+I14&lt;F68,I14,D69)</f>
        <v>0</v>
      </c>
      <c r="F69" s="159">
        <f t="shared" si="13"/>
        <v>0</v>
      </c>
      <c r="G69" s="163">
        <f t="shared" si="19"/>
        <v>0</v>
      </c>
      <c r="H69" s="142">
        <f t="shared" si="20"/>
        <v>0</v>
      </c>
      <c r="I69" s="156">
        <f t="shared" si="14"/>
        <v>0</v>
      </c>
      <c r="J69" s="156"/>
      <c r="K69" s="334"/>
      <c r="L69" s="158">
        <f t="shared" si="15"/>
        <v>0</v>
      </c>
      <c r="M69" s="334"/>
      <c r="N69" s="158">
        <f t="shared" si="16"/>
        <v>0</v>
      </c>
      <c r="O69" s="158">
        <f t="shared" si="17"/>
        <v>0</v>
      </c>
      <c r="P69" s="4"/>
    </row>
    <row r="70" spans="1:16">
      <c r="B70" s="9" t="str">
        <f t="shared" si="18"/>
        <v/>
      </c>
      <c r="C70" s="153">
        <f>IF(D11="","-",+C69+1)</f>
        <v>2065</v>
      </c>
      <c r="D70" s="159">
        <f>IF(F69+SUM(E$17:E69)=D$10,F69,D$10-SUM(E$17:E69))</f>
        <v>0</v>
      </c>
      <c r="E70" s="160">
        <f>IF(+I14&lt;F69,I14,D70)</f>
        <v>0</v>
      </c>
      <c r="F70" s="159">
        <f t="shared" si="13"/>
        <v>0</v>
      </c>
      <c r="G70" s="163">
        <f t="shared" si="19"/>
        <v>0</v>
      </c>
      <c r="H70" s="142">
        <f t="shared" si="20"/>
        <v>0</v>
      </c>
      <c r="I70" s="156">
        <f t="shared" si="14"/>
        <v>0</v>
      </c>
      <c r="J70" s="156"/>
      <c r="K70" s="334"/>
      <c r="L70" s="158">
        <f t="shared" si="15"/>
        <v>0</v>
      </c>
      <c r="M70" s="334"/>
      <c r="N70" s="158">
        <f t="shared" si="16"/>
        <v>0</v>
      </c>
      <c r="O70" s="158">
        <f t="shared" si="17"/>
        <v>0</v>
      </c>
      <c r="P70" s="4"/>
    </row>
    <row r="71" spans="1:16">
      <c r="B71" s="9" t="str">
        <f t="shared" si="18"/>
        <v/>
      </c>
      <c r="C71" s="153">
        <f>IF(D11="","-",+C70+1)</f>
        <v>2066</v>
      </c>
      <c r="D71" s="159">
        <f>IF(F70+SUM(E$17:E70)=D$10,F70,D$10-SUM(E$17:E70))</f>
        <v>0</v>
      </c>
      <c r="E71" s="160">
        <f>IF(+I14&lt;F70,I14,D71)</f>
        <v>0</v>
      </c>
      <c r="F71" s="159">
        <f t="shared" si="13"/>
        <v>0</v>
      </c>
      <c r="G71" s="163">
        <f t="shared" si="19"/>
        <v>0</v>
      </c>
      <c r="H71" s="142">
        <f t="shared" si="20"/>
        <v>0</v>
      </c>
      <c r="I71" s="156">
        <f t="shared" si="14"/>
        <v>0</v>
      </c>
      <c r="J71" s="156"/>
      <c r="K71" s="334"/>
      <c r="L71" s="158">
        <f t="shared" si="15"/>
        <v>0</v>
      </c>
      <c r="M71" s="334"/>
      <c r="N71" s="158">
        <f t="shared" si="16"/>
        <v>0</v>
      </c>
      <c r="O71" s="158">
        <f t="shared" si="17"/>
        <v>0</v>
      </c>
      <c r="P71" s="4"/>
    </row>
    <row r="72" spans="1:16" ht="13.5" thickBot="1">
      <c r="B72" s="9" t="str">
        <f t="shared" si="18"/>
        <v/>
      </c>
      <c r="C72" s="164">
        <f>IF(D11="","-",+C71+1)</f>
        <v>2067</v>
      </c>
      <c r="D72" s="165">
        <f>IF(F71+SUM(E$17:E71)=D$10,F71,D$10-SUM(E$17:E71))</f>
        <v>0</v>
      </c>
      <c r="E72" s="166">
        <f>IF(+I14&lt;F71,I14,D72)</f>
        <v>0</v>
      </c>
      <c r="F72" s="165">
        <f t="shared" si="13"/>
        <v>0</v>
      </c>
      <c r="G72" s="167">
        <f t="shared" si="19"/>
        <v>0</v>
      </c>
      <c r="H72" s="124">
        <f t="shared" si="20"/>
        <v>0</v>
      </c>
      <c r="I72" s="168">
        <f t="shared" si="14"/>
        <v>0</v>
      </c>
      <c r="J72" s="156"/>
      <c r="K72" s="335"/>
      <c r="L72" s="169">
        <f t="shared" si="15"/>
        <v>0</v>
      </c>
      <c r="M72" s="335"/>
      <c r="N72" s="169">
        <f t="shared" si="16"/>
        <v>0</v>
      </c>
      <c r="O72" s="169">
        <f t="shared" si="17"/>
        <v>0</v>
      </c>
      <c r="P72" s="4"/>
    </row>
    <row r="73" spans="1:16">
      <c r="C73" s="154" t="s">
        <v>73</v>
      </c>
      <c r="D73" s="111"/>
      <c r="E73" s="111">
        <f>SUM(E17:E72)</f>
        <v>230750</v>
      </c>
      <c r="F73" s="111"/>
      <c r="G73" s="111">
        <f>SUM(G17:G72)</f>
        <v>785012.05845540843</v>
      </c>
      <c r="H73" s="111">
        <f>SUM(H17:H72)</f>
        <v>785012.05845540843</v>
      </c>
      <c r="I73" s="111">
        <f>SUM(I17:I72)</f>
        <v>0</v>
      </c>
      <c r="J73" s="111"/>
      <c r="K73" s="111"/>
      <c r="L73" s="111"/>
      <c r="M73" s="111"/>
      <c r="N73" s="111"/>
      <c r="O73" s="4"/>
      <c r="P73" s="4"/>
    </row>
    <row r="74" spans="1:16">
      <c r="D74" s="2"/>
      <c r="E74" s="1"/>
      <c r="F74" s="1"/>
      <c r="G74" s="1"/>
      <c r="H74" s="3"/>
      <c r="I74" s="3"/>
      <c r="J74" s="111"/>
      <c r="K74" s="3"/>
      <c r="L74" s="3"/>
      <c r="M74" s="3"/>
      <c r="N74" s="3"/>
      <c r="O74" s="1"/>
      <c r="P74" s="1"/>
    </row>
    <row r="75" spans="1:16">
      <c r="C75" s="170" t="s">
        <v>91</v>
      </c>
      <c r="D75" s="2"/>
      <c r="E75" s="1"/>
      <c r="F75" s="1"/>
      <c r="G75" s="1"/>
      <c r="H75" s="3"/>
      <c r="I75" s="3"/>
      <c r="J75" s="111"/>
      <c r="K75" s="3"/>
      <c r="L75" s="3"/>
      <c r="M75" s="3"/>
      <c r="N75" s="3"/>
      <c r="O75" s="1"/>
      <c r="P75" s="1"/>
    </row>
    <row r="76" spans="1:16">
      <c r="C76" s="121" t="s">
        <v>74</v>
      </c>
      <c r="D76" s="2"/>
      <c r="E76" s="1"/>
      <c r="F76" s="1"/>
      <c r="G76" s="1"/>
      <c r="H76" s="3"/>
      <c r="I76" s="3"/>
      <c r="J76" s="111"/>
      <c r="K76" s="3"/>
      <c r="L76" s="3"/>
      <c r="M76" s="3"/>
      <c r="N76" s="3"/>
      <c r="O76" s="4"/>
      <c r="P76" s="4"/>
    </row>
    <row r="77" spans="1:16" ht="18">
      <c r="C77" s="121" t="s">
        <v>75</v>
      </c>
      <c r="D77" s="154"/>
      <c r="E77" s="154"/>
      <c r="F77" s="154"/>
      <c r="G77" s="111"/>
      <c r="H77" s="111"/>
      <c r="I77" s="171"/>
      <c r="J77" s="171"/>
      <c r="K77" s="171"/>
      <c r="L77" s="171"/>
      <c r="M77" s="171"/>
      <c r="N77" s="171"/>
      <c r="O77" s="110"/>
      <c r="P77" s="4"/>
    </row>
    <row r="78" spans="1:16">
      <c r="C78" s="121"/>
      <c r="D78" s="154"/>
      <c r="E78" s="154"/>
      <c r="F78" s="154"/>
      <c r="G78" s="111"/>
      <c r="H78" s="111"/>
      <c r="I78" s="171"/>
      <c r="J78" s="171"/>
      <c r="K78" s="171"/>
      <c r="L78" s="171"/>
      <c r="M78" s="171"/>
      <c r="N78" s="171"/>
      <c r="O78" s="4"/>
      <c r="P78" s="1"/>
    </row>
    <row r="79" spans="1:16" ht="15">
      <c r="A79" s="241"/>
      <c r="B79" s="1"/>
      <c r="C79" s="21"/>
      <c r="D79" s="2"/>
      <c r="E79" s="1"/>
      <c r="F79" s="107"/>
      <c r="G79" s="1"/>
      <c r="H79" s="3"/>
      <c r="I79" s="1"/>
      <c r="J79" s="4"/>
      <c r="K79" s="1"/>
      <c r="L79" s="1"/>
      <c r="M79" s="1"/>
      <c r="N79" s="1"/>
    </row>
    <row r="80" spans="1:16" ht="18">
      <c r="B80" s="1"/>
      <c r="C80" s="242"/>
      <c r="D80" s="2"/>
      <c r="E80" s="1"/>
      <c r="F80" s="107"/>
      <c r="G80" s="1"/>
      <c r="H80" s="3"/>
      <c r="I80" s="1"/>
      <c r="J80" s="4"/>
      <c r="K80" s="1"/>
      <c r="L80" s="1"/>
      <c r="M80" s="1"/>
      <c r="N80" s="1"/>
      <c r="P80" s="244" t="s">
        <v>125</v>
      </c>
    </row>
    <row r="81" spans="1:17">
      <c r="B81" s="1"/>
      <c r="C81" s="242"/>
      <c r="D81" s="2"/>
      <c r="E81" s="1"/>
      <c r="F81" s="107"/>
      <c r="G81" s="1"/>
      <c r="H81" s="3"/>
      <c r="I81" s="1"/>
      <c r="J81" s="4"/>
      <c r="K81" s="1"/>
      <c r="L81" s="1"/>
      <c r="M81" s="1"/>
      <c r="N81" s="1"/>
      <c r="O81" s="1"/>
      <c r="P81" s="1"/>
    </row>
    <row r="82" spans="1:17">
      <c r="B82" s="1"/>
      <c r="C82" s="21"/>
      <c r="D82" s="2"/>
      <c r="E82" s="1"/>
      <c r="F82" s="107"/>
      <c r="G82" s="1"/>
      <c r="H82" s="3"/>
      <c r="I82" s="1"/>
      <c r="J82" s="4"/>
      <c r="K82" s="1"/>
      <c r="L82" s="1"/>
      <c r="M82" s="1"/>
      <c r="N82" s="1"/>
      <c r="O82" s="1"/>
      <c r="P82" s="1"/>
      <c r="Q82" s="1"/>
    </row>
    <row r="83" spans="1:17" ht="20.25">
      <c r="A83" s="243" t="s">
        <v>129</v>
      </c>
      <c r="B83" s="1"/>
      <c r="C83" s="21"/>
      <c r="D83" s="2"/>
      <c r="E83" s="1"/>
      <c r="F83" s="99"/>
      <c r="G83" s="99"/>
      <c r="H83" s="1"/>
      <c r="I83" s="3"/>
      <c r="K83" s="7"/>
      <c r="L83" s="109"/>
      <c r="M83" s="109"/>
      <c r="P83" s="110" t="str">
        <f ca="1">P1</f>
        <v>SWEPCO Project 31 of 73</v>
      </c>
      <c r="Q83" s="1"/>
    </row>
    <row r="84" spans="1:17" ht="18">
      <c r="B84" s="1"/>
      <c r="C84" s="1"/>
      <c r="D84" s="2"/>
      <c r="E84" s="1"/>
      <c r="F84" s="1"/>
      <c r="G84" s="1"/>
      <c r="H84" s="1"/>
      <c r="I84" s="3"/>
      <c r="J84" s="1"/>
      <c r="K84" s="4"/>
      <c r="L84" s="1"/>
      <c r="M84" s="1"/>
      <c r="P84" s="237" t="s">
        <v>123</v>
      </c>
      <c r="Q84" s="1"/>
    </row>
    <row r="85" spans="1:17" ht="18.75" thickBot="1">
      <c r="B85" s="5" t="s">
        <v>40</v>
      </c>
      <c r="C85" s="197" t="s">
        <v>78</v>
      </c>
      <c r="D85" s="2"/>
      <c r="E85" s="1"/>
      <c r="F85" s="1"/>
      <c r="G85" s="1"/>
      <c r="H85" s="1"/>
      <c r="I85" s="3"/>
      <c r="J85" s="3"/>
      <c r="K85" s="111"/>
      <c r="L85" s="3"/>
      <c r="M85" s="3"/>
      <c r="N85" s="3"/>
      <c r="O85" s="111"/>
      <c r="P85" s="1"/>
      <c r="Q85" s="1"/>
    </row>
    <row r="86" spans="1:17" ht="15.75" thickBot="1">
      <c r="C86" s="67"/>
      <c r="D86" s="2"/>
      <c r="E86" s="1"/>
      <c r="F86" s="1"/>
      <c r="G86" s="1"/>
      <c r="H86" s="1"/>
      <c r="I86" s="3"/>
      <c r="J86" s="3"/>
      <c r="K86" s="111"/>
      <c r="L86" s="265">
        <f>+J92</f>
        <v>2017</v>
      </c>
      <c r="M86" s="266" t="s">
        <v>7</v>
      </c>
      <c r="N86" s="270" t="s">
        <v>154</v>
      </c>
      <c r="O86" s="267" t="s">
        <v>9</v>
      </c>
      <c r="P86" s="1"/>
      <c r="Q86" s="1"/>
    </row>
    <row r="87" spans="1:17" ht="15">
      <c r="C87" s="235" t="s">
        <v>42</v>
      </c>
      <c r="D87" s="2"/>
      <c r="E87" s="1"/>
      <c r="F87" s="1"/>
      <c r="G87" s="1"/>
      <c r="H87" s="113"/>
      <c r="I87" s="1" t="s">
        <v>43</v>
      </c>
      <c r="J87" s="1"/>
      <c r="K87" s="261"/>
      <c r="L87" s="259" t="s">
        <v>381</v>
      </c>
      <c r="M87" s="198">
        <f>IF(J92&lt;D11,0,VLOOKUP(J92,C17:O72,9))</f>
        <v>30480.352081775804</v>
      </c>
      <c r="N87" s="198">
        <f>IF(J92&lt;D11,0,VLOOKUP(J92,C17:O72,11))</f>
        <v>30480.352081775804</v>
      </c>
      <c r="O87" s="199">
        <f>+N87-M87</f>
        <v>0</v>
      </c>
      <c r="P87" s="1"/>
      <c r="Q87" s="1"/>
    </row>
    <row r="88" spans="1:17" ht="15.75">
      <c r="C88" s="8"/>
      <c r="D88" s="2"/>
      <c r="E88" s="1"/>
      <c r="F88" s="1"/>
      <c r="G88" s="1"/>
      <c r="H88" s="1"/>
      <c r="I88" s="117"/>
      <c r="J88" s="117"/>
      <c r="K88" s="263"/>
      <c r="L88" s="264" t="s">
        <v>382</v>
      </c>
      <c r="M88" s="200">
        <f>IF(J92&lt;D11,0,VLOOKUP(J92,C99:P154,6))</f>
        <v>30202.256847199074</v>
      </c>
      <c r="N88" s="200">
        <f>IF(J92&lt;D11,0,VLOOKUP(J92,C99:P154,7))</f>
        <v>30202.256847199074</v>
      </c>
      <c r="O88" s="201">
        <f>+N88-M88</f>
        <v>0</v>
      </c>
      <c r="P88" s="1"/>
      <c r="Q88" s="1"/>
    </row>
    <row r="89" spans="1:17" ht="13.5" thickBot="1">
      <c r="C89" s="121" t="s">
        <v>79</v>
      </c>
      <c r="D89" s="274" t="str">
        <f>D7</f>
        <v>Lone Star South - Pittsburg 138 kV - Replace Wavetraps, reset CT's and Relays</v>
      </c>
      <c r="E89" s="1"/>
      <c r="F89" s="1"/>
      <c r="G89" s="1"/>
      <c r="H89" s="1"/>
      <c r="I89" s="3"/>
      <c r="J89" s="3"/>
      <c r="K89" s="262"/>
      <c r="L89" s="260" t="s">
        <v>151</v>
      </c>
      <c r="M89" s="203">
        <f>+M88-M87</f>
        <v>-278.09523457672913</v>
      </c>
      <c r="N89" s="203">
        <f>+N88-N87</f>
        <v>-278.09523457672913</v>
      </c>
      <c r="O89" s="204">
        <f>+O88-O87</f>
        <v>0</v>
      </c>
      <c r="P89" s="1"/>
      <c r="Q89" s="1"/>
    </row>
    <row r="90" spans="1:17" ht="13.5" thickBot="1">
      <c r="C90" s="170"/>
      <c r="D90" s="173" t="str">
        <f>D8</f>
        <v/>
      </c>
      <c r="E90" s="107"/>
      <c r="F90" s="107"/>
      <c r="G90" s="107"/>
      <c r="H90" s="126"/>
      <c r="I90" s="3"/>
      <c r="J90" s="3"/>
      <c r="K90" s="111"/>
      <c r="L90" s="3"/>
      <c r="M90" s="3"/>
      <c r="N90" s="3"/>
      <c r="O90" s="111"/>
      <c r="P90" s="1"/>
      <c r="Q90" s="1"/>
    </row>
    <row r="91" spans="1:17" ht="13.5" thickBot="1">
      <c r="A91" s="103"/>
      <c r="C91" s="205" t="s">
        <v>80</v>
      </c>
      <c r="D91" s="224" t="str">
        <f>+D9</f>
        <v>TP2009100</v>
      </c>
      <c r="E91" s="206"/>
      <c r="F91" s="206"/>
      <c r="G91" s="206"/>
      <c r="H91" s="206"/>
      <c r="I91" s="206"/>
      <c r="J91" s="238"/>
      <c r="K91" s="207"/>
      <c r="P91" s="131"/>
      <c r="Q91" s="1"/>
    </row>
    <row r="92" spans="1:17">
      <c r="C92" s="136" t="s">
        <v>47</v>
      </c>
      <c r="D92" s="133">
        <f>IF(D11=I10,0,D10)</f>
        <v>230750</v>
      </c>
      <c r="E92" s="21" t="s">
        <v>81</v>
      </c>
      <c r="H92" s="134"/>
      <c r="I92" s="134"/>
      <c r="J92" s="135">
        <f>+'SWE.WS.G.BPU.ATRR.True-up'!M15</f>
        <v>2017</v>
      </c>
      <c r="K92" s="130"/>
      <c r="L92" s="111" t="s">
        <v>82</v>
      </c>
      <c r="P92" s="4"/>
      <c r="Q92" s="1"/>
    </row>
    <row r="93" spans="1:17">
      <c r="C93" s="136" t="s">
        <v>49</v>
      </c>
      <c r="D93" s="219">
        <f>IF(D11=I10,"",D11)</f>
        <v>2012</v>
      </c>
      <c r="E93" s="136" t="s">
        <v>50</v>
      </c>
      <c r="F93" s="134"/>
      <c r="G93" s="134"/>
      <c r="J93" s="138">
        <f>IF(H87="",0,'SWE.WS.G.BPU.ATRR.True-up'!$F$12)</f>
        <v>0</v>
      </c>
      <c r="K93" s="139"/>
      <c r="L93" t="str">
        <f>"          INPUT TRUE-UP ARR (WITH &amp; WITHOUT INCENTIVES) FROM EACH PRIOR YEAR"</f>
        <v xml:space="preserve">          INPUT TRUE-UP ARR (WITH &amp; WITHOUT INCENTIVES) FROM EACH PRIOR YEAR</v>
      </c>
      <c r="P93" s="4"/>
      <c r="Q93" s="1"/>
    </row>
    <row r="94" spans="1:17">
      <c r="C94" s="136" t="s">
        <v>51</v>
      </c>
      <c r="D94" s="218">
        <f>IF(D11=I10,"",D12)</f>
        <v>6</v>
      </c>
      <c r="E94" s="136" t="s">
        <v>52</v>
      </c>
      <c r="F94" s="134"/>
      <c r="G94" s="134"/>
      <c r="J94" s="140">
        <f>'SWE.WS.G.BPU.ATRR.True-up'!$F$80</f>
        <v>0.12147145768398206</v>
      </c>
      <c r="K94" s="141"/>
      <c r="L94" t="s">
        <v>83</v>
      </c>
      <c r="P94" s="4"/>
      <c r="Q94" s="1"/>
    </row>
    <row r="95" spans="1:17">
      <c r="C95" s="136" t="s">
        <v>54</v>
      </c>
      <c r="D95" s="138">
        <f>'SWE.WS.G.BPU.ATRR.True-up'!F$92</f>
        <v>42</v>
      </c>
      <c r="E95" s="136" t="s">
        <v>55</v>
      </c>
      <c r="F95" s="134"/>
      <c r="G95" s="134"/>
      <c r="J95" s="140">
        <f>IF(H87="",J94,'SWE.WS.G.BPU.ATRR.True-up'!$F$79)</f>
        <v>0.12147145768398206</v>
      </c>
      <c r="K95" s="58"/>
      <c r="L95" s="111" t="s">
        <v>56</v>
      </c>
      <c r="M95" s="58"/>
      <c r="N95" s="58"/>
      <c r="O95" s="58"/>
      <c r="P95" s="4"/>
      <c r="Q95" s="1"/>
    </row>
    <row r="96" spans="1:17" ht="13.5" thickBot="1">
      <c r="C96" s="136" t="s">
        <v>57</v>
      </c>
      <c r="D96" s="220" t="str">
        <f>+D14</f>
        <v>No</v>
      </c>
      <c r="E96" s="202" t="s">
        <v>59</v>
      </c>
      <c r="F96" s="208"/>
      <c r="G96" s="208"/>
      <c r="H96" s="209"/>
      <c r="I96" s="209"/>
      <c r="J96" s="124">
        <f>IF(D92=0,0,D92/D95)</f>
        <v>5494.0476190476193</v>
      </c>
      <c r="K96" s="111"/>
      <c r="L96" s="111"/>
      <c r="M96" s="111"/>
      <c r="N96" s="111"/>
      <c r="O96" s="111"/>
      <c r="P96" s="4"/>
      <c r="Q96" s="1"/>
    </row>
    <row r="97" spans="1:17" ht="38.25">
      <c r="A97" s="6"/>
      <c r="B97" s="6"/>
      <c r="C97" s="210" t="s">
        <v>47</v>
      </c>
      <c r="D97" s="211" t="s">
        <v>60</v>
      </c>
      <c r="E97" s="146" t="s">
        <v>61</v>
      </c>
      <c r="F97" s="146" t="s">
        <v>62</v>
      </c>
      <c r="G97" s="144" t="s">
        <v>84</v>
      </c>
      <c r="H97" s="434" t="s">
        <v>378</v>
      </c>
      <c r="I97" s="435" t="s">
        <v>379</v>
      </c>
      <c r="J97" s="210" t="s">
        <v>85</v>
      </c>
      <c r="K97" s="212"/>
      <c r="L97" s="271" t="s">
        <v>220</v>
      </c>
      <c r="M97" s="146" t="s">
        <v>86</v>
      </c>
      <c r="N97" s="271" t="s">
        <v>220</v>
      </c>
      <c r="O97" s="146" t="s">
        <v>86</v>
      </c>
      <c r="P97" s="146" t="s">
        <v>65</v>
      </c>
      <c r="Q97" s="1"/>
    </row>
    <row r="98" spans="1:17" ht="13.5" thickBot="1">
      <c r="C98" s="147" t="s">
        <v>66</v>
      </c>
      <c r="D98" s="213" t="s">
        <v>67</v>
      </c>
      <c r="E98" s="147" t="s">
        <v>68</v>
      </c>
      <c r="F98" s="147" t="s">
        <v>67</v>
      </c>
      <c r="G98" s="147" t="s">
        <v>67</v>
      </c>
      <c r="H98" s="407" t="s">
        <v>69</v>
      </c>
      <c r="I98" s="148" t="s">
        <v>70</v>
      </c>
      <c r="J98" s="149" t="s">
        <v>89</v>
      </c>
      <c r="K98" s="150"/>
      <c r="L98" s="151" t="s">
        <v>72</v>
      </c>
      <c r="M98" s="151" t="s">
        <v>72</v>
      </c>
      <c r="N98" s="151" t="s">
        <v>90</v>
      </c>
      <c r="O98" s="151" t="s">
        <v>90</v>
      </c>
      <c r="P98" s="151" t="s">
        <v>90</v>
      </c>
      <c r="Q98" s="1"/>
    </row>
    <row r="99" spans="1:17">
      <c r="C99" s="153">
        <f>IF(D93= "","-",D93)</f>
        <v>2012</v>
      </c>
      <c r="D99" s="357">
        <v>0</v>
      </c>
      <c r="E99" s="360">
        <v>2747.0238095238096</v>
      </c>
      <c r="F99" s="361">
        <v>228002.97619047618</v>
      </c>
      <c r="G99" s="365">
        <v>114001.48809523809</v>
      </c>
      <c r="H99" s="362">
        <v>19522.791013350252</v>
      </c>
      <c r="I99" s="363">
        <v>19522.791013350252</v>
      </c>
      <c r="J99" s="158">
        <f t="shared" ref="J99:J130" si="21">+I99-H99</f>
        <v>0</v>
      </c>
      <c r="K99" s="158"/>
      <c r="L99" s="256">
        <f>H99</f>
        <v>19522.791013350252</v>
      </c>
      <c r="M99" s="172">
        <f t="shared" ref="M99:M130" si="22">IF(L99&lt;&gt;0,+H99-L99,0)</f>
        <v>0</v>
      </c>
      <c r="N99" s="256">
        <f>I99</f>
        <v>19522.791013350252</v>
      </c>
      <c r="O99" s="157">
        <f t="shared" ref="O99:O130" si="23">IF(N99&lt;&gt;0,+I99-N99,0)</f>
        <v>0</v>
      </c>
      <c r="P99" s="157">
        <f t="shared" ref="P99:P130" si="24">+O99-M99</f>
        <v>0</v>
      </c>
      <c r="Q99" s="1"/>
    </row>
    <row r="100" spans="1:17">
      <c r="B100" s="9" t="str">
        <f t="shared" ref="B100:B131" si="25">IF(D100=F99,"","IU")</f>
        <v/>
      </c>
      <c r="C100" s="153">
        <f>IF(D93="","-",+C99+1)</f>
        <v>2013</v>
      </c>
      <c r="D100" s="357">
        <v>228002.97619047618</v>
      </c>
      <c r="E100" s="360">
        <v>5494.0476190476193</v>
      </c>
      <c r="F100" s="361">
        <v>222508.92857142855</v>
      </c>
      <c r="G100" s="361">
        <v>225255.95238095237</v>
      </c>
      <c r="H100" s="362">
        <v>35969.308872002533</v>
      </c>
      <c r="I100" s="363">
        <v>35969.308872002533</v>
      </c>
      <c r="J100" s="158">
        <v>0</v>
      </c>
      <c r="K100" s="158"/>
      <c r="L100" s="258">
        <f>H100</f>
        <v>35969.308872002533</v>
      </c>
      <c r="M100" s="257">
        <f>IF(L100&lt;&gt;0,+H100-L100,0)</f>
        <v>0</v>
      </c>
      <c r="N100" s="258">
        <f>I100</f>
        <v>35969.308872002533</v>
      </c>
      <c r="O100" s="158">
        <f>IF(N100&lt;&gt;0,+I100-N100,0)</f>
        <v>0</v>
      </c>
      <c r="P100" s="158">
        <f>+O100-M100</f>
        <v>0</v>
      </c>
      <c r="Q100" s="1"/>
    </row>
    <row r="101" spans="1:17">
      <c r="B101" s="9" t="str">
        <f t="shared" si="25"/>
        <v/>
      </c>
      <c r="C101" s="153">
        <f>IF(D93="","-",+C100+1)</f>
        <v>2014</v>
      </c>
      <c r="D101" s="357">
        <v>222508.92857142855</v>
      </c>
      <c r="E101" s="360">
        <v>5494.0476190476193</v>
      </c>
      <c r="F101" s="361">
        <v>217014.88095238092</v>
      </c>
      <c r="G101" s="361">
        <v>219761.90476190473</v>
      </c>
      <c r="H101" s="362">
        <v>35364.846038717165</v>
      </c>
      <c r="I101" s="363">
        <v>35364.846038717165</v>
      </c>
      <c r="J101" s="158">
        <v>0</v>
      </c>
      <c r="K101" s="158"/>
      <c r="L101" s="258">
        <f>H101</f>
        <v>35364.846038717165</v>
      </c>
      <c r="M101" s="257">
        <f>IF(L101&lt;&gt;0,+H101-L101,0)</f>
        <v>0</v>
      </c>
      <c r="N101" s="258">
        <f>I101</f>
        <v>35364.846038717165</v>
      </c>
      <c r="O101" s="158">
        <f>IF(N101&lt;&gt;0,+I101-N101,0)</f>
        <v>0</v>
      </c>
      <c r="P101" s="158">
        <f>+O101-M101</f>
        <v>0</v>
      </c>
      <c r="Q101" s="1"/>
    </row>
    <row r="102" spans="1:17">
      <c r="B102" s="9" t="str">
        <f t="shared" si="25"/>
        <v/>
      </c>
      <c r="C102" s="153">
        <f>IF(D93="","-",+C101+1)</f>
        <v>2015</v>
      </c>
      <c r="D102" s="357">
        <v>217014.88095238092</v>
      </c>
      <c r="E102" s="360">
        <v>5494.0476190476193</v>
      </c>
      <c r="F102" s="361">
        <v>211520.83333333328</v>
      </c>
      <c r="G102" s="361">
        <v>214267.8571428571</v>
      </c>
      <c r="H102" s="362">
        <v>33727.882719440844</v>
      </c>
      <c r="I102" s="363">
        <v>33727.882719440844</v>
      </c>
      <c r="J102" s="158">
        <f t="shared" si="21"/>
        <v>0</v>
      </c>
      <c r="K102" s="158"/>
      <c r="L102" s="258">
        <f>H102</f>
        <v>33727.882719440844</v>
      </c>
      <c r="M102" s="257">
        <f>IF(L102&lt;&gt;0,+H102-L102,0)</f>
        <v>0</v>
      </c>
      <c r="N102" s="258">
        <f>I102</f>
        <v>33727.882719440844</v>
      </c>
      <c r="O102" s="158">
        <f>IF(N102&lt;&gt;0,+I102-N102,0)</f>
        <v>0</v>
      </c>
      <c r="P102" s="158">
        <f>+O102-M102</f>
        <v>0</v>
      </c>
      <c r="Q102" s="1"/>
    </row>
    <row r="103" spans="1:17">
      <c r="B103" s="9" t="str">
        <f t="shared" si="25"/>
        <v/>
      </c>
      <c r="C103" s="153">
        <f>IF(D93="","-",+C102+1)</f>
        <v>2016</v>
      </c>
      <c r="D103" s="357">
        <v>211520.83333333328</v>
      </c>
      <c r="E103" s="360">
        <v>5366.2790697674418</v>
      </c>
      <c r="F103" s="361">
        <v>206154.55426356583</v>
      </c>
      <c r="G103" s="361">
        <v>208837.69379844956</v>
      </c>
      <c r="H103" s="362">
        <v>31878.22185164913</v>
      </c>
      <c r="I103" s="363">
        <v>31878.22185164913</v>
      </c>
      <c r="J103" s="158">
        <v>0</v>
      </c>
      <c r="K103" s="158"/>
      <c r="L103" s="258">
        <f>H103</f>
        <v>31878.22185164913</v>
      </c>
      <c r="M103" s="257">
        <f>IF(L103&lt;&gt;0,+H103-L103,0)</f>
        <v>0</v>
      </c>
      <c r="N103" s="258">
        <f>I103</f>
        <v>31878.22185164913</v>
      </c>
      <c r="O103" s="158">
        <f>IF(N103&lt;&gt;0,+I103-N103,0)</f>
        <v>0</v>
      </c>
      <c r="P103" s="158">
        <f>+O103-M103</f>
        <v>0</v>
      </c>
      <c r="Q103" s="1"/>
    </row>
    <row r="104" spans="1:17">
      <c r="B104" s="9" t="str">
        <f t="shared" si="25"/>
        <v/>
      </c>
      <c r="C104" s="153">
        <f>IF(D93="","-",+C103+1)</f>
        <v>2017</v>
      </c>
      <c r="D104" s="154">
        <f>IF(F103+SUM(E$99:E103)=D$92,F103,D$92-SUM(E$99:E103))</f>
        <v>206154.55426356583</v>
      </c>
      <c r="E104" s="160">
        <f>IF(+J96&lt;F103,J96,D104)</f>
        <v>5494.0476190476193</v>
      </c>
      <c r="F104" s="159">
        <f t="shared" ref="F104:F131" si="26">+D104-E104</f>
        <v>200660.5066445182</v>
      </c>
      <c r="G104" s="159">
        <f t="shared" ref="G104:G130" si="27">+(F104+D104)/2</f>
        <v>203407.53045404202</v>
      </c>
      <c r="H104" s="163">
        <f t="shared" ref="H104:H130" si="28">+J$94*G104+E104</f>
        <v>30202.256847199074</v>
      </c>
      <c r="I104" s="253">
        <f t="shared" ref="I104:I130" si="29">+J$95*G104+E104</f>
        <v>30202.256847199074</v>
      </c>
      <c r="J104" s="158">
        <f t="shared" si="21"/>
        <v>0</v>
      </c>
      <c r="K104" s="158"/>
      <c r="L104" s="334"/>
      <c r="M104" s="158">
        <f t="shared" si="22"/>
        <v>0</v>
      </c>
      <c r="N104" s="334"/>
      <c r="O104" s="158">
        <f t="shared" si="23"/>
        <v>0</v>
      </c>
      <c r="P104" s="158">
        <f t="shared" si="24"/>
        <v>0</v>
      </c>
      <c r="Q104" s="1"/>
    </row>
    <row r="105" spans="1:17">
      <c r="B105" s="9" t="str">
        <f t="shared" si="25"/>
        <v/>
      </c>
      <c r="C105" s="153">
        <f>IF(D93="","-",+C104+1)</f>
        <v>2018</v>
      </c>
      <c r="D105" s="154">
        <f>IF(F104+SUM(E$99:E104)=D$92,F104,D$92-SUM(E$99:E104))</f>
        <v>200660.5066445182</v>
      </c>
      <c r="E105" s="160">
        <f>IF(+J96&lt;F104,J96,D105)</f>
        <v>5494.0476190476193</v>
      </c>
      <c r="F105" s="159">
        <f t="shared" si="26"/>
        <v>195166.45902547057</v>
      </c>
      <c r="G105" s="159">
        <f t="shared" si="27"/>
        <v>197913.48283499439</v>
      </c>
      <c r="H105" s="163">
        <f t="shared" si="28"/>
        <v>29534.886874328149</v>
      </c>
      <c r="I105" s="253">
        <f t="shared" si="29"/>
        <v>29534.886874328149</v>
      </c>
      <c r="J105" s="158">
        <f t="shared" si="21"/>
        <v>0</v>
      </c>
      <c r="K105" s="158"/>
      <c r="L105" s="334"/>
      <c r="M105" s="158">
        <f t="shared" si="22"/>
        <v>0</v>
      </c>
      <c r="N105" s="334"/>
      <c r="O105" s="158">
        <f t="shared" si="23"/>
        <v>0</v>
      </c>
      <c r="P105" s="158">
        <f t="shared" si="24"/>
        <v>0</v>
      </c>
      <c r="Q105" s="1"/>
    </row>
    <row r="106" spans="1:17">
      <c r="B106" s="9" t="str">
        <f t="shared" si="25"/>
        <v/>
      </c>
      <c r="C106" s="153">
        <f>IF(D93="","-",+C105+1)</f>
        <v>2019</v>
      </c>
      <c r="D106" s="154">
        <f>IF(F105+SUM(E$99:E105)=D$92,F105,D$92-SUM(E$99:E105))</f>
        <v>195166.45902547057</v>
      </c>
      <c r="E106" s="160">
        <f>IF(+J96&lt;F105,J96,D106)</f>
        <v>5494.0476190476193</v>
      </c>
      <c r="F106" s="159">
        <f t="shared" si="26"/>
        <v>189672.41140642294</v>
      </c>
      <c r="G106" s="159">
        <f t="shared" si="27"/>
        <v>192419.43521594675</v>
      </c>
      <c r="H106" s="163">
        <f t="shared" si="28"/>
        <v>28867.51690145722</v>
      </c>
      <c r="I106" s="253">
        <f t="shared" si="29"/>
        <v>28867.51690145722</v>
      </c>
      <c r="J106" s="158">
        <f t="shared" si="21"/>
        <v>0</v>
      </c>
      <c r="K106" s="158"/>
      <c r="L106" s="334"/>
      <c r="M106" s="158">
        <f t="shared" si="22"/>
        <v>0</v>
      </c>
      <c r="N106" s="334"/>
      <c r="O106" s="158">
        <f t="shared" si="23"/>
        <v>0</v>
      </c>
      <c r="P106" s="158">
        <f t="shared" si="24"/>
        <v>0</v>
      </c>
      <c r="Q106" s="1"/>
    </row>
    <row r="107" spans="1:17">
      <c r="B107" s="9" t="str">
        <f t="shared" si="25"/>
        <v/>
      </c>
      <c r="C107" s="153">
        <f>IF(D93="","-",+C106+1)</f>
        <v>2020</v>
      </c>
      <c r="D107" s="154">
        <f>IF(F106+SUM(E$99:E106)=D$92,F106,D$92-SUM(E$99:E106))</f>
        <v>189672.41140642294</v>
      </c>
      <c r="E107" s="160">
        <f>IF(+J96&lt;F106,J96,D107)</f>
        <v>5494.0476190476193</v>
      </c>
      <c r="F107" s="159">
        <f t="shared" si="26"/>
        <v>184178.3637873753</v>
      </c>
      <c r="G107" s="159">
        <f t="shared" si="27"/>
        <v>186925.38759689912</v>
      </c>
      <c r="H107" s="163">
        <f t="shared" si="28"/>
        <v>28200.146928586295</v>
      </c>
      <c r="I107" s="253">
        <f t="shared" si="29"/>
        <v>28200.146928586295</v>
      </c>
      <c r="J107" s="158">
        <f t="shared" si="21"/>
        <v>0</v>
      </c>
      <c r="K107" s="158"/>
      <c r="L107" s="334"/>
      <c r="M107" s="158">
        <f t="shared" si="22"/>
        <v>0</v>
      </c>
      <c r="N107" s="334"/>
      <c r="O107" s="158">
        <f t="shared" si="23"/>
        <v>0</v>
      </c>
      <c r="P107" s="158">
        <f t="shared" si="24"/>
        <v>0</v>
      </c>
      <c r="Q107" s="1"/>
    </row>
    <row r="108" spans="1:17">
      <c r="B108" s="9" t="str">
        <f t="shared" si="25"/>
        <v/>
      </c>
      <c r="C108" s="153">
        <f>IF(D93="","-",+C107+1)</f>
        <v>2021</v>
      </c>
      <c r="D108" s="154">
        <f>IF(F107+SUM(E$99:E107)=D$92,F107,D$92-SUM(E$99:E107))</f>
        <v>184178.3637873753</v>
      </c>
      <c r="E108" s="160">
        <f>IF(+J96&lt;F107,J96,D108)</f>
        <v>5494.0476190476193</v>
      </c>
      <c r="F108" s="159">
        <f t="shared" si="26"/>
        <v>178684.31616832767</v>
      </c>
      <c r="G108" s="159">
        <f t="shared" si="27"/>
        <v>181431.33997785149</v>
      </c>
      <c r="H108" s="163">
        <f t="shared" si="28"/>
        <v>27532.776955715366</v>
      </c>
      <c r="I108" s="253">
        <f t="shared" si="29"/>
        <v>27532.776955715366</v>
      </c>
      <c r="J108" s="158">
        <f t="shared" si="21"/>
        <v>0</v>
      </c>
      <c r="K108" s="158"/>
      <c r="L108" s="334"/>
      <c r="M108" s="158">
        <f t="shared" si="22"/>
        <v>0</v>
      </c>
      <c r="N108" s="334"/>
      <c r="O108" s="158">
        <f t="shared" si="23"/>
        <v>0</v>
      </c>
      <c r="P108" s="158">
        <f t="shared" si="24"/>
        <v>0</v>
      </c>
      <c r="Q108" s="1"/>
    </row>
    <row r="109" spans="1:17">
      <c r="B109" s="9" t="str">
        <f t="shared" si="25"/>
        <v/>
      </c>
      <c r="C109" s="153">
        <f>IF(D93="","-",+C108+1)</f>
        <v>2022</v>
      </c>
      <c r="D109" s="154">
        <f>IF(F108+SUM(E$99:E108)=D$92,F108,D$92-SUM(E$99:E108))</f>
        <v>178684.31616832767</v>
      </c>
      <c r="E109" s="160">
        <f>IF(+J96&lt;F108,J96,D109)</f>
        <v>5494.0476190476193</v>
      </c>
      <c r="F109" s="159">
        <f t="shared" si="26"/>
        <v>173190.26854928004</v>
      </c>
      <c r="G109" s="159">
        <f t="shared" si="27"/>
        <v>175937.29235880385</v>
      </c>
      <c r="H109" s="163">
        <f t="shared" si="28"/>
        <v>26865.406982844441</v>
      </c>
      <c r="I109" s="253">
        <f t="shared" si="29"/>
        <v>26865.406982844441</v>
      </c>
      <c r="J109" s="158">
        <f t="shared" si="21"/>
        <v>0</v>
      </c>
      <c r="K109" s="158"/>
      <c r="L109" s="334"/>
      <c r="M109" s="158">
        <f t="shared" si="22"/>
        <v>0</v>
      </c>
      <c r="N109" s="334"/>
      <c r="O109" s="158">
        <f t="shared" si="23"/>
        <v>0</v>
      </c>
      <c r="P109" s="158">
        <f t="shared" si="24"/>
        <v>0</v>
      </c>
      <c r="Q109" s="1"/>
    </row>
    <row r="110" spans="1:17">
      <c r="B110" s="9" t="str">
        <f t="shared" si="25"/>
        <v/>
      </c>
      <c r="C110" s="153">
        <f>IF(D93="","-",+C109+1)</f>
        <v>2023</v>
      </c>
      <c r="D110" s="154">
        <f>IF(F109+SUM(E$99:E109)=D$92,F109,D$92-SUM(E$99:E109))</f>
        <v>173190.26854928004</v>
      </c>
      <c r="E110" s="160">
        <f>IF(+J96&lt;F109,J96,D110)</f>
        <v>5494.0476190476193</v>
      </c>
      <c r="F110" s="159">
        <f t="shared" si="26"/>
        <v>167696.2209302324</v>
      </c>
      <c r="G110" s="159">
        <f t="shared" si="27"/>
        <v>170443.24473975622</v>
      </c>
      <c r="H110" s="163">
        <f t="shared" si="28"/>
        <v>26198.037009973512</v>
      </c>
      <c r="I110" s="253">
        <f t="shared" si="29"/>
        <v>26198.037009973512</v>
      </c>
      <c r="J110" s="158">
        <f t="shared" si="21"/>
        <v>0</v>
      </c>
      <c r="K110" s="158"/>
      <c r="L110" s="334"/>
      <c r="M110" s="158">
        <f t="shared" si="22"/>
        <v>0</v>
      </c>
      <c r="N110" s="334"/>
      <c r="O110" s="158">
        <f t="shared" si="23"/>
        <v>0</v>
      </c>
      <c r="P110" s="158">
        <f t="shared" si="24"/>
        <v>0</v>
      </c>
      <c r="Q110" s="1"/>
    </row>
    <row r="111" spans="1:17">
      <c r="B111" s="9" t="str">
        <f t="shared" si="25"/>
        <v/>
      </c>
      <c r="C111" s="153">
        <f>IF(D93="","-",+C110+1)</f>
        <v>2024</v>
      </c>
      <c r="D111" s="154">
        <f>IF(F110+SUM(E$99:E110)=D$92,F110,D$92-SUM(E$99:E110))</f>
        <v>167696.2209302324</v>
      </c>
      <c r="E111" s="160">
        <f>IF(+J96&lt;F110,J96,D111)</f>
        <v>5494.0476190476193</v>
      </c>
      <c r="F111" s="159">
        <f t="shared" si="26"/>
        <v>162202.17331118477</v>
      </c>
      <c r="G111" s="159">
        <f t="shared" si="27"/>
        <v>164949.19712070859</v>
      </c>
      <c r="H111" s="163">
        <f t="shared" si="28"/>
        <v>25530.667037102587</v>
      </c>
      <c r="I111" s="253">
        <f t="shared" si="29"/>
        <v>25530.667037102587</v>
      </c>
      <c r="J111" s="158">
        <f t="shared" si="21"/>
        <v>0</v>
      </c>
      <c r="K111" s="158"/>
      <c r="L111" s="334"/>
      <c r="M111" s="158">
        <f t="shared" si="22"/>
        <v>0</v>
      </c>
      <c r="N111" s="334"/>
      <c r="O111" s="158">
        <f t="shared" si="23"/>
        <v>0</v>
      </c>
      <c r="P111" s="158">
        <f t="shared" si="24"/>
        <v>0</v>
      </c>
      <c r="Q111" s="1"/>
    </row>
    <row r="112" spans="1:17">
      <c r="B112" s="9" t="str">
        <f t="shared" si="25"/>
        <v/>
      </c>
      <c r="C112" s="153">
        <f>IF(D93="","-",+C111+1)</f>
        <v>2025</v>
      </c>
      <c r="D112" s="154">
        <f>IF(F111+SUM(E$99:E111)=D$92,F111,D$92-SUM(E$99:E111))</f>
        <v>162202.17331118477</v>
      </c>
      <c r="E112" s="160">
        <f>IF(+J96&lt;F111,J96,D112)</f>
        <v>5494.0476190476193</v>
      </c>
      <c r="F112" s="159">
        <f t="shared" si="26"/>
        <v>156708.12569213714</v>
      </c>
      <c r="G112" s="159">
        <f t="shared" si="27"/>
        <v>159455.14950166096</v>
      </c>
      <c r="H112" s="163">
        <f t="shared" si="28"/>
        <v>24863.297064231661</v>
      </c>
      <c r="I112" s="253">
        <f t="shared" si="29"/>
        <v>24863.297064231661</v>
      </c>
      <c r="J112" s="158">
        <f t="shared" si="21"/>
        <v>0</v>
      </c>
      <c r="K112" s="158"/>
      <c r="L112" s="334"/>
      <c r="M112" s="158">
        <f t="shared" si="22"/>
        <v>0</v>
      </c>
      <c r="N112" s="334"/>
      <c r="O112" s="158">
        <f t="shared" si="23"/>
        <v>0</v>
      </c>
      <c r="P112" s="158">
        <f t="shared" si="24"/>
        <v>0</v>
      </c>
      <c r="Q112" s="1"/>
    </row>
    <row r="113" spans="2:17">
      <c r="B113" s="9" t="str">
        <f t="shared" si="25"/>
        <v/>
      </c>
      <c r="C113" s="153">
        <f>IF(D93="","-",+C112+1)</f>
        <v>2026</v>
      </c>
      <c r="D113" s="154">
        <f>IF(F112+SUM(E$99:E112)=D$92,F112,D$92-SUM(E$99:E112))</f>
        <v>156708.12569213714</v>
      </c>
      <c r="E113" s="160">
        <f>IF(+J96&lt;F112,J96,D113)</f>
        <v>5494.0476190476193</v>
      </c>
      <c r="F113" s="159">
        <f t="shared" si="26"/>
        <v>151214.07807308951</v>
      </c>
      <c r="G113" s="159">
        <f t="shared" si="27"/>
        <v>153961.10188261332</v>
      </c>
      <c r="H113" s="163">
        <f t="shared" si="28"/>
        <v>24195.927091360732</v>
      </c>
      <c r="I113" s="253">
        <f t="shared" si="29"/>
        <v>24195.927091360732</v>
      </c>
      <c r="J113" s="158">
        <f t="shared" si="21"/>
        <v>0</v>
      </c>
      <c r="K113" s="158"/>
      <c r="L113" s="334"/>
      <c r="M113" s="158">
        <f t="shared" si="22"/>
        <v>0</v>
      </c>
      <c r="N113" s="334"/>
      <c r="O113" s="158">
        <f t="shared" si="23"/>
        <v>0</v>
      </c>
      <c r="P113" s="158">
        <f t="shared" si="24"/>
        <v>0</v>
      </c>
      <c r="Q113" s="1"/>
    </row>
    <row r="114" spans="2:17">
      <c r="B114" s="9" t="str">
        <f t="shared" si="25"/>
        <v/>
      </c>
      <c r="C114" s="153">
        <f>IF(D93="","-",+C113+1)</f>
        <v>2027</v>
      </c>
      <c r="D114" s="154">
        <f>IF(F113+SUM(E$99:E113)=D$92,F113,D$92-SUM(E$99:E113))</f>
        <v>151214.07807308951</v>
      </c>
      <c r="E114" s="160">
        <f>IF(+J96&lt;F113,J96,D114)</f>
        <v>5494.0476190476193</v>
      </c>
      <c r="F114" s="159">
        <f t="shared" si="26"/>
        <v>145720.03045404187</v>
      </c>
      <c r="G114" s="159">
        <f t="shared" si="27"/>
        <v>148467.05426356569</v>
      </c>
      <c r="H114" s="163">
        <f t="shared" si="28"/>
        <v>23528.557118489807</v>
      </c>
      <c r="I114" s="253">
        <f t="shared" si="29"/>
        <v>23528.557118489807</v>
      </c>
      <c r="J114" s="158">
        <f t="shared" si="21"/>
        <v>0</v>
      </c>
      <c r="K114" s="158"/>
      <c r="L114" s="334"/>
      <c r="M114" s="158">
        <f t="shared" si="22"/>
        <v>0</v>
      </c>
      <c r="N114" s="334"/>
      <c r="O114" s="158">
        <f t="shared" si="23"/>
        <v>0</v>
      </c>
      <c r="P114" s="158">
        <f t="shared" si="24"/>
        <v>0</v>
      </c>
      <c r="Q114" s="1"/>
    </row>
    <row r="115" spans="2:17">
      <c r="B115" s="9" t="str">
        <f t="shared" si="25"/>
        <v/>
      </c>
      <c r="C115" s="153">
        <f>IF(D93="","-",+C114+1)</f>
        <v>2028</v>
      </c>
      <c r="D115" s="154">
        <f>IF(F114+SUM(E$99:E114)=D$92,F114,D$92-SUM(E$99:E114))</f>
        <v>145720.03045404187</v>
      </c>
      <c r="E115" s="160">
        <f>IF(+J96&lt;F114,J96,D115)</f>
        <v>5494.0476190476193</v>
      </c>
      <c r="F115" s="159">
        <f t="shared" si="26"/>
        <v>140225.98283499424</v>
      </c>
      <c r="G115" s="159">
        <f t="shared" si="27"/>
        <v>142973.00664451806</v>
      </c>
      <c r="H115" s="163">
        <f t="shared" si="28"/>
        <v>22861.187145618878</v>
      </c>
      <c r="I115" s="253">
        <f t="shared" si="29"/>
        <v>22861.187145618878</v>
      </c>
      <c r="J115" s="158">
        <f t="shared" si="21"/>
        <v>0</v>
      </c>
      <c r="K115" s="158"/>
      <c r="L115" s="334"/>
      <c r="M115" s="158">
        <f t="shared" si="22"/>
        <v>0</v>
      </c>
      <c r="N115" s="334"/>
      <c r="O115" s="158">
        <f t="shared" si="23"/>
        <v>0</v>
      </c>
      <c r="P115" s="158">
        <f t="shared" si="24"/>
        <v>0</v>
      </c>
      <c r="Q115" s="1"/>
    </row>
    <row r="116" spans="2:17">
      <c r="B116" s="9" t="str">
        <f t="shared" si="25"/>
        <v/>
      </c>
      <c r="C116" s="153">
        <f>IF(D93="","-",+C115+1)</f>
        <v>2029</v>
      </c>
      <c r="D116" s="154">
        <f>IF(F115+SUM(E$99:E115)=D$92,F115,D$92-SUM(E$99:E115))</f>
        <v>140225.98283499424</v>
      </c>
      <c r="E116" s="160">
        <f>IF(+J96&lt;F115,J96,D116)</f>
        <v>5494.0476190476193</v>
      </c>
      <c r="F116" s="159">
        <f t="shared" si="26"/>
        <v>134731.93521594661</v>
      </c>
      <c r="G116" s="159">
        <f t="shared" si="27"/>
        <v>137478.95902547042</v>
      </c>
      <c r="H116" s="163">
        <f t="shared" si="28"/>
        <v>22193.817172747953</v>
      </c>
      <c r="I116" s="253">
        <f t="shared" si="29"/>
        <v>22193.817172747953</v>
      </c>
      <c r="J116" s="158">
        <f t="shared" si="21"/>
        <v>0</v>
      </c>
      <c r="K116" s="158"/>
      <c r="L116" s="334"/>
      <c r="M116" s="158">
        <f t="shared" si="22"/>
        <v>0</v>
      </c>
      <c r="N116" s="334"/>
      <c r="O116" s="158">
        <f t="shared" si="23"/>
        <v>0</v>
      </c>
      <c r="P116" s="158">
        <f t="shared" si="24"/>
        <v>0</v>
      </c>
      <c r="Q116" s="1"/>
    </row>
    <row r="117" spans="2:17">
      <c r="B117" s="9" t="str">
        <f t="shared" si="25"/>
        <v/>
      </c>
      <c r="C117" s="153">
        <f>IF(D93="","-",+C116+1)</f>
        <v>2030</v>
      </c>
      <c r="D117" s="154">
        <f>IF(F116+SUM(E$99:E116)=D$92,F116,D$92-SUM(E$99:E116))</f>
        <v>134731.93521594661</v>
      </c>
      <c r="E117" s="160">
        <f>IF(+J96&lt;F116,J96,D117)</f>
        <v>5494.0476190476193</v>
      </c>
      <c r="F117" s="159">
        <f t="shared" si="26"/>
        <v>129237.88759689899</v>
      </c>
      <c r="G117" s="159">
        <f t="shared" si="27"/>
        <v>131984.91140642279</v>
      </c>
      <c r="H117" s="163">
        <f t="shared" si="28"/>
        <v>21526.447199877024</v>
      </c>
      <c r="I117" s="253">
        <f t="shared" si="29"/>
        <v>21526.447199877024</v>
      </c>
      <c r="J117" s="158">
        <f t="shared" si="21"/>
        <v>0</v>
      </c>
      <c r="K117" s="158"/>
      <c r="L117" s="334"/>
      <c r="M117" s="158">
        <f t="shared" si="22"/>
        <v>0</v>
      </c>
      <c r="N117" s="334"/>
      <c r="O117" s="158">
        <f t="shared" si="23"/>
        <v>0</v>
      </c>
      <c r="P117" s="158">
        <f t="shared" si="24"/>
        <v>0</v>
      </c>
      <c r="Q117" s="1"/>
    </row>
    <row r="118" spans="2:17">
      <c r="B118" s="9" t="str">
        <f t="shared" si="25"/>
        <v/>
      </c>
      <c r="C118" s="153">
        <f>IF(D93="","-",+C117+1)</f>
        <v>2031</v>
      </c>
      <c r="D118" s="154">
        <f>IF(F117+SUM(E$99:E117)=D$92,F117,D$92-SUM(E$99:E117))</f>
        <v>129237.88759689899</v>
      </c>
      <c r="E118" s="160">
        <f>IF(+J96&lt;F117,J96,D118)</f>
        <v>5494.0476190476193</v>
      </c>
      <c r="F118" s="159">
        <f t="shared" si="26"/>
        <v>123743.83997785137</v>
      </c>
      <c r="G118" s="159">
        <f t="shared" si="27"/>
        <v>126490.86378737519</v>
      </c>
      <c r="H118" s="163">
        <f t="shared" si="28"/>
        <v>20859.077227006102</v>
      </c>
      <c r="I118" s="253">
        <f t="shared" si="29"/>
        <v>20859.077227006102</v>
      </c>
      <c r="J118" s="158">
        <f t="shared" si="21"/>
        <v>0</v>
      </c>
      <c r="K118" s="158"/>
      <c r="L118" s="334"/>
      <c r="M118" s="158">
        <f t="shared" si="22"/>
        <v>0</v>
      </c>
      <c r="N118" s="334"/>
      <c r="O118" s="158">
        <f t="shared" si="23"/>
        <v>0</v>
      </c>
      <c r="P118" s="158">
        <f t="shared" si="24"/>
        <v>0</v>
      </c>
      <c r="Q118" s="1"/>
    </row>
    <row r="119" spans="2:17">
      <c r="B119" s="9" t="str">
        <f t="shared" si="25"/>
        <v/>
      </c>
      <c r="C119" s="153">
        <f>IF(D93="","-",+C118+1)</f>
        <v>2032</v>
      </c>
      <c r="D119" s="154">
        <f>IF(F118+SUM(E$99:E118)=D$92,F118,D$92-SUM(E$99:E118))</f>
        <v>123743.83997785137</v>
      </c>
      <c r="E119" s="160">
        <f>IF(+J96&lt;F118,J96,D119)</f>
        <v>5494.0476190476193</v>
      </c>
      <c r="F119" s="159">
        <f t="shared" si="26"/>
        <v>118249.79235880375</v>
      </c>
      <c r="G119" s="159">
        <f t="shared" si="27"/>
        <v>120996.81616832755</v>
      </c>
      <c r="H119" s="163">
        <f t="shared" si="28"/>
        <v>20191.707254135177</v>
      </c>
      <c r="I119" s="253">
        <f t="shared" si="29"/>
        <v>20191.707254135177</v>
      </c>
      <c r="J119" s="158">
        <f t="shared" si="21"/>
        <v>0</v>
      </c>
      <c r="K119" s="158"/>
      <c r="L119" s="334"/>
      <c r="M119" s="158">
        <f t="shared" si="22"/>
        <v>0</v>
      </c>
      <c r="N119" s="334"/>
      <c r="O119" s="158">
        <f t="shared" si="23"/>
        <v>0</v>
      </c>
      <c r="P119" s="158">
        <f t="shared" si="24"/>
        <v>0</v>
      </c>
      <c r="Q119" s="1"/>
    </row>
    <row r="120" spans="2:17">
      <c r="B120" s="9" t="str">
        <f t="shared" si="25"/>
        <v/>
      </c>
      <c r="C120" s="153">
        <f>IF(D93="","-",+C119+1)</f>
        <v>2033</v>
      </c>
      <c r="D120" s="154">
        <f>IF(F119+SUM(E$99:E119)=D$92,F119,D$92-SUM(E$99:E119))</f>
        <v>118249.79235880375</v>
      </c>
      <c r="E120" s="160">
        <f>IF(+J96&lt;F119,J96,D120)</f>
        <v>5494.0476190476193</v>
      </c>
      <c r="F120" s="159">
        <f t="shared" si="26"/>
        <v>112755.74473975613</v>
      </c>
      <c r="G120" s="159">
        <f t="shared" si="27"/>
        <v>115502.76854927995</v>
      </c>
      <c r="H120" s="163">
        <f t="shared" si="28"/>
        <v>19524.337281264252</v>
      </c>
      <c r="I120" s="253">
        <f t="shared" si="29"/>
        <v>19524.337281264252</v>
      </c>
      <c r="J120" s="158">
        <f t="shared" si="21"/>
        <v>0</v>
      </c>
      <c r="K120" s="158"/>
      <c r="L120" s="334"/>
      <c r="M120" s="158">
        <f t="shared" si="22"/>
        <v>0</v>
      </c>
      <c r="N120" s="334"/>
      <c r="O120" s="158">
        <f t="shared" si="23"/>
        <v>0</v>
      </c>
      <c r="P120" s="158">
        <f t="shared" si="24"/>
        <v>0</v>
      </c>
      <c r="Q120" s="1"/>
    </row>
    <row r="121" spans="2:17">
      <c r="B121" s="9" t="str">
        <f t="shared" si="25"/>
        <v/>
      </c>
      <c r="C121" s="153">
        <f>IF(D93="","-",+C120+1)</f>
        <v>2034</v>
      </c>
      <c r="D121" s="154">
        <f>IF(F120+SUM(E$99:E120)=D$92,F120,D$92-SUM(E$99:E120))</f>
        <v>112755.74473975613</v>
      </c>
      <c r="E121" s="160">
        <f>IF(+J96&lt;F120,J96,D121)</f>
        <v>5494.0476190476193</v>
      </c>
      <c r="F121" s="159">
        <f t="shared" si="26"/>
        <v>107261.69712070852</v>
      </c>
      <c r="G121" s="159">
        <f t="shared" si="27"/>
        <v>110008.72093023232</v>
      </c>
      <c r="H121" s="163">
        <f t="shared" si="28"/>
        <v>18856.967308393327</v>
      </c>
      <c r="I121" s="253">
        <f t="shared" si="29"/>
        <v>18856.967308393327</v>
      </c>
      <c r="J121" s="158">
        <f t="shared" si="21"/>
        <v>0</v>
      </c>
      <c r="K121" s="158"/>
      <c r="L121" s="334"/>
      <c r="M121" s="158">
        <f t="shared" si="22"/>
        <v>0</v>
      </c>
      <c r="N121" s="334"/>
      <c r="O121" s="158">
        <f t="shared" si="23"/>
        <v>0</v>
      </c>
      <c r="P121" s="158">
        <f t="shared" si="24"/>
        <v>0</v>
      </c>
      <c r="Q121" s="1"/>
    </row>
    <row r="122" spans="2:17">
      <c r="B122" s="9" t="str">
        <f t="shared" si="25"/>
        <v/>
      </c>
      <c r="C122" s="153">
        <f>IF(D93="","-",+C121+1)</f>
        <v>2035</v>
      </c>
      <c r="D122" s="154">
        <f>IF(F121+SUM(E$99:E121)=D$92,F121,D$92-SUM(E$99:E121))</f>
        <v>107261.69712070852</v>
      </c>
      <c r="E122" s="160">
        <f>IF(+J96&lt;F121,J96,D122)</f>
        <v>5494.0476190476193</v>
      </c>
      <c r="F122" s="159">
        <f t="shared" si="26"/>
        <v>101767.6495016609</v>
      </c>
      <c r="G122" s="159">
        <f t="shared" si="27"/>
        <v>104514.67331118471</v>
      </c>
      <c r="H122" s="163">
        <f t="shared" si="28"/>
        <v>18189.597335522401</v>
      </c>
      <c r="I122" s="253">
        <f t="shared" si="29"/>
        <v>18189.597335522401</v>
      </c>
      <c r="J122" s="158">
        <f t="shared" si="21"/>
        <v>0</v>
      </c>
      <c r="K122" s="158"/>
      <c r="L122" s="334"/>
      <c r="M122" s="158">
        <f t="shared" si="22"/>
        <v>0</v>
      </c>
      <c r="N122" s="334"/>
      <c r="O122" s="158">
        <f t="shared" si="23"/>
        <v>0</v>
      </c>
      <c r="P122" s="158">
        <f t="shared" si="24"/>
        <v>0</v>
      </c>
      <c r="Q122" s="1"/>
    </row>
    <row r="123" spans="2:17">
      <c r="B123" s="9" t="str">
        <f t="shared" si="25"/>
        <v/>
      </c>
      <c r="C123" s="153">
        <f>IF(D93="","-",+C122+1)</f>
        <v>2036</v>
      </c>
      <c r="D123" s="154">
        <f>IF(F122+SUM(E$99:E122)=D$92,F122,D$92-SUM(E$99:E122))</f>
        <v>101767.6495016609</v>
      </c>
      <c r="E123" s="160">
        <f>IF(+J96&lt;F122,J96,D123)</f>
        <v>5494.0476190476193</v>
      </c>
      <c r="F123" s="159">
        <f t="shared" si="26"/>
        <v>96273.601882613279</v>
      </c>
      <c r="G123" s="159">
        <f t="shared" si="27"/>
        <v>99020.62569213708</v>
      </c>
      <c r="H123" s="163">
        <f t="shared" si="28"/>
        <v>17522.227362651476</v>
      </c>
      <c r="I123" s="253">
        <f t="shared" si="29"/>
        <v>17522.227362651476</v>
      </c>
      <c r="J123" s="158">
        <f t="shared" si="21"/>
        <v>0</v>
      </c>
      <c r="K123" s="158"/>
      <c r="L123" s="334"/>
      <c r="M123" s="158">
        <f t="shared" si="22"/>
        <v>0</v>
      </c>
      <c r="N123" s="334"/>
      <c r="O123" s="158">
        <f t="shared" si="23"/>
        <v>0</v>
      </c>
      <c r="P123" s="158">
        <f t="shared" si="24"/>
        <v>0</v>
      </c>
      <c r="Q123" s="1"/>
    </row>
    <row r="124" spans="2:17">
      <c r="B124" s="9" t="str">
        <f t="shared" si="25"/>
        <v/>
      </c>
      <c r="C124" s="153">
        <f>IF(D93="","-",+C123+1)</f>
        <v>2037</v>
      </c>
      <c r="D124" s="154">
        <f>IF(F123+SUM(E$99:E123)=D$92,F123,D$92-SUM(E$99:E123))</f>
        <v>96273.601882613279</v>
      </c>
      <c r="E124" s="160">
        <f>IF(+J96&lt;F123,J96,D124)</f>
        <v>5494.0476190476193</v>
      </c>
      <c r="F124" s="159">
        <f t="shared" si="26"/>
        <v>90779.55426356566</v>
      </c>
      <c r="G124" s="159">
        <f t="shared" si="27"/>
        <v>93526.578073089477</v>
      </c>
      <c r="H124" s="163">
        <f t="shared" si="28"/>
        <v>16854.857389780551</v>
      </c>
      <c r="I124" s="253">
        <f t="shared" si="29"/>
        <v>16854.857389780551</v>
      </c>
      <c r="J124" s="158">
        <f t="shared" si="21"/>
        <v>0</v>
      </c>
      <c r="K124" s="158"/>
      <c r="L124" s="334"/>
      <c r="M124" s="158">
        <f t="shared" si="22"/>
        <v>0</v>
      </c>
      <c r="N124" s="334"/>
      <c r="O124" s="158">
        <f t="shared" si="23"/>
        <v>0</v>
      </c>
      <c r="P124" s="158">
        <f t="shared" si="24"/>
        <v>0</v>
      </c>
      <c r="Q124" s="1"/>
    </row>
    <row r="125" spans="2:17">
      <c r="B125" s="9" t="str">
        <f t="shared" si="25"/>
        <v/>
      </c>
      <c r="C125" s="153">
        <f>IF(D93="","-",+C124+1)</f>
        <v>2038</v>
      </c>
      <c r="D125" s="154">
        <f>IF(F124+SUM(E$99:E124)=D$92,F124,D$92-SUM(E$99:E124))</f>
        <v>90779.55426356566</v>
      </c>
      <c r="E125" s="160">
        <f>IF(+J96&lt;F124,J96,D125)</f>
        <v>5494.0476190476193</v>
      </c>
      <c r="F125" s="159">
        <f t="shared" si="26"/>
        <v>85285.506644518042</v>
      </c>
      <c r="G125" s="159">
        <f t="shared" si="27"/>
        <v>88032.530454041844</v>
      </c>
      <c r="H125" s="163">
        <f t="shared" si="28"/>
        <v>16187.487416909626</v>
      </c>
      <c r="I125" s="253">
        <f t="shared" si="29"/>
        <v>16187.487416909626</v>
      </c>
      <c r="J125" s="158">
        <f t="shared" si="21"/>
        <v>0</v>
      </c>
      <c r="K125" s="158"/>
      <c r="L125" s="334"/>
      <c r="M125" s="158">
        <f t="shared" si="22"/>
        <v>0</v>
      </c>
      <c r="N125" s="334"/>
      <c r="O125" s="158">
        <f t="shared" si="23"/>
        <v>0</v>
      </c>
      <c r="P125" s="158">
        <f t="shared" si="24"/>
        <v>0</v>
      </c>
      <c r="Q125" s="1"/>
    </row>
    <row r="126" spans="2:17">
      <c r="B126" s="9" t="str">
        <f t="shared" si="25"/>
        <v/>
      </c>
      <c r="C126" s="153">
        <f>IF(D93="","-",+C125+1)</f>
        <v>2039</v>
      </c>
      <c r="D126" s="154">
        <f>IF(F125+SUM(E$99:E125)=D$92,F125,D$92-SUM(E$99:E125))</f>
        <v>85285.506644518042</v>
      </c>
      <c r="E126" s="160">
        <f>IF(+J96&lt;F125,J96,D126)</f>
        <v>5494.0476190476193</v>
      </c>
      <c r="F126" s="159">
        <f t="shared" si="26"/>
        <v>79791.459025470424</v>
      </c>
      <c r="G126" s="159">
        <f t="shared" si="27"/>
        <v>82538.48283499424</v>
      </c>
      <c r="H126" s="163">
        <f t="shared" si="28"/>
        <v>15520.1174440387</v>
      </c>
      <c r="I126" s="253">
        <f t="shared" si="29"/>
        <v>15520.1174440387</v>
      </c>
      <c r="J126" s="158">
        <f t="shared" si="21"/>
        <v>0</v>
      </c>
      <c r="K126" s="158"/>
      <c r="L126" s="334"/>
      <c r="M126" s="158">
        <f t="shared" si="22"/>
        <v>0</v>
      </c>
      <c r="N126" s="334"/>
      <c r="O126" s="158">
        <f t="shared" si="23"/>
        <v>0</v>
      </c>
      <c r="P126" s="158">
        <f t="shared" si="24"/>
        <v>0</v>
      </c>
      <c r="Q126" s="1"/>
    </row>
    <row r="127" spans="2:17">
      <c r="B127" s="9" t="str">
        <f t="shared" si="25"/>
        <v/>
      </c>
      <c r="C127" s="153">
        <f>IF(D93="","-",+C126+1)</f>
        <v>2040</v>
      </c>
      <c r="D127" s="154">
        <f>IF(F126+SUM(E$99:E126)=D$92,F126,D$92-SUM(E$99:E126))</f>
        <v>79791.459025470424</v>
      </c>
      <c r="E127" s="160">
        <f>IF(+J96&lt;F126,J96,D127)</f>
        <v>5494.0476190476193</v>
      </c>
      <c r="F127" s="159">
        <f t="shared" si="26"/>
        <v>74297.411406422805</v>
      </c>
      <c r="G127" s="159">
        <f t="shared" si="27"/>
        <v>77044.435215946607</v>
      </c>
      <c r="H127" s="163">
        <f t="shared" si="28"/>
        <v>14852.747471167775</v>
      </c>
      <c r="I127" s="253">
        <f t="shared" si="29"/>
        <v>14852.747471167775</v>
      </c>
      <c r="J127" s="158">
        <f t="shared" si="21"/>
        <v>0</v>
      </c>
      <c r="K127" s="158"/>
      <c r="L127" s="334"/>
      <c r="M127" s="158">
        <f t="shared" si="22"/>
        <v>0</v>
      </c>
      <c r="N127" s="334"/>
      <c r="O127" s="158">
        <f t="shared" si="23"/>
        <v>0</v>
      </c>
      <c r="P127" s="158">
        <f t="shared" si="24"/>
        <v>0</v>
      </c>
      <c r="Q127" s="1"/>
    </row>
    <row r="128" spans="2:17">
      <c r="B128" s="9" t="str">
        <f t="shared" si="25"/>
        <v/>
      </c>
      <c r="C128" s="153">
        <f>IF(D93="","-",+C127+1)</f>
        <v>2041</v>
      </c>
      <c r="D128" s="154">
        <f>IF(F127+SUM(E$99:E127)=D$92,F127,D$92-SUM(E$99:E127))</f>
        <v>74297.411406422805</v>
      </c>
      <c r="E128" s="160">
        <f>IF(+J96&lt;F127,J96,D128)</f>
        <v>5494.0476190476193</v>
      </c>
      <c r="F128" s="159">
        <f t="shared" si="26"/>
        <v>68803.363787375187</v>
      </c>
      <c r="G128" s="159">
        <f t="shared" si="27"/>
        <v>71550.387596899003</v>
      </c>
      <c r="H128" s="163">
        <f t="shared" si="28"/>
        <v>14185.37749829685</v>
      </c>
      <c r="I128" s="253">
        <f t="shared" si="29"/>
        <v>14185.37749829685</v>
      </c>
      <c r="J128" s="158">
        <f t="shared" si="21"/>
        <v>0</v>
      </c>
      <c r="K128" s="158"/>
      <c r="L128" s="334"/>
      <c r="M128" s="158">
        <f t="shared" si="22"/>
        <v>0</v>
      </c>
      <c r="N128" s="334"/>
      <c r="O128" s="158">
        <f t="shared" si="23"/>
        <v>0</v>
      </c>
      <c r="P128" s="158">
        <f t="shared" si="24"/>
        <v>0</v>
      </c>
      <c r="Q128" s="1"/>
    </row>
    <row r="129" spans="2:17">
      <c r="B129" s="9" t="str">
        <f t="shared" si="25"/>
        <v/>
      </c>
      <c r="C129" s="153">
        <f>IF(D93="","-",+C128+1)</f>
        <v>2042</v>
      </c>
      <c r="D129" s="154">
        <f>IF(F128+SUM(E$99:E128)=D$92,F128,D$92-SUM(E$99:E128))</f>
        <v>68803.363787375187</v>
      </c>
      <c r="E129" s="160">
        <f>IF(+J96&lt;F128,J96,D129)</f>
        <v>5494.0476190476193</v>
      </c>
      <c r="F129" s="159">
        <f t="shared" si="26"/>
        <v>63309.316168327568</v>
      </c>
      <c r="G129" s="159">
        <f t="shared" si="27"/>
        <v>66056.33997785137</v>
      </c>
      <c r="H129" s="163">
        <f t="shared" si="28"/>
        <v>13518.007525425925</v>
      </c>
      <c r="I129" s="253">
        <f t="shared" si="29"/>
        <v>13518.007525425925</v>
      </c>
      <c r="J129" s="158">
        <f t="shared" si="21"/>
        <v>0</v>
      </c>
      <c r="K129" s="158"/>
      <c r="L129" s="334"/>
      <c r="M129" s="158">
        <f t="shared" si="22"/>
        <v>0</v>
      </c>
      <c r="N129" s="334"/>
      <c r="O129" s="158">
        <f t="shared" si="23"/>
        <v>0</v>
      </c>
      <c r="P129" s="158">
        <f t="shared" si="24"/>
        <v>0</v>
      </c>
      <c r="Q129" s="1"/>
    </row>
    <row r="130" spans="2:17">
      <c r="B130" s="9" t="str">
        <f t="shared" si="25"/>
        <v/>
      </c>
      <c r="C130" s="153">
        <f>IF(D93="","-",+C129+1)</f>
        <v>2043</v>
      </c>
      <c r="D130" s="154">
        <f>IF(F129+SUM(E$99:E129)=D$92,F129,D$92-SUM(E$99:E129))</f>
        <v>63309.316168327568</v>
      </c>
      <c r="E130" s="160">
        <f>IF(+J96&lt;F129,J96,D130)</f>
        <v>5494.0476190476193</v>
      </c>
      <c r="F130" s="159">
        <f t="shared" si="26"/>
        <v>57815.26854927995</v>
      </c>
      <c r="G130" s="159">
        <f t="shared" si="27"/>
        <v>60562.292358803759</v>
      </c>
      <c r="H130" s="163">
        <f t="shared" si="28"/>
        <v>12850.637552554999</v>
      </c>
      <c r="I130" s="253">
        <f t="shared" si="29"/>
        <v>12850.637552554999</v>
      </c>
      <c r="J130" s="158">
        <f t="shared" si="21"/>
        <v>0</v>
      </c>
      <c r="K130" s="158"/>
      <c r="L130" s="334"/>
      <c r="M130" s="158">
        <f t="shared" si="22"/>
        <v>0</v>
      </c>
      <c r="N130" s="334"/>
      <c r="O130" s="158">
        <f t="shared" si="23"/>
        <v>0</v>
      </c>
      <c r="P130" s="158">
        <f t="shared" si="24"/>
        <v>0</v>
      </c>
      <c r="Q130" s="1"/>
    </row>
    <row r="131" spans="2:17">
      <c r="B131" s="9" t="str">
        <f t="shared" si="25"/>
        <v/>
      </c>
      <c r="C131" s="153">
        <f>IF(D93="","-",+C130+1)</f>
        <v>2044</v>
      </c>
      <c r="D131" s="154">
        <f>IF(F130+SUM(E$99:E130)=D$92,F130,D$92-SUM(E$99:E130))</f>
        <v>57815.26854927995</v>
      </c>
      <c r="E131" s="160">
        <f>IF(+J96&lt;F130,J96,D131)</f>
        <v>5494.0476190476193</v>
      </c>
      <c r="F131" s="159">
        <f t="shared" si="26"/>
        <v>52321.220930232332</v>
      </c>
      <c r="G131" s="159">
        <f t="shared" ref="G131:G154" si="30">+(F131+D131)/2</f>
        <v>55068.244739756141</v>
      </c>
      <c r="H131" s="163">
        <f t="shared" ref="H131:H154" si="31">+J$94*G131+E131</f>
        <v>12183.267579684074</v>
      </c>
      <c r="I131" s="253">
        <f t="shared" ref="I131:I154" si="32">+J$95*G131+E131</f>
        <v>12183.267579684074</v>
      </c>
      <c r="J131" s="158">
        <f t="shared" ref="J131:J154" si="33">+I131-H131</f>
        <v>0</v>
      </c>
      <c r="K131" s="158"/>
      <c r="L131" s="334"/>
      <c r="M131" s="158">
        <f t="shared" ref="M131:M154" si="34">IF(L131&lt;&gt;0,+H131-L131,0)</f>
        <v>0</v>
      </c>
      <c r="N131" s="334"/>
      <c r="O131" s="158">
        <f t="shared" ref="O131:O154" si="35">IF(N131&lt;&gt;0,+I131-N131,0)</f>
        <v>0</v>
      </c>
      <c r="P131" s="158">
        <f t="shared" ref="P131:P154" si="36">+O131-M131</f>
        <v>0</v>
      </c>
      <c r="Q131" s="1"/>
    </row>
    <row r="132" spans="2:17">
      <c r="B132" s="9" t="str">
        <f t="shared" ref="B132:B154" si="37">IF(D132=F131,"","IU")</f>
        <v/>
      </c>
      <c r="C132" s="153">
        <f>IF(D93="","-",+C131+1)</f>
        <v>2045</v>
      </c>
      <c r="D132" s="154">
        <f>IF(F131+SUM(E$99:E131)=D$92,F131,D$92-SUM(E$99:E131))</f>
        <v>52321.220930232332</v>
      </c>
      <c r="E132" s="160">
        <f>IF(+J96&lt;F131,J96,D132)</f>
        <v>5494.0476190476193</v>
      </c>
      <c r="F132" s="159">
        <f t="shared" ref="F132:F154" si="38">+D132-E132</f>
        <v>46827.173311184713</v>
      </c>
      <c r="G132" s="159">
        <f t="shared" si="30"/>
        <v>49574.197120708523</v>
      </c>
      <c r="H132" s="163">
        <f t="shared" si="31"/>
        <v>11515.897606813149</v>
      </c>
      <c r="I132" s="253">
        <f t="shared" si="32"/>
        <v>11515.897606813149</v>
      </c>
      <c r="J132" s="158">
        <f t="shared" si="33"/>
        <v>0</v>
      </c>
      <c r="K132" s="158"/>
      <c r="L132" s="334"/>
      <c r="M132" s="158">
        <f t="shared" si="34"/>
        <v>0</v>
      </c>
      <c r="N132" s="334"/>
      <c r="O132" s="158">
        <f t="shared" si="35"/>
        <v>0</v>
      </c>
      <c r="P132" s="158">
        <f t="shared" si="36"/>
        <v>0</v>
      </c>
      <c r="Q132" s="1"/>
    </row>
    <row r="133" spans="2:17">
      <c r="B133" s="9" t="str">
        <f t="shared" si="37"/>
        <v/>
      </c>
      <c r="C133" s="153">
        <f>IF(D93="","-",+C132+1)</f>
        <v>2046</v>
      </c>
      <c r="D133" s="154">
        <f>IF(F132+SUM(E$99:E132)=D$92,F132,D$92-SUM(E$99:E132))</f>
        <v>46827.173311184713</v>
      </c>
      <c r="E133" s="160">
        <f>IF(+J96&lt;F132,J96,D133)</f>
        <v>5494.0476190476193</v>
      </c>
      <c r="F133" s="159">
        <f t="shared" si="38"/>
        <v>41333.125692137095</v>
      </c>
      <c r="G133" s="159">
        <f t="shared" si="30"/>
        <v>44080.149501660904</v>
      </c>
      <c r="H133" s="163">
        <f t="shared" si="31"/>
        <v>10848.527633942223</v>
      </c>
      <c r="I133" s="253">
        <f t="shared" si="32"/>
        <v>10848.527633942223</v>
      </c>
      <c r="J133" s="158">
        <f t="shared" si="33"/>
        <v>0</v>
      </c>
      <c r="K133" s="158"/>
      <c r="L133" s="334"/>
      <c r="M133" s="158">
        <f t="shared" si="34"/>
        <v>0</v>
      </c>
      <c r="N133" s="334"/>
      <c r="O133" s="158">
        <f t="shared" si="35"/>
        <v>0</v>
      </c>
      <c r="P133" s="158">
        <f t="shared" si="36"/>
        <v>0</v>
      </c>
      <c r="Q133" s="1"/>
    </row>
    <row r="134" spans="2:17">
      <c r="B134" s="9" t="str">
        <f t="shared" si="37"/>
        <v/>
      </c>
      <c r="C134" s="153">
        <f>IF(D93="","-",+C133+1)</f>
        <v>2047</v>
      </c>
      <c r="D134" s="154">
        <f>IF(F133+SUM(E$99:E133)=D$92,F133,D$92-SUM(E$99:E133))</f>
        <v>41333.125692137095</v>
      </c>
      <c r="E134" s="160">
        <f>IF(+J96&lt;F133,J96,D134)</f>
        <v>5494.0476190476193</v>
      </c>
      <c r="F134" s="159">
        <f t="shared" si="38"/>
        <v>35839.078073089477</v>
      </c>
      <c r="G134" s="159">
        <f t="shared" si="30"/>
        <v>38586.101882613286</v>
      </c>
      <c r="H134" s="163">
        <f t="shared" si="31"/>
        <v>10181.157661071298</v>
      </c>
      <c r="I134" s="253">
        <f t="shared" si="32"/>
        <v>10181.157661071298</v>
      </c>
      <c r="J134" s="158">
        <f t="shared" si="33"/>
        <v>0</v>
      </c>
      <c r="K134" s="158"/>
      <c r="L134" s="334"/>
      <c r="M134" s="158">
        <f t="shared" si="34"/>
        <v>0</v>
      </c>
      <c r="N134" s="334"/>
      <c r="O134" s="158">
        <f t="shared" si="35"/>
        <v>0</v>
      </c>
      <c r="P134" s="158">
        <f t="shared" si="36"/>
        <v>0</v>
      </c>
      <c r="Q134" s="1"/>
    </row>
    <row r="135" spans="2:17">
      <c r="B135" s="9" t="str">
        <f t="shared" si="37"/>
        <v/>
      </c>
      <c r="C135" s="153">
        <f>IF(D93="","-",+C134+1)</f>
        <v>2048</v>
      </c>
      <c r="D135" s="154">
        <f>IF(F134+SUM(E$99:E134)=D$92,F134,D$92-SUM(E$99:E134))</f>
        <v>35839.078073089477</v>
      </c>
      <c r="E135" s="160">
        <f>IF(+J96&lt;F134,J96,D135)</f>
        <v>5494.0476190476193</v>
      </c>
      <c r="F135" s="159">
        <f t="shared" si="38"/>
        <v>30345.030454041858</v>
      </c>
      <c r="G135" s="159">
        <f t="shared" si="30"/>
        <v>33092.054263565667</v>
      </c>
      <c r="H135" s="163">
        <f t="shared" si="31"/>
        <v>9513.7876882003748</v>
      </c>
      <c r="I135" s="253">
        <f t="shared" si="32"/>
        <v>9513.7876882003748</v>
      </c>
      <c r="J135" s="158">
        <f t="shared" si="33"/>
        <v>0</v>
      </c>
      <c r="K135" s="158"/>
      <c r="L135" s="334"/>
      <c r="M135" s="158">
        <f t="shared" si="34"/>
        <v>0</v>
      </c>
      <c r="N135" s="334"/>
      <c r="O135" s="158">
        <f t="shared" si="35"/>
        <v>0</v>
      </c>
      <c r="P135" s="158">
        <f t="shared" si="36"/>
        <v>0</v>
      </c>
      <c r="Q135" s="1"/>
    </row>
    <row r="136" spans="2:17">
      <c r="B136" s="9" t="str">
        <f t="shared" si="37"/>
        <v/>
      </c>
      <c r="C136" s="153">
        <f>IF(D93="","-",+C135+1)</f>
        <v>2049</v>
      </c>
      <c r="D136" s="154">
        <f>IF(F135+SUM(E$99:E135)=D$92,F135,D$92-SUM(E$99:E135))</f>
        <v>30345.030454041858</v>
      </c>
      <c r="E136" s="160">
        <f>IF(+J96&lt;F135,J96,D136)</f>
        <v>5494.0476190476193</v>
      </c>
      <c r="F136" s="159">
        <f t="shared" si="38"/>
        <v>24850.98283499424</v>
      </c>
      <c r="G136" s="159">
        <f t="shared" si="30"/>
        <v>27598.006644518049</v>
      </c>
      <c r="H136" s="163">
        <f t="shared" si="31"/>
        <v>8846.4177153294495</v>
      </c>
      <c r="I136" s="253">
        <f t="shared" si="32"/>
        <v>8846.4177153294495</v>
      </c>
      <c r="J136" s="158">
        <f t="shared" si="33"/>
        <v>0</v>
      </c>
      <c r="K136" s="158"/>
      <c r="L136" s="334"/>
      <c r="M136" s="158">
        <f t="shared" si="34"/>
        <v>0</v>
      </c>
      <c r="N136" s="334"/>
      <c r="O136" s="158">
        <f t="shared" si="35"/>
        <v>0</v>
      </c>
      <c r="P136" s="158">
        <f t="shared" si="36"/>
        <v>0</v>
      </c>
      <c r="Q136" s="1"/>
    </row>
    <row r="137" spans="2:17">
      <c r="B137" s="9" t="str">
        <f t="shared" si="37"/>
        <v/>
      </c>
      <c r="C137" s="153">
        <f>IF(D93="","-",+C136+1)</f>
        <v>2050</v>
      </c>
      <c r="D137" s="154">
        <f>IF(F136+SUM(E$99:E136)=D$92,F136,D$92-SUM(E$99:E136))</f>
        <v>24850.98283499424</v>
      </c>
      <c r="E137" s="160">
        <f>IF(+J96&lt;F136,J96,D137)</f>
        <v>5494.0476190476193</v>
      </c>
      <c r="F137" s="159">
        <f t="shared" si="38"/>
        <v>19356.935215946622</v>
      </c>
      <c r="G137" s="159">
        <f t="shared" si="30"/>
        <v>22103.959025470431</v>
      </c>
      <c r="H137" s="163">
        <f t="shared" si="31"/>
        <v>8179.0477424585242</v>
      </c>
      <c r="I137" s="253">
        <f t="shared" si="32"/>
        <v>8179.0477424585242</v>
      </c>
      <c r="J137" s="158">
        <f t="shared" si="33"/>
        <v>0</v>
      </c>
      <c r="K137" s="158"/>
      <c r="L137" s="334"/>
      <c r="M137" s="158">
        <f t="shared" si="34"/>
        <v>0</v>
      </c>
      <c r="N137" s="334"/>
      <c r="O137" s="158">
        <f t="shared" si="35"/>
        <v>0</v>
      </c>
      <c r="P137" s="158">
        <f t="shared" si="36"/>
        <v>0</v>
      </c>
      <c r="Q137" s="1"/>
    </row>
    <row r="138" spans="2:17">
      <c r="B138" s="9" t="str">
        <f t="shared" si="37"/>
        <v/>
      </c>
      <c r="C138" s="153">
        <f>IF(D93="","-",+C137+1)</f>
        <v>2051</v>
      </c>
      <c r="D138" s="154">
        <f>IF(F137+SUM(E$99:E137)=D$92,F137,D$92-SUM(E$99:E137))</f>
        <v>19356.935215946622</v>
      </c>
      <c r="E138" s="160">
        <f>IF(+J96&lt;F137,J96,D138)</f>
        <v>5494.0476190476193</v>
      </c>
      <c r="F138" s="159">
        <f t="shared" si="38"/>
        <v>13862.887596899003</v>
      </c>
      <c r="G138" s="159">
        <f t="shared" si="30"/>
        <v>16609.911406422812</v>
      </c>
      <c r="H138" s="163">
        <f t="shared" si="31"/>
        <v>7511.677769587599</v>
      </c>
      <c r="I138" s="253">
        <f t="shared" si="32"/>
        <v>7511.677769587599</v>
      </c>
      <c r="J138" s="158">
        <f t="shared" si="33"/>
        <v>0</v>
      </c>
      <c r="K138" s="158"/>
      <c r="L138" s="334"/>
      <c r="M138" s="158">
        <f t="shared" si="34"/>
        <v>0</v>
      </c>
      <c r="N138" s="334"/>
      <c r="O138" s="158">
        <f t="shared" si="35"/>
        <v>0</v>
      </c>
      <c r="P138" s="158">
        <f t="shared" si="36"/>
        <v>0</v>
      </c>
      <c r="Q138" s="1"/>
    </row>
    <row r="139" spans="2:17">
      <c r="B139" s="9" t="str">
        <f t="shared" si="37"/>
        <v/>
      </c>
      <c r="C139" s="153">
        <f>IF(D93="","-",+C138+1)</f>
        <v>2052</v>
      </c>
      <c r="D139" s="154">
        <f>IF(F138+SUM(E$99:E138)=D$92,F138,D$92-SUM(E$99:E138))</f>
        <v>13862.887596899003</v>
      </c>
      <c r="E139" s="160">
        <f>IF(+J96&lt;F138,J96,D139)</f>
        <v>5494.0476190476193</v>
      </c>
      <c r="F139" s="159">
        <f t="shared" si="38"/>
        <v>8368.8399778513849</v>
      </c>
      <c r="G139" s="159">
        <f t="shared" si="30"/>
        <v>11115.863787375194</v>
      </c>
      <c r="H139" s="163">
        <f t="shared" si="31"/>
        <v>6844.3077967166737</v>
      </c>
      <c r="I139" s="253">
        <f t="shared" si="32"/>
        <v>6844.3077967166737</v>
      </c>
      <c r="J139" s="158">
        <f t="shared" si="33"/>
        <v>0</v>
      </c>
      <c r="K139" s="158"/>
      <c r="L139" s="334"/>
      <c r="M139" s="158">
        <f t="shared" si="34"/>
        <v>0</v>
      </c>
      <c r="N139" s="334"/>
      <c r="O139" s="158">
        <f t="shared" si="35"/>
        <v>0</v>
      </c>
      <c r="P139" s="158">
        <f t="shared" si="36"/>
        <v>0</v>
      </c>
      <c r="Q139" s="1"/>
    </row>
    <row r="140" spans="2:17">
      <c r="B140" s="9" t="str">
        <f t="shared" si="37"/>
        <v/>
      </c>
      <c r="C140" s="153">
        <f>IF(D93="","-",+C139+1)</f>
        <v>2053</v>
      </c>
      <c r="D140" s="154">
        <f>IF(F139+SUM(E$99:E139)=D$92,F139,D$92-SUM(E$99:E139))</f>
        <v>8368.8399778513849</v>
      </c>
      <c r="E140" s="160">
        <f>IF(+J96&lt;F139,J96,D140)</f>
        <v>5494.0476190476193</v>
      </c>
      <c r="F140" s="159">
        <f t="shared" si="38"/>
        <v>2874.7923588037656</v>
      </c>
      <c r="G140" s="159">
        <f t="shared" si="30"/>
        <v>5621.8161683275757</v>
      </c>
      <c r="H140" s="163">
        <f t="shared" si="31"/>
        <v>6176.9378238457484</v>
      </c>
      <c r="I140" s="253">
        <f t="shared" si="32"/>
        <v>6176.9378238457484</v>
      </c>
      <c r="J140" s="158">
        <f t="shared" si="33"/>
        <v>0</v>
      </c>
      <c r="K140" s="158"/>
      <c r="L140" s="334"/>
      <c r="M140" s="158">
        <f t="shared" si="34"/>
        <v>0</v>
      </c>
      <c r="N140" s="334"/>
      <c r="O140" s="158">
        <f t="shared" si="35"/>
        <v>0</v>
      </c>
      <c r="P140" s="158">
        <f t="shared" si="36"/>
        <v>0</v>
      </c>
      <c r="Q140" s="1"/>
    </row>
    <row r="141" spans="2:17">
      <c r="B141" s="9" t="str">
        <f t="shared" si="37"/>
        <v/>
      </c>
      <c r="C141" s="153">
        <f>IF(D93="","-",+C140+1)</f>
        <v>2054</v>
      </c>
      <c r="D141" s="154">
        <f>IF(F140+SUM(E$99:E140)=D$92,F140,D$92-SUM(E$99:E140))</f>
        <v>2874.7923588037656</v>
      </c>
      <c r="E141" s="160">
        <f>IF(+J96&lt;F140,J96,D141)</f>
        <v>2874.7923588037656</v>
      </c>
      <c r="F141" s="159">
        <f t="shared" si="38"/>
        <v>0</v>
      </c>
      <c r="G141" s="159">
        <f t="shared" si="30"/>
        <v>1437.3961794018828</v>
      </c>
      <c r="H141" s="163">
        <f t="shared" si="31"/>
        <v>3049.3949679850989</v>
      </c>
      <c r="I141" s="253">
        <f t="shared" si="32"/>
        <v>3049.3949679850989</v>
      </c>
      <c r="J141" s="158">
        <f t="shared" si="33"/>
        <v>0</v>
      </c>
      <c r="K141" s="158"/>
      <c r="L141" s="334"/>
      <c r="M141" s="158">
        <f t="shared" si="34"/>
        <v>0</v>
      </c>
      <c r="N141" s="334"/>
      <c r="O141" s="158">
        <f t="shared" si="35"/>
        <v>0</v>
      </c>
      <c r="P141" s="158">
        <f t="shared" si="36"/>
        <v>0</v>
      </c>
      <c r="Q141" s="1"/>
    </row>
    <row r="142" spans="2:17">
      <c r="B142" s="9" t="str">
        <f t="shared" si="37"/>
        <v/>
      </c>
      <c r="C142" s="153">
        <f>IF(D93="","-",+C141+1)</f>
        <v>2055</v>
      </c>
      <c r="D142" s="154">
        <f>IF(F141+SUM(E$99:E141)=D$92,F141,D$92-SUM(E$99:E141))</f>
        <v>0</v>
      </c>
      <c r="E142" s="160">
        <f>IF(+J96&lt;F141,J96,D142)</f>
        <v>0</v>
      </c>
      <c r="F142" s="159">
        <f t="shared" si="38"/>
        <v>0</v>
      </c>
      <c r="G142" s="159">
        <f t="shared" si="30"/>
        <v>0</v>
      </c>
      <c r="H142" s="163">
        <f t="shared" si="31"/>
        <v>0</v>
      </c>
      <c r="I142" s="253">
        <f t="shared" si="32"/>
        <v>0</v>
      </c>
      <c r="J142" s="158">
        <f t="shared" si="33"/>
        <v>0</v>
      </c>
      <c r="K142" s="158"/>
      <c r="L142" s="334"/>
      <c r="M142" s="158">
        <f t="shared" si="34"/>
        <v>0</v>
      </c>
      <c r="N142" s="334"/>
      <c r="O142" s="158">
        <f t="shared" si="35"/>
        <v>0</v>
      </c>
      <c r="P142" s="158">
        <f t="shared" si="36"/>
        <v>0</v>
      </c>
      <c r="Q142" s="1"/>
    </row>
    <row r="143" spans="2:17">
      <c r="B143" s="9" t="str">
        <f t="shared" si="37"/>
        <v/>
      </c>
      <c r="C143" s="153">
        <f>IF(D93="","-",+C142+1)</f>
        <v>2056</v>
      </c>
      <c r="D143" s="154">
        <f>IF(F142+SUM(E$99:E142)=D$92,F142,D$92-SUM(E$99:E142))</f>
        <v>0</v>
      </c>
      <c r="E143" s="160">
        <f>IF(+J96&lt;F142,J96,D143)</f>
        <v>0</v>
      </c>
      <c r="F143" s="159">
        <f t="shared" si="38"/>
        <v>0</v>
      </c>
      <c r="G143" s="159">
        <f t="shared" si="30"/>
        <v>0</v>
      </c>
      <c r="H143" s="163">
        <f t="shared" si="31"/>
        <v>0</v>
      </c>
      <c r="I143" s="253">
        <f t="shared" si="32"/>
        <v>0</v>
      </c>
      <c r="J143" s="158">
        <f t="shared" si="33"/>
        <v>0</v>
      </c>
      <c r="K143" s="158"/>
      <c r="L143" s="334"/>
      <c r="M143" s="158">
        <f t="shared" si="34"/>
        <v>0</v>
      </c>
      <c r="N143" s="334"/>
      <c r="O143" s="158">
        <f t="shared" si="35"/>
        <v>0</v>
      </c>
      <c r="P143" s="158">
        <f t="shared" si="36"/>
        <v>0</v>
      </c>
      <c r="Q143" s="1"/>
    </row>
    <row r="144" spans="2:17">
      <c r="B144" s="9" t="str">
        <f t="shared" si="37"/>
        <v/>
      </c>
      <c r="C144" s="153">
        <f>IF(D93="","-",+C143+1)</f>
        <v>2057</v>
      </c>
      <c r="D144" s="154">
        <f>IF(F143+SUM(E$99:E143)=D$92,F143,D$92-SUM(E$99:E143))</f>
        <v>0</v>
      </c>
      <c r="E144" s="160">
        <f>IF(+J96&lt;F143,J96,D144)</f>
        <v>0</v>
      </c>
      <c r="F144" s="159">
        <f t="shared" si="38"/>
        <v>0</v>
      </c>
      <c r="G144" s="159">
        <f t="shared" si="30"/>
        <v>0</v>
      </c>
      <c r="H144" s="163">
        <f t="shared" si="31"/>
        <v>0</v>
      </c>
      <c r="I144" s="253">
        <f t="shared" si="32"/>
        <v>0</v>
      </c>
      <c r="J144" s="158">
        <f t="shared" si="33"/>
        <v>0</v>
      </c>
      <c r="K144" s="158"/>
      <c r="L144" s="334"/>
      <c r="M144" s="158">
        <f t="shared" si="34"/>
        <v>0</v>
      </c>
      <c r="N144" s="334"/>
      <c r="O144" s="158">
        <f t="shared" si="35"/>
        <v>0</v>
      </c>
      <c r="P144" s="158">
        <f t="shared" si="36"/>
        <v>0</v>
      </c>
      <c r="Q144" s="1"/>
    </row>
    <row r="145" spans="2:17">
      <c r="B145" s="9" t="str">
        <f t="shared" si="37"/>
        <v/>
      </c>
      <c r="C145" s="153">
        <f>IF(D93="","-",+C144+1)</f>
        <v>2058</v>
      </c>
      <c r="D145" s="154">
        <f>IF(F144+SUM(E$99:E144)=D$92,F144,D$92-SUM(E$99:E144))</f>
        <v>0</v>
      </c>
      <c r="E145" s="160">
        <f>IF(+J96&lt;F144,J96,D145)</f>
        <v>0</v>
      </c>
      <c r="F145" s="159">
        <f t="shared" si="38"/>
        <v>0</v>
      </c>
      <c r="G145" s="159">
        <f t="shared" si="30"/>
        <v>0</v>
      </c>
      <c r="H145" s="163">
        <f t="shared" si="31"/>
        <v>0</v>
      </c>
      <c r="I145" s="253">
        <f t="shared" si="32"/>
        <v>0</v>
      </c>
      <c r="J145" s="158">
        <f t="shared" si="33"/>
        <v>0</v>
      </c>
      <c r="K145" s="158"/>
      <c r="L145" s="334"/>
      <c r="M145" s="158">
        <f t="shared" si="34"/>
        <v>0</v>
      </c>
      <c r="N145" s="334"/>
      <c r="O145" s="158">
        <f t="shared" si="35"/>
        <v>0</v>
      </c>
      <c r="P145" s="158">
        <f t="shared" si="36"/>
        <v>0</v>
      </c>
      <c r="Q145" s="1"/>
    </row>
    <row r="146" spans="2:17">
      <c r="B146" s="9" t="str">
        <f t="shared" si="37"/>
        <v/>
      </c>
      <c r="C146" s="153">
        <f>IF(D93="","-",+C145+1)</f>
        <v>2059</v>
      </c>
      <c r="D146" s="154">
        <f>IF(F145+SUM(E$99:E145)=D$92,F145,D$92-SUM(E$99:E145))</f>
        <v>0</v>
      </c>
      <c r="E146" s="160">
        <f>IF(+J96&lt;F145,J96,D146)</f>
        <v>0</v>
      </c>
      <c r="F146" s="159">
        <f t="shared" si="38"/>
        <v>0</v>
      </c>
      <c r="G146" s="159">
        <f t="shared" si="30"/>
        <v>0</v>
      </c>
      <c r="H146" s="163">
        <f t="shared" si="31"/>
        <v>0</v>
      </c>
      <c r="I146" s="253">
        <f t="shared" si="32"/>
        <v>0</v>
      </c>
      <c r="J146" s="158">
        <f t="shared" si="33"/>
        <v>0</v>
      </c>
      <c r="K146" s="158"/>
      <c r="L146" s="334"/>
      <c r="M146" s="158">
        <f t="shared" si="34"/>
        <v>0</v>
      </c>
      <c r="N146" s="334"/>
      <c r="O146" s="158">
        <f t="shared" si="35"/>
        <v>0</v>
      </c>
      <c r="P146" s="158">
        <f t="shared" si="36"/>
        <v>0</v>
      </c>
      <c r="Q146" s="1"/>
    </row>
    <row r="147" spans="2:17">
      <c r="B147" s="9" t="str">
        <f t="shared" si="37"/>
        <v/>
      </c>
      <c r="C147" s="153">
        <f>IF(D93="","-",+C146+1)</f>
        <v>2060</v>
      </c>
      <c r="D147" s="154">
        <f>IF(F146+SUM(E$99:E146)=D$92,F146,D$92-SUM(E$99:E146))</f>
        <v>0</v>
      </c>
      <c r="E147" s="160">
        <f>IF(+J96&lt;F146,J96,D147)</f>
        <v>0</v>
      </c>
      <c r="F147" s="159">
        <f t="shared" si="38"/>
        <v>0</v>
      </c>
      <c r="G147" s="159">
        <f t="shared" si="30"/>
        <v>0</v>
      </c>
      <c r="H147" s="163">
        <f t="shared" si="31"/>
        <v>0</v>
      </c>
      <c r="I147" s="253">
        <f t="shared" si="32"/>
        <v>0</v>
      </c>
      <c r="J147" s="158">
        <f t="shared" si="33"/>
        <v>0</v>
      </c>
      <c r="K147" s="158"/>
      <c r="L147" s="334"/>
      <c r="M147" s="158">
        <f t="shared" si="34"/>
        <v>0</v>
      </c>
      <c r="N147" s="334"/>
      <c r="O147" s="158">
        <f t="shared" si="35"/>
        <v>0</v>
      </c>
      <c r="P147" s="158">
        <f t="shared" si="36"/>
        <v>0</v>
      </c>
      <c r="Q147" s="1"/>
    </row>
    <row r="148" spans="2:17">
      <c r="B148" s="9" t="str">
        <f t="shared" si="37"/>
        <v/>
      </c>
      <c r="C148" s="153">
        <f>IF(D93="","-",+C147+1)</f>
        <v>2061</v>
      </c>
      <c r="D148" s="154">
        <f>IF(F147+SUM(E$99:E147)=D$92,F147,D$92-SUM(E$99:E147))</f>
        <v>0</v>
      </c>
      <c r="E148" s="160">
        <f>IF(+J96&lt;F147,J96,D148)</f>
        <v>0</v>
      </c>
      <c r="F148" s="159">
        <f t="shared" si="38"/>
        <v>0</v>
      </c>
      <c r="G148" s="159">
        <f t="shared" si="30"/>
        <v>0</v>
      </c>
      <c r="H148" s="163">
        <f t="shared" si="31"/>
        <v>0</v>
      </c>
      <c r="I148" s="253">
        <f t="shared" si="32"/>
        <v>0</v>
      </c>
      <c r="J148" s="158">
        <f t="shared" si="33"/>
        <v>0</v>
      </c>
      <c r="K148" s="158"/>
      <c r="L148" s="334"/>
      <c r="M148" s="158">
        <f t="shared" si="34"/>
        <v>0</v>
      </c>
      <c r="N148" s="334"/>
      <c r="O148" s="158">
        <f t="shared" si="35"/>
        <v>0</v>
      </c>
      <c r="P148" s="158">
        <f t="shared" si="36"/>
        <v>0</v>
      </c>
      <c r="Q148" s="1"/>
    </row>
    <row r="149" spans="2:17">
      <c r="B149" s="9" t="str">
        <f t="shared" si="37"/>
        <v/>
      </c>
      <c r="C149" s="153">
        <f>IF(D93="","-",+C148+1)</f>
        <v>2062</v>
      </c>
      <c r="D149" s="154">
        <f>IF(F148+SUM(E$99:E148)=D$92,F148,D$92-SUM(E$99:E148))</f>
        <v>0</v>
      </c>
      <c r="E149" s="160">
        <f>IF(+J96&lt;F148,J96,D149)</f>
        <v>0</v>
      </c>
      <c r="F149" s="159">
        <f t="shared" si="38"/>
        <v>0</v>
      </c>
      <c r="G149" s="159">
        <f t="shared" si="30"/>
        <v>0</v>
      </c>
      <c r="H149" s="163">
        <f t="shared" si="31"/>
        <v>0</v>
      </c>
      <c r="I149" s="253">
        <f t="shared" si="32"/>
        <v>0</v>
      </c>
      <c r="J149" s="158">
        <f t="shared" si="33"/>
        <v>0</v>
      </c>
      <c r="K149" s="158"/>
      <c r="L149" s="334"/>
      <c r="M149" s="158">
        <f t="shared" si="34"/>
        <v>0</v>
      </c>
      <c r="N149" s="334"/>
      <c r="O149" s="158">
        <f t="shared" si="35"/>
        <v>0</v>
      </c>
      <c r="P149" s="158">
        <f t="shared" si="36"/>
        <v>0</v>
      </c>
      <c r="Q149" s="1"/>
    </row>
    <row r="150" spans="2:17">
      <c r="B150" s="9" t="str">
        <f t="shared" si="37"/>
        <v/>
      </c>
      <c r="C150" s="153">
        <f>IF(D93="","-",+C149+1)</f>
        <v>2063</v>
      </c>
      <c r="D150" s="154">
        <f>IF(F149+SUM(E$99:E149)=D$92,F149,D$92-SUM(E$99:E149))</f>
        <v>0</v>
      </c>
      <c r="E150" s="160">
        <f>IF(+J96&lt;F149,J96,D150)</f>
        <v>0</v>
      </c>
      <c r="F150" s="159">
        <f t="shared" si="38"/>
        <v>0</v>
      </c>
      <c r="G150" s="159">
        <f t="shared" si="30"/>
        <v>0</v>
      </c>
      <c r="H150" s="163">
        <f t="shared" si="31"/>
        <v>0</v>
      </c>
      <c r="I150" s="253">
        <f t="shared" si="32"/>
        <v>0</v>
      </c>
      <c r="J150" s="158">
        <f t="shared" si="33"/>
        <v>0</v>
      </c>
      <c r="K150" s="158"/>
      <c r="L150" s="334"/>
      <c r="M150" s="158">
        <f t="shared" si="34"/>
        <v>0</v>
      </c>
      <c r="N150" s="334"/>
      <c r="O150" s="158">
        <f t="shared" si="35"/>
        <v>0</v>
      </c>
      <c r="P150" s="158">
        <f t="shared" si="36"/>
        <v>0</v>
      </c>
      <c r="Q150" s="1"/>
    </row>
    <row r="151" spans="2:17">
      <c r="B151" s="9" t="str">
        <f t="shared" si="37"/>
        <v/>
      </c>
      <c r="C151" s="153">
        <f>IF(D93="","-",+C150+1)</f>
        <v>2064</v>
      </c>
      <c r="D151" s="154">
        <f>IF(F150+SUM(E$99:E150)=D$92,F150,D$92-SUM(E$99:E150))</f>
        <v>0</v>
      </c>
      <c r="E151" s="160">
        <f>IF(+J96&lt;F150,J96,D151)</f>
        <v>0</v>
      </c>
      <c r="F151" s="159">
        <f t="shared" si="38"/>
        <v>0</v>
      </c>
      <c r="G151" s="159">
        <f t="shared" si="30"/>
        <v>0</v>
      </c>
      <c r="H151" s="163">
        <f t="shared" si="31"/>
        <v>0</v>
      </c>
      <c r="I151" s="253">
        <f t="shared" si="32"/>
        <v>0</v>
      </c>
      <c r="J151" s="158">
        <f t="shared" si="33"/>
        <v>0</v>
      </c>
      <c r="K151" s="158"/>
      <c r="L151" s="334"/>
      <c r="M151" s="158">
        <f t="shared" si="34"/>
        <v>0</v>
      </c>
      <c r="N151" s="334"/>
      <c r="O151" s="158">
        <f t="shared" si="35"/>
        <v>0</v>
      </c>
      <c r="P151" s="158">
        <f t="shared" si="36"/>
        <v>0</v>
      </c>
      <c r="Q151" s="1"/>
    </row>
    <row r="152" spans="2:17">
      <c r="B152" s="9" t="str">
        <f t="shared" si="37"/>
        <v/>
      </c>
      <c r="C152" s="153">
        <f>IF(D93="","-",+C151+1)</f>
        <v>2065</v>
      </c>
      <c r="D152" s="154">
        <f>IF(F151+SUM(E$99:E151)=D$92,F151,D$92-SUM(E$99:E151))</f>
        <v>0</v>
      </c>
      <c r="E152" s="160">
        <f>IF(+J96&lt;F151,J96,D152)</f>
        <v>0</v>
      </c>
      <c r="F152" s="159">
        <f t="shared" si="38"/>
        <v>0</v>
      </c>
      <c r="G152" s="159">
        <f t="shared" si="30"/>
        <v>0</v>
      </c>
      <c r="H152" s="163">
        <f t="shared" si="31"/>
        <v>0</v>
      </c>
      <c r="I152" s="253">
        <f t="shared" si="32"/>
        <v>0</v>
      </c>
      <c r="J152" s="158">
        <f t="shared" si="33"/>
        <v>0</v>
      </c>
      <c r="K152" s="158"/>
      <c r="L152" s="334"/>
      <c r="M152" s="158">
        <f t="shared" si="34"/>
        <v>0</v>
      </c>
      <c r="N152" s="334"/>
      <c r="O152" s="158">
        <f t="shared" si="35"/>
        <v>0</v>
      </c>
      <c r="P152" s="158">
        <f t="shared" si="36"/>
        <v>0</v>
      </c>
      <c r="Q152" s="1"/>
    </row>
    <row r="153" spans="2:17">
      <c r="B153" s="9" t="str">
        <f t="shared" si="37"/>
        <v/>
      </c>
      <c r="C153" s="153">
        <f>IF(D93="","-",+C152+1)</f>
        <v>2066</v>
      </c>
      <c r="D153" s="154">
        <f>IF(F152+SUM(E$99:E152)=D$92,F152,D$92-SUM(E$99:E152))</f>
        <v>0</v>
      </c>
      <c r="E153" s="160">
        <f>IF(+J96&lt;F152,J96,D153)</f>
        <v>0</v>
      </c>
      <c r="F153" s="159">
        <f t="shared" si="38"/>
        <v>0</v>
      </c>
      <c r="G153" s="159">
        <f t="shared" si="30"/>
        <v>0</v>
      </c>
      <c r="H153" s="163">
        <f t="shared" si="31"/>
        <v>0</v>
      </c>
      <c r="I153" s="253">
        <f t="shared" si="32"/>
        <v>0</v>
      </c>
      <c r="J153" s="158">
        <f t="shared" si="33"/>
        <v>0</v>
      </c>
      <c r="K153" s="158"/>
      <c r="L153" s="334"/>
      <c r="M153" s="158">
        <f t="shared" si="34"/>
        <v>0</v>
      </c>
      <c r="N153" s="334"/>
      <c r="O153" s="158">
        <f t="shared" si="35"/>
        <v>0</v>
      </c>
      <c r="P153" s="158">
        <f t="shared" si="36"/>
        <v>0</v>
      </c>
      <c r="Q153" s="1"/>
    </row>
    <row r="154" spans="2:17" ht="13.5" thickBot="1">
      <c r="B154" s="9" t="str">
        <f t="shared" si="37"/>
        <v/>
      </c>
      <c r="C154" s="164">
        <f>IF(D93="","-",+C153+1)</f>
        <v>2067</v>
      </c>
      <c r="D154" s="215">
        <f>IF(F153+SUM(E$99:E153)=D$92,F153,D$92-SUM(E$99:E153))</f>
        <v>0</v>
      </c>
      <c r="E154" s="166">
        <f>IF(+J96&lt;F153,J96,D154)</f>
        <v>0</v>
      </c>
      <c r="F154" s="165">
        <f t="shared" si="38"/>
        <v>0</v>
      </c>
      <c r="G154" s="165">
        <f t="shared" si="30"/>
        <v>0</v>
      </c>
      <c r="H154" s="167">
        <f t="shared" si="31"/>
        <v>0</v>
      </c>
      <c r="I154" s="254">
        <f t="shared" si="32"/>
        <v>0</v>
      </c>
      <c r="J154" s="169">
        <f t="shared" si="33"/>
        <v>0</v>
      </c>
      <c r="K154" s="158"/>
      <c r="L154" s="335"/>
      <c r="M154" s="169">
        <f t="shared" si="34"/>
        <v>0</v>
      </c>
      <c r="N154" s="335"/>
      <c r="O154" s="169">
        <f t="shared" si="35"/>
        <v>0</v>
      </c>
      <c r="P154" s="169">
        <f t="shared" si="36"/>
        <v>0</v>
      </c>
      <c r="Q154" s="1"/>
    </row>
    <row r="155" spans="2:17">
      <c r="C155" s="154" t="s">
        <v>73</v>
      </c>
      <c r="D155" s="111"/>
      <c r="E155" s="111">
        <f>SUM(E99:E154)</f>
        <v>230750.00000000003</v>
      </c>
      <c r="F155" s="111"/>
      <c r="G155" s="111"/>
      <c r="H155" s="111">
        <f>SUM(H99:H154)</f>
        <v>832527.54687747406</v>
      </c>
      <c r="I155" s="111">
        <f>SUM(I99:I154)</f>
        <v>832527.54687747406</v>
      </c>
      <c r="J155" s="111">
        <f>SUM(J99:J154)</f>
        <v>0</v>
      </c>
      <c r="K155" s="111"/>
      <c r="L155" s="111"/>
      <c r="M155" s="111"/>
      <c r="N155" s="111"/>
      <c r="O155" s="111"/>
      <c r="P155" s="1"/>
      <c r="Q155" s="1"/>
    </row>
    <row r="156" spans="2:17">
      <c r="D156" s="2"/>
      <c r="E156" s="1"/>
      <c r="F156" s="1"/>
      <c r="G156" s="1"/>
      <c r="H156" s="1"/>
      <c r="I156" s="3"/>
      <c r="J156" s="3"/>
      <c r="K156" s="111"/>
      <c r="L156" s="3"/>
      <c r="M156" s="3"/>
      <c r="N156" s="3"/>
      <c r="O156" s="3"/>
      <c r="P156" s="1"/>
      <c r="Q156" s="1"/>
    </row>
    <row r="157" spans="2:17">
      <c r="C157" s="216" t="s">
        <v>87</v>
      </c>
      <c r="D157" s="2"/>
      <c r="E157" s="1"/>
      <c r="F157" s="1"/>
      <c r="G157" s="1"/>
      <c r="H157" s="1"/>
      <c r="I157" s="3"/>
      <c r="J157" s="3"/>
      <c r="K157" s="111"/>
      <c r="L157" s="3"/>
      <c r="M157" s="3"/>
      <c r="N157" s="3"/>
      <c r="O157" s="3"/>
      <c r="P157" s="1"/>
      <c r="Q157" s="1"/>
    </row>
    <row r="158" spans="2:17">
      <c r="D158" s="2"/>
      <c r="E158" s="1"/>
      <c r="F158" s="1"/>
      <c r="G158" s="1"/>
      <c r="H158" s="1"/>
      <c r="I158" s="3"/>
      <c r="J158" s="3"/>
      <c r="K158" s="111"/>
      <c r="L158" s="3"/>
      <c r="M158" s="3"/>
      <c r="N158" s="3"/>
      <c r="O158" s="3"/>
      <c r="P158" s="1"/>
      <c r="Q158" s="1"/>
    </row>
    <row r="159" spans="2:17">
      <c r="C159" s="170" t="s">
        <v>92</v>
      </c>
      <c r="D159" s="154"/>
      <c r="E159" s="154"/>
      <c r="F159" s="154"/>
      <c r="G159" s="154"/>
      <c r="H159" s="111"/>
      <c r="I159" s="111"/>
      <c r="J159" s="171"/>
      <c r="K159" s="171"/>
      <c r="L159" s="171"/>
      <c r="M159" s="171"/>
      <c r="N159" s="171"/>
      <c r="O159" s="171"/>
      <c r="P159" s="1"/>
      <c r="Q159" s="1"/>
    </row>
    <row r="160" spans="2:17">
      <c r="C160" s="217" t="s">
        <v>74</v>
      </c>
      <c r="D160" s="154"/>
      <c r="E160" s="154"/>
      <c r="F160" s="154"/>
      <c r="G160" s="154"/>
      <c r="H160" s="111"/>
      <c r="I160" s="111"/>
      <c r="J160" s="171"/>
      <c r="K160" s="171"/>
      <c r="L160" s="171"/>
      <c r="M160" s="171"/>
      <c r="N160" s="171"/>
      <c r="O160" s="171"/>
      <c r="P160" s="1"/>
      <c r="Q160" s="1"/>
    </row>
    <row r="161" spans="3:17">
      <c r="C161" s="217" t="s">
        <v>75</v>
      </c>
      <c r="D161" s="154"/>
      <c r="E161" s="154"/>
      <c r="F161" s="154"/>
      <c r="G161" s="154"/>
      <c r="H161" s="111"/>
      <c r="I161" s="111"/>
      <c r="J161" s="171"/>
      <c r="K161" s="171"/>
      <c r="L161" s="171"/>
      <c r="M161" s="171"/>
      <c r="N161" s="171"/>
      <c r="O161" s="171"/>
      <c r="P161" s="1"/>
      <c r="Q161" s="1"/>
    </row>
    <row r="162" spans="3:17" ht="18">
      <c r="C162" s="217"/>
      <c r="D162" s="154"/>
      <c r="E162" s="154"/>
      <c r="F162" s="154"/>
      <c r="G162" s="154"/>
      <c r="H162" s="111"/>
      <c r="I162" s="111"/>
      <c r="J162" s="171"/>
      <c r="K162" s="171"/>
      <c r="L162" s="171"/>
      <c r="M162" s="171"/>
      <c r="N162" s="171"/>
      <c r="P162" s="237" t="s">
        <v>126</v>
      </c>
      <c r="Q162" s="1"/>
    </row>
  </sheetData>
  <phoneticPr fontId="0" type="noConversion"/>
  <conditionalFormatting sqref="C17:C72">
    <cfRule type="cellIs" dxfId="103" priority="1" stopIfTrue="1" operator="equal">
      <formula>$I$10</formula>
    </cfRule>
  </conditionalFormatting>
  <conditionalFormatting sqref="C99:C154">
    <cfRule type="cellIs" dxfId="102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3"/>
  <dimension ref="A1:Q162"/>
  <sheetViews>
    <sheetView view="pageBreakPreview" zoomScale="75" zoomScaleNormal="100" zoomScaleSheetLayoutView="75" workbookViewId="0">
      <selection activeCell="C19" sqref="C19"/>
    </sheetView>
  </sheetViews>
  <sheetFormatPr defaultRowHeight="12.75" customHeight="1"/>
  <cols>
    <col min="1" max="1" width="4.7109375" customWidth="1"/>
    <col min="2" max="2" width="6.7109375" customWidth="1"/>
    <col min="3" max="3" width="23.28515625" customWidth="1"/>
    <col min="4" max="8" width="17.7109375" customWidth="1"/>
    <col min="9" max="9" width="20.42578125" customWidth="1"/>
    <col min="10" max="10" width="16.42578125" customWidth="1"/>
    <col min="11" max="11" width="17.7109375" customWidth="1"/>
    <col min="12" max="12" width="16.140625" customWidth="1"/>
    <col min="13" max="13" width="17.7109375" customWidth="1"/>
    <col min="14" max="14" width="16.140625" customWidth="1"/>
    <col min="15" max="15" width="16.85546875" customWidth="1"/>
    <col min="16" max="16" width="24.42578125" customWidth="1"/>
    <col min="17" max="17" width="4.7109375" customWidth="1"/>
    <col min="23" max="23" width="9.140625" customWidth="1"/>
  </cols>
  <sheetData>
    <row r="1" spans="1:17" ht="20.25">
      <c r="A1" s="243" t="s">
        <v>128</v>
      </c>
      <c r="B1" s="1"/>
      <c r="C1" s="21"/>
      <c r="D1" s="2"/>
      <c r="E1" s="1"/>
      <c r="F1" s="99"/>
      <c r="G1" s="1"/>
      <c r="H1" s="3"/>
      <c r="J1" s="7"/>
      <c r="K1" s="109"/>
      <c r="L1" s="109"/>
      <c r="M1" s="109"/>
      <c r="P1" s="249" t="str">
        <f ca="1">"SWEPCO Project "&amp;RIGHT(MID(CELL("filename",$A$1),FIND("]",CELL("filename",$A$1))+1,256),2)&amp;" of "&amp;COUNT('S.001:S.xyz - blank'!$P$3)-1</f>
        <v>SWEPCO Project 32 of 73</v>
      </c>
      <c r="Q1" s="108"/>
    </row>
    <row r="2" spans="1:17" ht="18">
      <c r="B2" s="1"/>
      <c r="C2" s="1"/>
      <c r="D2" s="2"/>
      <c r="E2" s="1"/>
      <c r="F2" s="1"/>
      <c r="G2" s="1"/>
      <c r="H2" s="3"/>
      <c r="I2" s="1"/>
      <c r="J2" s="4"/>
      <c r="K2" s="1"/>
      <c r="L2" s="1"/>
      <c r="M2" s="1"/>
      <c r="N2" s="1"/>
      <c r="P2" s="237" t="s">
        <v>124</v>
      </c>
    </row>
    <row r="3" spans="1:17" ht="18.75">
      <c r="B3" s="5" t="s">
        <v>40</v>
      </c>
      <c r="C3" s="68" t="s">
        <v>41</v>
      </c>
      <c r="D3" s="2"/>
      <c r="E3" s="1"/>
      <c r="F3" s="1"/>
      <c r="G3" s="1"/>
      <c r="H3" s="3"/>
      <c r="I3" s="3"/>
      <c r="J3" s="111"/>
      <c r="K3" s="3"/>
      <c r="L3" s="3"/>
      <c r="M3" s="3"/>
      <c r="N3" s="3"/>
      <c r="O3" s="1" t="str">
        <f>RIGHT(N3,3)</f>
        <v/>
      </c>
      <c r="P3" s="239">
        <v>1</v>
      </c>
    </row>
    <row r="4" spans="1:17" ht="15.75" thickBot="1">
      <c r="C4" s="67"/>
      <c r="D4" s="2"/>
      <c r="E4" s="1"/>
      <c r="F4" s="1"/>
      <c r="G4" s="1"/>
      <c r="H4" s="3"/>
      <c r="I4" s="3"/>
      <c r="J4" s="111"/>
      <c r="K4" s="3"/>
      <c r="L4" s="3"/>
      <c r="M4" s="3"/>
      <c r="N4" s="3"/>
      <c r="O4" s="1"/>
      <c r="P4" s="1"/>
    </row>
    <row r="5" spans="1:17" ht="15">
      <c r="C5" s="112" t="s">
        <v>42</v>
      </c>
      <c r="D5" s="2"/>
      <c r="E5" s="1"/>
      <c r="F5" s="1"/>
      <c r="G5" s="113"/>
      <c r="H5" s="1" t="s">
        <v>43</v>
      </c>
      <c r="I5" s="1"/>
      <c r="J5" s="4"/>
      <c r="K5" s="268" t="s">
        <v>152</v>
      </c>
      <c r="L5" s="114"/>
      <c r="M5" s="115"/>
      <c r="N5" s="116">
        <f>VLOOKUP(I10,C17:I72,5)</f>
        <v>443774.73081523203</v>
      </c>
      <c r="P5" s="1"/>
    </row>
    <row r="6" spans="1:17" ht="15.75">
      <c r="C6" s="8"/>
      <c r="D6" s="2"/>
      <c r="E6" s="1"/>
      <c r="F6" s="1"/>
      <c r="G6" s="1"/>
      <c r="H6" s="117"/>
      <c r="I6" s="117"/>
      <c r="J6" s="118"/>
      <c r="K6" s="269" t="s">
        <v>153</v>
      </c>
      <c r="L6" s="119"/>
      <c r="M6" s="4"/>
      <c r="N6" s="120">
        <f>VLOOKUP(I10,C17:I72,6)</f>
        <v>443774.73081523203</v>
      </c>
      <c r="O6" s="1"/>
      <c r="P6" s="1"/>
    </row>
    <row r="7" spans="1:17" ht="13.5" thickBot="1">
      <c r="C7" s="121" t="s">
        <v>44</v>
      </c>
      <c r="D7" s="274" t="s">
        <v>274</v>
      </c>
      <c r="E7" s="1"/>
      <c r="F7" s="1"/>
      <c r="G7" s="170"/>
      <c r="H7" s="3"/>
      <c r="I7" s="3"/>
      <c r="J7" s="111"/>
      <c r="K7" s="122" t="s">
        <v>45</v>
      </c>
      <c r="L7" s="123"/>
      <c r="M7" s="123"/>
      <c r="N7" s="124">
        <f>+N6-N5</f>
        <v>0</v>
      </c>
      <c r="O7" s="1"/>
      <c r="P7" s="1"/>
    </row>
    <row r="8" spans="1:17" ht="13.5" thickBot="1">
      <c r="C8" s="125"/>
      <c r="D8" s="250" t="str">
        <f>IF(D10&lt;100000,"DOES NOT MEET SPP $100,000 MINIMUM INVESTMENT FOR REGIONAL BPU SHARING.","")</f>
        <v/>
      </c>
      <c r="E8" s="126"/>
      <c r="F8" s="126"/>
      <c r="G8" s="126"/>
      <c r="H8" s="126"/>
      <c r="I8" s="126"/>
      <c r="J8" s="101"/>
      <c r="K8" s="126"/>
      <c r="L8" s="126"/>
      <c r="M8" s="126"/>
      <c r="N8" s="126"/>
      <c r="O8" s="101"/>
      <c r="P8" s="21"/>
    </row>
    <row r="9" spans="1:17" ht="13.5" thickBot="1">
      <c r="A9" s="103"/>
      <c r="C9" s="127" t="s">
        <v>46</v>
      </c>
      <c r="D9" s="371"/>
      <c r="E9" s="401" t="s">
        <v>423</v>
      </c>
      <c r="F9" s="128"/>
      <c r="G9" s="128"/>
      <c r="H9" s="128"/>
      <c r="I9" s="129"/>
      <c r="J9" s="130"/>
      <c r="O9" s="131"/>
      <c r="P9" s="4"/>
    </row>
    <row r="10" spans="1:17">
      <c r="C10" s="132" t="s">
        <v>47</v>
      </c>
      <c r="D10" s="133">
        <v>4175110</v>
      </c>
      <c r="E10" s="61" t="s">
        <v>459</v>
      </c>
      <c r="F10" s="131"/>
      <c r="G10" s="134"/>
      <c r="H10" s="134"/>
      <c r="I10" s="135">
        <f>+SWE.WS.F.BPU.ATRR.Projected!K17</f>
        <v>2019</v>
      </c>
      <c r="J10" s="130"/>
      <c r="K10" s="111" t="s">
        <v>48</v>
      </c>
      <c r="O10" s="4"/>
      <c r="P10" s="4"/>
    </row>
    <row r="11" spans="1:17">
      <c r="C11" s="136" t="s">
        <v>49</v>
      </c>
      <c r="D11" s="137">
        <v>2012</v>
      </c>
      <c r="E11" s="136" t="s">
        <v>50</v>
      </c>
      <c r="F11" s="134"/>
      <c r="G11" s="7"/>
      <c r="H11" s="7"/>
      <c r="I11" s="138">
        <v>0</v>
      </c>
      <c r="J11" s="139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4"/>
      <c r="P11" s="4"/>
    </row>
    <row r="12" spans="1:17">
      <c r="C12" s="136" t="s">
        <v>51</v>
      </c>
      <c r="D12" s="133">
        <v>6</v>
      </c>
      <c r="E12" s="136" t="s">
        <v>52</v>
      </c>
      <c r="F12" s="134"/>
      <c r="G12" s="7"/>
      <c r="H12" s="7"/>
      <c r="I12" s="140">
        <f>SWE.WS.F.BPU.ATRR.Projected!$F$76</f>
        <v>9.9555672459071778E-2</v>
      </c>
      <c r="J12" s="141"/>
      <c r="K12" t="s">
        <v>53</v>
      </c>
      <c r="O12" s="4"/>
      <c r="P12" s="4"/>
    </row>
    <row r="13" spans="1:17">
      <c r="C13" s="136" t="s">
        <v>54</v>
      </c>
      <c r="D13" s="138">
        <f>+SWE.WS.F.BPU.ATRR.Projected!F$87</f>
        <v>43</v>
      </c>
      <c r="E13" s="136" t="s">
        <v>55</v>
      </c>
      <c r="F13" s="134"/>
      <c r="G13" s="7"/>
      <c r="H13" s="7"/>
      <c r="I13" s="140">
        <f>IF(G5="",I12,SWE.WS.F.BPU.ATRR.Projected!$F$75)</f>
        <v>9.9555672459071778E-2</v>
      </c>
      <c r="J13" s="141"/>
      <c r="K13" s="111" t="s">
        <v>56</v>
      </c>
      <c r="L13" s="58"/>
      <c r="M13" s="58"/>
      <c r="N13" s="58"/>
      <c r="O13" s="4"/>
      <c r="P13" s="4"/>
    </row>
    <row r="14" spans="1:17" ht="13.5" thickBot="1">
      <c r="C14" s="136" t="s">
        <v>57</v>
      </c>
      <c r="D14" s="137" t="s">
        <v>58</v>
      </c>
      <c r="E14" s="4" t="s">
        <v>59</v>
      </c>
      <c r="F14" s="134"/>
      <c r="G14" s="7"/>
      <c r="H14" s="7"/>
      <c r="I14" s="142">
        <f>IF(D10=0,0,D10/D13)</f>
        <v>97095.58139534884</v>
      </c>
      <c r="J14" s="111"/>
      <c r="K14" s="111"/>
      <c r="L14" s="111"/>
      <c r="M14" s="111"/>
      <c r="N14" s="111"/>
      <c r="O14" s="4"/>
      <c r="P14" s="4"/>
    </row>
    <row r="15" spans="1:17" ht="38.25">
      <c r="C15" s="143" t="s">
        <v>47</v>
      </c>
      <c r="D15" s="144" t="s">
        <v>60</v>
      </c>
      <c r="E15" s="144" t="s">
        <v>61</v>
      </c>
      <c r="F15" s="144" t="s">
        <v>62</v>
      </c>
      <c r="G15" s="434" t="s">
        <v>378</v>
      </c>
      <c r="H15" s="435" t="s">
        <v>379</v>
      </c>
      <c r="I15" s="351" t="s">
        <v>249</v>
      </c>
      <c r="J15" s="145"/>
      <c r="K15" s="271" t="s">
        <v>219</v>
      </c>
      <c r="L15" s="146" t="s">
        <v>64</v>
      </c>
      <c r="M15" s="271" t="s">
        <v>219</v>
      </c>
      <c r="N15" s="146" t="s">
        <v>64</v>
      </c>
      <c r="O15" s="146" t="s">
        <v>65</v>
      </c>
      <c r="P15" s="4"/>
    </row>
    <row r="16" spans="1:17" ht="13.5" thickBot="1">
      <c r="C16" s="147" t="s">
        <v>66</v>
      </c>
      <c r="D16" s="147" t="s">
        <v>67</v>
      </c>
      <c r="E16" s="147" t="s">
        <v>68</v>
      </c>
      <c r="F16" s="147" t="s">
        <v>67</v>
      </c>
      <c r="G16" s="408" t="s">
        <v>69</v>
      </c>
      <c r="H16" s="148" t="s">
        <v>70</v>
      </c>
      <c r="I16" s="149" t="s">
        <v>89</v>
      </c>
      <c r="J16" s="150" t="s">
        <v>71</v>
      </c>
      <c r="K16" s="151" t="s">
        <v>72</v>
      </c>
      <c r="L16" s="151" t="s">
        <v>72</v>
      </c>
      <c r="M16" s="151" t="s">
        <v>90</v>
      </c>
      <c r="N16" s="152" t="s">
        <v>90</v>
      </c>
      <c r="O16" s="151" t="s">
        <v>90</v>
      </c>
      <c r="P16" s="4"/>
    </row>
    <row r="17" spans="2:16">
      <c r="C17" s="153">
        <f>IF(D11= "","-",D11)</f>
        <v>2012</v>
      </c>
      <c r="D17" s="357">
        <v>3985900</v>
      </c>
      <c r="E17" s="358">
        <v>47451.190476190473</v>
      </c>
      <c r="F17" s="357">
        <v>3938448.8095238097</v>
      </c>
      <c r="G17" s="358">
        <v>633177.84907678491</v>
      </c>
      <c r="H17" s="359">
        <v>633177.84907678491</v>
      </c>
      <c r="I17" s="405">
        <v>0</v>
      </c>
      <c r="J17" s="156"/>
      <c r="K17" s="256">
        <f t="shared" ref="K17:K22" si="0">G17</f>
        <v>633177.84907678491</v>
      </c>
      <c r="L17" s="172">
        <f t="shared" ref="L17:L48" si="1">IF(K17&lt;&gt;0,+G17-K17,0)</f>
        <v>0</v>
      </c>
      <c r="M17" s="256">
        <f t="shared" ref="M17:M22" si="2">H17</f>
        <v>633177.84907678491</v>
      </c>
      <c r="N17" s="157">
        <f t="shared" ref="N17:N48" si="3">IF(M17&lt;&gt;0,+H17-M17,0)</f>
        <v>0</v>
      </c>
      <c r="O17" s="158">
        <f t="shared" ref="O17:O48" si="4">+N17-L17</f>
        <v>0</v>
      </c>
      <c r="P17" s="4"/>
    </row>
    <row r="18" spans="2:16">
      <c r="B18" s="9" t="str">
        <f t="shared" ref="B18:B49" si="5">IF(D18=F17,"","IU")</f>
        <v>IU</v>
      </c>
      <c r="C18" s="153">
        <f>IF(D11="","-",+C17+1)</f>
        <v>2013</v>
      </c>
      <c r="D18" s="357">
        <v>4157203.8095238097</v>
      </c>
      <c r="E18" s="360">
        <v>100110.83333333333</v>
      </c>
      <c r="F18" s="357">
        <v>4057092.9761904762</v>
      </c>
      <c r="G18" s="360">
        <v>668051.44078047015</v>
      </c>
      <c r="H18" s="359">
        <v>668051.44078047015</v>
      </c>
      <c r="I18" s="404">
        <v>0</v>
      </c>
      <c r="J18" s="156"/>
      <c r="K18" s="258">
        <f t="shared" si="0"/>
        <v>668051.44078047015</v>
      </c>
      <c r="L18" s="257">
        <f t="shared" ref="L18:L23" si="6">IF(K18&lt;&gt;0,+G18-K18,0)</f>
        <v>0</v>
      </c>
      <c r="M18" s="258">
        <f t="shared" si="2"/>
        <v>668051.44078047015</v>
      </c>
      <c r="N18" s="158">
        <f t="shared" ref="N18:N23" si="7">IF(M18&lt;&gt;0,+H18-M18,0)</f>
        <v>0</v>
      </c>
      <c r="O18" s="158">
        <f t="shared" ref="O18:O23" si="8">+N18-L18</f>
        <v>0</v>
      </c>
      <c r="P18" s="4"/>
    </row>
    <row r="19" spans="2:16">
      <c r="B19" s="9" t="str">
        <f t="shared" si="5"/>
        <v>IU</v>
      </c>
      <c r="C19" s="153">
        <f>IF(D11="","-",+C18+1)</f>
        <v>2014</v>
      </c>
      <c r="D19" s="357">
        <v>4010174.9761904762</v>
      </c>
      <c r="E19" s="360">
        <v>98993.738095238092</v>
      </c>
      <c r="F19" s="357">
        <v>3911181.2380952383</v>
      </c>
      <c r="G19" s="360">
        <v>626653.18678450992</v>
      </c>
      <c r="H19" s="359">
        <v>626653.18678450992</v>
      </c>
      <c r="I19" s="404">
        <v>0</v>
      </c>
      <c r="J19" s="156"/>
      <c r="K19" s="258">
        <f t="shared" si="0"/>
        <v>626653.18678450992</v>
      </c>
      <c r="L19" s="257">
        <f t="shared" si="6"/>
        <v>0</v>
      </c>
      <c r="M19" s="258">
        <f t="shared" si="2"/>
        <v>626653.18678450992</v>
      </c>
      <c r="N19" s="158">
        <f t="shared" si="7"/>
        <v>0</v>
      </c>
      <c r="O19" s="158">
        <f t="shared" si="8"/>
        <v>0</v>
      </c>
      <c r="P19" s="4"/>
    </row>
    <row r="20" spans="2:16">
      <c r="B20" s="9" t="str">
        <f t="shared" si="5"/>
        <v>IU</v>
      </c>
      <c r="C20" s="153">
        <f>IF(D11="","-",+C19+1)</f>
        <v>2015</v>
      </c>
      <c r="D20" s="357">
        <v>3928554.2380952379</v>
      </c>
      <c r="E20" s="360">
        <v>99407.380952380947</v>
      </c>
      <c r="F20" s="357">
        <v>3829146.8571428568</v>
      </c>
      <c r="G20" s="360">
        <v>603724.40567685384</v>
      </c>
      <c r="H20" s="359">
        <v>603724.40567685384</v>
      </c>
      <c r="I20" s="156">
        <v>0</v>
      </c>
      <c r="J20" s="156"/>
      <c r="K20" s="258">
        <f t="shared" si="0"/>
        <v>603724.40567685384</v>
      </c>
      <c r="L20" s="257">
        <f t="shared" si="6"/>
        <v>0</v>
      </c>
      <c r="M20" s="258">
        <f t="shared" si="2"/>
        <v>603724.40567685384</v>
      </c>
      <c r="N20" s="158">
        <f t="shared" si="7"/>
        <v>0</v>
      </c>
      <c r="O20" s="158">
        <f t="shared" si="8"/>
        <v>0</v>
      </c>
      <c r="P20" s="4"/>
    </row>
    <row r="21" spans="2:16">
      <c r="B21" s="9" t="str">
        <f t="shared" si="5"/>
        <v/>
      </c>
      <c r="C21" s="153">
        <f>IF(D12="","-",+C20+1)</f>
        <v>2016</v>
      </c>
      <c r="D21" s="357">
        <v>3829146.8571428568</v>
      </c>
      <c r="E21" s="360">
        <v>99407.380952380947</v>
      </c>
      <c r="F21" s="357">
        <v>3729739.4761904757</v>
      </c>
      <c r="G21" s="360">
        <v>584571.79884231184</v>
      </c>
      <c r="H21" s="359">
        <v>584571.79884231184</v>
      </c>
      <c r="I21" s="156">
        <f t="shared" ref="I21:I48" si="9">H21-G21</f>
        <v>0</v>
      </c>
      <c r="J21" s="156"/>
      <c r="K21" s="258">
        <f t="shared" si="0"/>
        <v>584571.79884231184</v>
      </c>
      <c r="L21" s="257">
        <f t="shared" si="6"/>
        <v>0</v>
      </c>
      <c r="M21" s="258">
        <f t="shared" si="2"/>
        <v>584571.79884231184</v>
      </c>
      <c r="N21" s="158">
        <f t="shared" si="7"/>
        <v>0</v>
      </c>
      <c r="O21" s="158">
        <f t="shared" si="8"/>
        <v>0</v>
      </c>
      <c r="P21" s="4"/>
    </row>
    <row r="22" spans="2:16">
      <c r="B22" s="9" t="str">
        <f t="shared" si="5"/>
        <v/>
      </c>
      <c r="C22" s="153">
        <f>IF(D11="","-",+C21+1)</f>
        <v>2017</v>
      </c>
      <c r="D22" s="357">
        <v>3729739.4761904757</v>
      </c>
      <c r="E22" s="360">
        <v>97095.58139534884</v>
      </c>
      <c r="F22" s="357">
        <v>3632643.8947951267</v>
      </c>
      <c r="G22" s="360">
        <v>553167.7460387327</v>
      </c>
      <c r="H22" s="359">
        <v>553167.7460387327</v>
      </c>
      <c r="I22" s="156">
        <v>0</v>
      </c>
      <c r="J22" s="156"/>
      <c r="K22" s="258">
        <f t="shared" si="0"/>
        <v>553167.7460387327</v>
      </c>
      <c r="L22" s="257">
        <f t="shared" si="6"/>
        <v>0</v>
      </c>
      <c r="M22" s="258">
        <f t="shared" si="2"/>
        <v>553167.7460387327</v>
      </c>
      <c r="N22" s="158">
        <f t="shared" si="7"/>
        <v>0</v>
      </c>
      <c r="O22" s="158">
        <f t="shared" si="8"/>
        <v>0</v>
      </c>
      <c r="P22" s="4"/>
    </row>
    <row r="23" spans="2:16">
      <c r="B23" s="9" t="str">
        <f t="shared" si="5"/>
        <v/>
      </c>
      <c r="C23" s="153">
        <f>IF(D11="","-",+C22+1)</f>
        <v>2018</v>
      </c>
      <c r="D23" s="357">
        <v>3632643.8947951267</v>
      </c>
      <c r="E23" s="360">
        <v>101831.95121951219</v>
      </c>
      <c r="F23" s="357">
        <v>3530811.9435756146</v>
      </c>
      <c r="G23" s="360">
        <v>502570.75003107433</v>
      </c>
      <c r="H23" s="359">
        <v>502570.75003107433</v>
      </c>
      <c r="I23" s="156">
        <f t="shared" si="9"/>
        <v>0</v>
      </c>
      <c r="J23" s="156"/>
      <c r="K23" s="258">
        <f>G23</f>
        <v>502570.75003107433</v>
      </c>
      <c r="L23" s="257">
        <f t="shared" si="6"/>
        <v>0</v>
      </c>
      <c r="M23" s="258">
        <f>H23</f>
        <v>502570.75003107433</v>
      </c>
      <c r="N23" s="158">
        <f t="shared" si="7"/>
        <v>0</v>
      </c>
      <c r="O23" s="158">
        <f t="shared" si="8"/>
        <v>0</v>
      </c>
      <c r="P23" s="4"/>
    </row>
    <row r="24" spans="2:16">
      <c r="B24" s="9" t="str">
        <f t="shared" si="5"/>
        <v/>
      </c>
      <c r="C24" s="153">
        <f>IF(D11="","-",+C23+1)</f>
        <v>2019</v>
      </c>
      <c r="D24" s="159">
        <f>IF(F23+SUM(E$17:E23)=D$10,F23,D$10-SUM(E$17:E23))</f>
        <v>3530811.9435756146</v>
      </c>
      <c r="E24" s="160">
        <f>IF(+I14&lt;F23,I14,D24)</f>
        <v>97095.58139534884</v>
      </c>
      <c r="F24" s="159">
        <f t="shared" ref="F24:F48" si="10">+D24-E24</f>
        <v>3433716.3621802656</v>
      </c>
      <c r="G24" s="161">
        <f t="shared" ref="G24:G53" si="11">+I$12*((D24+F24)/2)+E24</f>
        <v>443774.73081523203</v>
      </c>
      <c r="H24" s="142">
        <f t="shared" ref="H24:H53" si="12">+I$13*((D24+F24)/2)+E24</f>
        <v>443774.73081523203</v>
      </c>
      <c r="I24" s="156">
        <f t="shared" si="9"/>
        <v>0</v>
      </c>
      <c r="J24" s="156"/>
      <c r="K24" s="334"/>
      <c r="L24" s="158">
        <f t="shared" si="1"/>
        <v>0</v>
      </c>
      <c r="M24" s="334"/>
      <c r="N24" s="158">
        <f t="shared" si="3"/>
        <v>0</v>
      </c>
      <c r="O24" s="158">
        <f t="shared" si="4"/>
        <v>0</v>
      </c>
      <c r="P24" s="4"/>
    </row>
    <row r="25" spans="2:16">
      <c r="B25" s="9" t="str">
        <f t="shared" si="5"/>
        <v/>
      </c>
      <c r="C25" s="153">
        <f>IF(D11="","-",+C24+1)</f>
        <v>2020</v>
      </c>
      <c r="D25" s="159">
        <f>IF(F24+SUM(E$17:E24)=D$10,F24,D$10-SUM(E$17:E24))</f>
        <v>3433716.3621802656</v>
      </c>
      <c r="E25" s="160">
        <f>IF(+I14&lt;F24,I14,D25)</f>
        <v>97095.58139534884</v>
      </c>
      <c r="F25" s="159">
        <f t="shared" si="10"/>
        <v>3336620.7807849166</v>
      </c>
      <c r="G25" s="161">
        <f t="shared" si="11"/>
        <v>434108.31491661357</v>
      </c>
      <c r="H25" s="142">
        <f t="shared" si="12"/>
        <v>434108.31491661357</v>
      </c>
      <c r="I25" s="156">
        <f t="shared" si="9"/>
        <v>0</v>
      </c>
      <c r="J25" s="156"/>
      <c r="K25" s="334"/>
      <c r="L25" s="158">
        <f t="shared" si="1"/>
        <v>0</v>
      </c>
      <c r="M25" s="334"/>
      <c r="N25" s="158">
        <f t="shared" si="3"/>
        <v>0</v>
      </c>
      <c r="O25" s="158">
        <f t="shared" si="4"/>
        <v>0</v>
      </c>
      <c r="P25" s="4"/>
    </row>
    <row r="26" spans="2:16">
      <c r="B26" s="9" t="str">
        <f t="shared" si="5"/>
        <v/>
      </c>
      <c r="C26" s="153">
        <f>IF(D11="","-",+C25+1)</f>
        <v>2021</v>
      </c>
      <c r="D26" s="159">
        <f>IF(F25+SUM(E$17:E25)=D$10,F25,D$10-SUM(E$17:E25))</f>
        <v>3336620.7807849166</v>
      </c>
      <c r="E26" s="160">
        <f>IF(+I14&lt;F25,I14,D26)</f>
        <v>97095.58139534884</v>
      </c>
      <c r="F26" s="159">
        <f t="shared" si="10"/>
        <v>3239525.1993895676</v>
      </c>
      <c r="G26" s="161">
        <f t="shared" si="11"/>
        <v>424441.89901799505</v>
      </c>
      <c r="H26" s="142">
        <f t="shared" si="12"/>
        <v>424441.89901799505</v>
      </c>
      <c r="I26" s="156">
        <f t="shared" si="9"/>
        <v>0</v>
      </c>
      <c r="J26" s="156"/>
      <c r="K26" s="334"/>
      <c r="L26" s="158">
        <f t="shared" si="1"/>
        <v>0</v>
      </c>
      <c r="M26" s="334"/>
      <c r="N26" s="158">
        <f t="shared" si="3"/>
        <v>0</v>
      </c>
      <c r="O26" s="158">
        <f t="shared" si="4"/>
        <v>0</v>
      </c>
      <c r="P26" s="4"/>
    </row>
    <row r="27" spans="2:16">
      <c r="B27" s="9" t="str">
        <f t="shared" si="5"/>
        <v/>
      </c>
      <c r="C27" s="153">
        <f>IF(D11="","-",+C26+1)</f>
        <v>2022</v>
      </c>
      <c r="D27" s="159">
        <f>IF(F26+SUM(E$17:E26)=D$10,F26,D$10-SUM(E$17:E26))</f>
        <v>3239525.1993895676</v>
      </c>
      <c r="E27" s="160">
        <f>IF(+I14&lt;F26,I14,D27)</f>
        <v>97095.58139534884</v>
      </c>
      <c r="F27" s="159">
        <f t="shared" si="10"/>
        <v>3142429.6179942186</v>
      </c>
      <c r="G27" s="161">
        <f t="shared" si="11"/>
        <v>414775.48311937659</v>
      </c>
      <c r="H27" s="142">
        <f t="shared" si="12"/>
        <v>414775.48311937659</v>
      </c>
      <c r="I27" s="156">
        <f t="shared" si="9"/>
        <v>0</v>
      </c>
      <c r="J27" s="156"/>
      <c r="K27" s="334"/>
      <c r="L27" s="158">
        <f t="shared" si="1"/>
        <v>0</v>
      </c>
      <c r="M27" s="334"/>
      <c r="N27" s="158">
        <f t="shared" si="3"/>
        <v>0</v>
      </c>
      <c r="O27" s="158">
        <f t="shared" si="4"/>
        <v>0</v>
      </c>
      <c r="P27" s="4"/>
    </row>
    <row r="28" spans="2:16">
      <c r="B28" s="9" t="str">
        <f t="shared" si="5"/>
        <v/>
      </c>
      <c r="C28" s="153">
        <f>IF(D11="","-",+C27+1)</f>
        <v>2023</v>
      </c>
      <c r="D28" s="159">
        <f>IF(F27+SUM(E$17:E27)=D$10,F27,D$10-SUM(E$17:E27))</f>
        <v>3142429.6179942186</v>
      </c>
      <c r="E28" s="160">
        <f>IF(+I14&lt;F27,I14,D28)</f>
        <v>97095.58139534884</v>
      </c>
      <c r="F28" s="159">
        <f t="shared" si="10"/>
        <v>3045334.0365988696</v>
      </c>
      <c r="G28" s="161">
        <f t="shared" si="11"/>
        <v>405109.06722075801</v>
      </c>
      <c r="H28" s="142">
        <f t="shared" si="12"/>
        <v>405109.06722075801</v>
      </c>
      <c r="I28" s="156">
        <f t="shared" si="9"/>
        <v>0</v>
      </c>
      <c r="J28" s="156"/>
      <c r="K28" s="334"/>
      <c r="L28" s="158">
        <f t="shared" si="1"/>
        <v>0</v>
      </c>
      <c r="M28" s="334"/>
      <c r="N28" s="158">
        <f t="shared" si="3"/>
        <v>0</v>
      </c>
      <c r="O28" s="158">
        <f t="shared" si="4"/>
        <v>0</v>
      </c>
      <c r="P28" s="4"/>
    </row>
    <row r="29" spans="2:16">
      <c r="B29" s="9" t="str">
        <f t="shared" si="5"/>
        <v/>
      </c>
      <c r="C29" s="153">
        <f>IF(D11="","-",+C28+1)</f>
        <v>2024</v>
      </c>
      <c r="D29" s="159">
        <f>IF(F28+SUM(E$17:E28)=D$10,F28,D$10-SUM(E$17:E28))</f>
        <v>3045334.0365988696</v>
      </c>
      <c r="E29" s="160">
        <f>IF(+I14&lt;F28,I14,D29)</f>
        <v>97095.58139534884</v>
      </c>
      <c r="F29" s="159">
        <f t="shared" si="10"/>
        <v>2948238.4552035206</v>
      </c>
      <c r="G29" s="161">
        <f t="shared" si="11"/>
        <v>395442.65132213954</v>
      </c>
      <c r="H29" s="142">
        <f t="shared" si="12"/>
        <v>395442.65132213954</v>
      </c>
      <c r="I29" s="156">
        <f t="shared" si="9"/>
        <v>0</v>
      </c>
      <c r="J29" s="156"/>
      <c r="K29" s="334"/>
      <c r="L29" s="158">
        <f t="shared" si="1"/>
        <v>0</v>
      </c>
      <c r="M29" s="334"/>
      <c r="N29" s="158">
        <f t="shared" si="3"/>
        <v>0</v>
      </c>
      <c r="O29" s="158">
        <f t="shared" si="4"/>
        <v>0</v>
      </c>
      <c r="P29" s="4"/>
    </row>
    <row r="30" spans="2:16">
      <c r="B30" s="9" t="str">
        <f t="shared" si="5"/>
        <v/>
      </c>
      <c r="C30" s="153">
        <f>IF(D11="","-",+C29+1)</f>
        <v>2025</v>
      </c>
      <c r="D30" s="159">
        <f>IF(F29+SUM(E$17:E29)=D$10,F29,D$10-SUM(E$17:E29))</f>
        <v>2948238.4552035206</v>
      </c>
      <c r="E30" s="160">
        <f>IF(+I14&lt;F29,I14,D30)</f>
        <v>97095.58139534884</v>
      </c>
      <c r="F30" s="159">
        <f t="shared" si="10"/>
        <v>2851142.8738081716</v>
      </c>
      <c r="G30" s="161">
        <f t="shared" si="11"/>
        <v>385776.23542352102</v>
      </c>
      <c r="H30" s="142">
        <f t="shared" si="12"/>
        <v>385776.23542352102</v>
      </c>
      <c r="I30" s="156">
        <f t="shared" si="9"/>
        <v>0</v>
      </c>
      <c r="J30" s="156"/>
      <c r="K30" s="334"/>
      <c r="L30" s="158">
        <f t="shared" si="1"/>
        <v>0</v>
      </c>
      <c r="M30" s="334"/>
      <c r="N30" s="158">
        <f t="shared" si="3"/>
        <v>0</v>
      </c>
      <c r="O30" s="158">
        <f t="shared" si="4"/>
        <v>0</v>
      </c>
      <c r="P30" s="4"/>
    </row>
    <row r="31" spans="2:16">
      <c r="B31" s="9" t="str">
        <f t="shared" si="5"/>
        <v/>
      </c>
      <c r="C31" s="153">
        <f>IF(D11="","-",+C30+1)</f>
        <v>2026</v>
      </c>
      <c r="D31" s="159">
        <f>IF(F30+SUM(E$17:E30)=D$10,F30,D$10-SUM(E$17:E30))</f>
        <v>2851142.8738081716</v>
      </c>
      <c r="E31" s="160">
        <f>IF(+I14&lt;F30,I14,D31)</f>
        <v>97095.58139534884</v>
      </c>
      <c r="F31" s="159">
        <f t="shared" si="10"/>
        <v>2754047.2924128226</v>
      </c>
      <c r="G31" s="161">
        <f t="shared" si="11"/>
        <v>376109.81952490256</v>
      </c>
      <c r="H31" s="142">
        <f t="shared" si="12"/>
        <v>376109.81952490256</v>
      </c>
      <c r="I31" s="156">
        <f t="shared" si="9"/>
        <v>0</v>
      </c>
      <c r="J31" s="156"/>
      <c r="K31" s="334"/>
      <c r="L31" s="158">
        <f t="shared" si="1"/>
        <v>0</v>
      </c>
      <c r="M31" s="334"/>
      <c r="N31" s="158">
        <f t="shared" si="3"/>
        <v>0</v>
      </c>
      <c r="O31" s="158">
        <f t="shared" si="4"/>
        <v>0</v>
      </c>
      <c r="P31" s="4"/>
    </row>
    <row r="32" spans="2:16">
      <c r="B32" s="9" t="str">
        <f t="shared" si="5"/>
        <v/>
      </c>
      <c r="C32" s="153">
        <f>IF(D11="","-",+C31+1)</f>
        <v>2027</v>
      </c>
      <c r="D32" s="159">
        <f>IF(F31+SUM(E$17:E31)=D$10,F31,D$10-SUM(E$17:E31))</f>
        <v>2754047.2924128226</v>
      </c>
      <c r="E32" s="160">
        <f>IF(+I14&lt;F31,I14,D32)</f>
        <v>97095.58139534884</v>
      </c>
      <c r="F32" s="159">
        <f t="shared" si="10"/>
        <v>2656951.7110174736</v>
      </c>
      <c r="G32" s="161">
        <f t="shared" si="11"/>
        <v>366443.40362628398</v>
      </c>
      <c r="H32" s="142">
        <f t="shared" si="12"/>
        <v>366443.40362628398</v>
      </c>
      <c r="I32" s="156">
        <f t="shared" si="9"/>
        <v>0</v>
      </c>
      <c r="J32" s="156"/>
      <c r="K32" s="334"/>
      <c r="L32" s="158">
        <f t="shared" si="1"/>
        <v>0</v>
      </c>
      <c r="M32" s="334"/>
      <c r="N32" s="158">
        <f t="shared" si="3"/>
        <v>0</v>
      </c>
      <c r="O32" s="158">
        <f t="shared" si="4"/>
        <v>0</v>
      </c>
      <c r="P32" s="4"/>
    </row>
    <row r="33" spans="2:16">
      <c r="B33" s="9" t="str">
        <f t="shared" si="5"/>
        <v/>
      </c>
      <c r="C33" s="153">
        <f>IF(D11="","-",+C32+1)</f>
        <v>2028</v>
      </c>
      <c r="D33" s="159">
        <f>IF(F32+SUM(E$17:E32)=D$10,F32,D$10-SUM(E$17:E32))</f>
        <v>2656951.7110174736</v>
      </c>
      <c r="E33" s="160">
        <f>IF(+I14&lt;F32,I14,D33)</f>
        <v>97095.58139534884</v>
      </c>
      <c r="F33" s="159">
        <f t="shared" si="10"/>
        <v>2559856.1296221246</v>
      </c>
      <c r="G33" s="161">
        <f t="shared" si="11"/>
        <v>356776.98772766552</v>
      </c>
      <c r="H33" s="142">
        <f t="shared" si="12"/>
        <v>356776.98772766552</v>
      </c>
      <c r="I33" s="156">
        <f t="shared" si="9"/>
        <v>0</v>
      </c>
      <c r="J33" s="156"/>
      <c r="K33" s="334"/>
      <c r="L33" s="158">
        <f t="shared" si="1"/>
        <v>0</v>
      </c>
      <c r="M33" s="334"/>
      <c r="N33" s="158">
        <f t="shared" si="3"/>
        <v>0</v>
      </c>
      <c r="O33" s="158">
        <f t="shared" si="4"/>
        <v>0</v>
      </c>
      <c r="P33" s="4"/>
    </row>
    <row r="34" spans="2:16">
      <c r="B34" s="9" t="str">
        <f t="shared" si="5"/>
        <v/>
      </c>
      <c r="C34" s="153">
        <f>IF(D11="","-",+C33+1)</f>
        <v>2029</v>
      </c>
      <c r="D34" s="159">
        <f>IF(F33+SUM(E$17:E33)=D$10,F33,D$10-SUM(E$17:E33))</f>
        <v>2559856.1296221246</v>
      </c>
      <c r="E34" s="160">
        <f>IF(+I14&lt;F33,I14,D34)</f>
        <v>97095.58139534884</v>
      </c>
      <c r="F34" s="159">
        <f t="shared" si="10"/>
        <v>2462760.5482267756</v>
      </c>
      <c r="G34" s="161">
        <f t="shared" si="11"/>
        <v>347110.571829047</v>
      </c>
      <c r="H34" s="142">
        <f t="shared" si="12"/>
        <v>347110.571829047</v>
      </c>
      <c r="I34" s="156">
        <f t="shared" si="9"/>
        <v>0</v>
      </c>
      <c r="J34" s="156"/>
      <c r="K34" s="334"/>
      <c r="L34" s="158">
        <f t="shared" si="1"/>
        <v>0</v>
      </c>
      <c r="M34" s="334"/>
      <c r="N34" s="158">
        <f t="shared" si="3"/>
        <v>0</v>
      </c>
      <c r="O34" s="158">
        <f t="shared" si="4"/>
        <v>0</v>
      </c>
      <c r="P34" s="4"/>
    </row>
    <row r="35" spans="2:16">
      <c r="B35" s="9" t="str">
        <f t="shared" si="5"/>
        <v/>
      </c>
      <c r="C35" s="153">
        <f>IF(D11="","-",+C34+1)</f>
        <v>2030</v>
      </c>
      <c r="D35" s="159">
        <f>IF(F34+SUM(E$17:E34)=D$10,F34,D$10-SUM(E$17:E34))</f>
        <v>2462760.5482267756</v>
      </c>
      <c r="E35" s="160">
        <f>IF(+I14&lt;F34,I14,D35)</f>
        <v>97095.58139534884</v>
      </c>
      <c r="F35" s="159">
        <f t="shared" si="10"/>
        <v>2365664.9668314266</v>
      </c>
      <c r="G35" s="161">
        <f t="shared" si="11"/>
        <v>337444.15593042853</v>
      </c>
      <c r="H35" s="142">
        <f t="shared" si="12"/>
        <v>337444.15593042853</v>
      </c>
      <c r="I35" s="156">
        <f t="shared" si="9"/>
        <v>0</v>
      </c>
      <c r="J35" s="156"/>
      <c r="K35" s="334"/>
      <c r="L35" s="158">
        <f t="shared" si="1"/>
        <v>0</v>
      </c>
      <c r="M35" s="334"/>
      <c r="N35" s="158">
        <f t="shared" si="3"/>
        <v>0</v>
      </c>
      <c r="O35" s="158">
        <f t="shared" si="4"/>
        <v>0</v>
      </c>
      <c r="P35" s="4"/>
    </row>
    <row r="36" spans="2:16">
      <c r="B36" s="9" t="str">
        <f t="shared" si="5"/>
        <v/>
      </c>
      <c r="C36" s="153">
        <f>IF(D11="","-",+C35+1)</f>
        <v>2031</v>
      </c>
      <c r="D36" s="159">
        <f>IF(F35+SUM(E$17:E35)=D$10,F35,D$10-SUM(E$17:E35))</f>
        <v>2365664.9668314266</v>
      </c>
      <c r="E36" s="160">
        <f>IF(+I14&lt;F35,I14,D36)</f>
        <v>97095.58139534884</v>
      </c>
      <c r="F36" s="159">
        <f t="shared" si="10"/>
        <v>2268569.3854360776</v>
      </c>
      <c r="G36" s="161">
        <f t="shared" si="11"/>
        <v>327777.74003180995</v>
      </c>
      <c r="H36" s="142">
        <f t="shared" si="12"/>
        <v>327777.74003180995</v>
      </c>
      <c r="I36" s="156">
        <f t="shared" si="9"/>
        <v>0</v>
      </c>
      <c r="J36" s="156"/>
      <c r="K36" s="334"/>
      <c r="L36" s="158">
        <f t="shared" si="1"/>
        <v>0</v>
      </c>
      <c r="M36" s="334"/>
      <c r="N36" s="158">
        <f t="shared" si="3"/>
        <v>0</v>
      </c>
      <c r="O36" s="158">
        <f t="shared" si="4"/>
        <v>0</v>
      </c>
      <c r="P36" s="4"/>
    </row>
    <row r="37" spans="2:16">
      <c r="B37" s="9" t="str">
        <f t="shared" si="5"/>
        <v/>
      </c>
      <c r="C37" s="153">
        <f>IF(D11="","-",+C36+1)</f>
        <v>2032</v>
      </c>
      <c r="D37" s="159">
        <f>IF(F36+SUM(E$17:E36)=D$10,F36,D$10-SUM(E$17:E36))</f>
        <v>2268569.3854360776</v>
      </c>
      <c r="E37" s="160">
        <f>IF(+I14&lt;F36,I14,D37)</f>
        <v>97095.58139534884</v>
      </c>
      <c r="F37" s="159">
        <f t="shared" si="10"/>
        <v>2171473.8040407286</v>
      </c>
      <c r="G37" s="161">
        <f t="shared" si="11"/>
        <v>318111.32413319149</v>
      </c>
      <c r="H37" s="142">
        <f t="shared" si="12"/>
        <v>318111.32413319149</v>
      </c>
      <c r="I37" s="156">
        <f t="shared" si="9"/>
        <v>0</v>
      </c>
      <c r="J37" s="156"/>
      <c r="K37" s="334"/>
      <c r="L37" s="158">
        <f t="shared" si="1"/>
        <v>0</v>
      </c>
      <c r="M37" s="334"/>
      <c r="N37" s="158">
        <f t="shared" si="3"/>
        <v>0</v>
      </c>
      <c r="O37" s="158">
        <f t="shared" si="4"/>
        <v>0</v>
      </c>
      <c r="P37" s="4"/>
    </row>
    <row r="38" spans="2:16">
      <c r="B38" s="9" t="str">
        <f t="shared" si="5"/>
        <v/>
      </c>
      <c r="C38" s="153">
        <f>IF(D11="","-",+C37+1)</f>
        <v>2033</v>
      </c>
      <c r="D38" s="159">
        <f>IF(F37+SUM(E$17:E37)=D$10,F37,D$10-SUM(E$17:E37))</f>
        <v>2171473.8040407286</v>
      </c>
      <c r="E38" s="160">
        <f>IF(+I14&lt;F37,I14,D38)</f>
        <v>97095.58139534884</v>
      </c>
      <c r="F38" s="159">
        <f t="shared" si="10"/>
        <v>2074378.2226453798</v>
      </c>
      <c r="G38" s="161">
        <f t="shared" si="11"/>
        <v>308444.90823457303</v>
      </c>
      <c r="H38" s="142">
        <f t="shared" si="12"/>
        <v>308444.90823457303</v>
      </c>
      <c r="I38" s="156">
        <f t="shared" si="9"/>
        <v>0</v>
      </c>
      <c r="J38" s="156"/>
      <c r="K38" s="334"/>
      <c r="L38" s="158">
        <f t="shared" si="1"/>
        <v>0</v>
      </c>
      <c r="M38" s="334"/>
      <c r="N38" s="158">
        <f t="shared" si="3"/>
        <v>0</v>
      </c>
      <c r="O38" s="158">
        <f t="shared" si="4"/>
        <v>0</v>
      </c>
      <c r="P38" s="4"/>
    </row>
    <row r="39" spans="2:16">
      <c r="B39" s="9" t="str">
        <f t="shared" si="5"/>
        <v/>
      </c>
      <c r="C39" s="153">
        <f>IF(D11="","-",+C38+1)</f>
        <v>2034</v>
      </c>
      <c r="D39" s="159">
        <f>IF(F38+SUM(E$17:E38)=D$10,F38,D$10-SUM(E$17:E38))</f>
        <v>2074378.2226453798</v>
      </c>
      <c r="E39" s="160">
        <f>IF(+I14&lt;F38,I14,D39)</f>
        <v>97095.58139534884</v>
      </c>
      <c r="F39" s="159">
        <f t="shared" si="10"/>
        <v>1977282.6412500311</v>
      </c>
      <c r="G39" s="161">
        <f t="shared" si="11"/>
        <v>298778.49233595451</v>
      </c>
      <c r="H39" s="142">
        <f t="shared" si="12"/>
        <v>298778.49233595451</v>
      </c>
      <c r="I39" s="156">
        <f t="shared" si="9"/>
        <v>0</v>
      </c>
      <c r="J39" s="156"/>
      <c r="K39" s="334"/>
      <c r="L39" s="158">
        <f t="shared" si="1"/>
        <v>0</v>
      </c>
      <c r="M39" s="334"/>
      <c r="N39" s="158">
        <f t="shared" si="3"/>
        <v>0</v>
      </c>
      <c r="O39" s="158">
        <f t="shared" si="4"/>
        <v>0</v>
      </c>
      <c r="P39" s="4"/>
    </row>
    <row r="40" spans="2:16">
      <c r="B40" s="9" t="str">
        <f t="shared" si="5"/>
        <v/>
      </c>
      <c r="C40" s="153">
        <f>IF(D11="","-",+C39+1)</f>
        <v>2035</v>
      </c>
      <c r="D40" s="159">
        <f>IF(F39+SUM(E$17:E39)=D$10,F39,D$10-SUM(E$17:E39))</f>
        <v>1977282.6412500311</v>
      </c>
      <c r="E40" s="160">
        <f>IF(+I14&lt;F39,I14,D40)</f>
        <v>97095.58139534884</v>
      </c>
      <c r="F40" s="159">
        <f t="shared" si="10"/>
        <v>1880187.0598546823</v>
      </c>
      <c r="G40" s="161">
        <f t="shared" si="11"/>
        <v>289112.07643733604</v>
      </c>
      <c r="H40" s="142">
        <f t="shared" si="12"/>
        <v>289112.07643733604</v>
      </c>
      <c r="I40" s="156">
        <f t="shared" si="9"/>
        <v>0</v>
      </c>
      <c r="J40" s="156"/>
      <c r="K40" s="334"/>
      <c r="L40" s="158">
        <f t="shared" si="1"/>
        <v>0</v>
      </c>
      <c r="M40" s="334"/>
      <c r="N40" s="158">
        <f t="shared" si="3"/>
        <v>0</v>
      </c>
      <c r="O40" s="158">
        <f t="shared" si="4"/>
        <v>0</v>
      </c>
      <c r="P40" s="4"/>
    </row>
    <row r="41" spans="2:16">
      <c r="B41" s="9" t="str">
        <f t="shared" si="5"/>
        <v/>
      </c>
      <c r="C41" s="153">
        <f>IF(D11="","-",+C40+1)</f>
        <v>2036</v>
      </c>
      <c r="D41" s="159">
        <f>IF(F40+SUM(E$17:E40)=D$10,F40,D$10-SUM(E$17:E40))</f>
        <v>1880187.0598546823</v>
      </c>
      <c r="E41" s="160">
        <f>IF(+I14&lt;F40,I14,D41)</f>
        <v>97095.58139534884</v>
      </c>
      <c r="F41" s="159">
        <f t="shared" si="10"/>
        <v>1783091.4784593335</v>
      </c>
      <c r="G41" s="161">
        <f t="shared" si="11"/>
        <v>279445.66053871752</v>
      </c>
      <c r="H41" s="142">
        <f t="shared" si="12"/>
        <v>279445.66053871752</v>
      </c>
      <c r="I41" s="156">
        <f t="shared" si="9"/>
        <v>0</v>
      </c>
      <c r="J41" s="156"/>
      <c r="K41" s="334"/>
      <c r="L41" s="158">
        <f t="shared" si="1"/>
        <v>0</v>
      </c>
      <c r="M41" s="334"/>
      <c r="N41" s="158">
        <f t="shared" si="3"/>
        <v>0</v>
      </c>
      <c r="O41" s="158">
        <f t="shared" si="4"/>
        <v>0</v>
      </c>
      <c r="P41" s="4"/>
    </row>
    <row r="42" spans="2:16">
      <c r="B42" s="9" t="str">
        <f t="shared" si="5"/>
        <v/>
      </c>
      <c r="C42" s="153">
        <f>IF(D11="","-",+C41+1)</f>
        <v>2037</v>
      </c>
      <c r="D42" s="159">
        <f>IF(F41+SUM(E$17:E41)=D$10,F41,D$10-SUM(E$17:E41))</f>
        <v>1783091.4784593335</v>
      </c>
      <c r="E42" s="160">
        <f>IF(+I14&lt;F41,I14,D42)</f>
        <v>97095.58139534884</v>
      </c>
      <c r="F42" s="159">
        <f t="shared" si="10"/>
        <v>1685995.8970639848</v>
      </c>
      <c r="G42" s="161">
        <f t="shared" si="11"/>
        <v>269779.24464009906</v>
      </c>
      <c r="H42" s="142">
        <f t="shared" si="12"/>
        <v>269779.24464009906</v>
      </c>
      <c r="I42" s="156">
        <f t="shared" si="9"/>
        <v>0</v>
      </c>
      <c r="J42" s="156"/>
      <c r="K42" s="334"/>
      <c r="L42" s="158">
        <f t="shared" si="1"/>
        <v>0</v>
      </c>
      <c r="M42" s="334"/>
      <c r="N42" s="158">
        <f t="shared" si="3"/>
        <v>0</v>
      </c>
      <c r="O42" s="158">
        <f t="shared" si="4"/>
        <v>0</v>
      </c>
      <c r="P42" s="4"/>
    </row>
    <row r="43" spans="2:16">
      <c r="B43" s="9" t="str">
        <f t="shared" si="5"/>
        <v/>
      </c>
      <c r="C43" s="153">
        <f>IF(D11="","-",+C42+1)</f>
        <v>2038</v>
      </c>
      <c r="D43" s="159">
        <f>IF(F42+SUM(E$17:E42)=D$10,F42,D$10-SUM(E$17:E42))</f>
        <v>1685995.8970639848</v>
      </c>
      <c r="E43" s="160">
        <f>IF(+I14&lt;F42,I14,D43)</f>
        <v>97095.58139534884</v>
      </c>
      <c r="F43" s="159">
        <f t="shared" si="10"/>
        <v>1588900.315668636</v>
      </c>
      <c r="G43" s="161">
        <f t="shared" si="11"/>
        <v>260112.82874148054</v>
      </c>
      <c r="H43" s="142">
        <f t="shared" si="12"/>
        <v>260112.82874148054</v>
      </c>
      <c r="I43" s="156">
        <f t="shared" si="9"/>
        <v>0</v>
      </c>
      <c r="J43" s="156"/>
      <c r="K43" s="334"/>
      <c r="L43" s="158">
        <f t="shared" si="1"/>
        <v>0</v>
      </c>
      <c r="M43" s="334"/>
      <c r="N43" s="158">
        <f t="shared" si="3"/>
        <v>0</v>
      </c>
      <c r="O43" s="158">
        <f t="shared" si="4"/>
        <v>0</v>
      </c>
      <c r="P43" s="4"/>
    </row>
    <row r="44" spans="2:16">
      <c r="B44" s="9" t="str">
        <f t="shared" si="5"/>
        <v/>
      </c>
      <c r="C44" s="153">
        <f>IF(D11="","-",+C43+1)</f>
        <v>2039</v>
      </c>
      <c r="D44" s="159">
        <f>IF(F43+SUM(E$17:E43)=D$10,F43,D$10-SUM(E$17:E43))</f>
        <v>1588900.315668636</v>
      </c>
      <c r="E44" s="160">
        <f>IF(+I14&lt;F43,I14,D44)</f>
        <v>97095.58139534884</v>
      </c>
      <c r="F44" s="159">
        <f t="shared" si="10"/>
        <v>1491804.7342732872</v>
      </c>
      <c r="G44" s="161">
        <f t="shared" si="11"/>
        <v>250446.41284286208</v>
      </c>
      <c r="H44" s="142">
        <f t="shared" si="12"/>
        <v>250446.41284286208</v>
      </c>
      <c r="I44" s="156">
        <f t="shared" si="9"/>
        <v>0</v>
      </c>
      <c r="J44" s="156"/>
      <c r="K44" s="334"/>
      <c r="L44" s="158">
        <f t="shared" si="1"/>
        <v>0</v>
      </c>
      <c r="M44" s="334"/>
      <c r="N44" s="158">
        <f t="shared" si="3"/>
        <v>0</v>
      </c>
      <c r="O44" s="158">
        <f t="shared" si="4"/>
        <v>0</v>
      </c>
      <c r="P44" s="4"/>
    </row>
    <row r="45" spans="2:16">
      <c r="B45" s="9" t="str">
        <f t="shared" si="5"/>
        <v/>
      </c>
      <c r="C45" s="153">
        <f>IF(D11="","-",+C44+1)</f>
        <v>2040</v>
      </c>
      <c r="D45" s="159">
        <f>IF(F44+SUM(E$17:E44)=D$10,F44,D$10-SUM(E$17:E44))</f>
        <v>1491804.7342732872</v>
      </c>
      <c r="E45" s="160">
        <f>IF(+I14&lt;F44,I14,D45)</f>
        <v>97095.58139534884</v>
      </c>
      <c r="F45" s="159">
        <f t="shared" si="10"/>
        <v>1394709.1528779385</v>
      </c>
      <c r="G45" s="161">
        <f t="shared" si="11"/>
        <v>240779.99694424355</v>
      </c>
      <c r="H45" s="142">
        <f t="shared" si="12"/>
        <v>240779.99694424355</v>
      </c>
      <c r="I45" s="156">
        <f t="shared" si="9"/>
        <v>0</v>
      </c>
      <c r="J45" s="156"/>
      <c r="K45" s="334"/>
      <c r="L45" s="158">
        <f t="shared" si="1"/>
        <v>0</v>
      </c>
      <c r="M45" s="334"/>
      <c r="N45" s="158">
        <f t="shared" si="3"/>
        <v>0</v>
      </c>
      <c r="O45" s="158">
        <f t="shared" si="4"/>
        <v>0</v>
      </c>
      <c r="P45" s="4"/>
    </row>
    <row r="46" spans="2:16">
      <c r="B46" s="9" t="str">
        <f t="shared" si="5"/>
        <v/>
      </c>
      <c r="C46" s="153">
        <f>IF(D11="","-",+C45+1)</f>
        <v>2041</v>
      </c>
      <c r="D46" s="159">
        <f>IF(F45+SUM(E$17:E45)=D$10,F45,D$10-SUM(E$17:E45))</f>
        <v>1394709.1528779385</v>
      </c>
      <c r="E46" s="160">
        <f>IF(+I14&lt;F45,I14,D46)</f>
        <v>97095.58139534884</v>
      </c>
      <c r="F46" s="159">
        <f t="shared" si="10"/>
        <v>1297613.5714825897</v>
      </c>
      <c r="G46" s="161">
        <f t="shared" si="11"/>
        <v>231113.58104562509</v>
      </c>
      <c r="H46" s="142">
        <f t="shared" si="12"/>
        <v>231113.58104562509</v>
      </c>
      <c r="I46" s="156">
        <f t="shared" si="9"/>
        <v>0</v>
      </c>
      <c r="J46" s="156"/>
      <c r="K46" s="334"/>
      <c r="L46" s="158">
        <f t="shared" si="1"/>
        <v>0</v>
      </c>
      <c r="M46" s="334"/>
      <c r="N46" s="158">
        <f t="shared" si="3"/>
        <v>0</v>
      </c>
      <c r="O46" s="158">
        <f t="shared" si="4"/>
        <v>0</v>
      </c>
      <c r="P46" s="4"/>
    </row>
    <row r="47" spans="2:16">
      <c r="B47" s="9" t="str">
        <f t="shared" si="5"/>
        <v/>
      </c>
      <c r="C47" s="153">
        <f>IF(D11="","-",+C46+1)</f>
        <v>2042</v>
      </c>
      <c r="D47" s="159">
        <f>IF(F46+SUM(E$17:E46)=D$10,F46,D$10-SUM(E$17:E46))</f>
        <v>1297613.5714825897</v>
      </c>
      <c r="E47" s="160">
        <f>IF(+I14&lt;F46,I14,D47)</f>
        <v>97095.58139534884</v>
      </c>
      <c r="F47" s="159">
        <f t="shared" si="10"/>
        <v>1200517.9900872409</v>
      </c>
      <c r="G47" s="161">
        <f t="shared" si="11"/>
        <v>221447.16514700663</v>
      </c>
      <c r="H47" s="142">
        <f t="shared" si="12"/>
        <v>221447.16514700663</v>
      </c>
      <c r="I47" s="156">
        <f t="shared" si="9"/>
        <v>0</v>
      </c>
      <c r="J47" s="156"/>
      <c r="K47" s="334"/>
      <c r="L47" s="158">
        <f t="shared" si="1"/>
        <v>0</v>
      </c>
      <c r="M47" s="334"/>
      <c r="N47" s="158">
        <f t="shared" si="3"/>
        <v>0</v>
      </c>
      <c r="O47" s="158">
        <f t="shared" si="4"/>
        <v>0</v>
      </c>
      <c r="P47" s="4"/>
    </row>
    <row r="48" spans="2:16">
      <c r="B48" s="9" t="str">
        <f t="shared" si="5"/>
        <v/>
      </c>
      <c r="C48" s="153">
        <f>IF(D11="","-",+C47+1)</f>
        <v>2043</v>
      </c>
      <c r="D48" s="159">
        <f>IF(F47+SUM(E$17:E47)=D$10,F47,D$10-SUM(E$17:E47))</f>
        <v>1200517.9900872409</v>
      </c>
      <c r="E48" s="160">
        <f>IF(+I14&lt;F47,I14,D48)</f>
        <v>97095.58139534884</v>
      </c>
      <c r="F48" s="159">
        <f t="shared" si="10"/>
        <v>1103422.4086918922</v>
      </c>
      <c r="G48" s="161">
        <f t="shared" si="11"/>
        <v>211780.74924838817</v>
      </c>
      <c r="H48" s="142">
        <f t="shared" si="12"/>
        <v>211780.74924838817</v>
      </c>
      <c r="I48" s="156">
        <f t="shared" si="9"/>
        <v>0</v>
      </c>
      <c r="J48" s="156"/>
      <c r="K48" s="334"/>
      <c r="L48" s="158">
        <f t="shared" si="1"/>
        <v>0</v>
      </c>
      <c r="M48" s="334"/>
      <c r="N48" s="158">
        <f t="shared" si="3"/>
        <v>0</v>
      </c>
      <c r="O48" s="158">
        <f t="shared" si="4"/>
        <v>0</v>
      </c>
      <c r="P48" s="4"/>
    </row>
    <row r="49" spans="2:17">
      <c r="B49" s="9" t="str">
        <f t="shared" si="5"/>
        <v/>
      </c>
      <c r="C49" s="153">
        <f>IF(D11="","-",+C48+1)</f>
        <v>2044</v>
      </c>
      <c r="D49" s="159">
        <f>IF(F48+SUM(E$17:E48)=D$10,F48,D$10-SUM(E$17:E48))</f>
        <v>1103422.4086918922</v>
      </c>
      <c r="E49" s="160">
        <f>IF(+I14&lt;F48,I14,D49)</f>
        <v>97095.58139534884</v>
      </c>
      <c r="F49" s="159">
        <f t="shared" ref="F49:F72" si="13">+D49-E49</f>
        <v>1006326.8272965433</v>
      </c>
      <c r="G49" s="161">
        <f t="shared" si="11"/>
        <v>202114.33334976964</v>
      </c>
      <c r="H49" s="142">
        <f t="shared" si="12"/>
        <v>202114.33334976964</v>
      </c>
      <c r="I49" s="156">
        <f t="shared" ref="I49:I72" si="14">H49-G49</f>
        <v>0</v>
      </c>
      <c r="J49" s="156"/>
      <c r="K49" s="334"/>
      <c r="L49" s="158">
        <f t="shared" ref="L49:L72" si="15">IF(K49&lt;&gt;0,+G49-K49,0)</f>
        <v>0</v>
      </c>
      <c r="M49" s="334"/>
      <c r="N49" s="158">
        <f t="shared" ref="N49:N72" si="16">IF(M49&lt;&gt;0,+H49-M49,0)</f>
        <v>0</v>
      </c>
      <c r="O49" s="158">
        <f t="shared" ref="O49:O72" si="17">+N49-L49</f>
        <v>0</v>
      </c>
      <c r="P49" s="4"/>
    </row>
    <row r="50" spans="2:17">
      <c r="B50" s="9" t="str">
        <f t="shared" ref="B50:B72" si="18">IF(D50=F49,"","IU")</f>
        <v/>
      </c>
      <c r="C50" s="153">
        <f>IF(D11="","-",+C49+1)</f>
        <v>2045</v>
      </c>
      <c r="D50" s="159">
        <f>IF(F49+SUM(E$17:E49)=D$10,F49,D$10-SUM(E$17:E49))</f>
        <v>1006326.8272965433</v>
      </c>
      <c r="E50" s="160">
        <f>IF(+I14&lt;F49,I14,D50)</f>
        <v>97095.58139534884</v>
      </c>
      <c r="F50" s="159">
        <f t="shared" si="13"/>
        <v>909231.2459011944</v>
      </c>
      <c r="G50" s="161">
        <f t="shared" si="11"/>
        <v>192447.91745115115</v>
      </c>
      <c r="H50" s="142">
        <f t="shared" si="12"/>
        <v>192447.91745115115</v>
      </c>
      <c r="I50" s="156">
        <f t="shared" si="14"/>
        <v>0</v>
      </c>
      <c r="J50" s="156"/>
      <c r="K50" s="334"/>
      <c r="L50" s="158">
        <f t="shared" si="15"/>
        <v>0</v>
      </c>
      <c r="M50" s="334"/>
      <c r="N50" s="158">
        <f t="shared" si="16"/>
        <v>0</v>
      </c>
      <c r="O50" s="158">
        <f t="shared" si="17"/>
        <v>0</v>
      </c>
      <c r="P50" s="4"/>
    </row>
    <row r="51" spans="2:17">
      <c r="B51" s="9" t="str">
        <f t="shared" si="18"/>
        <v/>
      </c>
      <c r="C51" s="153">
        <f>IF(D11="","-",+C50+1)</f>
        <v>2046</v>
      </c>
      <c r="D51" s="159">
        <f>IF(F50+SUM(E$17:E50)=D$10,F50,D$10-SUM(E$17:E50))</f>
        <v>909231.2459011944</v>
      </c>
      <c r="E51" s="160">
        <f>IF(+I14&lt;F50,I14,D51)</f>
        <v>97095.58139534884</v>
      </c>
      <c r="F51" s="159">
        <f t="shared" si="13"/>
        <v>812135.66450584552</v>
      </c>
      <c r="G51" s="161">
        <f t="shared" si="11"/>
        <v>182781.50155253266</v>
      </c>
      <c r="H51" s="142">
        <f t="shared" si="12"/>
        <v>182781.50155253266</v>
      </c>
      <c r="I51" s="156">
        <f t="shared" si="14"/>
        <v>0</v>
      </c>
      <c r="J51" s="156"/>
      <c r="K51" s="334"/>
      <c r="L51" s="158">
        <f t="shared" si="15"/>
        <v>0</v>
      </c>
      <c r="M51" s="334"/>
      <c r="N51" s="158">
        <f t="shared" si="16"/>
        <v>0</v>
      </c>
      <c r="O51" s="158">
        <f t="shared" si="17"/>
        <v>0</v>
      </c>
      <c r="P51" s="4"/>
    </row>
    <row r="52" spans="2:17">
      <c r="B52" s="9" t="str">
        <f t="shared" si="18"/>
        <v/>
      </c>
      <c r="C52" s="153">
        <f>IF(D11="","-",+C51+1)</f>
        <v>2047</v>
      </c>
      <c r="D52" s="159">
        <f>IF(F51+SUM(E$17:E51)=D$10,F51,D$10-SUM(E$17:E51))</f>
        <v>812135.66450584552</v>
      </c>
      <c r="E52" s="160">
        <f>IF(+I14&lt;F51,I14,D52)</f>
        <v>97095.58139534884</v>
      </c>
      <c r="F52" s="159">
        <f t="shared" si="13"/>
        <v>715040.08311049663</v>
      </c>
      <c r="G52" s="161">
        <f t="shared" si="11"/>
        <v>173115.08565391414</v>
      </c>
      <c r="H52" s="142">
        <f t="shared" si="12"/>
        <v>173115.08565391414</v>
      </c>
      <c r="I52" s="156">
        <f t="shared" si="14"/>
        <v>0</v>
      </c>
      <c r="J52" s="156"/>
      <c r="K52" s="334"/>
      <c r="L52" s="158">
        <f t="shared" si="15"/>
        <v>0</v>
      </c>
      <c r="M52" s="334"/>
      <c r="N52" s="158">
        <f t="shared" si="16"/>
        <v>0</v>
      </c>
      <c r="O52" s="158">
        <f t="shared" si="17"/>
        <v>0</v>
      </c>
      <c r="P52" s="4"/>
    </row>
    <row r="53" spans="2:17">
      <c r="B53" s="9" t="str">
        <f t="shared" si="18"/>
        <v/>
      </c>
      <c r="C53" s="153">
        <f>IF(D11="","-",+C52+1)</f>
        <v>2048</v>
      </c>
      <c r="D53" s="159">
        <f>IF(F52+SUM(E$17:E52)=D$10,F52,D$10-SUM(E$17:E52))</f>
        <v>715040.08311049663</v>
      </c>
      <c r="E53" s="160">
        <f>IF(+I14&lt;F52,I14,D53)</f>
        <v>97095.58139534884</v>
      </c>
      <c r="F53" s="159">
        <f t="shared" si="13"/>
        <v>617944.50171514775</v>
      </c>
      <c r="G53" s="161">
        <f t="shared" si="11"/>
        <v>163448.66975529565</v>
      </c>
      <c r="H53" s="142">
        <f t="shared" si="12"/>
        <v>163448.66975529565</v>
      </c>
      <c r="I53" s="156">
        <f t="shared" si="14"/>
        <v>0</v>
      </c>
      <c r="J53" s="156"/>
      <c r="K53" s="334"/>
      <c r="L53" s="158">
        <f t="shared" si="15"/>
        <v>0</v>
      </c>
      <c r="M53" s="334"/>
      <c r="N53" s="158">
        <f t="shared" si="16"/>
        <v>0</v>
      </c>
      <c r="O53" s="158">
        <f t="shared" si="17"/>
        <v>0</v>
      </c>
      <c r="P53" s="4"/>
    </row>
    <row r="54" spans="2:17">
      <c r="B54" s="9" t="str">
        <f t="shared" si="18"/>
        <v/>
      </c>
      <c r="C54" s="153">
        <f>IF(D11="","-",+C53+1)</f>
        <v>2049</v>
      </c>
      <c r="D54" s="159">
        <f>IF(F53+SUM(E$17:E53)=D$10,F53,D$10-SUM(E$17:E53))</f>
        <v>617944.50171514775</v>
      </c>
      <c r="E54" s="160">
        <f>IF(+I14&lt;F53,I14,D54)</f>
        <v>97095.58139534884</v>
      </c>
      <c r="F54" s="159">
        <f t="shared" si="13"/>
        <v>520848.92031979893</v>
      </c>
      <c r="G54" s="161">
        <f t="shared" ref="G54:G72" si="19">+I$12*((D54+F54)/2)+E54</f>
        <v>153782.25385667715</v>
      </c>
      <c r="H54" s="142">
        <f t="shared" ref="H54:H72" si="20">+I$13*((D54+F54)/2)+E54</f>
        <v>153782.25385667715</v>
      </c>
      <c r="I54" s="156">
        <f t="shared" si="14"/>
        <v>0</v>
      </c>
      <c r="J54" s="156"/>
      <c r="K54" s="334"/>
      <c r="L54" s="158">
        <f t="shared" si="15"/>
        <v>0</v>
      </c>
      <c r="M54" s="334"/>
      <c r="N54" s="158">
        <f t="shared" si="16"/>
        <v>0</v>
      </c>
      <c r="O54" s="158">
        <f t="shared" si="17"/>
        <v>0</v>
      </c>
      <c r="P54" s="4"/>
    </row>
    <row r="55" spans="2:17">
      <c r="B55" s="9" t="str">
        <f t="shared" si="18"/>
        <v/>
      </c>
      <c r="C55" s="153">
        <f>IF(D11="","-",+C54+1)</f>
        <v>2050</v>
      </c>
      <c r="D55" s="159">
        <f>IF(F54+SUM(E$17:E54)=D$10,F54,D$10-SUM(E$17:E54))</f>
        <v>520848.92031979893</v>
      </c>
      <c r="E55" s="160">
        <f>IF(+I14&lt;F54,I14,D55)</f>
        <v>97095.58139534884</v>
      </c>
      <c r="F55" s="159">
        <f t="shared" si="13"/>
        <v>423753.3389244501</v>
      </c>
      <c r="G55" s="161">
        <f t="shared" si="19"/>
        <v>144115.83795805866</v>
      </c>
      <c r="H55" s="142">
        <f t="shared" si="20"/>
        <v>144115.83795805866</v>
      </c>
      <c r="I55" s="156">
        <f t="shared" si="14"/>
        <v>0</v>
      </c>
      <c r="J55" s="156"/>
      <c r="K55" s="334"/>
      <c r="L55" s="158">
        <f t="shared" si="15"/>
        <v>0</v>
      </c>
      <c r="M55" s="334"/>
      <c r="N55" s="158">
        <f t="shared" si="16"/>
        <v>0</v>
      </c>
      <c r="O55" s="158">
        <f t="shared" si="17"/>
        <v>0</v>
      </c>
      <c r="P55" s="4"/>
    </row>
    <row r="56" spans="2:17">
      <c r="B56" s="9" t="str">
        <f t="shared" si="18"/>
        <v/>
      </c>
      <c r="C56" s="153">
        <f>IF(D11="","-",+C55+1)</f>
        <v>2051</v>
      </c>
      <c r="D56" s="159">
        <f>IF(F55+SUM(E$17:E55)=D$10,F55,D$10-SUM(E$17:E55))</f>
        <v>423753.3389244501</v>
      </c>
      <c r="E56" s="160">
        <f>IF(+I14&lt;F55,I14,D56)</f>
        <v>97095.58139534884</v>
      </c>
      <c r="F56" s="159">
        <f t="shared" si="13"/>
        <v>326657.75752910128</v>
      </c>
      <c r="G56" s="161">
        <f t="shared" si="19"/>
        <v>134449.42205944017</v>
      </c>
      <c r="H56" s="142">
        <f t="shared" si="20"/>
        <v>134449.42205944017</v>
      </c>
      <c r="I56" s="156">
        <f t="shared" si="14"/>
        <v>0</v>
      </c>
      <c r="J56" s="156"/>
      <c r="K56" s="334"/>
      <c r="L56" s="158">
        <f t="shared" si="15"/>
        <v>0</v>
      </c>
      <c r="M56" s="334"/>
      <c r="N56" s="158">
        <f t="shared" si="16"/>
        <v>0</v>
      </c>
      <c r="O56" s="158">
        <f t="shared" si="17"/>
        <v>0</v>
      </c>
      <c r="P56" s="4"/>
    </row>
    <row r="57" spans="2:17">
      <c r="B57" s="9" t="str">
        <f t="shared" si="18"/>
        <v/>
      </c>
      <c r="C57" s="153">
        <f>IF(D11="","-",+C56+1)</f>
        <v>2052</v>
      </c>
      <c r="D57" s="159">
        <f>IF(F56+SUM(E$17:E56)=D$10,F56,D$10-SUM(E$17:E56))</f>
        <v>326657.75752910128</v>
      </c>
      <c r="E57" s="160">
        <f>IF(+I14&lt;F56,I14,D57)</f>
        <v>97095.58139534884</v>
      </c>
      <c r="F57" s="159">
        <f t="shared" si="13"/>
        <v>229562.17613375245</v>
      </c>
      <c r="G57" s="161">
        <f t="shared" si="19"/>
        <v>124783.00616082168</v>
      </c>
      <c r="H57" s="142">
        <f t="shared" si="20"/>
        <v>124783.00616082168</v>
      </c>
      <c r="I57" s="156">
        <f t="shared" si="14"/>
        <v>0</v>
      </c>
      <c r="J57" s="156"/>
      <c r="K57" s="334"/>
      <c r="L57" s="158">
        <f t="shared" si="15"/>
        <v>0</v>
      </c>
      <c r="M57" s="334"/>
      <c r="N57" s="158">
        <f t="shared" si="16"/>
        <v>0</v>
      </c>
      <c r="O57" s="158">
        <f t="shared" si="17"/>
        <v>0</v>
      </c>
      <c r="P57" s="4"/>
    </row>
    <row r="58" spans="2:17">
      <c r="B58" s="9" t="str">
        <f t="shared" si="18"/>
        <v/>
      </c>
      <c r="C58" s="153">
        <f>IF(D11="","-",+C57+1)</f>
        <v>2053</v>
      </c>
      <c r="D58" s="159">
        <f>IF(F57+SUM(E$17:E57)=D$10,F57,D$10-SUM(E$17:E57))</f>
        <v>229562.17613375245</v>
      </c>
      <c r="E58" s="160">
        <f>IF(+I14&lt;F57,I14,D58)</f>
        <v>97095.58139534884</v>
      </c>
      <c r="F58" s="159">
        <f t="shared" si="13"/>
        <v>132466.59473840363</v>
      </c>
      <c r="G58" s="161">
        <f t="shared" si="19"/>
        <v>115116.5902622032</v>
      </c>
      <c r="H58" s="142">
        <f t="shared" si="20"/>
        <v>115116.5902622032</v>
      </c>
      <c r="I58" s="156">
        <f t="shared" si="14"/>
        <v>0</v>
      </c>
      <c r="J58" s="156"/>
      <c r="K58" s="334"/>
      <c r="L58" s="158">
        <f t="shared" si="15"/>
        <v>0</v>
      </c>
      <c r="M58" s="334"/>
      <c r="N58" s="158">
        <f t="shared" si="16"/>
        <v>0</v>
      </c>
      <c r="O58" s="158">
        <f t="shared" si="17"/>
        <v>0</v>
      </c>
      <c r="P58" s="4"/>
      <c r="Q58" t="str">
        <f>IF(ROUND(Q57,0)=ROUND(SUM(Q18:Q56),0),"","Error -- check allocations above).")</f>
        <v/>
      </c>
    </row>
    <row r="59" spans="2:17">
      <c r="B59" s="9" t="str">
        <f t="shared" si="18"/>
        <v/>
      </c>
      <c r="C59" s="153">
        <f>IF(D11="","-",+C58+1)</f>
        <v>2054</v>
      </c>
      <c r="D59" s="159">
        <f>IF(F58+SUM(E$17:E58)=D$10,F58,D$10-SUM(E$17:E58))</f>
        <v>132466.59473840363</v>
      </c>
      <c r="E59" s="160">
        <f>IF(+I14&lt;F58,I14,D59)</f>
        <v>97095.58139534884</v>
      </c>
      <c r="F59" s="159">
        <f t="shared" si="13"/>
        <v>35371.013343054787</v>
      </c>
      <c r="G59" s="161">
        <f t="shared" si="19"/>
        <v>105450.17436358471</v>
      </c>
      <c r="H59" s="142">
        <f t="shared" si="20"/>
        <v>105450.17436358471</v>
      </c>
      <c r="I59" s="156">
        <f t="shared" si="14"/>
        <v>0</v>
      </c>
      <c r="J59" s="156"/>
      <c r="K59" s="334"/>
      <c r="L59" s="158">
        <f t="shared" si="15"/>
        <v>0</v>
      </c>
      <c r="M59" s="334"/>
      <c r="N59" s="158">
        <f t="shared" si="16"/>
        <v>0</v>
      </c>
      <c r="O59" s="158">
        <f t="shared" si="17"/>
        <v>0</v>
      </c>
      <c r="P59" s="4"/>
    </row>
    <row r="60" spans="2:17">
      <c r="B60" s="9" t="str">
        <f t="shared" si="18"/>
        <v/>
      </c>
      <c r="C60" s="153">
        <f>IF(D11="","-",+C59+1)</f>
        <v>2055</v>
      </c>
      <c r="D60" s="159">
        <f>IF(F59+SUM(E$17:E59)=D$10,F59,D$10-SUM(E$17:E59))</f>
        <v>35371.013343054787</v>
      </c>
      <c r="E60" s="160">
        <f>IF(+I14&lt;F59,I14,D60)</f>
        <v>35371.013343054787</v>
      </c>
      <c r="F60" s="159">
        <f t="shared" si="13"/>
        <v>0</v>
      </c>
      <c r="G60" s="161">
        <f t="shared" si="19"/>
        <v>37131.705852518098</v>
      </c>
      <c r="H60" s="142">
        <f t="shared" si="20"/>
        <v>37131.705852518098</v>
      </c>
      <c r="I60" s="156">
        <f t="shared" si="14"/>
        <v>0</v>
      </c>
      <c r="J60" s="156"/>
      <c r="K60" s="334"/>
      <c r="L60" s="158">
        <f t="shared" si="15"/>
        <v>0</v>
      </c>
      <c r="M60" s="334"/>
      <c r="N60" s="158">
        <f t="shared" si="16"/>
        <v>0</v>
      </c>
      <c r="O60" s="158">
        <f t="shared" si="17"/>
        <v>0</v>
      </c>
      <c r="P60" s="4"/>
    </row>
    <row r="61" spans="2:17">
      <c r="B61" s="9" t="str">
        <f t="shared" si="18"/>
        <v/>
      </c>
      <c r="C61" s="153">
        <f>IF(D11="","-",+C60+1)</f>
        <v>2056</v>
      </c>
      <c r="D61" s="159">
        <f>IF(F60+SUM(E$17:E60)=D$10,F60,D$10-SUM(E$17:E60))</f>
        <v>0</v>
      </c>
      <c r="E61" s="160">
        <f>IF(+I14&lt;F60,I14,D61)</f>
        <v>0</v>
      </c>
      <c r="F61" s="159">
        <f t="shared" si="13"/>
        <v>0</v>
      </c>
      <c r="G61" s="163">
        <f t="shared" si="19"/>
        <v>0</v>
      </c>
      <c r="H61" s="142">
        <f t="shared" si="20"/>
        <v>0</v>
      </c>
      <c r="I61" s="156">
        <f t="shared" si="14"/>
        <v>0</v>
      </c>
      <c r="J61" s="156"/>
      <c r="K61" s="334"/>
      <c r="L61" s="158">
        <f t="shared" si="15"/>
        <v>0</v>
      </c>
      <c r="M61" s="334"/>
      <c r="N61" s="158">
        <f t="shared" si="16"/>
        <v>0</v>
      </c>
      <c r="O61" s="158">
        <f t="shared" si="17"/>
        <v>0</v>
      </c>
      <c r="P61" s="4"/>
    </row>
    <row r="62" spans="2:17">
      <c r="B62" s="9" t="str">
        <f t="shared" si="18"/>
        <v/>
      </c>
      <c r="C62" s="153">
        <f>IF(D11="","-",+C61+1)</f>
        <v>2057</v>
      </c>
      <c r="D62" s="159">
        <f>IF(F61+SUM(E$17:E61)=D$10,F61,D$10-SUM(E$17:E61))</f>
        <v>0</v>
      </c>
      <c r="E62" s="160">
        <f>IF(+I14&lt;F61,I14,D62)</f>
        <v>0</v>
      </c>
      <c r="F62" s="159">
        <f t="shared" si="13"/>
        <v>0</v>
      </c>
      <c r="G62" s="163">
        <f t="shared" si="19"/>
        <v>0</v>
      </c>
      <c r="H62" s="142">
        <f t="shared" si="20"/>
        <v>0</v>
      </c>
      <c r="I62" s="156">
        <f t="shared" si="14"/>
        <v>0</v>
      </c>
      <c r="J62" s="156"/>
      <c r="K62" s="334"/>
      <c r="L62" s="158">
        <f t="shared" si="15"/>
        <v>0</v>
      </c>
      <c r="M62" s="334"/>
      <c r="N62" s="158">
        <f t="shared" si="16"/>
        <v>0</v>
      </c>
      <c r="O62" s="158">
        <f t="shared" si="17"/>
        <v>0</v>
      </c>
      <c r="P62" s="4"/>
    </row>
    <row r="63" spans="2:17">
      <c r="B63" s="9" t="str">
        <f t="shared" si="18"/>
        <v/>
      </c>
      <c r="C63" s="153">
        <f>IF(D11="","-",+C62+1)</f>
        <v>2058</v>
      </c>
      <c r="D63" s="159">
        <f>IF(F62+SUM(E$17:E62)=D$10,F62,D$10-SUM(E$17:E62))</f>
        <v>0</v>
      </c>
      <c r="E63" s="160">
        <f>IF(+I14&lt;F62,I14,D63)</f>
        <v>0</v>
      </c>
      <c r="F63" s="159">
        <f t="shared" si="13"/>
        <v>0</v>
      </c>
      <c r="G63" s="163">
        <f t="shared" si="19"/>
        <v>0</v>
      </c>
      <c r="H63" s="142">
        <f t="shared" si="20"/>
        <v>0</v>
      </c>
      <c r="I63" s="156">
        <f t="shared" si="14"/>
        <v>0</v>
      </c>
      <c r="J63" s="156"/>
      <c r="K63" s="334"/>
      <c r="L63" s="158">
        <f t="shared" si="15"/>
        <v>0</v>
      </c>
      <c r="M63" s="334"/>
      <c r="N63" s="158">
        <f t="shared" si="16"/>
        <v>0</v>
      </c>
      <c r="O63" s="158">
        <f t="shared" si="17"/>
        <v>0</v>
      </c>
      <c r="P63" s="4"/>
    </row>
    <row r="64" spans="2:17">
      <c r="B64" s="9" t="str">
        <f t="shared" si="18"/>
        <v/>
      </c>
      <c r="C64" s="153">
        <f>IF(D11="","-",+C63+1)</f>
        <v>2059</v>
      </c>
      <c r="D64" s="159">
        <f>IF(F63+SUM(E$17:E63)=D$10,F63,D$10-SUM(E$17:E63))</f>
        <v>0</v>
      </c>
      <c r="E64" s="160">
        <f>IF(+I14&lt;F63,I14,D64)</f>
        <v>0</v>
      </c>
      <c r="F64" s="159">
        <f t="shared" si="13"/>
        <v>0</v>
      </c>
      <c r="G64" s="163">
        <f t="shared" si="19"/>
        <v>0</v>
      </c>
      <c r="H64" s="142">
        <f t="shared" si="20"/>
        <v>0</v>
      </c>
      <c r="I64" s="156">
        <f t="shared" si="14"/>
        <v>0</v>
      </c>
      <c r="J64" s="156"/>
      <c r="K64" s="334"/>
      <c r="L64" s="158">
        <f t="shared" si="15"/>
        <v>0</v>
      </c>
      <c r="M64" s="334"/>
      <c r="N64" s="158">
        <f t="shared" si="16"/>
        <v>0</v>
      </c>
      <c r="O64" s="158">
        <f t="shared" si="17"/>
        <v>0</v>
      </c>
      <c r="P64" s="4"/>
    </row>
    <row r="65" spans="1:16">
      <c r="B65" s="9" t="str">
        <f t="shared" si="18"/>
        <v/>
      </c>
      <c r="C65" s="153">
        <f>IF(D11="","-",+C64+1)</f>
        <v>2060</v>
      </c>
      <c r="D65" s="159">
        <f>IF(F64+SUM(E$17:E64)=D$10,F64,D$10-SUM(E$17:E64))</f>
        <v>0</v>
      </c>
      <c r="E65" s="160">
        <f>IF(+I14&lt;F64,I14,D65)</f>
        <v>0</v>
      </c>
      <c r="F65" s="159">
        <f t="shared" si="13"/>
        <v>0</v>
      </c>
      <c r="G65" s="163">
        <f t="shared" si="19"/>
        <v>0</v>
      </c>
      <c r="H65" s="142">
        <f t="shared" si="20"/>
        <v>0</v>
      </c>
      <c r="I65" s="156">
        <f t="shared" si="14"/>
        <v>0</v>
      </c>
      <c r="J65" s="156"/>
      <c r="K65" s="334"/>
      <c r="L65" s="158">
        <f t="shared" si="15"/>
        <v>0</v>
      </c>
      <c r="M65" s="334"/>
      <c r="N65" s="158">
        <f t="shared" si="16"/>
        <v>0</v>
      </c>
      <c r="O65" s="158">
        <f t="shared" si="17"/>
        <v>0</v>
      </c>
      <c r="P65" s="4"/>
    </row>
    <row r="66" spans="1:16">
      <c r="B66" s="9" t="str">
        <f t="shared" si="18"/>
        <v/>
      </c>
      <c r="C66" s="153">
        <f>IF(D11="","-",+C65+1)</f>
        <v>2061</v>
      </c>
      <c r="D66" s="159">
        <f>IF(F65+SUM(E$17:E65)=D$10,F65,D$10-SUM(E$17:E65))</f>
        <v>0</v>
      </c>
      <c r="E66" s="160">
        <f>IF(+I14&lt;F65,I14,D66)</f>
        <v>0</v>
      </c>
      <c r="F66" s="159">
        <f t="shared" si="13"/>
        <v>0</v>
      </c>
      <c r="G66" s="163">
        <f t="shared" si="19"/>
        <v>0</v>
      </c>
      <c r="H66" s="142">
        <f t="shared" si="20"/>
        <v>0</v>
      </c>
      <c r="I66" s="156">
        <f t="shared" si="14"/>
        <v>0</v>
      </c>
      <c r="J66" s="156"/>
      <c r="K66" s="334"/>
      <c r="L66" s="158">
        <f t="shared" si="15"/>
        <v>0</v>
      </c>
      <c r="M66" s="334"/>
      <c r="N66" s="158">
        <f t="shared" si="16"/>
        <v>0</v>
      </c>
      <c r="O66" s="158">
        <f t="shared" si="17"/>
        <v>0</v>
      </c>
      <c r="P66" s="4"/>
    </row>
    <row r="67" spans="1:16">
      <c r="B67" s="9" t="str">
        <f t="shared" si="18"/>
        <v/>
      </c>
      <c r="C67" s="153">
        <f>IF(D11="","-",+C66+1)</f>
        <v>2062</v>
      </c>
      <c r="D67" s="159">
        <f>IF(F66+SUM(E$17:E66)=D$10,F66,D$10-SUM(E$17:E66))</f>
        <v>0</v>
      </c>
      <c r="E67" s="160">
        <f>IF(+I14&lt;F66,I14,D67)</f>
        <v>0</v>
      </c>
      <c r="F67" s="159">
        <f t="shared" si="13"/>
        <v>0</v>
      </c>
      <c r="G67" s="163">
        <f t="shared" si="19"/>
        <v>0</v>
      </c>
      <c r="H67" s="142">
        <f t="shared" si="20"/>
        <v>0</v>
      </c>
      <c r="I67" s="156">
        <f t="shared" si="14"/>
        <v>0</v>
      </c>
      <c r="J67" s="156"/>
      <c r="K67" s="334"/>
      <c r="L67" s="158">
        <f t="shared" si="15"/>
        <v>0</v>
      </c>
      <c r="M67" s="334"/>
      <c r="N67" s="158">
        <f t="shared" si="16"/>
        <v>0</v>
      </c>
      <c r="O67" s="158">
        <f t="shared" si="17"/>
        <v>0</v>
      </c>
      <c r="P67" s="4"/>
    </row>
    <row r="68" spans="1:16">
      <c r="B68" s="9" t="str">
        <f t="shared" si="18"/>
        <v/>
      </c>
      <c r="C68" s="153">
        <f>IF(D11="","-",+C67+1)</f>
        <v>2063</v>
      </c>
      <c r="D68" s="159">
        <f>IF(F67+SUM(E$17:E67)=D$10,F67,D$10-SUM(E$17:E67))</f>
        <v>0</v>
      </c>
      <c r="E68" s="160">
        <f>IF(+I14&lt;F67,I14,D68)</f>
        <v>0</v>
      </c>
      <c r="F68" s="159">
        <f t="shared" si="13"/>
        <v>0</v>
      </c>
      <c r="G68" s="163">
        <f t="shared" si="19"/>
        <v>0</v>
      </c>
      <c r="H68" s="142">
        <f t="shared" si="20"/>
        <v>0</v>
      </c>
      <c r="I68" s="156">
        <f t="shared" si="14"/>
        <v>0</v>
      </c>
      <c r="J68" s="156"/>
      <c r="K68" s="334"/>
      <c r="L68" s="158">
        <f t="shared" si="15"/>
        <v>0</v>
      </c>
      <c r="M68" s="334"/>
      <c r="N68" s="158">
        <f t="shared" si="16"/>
        <v>0</v>
      </c>
      <c r="O68" s="158">
        <f t="shared" si="17"/>
        <v>0</v>
      </c>
      <c r="P68" s="4"/>
    </row>
    <row r="69" spans="1:16">
      <c r="B69" s="9" t="str">
        <f t="shared" si="18"/>
        <v/>
      </c>
      <c r="C69" s="153">
        <f>IF(D11="","-",+C68+1)</f>
        <v>2064</v>
      </c>
      <c r="D69" s="159">
        <f>IF(F68+SUM(E$17:E68)=D$10,F68,D$10-SUM(E$17:E68))</f>
        <v>0</v>
      </c>
      <c r="E69" s="160">
        <f>IF(+I14&lt;F68,I14,D69)</f>
        <v>0</v>
      </c>
      <c r="F69" s="159">
        <f t="shared" si="13"/>
        <v>0</v>
      </c>
      <c r="G69" s="163">
        <f t="shared" si="19"/>
        <v>0</v>
      </c>
      <c r="H69" s="142">
        <f t="shared" si="20"/>
        <v>0</v>
      </c>
      <c r="I69" s="156">
        <f t="shared" si="14"/>
        <v>0</v>
      </c>
      <c r="J69" s="156"/>
      <c r="K69" s="334"/>
      <c r="L69" s="158">
        <f t="shared" si="15"/>
        <v>0</v>
      </c>
      <c r="M69" s="334"/>
      <c r="N69" s="158">
        <f t="shared" si="16"/>
        <v>0</v>
      </c>
      <c r="O69" s="158">
        <f t="shared" si="17"/>
        <v>0</v>
      </c>
      <c r="P69" s="4"/>
    </row>
    <row r="70" spans="1:16">
      <c r="B70" s="9" t="str">
        <f t="shared" si="18"/>
        <v/>
      </c>
      <c r="C70" s="153">
        <f>IF(D11="","-",+C69+1)</f>
        <v>2065</v>
      </c>
      <c r="D70" s="159">
        <f>IF(F69+SUM(E$17:E69)=D$10,F69,D$10-SUM(E$17:E69))</f>
        <v>0</v>
      </c>
      <c r="E70" s="160">
        <f>IF(+I14&lt;F69,I14,D70)</f>
        <v>0</v>
      </c>
      <c r="F70" s="159">
        <f t="shared" si="13"/>
        <v>0</v>
      </c>
      <c r="G70" s="163">
        <f t="shared" si="19"/>
        <v>0</v>
      </c>
      <c r="H70" s="142">
        <f t="shared" si="20"/>
        <v>0</v>
      </c>
      <c r="I70" s="156">
        <f t="shared" si="14"/>
        <v>0</v>
      </c>
      <c r="J70" s="156"/>
      <c r="K70" s="334"/>
      <c r="L70" s="158">
        <f t="shared" si="15"/>
        <v>0</v>
      </c>
      <c r="M70" s="334"/>
      <c r="N70" s="158">
        <f t="shared" si="16"/>
        <v>0</v>
      </c>
      <c r="O70" s="158">
        <f t="shared" si="17"/>
        <v>0</v>
      </c>
      <c r="P70" s="4"/>
    </row>
    <row r="71" spans="1:16">
      <c r="B71" s="9" t="str">
        <f t="shared" si="18"/>
        <v/>
      </c>
      <c r="C71" s="153">
        <f>IF(D11="","-",+C70+1)</f>
        <v>2066</v>
      </c>
      <c r="D71" s="159">
        <f>IF(F70+SUM(E$17:E70)=D$10,F70,D$10-SUM(E$17:E70))</f>
        <v>0</v>
      </c>
      <c r="E71" s="160">
        <f>IF(+I14&lt;F70,I14,D71)</f>
        <v>0</v>
      </c>
      <c r="F71" s="159">
        <f t="shared" si="13"/>
        <v>0</v>
      </c>
      <c r="G71" s="163">
        <f t="shared" si="19"/>
        <v>0</v>
      </c>
      <c r="H71" s="142">
        <f t="shared" si="20"/>
        <v>0</v>
      </c>
      <c r="I71" s="156">
        <f t="shared" si="14"/>
        <v>0</v>
      </c>
      <c r="J71" s="156"/>
      <c r="K71" s="334"/>
      <c r="L71" s="158">
        <f t="shared" si="15"/>
        <v>0</v>
      </c>
      <c r="M71" s="334"/>
      <c r="N71" s="158">
        <f t="shared" si="16"/>
        <v>0</v>
      </c>
      <c r="O71" s="158">
        <f t="shared" si="17"/>
        <v>0</v>
      </c>
      <c r="P71" s="4"/>
    </row>
    <row r="72" spans="1:16" ht="13.5" thickBot="1">
      <c r="B72" s="9" t="str">
        <f t="shared" si="18"/>
        <v/>
      </c>
      <c r="C72" s="164">
        <f>IF(D11="","-",+C71+1)</f>
        <v>2067</v>
      </c>
      <c r="D72" s="165">
        <f>IF(F71+SUM(E$17:E71)=D$10,F71,D$10-SUM(E$17:E71))</f>
        <v>0</v>
      </c>
      <c r="E72" s="166">
        <f>IF(+I14&lt;F71,I14,D72)</f>
        <v>0</v>
      </c>
      <c r="F72" s="165">
        <f t="shared" si="13"/>
        <v>0</v>
      </c>
      <c r="G72" s="167">
        <f t="shared" si="19"/>
        <v>0</v>
      </c>
      <c r="H72" s="124">
        <f t="shared" si="20"/>
        <v>0</v>
      </c>
      <c r="I72" s="168">
        <f t="shared" si="14"/>
        <v>0</v>
      </c>
      <c r="J72" s="156"/>
      <c r="K72" s="335"/>
      <c r="L72" s="169">
        <f t="shared" si="15"/>
        <v>0</v>
      </c>
      <c r="M72" s="335"/>
      <c r="N72" s="169">
        <f t="shared" si="16"/>
        <v>0</v>
      </c>
      <c r="O72" s="169">
        <f t="shared" si="17"/>
        <v>0</v>
      </c>
      <c r="P72" s="4"/>
    </row>
    <row r="73" spans="1:16">
      <c r="C73" s="154" t="s">
        <v>73</v>
      </c>
      <c r="D73" s="111"/>
      <c r="E73" s="111">
        <f>SUM(E17:E72)</f>
        <v>4175110.0000000009</v>
      </c>
      <c r="F73" s="111"/>
      <c r="G73" s="111">
        <f>SUM(G17:G72)</f>
        <v>14095097.176301954</v>
      </c>
      <c r="H73" s="111">
        <f>SUM(H17:H72)</f>
        <v>14095097.176301954</v>
      </c>
      <c r="I73" s="111">
        <f>SUM(I17:I72)</f>
        <v>0</v>
      </c>
      <c r="J73" s="111"/>
      <c r="K73" s="111"/>
      <c r="L73" s="111"/>
      <c r="M73" s="111"/>
      <c r="N73" s="111"/>
      <c r="O73" s="4"/>
      <c r="P73" s="4"/>
    </row>
    <row r="74" spans="1:16">
      <c r="D74" s="2"/>
      <c r="E74" s="1"/>
      <c r="F74" s="1"/>
      <c r="G74" s="1"/>
      <c r="H74" s="3"/>
      <c r="I74" s="3"/>
      <c r="J74" s="111"/>
      <c r="K74" s="3"/>
      <c r="L74" s="3"/>
      <c r="M74" s="3"/>
      <c r="N74" s="3"/>
      <c r="O74" s="1"/>
      <c r="P74" s="1"/>
    </row>
    <row r="75" spans="1:16">
      <c r="C75" s="170" t="s">
        <v>91</v>
      </c>
      <c r="D75" s="2"/>
      <c r="E75" s="1"/>
      <c r="F75" s="1"/>
      <c r="G75" s="1"/>
      <c r="H75" s="3"/>
      <c r="I75" s="3"/>
      <c r="J75" s="111"/>
      <c r="K75" s="3"/>
      <c r="L75" s="3"/>
      <c r="M75" s="3"/>
      <c r="N75" s="3"/>
      <c r="O75" s="1"/>
      <c r="P75" s="1"/>
    </row>
    <row r="76" spans="1:16">
      <c r="C76" s="121" t="s">
        <v>74</v>
      </c>
      <c r="D76" s="2"/>
      <c r="E76" s="1"/>
      <c r="F76" s="1"/>
      <c r="G76" s="1"/>
      <c r="H76" s="3"/>
      <c r="I76" s="3"/>
      <c r="J76" s="111"/>
      <c r="K76" s="3"/>
      <c r="L76" s="3"/>
      <c r="M76" s="3"/>
      <c r="N76" s="3"/>
      <c r="O76" s="4"/>
      <c r="P76" s="4"/>
    </row>
    <row r="77" spans="1:16" ht="18">
      <c r="C77" s="121" t="s">
        <v>75</v>
      </c>
      <c r="D77" s="154"/>
      <c r="E77" s="154"/>
      <c r="F77" s="154"/>
      <c r="G77" s="111"/>
      <c r="H77" s="111"/>
      <c r="I77" s="171"/>
      <c r="J77" s="171"/>
      <c r="K77" s="171"/>
      <c r="L77" s="171"/>
      <c r="M77" s="171"/>
      <c r="N77" s="171"/>
      <c r="O77" s="110"/>
      <c r="P77" s="4"/>
    </row>
    <row r="78" spans="1:16">
      <c r="C78" s="121"/>
      <c r="D78" s="154"/>
      <c r="E78" s="154"/>
      <c r="F78" s="154"/>
      <c r="G78" s="111"/>
      <c r="H78" s="111"/>
      <c r="I78" s="171"/>
      <c r="J78" s="171"/>
      <c r="K78" s="171"/>
      <c r="L78" s="171"/>
      <c r="M78" s="171"/>
      <c r="N78" s="171"/>
      <c r="O78" s="4"/>
      <c r="P78" s="1"/>
    </row>
    <row r="79" spans="1:16" ht="15">
      <c r="A79" s="241"/>
      <c r="B79" s="1"/>
      <c r="C79" s="21"/>
      <c r="D79" s="2"/>
      <c r="E79" s="1"/>
      <c r="F79" s="107"/>
      <c r="G79" s="1"/>
      <c r="H79" s="3"/>
      <c r="I79" s="1"/>
      <c r="J79" s="4"/>
      <c r="K79" s="1"/>
      <c r="L79" s="1"/>
      <c r="M79" s="1"/>
      <c r="N79" s="1"/>
    </row>
    <row r="80" spans="1:16" ht="18">
      <c r="B80" s="1"/>
      <c r="C80" s="242"/>
      <c r="D80" s="2"/>
      <c r="E80" s="1"/>
      <c r="F80" s="107"/>
      <c r="G80" s="1"/>
      <c r="H80" s="3"/>
      <c r="I80" s="1"/>
      <c r="J80" s="4"/>
      <c r="K80" s="1"/>
      <c r="L80" s="1"/>
      <c r="M80" s="1"/>
      <c r="N80" s="1"/>
      <c r="P80" s="244" t="s">
        <v>125</v>
      </c>
    </row>
    <row r="81" spans="1:17">
      <c r="B81" s="1"/>
      <c r="C81" s="242"/>
      <c r="D81" s="2"/>
      <c r="E81" s="1"/>
      <c r="F81" s="107"/>
      <c r="G81" s="1"/>
      <c r="H81" s="3"/>
      <c r="I81" s="1"/>
      <c r="J81" s="4"/>
      <c r="K81" s="1"/>
      <c r="L81" s="1"/>
      <c r="M81" s="1"/>
      <c r="N81" s="1"/>
      <c r="O81" s="1"/>
      <c r="P81" s="1"/>
    </row>
    <row r="82" spans="1:17">
      <c r="B82" s="1"/>
      <c r="C82" s="21"/>
      <c r="D82" s="2"/>
      <c r="E82" s="1"/>
      <c r="F82" s="107"/>
      <c r="G82" s="1"/>
      <c r="H82" s="3"/>
      <c r="I82" s="1"/>
      <c r="J82" s="4"/>
      <c r="K82" s="1"/>
      <c r="L82" s="1"/>
      <c r="M82" s="1"/>
      <c r="N82" s="1"/>
      <c r="O82" s="1"/>
      <c r="P82" s="1"/>
      <c r="Q82" s="1"/>
    </row>
    <row r="83" spans="1:17" ht="20.25">
      <c r="A83" s="243" t="s">
        <v>129</v>
      </c>
      <c r="B83" s="1"/>
      <c r="C83" s="21"/>
      <c r="D83" s="2"/>
      <c r="E83" s="1"/>
      <c r="F83" s="99"/>
      <c r="G83" s="99"/>
      <c r="H83" s="1"/>
      <c r="I83" s="3"/>
      <c r="K83" s="7"/>
      <c r="L83" s="109"/>
      <c r="M83" s="109"/>
      <c r="P83" s="110" t="str">
        <f ca="1">P1</f>
        <v>SWEPCO Project 32 of 73</v>
      </c>
      <c r="Q83" s="1"/>
    </row>
    <row r="84" spans="1:17" ht="18">
      <c r="B84" s="1"/>
      <c r="C84" s="1"/>
      <c r="D84" s="2"/>
      <c r="E84" s="1"/>
      <c r="F84" s="1"/>
      <c r="G84" s="1"/>
      <c r="H84" s="1"/>
      <c r="I84" s="3"/>
      <c r="J84" s="1"/>
      <c r="K84" s="4"/>
      <c r="L84" s="1"/>
      <c r="M84" s="1"/>
      <c r="P84" s="237" t="s">
        <v>123</v>
      </c>
      <c r="Q84" s="1"/>
    </row>
    <row r="85" spans="1:17" ht="18.75" thickBot="1">
      <c r="B85" s="5" t="s">
        <v>40</v>
      </c>
      <c r="C85" s="197" t="s">
        <v>78</v>
      </c>
      <c r="D85" s="2"/>
      <c r="E85" s="1"/>
      <c r="F85" s="1"/>
      <c r="G85" s="1"/>
      <c r="H85" s="1"/>
      <c r="I85" s="3"/>
      <c r="J85" s="3"/>
      <c r="K85" s="111"/>
      <c r="L85" s="3"/>
      <c r="M85" s="3"/>
      <c r="N85" s="3"/>
      <c r="O85" s="111"/>
      <c r="P85" s="1"/>
      <c r="Q85" s="1"/>
    </row>
    <row r="86" spans="1:17" ht="15.75" thickBot="1">
      <c r="C86" s="67"/>
      <c r="D86" s="2"/>
      <c r="E86" s="1"/>
      <c r="F86" s="1"/>
      <c r="G86" s="1"/>
      <c r="H86" s="1"/>
      <c r="I86" s="3"/>
      <c r="J86" s="3"/>
      <c r="K86" s="111"/>
      <c r="L86" s="265">
        <f>+J92</f>
        <v>2017</v>
      </c>
      <c r="M86" s="266" t="s">
        <v>7</v>
      </c>
      <c r="N86" s="270" t="s">
        <v>154</v>
      </c>
      <c r="O86" s="267" t="s">
        <v>9</v>
      </c>
      <c r="P86" s="1"/>
      <c r="Q86" s="1"/>
    </row>
    <row r="87" spans="1:17" ht="15">
      <c r="C87" s="235" t="s">
        <v>42</v>
      </c>
      <c r="D87" s="2"/>
      <c r="E87" s="1"/>
      <c r="F87" s="1"/>
      <c r="G87" s="1"/>
      <c r="H87" s="113"/>
      <c r="I87" s="1" t="s">
        <v>43</v>
      </c>
      <c r="J87" s="1"/>
      <c r="K87" s="261"/>
      <c r="L87" s="259" t="s">
        <v>381</v>
      </c>
      <c r="M87" s="198">
        <f>IF(J92&lt;D11,0,VLOOKUP(J92,C17:O72,9))</f>
        <v>553167.7460387327</v>
      </c>
      <c r="N87" s="198">
        <f>IF(J92&lt;D11,0,VLOOKUP(J92,C17:O72,11))</f>
        <v>553167.7460387327</v>
      </c>
      <c r="O87" s="199">
        <f>+N87-M87</f>
        <v>0</v>
      </c>
      <c r="P87" s="1"/>
      <c r="Q87" s="1"/>
    </row>
    <row r="88" spans="1:17" ht="15.75">
      <c r="C88" s="8"/>
      <c r="D88" s="2"/>
      <c r="E88" s="1"/>
      <c r="F88" s="1"/>
      <c r="G88" s="1"/>
      <c r="H88" s="1"/>
      <c r="I88" s="117"/>
      <c r="J88" s="117"/>
      <c r="K88" s="263"/>
      <c r="L88" s="264" t="s">
        <v>382</v>
      </c>
      <c r="M88" s="200">
        <f>IF(J92&lt;D11,0,VLOOKUP(J92,C99:P154,6))</f>
        <v>546476.62006900879</v>
      </c>
      <c r="N88" s="200">
        <f>IF(J92&lt;D11,0,VLOOKUP(J92,C99:P154,7))</f>
        <v>546476.62006900879</v>
      </c>
      <c r="O88" s="201">
        <f>+N88-M88</f>
        <v>0</v>
      </c>
      <c r="P88" s="1"/>
      <c r="Q88" s="1"/>
    </row>
    <row r="89" spans="1:17" ht="13.5" thickBot="1">
      <c r="C89" s="121" t="s">
        <v>79</v>
      </c>
      <c r="D89" s="274" t="str">
        <f>D7</f>
        <v>Howell-Kilgore 69 kV rebuild</v>
      </c>
      <c r="E89" s="1"/>
      <c r="F89" s="1"/>
      <c r="G89" s="1"/>
      <c r="H89" s="1"/>
      <c r="I89" s="3"/>
      <c r="J89" s="3"/>
      <c r="K89" s="262"/>
      <c r="L89" s="260" t="s">
        <v>151</v>
      </c>
      <c r="M89" s="203">
        <f>+M88-M87</f>
        <v>-6691.1259697239147</v>
      </c>
      <c r="N89" s="203">
        <f>+N88-N87</f>
        <v>-6691.1259697239147</v>
      </c>
      <c r="O89" s="204">
        <f>+O88-O87</f>
        <v>0</v>
      </c>
      <c r="P89" s="1"/>
      <c r="Q89" s="1"/>
    </row>
    <row r="90" spans="1:17" ht="13.5" thickBot="1">
      <c r="C90" s="170"/>
      <c r="D90" s="173" t="str">
        <f>D8</f>
        <v/>
      </c>
      <c r="E90" s="107"/>
      <c r="F90" s="107"/>
      <c r="G90" s="107"/>
      <c r="H90" s="126"/>
      <c r="I90" s="3"/>
      <c r="J90" s="3"/>
      <c r="K90" s="111"/>
      <c r="L90" s="3"/>
      <c r="M90" s="3"/>
      <c r="N90" s="3"/>
      <c r="O90" s="111"/>
      <c r="P90" s="1"/>
      <c r="Q90" s="1"/>
    </row>
    <row r="91" spans="1:17" ht="13.5" thickBot="1">
      <c r="A91" s="103"/>
      <c r="C91" s="205" t="s">
        <v>80</v>
      </c>
      <c r="D91" s="224">
        <f>+D9</f>
        <v>0</v>
      </c>
      <c r="E91" s="206"/>
      <c r="F91" s="206"/>
      <c r="G91" s="206"/>
      <c r="H91" s="206"/>
      <c r="I91" s="206"/>
      <c r="J91" s="238"/>
      <c r="K91" s="207"/>
      <c r="P91" s="131"/>
      <c r="Q91" s="1"/>
    </row>
    <row r="92" spans="1:17">
      <c r="C92" s="136" t="s">
        <v>47</v>
      </c>
      <c r="D92" s="133">
        <f>D10</f>
        <v>4175110</v>
      </c>
      <c r="E92" s="21" t="s">
        <v>81</v>
      </c>
      <c r="H92" s="134"/>
      <c r="I92" s="134"/>
      <c r="J92" s="135">
        <f>+'SWE.WS.G.BPU.ATRR.True-up'!M15</f>
        <v>2017</v>
      </c>
      <c r="K92" s="130"/>
      <c r="L92" s="111" t="s">
        <v>82</v>
      </c>
      <c r="P92" s="4"/>
      <c r="Q92" s="1"/>
    </row>
    <row r="93" spans="1:17">
      <c r="C93" s="136" t="s">
        <v>49</v>
      </c>
      <c r="D93" s="219">
        <f>IF(D11=I10,"",D11)</f>
        <v>2012</v>
      </c>
      <c r="E93" s="136" t="s">
        <v>50</v>
      </c>
      <c r="F93" s="134"/>
      <c r="G93" s="134"/>
      <c r="J93" s="138">
        <f>IF(H87="",0,'SWE.WS.G.BPU.ATRR.True-up'!$F$12)</f>
        <v>0</v>
      </c>
      <c r="K93" s="139"/>
      <c r="L93" t="str">
        <f>"          INPUT TRUE-UP ARR (WITH &amp; WITHOUT INCENTIVES) FROM EACH PRIOR YEAR"</f>
        <v xml:space="preserve">          INPUT TRUE-UP ARR (WITH &amp; WITHOUT INCENTIVES) FROM EACH PRIOR YEAR</v>
      </c>
      <c r="P93" s="4"/>
      <c r="Q93" s="1"/>
    </row>
    <row r="94" spans="1:17">
      <c r="C94" s="136" t="s">
        <v>51</v>
      </c>
      <c r="D94" s="218">
        <f>IF(D11=I10,"",D12)</f>
        <v>6</v>
      </c>
      <c r="E94" s="136" t="s">
        <v>52</v>
      </c>
      <c r="F94" s="134"/>
      <c r="G94" s="134"/>
      <c r="J94" s="140">
        <f>'SWE.WS.G.BPU.ATRR.True-up'!$F$80</f>
        <v>0.12147145768398206</v>
      </c>
      <c r="K94" s="141"/>
      <c r="L94" t="s">
        <v>83</v>
      </c>
      <c r="P94" s="4"/>
      <c r="Q94" s="1"/>
    </row>
    <row r="95" spans="1:17">
      <c r="C95" s="136" t="s">
        <v>54</v>
      </c>
      <c r="D95" s="138">
        <f>'SWE.WS.G.BPU.ATRR.True-up'!F$92</f>
        <v>42</v>
      </c>
      <c r="E95" s="136" t="s">
        <v>55</v>
      </c>
      <c r="F95" s="134"/>
      <c r="G95" s="134"/>
      <c r="J95" s="140">
        <f>IF(H87="",J94,'SWE.WS.G.BPU.ATRR.True-up'!$F$79)</f>
        <v>0.12147145768398206</v>
      </c>
      <c r="K95" s="58"/>
      <c r="L95" s="111" t="s">
        <v>56</v>
      </c>
      <c r="M95" s="58"/>
      <c r="N95" s="58"/>
      <c r="O95" s="58"/>
      <c r="P95" s="4"/>
      <c r="Q95" s="1"/>
    </row>
    <row r="96" spans="1:17" ht="13.5" thickBot="1">
      <c r="C96" s="136" t="s">
        <v>57</v>
      </c>
      <c r="D96" s="220" t="str">
        <f>+D14</f>
        <v>No</v>
      </c>
      <c r="E96" s="202" t="s">
        <v>59</v>
      </c>
      <c r="F96" s="208"/>
      <c r="G96" s="208"/>
      <c r="H96" s="209"/>
      <c r="I96" s="209"/>
      <c r="J96" s="124">
        <f>IF(D92=0,0,D92/D95)</f>
        <v>99407.380952380947</v>
      </c>
      <c r="K96" s="111"/>
      <c r="L96" s="111"/>
      <c r="M96" s="111"/>
      <c r="N96" s="111"/>
      <c r="O96" s="111"/>
      <c r="P96" s="4"/>
      <c r="Q96" s="1"/>
    </row>
    <row r="97" spans="1:17" ht="38.25">
      <c r="A97" s="6"/>
      <c r="B97" s="6"/>
      <c r="C97" s="210" t="s">
        <v>47</v>
      </c>
      <c r="D97" s="211" t="s">
        <v>60</v>
      </c>
      <c r="E97" s="146" t="s">
        <v>61</v>
      </c>
      <c r="F97" s="146" t="s">
        <v>62</v>
      </c>
      <c r="G97" s="144" t="s">
        <v>84</v>
      </c>
      <c r="H97" s="434" t="s">
        <v>378</v>
      </c>
      <c r="I97" s="435" t="s">
        <v>379</v>
      </c>
      <c r="J97" s="210" t="s">
        <v>85</v>
      </c>
      <c r="K97" s="212"/>
      <c r="L97" s="271" t="s">
        <v>220</v>
      </c>
      <c r="M97" s="146" t="s">
        <v>86</v>
      </c>
      <c r="N97" s="271" t="s">
        <v>220</v>
      </c>
      <c r="O97" s="146" t="s">
        <v>86</v>
      </c>
      <c r="P97" s="146" t="s">
        <v>65</v>
      </c>
      <c r="Q97" s="1"/>
    </row>
    <row r="98" spans="1:17" ht="13.5" thickBot="1">
      <c r="C98" s="147" t="s">
        <v>66</v>
      </c>
      <c r="D98" s="213" t="s">
        <v>67</v>
      </c>
      <c r="E98" s="147" t="s">
        <v>68</v>
      </c>
      <c r="F98" s="147" t="s">
        <v>67</v>
      </c>
      <c r="G98" s="147" t="s">
        <v>67</v>
      </c>
      <c r="H98" s="407" t="s">
        <v>69</v>
      </c>
      <c r="I98" s="148" t="s">
        <v>70</v>
      </c>
      <c r="J98" s="149" t="s">
        <v>89</v>
      </c>
      <c r="K98" s="150"/>
      <c r="L98" s="151" t="s">
        <v>72</v>
      </c>
      <c r="M98" s="151" t="s">
        <v>72</v>
      </c>
      <c r="N98" s="151" t="s">
        <v>90</v>
      </c>
      <c r="O98" s="151" t="s">
        <v>90</v>
      </c>
      <c r="P98" s="151" t="s">
        <v>90</v>
      </c>
      <c r="Q98" s="1"/>
    </row>
    <row r="99" spans="1:17">
      <c r="C99" s="153">
        <f>IF(D93= "","-",D93)</f>
        <v>2012</v>
      </c>
      <c r="D99" s="357">
        <v>0</v>
      </c>
      <c r="E99" s="360">
        <v>50055.416666666657</v>
      </c>
      <c r="F99" s="361">
        <v>4154599.5833333335</v>
      </c>
      <c r="G99" s="365">
        <v>2077299.7916666667</v>
      </c>
      <c r="H99" s="362">
        <v>355738.24852974305</v>
      </c>
      <c r="I99" s="363">
        <v>355738.24852974305</v>
      </c>
      <c r="J99" s="158">
        <f t="shared" ref="J99:J130" si="21">+I99-H99</f>
        <v>0</v>
      </c>
      <c r="K99" s="158"/>
      <c r="L99" s="256">
        <f>H99</f>
        <v>355738.24852974305</v>
      </c>
      <c r="M99" s="172">
        <f t="shared" ref="M99:M130" si="22">IF(L99&lt;&gt;0,+H99-L99,0)</f>
        <v>0</v>
      </c>
      <c r="N99" s="256">
        <f>I99</f>
        <v>355738.24852974305</v>
      </c>
      <c r="O99" s="157">
        <f t="shared" ref="O99:O130" si="23">IF(N99&lt;&gt;0,+I99-N99,0)</f>
        <v>0</v>
      </c>
      <c r="P99" s="157">
        <f t="shared" ref="P99:P130" si="24">+O99-M99</f>
        <v>0</v>
      </c>
      <c r="Q99" s="1"/>
    </row>
    <row r="100" spans="1:17">
      <c r="B100" s="9" t="str">
        <f t="shared" ref="B100:B131" si="25">IF(D100=F99,"","IU")</f>
        <v>IU</v>
      </c>
      <c r="C100" s="153">
        <f>IF(D93="","-",+C99+1)</f>
        <v>2013</v>
      </c>
      <c r="D100" s="357">
        <v>4107681.5833333335</v>
      </c>
      <c r="E100" s="360">
        <v>98993.738095238092</v>
      </c>
      <c r="F100" s="361">
        <v>4008687.8452380956</v>
      </c>
      <c r="G100" s="361">
        <v>4058184.7142857146</v>
      </c>
      <c r="H100" s="362">
        <v>648032.45637713163</v>
      </c>
      <c r="I100" s="363">
        <v>648032.45637713163</v>
      </c>
      <c r="J100" s="158">
        <v>0</v>
      </c>
      <c r="K100" s="158"/>
      <c r="L100" s="258">
        <f>H100</f>
        <v>648032.45637713163</v>
      </c>
      <c r="M100" s="257">
        <f>IF(L100&lt;&gt;0,+H100-L100,0)</f>
        <v>0</v>
      </c>
      <c r="N100" s="258">
        <f>I100</f>
        <v>648032.45637713163</v>
      </c>
      <c r="O100" s="158">
        <f>IF(N100&lt;&gt;0,+I100-N100,0)</f>
        <v>0</v>
      </c>
      <c r="P100" s="158">
        <f>+O100-M100</f>
        <v>0</v>
      </c>
      <c r="Q100" s="1"/>
    </row>
    <row r="101" spans="1:17">
      <c r="B101" s="9" t="str">
        <f t="shared" si="25"/>
        <v>IU</v>
      </c>
      <c r="C101" s="153">
        <f>IF(D93="","-",+C100+1)</f>
        <v>2014</v>
      </c>
      <c r="D101" s="357">
        <v>4026060.8452380951</v>
      </c>
      <c r="E101" s="360">
        <v>99407.380952380947</v>
      </c>
      <c r="F101" s="361">
        <v>3926653.4642857141</v>
      </c>
      <c r="G101" s="361">
        <v>3976357.1547619049</v>
      </c>
      <c r="H101" s="362">
        <v>639887.60268685024</v>
      </c>
      <c r="I101" s="363">
        <v>639887.60268685024</v>
      </c>
      <c r="J101" s="158">
        <v>0</v>
      </c>
      <c r="K101" s="158"/>
      <c r="L101" s="258">
        <f>H101</f>
        <v>639887.60268685024</v>
      </c>
      <c r="M101" s="257">
        <f>IF(L101&lt;&gt;0,+H101-L101,0)</f>
        <v>0</v>
      </c>
      <c r="N101" s="258">
        <f>I101</f>
        <v>639887.60268685024</v>
      </c>
      <c r="O101" s="158">
        <f>IF(N101&lt;&gt;0,+I101-N101,0)</f>
        <v>0</v>
      </c>
      <c r="P101" s="158">
        <f>+O101-M101</f>
        <v>0</v>
      </c>
      <c r="Q101" s="1"/>
    </row>
    <row r="102" spans="1:17">
      <c r="B102" s="9" t="str">
        <f t="shared" si="25"/>
        <v/>
      </c>
      <c r="C102" s="153">
        <f>IF(D93="","-",+C101+1)</f>
        <v>2015</v>
      </c>
      <c r="D102" s="357">
        <v>3926653.4642857141</v>
      </c>
      <c r="E102" s="360">
        <v>99407.380952380947</v>
      </c>
      <c r="F102" s="361">
        <v>3827246.083333333</v>
      </c>
      <c r="G102" s="361">
        <v>3876949.7738095233</v>
      </c>
      <c r="H102" s="362">
        <v>610268.70222496334</v>
      </c>
      <c r="I102" s="363">
        <v>610268.70222496334</v>
      </c>
      <c r="J102" s="158">
        <f t="shared" si="21"/>
        <v>0</v>
      </c>
      <c r="K102" s="158"/>
      <c r="L102" s="258">
        <f>H102</f>
        <v>610268.70222496334</v>
      </c>
      <c r="M102" s="257">
        <f>IF(L102&lt;&gt;0,+H102-L102,0)</f>
        <v>0</v>
      </c>
      <c r="N102" s="258">
        <f>I102</f>
        <v>610268.70222496334</v>
      </c>
      <c r="O102" s="158">
        <f>IF(N102&lt;&gt;0,+I102-N102,0)</f>
        <v>0</v>
      </c>
      <c r="P102" s="158">
        <f>+O102-M102</f>
        <v>0</v>
      </c>
      <c r="Q102" s="1"/>
    </row>
    <row r="103" spans="1:17">
      <c r="B103" s="9" t="str">
        <f t="shared" si="25"/>
        <v/>
      </c>
      <c r="C103" s="153">
        <f>IF(D93="","-",+C102+1)</f>
        <v>2016</v>
      </c>
      <c r="D103" s="357">
        <v>3827246.083333333</v>
      </c>
      <c r="E103" s="360">
        <v>97095.58139534884</v>
      </c>
      <c r="F103" s="361">
        <v>3730150.501937984</v>
      </c>
      <c r="G103" s="361">
        <v>3778698.2926356588</v>
      </c>
      <c r="H103" s="362">
        <v>576801.28539069893</v>
      </c>
      <c r="I103" s="363">
        <v>576801.28539069893</v>
      </c>
      <c r="J103" s="158">
        <v>0</v>
      </c>
      <c r="K103" s="158"/>
      <c r="L103" s="258">
        <f>H103</f>
        <v>576801.28539069893</v>
      </c>
      <c r="M103" s="257">
        <f>IF(L103&lt;&gt;0,+H103-L103,0)</f>
        <v>0</v>
      </c>
      <c r="N103" s="258">
        <f>I103</f>
        <v>576801.28539069893</v>
      </c>
      <c r="O103" s="158">
        <f>IF(N103&lt;&gt;0,+I103-N103,0)</f>
        <v>0</v>
      </c>
      <c r="P103" s="158">
        <f>+O103-M103</f>
        <v>0</v>
      </c>
      <c r="Q103" s="1"/>
    </row>
    <row r="104" spans="1:17">
      <c r="B104" s="9" t="str">
        <f t="shared" si="25"/>
        <v/>
      </c>
      <c r="C104" s="153">
        <f>IF(D93="","-",+C103+1)</f>
        <v>2017</v>
      </c>
      <c r="D104" s="154">
        <f>IF(F103+SUM(E$99:E103)=D$92,F103,D$92-SUM(E$99:E103))</f>
        <v>3730150.501937984</v>
      </c>
      <c r="E104" s="160">
        <f>IF(+J96&lt;F103,J96,D104)</f>
        <v>99407.380952380947</v>
      </c>
      <c r="F104" s="159">
        <f t="shared" ref="F104:F131" si="26">+D104-E104</f>
        <v>3630743.120985603</v>
      </c>
      <c r="G104" s="159">
        <f t="shared" ref="G104:G130" si="27">+(F104+D104)/2</f>
        <v>3680446.8114617933</v>
      </c>
      <c r="H104" s="163">
        <f t="shared" ref="H104:H130" si="28">+J$94*G104+E104</f>
        <v>546476.62006900879</v>
      </c>
      <c r="I104" s="253">
        <f t="shared" ref="I104:I130" si="29">+J$95*G104+E104</f>
        <v>546476.62006900879</v>
      </c>
      <c r="J104" s="158">
        <f t="shared" si="21"/>
        <v>0</v>
      </c>
      <c r="K104" s="158"/>
      <c r="L104" s="334"/>
      <c r="M104" s="158">
        <f t="shared" si="22"/>
        <v>0</v>
      </c>
      <c r="N104" s="334"/>
      <c r="O104" s="158">
        <f t="shared" si="23"/>
        <v>0</v>
      </c>
      <c r="P104" s="158">
        <f t="shared" si="24"/>
        <v>0</v>
      </c>
      <c r="Q104" s="1"/>
    </row>
    <row r="105" spans="1:17">
      <c r="B105" s="9" t="str">
        <f t="shared" si="25"/>
        <v/>
      </c>
      <c r="C105" s="153">
        <f>IF(D93="","-",+C104+1)</f>
        <v>2018</v>
      </c>
      <c r="D105" s="154">
        <f>IF(F104+SUM(E$99:E104)=D$92,F104,D$92-SUM(E$99:E104))</f>
        <v>3630743.120985603</v>
      </c>
      <c r="E105" s="160">
        <f>IF(+J96&lt;F104,J96,D105)</f>
        <v>99407.380952380947</v>
      </c>
      <c r="F105" s="159">
        <f t="shared" si="26"/>
        <v>3531335.7400332219</v>
      </c>
      <c r="G105" s="159">
        <f t="shared" si="27"/>
        <v>3581039.4305094127</v>
      </c>
      <c r="H105" s="163">
        <f t="shared" si="28"/>
        <v>534401.46060017624</v>
      </c>
      <c r="I105" s="253">
        <f t="shared" si="29"/>
        <v>534401.46060017624</v>
      </c>
      <c r="J105" s="158">
        <f t="shared" si="21"/>
        <v>0</v>
      </c>
      <c r="K105" s="158"/>
      <c r="L105" s="334"/>
      <c r="M105" s="158">
        <f t="shared" si="22"/>
        <v>0</v>
      </c>
      <c r="N105" s="334"/>
      <c r="O105" s="158">
        <f t="shared" si="23"/>
        <v>0</v>
      </c>
      <c r="P105" s="158">
        <f t="shared" si="24"/>
        <v>0</v>
      </c>
      <c r="Q105" s="1"/>
    </row>
    <row r="106" spans="1:17">
      <c r="B106" s="9" t="str">
        <f t="shared" si="25"/>
        <v/>
      </c>
      <c r="C106" s="153">
        <f>IF(D93="","-",+C105+1)</f>
        <v>2019</v>
      </c>
      <c r="D106" s="154">
        <f>IF(F105+SUM(E$99:E105)=D$92,F105,D$92-SUM(E$99:E105))</f>
        <v>3531335.7400332219</v>
      </c>
      <c r="E106" s="160">
        <f>IF(+J96&lt;F105,J96,D106)</f>
        <v>99407.380952380947</v>
      </c>
      <c r="F106" s="159">
        <f t="shared" si="26"/>
        <v>3431928.3590808408</v>
      </c>
      <c r="G106" s="159">
        <f t="shared" si="27"/>
        <v>3481632.0495570311</v>
      </c>
      <c r="H106" s="163">
        <f t="shared" si="28"/>
        <v>522326.30113134359</v>
      </c>
      <c r="I106" s="253">
        <f t="shared" si="29"/>
        <v>522326.30113134359</v>
      </c>
      <c r="J106" s="158">
        <f t="shared" si="21"/>
        <v>0</v>
      </c>
      <c r="K106" s="158"/>
      <c r="L106" s="334"/>
      <c r="M106" s="158">
        <f t="shared" si="22"/>
        <v>0</v>
      </c>
      <c r="N106" s="334"/>
      <c r="O106" s="158">
        <f t="shared" si="23"/>
        <v>0</v>
      </c>
      <c r="P106" s="158">
        <f t="shared" si="24"/>
        <v>0</v>
      </c>
      <c r="Q106" s="1"/>
    </row>
    <row r="107" spans="1:17">
      <c r="B107" s="9" t="str">
        <f t="shared" si="25"/>
        <v/>
      </c>
      <c r="C107" s="153">
        <f>IF(D93="","-",+C106+1)</f>
        <v>2020</v>
      </c>
      <c r="D107" s="154">
        <f>IF(F106+SUM(E$99:E106)=D$92,F106,D$92-SUM(E$99:E106))</f>
        <v>3431928.3590808408</v>
      </c>
      <c r="E107" s="160">
        <f>IF(+J96&lt;F106,J96,D107)</f>
        <v>99407.380952380947</v>
      </c>
      <c r="F107" s="159">
        <f t="shared" si="26"/>
        <v>3332520.9781284598</v>
      </c>
      <c r="G107" s="159">
        <f t="shared" si="27"/>
        <v>3382224.6686046505</v>
      </c>
      <c r="H107" s="163">
        <f t="shared" si="28"/>
        <v>510251.14166251099</v>
      </c>
      <c r="I107" s="253">
        <f t="shared" si="29"/>
        <v>510251.14166251099</v>
      </c>
      <c r="J107" s="158">
        <f t="shared" si="21"/>
        <v>0</v>
      </c>
      <c r="K107" s="158"/>
      <c r="L107" s="334"/>
      <c r="M107" s="158">
        <f t="shared" si="22"/>
        <v>0</v>
      </c>
      <c r="N107" s="334"/>
      <c r="O107" s="158">
        <f t="shared" si="23"/>
        <v>0</v>
      </c>
      <c r="P107" s="158">
        <f t="shared" si="24"/>
        <v>0</v>
      </c>
      <c r="Q107" s="1"/>
    </row>
    <row r="108" spans="1:17">
      <c r="B108" s="9" t="str">
        <f t="shared" si="25"/>
        <v/>
      </c>
      <c r="C108" s="153">
        <f>IF(D93="","-",+C107+1)</f>
        <v>2021</v>
      </c>
      <c r="D108" s="154">
        <f>IF(F107+SUM(E$99:E107)=D$92,F107,D$92-SUM(E$99:E107))</f>
        <v>3332520.9781284598</v>
      </c>
      <c r="E108" s="160">
        <f>IF(+J96&lt;F107,J96,D108)</f>
        <v>99407.380952380947</v>
      </c>
      <c r="F108" s="159">
        <f t="shared" si="26"/>
        <v>3233113.5971760787</v>
      </c>
      <c r="G108" s="159">
        <f t="shared" si="27"/>
        <v>3282817.287652269</v>
      </c>
      <c r="H108" s="163">
        <f t="shared" si="28"/>
        <v>498175.98219367827</v>
      </c>
      <c r="I108" s="253">
        <f t="shared" si="29"/>
        <v>498175.98219367827</v>
      </c>
      <c r="J108" s="158">
        <f t="shared" si="21"/>
        <v>0</v>
      </c>
      <c r="K108" s="158"/>
      <c r="L108" s="334"/>
      <c r="M108" s="158">
        <f t="shared" si="22"/>
        <v>0</v>
      </c>
      <c r="N108" s="334"/>
      <c r="O108" s="158">
        <f t="shared" si="23"/>
        <v>0</v>
      </c>
      <c r="P108" s="158">
        <f t="shared" si="24"/>
        <v>0</v>
      </c>
      <c r="Q108" s="1"/>
    </row>
    <row r="109" spans="1:17">
      <c r="B109" s="9" t="str">
        <f t="shared" si="25"/>
        <v/>
      </c>
      <c r="C109" s="153">
        <f>IF(D93="","-",+C108+1)</f>
        <v>2022</v>
      </c>
      <c r="D109" s="154">
        <f>IF(F108+SUM(E$99:E108)=D$92,F108,D$92-SUM(E$99:E108))</f>
        <v>3233113.5971760787</v>
      </c>
      <c r="E109" s="160">
        <f>IF(+J96&lt;F108,J96,D109)</f>
        <v>99407.380952380947</v>
      </c>
      <c r="F109" s="159">
        <f t="shared" si="26"/>
        <v>3133706.2162236976</v>
      </c>
      <c r="G109" s="159">
        <f t="shared" si="27"/>
        <v>3183409.9066998884</v>
      </c>
      <c r="H109" s="163">
        <f t="shared" si="28"/>
        <v>486100.82272484573</v>
      </c>
      <c r="I109" s="253">
        <f t="shared" si="29"/>
        <v>486100.82272484573</v>
      </c>
      <c r="J109" s="158">
        <f t="shared" si="21"/>
        <v>0</v>
      </c>
      <c r="K109" s="158"/>
      <c r="L109" s="334"/>
      <c r="M109" s="158">
        <f t="shared" si="22"/>
        <v>0</v>
      </c>
      <c r="N109" s="334"/>
      <c r="O109" s="158">
        <f t="shared" si="23"/>
        <v>0</v>
      </c>
      <c r="P109" s="158">
        <f t="shared" si="24"/>
        <v>0</v>
      </c>
      <c r="Q109" s="1"/>
    </row>
    <row r="110" spans="1:17">
      <c r="B110" s="9" t="str">
        <f t="shared" si="25"/>
        <v/>
      </c>
      <c r="C110" s="153">
        <f>IF(D93="","-",+C109+1)</f>
        <v>2023</v>
      </c>
      <c r="D110" s="154">
        <f>IF(F109+SUM(E$99:E109)=D$92,F109,D$92-SUM(E$99:E109))</f>
        <v>3133706.2162236976</v>
      </c>
      <c r="E110" s="160">
        <f>IF(+J96&lt;F109,J96,D110)</f>
        <v>99407.380952380947</v>
      </c>
      <c r="F110" s="159">
        <f t="shared" si="26"/>
        <v>3034298.8352713166</v>
      </c>
      <c r="G110" s="159">
        <f t="shared" si="27"/>
        <v>3084002.5257475069</v>
      </c>
      <c r="H110" s="163">
        <f t="shared" si="28"/>
        <v>474025.66325601301</v>
      </c>
      <c r="I110" s="253">
        <f t="shared" si="29"/>
        <v>474025.66325601301</v>
      </c>
      <c r="J110" s="158">
        <f t="shared" si="21"/>
        <v>0</v>
      </c>
      <c r="K110" s="158"/>
      <c r="L110" s="334"/>
      <c r="M110" s="158">
        <f t="shared" si="22"/>
        <v>0</v>
      </c>
      <c r="N110" s="334"/>
      <c r="O110" s="158">
        <f t="shared" si="23"/>
        <v>0</v>
      </c>
      <c r="P110" s="158">
        <f t="shared" si="24"/>
        <v>0</v>
      </c>
      <c r="Q110" s="1"/>
    </row>
    <row r="111" spans="1:17">
      <c r="B111" s="9" t="str">
        <f t="shared" si="25"/>
        <v/>
      </c>
      <c r="C111" s="153">
        <f>IF(D93="","-",+C110+1)</f>
        <v>2024</v>
      </c>
      <c r="D111" s="154">
        <f>IF(F110+SUM(E$99:E110)=D$92,F110,D$92-SUM(E$99:E110))</f>
        <v>3034298.8352713166</v>
      </c>
      <c r="E111" s="160">
        <f>IF(+J96&lt;F110,J96,D111)</f>
        <v>99407.380952380947</v>
      </c>
      <c r="F111" s="159">
        <f t="shared" si="26"/>
        <v>2934891.4543189355</v>
      </c>
      <c r="G111" s="159">
        <f t="shared" si="27"/>
        <v>2984595.1447951263</v>
      </c>
      <c r="H111" s="163">
        <f t="shared" si="28"/>
        <v>461950.50378718041</v>
      </c>
      <c r="I111" s="253">
        <f t="shared" si="29"/>
        <v>461950.50378718041</v>
      </c>
      <c r="J111" s="158">
        <f t="shared" si="21"/>
        <v>0</v>
      </c>
      <c r="K111" s="158"/>
      <c r="L111" s="334"/>
      <c r="M111" s="158">
        <f t="shared" si="22"/>
        <v>0</v>
      </c>
      <c r="N111" s="334"/>
      <c r="O111" s="158">
        <f t="shared" si="23"/>
        <v>0</v>
      </c>
      <c r="P111" s="158">
        <f t="shared" si="24"/>
        <v>0</v>
      </c>
      <c r="Q111" s="1"/>
    </row>
    <row r="112" spans="1:17">
      <c r="B112" s="9" t="str">
        <f t="shared" si="25"/>
        <v/>
      </c>
      <c r="C112" s="153">
        <f>IF(D93="","-",+C111+1)</f>
        <v>2025</v>
      </c>
      <c r="D112" s="154">
        <f>IF(F111+SUM(E$99:E111)=D$92,F111,D$92-SUM(E$99:E111))</f>
        <v>2934891.4543189355</v>
      </c>
      <c r="E112" s="160">
        <f>IF(+J96&lt;F111,J96,D112)</f>
        <v>99407.380952380947</v>
      </c>
      <c r="F112" s="159">
        <f t="shared" si="26"/>
        <v>2835484.0733665545</v>
      </c>
      <c r="G112" s="159">
        <f t="shared" si="27"/>
        <v>2885187.7638427448</v>
      </c>
      <c r="H112" s="163">
        <f t="shared" si="28"/>
        <v>449875.34431834775</v>
      </c>
      <c r="I112" s="253">
        <f t="shared" si="29"/>
        <v>449875.34431834775</v>
      </c>
      <c r="J112" s="158">
        <f t="shared" si="21"/>
        <v>0</v>
      </c>
      <c r="K112" s="158"/>
      <c r="L112" s="334"/>
      <c r="M112" s="158">
        <f t="shared" si="22"/>
        <v>0</v>
      </c>
      <c r="N112" s="334"/>
      <c r="O112" s="158">
        <f t="shared" si="23"/>
        <v>0</v>
      </c>
      <c r="P112" s="158">
        <f t="shared" si="24"/>
        <v>0</v>
      </c>
      <c r="Q112" s="1"/>
    </row>
    <row r="113" spans="2:17">
      <c r="B113" s="9" t="str">
        <f t="shared" si="25"/>
        <v/>
      </c>
      <c r="C113" s="153">
        <f>IF(D93="","-",+C112+1)</f>
        <v>2026</v>
      </c>
      <c r="D113" s="154">
        <f>IF(F112+SUM(E$99:E112)=D$92,F112,D$92-SUM(E$99:E112))</f>
        <v>2835484.0733665545</v>
      </c>
      <c r="E113" s="160">
        <f>IF(+J96&lt;F112,J96,D113)</f>
        <v>99407.380952380947</v>
      </c>
      <c r="F113" s="159">
        <f t="shared" si="26"/>
        <v>2736076.6924141734</v>
      </c>
      <c r="G113" s="159">
        <f t="shared" si="27"/>
        <v>2785780.3828903642</v>
      </c>
      <c r="H113" s="163">
        <f t="shared" si="28"/>
        <v>437800.18484951515</v>
      </c>
      <c r="I113" s="253">
        <f t="shared" si="29"/>
        <v>437800.18484951515</v>
      </c>
      <c r="J113" s="158">
        <f t="shared" si="21"/>
        <v>0</v>
      </c>
      <c r="K113" s="158"/>
      <c r="L113" s="334"/>
      <c r="M113" s="158">
        <f t="shared" si="22"/>
        <v>0</v>
      </c>
      <c r="N113" s="334"/>
      <c r="O113" s="158">
        <f t="shared" si="23"/>
        <v>0</v>
      </c>
      <c r="P113" s="158">
        <f t="shared" si="24"/>
        <v>0</v>
      </c>
      <c r="Q113" s="1"/>
    </row>
    <row r="114" spans="2:17">
      <c r="B114" s="9" t="str">
        <f t="shared" si="25"/>
        <v/>
      </c>
      <c r="C114" s="153">
        <f>IF(D93="","-",+C113+1)</f>
        <v>2027</v>
      </c>
      <c r="D114" s="154">
        <f>IF(F113+SUM(E$99:E113)=D$92,F113,D$92-SUM(E$99:E113))</f>
        <v>2736076.6924141734</v>
      </c>
      <c r="E114" s="160">
        <f>IF(+J96&lt;F113,J96,D114)</f>
        <v>99407.380952380947</v>
      </c>
      <c r="F114" s="159">
        <f t="shared" si="26"/>
        <v>2636669.3114617923</v>
      </c>
      <c r="G114" s="159">
        <f t="shared" si="27"/>
        <v>2686373.0019379826</v>
      </c>
      <c r="H114" s="163">
        <f t="shared" si="28"/>
        <v>425725.02538068243</v>
      </c>
      <c r="I114" s="253">
        <f t="shared" si="29"/>
        <v>425725.02538068243</v>
      </c>
      <c r="J114" s="158">
        <f t="shared" si="21"/>
        <v>0</v>
      </c>
      <c r="K114" s="158"/>
      <c r="L114" s="334"/>
      <c r="M114" s="158">
        <f t="shared" si="22"/>
        <v>0</v>
      </c>
      <c r="N114" s="334"/>
      <c r="O114" s="158">
        <f t="shared" si="23"/>
        <v>0</v>
      </c>
      <c r="P114" s="158">
        <f t="shared" si="24"/>
        <v>0</v>
      </c>
      <c r="Q114" s="1"/>
    </row>
    <row r="115" spans="2:17">
      <c r="B115" s="9" t="str">
        <f t="shared" si="25"/>
        <v/>
      </c>
      <c r="C115" s="153">
        <f>IF(D93="","-",+C114+1)</f>
        <v>2028</v>
      </c>
      <c r="D115" s="154">
        <f>IF(F114+SUM(E$99:E114)=D$92,F114,D$92-SUM(E$99:E114))</f>
        <v>2636669.3114617923</v>
      </c>
      <c r="E115" s="160">
        <f>IF(+J96&lt;F114,J96,D115)</f>
        <v>99407.380952380947</v>
      </c>
      <c r="F115" s="159">
        <f t="shared" si="26"/>
        <v>2537261.9305094113</v>
      </c>
      <c r="G115" s="159">
        <f t="shared" si="27"/>
        <v>2586965.620985602</v>
      </c>
      <c r="H115" s="163">
        <f t="shared" si="28"/>
        <v>413649.86591184989</v>
      </c>
      <c r="I115" s="253">
        <f t="shared" si="29"/>
        <v>413649.86591184989</v>
      </c>
      <c r="J115" s="158">
        <f t="shared" si="21"/>
        <v>0</v>
      </c>
      <c r="K115" s="158"/>
      <c r="L115" s="334"/>
      <c r="M115" s="158">
        <f t="shared" si="22"/>
        <v>0</v>
      </c>
      <c r="N115" s="334"/>
      <c r="O115" s="158">
        <f t="shared" si="23"/>
        <v>0</v>
      </c>
      <c r="P115" s="158">
        <f t="shared" si="24"/>
        <v>0</v>
      </c>
      <c r="Q115" s="1"/>
    </row>
    <row r="116" spans="2:17">
      <c r="B116" s="9" t="str">
        <f t="shared" si="25"/>
        <v/>
      </c>
      <c r="C116" s="153">
        <f>IF(D93="","-",+C115+1)</f>
        <v>2029</v>
      </c>
      <c r="D116" s="154">
        <f>IF(F115+SUM(E$99:E115)=D$92,F115,D$92-SUM(E$99:E115))</f>
        <v>2537261.9305094113</v>
      </c>
      <c r="E116" s="160">
        <f>IF(+J96&lt;F115,J96,D116)</f>
        <v>99407.380952380947</v>
      </c>
      <c r="F116" s="159">
        <f t="shared" si="26"/>
        <v>2437854.5495570302</v>
      </c>
      <c r="G116" s="159">
        <f t="shared" si="27"/>
        <v>2487558.2400332205</v>
      </c>
      <c r="H116" s="163">
        <f t="shared" si="28"/>
        <v>401574.70644301717</v>
      </c>
      <c r="I116" s="253">
        <f t="shared" si="29"/>
        <v>401574.70644301717</v>
      </c>
      <c r="J116" s="158">
        <f t="shared" si="21"/>
        <v>0</v>
      </c>
      <c r="K116" s="158"/>
      <c r="L116" s="334"/>
      <c r="M116" s="158">
        <f t="shared" si="22"/>
        <v>0</v>
      </c>
      <c r="N116" s="334"/>
      <c r="O116" s="158">
        <f t="shared" si="23"/>
        <v>0</v>
      </c>
      <c r="P116" s="158">
        <f t="shared" si="24"/>
        <v>0</v>
      </c>
      <c r="Q116" s="1"/>
    </row>
    <row r="117" spans="2:17">
      <c r="B117" s="9" t="str">
        <f t="shared" si="25"/>
        <v/>
      </c>
      <c r="C117" s="153">
        <f>IF(D93="","-",+C116+1)</f>
        <v>2030</v>
      </c>
      <c r="D117" s="154">
        <f>IF(F116+SUM(E$99:E116)=D$92,F116,D$92-SUM(E$99:E116))</f>
        <v>2437854.5495570302</v>
      </c>
      <c r="E117" s="160">
        <f>IF(+J96&lt;F116,J96,D117)</f>
        <v>99407.380952380947</v>
      </c>
      <c r="F117" s="159">
        <f t="shared" si="26"/>
        <v>2338447.1686046491</v>
      </c>
      <c r="G117" s="159">
        <f t="shared" si="27"/>
        <v>2388150.8590808399</v>
      </c>
      <c r="H117" s="163">
        <f t="shared" si="28"/>
        <v>389499.54697418457</v>
      </c>
      <c r="I117" s="253">
        <f t="shared" si="29"/>
        <v>389499.54697418457</v>
      </c>
      <c r="J117" s="158">
        <f t="shared" si="21"/>
        <v>0</v>
      </c>
      <c r="K117" s="158"/>
      <c r="L117" s="334"/>
      <c r="M117" s="158">
        <f t="shared" si="22"/>
        <v>0</v>
      </c>
      <c r="N117" s="334"/>
      <c r="O117" s="158">
        <f t="shared" si="23"/>
        <v>0</v>
      </c>
      <c r="P117" s="158">
        <f t="shared" si="24"/>
        <v>0</v>
      </c>
      <c r="Q117" s="1"/>
    </row>
    <row r="118" spans="2:17">
      <c r="B118" s="9" t="str">
        <f t="shared" si="25"/>
        <v/>
      </c>
      <c r="C118" s="153">
        <f>IF(D93="","-",+C117+1)</f>
        <v>2031</v>
      </c>
      <c r="D118" s="154">
        <f>IF(F117+SUM(E$99:E117)=D$92,F117,D$92-SUM(E$99:E117))</f>
        <v>2338447.1686046491</v>
      </c>
      <c r="E118" s="160">
        <f>IF(+J96&lt;F117,J96,D118)</f>
        <v>99407.380952380947</v>
      </c>
      <c r="F118" s="159">
        <f t="shared" si="26"/>
        <v>2239039.7876522681</v>
      </c>
      <c r="G118" s="159">
        <f t="shared" si="27"/>
        <v>2288743.4781284584</v>
      </c>
      <c r="H118" s="163">
        <f t="shared" si="28"/>
        <v>377424.38750535192</v>
      </c>
      <c r="I118" s="253">
        <f t="shared" si="29"/>
        <v>377424.38750535192</v>
      </c>
      <c r="J118" s="158">
        <f t="shared" si="21"/>
        <v>0</v>
      </c>
      <c r="K118" s="158"/>
      <c r="L118" s="334"/>
      <c r="M118" s="158">
        <f t="shared" si="22"/>
        <v>0</v>
      </c>
      <c r="N118" s="334"/>
      <c r="O118" s="158">
        <f t="shared" si="23"/>
        <v>0</v>
      </c>
      <c r="P118" s="158">
        <f t="shared" si="24"/>
        <v>0</v>
      </c>
      <c r="Q118" s="1"/>
    </row>
    <row r="119" spans="2:17">
      <c r="B119" s="9" t="str">
        <f t="shared" si="25"/>
        <v/>
      </c>
      <c r="C119" s="153">
        <f>IF(D93="","-",+C118+1)</f>
        <v>2032</v>
      </c>
      <c r="D119" s="154">
        <f>IF(F118+SUM(E$99:E118)=D$92,F118,D$92-SUM(E$99:E118))</f>
        <v>2239039.7876522681</v>
      </c>
      <c r="E119" s="160">
        <f>IF(+J96&lt;F118,J96,D119)</f>
        <v>99407.380952380947</v>
      </c>
      <c r="F119" s="159">
        <f t="shared" si="26"/>
        <v>2139632.406699887</v>
      </c>
      <c r="G119" s="159">
        <f t="shared" si="27"/>
        <v>2189336.0971760778</v>
      </c>
      <c r="H119" s="163">
        <f t="shared" si="28"/>
        <v>365349.22803651931</v>
      </c>
      <c r="I119" s="253">
        <f t="shared" si="29"/>
        <v>365349.22803651931</v>
      </c>
      <c r="J119" s="158">
        <f t="shared" si="21"/>
        <v>0</v>
      </c>
      <c r="K119" s="158"/>
      <c r="L119" s="334"/>
      <c r="M119" s="158">
        <f t="shared" si="22"/>
        <v>0</v>
      </c>
      <c r="N119" s="334"/>
      <c r="O119" s="158">
        <f t="shared" si="23"/>
        <v>0</v>
      </c>
      <c r="P119" s="158">
        <f t="shared" si="24"/>
        <v>0</v>
      </c>
      <c r="Q119" s="1"/>
    </row>
    <row r="120" spans="2:17">
      <c r="B120" s="9" t="str">
        <f t="shared" si="25"/>
        <v/>
      </c>
      <c r="C120" s="153">
        <f>IF(D93="","-",+C119+1)</f>
        <v>2033</v>
      </c>
      <c r="D120" s="154">
        <f>IF(F119+SUM(E$99:E119)=D$92,F119,D$92-SUM(E$99:E119))</f>
        <v>2139632.406699887</v>
      </c>
      <c r="E120" s="160">
        <f>IF(+J96&lt;F119,J96,D120)</f>
        <v>99407.380952380947</v>
      </c>
      <c r="F120" s="159">
        <f t="shared" si="26"/>
        <v>2040225.0257475059</v>
      </c>
      <c r="G120" s="159">
        <f t="shared" si="27"/>
        <v>2089928.7162236965</v>
      </c>
      <c r="H120" s="163">
        <f t="shared" si="28"/>
        <v>353274.0685676866</v>
      </c>
      <c r="I120" s="253">
        <f t="shared" si="29"/>
        <v>353274.0685676866</v>
      </c>
      <c r="J120" s="158">
        <f t="shared" si="21"/>
        <v>0</v>
      </c>
      <c r="K120" s="158"/>
      <c r="L120" s="334"/>
      <c r="M120" s="158">
        <f t="shared" si="22"/>
        <v>0</v>
      </c>
      <c r="N120" s="334"/>
      <c r="O120" s="158">
        <f t="shared" si="23"/>
        <v>0</v>
      </c>
      <c r="P120" s="158">
        <f t="shared" si="24"/>
        <v>0</v>
      </c>
      <c r="Q120" s="1"/>
    </row>
    <row r="121" spans="2:17">
      <c r="B121" s="9" t="str">
        <f t="shared" si="25"/>
        <v/>
      </c>
      <c r="C121" s="153">
        <f>IF(D93="","-",+C120+1)</f>
        <v>2034</v>
      </c>
      <c r="D121" s="154">
        <f>IF(F120+SUM(E$99:E120)=D$92,F120,D$92-SUM(E$99:E120))</f>
        <v>2040225.0257475059</v>
      </c>
      <c r="E121" s="160">
        <f>IF(+J96&lt;F120,J96,D121)</f>
        <v>99407.380952380947</v>
      </c>
      <c r="F121" s="159">
        <f t="shared" si="26"/>
        <v>1940817.6447951249</v>
      </c>
      <c r="G121" s="159">
        <f t="shared" si="27"/>
        <v>1990521.3352713154</v>
      </c>
      <c r="H121" s="163">
        <f t="shared" si="28"/>
        <v>341198.909098854</v>
      </c>
      <c r="I121" s="253">
        <f t="shared" si="29"/>
        <v>341198.909098854</v>
      </c>
      <c r="J121" s="158">
        <f t="shared" si="21"/>
        <v>0</v>
      </c>
      <c r="K121" s="158"/>
      <c r="L121" s="334"/>
      <c r="M121" s="158">
        <f t="shared" si="22"/>
        <v>0</v>
      </c>
      <c r="N121" s="334"/>
      <c r="O121" s="158">
        <f t="shared" si="23"/>
        <v>0</v>
      </c>
      <c r="P121" s="158">
        <f t="shared" si="24"/>
        <v>0</v>
      </c>
      <c r="Q121" s="1"/>
    </row>
    <row r="122" spans="2:17">
      <c r="B122" s="9" t="str">
        <f t="shared" si="25"/>
        <v/>
      </c>
      <c r="C122" s="153">
        <f>IF(D93="","-",+C121+1)</f>
        <v>2035</v>
      </c>
      <c r="D122" s="154">
        <f>IF(F121+SUM(E$99:E121)=D$92,F121,D$92-SUM(E$99:E121))</f>
        <v>1940817.6447951249</v>
      </c>
      <c r="E122" s="160">
        <f>IF(+J96&lt;F121,J96,D122)</f>
        <v>99407.380952380947</v>
      </c>
      <c r="F122" s="159">
        <f t="shared" si="26"/>
        <v>1841410.2638427438</v>
      </c>
      <c r="G122" s="159">
        <f t="shared" si="27"/>
        <v>1891113.9543189344</v>
      </c>
      <c r="H122" s="163">
        <f t="shared" si="28"/>
        <v>329123.7496300214</v>
      </c>
      <c r="I122" s="253">
        <f t="shared" si="29"/>
        <v>329123.7496300214</v>
      </c>
      <c r="J122" s="158">
        <f t="shared" si="21"/>
        <v>0</v>
      </c>
      <c r="K122" s="158"/>
      <c r="L122" s="334"/>
      <c r="M122" s="158">
        <f t="shared" si="22"/>
        <v>0</v>
      </c>
      <c r="N122" s="334"/>
      <c r="O122" s="158">
        <f t="shared" si="23"/>
        <v>0</v>
      </c>
      <c r="P122" s="158">
        <f t="shared" si="24"/>
        <v>0</v>
      </c>
      <c r="Q122" s="1"/>
    </row>
    <row r="123" spans="2:17">
      <c r="B123" s="9" t="str">
        <f t="shared" si="25"/>
        <v/>
      </c>
      <c r="C123" s="153">
        <f>IF(D93="","-",+C122+1)</f>
        <v>2036</v>
      </c>
      <c r="D123" s="154">
        <f>IF(F122+SUM(E$99:E122)=D$92,F122,D$92-SUM(E$99:E122))</f>
        <v>1841410.2638427438</v>
      </c>
      <c r="E123" s="160">
        <f>IF(+J96&lt;F122,J96,D123)</f>
        <v>99407.380952380947</v>
      </c>
      <c r="F123" s="159">
        <f t="shared" si="26"/>
        <v>1742002.8828903628</v>
      </c>
      <c r="G123" s="159">
        <f t="shared" si="27"/>
        <v>1791706.5733665533</v>
      </c>
      <c r="H123" s="163">
        <f t="shared" si="28"/>
        <v>317048.59016118874</v>
      </c>
      <c r="I123" s="253">
        <f t="shared" si="29"/>
        <v>317048.59016118874</v>
      </c>
      <c r="J123" s="158">
        <f t="shared" si="21"/>
        <v>0</v>
      </c>
      <c r="K123" s="158"/>
      <c r="L123" s="334"/>
      <c r="M123" s="158">
        <f t="shared" si="22"/>
        <v>0</v>
      </c>
      <c r="N123" s="334"/>
      <c r="O123" s="158">
        <f t="shared" si="23"/>
        <v>0</v>
      </c>
      <c r="P123" s="158">
        <f t="shared" si="24"/>
        <v>0</v>
      </c>
      <c r="Q123" s="1"/>
    </row>
    <row r="124" spans="2:17">
      <c r="B124" s="9" t="str">
        <f t="shared" si="25"/>
        <v/>
      </c>
      <c r="C124" s="153">
        <f>IF(D93="","-",+C123+1)</f>
        <v>2037</v>
      </c>
      <c r="D124" s="154">
        <f>IF(F123+SUM(E$99:E123)=D$92,F123,D$92-SUM(E$99:E123))</f>
        <v>1742002.8828903628</v>
      </c>
      <c r="E124" s="160">
        <f>IF(+J96&lt;F123,J96,D124)</f>
        <v>99407.380952380947</v>
      </c>
      <c r="F124" s="159">
        <f t="shared" si="26"/>
        <v>1642595.5019379817</v>
      </c>
      <c r="G124" s="159">
        <f t="shared" si="27"/>
        <v>1692299.1924141722</v>
      </c>
      <c r="H124" s="163">
        <f t="shared" si="28"/>
        <v>304973.43069235608</v>
      </c>
      <c r="I124" s="253">
        <f t="shared" si="29"/>
        <v>304973.43069235608</v>
      </c>
      <c r="J124" s="158">
        <f t="shared" si="21"/>
        <v>0</v>
      </c>
      <c r="K124" s="158"/>
      <c r="L124" s="334"/>
      <c r="M124" s="158">
        <f t="shared" si="22"/>
        <v>0</v>
      </c>
      <c r="N124" s="334"/>
      <c r="O124" s="158">
        <f t="shared" si="23"/>
        <v>0</v>
      </c>
      <c r="P124" s="158">
        <f t="shared" si="24"/>
        <v>0</v>
      </c>
      <c r="Q124" s="1"/>
    </row>
    <row r="125" spans="2:17">
      <c r="B125" s="9" t="str">
        <f t="shared" si="25"/>
        <v/>
      </c>
      <c r="C125" s="153">
        <f>IF(D93="","-",+C124+1)</f>
        <v>2038</v>
      </c>
      <c r="D125" s="154">
        <f>IF(F124+SUM(E$99:E124)=D$92,F124,D$92-SUM(E$99:E124))</f>
        <v>1642595.5019379817</v>
      </c>
      <c r="E125" s="160">
        <f>IF(+J96&lt;F124,J96,D125)</f>
        <v>99407.380952380947</v>
      </c>
      <c r="F125" s="159">
        <f t="shared" si="26"/>
        <v>1543188.1209856006</v>
      </c>
      <c r="G125" s="159">
        <f t="shared" si="27"/>
        <v>1592891.8114617912</v>
      </c>
      <c r="H125" s="163">
        <f t="shared" si="28"/>
        <v>292898.27122352342</v>
      </c>
      <c r="I125" s="253">
        <f t="shared" si="29"/>
        <v>292898.27122352342</v>
      </c>
      <c r="J125" s="158">
        <f t="shared" si="21"/>
        <v>0</v>
      </c>
      <c r="K125" s="158"/>
      <c r="L125" s="334"/>
      <c r="M125" s="158">
        <f t="shared" si="22"/>
        <v>0</v>
      </c>
      <c r="N125" s="334"/>
      <c r="O125" s="158">
        <f t="shared" si="23"/>
        <v>0</v>
      </c>
      <c r="P125" s="158">
        <f t="shared" si="24"/>
        <v>0</v>
      </c>
      <c r="Q125" s="1"/>
    </row>
    <row r="126" spans="2:17">
      <c r="B126" s="9" t="str">
        <f t="shared" si="25"/>
        <v/>
      </c>
      <c r="C126" s="153">
        <f>IF(D93="","-",+C125+1)</f>
        <v>2039</v>
      </c>
      <c r="D126" s="154">
        <f>IF(F125+SUM(E$99:E125)=D$92,F125,D$92-SUM(E$99:E125))</f>
        <v>1543188.1209856006</v>
      </c>
      <c r="E126" s="160">
        <f>IF(+J96&lt;F125,J96,D126)</f>
        <v>99407.380952380947</v>
      </c>
      <c r="F126" s="159">
        <f t="shared" si="26"/>
        <v>1443780.7400332196</v>
      </c>
      <c r="G126" s="159">
        <f t="shared" si="27"/>
        <v>1493484.4305094101</v>
      </c>
      <c r="H126" s="163">
        <f t="shared" si="28"/>
        <v>280823.11175469076</v>
      </c>
      <c r="I126" s="253">
        <f t="shared" si="29"/>
        <v>280823.11175469076</v>
      </c>
      <c r="J126" s="158">
        <f t="shared" si="21"/>
        <v>0</v>
      </c>
      <c r="K126" s="158"/>
      <c r="L126" s="334"/>
      <c r="M126" s="158">
        <f t="shared" si="22"/>
        <v>0</v>
      </c>
      <c r="N126" s="334"/>
      <c r="O126" s="158">
        <f t="shared" si="23"/>
        <v>0</v>
      </c>
      <c r="P126" s="158">
        <f t="shared" si="24"/>
        <v>0</v>
      </c>
      <c r="Q126" s="1"/>
    </row>
    <row r="127" spans="2:17">
      <c r="B127" s="9" t="str">
        <f t="shared" si="25"/>
        <v/>
      </c>
      <c r="C127" s="153">
        <f>IF(D93="","-",+C126+1)</f>
        <v>2040</v>
      </c>
      <c r="D127" s="154">
        <f>IF(F126+SUM(E$99:E126)=D$92,F126,D$92-SUM(E$99:E126))</f>
        <v>1443780.7400332196</v>
      </c>
      <c r="E127" s="160">
        <f>IF(+J96&lt;F126,J96,D127)</f>
        <v>99407.380952380947</v>
      </c>
      <c r="F127" s="159">
        <f t="shared" si="26"/>
        <v>1344373.3590808385</v>
      </c>
      <c r="G127" s="159">
        <f t="shared" si="27"/>
        <v>1394077.049557029</v>
      </c>
      <c r="H127" s="163">
        <f t="shared" si="28"/>
        <v>268747.95228585816</v>
      </c>
      <c r="I127" s="253">
        <f t="shared" si="29"/>
        <v>268747.95228585816</v>
      </c>
      <c r="J127" s="158">
        <f t="shared" si="21"/>
        <v>0</v>
      </c>
      <c r="K127" s="158"/>
      <c r="L127" s="334"/>
      <c r="M127" s="158">
        <f t="shared" si="22"/>
        <v>0</v>
      </c>
      <c r="N127" s="334"/>
      <c r="O127" s="158">
        <f t="shared" si="23"/>
        <v>0</v>
      </c>
      <c r="P127" s="158">
        <f t="shared" si="24"/>
        <v>0</v>
      </c>
      <c r="Q127" s="1"/>
    </row>
    <row r="128" spans="2:17">
      <c r="B128" s="9" t="str">
        <f t="shared" si="25"/>
        <v/>
      </c>
      <c r="C128" s="153">
        <f>IF(D93="","-",+C127+1)</f>
        <v>2041</v>
      </c>
      <c r="D128" s="154">
        <f>IF(F127+SUM(E$99:E127)=D$92,F127,D$92-SUM(E$99:E127))</f>
        <v>1344373.3590808385</v>
      </c>
      <c r="E128" s="160">
        <f>IF(+J96&lt;F127,J96,D128)</f>
        <v>99407.380952380947</v>
      </c>
      <c r="F128" s="159">
        <f t="shared" si="26"/>
        <v>1244965.9781284574</v>
      </c>
      <c r="G128" s="159">
        <f t="shared" si="27"/>
        <v>1294669.668604648</v>
      </c>
      <c r="H128" s="163">
        <f t="shared" si="28"/>
        <v>256672.7928170255</v>
      </c>
      <c r="I128" s="253">
        <f t="shared" si="29"/>
        <v>256672.7928170255</v>
      </c>
      <c r="J128" s="158">
        <f t="shared" si="21"/>
        <v>0</v>
      </c>
      <c r="K128" s="158"/>
      <c r="L128" s="334"/>
      <c r="M128" s="158">
        <f t="shared" si="22"/>
        <v>0</v>
      </c>
      <c r="N128" s="334"/>
      <c r="O128" s="158">
        <f t="shared" si="23"/>
        <v>0</v>
      </c>
      <c r="P128" s="158">
        <f t="shared" si="24"/>
        <v>0</v>
      </c>
      <c r="Q128" s="1"/>
    </row>
    <row r="129" spans="2:17">
      <c r="B129" s="9" t="str">
        <f t="shared" si="25"/>
        <v/>
      </c>
      <c r="C129" s="153">
        <f>IF(D93="","-",+C128+1)</f>
        <v>2042</v>
      </c>
      <c r="D129" s="154">
        <f>IF(F128+SUM(E$99:E128)=D$92,F128,D$92-SUM(E$99:E128))</f>
        <v>1244965.9781284574</v>
      </c>
      <c r="E129" s="160">
        <f>IF(+J96&lt;F128,J96,D129)</f>
        <v>99407.380952380947</v>
      </c>
      <c r="F129" s="159">
        <f t="shared" si="26"/>
        <v>1145558.5971760764</v>
      </c>
      <c r="G129" s="159">
        <f t="shared" si="27"/>
        <v>1195262.2876522669</v>
      </c>
      <c r="H129" s="163">
        <f t="shared" si="28"/>
        <v>244597.63334819287</v>
      </c>
      <c r="I129" s="253">
        <f t="shared" si="29"/>
        <v>244597.63334819287</v>
      </c>
      <c r="J129" s="158">
        <f t="shared" si="21"/>
        <v>0</v>
      </c>
      <c r="K129" s="158"/>
      <c r="L129" s="334"/>
      <c r="M129" s="158">
        <f t="shared" si="22"/>
        <v>0</v>
      </c>
      <c r="N129" s="334"/>
      <c r="O129" s="158">
        <f t="shared" si="23"/>
        <v>0</v>
      </c>
      <c r="P129" s="158">
        <f t="shared" si="24"/>
        <v>0</v>
      </c>
      <c r="Q129" s="1"/>
    </row>
    <row r="130" spans="2:17">
      <c r="B130" s="9" t="str">
        <f t="shared" si="25"/>
        <v/>
      </c>
      <c r="C130" s="153">
        <f>IF(D93="","-",+C129+1)</f>
        <v>2043</v>
      </c>
      <c r="D130" s="154">
        <f>IF(F129+SUM(E$99:E129)=D$92,F129,D$92-SUM(E$99:E129))</f>
        <v>1145558.5971760764</v>
      </c>
      <c r="E130" s="160">
        <f>IF(+J96&lt;F129,J96,D130)</f>
        <v>99407.380952380947</v>
      </c>
      <c r="F130" s="159">
        <f t="shared" si="26"/>
        <v>1046151.2162236954</v>
      </c>
      <c r="G130" s="159">
        <f t="shared" si="27"/>
        <v>1095854.9066998858</v>
      </c>
      <c r="H130" s="163">
        <f t="shared" si="28"/>
        <v>232522.47387936024</v>
      </c>
      <c r="I130" s="253">
        <f t="shared" si="29"/>
        <v>232522.47387936024</v>
      </c>
      <c r="J130" s="158">
        <f t="shared" si="21"/>
        <v>0</v>
      </c>
      <c r="K130" s="158"/>
      <c r="L130" s="334"/>
      <c r="M130" s="158">
        <f t="shared" si="22"/>
        <v>0</v>
      </c>
      <c r="N130" s="334"/>
      <c r="O130" s="158">
        <f t="shared" si="23"/>
        <v>0</v>
      </c>
      <c r="P130" s="158">
        <f t="shared" si="24"/>
        <v>0</v>
      </c>
      <c r="Q130" s="1"/>
    </row>
    <row r="131" spans="2:17">
      <c r="B131" s="9" t="str">
        <f t="shared" si="25"/>
        <v/>
      </c>
      <c r="C131" s="153">
        <f>IF(D93="","-",+C130+1)</f>
        <v>2044</v>
      </c>
      <c r="D131" s="154">
        <f>IF(F130+SUM(E$99:E130)=D$92,F130,D$92-SUM(E$99:E130))</f>
        <v>1046151.2162236954</v>
      </c>
      <c r="E131" s="160">
        <f>IF(+J96&lt;F130,J96,D131)</f>
        <v>99407.380952380947</v>
      </c>
      <c r="F131" s="159">
        <f t="shared" si="26"/>
        <v>946743.83527131448</v>
      </c>
      <c r="G131" s="159">
        <f t="shared" ref="G131:G154" si="30">+(F131+D131)/2</f>
        <v>996447.52574750502</v>
      </c>
      <c r="H131" s="163">
        <f t="shared" ref="H131:H154" si="31">+J$94*G131+E131</f>
        <v>220447.31441052764</v>
      </c>
      <c r="I131" s="253">
        <f t="shared" ref="I131:I154" si="32">+J$95*G131+E131</f>
        <v>220447.31441052764</v>
      </c>
      <c r="J131" s="158">
        <f t="shared" ref="J131:J154" si="33">+I131-H131</f>
        <v>0</v>
      </c>
      <c r="K131" s="158"/>
      <c r="L131" s="334"/>
      <c r="M131" s="158">
        <f t="shared" ref="M131:M154" si="34">IF(L131&lt;&gt;0,+H131-L131,0)</f>
        <v>0</v>
      </c>
      <c r="N131" s="334"/>
      <c r="O131" s="158">
        <f t="shared" ref="O131:O154" si="35">IF(N131&lt;&gt;0,+I131-N131,0)</f>
        <v>0</v>
      </c>
      <c r="P131" s="158">
        <f t="shared" ref="P131:P154" si="36">+O131-M131</f>
        <v>0</v>
      </c>
      <c r="Q131" s="1"/>
    </row>
    <row r="132" spans="2:17">
      <c r="B132" s="9" t="str">
        <f t="shared" ref="B132:B154" si="37">IF(D132=F131,"","IU")</f>
        <v/>
      </c>
      <c r="C132" s="153">
        <f>IF(D93="","-",+C131+1)</f>
        <v>2045</v>
      </c>
      <c r="D132" s="154">
        <f>IF(F131+SUM(E$99:E131)=D$92,F131,D$92-SUM(E$99:E131))</f>
        <v>946743.83527131448</v>
      </c>
      <c r="E132" s="160">
        <f>IF(+J96&lt;F131,J96,D132)</f>
        <v>99407.380952380947</v>
      </c>
      <c r="F132" s="159">
        <f t="shared" ref="F132:F154" si="38">+D132-E132</f>
        <v>847336.45431893354</v>
      </c>
      <c r="G132" s="159">
        <f t="shared" si="30"/>
        <v>897040.14479512395</v>
      </c>
      <c r="H132" s="163">
        <f t="shared" si="31"/>
        <v>208372.15494169499</v>
      </c>
      <c r="I132" s="253">
        <f t="shared" si="32"/>
        <v>208372.15494169499</v>
      </c>
      <c r="J132" s="158">
        <f t="shared" si="33"/>
        <v>0</v>
      </c>
      <c r="K132" s="158"/>
      <c r="L132" s="334"/>
      <c r="M132" s="158">
        <f t="shared" si="34"/>
        <v>0</v>
      </c>
      <c r="N132" s="334"/>
      <c r="O132" s="158">
        <f t="shared" si="35"/>
        <v>0</v>
      </c>
      <c r="P132" s="158">
        <f t="shared" si="36"/>
        <v>0</v>
      </c>
      <c r="Q132" s="1"/>
    </row>
    <row r="133" spans="2:17">
      <c r="B133" s="9" t="str">
        <f t="shared" si="37"/>
        <v/>
      </c>
      <c r="C133" s="153">
        <f>IF(D93="","-",+C132+1)</f>
        <v>2046</v>
      </c>
      <c r="D133" s="154">
        <f>IF(F132+SUM(E$99:E132)=D$92,F132,D$92-SUM(E$99:E132))</f>
        <v>847336.45431893354</v>
      </c>
      <c r="E133" s="160">
        <f>IF(+J96&lt;F132,J96,D133)</f>
        <v>99407.380952380947</v>
      </c>
      <c r="F133" s="159">
        <f t="shared" si="38"/>
        <v>747929.07336655259</v>
      </c>
      <c r="G133" s="159">
        <f t="shared" si="30"/>
        <v>797632.76384274312</v>
      </c>
      <c r="H133" s="163">
        <f t="shared" si="31"/>
        <v>196296.99547286239</v>
      </c>
      <c r="I133" s="253">
        <f t="shared" si="32"/>
        <v>196296.99547286239</v>
      </c>
      <c r="J133" s="158">
        <f t="shared" si="33"/>
        <v>0</v>
      </c>
      <c r="K133" s="158"/>
      <c r="L133" s="334"/>
      <c r="M133" s="158">
        <f t="shared" si="34"/>
        <v>0</v>
      </c>
      <c r="N133" s="334"/>
      <c r="O133" s="158">
        <f t="shared" si="35"/>
        <v>0</v>
      </c>
      <c r="P133" s="158">
        <f t="shared" si="36"/>
        <v>0</v>
      </c>
      <c r="Q133" s="1"/>
    </row>
    <row r="134" spans="2:17">
      <c r="B134" s="9" t="str">
        <f t="shared" si="37"/>
        <v/>
      </c>
      <c r="C134" s="153">
        <f>IF(D93="","-",+C133+1)</f>
        <v>2047</v>
      </c>
      <c r="D134" s="154">
        <f>IF(F133+SUM(E$99:E133)=D$92,F133,D$92-SUM(E$99:E133))</f>
        <v>747929.07336655259</v>
      </c>
      <c r="E134" s="160">
        <f>IF(+J96&lt;F133,J96,D134)</f>
        <v>99407.380952380947</v>
      </c>
      <c r="F134" s="159">
        <f t="shared" si="38"/>
        <v>648521.69241417164</v>
      </c>
      <c r="G134" s="159">
        <f t="shared" si="30"/>
        <v>698225.38289036206</v>
      </c>
      <c r="H134" s="163">
        <f t="shared" si="31"/>
        <v>184221.83600402973</v>
      </c>
      <c r="I134" s="253">
        <f t="shared" si="32"/>
        <v>184221.83600402973</v>
      </c>
      <c r="J134" s="158">
        <f t="shared" si="33"/>
        <v>0</v>
      </c>
      <c r="K134" s="158"/>
      <c r="L134" s="334"/>
      <c r="M134" s="158">
        <f t="shared" si="34"/>
        <v>0</v>
      </c>
      <c r="N134" s="334"/>
      <c r="O134" s="158">
        <f t="shared" si="35"/>
        <v>0</v>
      </c>
      <c r="P134" s="158">
        <f t="shared" si="36"/>
        <v>0</v>
      </c>
      <c r="Q134" s="1"/>
    </row>
    <row r="135" spans="2:17">
      <c r="B135" s="9" t="str">
        <f t="shared" si="37"/>
        <v/>
      </c>
      <c r="C135" s="153">
        <f>IF(D93="","-",+C134+1)</f>
        <v>2048</v>
      </c>
      <c r="D135" s="154">
        <f>IF(F134+SUM(E$99:E134)=D$92,F134,D$92-SUM(E$99:E134))</f>
        <v>648521.69241417164</v>
      </c>
      <c r="E135" s="160">
        <f>IF(+J96&lt;F134,J96,D135)</f>
        <v>99407.380952380947</v>
      </c>
      <c r="F135" s="159">
        <f t="shared" si="38"/>
        <v>549114.3114617907</v>
      </c>
      <c r="G135" s="159">
        <f t="shared" si="30"/>
        <v>598818.00193798123</v>
      </c>
      <c r="H135" s="163">
        <f t="shared" si="31"/>
        <v>172146.67653519713</v>
      </c>
      <c r="I135" s="253">
        <f t="shared" si="32"/>
        <v>172146.67653519713</v>
      </c>
      <c r="J135" s="158">
        <f t="shared" si="33"/>
        <v>0</v>
      </c>
      <c r="K135" s="158"/>
      <c r="L135" s="334"/>
      <c r="M135" s="158">
        <f t="shared" si="34"/>
        <v>0</v>
      </c>
      <c r="N135" s="334"/>
      <c r="O135" s="158">
        <f t="shared" si="35"/>
        <v>0</v>
      </c>
      <c r="P135" s="158">
        <f t="shared" si="36"/>
        <v>0</v>
      </c>
      <c r="Q135" s="1"/>
    </row>
    <row r="136" spans="2:17">
      <c r="B136" s="9" t="str">
        <f t="shared" si="37"/>
        <v/>
      </c>
      <c r="C136" s="153">
        <f>IF(D93="","-",+C135+1)</f>
        <v>2049</v>
      </c>
      <c r="D136" s="154">
        <f>IF(F135+SUM(E$99:E135)=D$92,F135,D$92-SUM(E$99:E135))</f>
        <v>549114.3114617907</v>
      </c>
      <c r="E136" s="160">
        <f>IF(+J96&lt;F135,J96,D136)</f>
        <v>99407.380952380947</v>
      </c>
      <c r="F136" s="159">
        <f t="shared" si="38"/>
        <v>449706.93050940975</v>
      </c>
      <c r="G136" s="159">
        <f t="shared" si="30"/>
        <v>499410.62098560022</v>
      </c>
      <c r="H136" s="163">
        <f t="shared" si="31"/>
        <v>160071.51706636447</v>
      </c>
      <c r="I136" s="253">
        <f t="shared" si="32"/>
        <v>160071.51706636447</v>
      </c>
      <c r="J136" s="158">
        <f t="shared" si="33"/>
        <v>0</v>
      </c>
      <c r="K136" s="158"/>
      <c r="L136" s="334"/>
      <c r="M136" s="158">
        <f t="shared" si="34"/>
        <v>0</v>
      </c>
      <c r="N136" s="334"/>
      <c r="O136" s="158">
        <f t="shared" si="35"/>
        <v>0</v>
      </c>
      <c r="P136" s="158">
        <f t="shared" si="36"/>
        <v>0</v>
      </c>
      <c r="Q136" s="1"/>
    </row>
    <row r="137" spans="2:17">
      <c r="B137" s="9" t="str">
        <f t="shared" si="37"/>
        <v/>
      </c>
      <c r="C137" s="153">
        <f>IF(D93="","-",+C136+1)</f>
        <v>2050</v>
      </c>
      <c r="D137" s="154">
        <f>IF(F136+SUM(E$99:E136)=D$92,F136,D$92-SUM(E$99:E136))</f>
        <v>449706.93050940975</v>
      </c>
      <c r="E137" s="160">
        <f>IF(+J96&lt;F136,J96,D137)</f>
        <v>99407.380952380947</v>
      </c>
      <c r="F137" s="159">
        <f t="shared" si="38"/>
        <v>350299.5495570288</v>
      </c>
      <c r="G137" s="159">
        <f t="shared" si="30"/>
        <v>400003.24003321928</v>
      </c>
      <c r="H137" s="163">
        <f t="shared" si="31"/>
        <v>147996.35759753187</v>
      </c>
      <c r="I137" s="253">
        <f t="shared" si="32"/>
        <v>147996.35759753187</v>
      </c>
      <c r="J137" s="158">
        <f t="shared" si="33"/>
        <v>0</v>
      </c>
      <c r="K137" s="158"/>
      <c r="L137" s="334"/>
      <c r="M137" s="158">
        <f t="shared" si="34"/>
        <v>0</v>
      </c>
      <c r="N137" s="334"/>
      <c r="O137" s="158">
        <f t="shared" si="35"/>
        <v>0</v>
      </c>
      <c r="P137" s="158">
        <f t="shared" si="36"/>
        <v>0</v>
      </c>
      <c r="Q137" s="1"/>
    </row>
    <row r="138" spans="2:17">
      <c r="B138" s="9" t="str">
        <f t="shared" si="37"/>
        <v/>
      </c>
      <c r="C138" s="153">
        <f>IF(D93="","-",+C137+1)</f>
        <v>2051</v>
      </c>
      <c r="D138" s="154">
        <f>IF(F137+SUM(E$99:E137)=D$92,F137,D$92-SUM(E$99:E137))</f>
        <v>350299.5495570288</v>
      </c>
      <c r="E138" s="160">
        <f>IF(+J96&lt;F137,J96,D138)</f>
        <v>99407.380952380947</v>
      </c>
      <c r="F138" s="159">
        <f t="shared" si="38"/>
        <v>250892.16860464786</v>
      </c>
      <c r="G138" s="159">
        <f t="shared" si="30"/>
        <v>300595.85908083833</v>
      </c>
      <c r="H138" s="163">
        <f t="shared" si="31"/>
        <v>135921.19812869924</v>
      </c>
      <c r="I138" s="253">
        <f t="shared" si="32"/>
        <v>135921.19812869924</v>
      </c>
      <c r="J138" s="158">
        <f t="shared" si="33"/>
        <v>0</v>
      </c>
      <c r="K138" s="158"/>
      <c r="L138" s="334"/>
      <c r="M138" s="158">
        <f t="shared" si="34"/>
        <v>0</v>
      </c>
      <c r="N138" s="334"/>
      <c r="O138" s="158">
        <f t="shared" si="35"/>
        <v>0</v>
      </c>
      <c r="P138" s="158">
        <f t="shared" si="36"/>
        <v>0</v>
      </c>
      <c r="Q138" s="1"/>
    </row>
    <row r="139" spans="2:17">
      <c r="B139" s="9" t="str">
        <f t="shared" si="37"/>
        <v/>
      </c>
      <c r="C139" s="153">
        <f>IF(D93="","-",+C138+1)</f>
        <v>2052</v>
      </c>
      <c r="D139" s="154">
        <f>IF(F138+SUM(E$99:E138)=D$92,F138,D$92-SUM(E$99:E138))</f>
        <v>250892.16860464786</v>
      </c>
      <c r="E139" s="160">
        <f>IF(+J96&lt;F138,J96,D139)</f>
        <v>99407.380952380947</v>
      </c>
      <c r="F139" s="159">
        <f t="shared" si="38"/>
        <v>151484.78765226691</v>
      </c>
      <c r="G139" s="159">
        <f t="shared" si="30"/>
        <v>201188.47812845738</v>
      </c>
      <c r="H139" s="163">
        <f t="shared" si="31"/>
        <v>123846.03865986661</v>
      </c>
      <c r="I139" s="253">
        <f t="shared" si="32"/>
        <v>123846.03865986661</v>
      </c>
      <c r="J139" s="158">
        <f t="shared" si="33"/>
        <v>0</v>
      </c>
      <c r="K139" s="158"/>
      <c r="L139" s="334"/>
      <c r="M139" s="158">
        <f t="shared" si="34"/>
        <v>0</v>
      </c>
      <c r="N139" s="334"/>
      <c r="O139" s="158">
        <f t="shared" si="35"/>
        <v>0</v>
      </c>
      <c r="P139" s="158">
        <f t="shared" si="36"/>
        <v>0</v>
      </c>
      <c r="Q139" s="1"/>
    </row>
    <row r="140" spans="2:17">
      <c r="B140" s="9" t="str">
        <f t="shared" si="37"/>
        <v/>
      </c>
      <c r="C140" s="153">
        <f>IF(D93="","-",+C139+1)</f>
        <v>2053</v>
      </c>
      <c r="D140" s="154">
        <f>IF(F139+SUM(E$99:E139)=D$92,F139,D$92-SUM(E$99:E139))</f>
        <v>151484.78765226691</v>
      </c>
      <c r="E140" s="160">
        <f>IF(+J96&lt;F139,J96,D140)</f>
        <v>99407.380952380947</v>
      </c>
      <c r="F140" s="159">
        <f t="shared" si="38"/>
        <v>52077.406699885963</v>
      </c>
      <c r="G140" s="159">
        <f t="shared" si="30"/>
        <v>101781.09717607644</v>
      </c>
      <c r="H140" s="163">
        <f t="shared" si="31"/>
        <v>111770.87919103398</v>
      </c>
      <c r="I140" s="253">
        <f t="shared" si="32"/>
        <v>111770.87919103398</v>
      </c>
      <c r="J140" s="158">
        <f t="shared" si="33"/>
        <v>0</v>
      </c>
      <c r="K140" s="158"/>
      <c r="L140" s="334"/>
      <c r="M140" s="158">
        <f t="shared" si="34"/>
        <v>0</v>
      </c>
      <c r="N140" s="334"/>
      <c r="O140" s="158">
        <f t="shared" si="35"/>
        <v>0</v>
      </c>
      <c r="P140" s="158">
        <f t="shared" si="36"/>
        <v>0</v>
      </c>
      <c r="Q140" s="1"/>
    </row>
    <row r="141" spans="2:17">
      <c r="B141" s="9" t="str">
        <f t="shared" si="37"/>
        <v/>
      </c>
      <c r="C141" s="153">
        <f>IF(D93="","-",+C140+1)</f>
        <v>2054</v>
      </c>
      <c r="D141" s="154">
        <f>IF(F140+SUM(E$99:E140)=D$92,F140,D$92-SUM(E$99:E140))</f>
        <v>52077.406699885963</v>
      </c>
      <c r="E141" s="160">
        <f>IF(+J96&lt;F140,J96,D141)</f>
        <v>52077.406699885963</v>
      </c>
      <c r="F141" s="159">
        <f t="shared" si="38"/>
        <v>0</v>
      </c>
      <c r="G141" s="159">
        <f t="shared" si="30"/>
        <v>26038.703349942982</v>
      </c>
      <c r="H141" s="163">
        <f t="shared" si="31"/>
        <v>55240.365952004322</v>
      </c>
      <c r="I141" s="253">
        <f t="shared" si="32"/>
        <v>55240.365952004322</v>
      </c>
      <c r="J141" s="158">
        <f t="shared" si="33"/>
        <v>0</v>
      </c>
      <c r="K141" s="158"/>
      <c r="L141" s="334"/>
      <c r="M141" s="158">
        <f t="shared" si="34"/>
        <v>0</v>
      </c>
      <c r="N141" s="334"/>
      <c r="O141" s="158">
        <f t="shared" si="35"/>
        <v>0</v>
      </c>
      <c r="P141" s="158">
        <f t="shared" si="36"/>
        <v>0</v>
      </c>
      <c r="Q141" s="1"/>
    </row>
    <row r="142" spans="2:17">
      <c r="B142" s="9" t="str">
        <f t="shared" si="37"/>
        <v/>
      </c>
      <c r="C142" s="153">
        <f>IF(D93="","-",+C141+1)</f>
        <v>2055</v>
      </c>
      <c r="D142" s="154">
        <f>IF(F141+SUM(E$99:E141)=D$92,F141,D$92-SUM(E$99:E141))</f>
        <v>0</v>
      </c>
      <c r="E142" s="160">
        <f>IF(+J96&lt;F141,J96,D142)</f>
        <v>0</v>
      </c>
      <c r="F142" s="159">
        <f t="shared" si="38"/>
        <v>0</v>
      </c>
      <c r="G142" s="159">
        <f t="shared" si="30"/>
        <v>0</v>
      </c>
      <c r="H142" s="163">
        <f t="shared" si="31"/>
        <v>0</v>
      </c>
      <c r="I142" s="253">
        <f t="shared" si="32"/>
        <v>0</v>
      </c>
      <c r="J142" s="158">
        <f t="shared" si="33"/>
        <v>0</v>
      </c>
      <c r="K142" s="158"/>
      <c r="L142" s="334"/>
      <c r="M142" s="158">
        <f t="shared" si="34"/>
        <v>0</v>
      </c>
      <c r="N142" s="334"/>
      <c r="O142" s="158">
        <f t="shared" si="35"/>
        <v>0</v>
      </c>
      <c r="P142" s="158">
        <f t="shared" si="36"/>
        <v>0</v>
      </c>
      <c r="Q142" s="1"/>
    </row>
    <row r="143" spans="2:17">
      <c r="B143" s="9" t="str">
        <f t="shared" si="37"/>
        <v/>
      </c>
      <c r="C143" s="153">
        <f>IF(D93="","-",+C142+1)</f>
        <v>2056</v>
      </c>
      <c r="D143" s="154">
        <f>IF(F142+SUM(E$99:E142)=D$92,F142,D$92-SUM(E$99:E142))</f>
        <v>0</v>
      </c>
      <c r="E143" s="160">
        <f>IF(+J96&lt;F142,J96,D143)</f>
        <v>0</v>
      </c>
      <c r="F143" s="159">
        <f t="shared" si="38"/>
        <v>0</v>
      </c>
      <c r="G143" s="159">
        <f t="shared" si="30"/>
        <v>0</v>
      </c>
      <c r="H143" s="163">
        <f t="shared" si="31"/>
        <v>0</v>
      </c>
      <c r="I143" s="253">
        <f t="shared" si="32"/>
        <v>0</v>
      </c>
      <c r="J143" s="158">
        <f t="shared" si="33"/>
        <v>0</v>
      </c>
      <c r="K143" s="158"/>
      <c r="L143" s="334"/>
      <c r="M143" s="158">
        <f t="shared" si="34"/>
        <v>0</v>
      </c>
      <c r="N143" s="334"/>
      <c r="O143" s="158">
        <f t="shared" si="35"/>
        <v>0</v>
      </c>
      <c r="P143" s="158">
        <f t="shared" si="36"/>
        <v>0</v>
      </c>
      <c r="Q143" s="1"/>
    </row>
    <row r="144" spans="2:17">
      <c r="B144" s="9" t="str">
        <f t="shared" si="37"/>
        <v/>
      </c>
      <c r="C144" s="153">
        <f>IF(D93="","-",+C143+1)</f>
        <v>2057</v>
      </c>
      <c r="D144" s="154">
        <f>IF(F143+SUM(E$99:E143)=D$92,F143,D$92-SUM(E$99:E143))</f>
        <v>0</v>
      </c>
      <c r="E144" s="160">
        <f>IF(+J96&lt;F143,J96,D144)</f>
        <v>0</v>
      </c>
      <c r="F144" s="159">
        <f t="shared" si="38"/>
        <v>0</v>
      </c>
      <c r="G144" s="159">
        <f t="shared" si="30"/>
        <v>0</v>
      </c>
      <c r="H144" s="163">
        <f t="shared" si="31"/>
        <v>0</v>
      </c>
      <c r="I144" s="253">
        <f t="shared" si="32"/>
        <v>0</v>
      </c>
      <c r="J144" s="158">
        <f t="shared" si="33"/>
        <v>0</v>
      </c>
      <c r="K144" s="158"/>
      <c r="L144" s="334"/>
      <c r="M144" s="158">
        <f t="shared" si="34"/>
        <v>0</v>
      </c>
      <c r="N144" s="334"/>
      <c r="O144" s="158">
        <f t="shared" si="35"/>
        <v>0</v>
      </c>
      <c r="P144" s="158">
        <f t="shared" si="36"/>
        <v>0</v>
      </c>
      <c r="Q144" s="1"/>
    </row>
    <row r="145" spans="2:17">
      <c r="B145" s="9" t="str">
        <f t="shared" si="37"/>
        <v/>
      </c>
      <c r="C145" s="153">
        <f>IF(D93="","-",+C144+1)</f>
        <v>2058</v>
      </c>
      <c r="D145" s="154">
        <f>IF(F144+SUM(E$99:E144)=D$92,F144,D$92-SUM(E$99:E144))</f>
        <v>0</v>
      </c>
      <c r="E145" s="160">
        <f>IF(+J96&lt;F144,J96,D145)</f>
        <v>0</v>
      </c>
      <c r="F145" s="159">
        <f t="shared" si="38"/>
        <v>0</v>
      </c>
      <c r="G145" s="159">
        <f t="shared" si="30"/>
        <v>0</v>
      </c>
      <c r="H145" s="163">
        <f t="shared" si="31"/>
        <v>0</v>
      </c>
      <c r="I145" s="253">
        <f t="shared" si="32"/>
        <v>0</v>
      </c>
      <c r="J145" s="158">
        <f t="shared" si="33"/>
        <v>0</v>
      </c>
      <c r="K145" s="158"/>
      <c r="L145" s="334"/>
      <c r="M145" s="158">
        <f t="shared" si="34"/>
        <v>0</v>
      </c>
      <c r="N145" s="334"/>
      <c r="O145" s="158">
        <f t="shared" si="35"/>
        <v>0</v>
      </c>
      <c r="P145" s="158">
        <f t="shared" si="36"/>
        <v>0</v>
      </c>
      <c r="Q145" s="1"/>
    </row>
    <row r="146" spans="2:17">
      <c r="B146" s="9" t="str">
        <f t="shared" si="37"/>
        <v/>
      </c>
      <c r="C146" s="153">
        <f>IF(D93="","-",+C145+1)</f>
        <v>2059</v>
      </c>
      <c r="D146" s="154">
        <f>IF(F145+SUM(E$99:E145)=D$92,F145,D$92-SUM(E$99:E145))</f>
        <v>0</v>
      </c>
      <c r="E146" s="160">
        <f>IF(+J96&lt;F145,J96,D146)</f>
        <v>0</v>
      </c>
      <c r="F146" s="159">
        <f t="shared" si="38"/>
        <v>0</v>
      </c>
      <c r="G146" s="159">
        <f t="shared" si="30"/>
        <v>0</v>
      </c>
      <c r="H146" s="163">
        <f t="shared" si="31"/>
        <v>0</v>
      </c>
      <c r="I146" s="253">
        <f t="shared" si="32"/>
        <v>0</v>
      </c>
      <c r="J146" s="158">
        <f t="shared" si="33"/>
        <v>0</v>
      </c>
      <c r="K146" s="158"/>
      <c r="L146" s="334"/>
      <c r="M146" s="158">
        <f t="shared" si="34"/>
        <v>0</v>
      </c>
      <c r="N146" s="334"/>
      <c r="O146" s="158">
        <f t="shared" si="35"/>
        <v>0</v>
      </c>
      <c r="P146" s="158">
        <f t="shared" si="36"/>
        <v>0</v>
      </c>
      <c r="Q146" s="1"/>
    </row>
    <row r="147" spans="2:17">
      <c r="B147" s="9" t="str">
        <f t="shared" si="37"/>
        <v/>
      </c>
      <c r="C147" s="153">
        <f>IF(D93="","-",+C146+1)</f>
        <v>2060</v>
      </c>
      <c r="D147" s="154">
        <f>IF(F146+SUM(E$99:E146)=D$92,F146,D$92-SUM(E$99:E146))</f>
        <v>0</v>
      </c>
      <c r="E147" s="160">
        <f>IF(+J96&lt;F146,J96,D147)</f>
        <v>0</v>
      </c>
      <c r="F147" s="159">
        <f t="shared" si="38"/>
        <v>0</v>
      </c>
      <c r="G147" s="159">
        <f t="shared" si="30"/>
        <v>0</v>
      </c>
      <c r="H147" s="163">
        <f t="shared" si="31"/>
        <v>0</v>
      </c>
      <c r="I147" s="253">
        <f t="shared" si="32"/>
        <v>0</v>
      </c>
      <c r="J147" s="158">
        <f t="shared" si="33"/>
        <v>0</v>
      </c>
      <c r="K147" s="158"/>
      <c r="L147" s="334"/>
      <c r="M147" s="158">
        <f t="shared" si="34"/>
        <v>0</v>
      </c>
      <c r="N147" s="334"/>
      <c r="O147" s="158">
        <f t="shared" si="35"/>
        <v>0</v>
      </c>
      <c r="P147" s="158">
        <f t="shared" si="36"/>
        <v>0</v>
      </c>
      <c r="Q147" s="1"/>
    </row>
    <row r="148" spans="2:17">
      <c r="B148" s="9" t="str">
        <f t="shared" si="37"/>
        <v/>
      </c>
      <c r="C148" s="153">
        <f>IF(D93="","-",+C147+1)</f>
        <v>2061</v>
      </c>
      <c r="D148" s="154">
        <f>IF(F147+SUM(E$99:E147)=D$92,F147,D$92-SUM(E$99:E147))</f>
        <v>0</v>
      </c>
      <c r="E148" s="160">
        <f>IF(+J96&lt;F147,J96,D148)</f>
        <v>0</v>
      </c>
      <c r="F148" s="159">
        <f t="shared" si="38"/>
        <v>0</v>
      </c>
      <c r="G148" s="159">
        <f t="shared" si="30"/>
        <v>0</v>
      </c>
      <c r="H148" s="163">
        <f t="shared" si="31"/>
        <v>0</v>
      </c>
      <c r="I148" s="253">
        <f t="shared" si="32"/>
        <v>0</v>
      </c>
      <c r="J148" s="158">
        <f t="shared" si="33"/>
        <v>0</v>
      </c>
      <c r="K148" s="158"/>
      <c r="L148" s="334"/>
      <c r="M148" s="158">
        <f t="shared" si="34"/>
        <v>0</v>
      </c>
      <c r="N148" s="334"/>
      <c r="O148" s="158">
        <f t="shared" si="35"/>
        <v>0</v>
      </c>
      <c r="P148" s="158">
        <f t="shared" si="36"/>
        <v>0</v>
      </c>
      <c r="Q148" s="1"/>
    </row>
    <row r="149" spans="2:17">
      <c r="B149" s="9" t="str">
        <f t="shared" si="37"/>
        <v/>
      </c>
      <c r="C149" s="153">
        <f>IF(D93="","-",+C148+1)</f>
        <v>2062</v>
      </c>
      <c r="D149" s="154">
        <f>IF(F148+SUM(E$99:E148)=D$92,F148,D$92-SUM(E$99:E148))</f>
        <v>0</v>
      </c>
      <c r="E149" s="160">
        <f>IF(+J96&lt;F148,J96,D149)</f>
        <v>0</v>
      </c>
      <c r="F149" s="159">
        <f t="shared" si="38"/>
        <v>0</v>
      </c>
      <c r="G149" s="159">
        <f t="shared" si="30"/>
        <v>0</v>
      </c>
      <c r="H149" s="163">
        <f t="shared" si="31"/>
        <v>0</v>
      </c>
      <c r="I149" s="253">
        <f t="shared" si="32"/>
        <v>0</v>
      </c>
      <c r="J149" s="158">
        <f t="shared" si="33"/>
        <v>0</v>
      </c>
      <c r="K149" s="158"/>
      <c r="L149" s="334"/>
      <c r="M149" s="158">
        <f t="shared" si="34"/>
        <v>0</v>
      </c>
      <c r="N149" s="334"/>
      <c r="O149" s="158">
        <f t="shared" si="35"/>
        <v>0</v>
      </c>
      <c r="P149" s="158">
        <f t="shared" si="36"/>
        <v>0</v>
      </c>
      <c r="Q149" s="1"/>
    </row>
    <row r="150" spans="2:17">
      <c r="B150" s="9" t="str">
        <f t="shared" si="37"/>
        <v/>
      </c>
      <c r="C150" s="153">
        <f>IF(D93="","-",+C149+1)</f>
        <v>2063</v>
      </c>
      <c r="D150" s="154">
        <f>IF(F149+SUM(E$99:E149)=D$92,F149,D$92-SUM(E$99:E149))</f>
        <v>0</v>
      </c>
      <c r="E150" s="160">
        <f>IF(+J96&lt;F149,J96,D150)</f>
        <v>0</v>
      </c>
      <c r="F150" s="159">
        <f t="shared" si="38"/>
        <v>0</v>
      </c>
      <c r="G150" s="159">
        <f t="shared" si="30"/>
        <v>0</v>
      </c>
      <c r="H150" s="163">
        <f t="shared" si="31"/>
        <v>0</v>
      </c>
      <c r="I150" s="253">
        <f t="shared" si="32"/>
        <v>0</v>
      </c>
      <c r="J150" s="158">
        <f t="shared" si="33"/>
        <v>0</v>
      </c>
      <c r="K150" s="158"/>
      <c r="L150" s="334"/>
      <c r="M150" s="158">
        <f t="shared" si="34"/>
        <v>0</v>
      </c>
      <c r="N150" s="334"/>
      <c r="O150" s="158">
        <f t="shared" si="35"/>
        <v>0</v>
      </c>
      <c r="P150" s="158">
        <f t="shared" si="36"/>
        <v>0</v>
      </c>
      <c r="Q150" s="1"/>
    </row>
    <row r="151" spans="2:17">
      <c r="B151" s="9" t="str">
        <f t="shared" si="37"/>
        <v/>
      </c>
      <c r="C151" s="153">
        <f>IF(D93="","-",+C150+1)</f>
        <v>2064</v>
      </c>
      <c r="D151" s="154">
        <f>IF(F150+SUM(E$99:E150)=D$92,F150,D$92-SUM(E$99:E150))</f>
        <v>0</v>
      </c>
      <c r="E151" s="160">
        <f>IF(+J96&lt;F150,J96,D151)</f>
        <v>0</v>
      </c>
      <c r="F151" s="159">
        <f t="shared" si="38"/>
        <v>0</v>
      </c>
      <c r="G151" s="159">
        <f t="shared" si="30"/>
        <v>0</v>
      </c>
      <c r="H151" s="163">
        <f t="shared" si="31"/>
        <v>0</v>
      </c>
      <c r="I151" s="253">
        <f t="shared" si="32"/>
        <v>0</v>
      </c>
      <c r="J151" s="158">
        <f t="shared" si="33"/>
        <v>0</v>
      </c>
      <c r="K151" s="158"/>
      <c r="L151" s="334"/>
      <c r="M151" s="158">
        <f t="shared" si="34"/>
        <v>0</v>
      </c>
      <c r="N151" s="334"/>
      <c r="O151" s="158">
        <f t="shared" si="35"/>
        <v>0</v>
      </c>
      <c r="P151" s="158">
        <f t="shared" si="36"/>
        <v>0</v>
      </c>
      <c r="Q151" s="1"/>
    </row>
    <row r="152" spans="2:17">
      <c r="B152" s="9" t="str">
        <f t="shared" si="37"/>
        <v/>
      </c>
      <c r="C152" s="153">
        <f>IF(D93="","-",+C151+1)</f>
        <v>2065</v>
      </c>
      <c r="D152" s="154">
        <f>IF(F151+SUM(E$99:E151)=D$92,F151,D$92-SUM(E$99:E151))</f>
        <v>0</v>
      </c>
      <c r="E152" s="160">
        <f>IF(+J96&lt;F151,J96,D152)</f>
        <v>0</v>
      </c>
      <c r="F152" s="159">
        <f t="shared" si="38"/>
        <v>0</v>
      </c>
      <c r="G152" s="159">
        <f t="shared" si="30"/>
        <v>0</v>
      </c>
      <c r="H152" s="163">
        <f t="shared" si="31"/>
        <v>0</v>
      </c>
      <c r="I152" s="253">
        <f t="shared" si="32"/>
        <v>0</v>
      </c>
      <c r="J152" s="158">
        <f t="shared" si="33"/>
        <v>0</v>
      </c>
      <c r="K152" s="158"/>
      <c r="L152" s="334"/>
      <c r="M152" s="158">
        <f t="shared" si="34"/>
        <v>0</v>
      </c>
      <c r="N152" s="334"/>
      <c r="O152" s="158">
        <f t="shared" si="35"/>
        <v>0</v>
      </c>
      <c r="P152" s="158">
        <f t="shared" si="36"/>
        <v>0</v>
      </c>
      <c r="Q152" s="1"/>
    </row>
    <row r="153" spans="2:17">
      <c r="B153" s="9" t="str">
        <f t="shared" si="37"/>
        <v/>
      </c>
      <c r="C153" s="153">
        <f>IF(D93="","-",+C152+1)</f>
        <v>2066</v>
      </c>
      <c r="D153" s="154">
        <f>IF(F152+SUM(E$99:E152)=D$92,F152,D$92-SUM(E$99:E152))</f>
        <v>0</v>
      </c>
      <c r="E153" s="160">
        <f>IF(+J96&lt;F152,J96,D153)</f>
        <v>0</v>
      </c>
      <c r="F153" s="159">
        <f t="shared" si="38"/>
        <v>0</v>
      </c>
      <c r="G153" s="159">
        <f t="shared" si="30"/>
        <v>0</v>
      </c>
      <c r="H153" s="163">
        <f t="shared" si="31"/>
        <v>0</v>
      </c>
      <c r="I153" s="253">
        <f t="shared" si="32"/>
        <v>0</v>
      </c>
      <c r="J153" s="158">
        <f t="shared" si="33"/>
        <v>0</v>
      </c>
      <c r="K153" s="158"/>
      <c r="L153" s="334"/>
      <c r="M153" s="158">
        <f t="shared" si="34"/>
        <v>0</v>
      </c>
      <c r="N153" s="334"/>
      <c r="O153" s="158">
        <f t="shared" si="35"/>
        <v>0</v>
      </c>
      <c r="P153" s="158">
        <f t="shared" si="36"/>
        <v>0</v>
      </c>
      <c r="Q153" s="1"/>
    </row>
    <row r="154" spans="2:17" ht="13.5" thickBot="1">
      <c r="B154" s="9" t="str">
        <f t="shared" si="37"/>
        <v/>
      </c>
      <c r="C154" s="164">
        <f>IF(D93="","-",+C153+1)</f>
        <v>2067</v>
      </c>
      <c r="D154" s="215">
        <f>IF(F153+SUM(E$99:E153)=D$92,F153,D$92-SUM(E$99:E153))</f>
        <v>0</v>
      </c>
      <c r="E154" s="166">
        <f>IF(+J96&lt;F153,J96,D154)</f>
        <v>0</v>
      </c>
      <c r="F154" s="165">
        <f t="shared" si="38"/>
        <v>0</v>
      </c>
      <c r="G154" s="165">
        <f t="shared" si="30"/>
        <v>0</v>
      </c>
      <c r="H154" s="167">
        <f t="shared" si="31"/>
        <v>0</v>
      </c>
      <c r="I154" s="254">
        <f t="shared" si="32"/>
        <v>0</v>
      </c>
      <c r="J154" s="169">
        <f t="shared" si="33"/>
        <v>0</v>
      </c>
      <c r="K154" s="158"/>
      <c r="L154" s="335"/>
      <c r="M154" s="169">
        <f t="shared" si="34"/>
        <v>0</v>
      </c>
      <c r="N154" s="335"/>
      <c r="O154" s="169">
        <f t="shared" si="35"/>
        <v>0</v>
      </c>
      <c r="P154" s="169">
        <f t="shared" si="36"/>
        <v>0</v>
      </c>
      <c r="Q154" s="1"/>
    </row>
    <row r="155" spans="2:17">
      <c r="C155" s="154" t="s">
        <v>73</v>
      </c>
      <c r="D155" s="111"/>
      <c r="E155" s="111">
        <f>SUM(E99:E154)</f>
        <v>4175110</v>
      </c>
      <c r="F155" s="111"/>
      <c r="G155" s="111"/>
      <c r="H155" s="111">
        <f>SUM(H99:H154)</f>
        <v>15063547.397472182</v>
      </c>
      <c r="I155" s="111">
        <f>SUM(I99:I154)</f>
        <v>15063547.397472182</v>
      </c>
      <c r="J155" s="111">
        <f>SUM(J99:J154)</f>
        <v>0</v>
      </c>
      <c r="K155" s="111"/>
      <c r="L155" s="111"/>
      <c r="M155" s="111"/>
      <c r="N155" s="111"/>
      <c r="O155" s="111"/>
      <c r="P155" s="1"/>
      <c r="Q155" s="1"/>
    </row>
    <row r="156" spans="2:17">
      <c r="D156" s="2"/>
      <c r="E156" s="1"/>
      <c r="F156" s="1"/>
      <c r="G156" s="1"/>
      <c r="H156" s="1"/>
      <c r="I156" s="3"/>
      <c r="J156" s="3"/>
      <c r="K156" s="111"/>
      <c r="L156" s="3"/>
      <c r="M156" s="3"/>
      <c r="N156" s="3"/>
      <c r="O156" s="3"/>
      <c r="P156" s="1"/>
      <c r="Q156" s="1"/>
    </row>
    <row r="157" spans="2:17">
      <c r="C157" s="216" t="s">
        <v>87</v>
      </c>
      <c r="D157" s="2"/>
      <c r="E157" s="1"/>
      <c r="F157" s="1"/>
      <c r="G157" s="1"/>
      <c r="H157" s="1"/>
      <c r="I157" s="3"/>
      <c r="J157" s="3"/>
      <c r="K157" s="111"/>
      <c r="L157" s="3"/>
      <c r="M157" s="3"/>
      <c r="N157" s="3"/>
      <c r="O157" s="3"/>
      <c r="P157" s="1"/>
      <c r="Q157" s="1"/>
    </row>
    <row r="158" spans="2:17">
      <c r="D158" s="2"/>
      <c r="E158" s="1"/>
      <c r="F158" s="1"/>
      <c r="G158" s="1"/>
      <c r="H158" s="1"/>
      <c r="I158" s="3"/>
      <c r="J158" s="3"/>
      <c r="K158" s="111"/>
      <c r="L158" s="3"/>
      <c r="M158" s="3"/>
      <c r="N158" s="3"/>
      <c r="O158" s="3"/>
      <c r="P158" s="1"/>
      <c r="Q158" s="1"/>
    </row>
    <row r="159" spans="2:17">
      <c r="C159" s="170" t="s">
        <v>92</v>
      </c>
      <c r="D159" s="154"/>
      <c r="E159" s="154"/>
      <c r="F159" s="154"/>
      <c r="G159" s="154"/>
      <c r="H159" s="111"/>
      <c r="I159" s="111"/>
      <c r="J159" s="171"/>
      <c r="K159" s="171"/>
      <c r="L159" s="171"/>
      <c r="M159" s="171"/>
      <c r="N159" s="171"/>
      <c r="O159" s="171"/>
      <c r="P159" s="1"/>
      <c r="Q159" s="1"/>
    </row>
    <row r="160" spans="2:17">
      <c r="C160" s="217" t="s">
        <v>74</v>
      </c>
      <c r="D160" s="154"/>
      <c r="E160" s="154"/>
      <c r="F160" s="154"/>
      <c r="G160" s="154"/>
      <c r="H160" s="111"/>
      <c r="I160" s="111"/>
      <c r="J160" s="171"/>
      <c r="K160" s="171"/>
      <c r="L160" s="171"/>
      <c r="M160" s="171"/>
      <c r="N160" s="171"/>
      <c r="O160" s="171"/>
      <c r="P160" s="1"/>
      <c r="Q160" s="1"/>
    </row>
    <row r="161" spans="3:17">
      <c r="C161" s="217" t="s">
        <v>75</v>
      </c>
      <c r="D161" s="154"/>
      <c r="E161" s="154"/>
      <c r="F161" s="154"/>
      <c r="G161" s="154"/>
      <c r="H161" s="111"/>
      <c r="I161" s="111"/>
      <c r="J161" s="171"/>
      <c r="K161" s="171"/>
      <c r="L161" s="171"/>
      <c r="M161" s="171"/>
      <c r="N161" s="171"/>
      <c r="O161" s="171"/>
      <c r="P161" s="1"/>
      <c r="Q161" s="1"/>
    </row>
    <row r="162" spans="3:17" ht="18">
      <c r="C162" s="217"/>
      <c r="D162" s="154"/>
      <c r="E162" s="154"/>
      <c r="F162" s="154"/>
      <c r="G162" s="154"/>
      <c r="H162" s="111"/>
      <c r="I162" s="111"/>
      <c r="J162" s="171"/>
      <c r="K162" s="171"/>
      <c r="L162" s="171"/>
      <c r="M162" s="171"/>
      <c r="N162" s="171"/>
      <c r="P162" s="237" t="s">
        <v>126</v>
      </c>
      <c r="Q162" s="1"/>
    </row>
  </sheetData>
  <phoneticPr fontId="0" type="noConversion"/>
  <conditionalFormatting sqref="C17:C72">
    <cfRule type="cellIs" dxfId="101" priority="1" stopIfTrue="1" operator="equal">
      <formula>$I$10</formula>
    </cfRule>
  </conditionalFormatting>
  <conditionalFormatting sqref="C99:C154">
    <cfRule type="cellIs" dxfId="100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4"/>
  <dimension ref="A1:Q162"/>
  <sheetViews>
    <sheetView view="pageBreakPreview" zoomScale="75" zoomScaleNormal="100" zoomScaleSheetLayoutView="75" workbookViewId="0">
      <selection activeCell="C19" sqref="C19"/>
    </sheetView>
  </sheetViews>
  <sheetFormatPr defaultRowHeight="12.75" customHeight="1"/>
  <cols>
    <col min="1" max="1" width="4.7109375" customWidth="1"/>
    <col min="2" max="2" width="6.7109375" customWidth="1"/>
    <col min="3" max="3" width="23.28515625" customWidth="1"/>
    <col min="4" max="8" width="17.7109375" customWidth="1"/>
    <col min="9" max="9" width="20.42578125" customWidth="1"/>
    <col min="10" max="10" width="16.42578125" customWidth="1"/>
    <col min="11" max="11" width="17.7109375" customWidth="1"/>
    <col min="12" max="12" width="16.140625" customWidth="1"/>
    <col min="13" max="13" width="17.7109375" customWidth="1"/>
    <col min="14" max="14" width="16.140625" customWidth="1"/>
    <col min="15" max="15" width="16.85546875" customWidth="1"/>
    <col min="16" max="16" width="24.42578125" customWidth="1"/>
    <col min="17" max="17" width="4.7109375" customWidth="1"/>
    <col min="23" max="23" width="9.140625" customWidth="1"/>
  </cols>
  <sheetData>
    <row r="1" spans="1:17" ht="20.25">
      <c r="A1" s="243" t="s">
        <v>128</v>
      </c>
      <c r="B1" s="1"/>
      <c r="C1" s="21"/>
      <c r="D1" s="2"/>
      <c r="E1" s="1"/>
      <c r="F1" s="99"/>
      <c r="G1" s="1"/>
      <c r="H1" s="3"/>
      <c r="J1" s="7"/>
      <c r="K1" s="109"/>
      <c r="L1" s="109"/>
      <c r="M1" s="109"/>
      <c r="P1" s="249" t="str">
        <f ca="1">"SWEPCO Project "&amp;RIGHT(MID(CELL("filename",$A$1),FIND("]",CELL("filename",$A$1))+1,256),2)&amp;" of "&amp;COUNT('S.001:S.xyz - blank'!$P$3)-1</f>
        <v>SWEPCO Project 33 of 73</v>
      </c>
      <c r="Q1" s="108"/>
    </row>
    <row r="2" spans="1:17" ht="18">
      <c r="B2" s="1"/>
      <c r="C2" s="1"/>
      <c r="D2" s="2"/>
      <c r="E2" s="1"/>
      <c r="F2" s="1"/>
      <c r="G2" s="1"/>
      <c r="H2" s="3"/>
      <c r="I2" s="1"/>
      <c r="J2" s="4"/>
      <c r="K2" s="1"/>
      <c r="L2" s="1"/>
      <c r="M2" s="1"/>
      <c r="N2" s="1"/>
      <c r="P2" s="237" t="s">
        <v>124</v>
      </c>
    </row>
    <row r="3" spans="1:17" ht="18.75">
      <c r="B3" s="5" t="s">
        <v>40</v>
      </c>
      <c r="C3" s="68" t="s">
        <v>41</v>
      </c>
      <c r="D3" s="2"/>
      <c r="E3" s="1"/>
      <c r="F3" s="1"/>
      <c r="G3" s="1"/>
      <c r="H3" s="3"/>
      <c r="I3" s="3"/>
      <c r="J3" s="111"/>
      <c r="K3" s="3"/>
      <c r="L3" s="3"/>
      <c r="M3" s="3"/>
      <c r="N3" s="3"/>
      <c r="O3" s="1" t="str">
        <f>RIGHT(N3,3)</f>
        <v/>
      </c>
      <c r="P3" s="239">
        <v>1</v>
      </c>
    </row>
    <row r="4" spans="1:17" ht="15.75" thickBot="1">
      <c r="C4" s="67"/>
      <c r="D4" s="2"/>
      <c r="E4" s="1"/>
      <c r="F4" s="1"/>
      <c r="G4" s="1"/>
      <c r="H4" s="3"/>
      <c r="I4" s="3"/>
      <c r="J4" s="111"/>
      <c r="K4" s="3"/>
      <c r="L4" s="3"/>
      <c r="M4" s="3"/>
      <c r="N4" s="3"/>
      <c r="O4" s="1"/>
      <c r="P4" s="1"/>
    </row>
    <row r="5" spans="1:17" ht="15">
      <c r="C5" s="112" t="s">
        <v>42</v>
      </c>
      <c r="D5" s="2"/>
      <c r="E5" s="1"/>
      <c r="F5" s="1"/>
      <c r="G5" s="113"/>
      <c r="H5" s="1" t="s">
        <v>43</v>
      </c>
      <c r="I5" s="1"/>
      <c r="J5" s="4"/>
      <c r="K5" s="268" t="s">
        <v>152</v>
      </c>
      <c r="L5" s="114"/>
      <c r="M5" s="115"/>
      <c r="N5" s="116">
        <f>VLOOKUP(I10,C17:I72,5)</f>
        <v>6492529.3826129548</v>
      </c>
      <c r="P5" s="1"/>
    </row>
    <row r="6" spans="1:17" ht="15.75">
      <c r="C6" s="8"/>
      <c r="D6" s="2"/>
      <c r="E6" s="1"/>
      <c r="F6" s="1"/>
      <c r="G6" s="1"/>
      <c r="H6" s="117"/>
      <c r="I6" s="117"/>
      <c r="J6" s="118"/>
      <c r="K6" s="269" t="s">
        <v>153</v>
      </c>
      <c r="L6" s="119"/>
      <c r="M6" s="4"/>
      <c r="N6" s="120">
        <f>VLOOKUP(I10,C17:I72,6)</f>
        <v>6492529.3826129548</v>
      </c>
      <c r="O6" s="1"/>
      <c r="P6" s="1"/>
    </row>
    <row r="7" spans="1:17" ht="13.5" thickBot="1">
      <c r="C7" s="121" t="s">
        <v>44</v>
      </c>
      <c r="D7" s="274" t="s">
        <v>276</v>
      </c>
      <c r="E7" s="1"/>
      <c r="F7" s="1"/>
      <c r="G7" s="170"/>
      <c r="H7" s="3"/>
      <c r="I7" s="3"/>
      <c r="J7" s="111"/>
      <c r="K7" s="122" t="s">
        <v>45</v>
      </c>
      <c r="L7" s="123"/>
      <c r="M7" s="123"/>
      <c r="N7" s="124">
        <f>+N6-N5</f>
        <v>0</v>
      </c>
      <c r="O7" s="1"/>
      <c r="P7" s="1"/>
    </row>
    <row r="8" spans="1:17" ht="13.5" thickBot="1">
      <c r="C8" s="125"/>
      <c r="D8" s="250" t="str">
        <f>IF(D10&lt;100000,"DOES NOT MEET SPP $100,000 MINIMUM INVESTMENT FOR REGIONAL BPU SHARING.","")</f>
        <v/>
      </c>
      <c r="E8" s="126"/>
      <c r="F8" s="126"/>
      <c r="G8" s="126"/>
      <c r="H8" s="126"/>
      <c r="I8" s="126"/>
      <c r="J8" s="101"/>
      <c r="K8" s="126"/>
      <c r="L8" s="126"/>
      <c r="M8" s="126"/>
      <c r="N8" s="126"/>
      <c r="O8" s="101"/>
      <c r="P8" s="21"/>
    </row>
    <row r="9" spans="1:17" ht="13.5" thickBot="1">
      <c r="A9" s="103"/>
      <c r="C9" s="127" t="s">
        <v>46</v>
      </c>
      <c r="D9" s="371" t="s">
        <v>275</v>
      </c>
      <c r="E9" s="401" t="s">
        <v>424</v>
      </c>
      <c r="F9" s="128"/>
      <c r="G9" s="128"/>
      <c r="H9" s="128"/>
      <c r="I9" s="129"/>
      <c r="J9" s="130"/>
      <c r="O9" s="131"/>
      <c r="P9" s="4"/>
    </row>
    <row r="10" spans="1:17">
      <c r="C10" s="132" t="s">
        <v>47</v>
      </c>
      <c r="D10" s="133">
        <v>59305788</v>
      </c>
      <c r="E10" s="61" t="s">
        <v>459</v>
      </c>
      <c r="F10" s="131"/>
      <c r="G10" s="134"/>
      <c r="H10" s="134"/>
      <c r="I10" s="135">
        <f>+SWE.WS.F.BPU.ATRR.Projected!K17</f>
        <v>2019</v>
      </c>
      <c r="J10" s="130"/>
      <c r="K10" s="111" t="s">
        <v>48</v>
      </c>
      <c r="O10" s="4"/>
      <c r="P10" s="4"/>
    </row>
    <row r="11" spans="1:17">
      <c r="C11" s="136" t="s">
        <v>49</v>
      </c>
      <c r="D11" s="137">
        <v>2012</v>
      </c>
      <c r="E11" s="136" t="s">
        <v>50</v>
      </c>
      <c r="F11" s="134"/>
      <c r="G11" s="7"/>
      <c r="H11" s="7"/>
      <c r="I11" s="138">
        <v>0</v>
      </c>
      <c r="J11" s="139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4"/>
      <c r="P11" s="4"/>
    </row>
    <row r="12" spans="1:17">
      <c r="C12" s="136" t="s">
        <v>51</v>
      </c>
      <c r="D12" s="133">
        <v>6</v>
      </c>
      <c r="E12" s="136" t="s">
        <v>52</v>
      </c>
      <c r="F12" s="134"/>
      <c r="G12" s="7"/>
      <c r="H12" s="7"/>
      <c r="I12" s="140">
        <f>SWE.WS.F.BPU.ATRR.Projected!$F$76</f>
        <v>9.9555672459071778E-2</v>
      </c>
      <c r="J12" s="141"/>
      <c r="K12" t="s">
        <v>53</v>
      </c>
      <c r="O12" s="4"/>
      <c r="P12" s="4"/>
    </row>
    <row r="13" spans="1:17">
      <c r="C13" s="136" t="s">
        <v>54</v>
      </c>
      <c r="D13" s="138">
        <f>+SWE.WS.F.BPU.ATRR.Projected!F$87</f>
        <v>43</v>
      </c>
      <c r="E13" s="136" t="s">
        <v>55</v>
      </c>
      <c r="F13" s="134"/>
      <c r="G13" s="7"/>
      <c r="H13" s="7"/>
      <c r="I13" s="140">
        <f>IF(G5="",I12,SWE.WS.F.BPU.ATRR.Projected!$F$75)</f>
        <v>9.9555672459071778E-2</v>
      </c>
      <c r="J13" s="141"/>
      <c r="K13" s="111" t="s">
        <v>56</v>
      </c>
      <c r="L13" s="58"/>
      <c r="M13" s="58"/>
      <c r="N13" s="58"/>
      <c r="O13" s="4"/>
      <c r="P13" s="4"/>
    </row>
    <row r="14" spans="1:17" ht="13.5" thickBot="1">
      <c r="C14" s="136" t="s">
        <v>57</v>
      </c>
      <c r="D14" s="137" t="s">
        <v>58</v>
      </c>
      <c r="E14" s="4" t="s">
        <v>59</v>
      </c>
      <c r="F14" s="134"/>
      <c r="G14" s="7"/>
      <c r="H14" s="7"/>
      <c r="I14" s="142">
        <f>IF(D10=0,0,D10/D13)</f>
        <v>1379204.3720930233</v>
      </c>
      <c r="J14" s="111"/>
      <c r="K14" s="111"/>
      <c r="L14" s="111"/>
      <c r="M14" s="111"/>
      <c r="N14" s="111"/>
      <c r="O14" s="4"/>
      <c r="P14" s="4"/>
    </row>
    <row r="15" spans="1:17" ht="38.25">
      <c r="C15" s="143" t="s">
        <v>47</v>
      </c>
      <c r="D15" s="144" t="s">
        <v>60</v>
      </c>
      <c r="E15" s="144" t="s">
        <v>61</v>
      </c>
      <c r="F15" s="144" t="s">
        <v>62</v>
      </c>
      <c r="G15" s="434" t="s">
        <v>378</v>
      </c>
      <c r="H15" s="435" t="s">
        <v>379</v>
      </c>
      <c r="I15" s="351" t="s">
        <v>249</v>
      </c>
      <c r="J15" s="145"/>
      <c r="K15" s="271" t="s">
        <v>219</v>
      </c>
      <c r="L15" s="146" t="s">
        <v>64</v>
      </c>
      <c r="M15" s="271" t="s">
        <v>219</v>
      </c>
      <c r="N15" s="146" t="s">
        <v>64</v>
      </c>
      <c r="O15" s="146" t="s">
        <v>65</v>
      </c>
      <c r="P15" s="4"/>
    </row>
    <row r="16" spans="1:17" ht="13.5" thickBot="1">
      <c r="C16" s="147" t="s">
        <v>66</v>
      </c>
      <c r="D16" s="147" t="s">
        <v>67</v>
      </c>
      <c r="E16" s="147" t="s">
        <v>68</v>
      </c>
      <c r="F16" s="147" t="s">
        <v>67</v>
      </c>
      <c r="G16" s="408" t="s">
        <v>69</v>
      </c>
      <c r="H16" s="148" t="s">
        <v>70</v>
      </c>
      <c r="I16" s="149" t="s">
        <v>89</v>
      </c>
      <c r="J16" s="150" t="s">
        <v>71</v>
      </c>
      <c r="K16" s="151" t="s">
        <v>72</v>
      </c>
      <c r="L16" s="151" t="s">
        <v>72</v>
      </c>
      <c r="M16" s="151" t="s">
        <v>90</v>
      </c>
      <c r="N16" s="152" t="s">
        <v>90</v>
      </c>
      <c r="O16" s="151" t="s">
        <v>90</v>
      </c>
      <c r="P16" s="4"/>
    </row>
    <row r="17" spans="2:16">
      <c r="C17" s="153">
        <f>IF(D11= "","-",D11)</f>
        <v>2012</v>
      </c>
      <c r="D17" s="357">
        <v>1609000</v>
      </c>
      <c r="E17" s="358">
        <v>19154.761904761905</v>
      </c>
      <c r="F17" s="357">
        <v>1589845.2380952381</v>
      </c>
      <c r="G17" s="358">
        <v>255596.76839974581</v>
      </c>
      <c r="H17" s="359">
        <v>255596.76839974581</v>
      </c>
      <c r="I17" s="405">
        <v>0</v>
      </c>
      <c r="J17" s="156"/>
      <c r="K17" s="256">
        <f t="shared" ref="K17:K22" si="0">G17</f>
        <v>255596.76839974581</v>
      </c>
      <c r="L17" s="172">
        <f t="shared" ref="L17:L48" si="1">IF(K17&lt;&gt;0,+G17-K17,0)</f>
        <v>0</v>
      </c>
      <c r="M17" s="256">
        <f t="shared" ref="M17:M22" si="2">H17</f>
        <v>255596.76839974581</v>
      </c>
      <c r="N17" s="157">
        <f t="shared" ref="N17:N48" si="3">IF(M17&lt;&gt;0,+H17-M17,0)</f>
        <v>0</v>
      </c>
      <c r="O17" s="158">
        <f t="shared" ref="O17:O48" si="4">+N17-L17</f>
        <v>0</v>
      </c>
      <c r="P17" s="4"/>
    </row>
    <row r="18" spans="2:16">
      <c r="B18" s="9" t="str">
        <f t="shared" ref="B18:B49" si="5">IF(D18=F17,"","IU")</f>
        <v>IU</v>
      </c>
      <c r="C18" s="153">
        <f>IF(D11="","-",+C17+1)</f>
        <v>2013</v>
      </c>
      <c r="D18" s="357">
        <v>12452702.238095239</v>
      </c>
      <c r="E18" s="360">
        <v>296948.97619047621</v>
      </c>
      <c r="F18" s="357">
        <v>12155753.261904763</v>
      </c>
      <c r="G18" s="360">
        <v>1998597.4057579383</v>
      </c>
      <c r="H18" s="359">
        <v>1998597.4057579383</v>
      </c>
      <c r="I18" s="404">
        <v>0</v>
      </c>
      <c r="J18" s="156"/>
      <c r="K18" s="258">
        <f t="shared" si="0"/>
        <v>1998597.4057579383</v>
      </c>
      <c r="L18" s="257">
        <f t="shared" ref="L18:L23" si="6">IF(K18&lt;&gt;0,+G18-K18,0)</f>
        <v>0</v>
      </c>
      <c r="M18" s="258">
        <f t="shared" si="2"/>
        <v>1998597.4057579383</v>
      </c>
      <c r="N18" s="158">
        <f t="shared" ref="N18:N23" si="7">IF(M18&lt;&gt;0,+H18-M18,0)</f>
        <v>0</v>
      </c>
      <c r="O18" s="158">
        <f t="shared" ref="O18:O23" si="8">+N18-L18</f>
        <v>0</v>
      </c>
      <c r="P18" s="4"/>
    </row>
    <row r="19" spans="2:16">
      <c r="B19" s="9" t="str">
        <f t="shared" si="5"/>
        <v>IU</v>
      </c>
      <c r="C19" s="153">
        <f>IF(D11="","-",+C18+1)</f>
        <v>2014</v>
      </c>
      <c r="D19" s="357">
        <v>55180030.261904761</v>
      </c>
      <c r="E19" s="360">
        <v>1321336.5238095238</v>
      </c>
      <c r="F19" s="357">
        <v>53858693.738095239</v>
      </c>
      <c r="G19" s="360">
        <v>8587440.2696967553</v>
      </c>
      <c r="H19" s="359">
        <v>8587440.2696967553</v>
      </c>
      <c r="I19" s="404">
        <v>0</v>
      </c>
      <c r="J19" s="156"/>
      <c r="K19" s="258">
        <f t="shared" si="0"/>
        <v>8587440.2696967553</v>
      </c>
      <c r="L19" s="257">
        <f t="shared" si="6"/>
        <v>0</v>
      </c>
      <c r="M19" s="258">
        <f t="shared" si="2"/>
        <v>8587440.2696967553</v>
      </c>
      <c r="N19" s="158">
        <f t="shared" si="7"/>
        <v>0</v>
      </c>
      <c r="O19" s="158">
        <f t="shared" si="8"/>
        <v>0</v>
      </c>
      <c r="P19" s="4"/>
    </row>
    <row r="20" spans="2:16">
      <c r="B20" s="9" t="str">
        <f t="shared" si="5"/>
        <v>IU</v>
      </c>
      <c r="C20" s="153">
        <f>IF(D11="","-",+C19+1)</f>
        <v>2015</v>
      </c>
      <c r="D20" s="357">
        <v>56313962.738095239</v>
      </c>
      <c r="E20" s="360">
        <v>1379795.3095238095</v>
      </c>
      <c r="F20" s="357">
        <v>54934167.428571433</v>
      </c>
      <c r="G20" s="360">
        <v>8614888.8974372521</v>
      </c>
      <c r="H20" s="359">
        <v>8614888.8974372521</v>
      </c>
      <c r="I20" s="156">
        <v>0</v>
      </c>
      <c r="J20" s="156"/>
      <c r="K20" s="258">
        <f t="shared" si="0"/>
        <v>8614888.8974372521</v>
      </c>
      <c r="L20" s="257">
        <f t="shared" si="6"/>
        <v>0</v>
      </c>
      <c r="M20" s="258">
        <f t="shared" si="2"/>
        <v>8614888.8974372521</v>
      </c>
      <c r="N20" s="158">
        <f t="shared" si="7"/>
        <v>0</v>
      </c>
      <c r="O20" s="158">
        <f t="shared" si="8"/>
        <v>0</v>
      </c>
      <c r="P20" s="4"/>
    </row>
    <row r="21" spans="2:16">
      <c r="B21" s="9" t="str">
        <f t="shared" si="5"/>
        <v>IU</v>
      </c>
      <c r="C21" s="153">
        <f>IF(D12="","-",+C20+1)</f>
        <v>2016</v>
      </c>
      <c r="D21" s="357">
        <v>56278364.618571423</v>
      </c>
      <c r="E21" s="360">
        <v>1411800.0045238095</v>
      </c>
      <c r="F21" s="357">
        <v>54866564.614047617</v>
      </c>
      <c r="G21" s="360">
        <v>8548841.3588929959</v>
      </c>
      <c r="H21" s="359">
        <v>8548841.3588929959</v>
      </c>
      <c r="I21" s="156">
        <f t="shared" ref="I21:I48" si="9">H21-G21</f>
        <v>0</v>
      </c>
      <c r="J21" s="156"/>
      <c r="K21" s="258">
        <f t="shared" si="0"/>
        <v>8548841.3588929959</v>
      </c>
      <c r="L21" s="257">
        <f t="shared" si="6"/>
        <v>0</v>
      </c>
      <c r="M21" s="258">
        <f t="shared" si="2"/>
        <v>8548841.3588929959</v>
      </c>
      <c r="N21" s="158">
        <f t="shared" si="7"/>
        <v>0</v>
      </c>
      <c r="O21" s="158">
        <f t="shared" si="8"/>
        <v>0</v>
      </c>
      <c r="P21" s="4"/>
    </row>
    <row r="22" spans="2:16">
      <c r="B22" s="9" t="str">
        <f t="shared" si="5"/>
        <v>IU</v>
      </c>
      <c r="C22" s="153">
        <f>IF(D11="","-",+C21+1)</f>
        <v>2017</v>
      </c>
      <c r="D22" s="357">
        <v>54876752.424047619</v>
      </c>
      <c r="E22" s="360">
        <v>1379204.3720930233</v>
      </c>
      <c r="F22" s="357">
        <v>53497548.051954597</v>
      </c>
      <c r="G22" s="360">
        <v>8092587.7045322992</v>
      </c>
      <c r="H22" s="359">
        <v>8092587.7045322992</v>
      </c>
      <c r="I22" s="156">
        <v>0</v>
      </c>
      <c r="J22" s="156"/>
      <c r="K22" s="258">
        <f t="shared" si="0"/>
        <v>8092587.7045322992</v>
      </c>
      <c r="L22" s="257">
        <f t="shared" si="6"/>
        <v>0</v>
      </c>
      <c r="M22" s="258">
        <f t="shared" si="2"/>
        <v>8092587.7045322992</v>
      </c>
      <c r="N22" s="158">
        <f t="shared" si="7"/>
        <v>0</v>
      </c>
      <c r="O22" s="158">
        <f t="shared" si="8"/>
        <v>0</v>
      </c>
      <c r="P22" s="4"/>
    </row>
    <row r="23" spans="2:16">
      <c r="B23" s="9" t="str">
        <f t="shared" si="5"/>
        <v/>
      </c>
      <c r="C23" s="153">
        <f>IF(D11="","-",+C22+1)</f>
        <v>2018</v>
      </c>
      <c r="D23" s="357">
        <v>53497548.051954597</v>
      </c>
      <c r="E23" s="360">
        <v>1446482.6341463414</v>
      </c>
      <c r="F23" s="357">
        <v>52051065.417808257</v>
      </c>
      <c r="G23" s="360">
        <v>7351094.2535178615</v>
      </c>
      <c r="H23" s="359">
        <v>7351094.2535178615</v>
      </c>
      <c r="I23" s="156">
        <f t="shared" si="9"/>
        <v>0</v>
      </c>
      <c r="J23" s="156"/>
      <c r="K23" s="258">
        <f>G23</f>
        <v>7351094.2535178615</v>
      </c>
      <c r="L23" s="257">
        <f t="shared" si="6"/>
        <v>0</v>
      </c>
      <c r="M23" s="258">
        <f>H23</f>
        <v>7351094.2535178615</v>
      </c>
      <c r="N23" s="158">
        <f t="shared" si="7"/>
        <v>0</v>
      </c>
      <c r="O23" s="158">
        <f t="shared" si="8"/>
        <v>0</v>
      </c>
      <c r="P23" s="4"/>
    </row>
    <row r="24" spans="2:16">
      <c r="B24" s="9" t="str">
        <f t="shared" si="5"/>
        <v/>
      </c>
      <c r="C24" s="153">
        <f>IF(D11="","-",+C23+1)</f>
        <v>2019</v>
      </c>
      <c r="D24" s="159">
        <f>IF(F23+SUM(E$17:E23)=D$10,F23,D$10-SUM(E$17:E23))</f>
        <v>52051065.417808257</v>
      </c>
      <c r="E24" s="160">
        <f>IF(+I14&lt;F23,I14,D24)</f>
        <v>1379204.3720930233</v>
      </c>
      <c r="F24" s="159">
        <f t="shared" ref="F24:F48" si="10">+D24-E24</f>
        <v>50671861.045715235</v>
      </c>
      <c r="G24" s="161">
        <f t="shared" ref="G24:G53" si="11">+I$12*((D24+F24)/2)+E24</f>
        <v>6492529.3826129548</v>
      </c>
      <c r="H24" s="142">
        <f t="shared" ref="H24:H53" si="12">+I$13*((D24+F24)/2)+E24</f>
        <v>6492529.3826129548</v>
      </c>
      <c r="I24" s="156">
        <f t="shared" si="9"/>
        <v>0</v>
      </c>
      <c r="J24" s="156"/>
      <c r="K24" s="334"/>
      <c r="L24" s="158">
        <f t="shared" si="1"/>
        <v>0</v>
      </c>
      <c r="M24" s="334"/>
      <c r="N24" s="158">
        <f t="shared" si="3"/>
        <v>0</v>
      </c>
      <c r="O24" s="158">
        <f t="shared" si="4"/>
        <v>0</v>
      </c>
      <c r="P24" s="4"/>
    </row>
    <row r="25" spans="2:16">
      <c r="B25" s="9" t="str">
        <f t="shared" si="5"/>
        <v/>
      </c>
      <c r="C25" s="153">
        <f>IF(D11="","-",+C24+1)</f>
        <v>2020</v>
      </c>
      <c r="D25" s="159">
        <f>IF(F24+SUM(E$17:E24)=D$10,F24,D$10-SUM(E$17:E24))</f>
        <v>50671861.045715235</v>
      </c>
      <c r="E25" s="160">
        <f>IF(+I14&lt;F24,I14,D25)</f>
        <v>1379204.3720930233</v>
      </c>
      <c r="F25" s="159">
        <f t="shared" si="10"/>
        <v>49292656.673622213</v>
      </c>
      <c r="G25" s="161">
        <f t="shared" si="11"/>
        <v>6355221.7638907414</v>
      </c>
      <c r="H25" s="142">
        <f t="shared" si="12"/>
        <v>6355221.7638907414</v>
      </c>
      <c r="I25" s="156">
        <f t="shared" si="9"/>
        <v>0</v>
      </c>
      <c r="J25" s="156"/>
      <c r="K25" s="334"/>
      <c r="L25" s="158">
        <f t="shared" si="1"/>
        <v>0</v>
      </c>
      <c r="M25" s="334"/>
      <c r="N25" s="158">
        <f t="shared" si="3"/>
        <v>0</v>
      </c>
      <c r="O25" s="158">
        <f t="shared" si="4"/>
        <v>0</v>
      </c>
      <c r="P25" s="4"/>
    </row>
    <row r="26" spans="2:16">
      <c r="B26" s="9" t="str">
        <f t="shared" si="5"/>
        <v/>
      </c>
      <c r="C26" s="153">
        <f>IF(D11="","-",+C25+1)</f>
        <v>2021</v>
      </c>
      <c r="D26" s="159">
        <f>IF(F25+SUM(E$17:E25)=D$10,F25,D$10-SUM(E$17:E25))</f>
        <v>49292656.673622213</v>
      </c>
      <c r="E26" s="160">
        <f>IF(+I14&lt;F25,I14,D26)</f>
        <v>1379204.3720930233</v>
      </c>
      <c r="F26" s="159">
        <f t="shared" si="10"/>
        <v>47913452.301529191</v>
      </c>
      <c r="G26" s="161">
        <f t="shared" si="11"/>
        <v>6217914.145168528</v>
      </c>
      <c r="H26" s="142">
        <f t="shared" si="12"/>
        <v>6217914.145168528</v>
      </c>
      <c r="I26" s="156">
        <f t="shared" si="9"/>
        <v>0</v>
      </c>
      <c r="J26" s="156"/>
      <c r="K26" s="334"/>
      <c r="L26" s="158">
        <f t="shared" si="1"/>
        <v>0</v>
      </c>
      <c r="M26" s="334"/>
      <c r="N26" s="158">
        <f t="shared" si="3"/>
        <v>0</v>
      </c>
      <c r="O26" s="158">
        <f t="shared" si="4"/>
        <v>0</v>
      </c>
      <c r="P26" s="4"/>
    </row>
    <row r="27" spans="2:16">
      <c r="B27" s="9" t="str">
        <f t="shared" si="5"/>
        <v/>
      </c>
      <c r="C27" s="153">
        <f>IF(D11="","-",+C26+1)</f>
        <v>2022</v>
      </c>
      <c r="D27" s="159">
        <f>IF(F26+SUM(E$17:E26)=D$10,F26,D$10-SUM(E$17:E26))</f>
        <v>47913452.301529191</v>
      </c>
      <c r="E27" s="160">
        <f>IF(+I14&lt;F26,I14,D27)</f>
        <v>1379204.3720930233</v>
      </c>
      <c r="F27" s="159">
        <f t="shared" si="10"/>
        <v>46534247.92943617</v>
      </c>
      <c r="G27" s="161">
        <f t="shared" si="11"/>
        <v>6080606.5264463164</v>
      </c>
      <c r="H27" s="142">
        <f t="shared" si="12"/>
        <v>6080606.5264463164</v>
      </c>
      <c r="I27" s="156">
        <f t="shared" si="9"/>
        <v>0</v>
      </c>
      <c r="J27" s="156"/>
      <c r="K27" s="334"/>
      <c r="L27" s="158">
        <f t="shared" si="1"/>
        <v>0</v>
      </c>
      <c r="M27" s="334"/>
      <c r="N27" s="158">
        <f t="shared" si="3"/>
        <v>0</v>
      </c>
      <c r="O27" s="158">
        <f t="shared" si="4"/>
        <v>0</v>
      </c>
      <c r="P27" s="4"/>
    </row>
    <row r="28" spans="2:16">
      <c r="B28" s="9" t="str">
        <f t="shared" si="5"/>
        <v/>
      </c>
      <c r="C28" s="153">
        <f>IF(D11="","-",+C27+1)</f>
        <v>2023</v>
      </c>
      <c r="D28" s="159">
        <f>IF(F27+SUM(E$17:E27)=D$10,F27,D$10-SUM(E$17:E27))</f>
        <v>46534247.92943617</v>
      </c>
      <c r="E28" s="160">
        <f>IF(+I14&lt;F27,I14,D28)</f>
        <v>1379204.3720930233</v>
      </c>
      <c r="F28" s="159">
        <f t="shared" si="10"/>
        <v>45155043.557343148</v>
      </c>
      <c r="G28" s="161">
        <f t="shared" si="11"/>
        <v>5943298.907724103</v>
      </c>
      <c r="H28" s="142">
        <f t="shared" si="12"/>
        <v>5943298.907724103</v>
      </c>
      <c r="I28" s="156">
        <f t="shared" si="9"/>
        <v>0</v>
      </c>
      <c r="J28" s="156"/>
      <c r="K28" s="334"/>
      <c r="L28" s="158">
        <f t="shared" si="1"/>
        <v>0</v>
      </c>
      <c r="M28" s="334"/>
      <c r="N28" s="158">
        <f t="shared" si="3"/>
        <v>0</v>
      </c>
      <c r="O28" s="158">
        <f t="shared" si="4"/>
        <v>0</v>
      </c>
      <c r="P28" s="4"/>
    </row>
    <row r="29" spans="2:16">
      <c r="B29" s="9" t="str">
        <f t="shared" si="5"/>
        <v/>
      </c>
      <c r="C29" s="153">
        <f>IF(D11="","-",+C28+1)</f>
        <v>2024</v>
      </c>
      <c r="D29" s="159">
        <f>IF(F28+SUM(E$17:E28)=D$10,F28,D$10-SUM(E$17:E28))</f>
        <v>45155043.557343148</v>
      </c>
      <c r="E29" s="160">
        <f>IF(+I14&lt;F28,I14,D29)</f>
        <v>1379204.3720930233</v>
      </c>
      <c r="F29" s="159">
        <f t="shared" si="10"/>
        <v>43775839.185250126</v>
      </c>
      <c r="G29" s="161">
        <f t="shared" si="11"/>
        <v>5805991.2890018914</v>
      </c>
      <c r="H29" s="142">
        <f t="shared" si="12"/>
        <v>5805991.2890018914</v>
      </c>
      <c r="I29" s="156">
        <f t="shared" si="9"/>
        <v>0</v>
      </c>
      <c r="J29" s="156"/>
      <c r="K29" s="334"/>
      <c r="L29" s="158">
        <f t="shared" si="1"/>
        <v>0</v>
      </c>
      <c r="M29" s="334"/>
      <c r="N29" s="158">
        <f t="shared" si="3"/>
        <v>0</v>
      </c>
      <c r="O29" s="158">
        <f t="shared" si="4"/>
        <v>0</v>
      </c>
      <c r="P29" s="4"/>
    </row>
    <row r="30" spans="2:16">
      <c r="B30" s="9" t="str">
        <f t="shared" si="5"/>
        <v/>
      </c>
      <c r="C30" s="153">
        <f>IF(D11="","-",+C29+1)</f>
        <v>2025</v>
      </c>
      <c r="D30" s="159">
        <f>IF(F29+SUM(E$17:E29)=D$10,F29,D$10-SUM(E$17:E29))</f>
        <v>43775839.185250126</v>
      </c>
      <c r="E30" s="160">
        <f>IF(+I14&lt;F29,I14,D30)</f>
        <v>1379204.3720930233</v>
      </c>
      <c r="F30" s="159">
        <f t="shared" si="10"/>
        <v>42396634.813157104</v>
      </c>
      <c r="G30" s="161">
        <f t="shared" si="11"/>
        <v>5668683.670279678</v>
      </c>
      <c r="H30" s="142">
        <f t="shared" si="12"/>
        <v>5668683.670279678</v>
      </c>
      <c r="I30" s="156">
        <f t="shared" si="9"/>
        <v>0</v>
      </c>
      <c r="J30" s="156"/>
      <c r="K30" s="334"/>
      <c r="L30" s="158">
        <f t="shared" si="1"/>
        <v>0</v>
      </c>
      <c r="M30" s="334"/>
      <c r="N30" s="158">
        <f t="shared" si="3"/>
        <v>0</v>
      </c>
      <c r="O30" s="158">
        <f t="shared" si="4"/>
        <v>0</v>
      </c>
      <c r="P30" s="4"/>
    </row>
    <row r="31" spans="2:16">
      <c r="B31" s="9" t="str">
        <f t="shared" si="5"/>
        <v/>
      </c>
      <c r="C31" s="153">
        <f>IF(D11="","-",+C30+1)</f>
        <v>2026</v>
      </c>
      <c r="D31" s="159">
        <f>IF(F30+SUM(E$17:E30)=D$10,F30,D$10-SUM(E$17:E30))</f>
        <v>42396634.813157104</v>
      </c>
      <c r="E31" s="160">
        <f>IF(+I14&lt;F30,I14,D31)</f>
        <v>1379204.3720930233</v>
      </c>
      <c r="F31" s="159">
        <f t="shared" si="10"/>
        <v>41017430.441064082</v>
      </c>
      <c r="G31" s="161">
        <f t="shared" si="11"/>
        <v>5531376.0515574655</v>
      </c>
      <c r="H31" s="142">
        <f t="shared" si="12"/>
        <v>5531376.0515574655</v>
      </c>
      <c r="I31" s="156">
        <f t="shared" si="9"/>
        <v>0</v>
      </c>
      <c r="J31" s="156"/>
      <c r="K31" s="334"/>
      <c r="L31" s="158">
        <f t="shared" si="1"/>
        <v>0</v>
      </c>
      <c r="M31" s="334"/>
      <c r="N31" s="158">
        <f t="shared" si="3"/>
        <v>0</v>
      </c>
      <c r="O31" s="158">
        <f t="shared" si="4"/>
        <v>0</v>
      </c>
      <c r="P31" s="4"/>
    </row>
    <row r="32" spans="2:16">
      <c r="B32" s="9" t="str">
        <f t="shared" si="5"/>
        <v/>
      </c>
      <c r="C32" s="153">
        <f>IF(D11="","-",+C31+1)</f>
        <v>2027</v>
      </c>
      <c r="D32" s="159">
        <f>IF(F31+SUM(E$17:E31)=D$10,F31,D$10-SUM(E$17:E31))</f>
        <v>41017430.441064082</v>
      </c>
      <c r="E32" s="160">
        <f>IF(+I14&lt;F31,I14,D32)</f>
        <v>1379204.3720930233</v>
      </c>
      <c r="F32" s="159">
        <f t="shared" si="10"/>
        <v>39638226.06897106</v>
      </c>
      <c r="G32" s="161">
        <f t="shared" si="11"/>
        <v>5394068.432835253</v>
      </c>
      <c r="H32" s="142">
        <f t="shared" si="12"/>
        <v>5394068.432835253</v>
      </c>
      <c r="I32" s="156">
        <f t="shared" si="9"/>
        <v>0</v>
      </c>
      <c r="J32" s="156"/>
      <c r="K32" s="334"/>
      <c r="L32" s="158">
        <f t="shared" si="1"/>
        <v>0</v>
      </c>
      <c r="M32" s="334"/>
      <c r="N32" s="158">
        <f t="shared" si="3"/>
        <v>0</v>
      </c>
      <c r="O32" s="158">
        <f t="shared" si="4"/>
        <v>0</v>
      </c>
      <c r="P32" s="4"/>
    </row>
    <row r="33" spans="2:16">
      <c r="B33" s="9" t="str">
        <f t="shared" si="5"/>
        <v/>
      </c>
      <c r="C33" s="153">
        <f>IF(D11="","-",+C32+1)</f>
        <v>2028</v>
      </c>
      <c r="D33" s="159">
        <f>IF(F32+SUM(E$17:E32)=D$10,F32,D$10-SUM(E$17:E32))</f>
        <v>39638226.06897106</v>
      </c>
      <c r="E33" s="160">
        <f>IF(+I14&lt;F32,I14,D33)</f>
        <v>1379204.3720930233</v>
      </c>
      <c r="F33" s="159">
        <f t="shared" si="10"/>
        <v>38259021.696878038</v>
      </c>
      <c r="G33" s="161">
        <f t="shared" si="11"/>
        <v>5256760.8141130395</v>
      </c>
      <c r="H33" s="142">
        <f t="shared" si="12"/>
        <v>5256760.8141130395</v>
      </c>
      <c r="I33" s="156">
        <f t="shared" si="9"/>
        <v>0</v>
      </c>
      <c r="J33" s="156"/>
      <c r="K33" s="334"/>
      <c r="L33" s="158">
        <f t="shared" si="1"/>
        <v>0</v>
      </c>
      <c r="M33" s="334"/>
      <c r="N33" s="158">
        <f t="shared" si="3"/>
        <v>0</v>
      </c>
      <c r="O33" s="158">
        <f t="shared" si="4"/>
        <v>0</v>
      </c>
      <c r="P33" s="4"/>
    </row>
    <row r="34" spans="2:16">
      <c r="B34" s="9" t="str">
        <f t="shared" si="5"/>
        <v/>
      </c>
      <c r="C34" s="153">
        <f>IF(D11="","-",+C33+1)</f>
        <v>2029</v>
      </c>
      <c r="D34" s="159">
        <f>IF(F33+SUM(E$17:E33)=D$10,F33,D$10-SUM(E$17:E33))</f>
        <v>38259021.696878038</v>
      </c>
      <c r="E34" s="160">
        <f>IF(+I14&lt;F33,I14,D34)</f>
        <v>1379204.3720930233</v>
      </c>
      <c r="F34" s="159">
        <f t="shared" si="10"/>
        <v>36879817.324785016</v>
      </c>
      <c r="G34" s="161">
        <f t="shared" si="11"/>
        <v>5119453.195390828</v>
      </c>
      <c r="H34" s="142">
        <f t="shared" si="12"/>
        <v>5119453.195390828</v>
      </c>
      <c r="I34" s="156">
        <f t="shared" si="9"/>
        <v>0</v>
      </c>
      <c r="J34" s="156"/>
      <c r="K34" s="334"/>
      <c r="L34" s="158">
        <f t="shared" si="1"/>
        <v>0</v>
      </c>
      <c r="M34" s="334"/>
      <c r="N34" s="158">
        <f t="shared" si="3"/>
        <v>0</v>
      </c>
      <c r="O34" s="158">
        <f t="shared" si="4"/>
        <v>0</v>
      </c>
      <c r="P34" s="4"/>
    </row>
    <row r="35" spans="2:16">
      <c r="B35" s="9" t="str">
        <f t="shared" si="5"/>
        <v/>
      </c>
      <c r="C35" s="153">
        <f>IF(D11="","-",+C34+1)</f>
        <v>2030</v>
      </c>
      <c r="D35" s="159">
        <f>IF(F34+SUM(E$17:E34)=D$10,F34,D$10-SUM(E$17:E34))</f>
        <v>36879817.324785016</v>
      </c>
      <c r="E35" s="160">
        <f>IF(+I14&lt;F34,I14,D35)</f>
        <v>1379204.3720930233</v>
      </c>
      <c r="F35" s="159">
        <f t="shared" si="10"/>
        <v>35500612.952691995</v>
      </c>
      <c r="G35" s="161">
        <f t="shared" si="11"/>
        <v>4982145.5766686145</v>
      </c>
      <c r="H35" s="142">
        <f t="shared" si="12"/>
        <v>4982145.5766686145</v>
      </c>
      <c r="I35" s="156">
        <f t="shared" si="9"/>
        <v>0</v>
      </c>
      <c r="J35" s="156"/>
      <c r="K35" s="334"/>
      <c r="L35" s="158">
        <f t="shared" si="1"/>
        <v>0</v>
      </c>
      <c r="M35" s="334"/>
      <c r="N35" s="158">
        <f t="shared" si="3"/>
        <v>0</v>
      </c>
      <c r="O35" s="158">
        <f t="shared" si="4"/>
        <v>0</v>
      </c>
      <c r="P35" s="4"/>
    </row>
    <row r="36" spans="2:16">
      <c r="B36" s="9" t="str">
        <f t="shared" si="5"/>
        <v/>
      </c>
      <c r="C36" s="153">
        <f>IF(D11="","-",+C35+1)</f>
        <v>2031</v>
      </c>
      <c r="D36" s="159">
        <f>IF(F35+SUM(E$17:E35)=D$10,F35,D$10-SUM(E$17:E35))</f>
        <v>35500612.952691995</v>
      </c>
      <c r="E36" s="160">
        <f>IF(+I14&lt;F35,I14,D36)</f>
        <v>1379204.3720930233</v>
      </c>
      <c r="F36" s="159">
        <f t="shared" si="10"/>
        <v>34121408.580598973</v>
      </c>
      <c r="G36" s="161">
        <f t="shared" si="11"/>
        <v>4844837.957946402</v>
      </c>
      <c r="H36" s="142">
        <f t="shared" si="12"/>
        <v>4844837.957946402</v>
      </c>
      <c r="I36" s="156">
        <f t="shared" si="9"/>
        <v>0</v>
      </c>
      <c r="J36" s="156"/>
      <c r="K36" s="334"/>
      <c r="L36" s="158">
        <f t="shared" si="1"/>
        <v>0</v>
      </c>
      <c r="M36" s="334"/>
      <c r="N36" s="158">
        <f t="shared" si="3"/>
        <v>0</v>
      </c>
      <c r="O36" s="158">
        <f t="shared" si="4"/>
        <v>0</v>
      </c>
      <c r="P36" s="4"/>
    </row>
    <row r="37" spans="2:16">
      <c r="B37" s="9" t="str">
        <f t="shared" si="5"/>
        <v/>
      </c>
      <c r="C37" s="153">
        <f>IF(D11="","-",+C36+1)</f>
        <v>2032</v>
      </c>
      <c r="D37" s="159">
        <f>IF(F36+SUM(E$17:E36)=D$10,F36,D$10-SUM(E$17:E36))</f>
        <v>34121408.580598973</v>
      </c>
      <c r="E37" s="160">
        <f>IF(+I14&lt;F36,I14,D37)</f>
        <v>1379204.3720930233</v>
      </c>
      <c r="F37" s="159">
        <f t="shared" si="10"/>
        <v>32742204.208505951</v>
      </c>
      <c r="G37" s="161">
        <f t="shared" si="11"/>
        <v>4707530.3392241895</v>
      </c>
      <c r="H37" s="142">
        <f t="shared" si="12"/>
        <v>4707530.3392241895</v>
      </c>
      <c r="I37" s="156">
        <f t="shared" si="9"/>
        <v>0</v>
      </c>
      <c r="J37" s="156"/>
      <c r="K37" s="334"/>
      <c r="L37" s="158">
        <f t="shared" si="1"/>
        <v>0</v>
      </c>
      <c r="M37" s="334"/>
      <c r="N37" s="158">
        <f t="shared" si="3"/>
        <v>0</v>
      </c>
      <c r="O37" s="158">
        <f t="shared" si="4"/>
        <v>0</v>
      </c>
      <c r="P37" s="4"/>
    </row>
    <row r="38" spans="2:16">
      <c r="B38" s="9" t="str">
        <f t="shared" si="5"/>
        <v/>
      </c>
      <c r="C38" s="153">
        <f>IF(D11="","-",+C37+1)</f>
        <v>2033</v>
      </c>
      <c r="D38" s="159">
        <f>IF(F37+SUM(E$17:E37)=D$10,F37,D$10-SUM(E$17:E37))</f>
        <v>32742204.208505951</v>
      </c>
      <c r="E38" s="160">
        <f>IF(+I14&lt;F37,I14,D38)</f>
        <v>1379204.3720930233</v>
      </c>
      <c r="F38" s="159">
        <f t="shared" si="10"/>
        <v>31362999.836412929</v>
      </c>
      <c r="G38" s="161">
        <f t="shared" si="11"/>
        <v>4570222.720501977</v>
      </c>
      <c r="H38" s="142">
        <f t="shared" si="12"/>
        <v>4570222.720501977</v>
      </c>
      <c r="I38" s="156">
        <f t="shared" si="9"/>
        <v>0</v>
      </c>
      <c r="J38" s="156"/>
      <c r="K38" s="334"/>
      <c r="L38" s="158">
        <f t="shared" si="1"/>
        <v>0</v>
      </c>
      <c r="M38" s="334"/>
      <c r="N38" s="158">
        <f t="shared" si="3"/>
        <v>0</v>
      </c>
      <c r="O38" s="158">
        <f t="shared" si="4"/>
        <v>0</v>
      </c>
      <c r="P38" s="4"/>
    </row>
    <row r="39" spans="2:16">
      <c r="B39" s="9" t="str">
        <f t="shared" si="5"/>
        <v/>
      </c>
      <c r="C39" s="153">
        <f>IF(D11="","-",+C38+1)</f>
        <v>2034</v>
      </c>
      <c r="D39" s="159">
        <f>IF(F38+SUM(E$17:E38)=D$10,F38,D$10-SUM(E$17:E38))</f>
        <v>31362999.836412929</v>
      </c>
      <c r="E39" s="160">
        <f>IF(+I14&lt;F38,I14,D39)</f>
        <v>1379204.3720930233</v>
      </c>
      <c r="F39" s="159">
        <f t="shared" si="10"/>
        <v>29983795.464319907</v>
      </c>
      <c r="G39" s="161">
        <f t="shared" si="11"/>
        <v>4432915.1017797645</v>
      </c>
      <c r="H39" s="142">
        <f t="shared" si="12"/>
        <v>4432915.1017797645</v>
      </c>
      <c r="I39" s="156">
        <f t="shared" si="9"/>
        <v>0</v>
      </c>
      <c r="J39" s="156"/>
      <c r="K39" s="334"/>
      <c r="L39" s="158">
        <f t="shared" si="1"/>
        <v>0</v>
      </c>
      <c r="M39" s="334"/>
      <c r="N39" s="158">
        <f t="shared" si="3"/>
        <v>0</v>
      </c>
      <c r="O39" s="158">
        <f t="shared" si="4"/>
        <v>0</v>
      </c>
      <c r="P39" s="4"/>
    </row>
    <row r="40" spans="2:16">
      <c r="B40" s="9" t="str">
        <f t="shared" si="5"/>
        <v/>
      </c>
      <c r="C40" s="153">
        <f>IF(D11="","-",+C39+1)</f>
        <v>2035</v>
      </c>
      <c r="D40" s="159">
        <f>IF(F39+SUM(E$17:E39)=D$10,F39,D$10-SUM(E$17:E39))</f>
        <v>29983795.464319907</v>
      </c>
      <c r="E40" s="160">
        <f>IF(+I14&lt;F39,I14,D40)</f>
        <v>1379204.3720930233</v>
      </c>
      <c r="F40" s="159">
        <f t="shared" si="10"/>
        <v>28604591.092226885</v>
      </c>
      <c r="G40" s="161">
        <f t="shared" si="11"/>
        <v>4295607.4830575511</v>
      </c>
      <c r="H40" s="142">
        <f t="shared" si="12"/>
        <v>4295607.4830575511</v>
      </c>
      <c r="I40" s="156">
        <f t="shared" si="9"/>
        <v>0</v>
      </c>
      <c r="J40" s="156"/>
      <c r="K40" s="334"/>
      <c r="L40" s="158">
        <f t="shared" si="1"/>
        <v>0</v>
      </c>
      <c r="M40" s="334"/>
      <c r="N40" s="158">
        <f t="shared" si="3"/>
        <v>0</v>
      </c>
      <c r="O40" s="158">
        <f t="shared" si="4"/>
        <v>0</v>
      </c>
      <c r="P40" s="4"/>
    </row>
    <row r="41" spans="2:16">
      <c r="B41" s="9" t="str">
        <f t="shared" si="5"/>
        <v/>
      </c>
      <c r="C41" s="153">
        <f>IF(D11="","-",+C40+1)</f>
        <v>2036</v>
      </c>
      <c r="D41" s="159">
        <f>IF(F40+SUM(E$17:E40)=D$10,F40,D$10-SUM(E$17:E40))</f>
        <v>28604591.092226885</v>
      </c>
      <c r="E41" s="160">
        <f>IF(+I14&lt;F40,I14,D41)</f>
        <v>1379204.3720930233</v>
      </c>
      <c r="F41" s="159">
        <f t="shared" si="10"/>
        <v>27225386.720133863</v>
      </c>
      <c r="G41" s="161">
        <f t="shared" si="11"/>
        <v>4158299.8643353391</v>
      </c>
      <c r="H41" s="142">
        <f t="shared" si="12"/>
        <v>4158299.8643353391</v>
      </c>
      <c r="I41" s="156">
        <f t="shared" si="9"/>
        <v>0</v>
      </c>
      <c r="J41" s="156"/>
      <c r="K41" s="334"/>
      <c r="L41" s="158">
        <f t="shared" si="1"/>
        <v>0</v>
      </c>
      <c r="M41" s="334"/>
      <c r="N41" s="158">
        <f t="shared" si="3"/>
        <v>0</v>
      </c>
      <c r="O41" s="158">
        <f t="shared" si="4"/>
        <v>0</v>
      </c>
      <c r="P41" s="4"/>
    </row>
    <row r="42" spans="2:16">
      <c r="B42" s="9" t="str">
        <f t="shared" si="5"/>
        <v/>
      </c>
      <c r="C42" s="153">
        <f>IF(D11="","-",+C41+1)</f>
        <v>2037</v>
      </c>
      <c r="D42" s="159">
        <f>IF(F41+SUM(E$17:E41)=D$10,F41,D$10-SUM(E$17:E41))</f>
        <v>27225386.720133863</v>
      </c>
      <c r="E42" s="160">
        <f>IF(+I14&lt;F41,I14,D42)</f>
        <v>1379204.3720930233</v>
      </c>
      <c r="F42" s="159">
        <f t="shared" si="10"/>
        <v>25846182.348040842</v>
      </c>
      <c r="G42" s="161">
        <f t="shared" si="11"/>
        <v>4020992.2456131265</v>
      </c>
      <c r="H42" s="142">
        <f t="shared" si="12"/>
        <v>4020992.2456131265</v>
      </c>
      <c r="I42" s="156">
        <f t="shared" si="9"/>
        <v>0</v>
      </c>
      <c r="J42" s="156"/>
      <c r="K42" s="334"/>
      <c r="L42" s="158">
        <f t="shared" si="1"/>
        <v>0</v>
      </c>
      <c r="M42" s="334"/>
      <c r="N42" s="158">
        <f t="shared" si="3"/>
        <v>0</v>
      </c>
      <c r="O42" s="158">
        <f t="shared" si="4"/>
        <v>0</v>
      </c>
      <c r="P42" s="4"/>
    </row>
    <row r="43" spans="2:16">
      <c r="B43" s="9" t="str">
        <f t="shared" si="5"/>
        <v/>
      </c>
      <c r="C43" s="153">
        <f>IF(D11="","-",+C42+1)</f>
        <v>2038</v>
      </c>
      <c r="D43" s="159">
        <f>IF(F42+SUM(E$17:E42)=D$10,F42,D$10-SUM(E$17:E42))</f>
        <v>25846182.348040842</v>
      </c>
      <c r="E43" s="160">
        <f>IF(+I14&lt;F42,I14,D43)</f>
        <v>1379204.3720930233</v>
      </c>
      <c r="F43" s="159">
        <f t="shared" si="10"/>
        <v>24466977.97594782</v>
      </c>
      <c r="G43" s="161">
        <f t="shared" si="11"/>
        <v>3883684.6268909136</v>
      </c>
      <c r="H43" s="142">
        <f t="shared" si="12"/>
        <v>3883684.6268909136</v>
      </c>
      <c r="I43" s="156">
        <f t="shared" si="9"/>
        <v>0</v>
      </c>
      <c r="J43" s="156"/>
      <c r="K43" s="334"/>
      <c r="L43" s="158">
        <f t="shared" si="1"/>
        <v>0</v>
      </c>
      <c r="M43" s="334"/>
      <c r="N43" s="158">
        <f t="shared" si="3"/>
        <v>0</v>
      </c>
      <c r="O43" s="158">
        <f t="shared" si="4"/>
        <v>0</v>
      </c>
      <c r="P43" s="4"/>
    </row>
    <row r="44" spans="2:16">
      <c r="B44" s="9" t="str">
        <f t="shared" si="5"/>
        <v/>
      </c>
      <c r="C44" s="153">
        <f>IF(D11="","-",+C43+1)</f>
        <v>2039</v>
      </c>
      <c r="D44" s="159">
        <f>IF(F43+SUM(E$17:E43)=D$10,F43,D$10-SUM(E$17:E43))</f>
        <v>24466977.97594782</v>
      </c>
      <c r="E44" s="160">
        <f>IF(+I14&lt;F43,I14,D44)</f>
        <v>1379204.3720930233</v>
      </c>
      <c r="F44" s="159">
        <f t="shared" si="10"/>
        <v>23087773.603854798</v>
      </c>
      <c r="G44" s="161">
        <f t="shared" si="11"/>
        <v>3746377.0081687011</v>
      </c>
      <c r="H44" s="142">
        <f t="shared" si="12"/>
        <v>3746377.0081687011</v>
      </c>
      <c r="I44" s="156">
        <f t="shared" si="9"/>
        <v>0</v>
      </c>
      <c r="J44" s="156"/>
      <c r="K44" s="334"/>
      <c r="L44" s="158">
        <f t="shared" si="1"/>
        <v>0</v>
      </c>
      <c r="M44" s="334"/>
      <c r="N44" s="158">
        <f t="shared" si="3"/>
        <v>0</v>
      </c>
      <c r="O44" s="158">
        <f t="shared" si="4"/>
        <v>0</v>
      </c>
      <c r="P44" s="4"/>
    </row>
    <row r="45" spans="2:16">
      <c r="B45" s="9" t="str">
        <f t="shared" si="5"/>
        <v/>
      </c>
      <c r="C45" s="153">
        <f>IF(D11="","-",+C44+1)</f>
        <v>2040</v>
      </c>
      <c r="D45" s="159">
        <f>IF(F44+SUM(E$17:E44)=D$10,F44,D$10-SUM(E$17:E44))</f>
        <v>23087773.603854798</v>
      </c>
      <c r="E45" s="160">
        <f>IF(+I14&lt;F44,I14,D45)</f>
        <v>1379204.3720930233</v>
      </c>
      <c r="F45" s="159">
        <f t="shared" si="10"/>
        <v>21708569.231761776</v>
      </c>
      <c r="G45" s="161">
        <f t="shared" si="11"/>
        <v>3609069.3894464886</v>
      </c>
      <c r="H45" s="142">
        <f t="shared" si="12"/>
        <v>3609069.3894464886</v>
      </c>
      <c r="I45" s="156">
        <f t="shared" si="9"/>
        <v>0</v>
      </c>
      <c r="J45" s="156"/>
      <c r="K45" s="334"/>
      <c r="L45" s="158">
        <f t="shared" si="1"/>
        <v>0</v>
      </c>
      <c r="M45" s="334"/>
      <c r="N45" s="158">
        <f t="shared" si="3"/>
        <v>0</v>
      </c>
      <c r="O45" s="158">
        <f t="shared" si="4"/>
        <v>0</v>
      </c>
      <c r="P45" s="4"/>
    </row>
    <row r="46" spans="2:16">
      <c r="B46" s="9" t="str">
        <f t="shared" si="5"/>
        <v/>
      </c>
      <c r="C46" s="153">
        <f>IF(D11="","-",+C45+1)</f>
        <v>2041</v>
      </c>
      <c r="D46" s="159">
        <f>IF(F45+SUM(E$17:E45)=D$10,F45,D$10-SUM(E$17:E45))</f>
        <v>21708569.231761776</v>
      </c>
      <c r="E46" s="160">
        <f>IF(+I14&lt;F45,I14,D46)</f>
        <v>1379204.3720930233</v>
      </c>
      <c r="F46" s="159">
        <f t="shared" si="10"/>
        <v>20329364.859668754</v>
      </c>
      <c r="G46" s="161">
        <f t="shared" si="11"/>
        <v>3471761.7707242761</v>
      </c>
      <c r="H46" s="142">
        <f t="shared" si="12"/>
        <v>3471761.7707242761</v>
      </c>
      <c r="I46" s="156">
        <f t="shared" si="9"/>
        <v>0</v>
      </c>
      <c r="J46" s="156"/>
      <c r="K46" s="334"/>
      <c r="L46" s="158">
        <f t="shared" si="1"/>
        <v>0</v>
      </c>
      <c r="M46" s="334"/>
      <c r="N46" s="158">
        <f t="shared" si="3"/>
        <v>0</v>
      </c>
      <c r="O46" s="158">
        <f t="shared" si="4"/>
        <v>0</v>
      </c>
      <c r="P46" s="4"/>
    </row>
    <row r="47" spans="2:16">
      <c r="B47" s="9" t="str">
        <f t="shared" si="5"/>
        <v/>
      </c>
      <c r="C47" s="153">
        <f>IF(D11="","-",+C46+1)</f>
        <v>2042</v>
      </c>
      <c r="D47" s="159">
        <f>IF(F46+SUM(E$17:E46)=D$10,F46,D$10-SUM(E$17:E46))</f>
        <v>20329364.859668754</v>
      </c>
      <c r="E47" s="160">
        <f>IF(+I14&lt;F46,I14,D47)</f>
        <v>1379204.3720930233</v>
      </c>
      <c r="F47" s="159">
        <f t="shared" si="10"/>
        <v>18950160.487575732</v>
      </c>
      <c r="G47" s="161">
        <f t="shared" si="11"/>
        <v>3334454.1520020631</v>
      </c>
      <c r="H47" s="142">
        <f t="shared" si="12"/>
        <v>3334454.1520020631</v>
      </c>
      <c r="I47" s="156">
        <f t="shared" si="9"/>
        <v>0</v>
      </c>
      <c r="J47" s="156"/>
      <c r="K47" s="334"/>
      <c r="L47" s="158">
        <f t="shared" si="1"/>
        <v>0</v>
      </c>
      <c r="M47" s="334"/>
      <c r="N47" s="158">
        <f t="shared" si="3"/>
        <v>0</v>
      </c>
      <c r="O47" s="158">
        <f t="shared" si="4"/>
        <v>0</v>
      </c>
      <c r="P47" s="4"/>
    </row>
    <row r="48" spans="2:16">
      <c r="B48" s="9" t="str">
        <f t="shared" si="5"/>
        <v/>
      </c>
      <c r="C48" s="153">
        <f>IF(D11="","-",+C47+1)</f>
        <v>2043</v>
      </c>
      <c r="D48" s="159">
        <f>IF(F47+SUM(E$17:E47)=D$10,F47,D$10-SUM(E$17:E47))</f>
        <v>18950160.487575732</v>
      </c>
      <c r="E48" s="160">
        <f>IF(+I14&lt;F47,I14,D48)</f>
        <v>1379204.3720930233</v>
      </c>
      <c r="F48" s="159">
        <f t="shared" si="10"/>
        <v>17570956.11548271</v>
      </c>
      <c r="G48" s="161">
        <f t="shared" si="11"/>
        <v>3197146.5332798501</v>
      </c>
      <c r="H48" s="142">
        <f t="shared" si="12"/>
        <v>3197146.5332798501</v>
      </c>
      <c r="I48" s="156">
        <f t="shared" si="9"/>
        <v>0</v>
      </c>
      <c r="J48" s="156"/>
      <c r="K48" s="334"/>
      <c r="L48" s="158">
        <f t="shared" si="1"/>
        <v>0</v>
      </c>
      <c r="M48" s="334"/>
      <c r="N48" s="158">
        <f t="shared" si="3"/>
        <v>0</v>
      </c>
      <c r="O48" s="158">
        <f t="shared" si="4"/>
        <v>0</v>
      </c>
      <c r="P48" s="4"/>
    </row>
    <row r="49" spans="2:17">
      <c r="B49" s="9" t="str">
        <f t="shared" si="5"/>
        <v/>
      </c>
      <c r="C49" s="153">
        <f>IF(D11="","-",+C48+1)</f>
        <v>2044</v>
      </c>
      <c r="D49" s="159">
        <f>IF(F48+SUM(E$17:E48)=D$10,F48,D$10-SUM(E$17:E48))</f>
        <v>17570956.11548271</v>
      </c>
      <c r="E49" s="160">
        <f>IF(+I14&lt;F48,I14,D49)</f>
        <v>1379204.3720930233</v>
      </c>
      <c r="F49" s="159">
        <f t="shared" ref="F49:F72" si="13">+D49-E49</f>
        <v>16191751.743389687</v>
      </c>
      <c r="G49" s="161">
        <f t="shared" si="11"/>
        <v>3059838.9145576376</v>
      </c>
      <c r="H49" s="142">
        <f t="shared" si="12"/>
        <v>3059838.9145576376</v>
      </c>
      <c r="I49" s="156">
        <f t="shared" ref="I49:I72" si="14">H49-G49</f>
        <v>0</v>
      </c>
      <c r="J49" s="156"/>
      <c r="K49" s="334"/>
      <c r="L49" s="158">
        <f t="shared" ref="L49:L72" si="15">IF(K49&lt;&gt;0,+G49-K49,0)</f>
        <v>0</v>
      </c>
      <c r="M49" s="334"/>
      <c r="N49" s="158">
        <f t="shared" ref="N49:N72" si="16">IF(M49&lt;&gt;0,+H49-M49,0)</f>
        <v>0</v>
      </c>
      <c r="O49" s="158">
        <f t="shared" ref="O49:O72" si="17">+N49-L49</f>
        <v>0</v>
      </c>
      <c r="P49" s="4"/>
    </row>
    <row r="50" spans="2:17">
      <c r="B50" s="9" t="str">
        <f t="shared" ref="B50:B72" si="18">IF(D50=F49,"","IU")</f>
        <v/>
      </c>
      <c r="C50" s="153">
        <f>IF(D11="","-",+C49+1)</f>
        <v>2045</v>
      </c>
      <c r="D50" s="159">
        <f>IF(F49+SUM(E$17:E49)=D$10,F49,D$10-SUM(E$17:E49))</f>
        <v>16191751.743389687</v>
      </c>
      <c r="E50" s="160">
        <f>IF(+I14&lt;F49,I14,D50)</f>
        <v>1379204.3720930233</v>
      </c>
      <c r="F50" s="159">
        <f t="shared" si="13"/>
        <v>14812547.371296663</v>
      </c>
      <c r="G50" s="161">
        <f t="shared" si="11"/>
        <v>2922531.2958354251</v>
      </c>
      <c r="H50" s="142">
        <f t="shared" si="12"/>
        <v>2922531.2958354251</v>
      </c>
      <c r="I50" s="156">
        <f t="shared" si="14"/>
        <v>0</v>
      </c>
      <c r="J50" s="156"/>
      <c r="K50" s="334"/>
      <c r="L50" s="158">
        <f t="shared" si="15"/>
        <v>0</v>
      </c>
      <c r="M50" s="334"/>
      <c r="N50" s="158">
        <f t="shared" si="16"/>
        <v>0</v>
      </c>
      <c r="O50" s="158">
        <f t="shared" si="17"/>
        <v>0</v>
      </c>
      <c r="P50" s="4"/>
    </row>
    <row r="51" spans="2:17">
      <c r="B51" s="9" t="str">
        <f t="shared" si="18"/>
        <v/>
      </c>
      <c r="C51" s="153">
        <f>IF(D11="","-",+C50+1)</f>
        <v>2046</v>
      </c>
      <c r="D51" s="159">
        <f>IF(F50+SUM(E$17:E50)=D$10,F50,D$10-SUM(E$17:E50))</f>
        <v>14812547.371296663</v>
      </c>
      <c r="E51" s="160">
        <f>IF(+I14&lt;F50,I14,D51)</f>
        <v>1379204.3720930233</v>
      </c>
      <c r="F51" s="159">
        <f t="shared" si="13"/>
        <v>13433342.999203639</v>
      </c>
      <c r="G51" s="161">
        <f t="shared" si="11"/>
        <v>2785223.6771132122</v>
      </c>
      <c r="H51" s="142">
        <f t="shared" si="12"/>
        <v>2785223.6771132122</v>
      </c>
      <c r="I51" s="156">
        <f t="shared" si="14"/>
        <v>0</v>
      </c>
      <c r="J51" s="156"/>
      <c r="K51" s="334"/>
      <c r="L51" s="158">
        <f t="shared" si="15"/>
        <v>0</v>
      </c>
      <c r="M51" s="334"/>
      <c r="N51" s="158">
        <f t="shared" si="16"/>
        <v>0</v>
      </c>
      <c r="O51" s="158">
        <f t="shared" si="17"/>
        <v>0</v>
      </c>
      <c r="P51" s="4"/>
    </row>
    <row r="52" spans="2:17">
      <c r="B52" s="9" t="str">
        <f t="shared" si="18"/>
        <v/>
      </c>
      <c r="C52" s="153">
        <f>IF(D11="","-",+C51+1)</f>
        <v>2047</v>
      </c>
      <c r="D52" s="159">
        <f>IF(F51+SUM(E$17:E51)=D$10,F51,D$10-SUM(E$17:E51))</f>
        <v>13433342.999203639</v>
      </c>
      <c r="E52" s="160">
        <f>IF(+I14&lt;F51,I14,D52)</f>
        <v>1379204.3720930233</v>
      </c>
      <c r="F52" s="159">
        <f t="shared" si="13"/>
        <v>12054138.627110615</v>
      </c>
      <c r="G52" s="161">
        <f t="shared" si="11"/>
        <v>2647916.0583909992</v>
      </c>
      <c r="H52" s="142">
        <f t="shared" si="12"/>
        <v>2647916.0583909992</v>
      </c>
      <c r="I52" s="156">
        <f t="shared" si="14"/>
        <v>0</v>
      </c>
      <c r="J52" s="156"/>
      <c r="K52" s="334"/>
      <c r="L52" s="158">
        <f t="shared" si="15"/>
        <v>0</v>
      </c>
      <c r="M52" s="334"/>
      <c r="N52" s="158">
        <f t="shared" si="16"/>
        <v>0</v>
      </c>
      <c r="O52" s="158">
        <f t="shared" si="17"/>
        <v>0</v>
      </c>
      <c r="P52" s="4"/>
    </row>
    <row r="53" spans="2:17">
      <c r="B53" s="9" t="str">
        <f t="shared" si="18"/>
        <v/>
      </c>
      <c r="C53" s="153">
        <f>IF(D11="","-",+C52+1)</f>
        <v>2048</v>
      </c>
      <c r="D53" s="159">
        <f>IF(F52+SUM(E$17:E52)=D$10,F52,D$10-SUM(E$17:E52))</f>
        <v>12054138.627110615</v>
      </c>
      <c r="E53" s="160">
        <f>IF(+I14&lt;F52,I14,D53)</f>
        <v>1379204.3720930233</v>
      </c>
      <c r="F53" s="159">
        <f t="shared" si="13"/>
        <v>10674934.255017592</v>
      </c>
      <c r="G53" s="161">
        <f t="shared" si="11"/>
        <v>2510608.4396687867</v>
      </c>
      <c r="H53" s="142">
        <f t="shared" si="12"/>
        <v>2510608.4396687867</v>
      </c>
      <c r="I53" s="156">
        <f t="shared" si="14"/>
        <v>0</v>
      </c>
      <c r="J53" s="156"/>
      <c r="K53" s="334"/>
      <c r="L53" s="158">
        <f t="shared" si="15"/>
        <v>0</v>
      </c>
      <c r="M53" s="334"/>
      <c r="N53" s="158">
        <f t="shared" si="16"/>
        <v>0</v>
      </c>
      <c r="O53" s="158">
        <f t="shared" si="17"/>
        <v>0</v>
      </c>
      <c r="P53" s="4"/>
    </row>
    <row r="54" spans="2:17">
      <c r="B54" s="9" t="str">
        <f t="shared" si="18"/>
        <v/>
      </c>
      <c r="C54" s="153">
        <f>IF(D11="","-",+C53+1)</f>
        <v>2049</v>
      </c>
      <c r="D54" s="159">
        <f>IF(F53+SUM(E$17:E53)=D$10,F53,D$10-SUM(E$17:E53))</f>
        <v>10674934.255017592</v>
      </c>
      <c r="E54" s="160">
        <f>IF(+I14&lt;F53,I14,D54)</f>
        <v>1379204.3720930233</v>
      </c>
      <c r="F54" s="159">
        <f t="shared" si="13"/>
        <v>9295729.8829245679</v>
      </c>
      <c r="G54" s="161">
        <f t="shared" ref="G54:G72" si="19">+I$12*((D54+F54)/2)+E54</f>
        <v>2373300.8209465733</v>
      </c>
      <c r="H54" s="142">
        <f t="shared" ref="H54:H72" si="20">+I$13*((D54+F54)/2)+E54</f>
        <v>2373300.8209465733</v>
      </c>
      <c r="I54" s="156">
        <f t="shared" si="14"/>
        <v>0</v>
      </c>
      <c r="J54" s="156"/>
      <c r="K54" s="334"/>
      <c r="L54" s="158">
        <f t="shared" si="15"/>
        <v>0</v>
      </c>
      <c r="M54" s="334"/>
      <c r="N54" s="158">
        <f t="shared" si="16"/>
        <v>0</v>
      </c>
      <c r="O54" s="158">
        <f t="shared" si="17"/>
        <v>0</v>
      </c>
      <c r="P54" s="4"/>
    </row>
    <row r="55" spans="2:17">
      <c r="B55" s="9" t="str">
        <f t="shared" si="18"/>
        <v/>
      </c>
      <c r="C55" s="153">
        <f>IF(D11="","-",+C54+1)</f>
        <v>2050</v>
      </c>
      <c r="D55" s="159">
        <f>IF(F54+SUM(E$17:E54)=D$10,F54,D$10-SUM(E$17:E54))</f>
        <v>9295729.8829245679</v>
      </c>
      <c r="E55" s="160">
        <f>IF(+I14&lt;F54,I14,D55)</f>
        <v>1379204.3720930233</v>
      </c>
      <c r="F55" s="159">
        <f t="shared" si="13"/>
        <v>7916525.5108315442</v>
      </c>
      <c r="G55" s="161">
        <f t="shared" si="19"/>
        <v>2235993.2022243608</v>
      </c>
      <c r="H55" s="142">
        <f t="shared" si="20"/>
        <v>2235993.2022243608</v>
      </c>
      <c r="I55" s="156">
        <f t="shared" si="14"/>
        <v>0</v>
      </c>
      <c r="J55" s="156"/>
      <c r="K55" s="334"/>
      <c r="L55" s="158">
        <f t="shared" si="15"/>
        <v>0</v>
      </c>
      <c r="M55" s="334"/>
      <c r="N55" s="158">
        <f t="shared" si="16"/>
        <v>0</v>
      </c>
      <c r="O55" s="158">
        <f t="shared" si="17"/>
        <v>0</v>
      </c>
      <c r="P55" s="4"/>
    </row>
    <row r="56" spans="2:17">
      <c r="B56" s="9" t="str">
        <f t="shared" si="18"/>
        <v/>
      </c>
      <c r="C56" s="153">
        <f>IF(D11="","-",+C55+1)</f>
        <v>2051</v>
      </c>
      <c r="D56" s="159">
        <f>IF(F55+SUM(E$17:E55)=D$10,F55,D$10-SUM(E$17:E55))</f>
        <v>7916525.5108315442</v>
      </c>
      <c r="E56" s="160">
        <f>IF(+I14&lt;F55,I14,D56)</f>
        <v>1379204.3720930233</v>
      </c>
      <c r="F56" s="159">
        <f t="shared" si="13"/>
        <v>6537321.1387385204</v>
      </c>
      <c r="G56" s="161">
        <f t="shared" si="19"/>
        <v>2098685.5835021478</v>
      </c>
      <c r="H56" s="142">
        <f t="shared" si="20"/>
        <v>2098685.5835021478</v>
      </c>
      <c r="I56" s="156">
        <f t="shared" si="14"/>
        <v>0</v>
      </c>
      <c r="J56" s="156"/>
      <c r="K56" s="334"/>
      <c r="L56" s="158">
        <f t="shared" si="15"/>
        <v>0</v>
      </c>
      <c r="M56" s="334"/>
      <c r="N56" s="158">
        <f t="shared" si="16"/>
        <v>0</v>
      </c>
      <c r="O56" s="158">
        <f t="shared" si="17"/>
        <v>0</v>
      </c>
      <c r="P56" s="4"/>
    </row>
    <row r="57" spans="2:17">
      <c r="B57" s="9" t="str">
        <f t="shared" si="18"/>
        <v/>
      </c>
      <c r="C57" s="153">
        <f>IF(D11="","-",+C56+1)</f>
        <v>2052</v>
      </c>
      <c r="D57" s="159">
        <f>IF(F56+SUM(E$17:E56)=D$10,F56,D$10-SUM(E$17:E56))</f>
        <v>6537321.1387385204</v>
      </c>
      <c r="E57" s="160">
        <f>IF(+I14&lt;F56,I14,D57)</f>
        <v>1379204.3720930233</v>
      </c>
      <c r="F57" s="159">
        <f t="shared" si="13"/>
        <v>5158116.7666454967</v>
      </c>
      <c r="G57" s="161">
        <f t="shared" si="19"/>
        <v>1961377.9647799351</v>
      </c>
      <c r="H57" s="142">
        <f t="shared" si="20"/>
        <v>1961377.9647799351</v>
      </c>
      <c r="I57" s="156">
        <f t="shared" si="14"/>
        <v>0</v>
      </c>
      <c r="J57" s="156"/>
      <c r="K57" s="334"/>
      <c r="L57" s="158">
        <f t="shared" si="15"/>
        <v>0</v>
      </c>
      <c r="M57" s="334"/>
      <c r="N57" s="158">
        <f t="shared" si="16"/>
        <v>0</v>
      </c>
      <c r="O57" s="158">
        <f t="shared" si="17"/>
        <v>0</v>
      </c>
      <c r="P57" s="4"/>
    </row>
    <row r="58" spans="2:17">
      <c r="B58" s="9" t="str">
        <f t="shared" si="18"/>
        <v/>
      </c>
      <c r="C58" s="153">
        <f>IF(D11="","-",+C57+1)</f>
        <v>2053</v>
      </c>
      <c r="D58" s="159">
        <f>IF(F57+SUM(E$17:E57)=D$10,F57,D$10-SUM(E$17:E57))</f>
        <v>5158116.7666454967</v>
      </c>
      <c r="E58" s="160">
        <f>IF(+I14&lt;F57,I14,D58)</f>
        <v>1379204.3720930233</v>
      </c>
      <c r="F58" s="159">
        <f t="shared" si="13"/>
        <v>3778912.3945524734</v>
      </c>
      <c r="G58" s="161">
        <f t="shared" si="19"/>
        <v>1824070.3460577223</v>
      </c>
      <c r="H58" s="142">
        <f t="shared" si="20"/>
        <v>1824070.3460577223</v>
      </c>
      <c r="I58" s="156">
        <f t="shared" si="14"/>
        <v>0</v>
      </c>
      <c r="J58" s="156"/>
      <c r="K58" s="334"/>
      <c r="L58" s="158">
        <f t="shared" si="15"/>
        <v>0</v>
      </c>
      <c r="M58" s="334"/>
      <c r="N58" s="158">
        <f t="shared" si="16"/>
        <v>0</v>
      </c>
      <c r="O58" s="158">
        <f t="shared" si="17"/>
        <v>0</v>
      </c>
      <c r="P58" s="4"/>
      <c r="Q58" t="str">
        <f>IF(ROUND(Q57,0)=ROUND(SUM(Q18:Q56),0),"","Error -- check allocations above).")</f>
        <v/>
      </c>
    </row>
    <row r="59" spans="2:17">
      <c r="B59" s="9" t="str">
        <f t="shared" si="18"/>
        <v/>
      </c>
      <c r="C59" s="153">
        <f>IF(D11="","-",+C58+1)</f>
        <v>2054</v>
      </c>
      <c r="D59" s="159">
        <f>IF(F58+SUM(E$17:E58)=D$10,F58,D$10-SUM(E$17:E58))</f>
        <v>3778912.3945524734</v>
      </c>
      <c r="E59" s="160">
        <f>IF(+I14&lt;F58,I14,D59)</f>
        <v>1379204.3720930233</v>
      </c>
      <c r="F59" s="159">
        <f t="shared" si="13"/>
        <v>2399708.0224594502</v>
      </c>
      <c r="G59" s="161">
        <f t="shared" si="19"/>
        <v>1686762.7273355096</v>
      </c>
      <c r="H59" s="142">
        <f t="shared" si="20"/>
        <v>1686762.7273355096</v>
      </c>
      <c r="I59" s="156">
        <f t="shared" si="14"/>
        <v>0</v>
      </c>
      <c r="J59" s="156"/>
      <c r="K59" s="334"/>
      <c r="L59" s="158">
        <f t="shared" si="15"/>
        <v>0</v>
      </c>
      <c r="M59" s="334"/>
      <c r="N59" s="158">
        <f t="shared" si="16"/>
        <v>0</v>
      </c>
      <c r="O59" s="158">
        <f t="shared" si="17"/>
        <v>0</v>
      </c>
      <c r="P59" s="4"/>
    </row>
    <row r="60" spans="2:17">
      <c r="B60" s="9" t="str">
        <f t="shared" si="18"/>
        <v/>
      </c>
      <c r="C60" s="153">
        <f>IF(D11="","-",+C59+1)</f>
        <v>2055</v>
      </c>
      <c r="D60" s="159">
        <f>IF(F59+SUM(E$17:E59)=D$10,F59,D$10-SUM(E$17:E59))</f>
        <v>2399708.0224594502</v>
      </c>
      <c r="E60" s="160">
        <f>IF(+I14&lt;F59,I14,D60)</f>
        <v>1379204.3720930233</v>
      </c>
      <c r="F60" s="159">
        <f t="shared" si="13"/>
        <v>1020503.6503664269</v>
      </c>
      <c r="G60" s="161">
        <f t="shared" si="19"/>
        <v>1549455.1086132969</v>
      </c>
      <c r="H60" s="142">
        <f t="shared" si="20"/>
        <v>1549455.1086132969</v>
      </c>
      <c r="I60" s="156">
        <f t="shared" si="14"/>
        <v>0</v>
      </c>
      <c r="J60" s="156"/>
      <c r="K60" s="334"/>
      <c r="L60" s="158">
        <f t="shared" si="15"/>
        <v>0</v>
      </c>
      <c r="M60" s="334"/>
      <c r="N60" s="158">
        <f t="shared" si="16"/>
        <v>0</v>
      </c>
      <c r="O60" s="158">
        <f t="shared" si="17"/>
        <v>0</v>
      </c>
      <c r="P60" s="4"/>
    </row>
    <row r="61" spans="2:17">
      <c r="B61" s="9" t="str">
        <f t="shared" si="18"/>
        <v/>
      </c>
      <c r="C61" s="153">
        <f>IF(D11="","-",+C60+1)</f>
        <v>2056</v>
      </c>
      <c r="D61" s="159">
        <f>IF(F60+SUM(E$17:E60)=D$10,F60,D$10-SUM(E$17:E60))</f>
        <v>1020503.6503664269</v>
      </c>
      <c r="E61" s="160">
        <f>IF(+I14&lt;F60,I14,D61)</f>
        <v>1020503.6503664269</v>
      </c>
      <c r="F61" s="159">
        <f t="shared" si="13"/>
        <v>0</v>
      </c>
      <c r="G61" s="163">
        <f t="shared" si="19"/>
        <v>1071302.1139460104</v>
      </c>
      <c r="H61" s="142">
        <f t="shared" si="20"/>
        <v>1071302.1139460104</v>
      </c>
      <c r="I61" s="156">
        <f t="shared" si="14"/>
        <v>0</v>
      </c>
      <c r="J61" s="156"/>
      <c r="K61" s="334"/>
      <c r="L61" s="158">
        <f t="shared" si="15"/>
        <v>0</v>
      </c>
      <c r="M61" s="334"/>
      <c r="N61" s="158">
        <f t="shared" si="16"/>
        <v>0</v>
      </c>
      <c r="O61" s="158">
        <f t="shared" si="17"/>
        <v>0</v>
      </c>
      <c r="P61" s="4"/>
    </row>
    <row r="62" spans="2:17">
      <c r="B62" s="9" t="str">
        <f t="shared" si="18"/>
        <v/>
      </c>
      <c r="C62" s="153">
        <f>IF(D11="","-",+C61+1)</f>
        <v>2057</v>
      </c>
      <c r="D62" s="159">
        <f>IF(F61+SUM(E$17:E61)=D$10,F61,D$10-SUM(E$17:E61))</f>
        <v>0</v>
      </c>
      <c r="E62" s="160">
        <f>IF(+I14&lt;F61,I14,D62)</f>
        <v>0</v>
      </c>
      <c r="F62" s="159">
        <f t="shared" si="13"/>
        <v>0</v>
      </c>
      <c r="G62" s="163">
        <f t="shared" si="19"/>
        <v>0</v>
      </c>
      <c r="H62" s="142">
        <f t="shared" si="20"/>
        <v>0</v>
      </c>
      <c r="I62" s="156">
        <f t="shared" si="14"/>
        <v>0</v>
      </c>
      <c r="J62" s="156"/>
      <c r="K62" s="334"/>
      <c r="L62" s="158">
        <f t="shared" si="15"/>
        <v>0</v>
      </c>
      <c r="M62" s="334"/>
      <c r="N62" s="158">
        <f t="shared" si="16"/>
        <v>0</v>
      </c>
      <c r="O62" s="158">
        <f t="shared" si="17"/>
        <v>0</v>
      </c>
      <c r="P62" s="4"/>
    </row>
    <row r="63" spans="2:17">
      <c r="B63" s="9" t="str">
        <f t="shared" si="18"/>
        <v/>
      </c>
      <c r="C63" s="153">
        <f>IF(D11="","-",+C62+1)</f>
        <v>2058</v>
      </c>
      <c r="D63" s="159">
        <f>IF(F62+SUM(E$17:E62)=D$10,F62,D$10-SUM(E$17:E62))</f>
        <v>0</v>
      </c>
      <c r="E63" s="160">
        <f>IF(+I14&lt;F62,I14,D63)</f>
        <v>0</v>
      </c>
      <c r="F63" s="159">
        <f t="shared" si="13"/>
        <v>0</v>
      </c>
      <c r="G63" s="163">
        <f t="shared" si="19"/>
        <v>0</v>
      </c>
      <c r="H63" s="142">
        <f t="shared" si="20"/>
        <v>0</v>
      </c>
      <c r="I63" s="156">
        <f t="shared" si="14"/>
        <v>0</v>
      </c>
      <c r="J63" s="156"/>
      <c r="K63" s="334"/>
      <c r="L63" s="158">
        <f t="shared" si="15"/>
        <v>0</v>
      </c>
      <c r="M63" s="334"/>
      <c r="N63" s="158">
        <f t="shared" si="16"/>
        <v>0</v>
      </c>
      <c r="O63" s="158">
        <f t="shared" si="17"/>
        <v>0</v>
      </c>
      <c r="P63" s="4"/>
    </row>
    <row r="64" spans="2:17">
      <c r="B64" s="9" t="str">
        <f t="shared" si="18"/>
        <v/>
      </c>
      <c r="C64" s="153">
        <f>IF(D11="","-",+C63+1)</f>
        <v>2059</v>
      </c>
      <c r="D64" s="159">
        <f>IF(F63+SUM(E$17:E63)=D$10,F63,D$10-SUM(E$17:E63))</f>
        <v>0</v>
      </c>
      <c r="E64" s="160">
        <f>IF(+I14&lt;F63,I14,D64)</f>
        <v>0</v>
      </c>
      <c r="F64" s="159">
        <f t="shared" si="13"/>
        <v>0</v>
      </c>
      <c r="G64" s="163">
        <f t="shared" si="19"/>
        <v>0</v>
      </c>
      <c r="H64" s="142">
        <f t="shared" si="20"/>
        <v>0</v>
      </c>
      <c r="I64" s="156">
        <f t="shared" si="14"/>
        <v>0</v>
      </c>
      <c r="J64" s="156"/>
      <c r="K64" s="334"/>
      <c r="L64" s="158">
        <f t="shared" si="15"/>
        <v>0</v>
      </c>
      <c r="M64" s="334"/>
      <c r="N64" s="158">
        <f t="shared" si="16"/>
        <v>0</v>
      </c>
      <c r="O64" s="158">
        <f t="shared" si="17"/>
        <v>0</v>
      </c>
      <c r="P64" s="4"/>
    </row>
    <row r="65" spans="1:16">
      <c r="B65" s="9" t="str">
        <f t="shared" si="18"/>
        <v/>
      </c>
      <c r="C65" s="153">
        <f>IF(D11="","-",+C64+1)</f>
        <v>2060</v>
      </c>
      <c r="D65" s="159">
        <f>IF(F64+SUM(E$17:E64)=D$10,F64,D$10-SUM(E$17:E64))</f>
        <v>0</v>
      </c>
      <c r="E65" s="160">
        <f>IF(+I14&lt;F64,I14,D65)</f>
        <v>0</v>
      </c>
      <c r="F65" s="159">
        <f t="shared" si="13"/>
        <v>0</v>
      </c>
      <c r="G65" s="163">
        <f t="shared" si="19"/>
        <v>0</v>
      </c>
      <c r="H65" s="142">
        <f t="shared" si="20"/>
        <v>0</v>
      </c>
      <c r="I65" s="156">
        <f t="shared" si="14"/>
        <v>0</v>
      </c>
      <c r="J65" s="156"/>
      <c r="K65" s="334"/>
      <c r="L65" s="158">
        <f t="shared" si="15"/>
        <v>0</v>
      </c>
      <c r="M65" s="334"/>
      <c r="N65" s="158">
        <f t="shared" si="16"/>
        <v>0</v>
      </c>
      <c r="O65" s="158">
        <f t="shared" si="17"/>
        <v>0</v>
      </c>
      <c r="P65" s="4"/>
    </row>
    <row r="66" spans="1:16">
      <c r="B66" s="9" t="str">
        <f t="shared" si="18"/>
        <v/>
      </c>
      <c r="C66" s="153">
        <f>IF(D11="","-",+C65+1)</f>
        <v>2061</v>
      </c>
      <c r="D66" s="159">
        <f>IF(F65+SUM(E$17:E65)=D$10,F65,D$10-SUM(E$17:E65))</f>
        <v>0</v>
      </c>
      <c r="E66" s="160">
        <f>IF(+I14&lt;F65,I14,D66)</f>
        <v>0</v>
      </c>
      <c r="F66" s="159">
        <f t="shared" si="13"/>
        <v>0</v>
      </c>
      <c r="G66" s="163">
        <f t="shared" si="19"/>
        <v>0</v>
      </c>
      <c r="H66" s="142">
        <f t="shared" si="20"/>
        <v>0</v>
      </c>
      <c r="I66" s="156">
        <f t="shared" si="14"/>
        <v>0</v>
      </c>
      <c r="J66" s="156"/>
      <c r="K66" s="334"/>
      <c r="L66" s="158">
        <f t="shared" si="15"/>
        <v>0</v>
      </c>
      <c r="M66" s="334"/>
      <c r="N66" s="158">
        <f t="shared" si="16"/>
        <v>0</v>
      </c>
      <c r="O66" s="158">
        <f t="shared" si="17"/>
        <v>0</v>
      </c>
      <c r="P66" s="4"/>
    </row>
    <row r="67" spans="1:16">
      <c r="B67" s="9" t="str">
        <f t="shared" si="18"/>
        <v/>
      </c>
      <c r="C67" s="153">
        <f>IF(D11="","-",+C66+1)</f>
        <v>2062</v>
      </c>
      <c r="D67" s="159">
        <f>IF(F66+SUM(E$17:E66)=D$10,F66,D$10-SUM(E$17:E66))</f>
        <v>0</v>
      </c>
      <c r="E67" s="160">
        <f>IF(+I14&lt;F66,I14,D67)</f>
        <v>0</v>
      </c>
      <c r="F67" s="159">
        <f t="shared" si="13"/>
        <v>0</v>
      </c>
      <c r="G67" s="163">
        <f t="shared" si="19"/>
        <v>0</v>
      </c>
      <c r="H67" s="142">
        <f t="shared" si="20"/>
        <v>0</v>
      </c>
      <c r="I67" s="156">
        <f t="shared" si="14"/>
        <v>0</v>
      </c>
      <c r="J67" s="156"/>
      <c r="K67" s="334"/>
      <c r="L67" s="158">
        <f t="shared" si="15"/>
        <v>0</v>
      </c>
      <c r="M67" s="334"/>
      <c r="N67" s="158">
        <f t="shared" si="16"/>
        <v>0</v>
      </c>
      <c r="O67" s="158">
        <f t="shared" si="17"/>
        <v>0</v>
      </c>
      <c r="P67" s="4"/>
    </row>
    <row r="68" spans="1:16">
      <c r="B68" s="9" t="str">
        <f t="shared" si="18"/>
        <v/>
      </c>
      <c r="C68" s="153">
        <f>IF(D11="","-",+C67+1)</f>
        <v>2063</v>
      </c>
      <c r="D68" s="159">
        <f>IF(F67+SUM(E$17:E67)=D$10,F67,D$10-SUM(E$17:E67))</f>
        <v>0</v>
      </c>
      <c r="E68" s="160">
        <f>IF(+I14&lt;F67,I14,D68)</f>
        <v>0</v>
      </c>
      <c r="F68" s="159">
        <f t="shared" si="13"/>
        <v>0</v>
      </c>
      <c r="G68" s="163">
        <f t="shared" si="19"/>
        <v>0</v>
      </c>
      <c r="H68" s="142">
        <f t="shared" si="20"/>
        <v>0</v>
      </c>
      <c r="I68" s="156">
        <f t="shared" si="14"/>
        <v>0</v>
      </c>
      <c r="J68" s="156"/>
      <c r="K68" s="334"/>
      <c r="L68" s="158">
        <f t="shared" si="15"/>
        <v>0</v>
      </c>
      <c r="M68" s="334"/>
      <c r="N68" s="158">
        <f t="shared" si="16"/>
        <v>0</v>
      </c>
      <c r="O68" s="158">
        <f t="shared" si="17"/>
        <v>0</v>
      </c>
      <c r="P68" s="4"/>
    </row>
    <row r="69" spans="1:16">
      <c r="B69" s="9" t="str">
        <f t="shared" si="18"/>
        <v/>
      </c>
      <c r="C69" s="153">
        <f>IF(D11="","-",+C68+1)</f>
        <v>2064</v>
      </c>
      <c r="D69" s="159">
        <f>IF(F68+SUM(E$17:E68)=D$10,F68,D$10-SUM(E$17:E68))</f>
        <v>0</v>
      </c>
      <c r="E69" s="160">
        <f>IF(+I14&lt;F68,I14,D69)</f>
        <v>0</v>
      </c>
      <c r="F69" s="159">
        <f t="shared" si="13"/>
        <v>0</v>
      </c>
      <c r="G69" s="163">
        <f t="shared" si="19"/>
        <v>0</v>
      </c>
      <c r="H69" s="142">
        <f t="shared" si="20"/>
        <v>0</v>
      </c>
      <c r="I69" s="156">
        <f t="shared" si="14"/>
        <v>0</v>
      </c>
      <c r="J69" s="156"/>
      <c r="K69" s="334"/>
      <c r="L69" s="158">
        <f t="shared" si="15"/>
        <v>0</v>
      </c>
      <c r="M69" s="334"/>
      <c r="N69" s="158">
        <f t="shared" si="16"/>
        <v>0</v>
      </c>
      <c r="O69" s="158">
        <f t="shared" si="17"/>
        <v>0</v>
      </c>
      <c r="P69" s="4"/>
    </row>
    <row r="70" spans="1:16">
      <c r="B70" s="9" t="str">
        <f t="shared" si="18"/>
        <v/>
      </c>
      <c r="C70" s="153">
        <f>IF(D11="","-",+C69+1)</f>
        <v>2065</v>
      </c>
      <c r="D70" s="159">
        <f>IF(F69+SUM(E$17:E69)=D$10,F69,D$10-SUM(E$17:E69))</f>
        <v>0</v>
      </c>
      <c r="E70" s="160">
        <f>IF(+I14&lt;F69,I14,D70)</f>
        <v>0</v>
      </c>
      <c r="F70" s="159">
        <f t="shared" si="13"/>
        <v>0</v>
      </c>
      <c r="G70" s="163">
        <f t="shared" si="19"/>
        <v>0</v>
      </c>
      <c r="H70" s="142">
        <f t="shared" si="20"/>
        <v>0</v>
      </c>
      <c r="I70" s="156">
        <f t="shared" si="14"/>
        <v>0</v>
      </c>
      <c r="J70" s="156"/>
      <c r="K70" s="334"/>
      <c r="L70" s="158">
        <f t="shared" si="15"/>
        <v>0</v>
      </c>
      <c r="M70" s="334"/>
      <c r="N70" s="158">
        <f t="shared" si="16"/>
        <v>0</v>
      </c>
      <c r="O70" s="158">
        <f t="shared" si="17"/>
        <v>0</v>
      </c>
      <c r="P70" s="4"/>
    </row>
    <row r="71" spans="1:16">
      <c r="B71" s="9" t="str">
        <f t="shared" si="18"/>
        <v/>
      </c>
      <c r="C71" s="153">
        <f>IF(D11="","-",+C70+1)</f>
        <v>2066</v>
      </c>
      <c r="D71" s="159">
        <f>IF(F70+SUM(E$17:E70)=D$10,F70,D$10-SUM(E$17:E70))</f>
        <v>0</v>
      </c>
      <c r="E71" s="160">
        <f>IF(+I14&lt;F70,I14,D71)</f>
        <v>0</v>
      </c>
      <c r="F71" s="159">
        <f t="shared" si="13"/>
        <v>0</v>
      </c>
      <c r="G71" s="163">
        <f t="shared" si="19"/>
        <v>0</v>
      </c>
      <c r="H71" s="142">
        <f t="shared" si="20"/>
        <v>0</v>
      </c>
      <c r="I71" s="156">
        <f t="shared" si="14"/>
        <v>0</v>
      </c>
      <c r="J71" s="156"/>
      <c r="K71" s="334"/>
      <c r="L71" s="158">
        <f t="shared" si="15"/>
        <v>0</v>
      </c>
      <c r="M71" s="334"/>
      <c r="N71" s="158">
        <f t="shared" si="16"/>
        <v>0</v>
      </c>
      <c r="O71" s="158">
        <f t="shared" si="17"/>
        <v>0</v>
      </c>
      <c r="P71" s="4"/>
    </row>
    <row r="72" spans="1:16" ht="13.5" thickBot="1">
      <c r="B72" s="9" t="str">
        <f t="shared" si="18"/>
        <v/>
      </c>
      <c r="C72" s="164">
        <f>IF(D11="","-",+C71+1)</f>
        <v>2067</v>
      </c>
      <c r="D72" s="165">
        <f>IF(F71+SUM(E$17:E71)=D$10,F71,D$10-SUM(E$17:E71))</f>
        <v>0</v>
      </c>
      <c r="E72" s="166">
        <f>IF(+I14&lt;F71,I14,D72)</f>
        <v>0</v>
      </c>
      <c r="F72" s="165">
        <f t="shared" si="13"/>
        <v>0</v>
      </c>
      <c r="G72" s="167">
        <f t="shared" si="19"/>
        <v>0</v>
      </c>
      <c r="H72" s="124">
        <f t="shared" si="20"/>
        <v>0</v>
      </c>
      <c r="I72" s="168">
        <f t="shared" si="14"/>
        <v>0</v>
      </c>
      <c r="J72" s="156"/>
      <c r="K72" s="335"/>
      <c r="L72" s="169">
        <f t="shared" si="15"/>
        <v>0</v>
      </c>
      <c r="M72" s="335"/>
      <c r="N72" s="169">
        <f t="shared" si="16"/>
        <v>0</v>
      </c>
      <c r="O72" s="169">
        <f t="shared" si="17"/>
        <v>0</v>
      </c>
      <c r="P72" s="4"/>
    </row>
    <row r="73" spans="1:16">
      <c r="C73" s="154" t="s">
        <v>73</v>
      </c>
      <c r="D73" s="111"/>
      <c r="E73" s="111">
        <f>SUM(E17:E72)</f>
        <v>59305787.999999993</v>
      </c>
      <c r="F73" s="111"/>
      <c r="G73" s="111">
        <f>SUM(G17:G72)</f>
        <v>193297061.8598665</v>
      </c>
      <c r="H73" s="111">
        <f>SUM(H17:H72)</f>
        <v>193297061.8598665</v>
      </c>
      <c r="I73" s="111">
        <f>SUM(I17:I72)</f>
        <v>0</v>
      </c>
      <c r="J73" s="111"/>
      <c r="K73" s="111"/>
      <c r="L73" s="111"/>
      <c r="M73" s="111"/>
      <c r="N73" s="111"/>
      <c r="O73" s="4"/>
      <c r="P73" s="4"/>
    </row>
    <row r="74" spans="1:16">
      <c r="D74" s="2"/>
      <c r="E74" s="1"/>
      <c r="F74" s="1"/>
      <c r="G74" s="1"/>
      <c r="H74" s="3"/>
      <c r="I74" s="3"/>
      <c r="J74" s="111"/>
      <c r="K74" s="3"/>
      <c r="L74" s="3"/>
      <c r="M74" s="3"/>
      <c r="N74" s="3"/>
      <c r="O74" s="1"/>
      <c r="P74" s="1"/>
    </row>
    <row r="75" spans="1:16">
      <c r="C75" s="170" t="s">
        <v>91</v>
      </c>
      <c r="D75" s="2"/>
      <c r="E75" s="1"/>
      <c r="F75" s="1"/>
      <c r="G75" s="1"/>
      <c r="H75" s="3"/>
      <c r="I75" s="3"/>
      <c r="J75" s="111"/>
      <c r="K75" s="3"/>
      <c r="L75" s="3"/>
      <c r="M75" s="3"/>
      <c r="N75" s="3"/>
      <c r="O75" s="1"/>
      <c r="P75" s="1"/>
    </row>
    <row r="76" spans="1:16">
      <c r="C76" s="121" t="s">
        <v>74</v>
      </c>
      <c r="D76" s="2"/>
      <c r="E76" s="1"/>
      <c r="F76" s="1"/>
      <c r="G76" s="1"/>
      <c r="H76" s="3"/>
      <c r="I76" s="3"/>
      <c r="J76" s="111"/>
      <c r="K76" s="3"/>
      <c r="L76" s="3"/>
      <c r="M76" s="3"/>
      <c r="N76" s="3"/>
      <c r="O76" s="4"/>
      <c r="P76" s="4"/>
    </row>
    <row r="77" spans="1:16" ht="18">
      <c r="C77" s="121" t="s">
        <v>75</v>
      </c>
      <c r="D77" s="154"/>
      <c r="E77" s="154"/>
      <c r="F77" s="154"/>
      <c r="G77" s="111"/>
      <c r="H77" s="111"/>
      <c r="I77" s="171"/>
      <c r="J77" s="171"/>
      <c r="K77" s="171"/>
      <c r="L77" s="171"/>
      <c r="M77" s="171"/>
      <c r="N77" s="171"/>
      <c r="O77" s="110"/>
      <c r="P77" s="4"/>
    </row>
    <row r="78" spans="1:16">
      <c r="C78" s="121"/>
      <c r="D78" s="154"/>
      <c r="E78" s="154"/>
      <c r="F78" s="154"/>
      <c r="G78" s="111"/>
      <c r="H78" s="111"/>
      <c r="I78" s="171"/>
      <c r="J78" s="171"/>
      <c r="K78" s="171"/>
      <c r="L78" s="171"/>
      <c r="M78" s="171"/>
      <c r="N78" s="171"/>
      <c r="O78" s="4"/>
      <c r="P78" s="1"/>
    </row>
    <row r="79" spans="1:16" ht="15">
      <c r="A79" s="241"/>
      <c r="B79" s="1"/>
      <c r="C79" s="21"/>
      <c r="D79" s="2"/>
      <c r="E79" s="1"/>
      <c r="F79" s="107"/>
      <c r="G79" s="1"/>
      <c r="H79" s="3"/>
      <c r="I79" s="1"/>
      <c r="J79" s="4"/>
      <c r="K79" s="1"/>
      <c r="L79" s="1"/>
      <c r="M79" s="1"/>
      <c r="N79" s="1"/>
    </row>
    <row r="80" spans="1:16" ht="18">
      <c r="B80" s="1"/>
      <c r="C80" s="242"/>
      <c r="D80" s="2"/>
      <c r="E80" s="1"/>
      <c r="F80" s="107"/>
      <c r="G80" s="1"/>
      <c r="H80" s="3"/>
      <c r="I80" s="1"/>
      <c r="J80" s="4"/>
      <c r="K80" s="1"/>
      <c r="L80" s="1"/>
      <c r="M80" s="1"/>
      <c r="N80" s="1"/>
      <c r="P80" s="244" t="s">
        <v>125</v>
      </c>
    </row>
    <row r="81" spans="1:17">
      <c r="B81" s="1"/>
      <c r="C81" s="242"/>
      <c r="D81" s="2"/>
      <c r="E81" s="1"/>
      <c r="F81" s="107"/>
      <c r="G81" s="1"/>
      <c r="H81" s="3"/>
      <c r="I81" s="1"/>
      <c r="J81" s="4"/>
      <c r="K81" s="1"/>
      <c r="L81" s="1"/>
      <c r="M81" s="1"/>
      <c r="N81" s="1"/>
      <c r="O81" s="1"/>
      <c r="P81" s="1"/>
    </row>
    <row r="82" spans="1:17">
      <c r="B82" s="1"/>
      <c r="C82" s="21"/>
      <c r="D82" s="2"/>
      <c r="E82" s="1"/>
      <c r="F82" s="107"/>
      <c r="G82" s="1"/>
      <c r="H82" s="3"/>
      <c r="I82" s="1"/>
      <c r="J82" s="4"/>
      <c r="K82" s="1"/>
      <c r="L82" s="1"/>
      <c r="M82" s="1"/>
      <c r="N82" s="1"/>
      <c r="O82" s="1"/>
      <c r="P82" s="1"/>
      <c r="Q82" s="1"/>
    </row>
    <row r="83" spans="1:17" ht="20.25">
      <c r="A83" s="243" t="s">
        <v>129</v>
      </c>
      <c r="B83" s="1"/>
      <c r="C83" s="21"/>
      <c r="D83" s="2"/>
      <c r="E83" s="1"/>
      <c r="F83" s="99"/>
      <c r="G83" s="99"/>
      <c r="H83" s="1"/>
      <c r="I83" s="3"/>
      <c r="K83" s="7"/>
      <c r="L83" s="109"/>
      <c r="M83" s="109"/>
      <c r="P83" s="110" t="str">
        <f ca="1">P1</f>
        <v>SWEPCO Project 33 of 73</v>
      </c>
      <c r="Q83" s="1"/>
    </row>
    <row r="84" spans="1:17" ht="18">
      <c r="B84" s="1"/>
      <c r="C84" s="1"/>
      <c r="D84" s="2"/>
      <c r="E84" s="1"/>
      <c r="F84" s="1"/>
      <c r="G84" s="1"/>
      <c r="H84" s="1"/>
      <c r="I84" s="3"/>
      <c r="J84" s="1"/>
      <c r="K84" s="4"/>
      <c r="L84" s="1"/>
      <c r="M84" s="1"/>
      <c r="P84" s="237" t="s">
        <v>123</v>
      </c>
      <c r="Q84" s="1"/>
    </row>
    <row r="85" spans="1:17" ht="18.75" thickBot="1">
      <c r="B85" s="5" t="s">
        <v>40</v>
      </c>
      <c r="C85" s="197" t="s">
        <v>78</v>
      </c>
      <c r="D85" s="2"/>
      <c r="E85" s="1"/>
      <c r="F85" s="1"/>
      <c r="G85" s="1"/>
      <c r="H85" s="1"/>
      <c r="I85" s="3"/>
      <c r="J85" s="3"/>
      <c r="K85" s="111"/>
      <c r="L85" s="3"/>
      <c r="M85" s="3"/>
      <c r="N85" s="3"/>
      <c r="O85" s="111"/>
      <c r="P85" s="1"/>
      <c r="Q85" s="1"/>
    </row>
    <row r="86" spans="1:17" ht="15.75" thickBot="1">
      <c r="C86" s="67"/>
      <c r="D86" s="2"/>
      <c r="E86" s="1"/>
      <c r="F86" s="1"/>
      <c r="G86" s="1"/>
      <c r="H86" s="1"/>
      <c r="I86" s="3"/>
      <c r="J86" s="3"/>
      <c r="K86" s="111"/>
      <c r="L86" s="265">
        <f>+J92</f>
        <v>2017</v>
      </c>
      <c r="M86" s="266" t="s">
        <v>7</v>
      </c>
      <c r="N86" s="270" t="s">
        <v>154</v>
      </c>
      <c r="O86" s="267" t="s">
        <v>9</v>
      </c>
      <c r="P86" s="1"/>
      <c r="Q86" s="1"/>
    </row>
    <row r="87" spans="1:17" ht="15">
      <c r="C87" s="235" t="s">
        <v>42</v>
      </c>
      <c r="D87" s="2"/>
      <c r="E87" s="1"/>
      <c r="F87" s="1"/>
      <c r="G87" s="1"/>
      <c r="H87" s="113"/>
      <c r="I87" s="1" t="s">
        <v>43</v>
      </c>
      <c r="J87" s="1"/>
      <c r="K87" s="261"/>
      <c r="L87" s="259" t="s">
        <v>381</v>
      </c>
      <c r="M87" s="198">
        <f>IF(J92&lt;D11,0,VLOOKUP(J92,C17:O72,9))</f>
        <v>8092587.7045322992</v>
      </c>
      <c r="N87" s="198">
        <f>IF(J92&lt;D11,0,VLOOKUP(J92,C17:O72,11))</f>
        <v>8092587.7045322992</v>
      </c>
      <c r="O87" s="199">
        <f>+N87-M87</f>
        <v>0</v>
      </c>
      <c r="P87" s="1"/>
      <c r="Q87" s="1"/>
    </row>
    <row r="88" spans="1:17" ht="15.75">
      <c r="C88" s="8"/>
      <c r="D88" s="2"/>
      <c r="E88" s="1"/>
      <c r="F88" s="1"/>
      <c r="G88" s="1"/>
      <c r="H88" s="1"/>
      <c r="I88" s="117"/>
      <c r="J88" s="117"/>
      <c r="K88" s="263"/>
      <c r="L88" s="264" t="s">
        <v>382</v>
      </c>
      <c r="M88" s="200">
        <f>IF(J92&lt;D11,0,VLOOKUP(J92,C99:P154,6))</f>
        <v>7994757.3762234207</v>
      </c>
      <c r="N88" s="200">
        <f>IF(J92&lt;D11,0,VLOOKUP(J92,C99:P154,7))</f>
        <v>7994757.3762234207</v>
      </c>
      <c r="O88" s="201">
        <f>+N88-M88</f>
        <v>0</v>
      </c>
      <c r="P88" s="1"/>
      <c r="Q88" s="1"/>
    </row>
    <row r="89" spans="1:17" ht="13.5" thickBot="1">
      <c r="C89" s="121" t="s">
        <v>79</v>
      </c>
      <c r="D89" s="274" t="str">
        <f>D7</f>
        <v xml:space="preserve"> Flint Creek-Shipe Road 345 kV Line</v>
      </c>
      <c r="E89" s="1"/>
      <c r="F89" s="1"/>
      <c r="G89" s="1"/>
      <c r="H89" s="1"/>
      <c r="I89" s="3"/>
      <c r="J89" s="3"/>
      <c r="K89" s="262"/>
      <c r="L89" s="260" t="s">
        <v>151</v>
      </c>
      <c r="M89" s="203">
        <f>+M88-M87</f>
        <v>-97830.328308878466</v>
      </c>
      <c r="N89" s="203">
        <f>+N88-N87</f>
        <v>-97830.328308878466</v>
      </c>
      <c r="O89" s="204">
        <f>+O88-O87</f>
        <v>0</v>
      </c>
      <c r="P89" s="1"/>
      <c r="Q89" s="1"/>
    </row>
    <row r="90" spans="1:17" ht="13.5" thickBot="1">
      <c r="C90" s="170"/>
      <c r="D90" s="173" t="str">
        <f>D8</f>
        <v/>
      </c>
      <c r="E90" s="107"/>
      <c r="F90" s="107"/>
      <c r="G90" s="107"/>
      <c r="H90" s="126"/>
      <c r="I90" s="3"/>
      <c r="J90" s="3"/>
      <c r="K90" s="111"/>
      <c r="L90" s="3"/>
      <c r="M90" s="3"/>
      <c r="N90" s="3"/>
      <c r="O90" s="111"/>
      <c r="P90" s="1"/>
      <c r="Q90" s="1"/>
    </row>
    <row r="91" spans="1:17" ht="13.5" thickBot="1">
      <c r="A91" s="103"/>
      <c r="C91" s="205" t="s">
        <v>80</v>
      </c>
      <c r="D91" s="224" t="str">
        <f>+D9</f>
        <v>TP208126</v>
      </c>
      <c r="E91" s="206"/>
      <c r="F91" s="206"/>
      <c r="G91" s="206"/>
      <c r="H91" s="206"/>
      <c r="I91" s="206"/>
      <c r="J91" s="238"/>
      <c r="K91" s="207"/>
      <c r="P91" s="131"/>
      <c r="Q91" s="1"/>
    </row>
    <row r="92" spans="1:17">
      <c r="C92" s="136" t="s">
        <v>47</v>
      </c>
      <c r="D92" s="133">
        <v>59305788</v>
      </c>
      <c r="E92" s="21" t="s">
        <v>81</v>
      </c>
      <c r="H92" s="134"/>
      <c r="I92" s="134"/>
      <c r="J92" s="135">
        <f>+'SWE.WS.G.BPU.ATRR.True-up'!M15</f>
        <v>2017</v>
      </c>
      <c r="K92" s="130"/>
      <c r="L92" s="111" t="s">
        <v>82</v>
      </c>
      <c r="P92" s="4"/>
      <c r="Q92" s="1"/>
    </row>
    <row r="93" spans="1:17">
      <c r="C93" s="136" t="s">
        <v>49</v>
      </c>
      <c r="D93" s="219">
        <f>IF(D11=I10,"",D11)</f>
        <v>2012</v>
      </c>
      <c r="E93" s="136" t="s">
        <v>50</v>
      </c>
      <c r="F93" s="134"/>
      <c r="G93" s="134"/>
      <c r="J93" s="138">
        <f>IF(H87="",0,'SWE.WS.G.BPU.ATRR.True-up'!$F$12)</f>
        <v>0</v>
      </c>
      <c r="K93" s="139"/>
      <c r="L93" t="str">
        <f>"          INPUT TRUE-UP ARR (WITH &amp; WITHOUT INCENTIVES) FROM EACH PRIOR YEAR"</f>
        <v xml:space="preserve">          INPUT TRUE-UP ARR (WITH &amp; WITHOUT INCENTIVES) FROM EACH PRIOR YEAR</v>
      </c>
      <c r="P93" s="4"/>
      <c r="Q93" s="1"/>
    </row>
    <row r="94" spans="1:17">
      <c r="C94" s="136" t="s">
        <v>51</v>
      </c>
      <c r="D94" s="218">
        <f>IF(D11=I10,"",D12)</f>
        <v>6</v>
      </c>
      <c r="E94" s="136" t="s">
        <v>52</v>
      </c>
      <c r="F94" s="134"/>
      <c r="G94" s="134"/>
      <c r="J94" s="140">
        <f>'SWE.WS.G.BPU.ATRR.True-up'!$F$80</f>
        <v>0.12147145768398206</v>
      </c>
      <c r="K94" s="141"/>
      <c r="L94" t="s">
        <v>83</v>
      </c>
      <c r="P94" s="4"/>
      <c r="Q94" s="1"/>
    </row>
    <row r="95" spans="1:17">
      <c r="C95" s="136" t="s">
        <v>54</v>
      </c>
      <c r="D95" s="138">
        <f>'SWE.WS.G.BPU.ATRR.True-up'!F$92</f>
        <v>42</v>
      </c>
      <c r="E95" s="136" t="s">
        <v>55</v>
      </c>
      <c r="F95" s="134"/>
      <c r="G95" s="134"/>
      <c r="J95" s="140">
        <f>IF(H87="",J94,'SWE.WS.G.BPU.ATRR.True-up'!$F$79)</f>
        <v>0.12147145768398206</v>
      </c>
      <c r="K95" s="58"/>
      <c r="L95" s="111" t="s">
        <v>56</v>
      </c>
      <c r="M95" s="58"/>
      <c r="N95" s="58"/>
      <c r="O95" s="58"/>
      <c r="P95" s="4"/>
      <c r="Q95" s="1"/>
    </row>
    <row r="96" spans="1:17" ht="13.5" thickBot="1">
      <c r="C96" s="136" t="s">
        <v>57</v>
      </c>
      <c r="D96" s="220" t="str">
        <f>+D14</f>
        <v>No</v>
      </c>
      <c r="E96" s="202" t="s">
        <v>59</v>
      </c>
      <c r="F96" s="208"/>
      <c r="G96" s="208"/>
      <c r="H96" s="209"/>
      <c r="I96" s="209"/>
      <c r="J96" s="124">
        <f>IF(D92=0,0,D92/D95)</f>
        <v>1412042.5714285714</v>
      </c>
      <c r="K96" s="111"/>
      <c r="L96" s="111"/>
      <c r="M96" s="111"/>
      <c r="N96" s="111"/>
      <c r="O96" s="111"/>
      <c r="P96" s="4"/>
      <c r="Q96" s="1"/>
    </row>
    <row r="97" spans="1:17" ht="38.25">
      <c r="A97" s="6"/>
      <c r="B97" s="6"/>
      <c r="C97" s="210" t="s">
        <v>47</v>
      </c>
      <c r="D97" s="211" t="s">
        <v>60</v>
      </c>
      <c r="E97" s="146" t="s">
        <v>61</v>
      </c>
      <c r="F97" s="146" t="s">
        <v>62</v>
      </c>
      <c r="G97" s="144" t="s">
        <v>84</v>
      </c>
      <c r="H97" s="434" t="s">
        <v>378</v>
      </c>
      <c r="I97" s="435" t="s">
        <v>379</v>
      </c>
      <c r="J97" s="210" t="s">
        <v>85</v>
      </c>
      <c r="K97" s="212"/>
      <c r="L97" s="271" t="s">
        <v>220</v>
      </c>
      <c r="M97" s="146" t="s">
        <v>86</v>
      </c>
      <c r="N97" s="271" t="s">
        <v>220</v>
      </c>
      <c r="O97" s="146" t="s">
        <v>86</v>
      </c>
      <c r="P97" s="146" t="s">
        <v>65</v>
      </c>
      <c r="Q97" s="1"/>
    </row>
    <row r="98" spans="1:17" ht="13.5" thickBot="1">
      <c r="C98" s="147" t="s">
        <v>66</v>
      </c>
      <c r="D98" s="213" t="s">
        <v>67</v>
      </c>
      <c r="E98" s="147" t="s">
        <v>68</v>
      </c>
      <c r="F98" s="147" t="s">
        <v>67</v>
      </c>
      <c r="G98" s="147" t="s">
        <v>67</v>
      </c>
      <c r="H98" s="407" t="s">
        <v>69</v>
      </c>
      <c r="I98" s="148" t="s">
        <v>70</v>
      </c>
      <c r="J98" s="149" t="s">
        <v>89</v>
      </c>
      <c r="K98" s="150"/>
      <c r="L98" s="151" t="s">
        <v>72</v>
      </c>
      <c r="M98" s="151" t="s">
        <v>72</v>
      </c>
      <c r="N98" s="151" t="s">
        <v>90</v>
      </c>
      <c r="O98" s="151" t="s">
        <v>90</v>
      </c>
      <c r="P98" s="151" t="s">
        <v>90</v>
      </c>
      <c r="Q98" s="1"/>
    </row>
    <row r="99" spans="1:17">
      <c r="C99" s="153">
        <f>IF(D93= "","-",D93)</f>
        <v>2012</v>
      </c>
      <c r="D99" s="357">
        <v>0</v>
      </c>
      <c r="E99" s="360">
        <v>48831.630952380954</v>
      </c>
      <c r="F99" s="361">
        <v>4053025.3690476189</v>
      </c>
      <c r="G99" s="365">
        <v>2026512.6845238095</v>
      </c>
      <c r="H99" s="362">
        <v>347040.94031483348</v>
      </c>
      <c r="I99" s="363">
        <v>347040.94031483348</v>
      </c>
      <c r="J99" s="403">
        <f t="shared" ref="J99:J130" si="21">+I99-H99</f>
        <v>0</v>
      </c>
      <c r="K99" s="158"/>
      <c r="L99" s="256">
        <f>H99</f>
        <v>347040.94031483348</v>
      </c>
      <c r="M99" s="172">
        <f t="shared" ref="M99:M130" si="22">IF(L99&lt;&gt;0,+H99-L99,0)</f>
        <v>0</v>
      </c>
      <c r="N99" s="256">
        <f>I99</f>
        <v>347040.94031483348</v>
      </c>
      <c r="O99" s="157">
        <f t="shared" ref="O99:O130" si="23">IF(N99&lt;&gt;0,+I99-N99,0)</f>
        <v>0</v>
      </c>
      <c r="P99" s="157">
        <f t="shared" ref="P99:P130" si="24">+O99-M99</f>
        <v>0</v>
      </c>
      <c r="Q99" s="1"/>
    </row>
    <row r="100" spans="1:17">
      <c r="B100" s="9" t="str">
        <f t="shared" ref="B100:B131" si="25">IF(D100=F99,"","IU")</f>
        <v>IU</v>
      </c>
      <c r="C100" s="153">
        <f>IF(D93="","-",+C99+1)</f>
        <v>2013</v>
      </c>
      <c r="D100" s="357">
        <v>8932602.3690476194</v>
      </c>
      <c r="E100" s="360">
        <v>213843.66666666666</v>
      </c>
      <c r="F100" s="361">
        <v>8718758.7023809534</v>
      </c>
      <c r="G100" s="361">
        <v>8825680.5357142873</v>
      </c>
      <c r="H100" s="362">
        <v>1407885.0103828101</v>
      </c>
      <c r="I100" s="363">
        <v>1407885.0103828101</v>
      </c>
      <c r="J100" s="403">
        <v>0</v>
      </c>
      <c r="K100" s="158"/>
      <c r="L100" s="258">
        <f>H100</f>
        <v>1407885.0103828101</v>
      </c>
      <c r="M100" s="257">
        <f>IF(L100&lt;&gt;0,+H100-L100,0)</f>
        <v>0</v>
      </c>
      <c r="N100" s="258">
        <f>I100</f>
        <v>1407885.0103828101</v>
      </c>
      <c r="O100" s="158">
        <f>IF(N100&lt;&gt;0,+I100-N100,0)</f>
        <v>0</v>
      </c>
      <c r="P100" s="158">
        <f>+O100-M100</f>
        <v>0</v>
      </c>
      <c r="Q100" s="1"/>
    </row>
    <row r="101" spans="1:17">
      <c r="B101" s="9" t="str">
        <f t="shared" si="25"/>
        <v>IU</v>
      </c>
      <c r="C101" s="153">
        <f>IF(D93="","-",+C100+1)</f>
        <v>2014</v>
      </c>
      <c r="D101" s="357">
        <v>57803227.702380955</v>
      </c>
      <c r="E101" s="360">
        <v>1382521.5</v>
      </c>
      <c r="F101" s="361">
        <v>56420706.202380955</v>
      </c>
      <c r="G101" s="361">
        <v>57111966.952380955</v>
      </c>
      <c r="H101" s="362">
        <v>9145377.6421220824</v>
      </c>
      <c r="I101" s="363">
        <v>9145377.6421220824</v>
      </c>
      <c r="J101" s="158">
        <v>0</v>
      </c>
      <c r="K101" s="158"/>
      <c r="L101" s="258">
        <f>H101</f>
        <v>9145377.6421220824</v>
      </c>
      <c r="M101" s="257">
        <f>IF(L101&lt;&gt;0,+H101-L101,0)</f>
        <v>0</v>
      </c>
      <c r="N101" s="258">
        <f>I101</f>
        <v>9145377.6421220824</v>
      </c>
      <c r="O101" s="158">
        <f>IF(N101&lt;&gt;0,+I101-N101,0)</f>
        <v>0</v>
      </c>
      <c r="P101" s="158">
        <f>+O101-M101</f>
        <v>0</v>
      </c>
      <c r="Q101" s="1"/>
    </row>
    <row r="102" spans="1:17">
      <c r="B102" s="9" t="str">
        <f t="shared" si="25"/>
        <v>IU</v>
      </c>
      <c r="C102" s="153">
        <f>IF(D93="","-",+C101+1)</f>
        <v>2015</v>
      </c>
      <c r="D102" s="357">
        <v>56479124.932380959</v>
      </c>
      <c r="E102" s="360">
        <v>1383912.4221428572</v>
      </c>
      <c r="F102" s="361">
        <v>55095212.510238104</v>
      </c>
      <c r="G102" s="361">
        <v>55787168.721309528</v>
      </c>
      <c r="H102" s="362">
        <v>8734925.0443726294</v>
      </c>
      <c r="I102" s="363">
        <v>8734925.0443726294</v>
      </c>
      <c r="J102" s="158">
        <f t="shared" si="21"/>
        <v>0</v>
      </c>
      <c r="K102" s="158"/>
      <c r="L102" s="258">
        <f>H102</f>
        <v>8734925.0443726294</v>
      </c>
      <c r="M102" s="257">
        <f>IF(L102&lt;&gt;0,+H102-L102,0)</f>
        <v>0</v>
      </c>
      <c r="N102" s="258">
        <f>I102</f>
        <v>8734925.0443726294</v>
      </c>
      <c r="O102" s="158">
        <f>IF(N102&lt;&gt;0,+I102-N102,0)</f>
        <v>0</v>
      </c>
      <c r="P102" s="158">
        <f>+O102-M102</f>
        <v>0</v>
      </c>
      <c r="Q102" s="1"/>
    </row>
    <row r="103" spans="1:17">
      <c r="B103" s="9" t="str">
        <f t="shared" si="25"/>
        <v>IU</v>
      </c>
      <c r="C103" s="153">
        <f>IF(D93="","-",+C102+1)</f>
        <v>2016</v>
      </c>
      <c r="D103" s="357">
        <v>56276678.780238092</v>
      </c>
      <c r="E103" s="360">
        <v>1379204.3720930233</v>
      </c>
      <c r="F103" s="361">
        <v>54897474.40814507</v>
      </c>
      <c r="G103" s="361">
        <v>55587076.594191581</v>
      </c>
      <c r="H103" s="362">
        <v>8435983.0947099216</v>
      </c>
      <c r="I103" s="363">
        <v>8435983.0947099216</v>
      </c>
      <c r="J103" s="158">
        <v>0</v>
      </c>
      <c r="K103" s="158"/>
      <c r="L103" s="258">
        <f>H103</f>
        <v>8435983.0947099216</v>
      </c>
      <c r="M103" s="257">
        <f>IF(L103&lt;&gt;0,+H103-L103,0)</f>
        <v>0</v>
      </c>
      <c r="N103" s="258">
        <f>I103</f>
        <v>8435983.0947099216</v>
      </c>
      <c r="O103" s="158">
        <f>IF(N103&lt;&gt;0,+I103-N103,0)</f>
        <v>0</v>
      </c>
      <c r="P103" s="158">
        <f>+O103-M103</f>
        <v>0</v>
      </c>
      <c r="Q103" s="1"/>
    </row>
    <row r="104" spans="1:17">
      <c r="B104" s="9" t="str">
        <f t="shared" si="25"/>
        <v/>
      </c>
      <c r="C104" s="153">
        <f>IF(D93="","-",+C103+1)</f>
        <v>2017</v>
      </c>
      <c r="D104" s="154">
        <f>IF(F103+SUM(E$99:E103)=D$92,F103,D$92-SUM(E$99:E103))</f>
        <v>54897474.40814507</v>
      </c>
      <c r="E104" s="160">
        <f>IF(+J96&lt;F103,J96,D104)</f>
        <v>1412042.5714285714</v>
      </c>
      <c r="F104" s="159">
        <f t="shared" ref="F104:F131" si="26">+D104-E104</f>
        <v>53485431.836716495</v>
      </c>
      <c r="G104" s="159">
        <f t="shared" ref="G104:G130" si="27">+(F104+D104)/2</f>
        <v>54191453.122430786</v>
      </c>
      <c r="H104" s="163">
        <f t="shared" ref="H104:H130" si="28">+J$94*G104+E104</f>
        <v>7994757.3762234207</v>
      </c>
      <c r="I104" s="253">
        <f t="shared" ref="I104:I130" si="29">+J$95*G104+E104</f>
        <v>7994757.3762234207</v>
      </c>
      <c r="J104" s="158">
        <f t="shared" si="21"/>
        <v>0</v>
      </c>
      <c r="K104" s="158"/>
      <c r="L104" s="334"/>
      <c r="M104" s="158">
        <f t="shared" si="22"/>
        <v>0</v>
      </c>
      <c r="N104" s="334"/>
      <c r="O104" s="158">
        <f t="shared" si="23"/>
        <v>0</v>
      </c>
      <c r="P104" s="158">
        <f t="shared" si="24"/>
        <v>0</v>
      </c>
      <c r="Q104" s="1"/>
    </row>
    <row r="105" spans="1:17">
      <c r="B105" s="9" t="str">
        <f t="shared" si="25"/>
        <v/>
      </c>
      <c r="C105" s="153">
        <f>IF(D93="","-",+C104+1)</f>
        <v>2018</v>
      </c>
      <c r="D105" s="154">
        <f>IF(F104+SUM(E$99:E104)=D$92,F104,D$92-SUM(E$99:E104))</f>
        <v>53485431.836716495</v>
      </c>
      <c r="E105" s="160">
        <f>IF(+J96&lt;F104,J96,D105)</f>
        <v>1412042.5714285714</v>
      </c>
      <c r="F105" s="159">
        <f t="shared" si="26"/>
        <v>52073389.265287921</v>
      </c>
      <c r="G105" s="159">
        <f t="shared" si="27"/>
        <v>52779410.551002204</v>
      </c>
      <c r="H105" s="163">
        <f t="shared" si="28"/>
        <v>7823234.5067601521</v>
      </c>
      <c r="I105" s="253">
        <f t="shared" si="29"/>
        <v>7823234.5067601521</v>
      </c>
      <c r="J105" s="158">
        <f t="shared" si="21"/>
        <v>0</v>
      </c>
      <c r="K105" s="158"/>
      <c r="L105" s="334"/>
      <c r="M105" s="158">
        <f t="shared" si="22"/>
        <v>0</v>
      </c>
      <c r="N105" s="334"/>
      <c r="O105" s="158">
        <f t="shared" si="23"/>
        <v>0</v>
      </c>
      <c r="P105" s="158">
        <f t="shared" si="24"/>
        <v>0</v>
      </c>
      <c r="Q105" s="1"/>
    </row>
    <row r="106" spans="1:17">
      <c r="B106" s="9" t="str">
        <f t="shared" si="25"/>
        <v/>
      </c>
      <c r="C106" s="153">
        <f>IF(D93="","-",+C105+1)</f>
        <v>2019</v>
      </c>
      <c r="D106" s="154">
        <f>IF(F105+SUM(E$99:E105)=D$92,F105,D$92-SUM(E$99:E105))</f>
        <v>52073389.265287921</v>
      </c>
      <c r="E106" s="160">
        <f>IF(+J96&lt;F105,J96,D106)</f>
        <v>1412042.5714285714</v>
      </c>
      <c r="F106" s="159">
        <f t="shared" si="26"/>
        <v>50661346.693859346</v>
      </c>
      <c r="G106" s="159">
        <f t="shared" si="27"/>
        <v>51367367.979573637</v>
      </c>
      <c r="H106" s="163">
        <f t="shared" si="28"/>
        <v>7651711.6372968853</v>
      </c>
      <c r="I106" s="253">
        <f t="shared" si="29"/>
        <v>7651711.6372968853</v>
      </c>
      <c r="J106" s="158">
        <f t="shared" si="21"/>
        <v>0</v>
      </c>
      <c r="K106" s="158"/>
      <c r="L106" s="334"/>
      <c r="M106" s="158">
        <f t="shared" si="22"/>
        <v>0</v>
      </c>
      <c r="N106" s="334"/>
      <c r="O106" s="158">
        <f t="shared" si="23"/>
        <v>0</v>
      </c>
      <c r="P106" s="158">
        <f t="shared" si="24"/>
        <v>0</v>
      </c>
      <c r="Q106" s="1"/>
    </row>
    <row r="107" spans="1:17">
      <c r="B107" s="9" t="str">
        <f t="shared" si="25"/>
        <v/>
      </c>
      <c r="C107" s="153">
        <f>IF(D93="","-",+C106+1)</f>
        <v>2020</v>
      </c>
      <c r="D107" s="154">
        <f>IF(F106+SUM(E$99:E106)=D$92,F106,D$92-SUM(E$99:E106))</f>
        <v>50661346.693859346</v>
      </c>
      <c r="E107" s="160">
        <f>IF(+J96&lt;F106,J96,D107)</f>
        <v>1412042.5714285714</v>
      </c>
      <c r="F107" s="159">
        <f t="shared" si="26"/>
        <v>49249304.122430772</v>
      </c>
      <c r="G107" s="159">
        <f t="shared" si="27"/>
        <v>49955325.408145055</v>
      </c>
      <c r="H107" s="163">
        <f t="shared" si="28"/>
        <v>7480188.7678336166</v>
      </c>
      <c r="I107" s="253">
        <f t="shared" si="29"/>
        <v>7480188.7678336166</v>
      </c>
      <c r="J107" s="158">
        <f t="shared" si="21"/>
        <v>0</v>
      </c>
      <c r="K107" s="158"/>
      <c r="L107" s="334"/>
      <c r="M107" s="158">
        <f t="shared" si="22"/>
        <v>0</v>
      </c>
      <c r="N107" s="334"/>
      <c r="O107" s="158">
        <f t="shared" si="23"/>
        <v>0</v>
      </c>
      <c r="P107" s="158">
        <f t="shared" si="24"/>
        <v>0</v>
      </c>
      <c r="Q107" s="1"/>
    </row>
    <row r="108" spans="1:17">
      <c r="B108" s="9" t="str">
        <f t="shared" si="25"/>
        <v/>
      </c>
      <c r="C108" s="153">
        <f>IF(D93="","-",+C107+1)</f>
        <v>2021</v>
      </c>
      <c r="D108" s="154">
        <f>IF(F107+SUM(E$99:E107)=D$92,F107,D$92-SUM(E$99:E107))</f>
        <v>49249304.122430772</v>
      </c>
      <c r="E108" s="160">
        <f>IF(+J96&lt;F107,J96,D108)</f>
        <v>1412042.5714285714</v>
      </c>
      <c r="F108" s="159">
        <f t="shared" si="26"/>
        <v>47837261.551002197</v>
      </c>
      <c r="G108" s="159">
        <f t="shared" si="27"/>
        <v>48543282.836716488</v>
      </c>
      <c r="H108" s="163">
        <f t="shared" si="28"/>
        <v>7308665.8983703498</v>
      </c>
      <c r="I108" s="253">
        <f t="shared" si="29"/>
        <v>7308665.8983703498</v>
      </c>
      <c r="J108" s="158">
        <f t="shared" si="21"/>
        <v>0</v>
      </c>
      <c r="K108" s="158"/>
      <c r="L108" s="334"/>
      <c r="M108" s="158">
        <f t="shared" si="22"/>
        <v>0</v>
      </c>
      <c r="N108" s="334"/>
      <c r="O108" s="158">
        <f t="shared" si="23"/>
        <v>0</v>
      </c>
      <c r="P108" s="158">
        <f t="shared" si="24"/>
        <v>0</v>
      </c>
      <c r="Q108" s="1"/>
    </row>
    <row r="109" spans="1:17">
      <c r="B109" s="9" t="str">
        <f t="shared" si="25"/>
        <v/>
      </c>
      <c r="C109" s="153">
        <f>IF(D93="","-",+C108+1)</f>
        <v>2022</v>
      </c>
      <c r="D109" s="154">
        <f>IF(F108+SUM(E$99:E108)=D$92,F108,D$92-SUM(E$99:E108))</f>
        <v>47837261.551002197</v>
      </c>
      <c r="E109" s="160">
        <f>IF(+J96&lt;F108,J96,D109)</f>
        <v>1412042.5714285714</v>
      </c>
      <c r="F109" s="159">
        <f t="shared" si="26"/>
        <v>46425218.979573622</v>
      </c>
      <c r="G109" s="159">
        <f t="shared" si="27"/>
        <v>47131240.265287906</v>
      </c>
      <c r="H109" s="163">
        <f t="shared" si="28"/>
        <v>7137143.028907083</v>
      </c>
      <c r="I109" s="253">
        <f t="shared" si="29"/>
        <v>7137143.028907083</v>
      </c>
      <c r="J109" s="158">
        <f t="shared" si="21"/>
        <v>0</v>
      </c>
      <c r="K109" s="158"/>
      <c r="L109" s="334"/>
      <c r="M109" s="158">
        <f t="shared" si="22"/>
        <v>0</v>
      </c>
      <c r="N109" s="334"/>
      <c r="O109" s="158">
        <f t="shared" si="23"/>
        <v>0</v>
      </c>
      <c r="P109" s="158">
        <f t="shared" si="24"/>
        <v>0</v>
      </c>
      <c r="Q109" s="1"/>
    </row>
    <row r="110" spans="1:17">
      <c r="B110" s="9" t="str">
        <f t="shared" si="25"/>
        <v/>
      </c>
      <c r="C110" s="153">
        <f>IF(D93="","-",+C109+1)</f>
        <v>2023</v>
      </c>
      <c r="D110" s="154">
        <f>IF(F109+SUM(E$99:E109)=D$92,F109,D$92-SUM(E$99:E109))</f>
        <v>46425218.979573622</v>
      </c>
      <c r="E110" s="160">
        <f>IF(+J96&lt;F109,J96,D110)</f>
        <v>1412042.5714285714</v>
      </c>
      <c r="F110" s="159">
        <f t="shared" si="26"/>
        <v>45013176.408145048</v>
      </c>
      <c r="G110" s="159">
        <f t="shared" si="27"/>
        <v>45719197.693859339</v>
      </c>
      <c r="H110" s="163">
        <f t="shared" si="28"/>
        <v>6965620.1594438162</v>
      </c>
      <c r="I110" s="253">
        <f t="shared" si="29"/>
        <v>6965620.1594438162</v>
      </c>
      <c r="J110" s="158">
        <f t="shared" si="21"/>
        <v>0</v>
      </c>
      <c r="K110" s="158"/>
      <c r="L110" s="334"/>
      <c r="M110" s="158">
        <f t="shared" si="22"/>
        <v>0</v>
      </c>
      <c r="N110" s="334"/>
      <c r="O110" s="158">
        <f t="shared" si="23"/>
        <v>0</v>
      </c>
      <c r="P110" s="158">
        <f t="shared" si="24"/>
        <v>0</v>
      </c>
      <c r="Q110" s="1"/>
    </row>
    <row r="111" spans="1:17">
      <c r="B111" s="9" t="str">
        <f t="shared" si="25"/>
        <v/>
      </c>
      <c r="C111" s="153">
        <f>IF(D93="","-",+C110+1)</f>
        <v>2024</v>
      </c>
      <c r="D111" s="154">
        <f>IF(F110+SUM(E$99:E110)=D$92,F110,D$92-SUM(E$99:E110))</f>
        <v>45013176.408145048</v>
      </c>
      <c r="E111" s="160">
        <f>IF(+J96&lt;F110,J96,D111)</f>
        <v>1412042.5714285714</v>
      </c>
      <c r="F111" s="159">
        <f t="shared" si="26"/>
        <v>43601133.836716473</v>
      </c>
      <c r="G111" s="159">
        <f t="shared" si="27"/>
        <v>44307155.122430757</v>
      </c>
      <c r="H111" s="163">
        <f t="shared" si="28"/>
        <v>6794097.2899805475</v>
      </c>
      <c r="I111" s="253">
        <f t="shared" si="29"/>
        <v>6794097.2899805475</v>
      </c>
      <c r="J111" s="158">
        <f t="shared" si="21"/>
        <v>0</v>
      </c>
      <c r="K111" s="158"/>
      <c r="L111" s="334"/>
      <c r="M111" s="158">
        <f t="shared" si="22"/>
        <v>0</v>
      </c>
      <c r="N111" s="334"/>
      <c r="O111" s="158">
        <f t="shared" si="23"/>
        <v>0</v>
      </c>
      <c r="P111" s="158">
        <f t="shared" si="24"/>
        <v>0</v>
      </c>
      <c r="Q111" s="1"/>
    </row>
    <row r="112" spans="1:17">
      <c r="B112" s="9" t="str">
        <f t="shared" si="25"/>
        <v/>
      </c>
      <c r="C112" s="153">
        <f>IF(D93="","-",+C111+1)</f>
        <v>2025</v>
      </c>
      <c r="D112" s="154">
        <f>IF(F111+SUM(E$99:E111)=D$92,F111,D$92-SUM(E$99:E111))</f>
        <v>43601133.836716473</v>
      </c>
      <c r="E112" s="160">
        <f>IF(+J96&lt;F111,J96,D112)</f>
        <v>1412042.5714285714</v>
      </c>
      <c r="F112" s="159">
        <f t="shared" si="26"/>
        <v>42189091.265287898</v>
      </c>
      <c r="G112" s="159">
        <f t="shared" si="27"/>
        <v>42895112.55100219</v>
      </c>
      <c r="H112" s="163">
        <f t="shared" si="28"/>
        <v>6622574.4205172807</v>
      </c>
      <c r="I112" s="253">
        <f t="shared" si="29"/>
        <v>6622574.4205172807</v>
      </c>
      <c r="J112" s="158">
        <f t="shared" si="21"/>
        <v>0</v>
      </c>
      <c r="K112" s="158"/>
      <c r="L112" s="334"/>
      <c r="M112" s="158">
        <f t="shared" si="22"/>
        <v>0</v>
      </c>
      <c r="N112" s="334"/>
      <c r="O112" s="158">
        <f t="shared" si="23"/>
        <v>0</v>
      </c>
      <c r="P112" s="158">
        <f t="shared" si="24"/>
        <v>0</v>
      </c>
      <c r="Q112" s="1"/>
    </row>
    <row r="113" spans="2:17">
      <c r="B113" s="9" t="str">
        <f t="shared" si="25"/>
        <v/>
      </c>
      <c r="C113" s="153">
        <f>IF(D93="","-",+C112+1)</f>
        <v>2026</v>
      </c>
      <c r="D113" s="154">
        <f>IF(F112+SUM(E$99:E112)=D$92,F112,D$92-SUM(E$99:E112))</f>
        <v>42189091.265287898</v>
      </c>
      <c r="E113" s="160">
        <f>IF(+J96&lt;F112,J96,D113)</f>
        <v>1412042.5714285714</v>
      </c>
      <c r="F113" s="159">
        <f t="shared" si="26"/>
        <v>40777048.693859324</v>
      </c>
      <c r="G113" s="159">
        <f t="shared" si="27"/>
        <v>41483069.979573607</v>
      </c>
      <c r="H113" s="163">
        <f t="shared" si="28"/>
        <v>6451051.5510540139</v>
      </c>
      <c r="I113" s="253">
        <f t="shared" si="29"/>
        <v>6451051.5510540139</v>
      </c>
      <c r="J113" s="158">
        <f t="shared" si="21"/>
        <v>0</v>
      </c>
      <c r="K113" s="158"/>
      <c r="L113" s="334"/>
      <c r="M113" s="158">
        <f t="shared" si="22"/>
        <v>0</v>
      </c>
      <c r="N113" s="334"/>
      <c r="O113" s="158">
        <f t="shared" si="23"/>
        <v>0</v>
      </c>
      <c r="P113" s="158">
        <f t="shared" si="24"/>
        <v>0</v>
      </c>
      <c r="Q113" s="1"/>
    </row>
    <row r="114" spans="2:17">
      <c r="B114" s="9" t="str">
        <f t="shared" si="25"/>
        <v/>
      </c>
      <c r="C114" s="153">
        <f>IF(D93="","-",+C113+1)</f>
        <v>2027</v>
      </c>
      <c r="D114" s="154">
        <f>IF(F113+SUM(E$99:E113)=D$92,F113,D$92-SUM(E$99:E113))</f>
        <v>40777048.693859324</v>
      </c>
      <c r="E114" s="160">
        <f>IF(+J96&lt;F113,J96,D114)</f>
        <v>1412042.5714285714</v>
      </c>
      <c r="F114" s="159">
        <f t="shared" si="26"/>
        <v>39365006.122430749</v>
      </c>
      <c r="G114" s="159">
        <f t="shared" si="27"/>
        <v>40071027.40814504</v>
      </c>
      <c r="H114" s="163">
        <f t="shared" si="28"/>
        <v>6279528.6815907471</v>
      </c>
      <c r="I114" s="253">
        <f t="shared" si="29"/>
        <v>6279528.6815907471</v>
      </c>
      <c r="J114" s="158">
        <f t="shared" si="21"/>
        <v>0</v>
      </c>
      <c r="K114" s="158"/>
      <c r="L114" s="334"/>
      <c r="M114" s="158">
        <f t="shared" si="22"/>
        <v>0</v>
      </c>
      <c r="N114" s="334"/>
      <c r="O114" s="158">
        <f t="shared" si="23"/>
        <v>0</v>
      </c>
      <c r="P114" s="158">
        <f t="shared" si="24"/>
        <v>0</v>
      </c>
      <c r="Q114" s="1"/>
    </row>
    <row r="115" spans="2:17">
      <c r="B115" s="9" t="str">
        <f t="shared" si="25"/>
        <v/>
      </c>
      <c r="C115" s="153">
        <f>IF(D93="","-",+C114+1)</f>
        <v>2028</v>
      </c>
      <c r="D115" s="154">
        <f>IF(F114+SUM(E$99:E114)=D$92,F114,D$92-SUM(E$99:E114))</f>
        <v>39365006.122430749</v>
      </c>
      <c r="E115" s="160">
        <f>IF(+J96&lt;F114,J96,D115)</f>
        <v>1412042.5714285714</v>
      </c>
      <c r="F115" s="159">
        <f t="shared" si="26"/>
        <v>37952963.551002175</v>
      </c>
      <c r="G115" s="159">
        <f t="shared" si="27"/>
        <v>38658984.836716458</v>
      </c>
      <c r="H115" s="163">
        <f t="shared" si="28"/>
        <v>6108005.8121274784</v>
      </c>
      <c r="I115" s="253">
        <f t="shared" si="29"/>
        <v>6108005.8121274784</v>
      </c>
      <c r="J115" s="158">
        <f t="shared" si="21"/>
        <v>0</v>
      </c>
      <c r="K115" s="158"/>
      <c r="L115" s="334"/>
      <c r="M115" s="158">
        <f t="shared" si="22"/>
        <v>0</v>
      </c>
      <c r="N115" s="334"/>
      <c r="O115" s="158">
        <f t="shared" si="23"/>
        <v>0</v>
      </c>
      <c r="P115" s="158">
        <f t="shared" si="24"/>
        <v>0</v>
      </c>
      <c r="Q115" s="1"/>
    </row>
    <row r="116" spans="2:17">
      <c r="B116" s="9" t="str">
        <f t="shared" si="25"/>
        <v/>
      </c>
      <c r="C116" s="153">
        <f>IF(D93="","-",+C115+1)</f>
        <v>2029</v>
      </c>
      <c r="D116" s="154">
        <f>IF(F115+SUM(E$99:E115)=D$92,F115,D$92-SUM(E$99:E115))</f>
        <v>37952963.551002175</v>
      </c>
      <c r="E116" s="160">
        <f>IF(+J96&lt;F115,J96,D116)</f>
        <v>1412042.5714285714</v>
      </c>
      <c r="F116" s="159">
        <f t="shared" si="26"/>
        <v>36540920.9795736</v>
      </c>
      <c r="G116" s="159">
        <f t="shared" si="27"/>
        <v>37246942.265287891</v>
      </c>
      <c r="H116" s="163">
        <f t="shared" si="28"/>
        <v>5936482.9426642116</v>
      </c>
      <c r="I116" s="253">
        <f t="shared" si="29"/>
        <v>5936482.9426642116</v>
      </c>
      <c r="J116" s="158">
        <f t="shared" si="21"/>
        <v>0</v>
      </c>
      <c r="K116" s="158"/>
      <c r="L116" s="334"/>
      <c r="M116" s="158">
        <f t="shared" si="22"/>
        <v>0</v>
      </c>
      <c r="N116" s="334"/>
      <c r="O116" s="158">
        <f t="shared" si="23"/>
        <v>0</v>
      </c>
      <c r="P116" s="158">
        <f t="shared" si="24"/>
        <v>0</v>
      </c>
      <c r="Q116" s="1"/>
    </row>
    <row r="117" spans="2:17">
      <c r="B117" s="9" t="str">
        <f t="shared" si="25"/>
        <v/>
      </c>
      <c r="C117" s="153">
        <f>IF(D93="","-",+C116+1)</f>
        <v>2030</v>
      </c>
      <c r="D117" s="154">
        <f>IF(F116+SUM(E$99:E116)=D$92,F116,D$92-SUM(E$99:E116))</f>
        <v>36540920.9795736</v>
      </c>
      <c r="E117" s="160">
        <f>IF(+J96&lt;F116,J96,D117)</f>
        <v>1412042.5714285714</v>
      </c>
      <c r="F117" s="159">
        <f t="shared" si="26"/>
        <v>35128878.408145025</v>
      </c>
      <c r="G117" s="159">
        <f t="shared" si="27"/>
        <v>35834899.693859309</v>
      </c>
      <c r="H117" s="163">
        <f t="shared" si="28"/>
        <v>5764960.0732009448</v>
      </c>
      <c r="I117" s="253">
        <f t="shared" si="29"/>
        <v>5764960.0732009448</v>
      </c>
      <c r="J117" s="158">
        <f t="shared" si="21"/>
        <v>0</v>
      </c>
      <c r="K117" s="158"/>
      <c r="L117" s="334"/>
      <c r="M117" s="158">
        <f t="shared" si="22"/>
        <v>0</v>
      </c>
      <c r="N117" s="334"/>
      <c r="O117" s="158">
        <f t="shared" si="23"/>
        <v>0</v>
      </c>
      <c r="P117" s="158">
        <f t="shared" si="24"/>
        <v>0</v>
      </c>
      <c r="Q117" s="1"/>
    </row>
    <row r="118" spans="2:17">
      <c r="B118" s="9" t="str">
        <f t="shared" si="25"/>
        <v>IU</v>
      </c>
      <c r="C118" s="153">
        <f>IF(D93="","-",+C117+1)</f>
        <v>2031</v>
      </c>
      <c r="D118" s="154">
        <f>IF(F117+SUM(E$99:E117)=D$92,F117,D$92-SUM(E$99:E117))</f>
        <v>35128878.408145078</v>
      </c>
      <c r="E118" s="160">
        <f>IF(+J96&lt;F117,J96,D118)</f>
        <v>1412042.5714285714</v>
      </c>
      <c r="F118" s="159">
        <f t="shared" si="26"/>
        <v>33716835.836716503</v>
      </c>
      <c r="G118" s="159">
        <f t="shared" si="27"/>
        <v>34422857.122430786</v>
      </c>
      <c r="H118" s="163">
        <f t="shared" si="28"/>
        <v>5593437.2037376836</v>
      </c>
      <c r="I118" s="253">
        <f t="shared" si="29"/>
        <v>5593437.2037376836</v>
      </c>
      <c r="J118" s="158">
        <f t="shared" si="21"/>
        <v>0</v>
      </c>
      <c r="K118" s="158"/>
      <c r="L118" s="334"/>
      <c r="M118" s="158">
        <f t="shared" si="22"/>
        <v>0</v>
      </c>
      <c r="N118" s="334"/>
      <c r="O118" s="158">
        <f t="shared" si="23"/>
        <v>0</v>
      </c>
      <c r="P118" s="158">
        <f t="shared" si="24"/>
        <v>0</v>
      </c>
      <c r="Q118" s="1"/>
    </row>
    <row r="119" spans="2:17">
      <c r="B119" s="9" t="str">
        <f t="shared" si="25"/>
        <v/>
      </c>
      <c r="C119" s="153">
        <f>IF(D93="","-",+C118+1)</f>
        <v>2032</v>
      </c>
      <c r="D119" s="154">
        <f>IF(F118+SUM(E$99:E118)=D$92,F118,D$92-SUM(E$99:E118))</f>
        <v>33716835.836716503</v>
      </c>
      <c r="E119" s="160">
        <f>IF(+J96&lt;F118,J96,D119)</f>
        <v>1412042.5714285714</v>
      </c>
      <c r="F119" s="159">
        <f t="shared" si="26"/>
        <v>32304793.265287932</v>
      </c>
      <c r="G119" s="159">
        <f t="shared" si="27"/>
        <v>33010814.551002219</v>
      </c>
      <c r="H119" s="163">
        <f t="shared" si="28"/>
        <v>5421914.3342744168</v>
      </c>
      <c r="I119" s="253">
        <f t="shared" si="29"/>
        <v>5421914.3342744168</v>
      </c>
      <c r="J119" s="158">
        <f t="shared" si="21"/>
        <v>0</v>
      </c>
      <c r="K119" s="158"/>
      <c r="L119" s="334"/>
      <c r="M119" s="158">
        <f t="shared" si="22"/>
        <v>0</v>
      </c>
      <c r="N119" s="334"/>
      <c r="O119" s="158">
        <f t="shared" si="23"/>
        <v>0</v>
      </c>
      <c r="P119" s="158">
        <f t="shared" si="24"/>
        <v>0</v>
      </c>
      <c r="Q119" s="1"/>
    </row>
    <row r="120" spans="2:17">
      <c r="B120" s="9" t="str">
        <f t="shared" si="25"/>
        <v/>
      </c>
      <c r="C120" s="153">
        <f>IF(D93="","-",+C119+1)</f>
        <v>2033</v>
      </c>
      <c r="D120" s="154">
        <f>IF(F119+SUM(E$99:E119)=D$92,F119,D$92-SUM(E$99:E119))</f>
        <v>32304793.265287932</v>
      </c>
      <c r="E120" s="160">
        <f>IF(+J96&lt;F119,J96,D120)</f>
        <v>1412042.5714285714</v>
      </c>
      <c r="F120" s="159">
        <f t="shared" si="26"/>
        <v>30892750.693859361</v>
      </c>
      <c r="G120" s="159">
        <f t="shared" si="27"/>
        <v>31598771.979573645</v>
      </c>
      <c r="H120" s="163">
        <f t="shared" si="28"/>
        <v>5250391.4648111491</v>
      </c>
      <c r="I120" s="253">
        <f t="shared" si="29"/>
        <v>5250391.4648111491</v>
      </c>
      <c r="J120" s="158">
        <f t="shared" si="21"/>
        <v>0</v>
      </c>
      <c r="K120" s="158"/>
      <c r="L120" s="334"/>
      <c r="M120" s="158">
        <f t="shared" si="22"/>
        <v>0</v>
      </c>
      <c r="N120" s="334"/>
      <c r="O120" s="158">
        <f t="shared" si="23"/>
        <v>0</v>
      </c>
      <c r="P120" s="158">
        <f t="shared" si="24"/>
        <v>0</v>
      </c>
      <c r="Q120" s="1"/>
    </row>
    <row r="121" spans="2:17">
      <c r="B121" s="9" t="str">
        <f t="shared" si="25"/>
        <v/>
      </c>
      <c r="C121" s="153">
        <f>IF(D93="","-",+C120+1)</f>
        <v>2034</v>
      </c>
      <c r="D121" s="154">
        <f>IF(F120+SUM(E$99:E120)=D$92,F120,D$92-SUM(E$99:E120))</f>
        <v>30892750.693859361</v>
      </c>
      <c r="E121" s="160">
        <f>IF(+J96&lt;F120,J96,D121)</f>
        <v>1412042.5714285714</v>
      </c>
      <c r="F121" s="159">
        <f t="shared" si="26"/>
        <v>29480708.12243079</v>
      </c>
      <c r="G121" s="159">
        <f t="shared" si="27"/>
        <v>30186729.408145078</v>
      </c>
      <c r="H121" s="163">
        <f t="shared" si="28"/>
        <v>5078868.5953478832</v>
      </c>
      <c r="I121" s="253">
        <f t="shared" si="29"/>
        <v>5078868.5953478832</v>
      </c>
      <c r="J121" s="158">
        <f t="shared" si="21"/>
        <v>0</v>
      </c>
      <c r="K121" s="158"/>
      <c r="L121" s="334"/>
      <c r="M121" s="158">
        <f t="shared" si="22"/>
        <v>0</v>
      </c>
      <c r="N121" s="334"/>
      <c r="O121" s="158">
        <f t="shared" si="23"/>
        <v>0</v>
      </c>
      <c r="P121" s="158">
        <f t="shared" si="24"/>
        <v>0</v>
      </c>
      <c r="Q121" s="1"/>
    </row>
    <row r="122" spans="2:17">
      <c r="B122" s="9" t="str">
        <f t="shared" si="25"/>
        <v/>
      </c>
      <c r="C122" s="153">
        <f>IF(D93="","-",+C121+1)</f>
        <v>2035</v>
      </c>
      <c r="D122" s="154">
        <f>IF(F121+SUM(E$99:E121)=D$92,F121,D$92-SUM(E$99:E121))</f>
        <v>29480708.12243079</v>
      </c>
      <c r="E122" s="160">
        <f>IF(+J96&lt;F121,J96,D122)</f>
        <v>1412042.5714285714</v>
      </c>
      <c r="F122" s="159">
        <f t="shared" si="26"/>
        <v>28068665.551002219</v>
      </c>
      <c r="G122" s="159">
        <f t="shared" si="27"/>
        <v>28774686.836716503</v>
      </c>
      <c r="H122" s="163">
        <f t="shared" si="28"/>
        <v>4907345.7258846154</v>
      </c>
      <c r="I122" s="253">
        <f t="shared" si="29"/>
        <v>4907345.7258846154</v>
      </c>
      <c r="J122" s="158">
        <f t="shared" si="21"/>
        <v>0</v>
      </c>
      <c r="K122" s="158"/>
      <c r="L122" s="334"/>
      <c r="M122" s="158">
        <f t="shared" si="22"/>
        <v>0</v>
      </c>
      <c r="N122" s="334"/>
      <c r="O122" s="158">
        <f t="shared" si="23"/>
        <v>0</v>
      </c>
      <c r="P122" s="158">
        <f t="shared" si="24"/>
        <v>0</v>
      </c>
      <c r="Q122" s="1"/>
    </row>
    <row r="123" spans="2:17">
      <c r="B123" s="9" t="str">
        <f t="shared" si="25"/>
        <v/>
      </c>
      <c r="C123" s="153">
        <f>IF(D93="","-",+C122+1)</f>
        <v>2036</v>
      </c>
      <c r="D123" s="154">
        <f>IF(F122+SUM(E$99:E122)=D$92,F122,D$92-SUM(E$99:E122))</f>
        <v>28068665.551002219</v>
      </c>
      <c r="E123" s="160">
        <f>IF(+J96&lt;F122,J96,D123)</f>
        <v>1412042.5714285714</v>
      </c>
      <c r="F123" s="159">
        <f t="shared" si="26"/>
        <v>26656622.979573648</v>
      </c>
      <c r="G123" s="159">
        <f t="shared" si="27"/>
        <v>27362644.265287936</v>
      </c>
      <c r="H123" s="163">
        <f t="shared" si="28"/>
        <v>4735822.8564213496</v>
      </c>
      <c r="I123" s="253">
        <f t="shared" si="29"/>
        <v>4735822.8564213496</v>
      </c>
      <c r="J123" s="158">
        <f t="shared" si="21"/>
        <v>0</v>
      </c>
      <c r="K123" s="158"/>
      <c r="L123" s="334"/>
      <c r="M123" s="158">
        <f t="shared" si="22"/>
        <v>0</v>
      </c>
      <c r="N123" s="334"/>
      <c r="O123" s="158">
        <f t="shared" si="23"/>
        <v>0</v>
      </c>
      <c r="P123" s="158">
        <f t="shared" si="24"/>
        <v>0</v>
      </c>
      <c r="Q123" s="1"/>
    </row>
    <row r="124" spans="2:17">
      <c r="B124" s="9" t="str">
        <f t="shared" si="25"/>
        <v/>
      </c>
      <c r="C124" s="153">
        <f>IF(D93="","-",+C123+1)</f>
        <v>2037</v>
      </c>
      <c r="D124" s="154">
        <f>IF(F123+SUM(E$99:E123)=D$92,F123,D$92-SUM(E$99:E123))</f>
        <v>26656622.979573648</v>
      </c>
      <c r="E124" s="160">
        <f>IF(+J96&lt;F123,J96,D124)</f>
        <v>1412042.5714285714</v>
      </c>
      <c r="F124" s="159">
        <f t="shared" si="26"/>
        <v>25244580.408145078</v>
      </c>
      <c r="G124" s="159">
        <f t="shared" si="27"/>
        <v>25950601.693859361</v>
      </c>
      <c r="H124" s="163">
        <f t="shared" si="28"/>
        <v>4564299.9869580818</v>
      </c>
      <c r="I124" s="253">
        <f t="shared" si="29"/>
        <v>4564299.9869580818</v>
      </c>
      <c r="J124" s="158">
        <f t="shared" si="21"/>
        <v>0</v>
      </c>
      <c r="K124" s="158"/>
      <c r="L124" s="334"/>
      <c r="M124" s="158">
        <f t="shared" si="22"/>
        <v>0</v>
      </c>
      <c r="N124" s="334"/>
      <c r="O124" s="158">
        <f t="shared" si="23"/>
        <v>0</v>
      </c>
      <c r="P124" s="158">
        <f t="shared" si="24"/>
        <v>0</v>
      </c>
      <c r="Q124" s="1"/>
    </row>
    <row r="125" spans="2:17">
      <c r="B125" s="9" t="str">
        <f t="shared" si="25"/>
        <v/>
      </c>
      <c r="C125" s="153">
        <f>IF(D93="","-",+C124+1)</f>
        <v>2038</v>
      </c>
      <c r="D125" s="154">
        <f>IF(F124+SUM(E$99:E124)=D$92,F124,D$92-SUM(E$99:E124))</f>
        <v>25244580.408145078</v>
      </c>
      <c r="E125" s="160">
        <f>IF(+J96&lt;F124,J96,D125)</f>
        <v>1412042.5714285714</v>
      </c>
      <c r="F125" s="159">
        <f t="shared" si="26"/>
        <v>23832537.836716507</v>
      </c>
      <c r="G125" s="159">
        <f t="shared" si="27"/>
        <v>24538559.122430794</v>
      </c>
      <c r="H125" s="163">
        <f t="shared" si="28"/>
        <v>4392777.117494816</v>
      </c>
      <c r="I125" s="253">
        <f t="shared" si="29"/>
        <v>4392777.117494816</v>
      </c>
      <c r="J125" s="158">
        <f t="shared" si="21"/>
        <v>0</v>
      </c>
      <c r="K125" s="158"/>
      <c r="L125" s="334"/>
      <c r="M125" s="158">
        <f t="shared" si="22"/>
        <v>0</v>
      </c>
      <c r="N125" s="334"/>
      <c r="O125" s="158">
        <f t="shared" si="23"/>
        <v>0</v>
      </c>
      <c r="P125" s="158">
        <f t="shared" si="24"/>
        <v>0</v>
      </c>
      <c r="Q125" s="1"/>
    </row>
    <row r="126" spans="2:17">
      <c r="B126" s="9" t="str">
        <f t="shared" si="25"/>
        <v/>
      </c>
      <c r="C126" s="153">
        <f>IF(D93="","-",+C125+1)</f>
        <v>2039</v>
      </c>
      <c r="D126" s="154">
        <f>IF(F125+SUM(E$99:E125)=D$92,F125,D$92-SUM(E$99:E125))</f>
        <v>23832537.836716507</v>
      </c>
      <c r="E126" s="160">
        <f>IF(+J96&lt;F125,J96,D126)</f>
        <v>1412042.5714285714</v>
      </c>
      <c r="F126" s="159">
        <f t="shared" si="26"/>
        <v>22420495.265287936</v>
      </c>
      <c r="G126" s="159">
        <f t="shared" si="27"/>
        <v>23126516.551002219</v>
      </c>
      <c r="H126" s="163">
        <f t="shared" si="28"/>
        <v>4221254.2480315482</v>
      </c>
      <c r="I126" s="253">
        <f t="shared" si="29"/>
        <v>4221254.2480315482</v>
      </c>
      <c r="J126" s="158">
        <f t="shared" si="21"/>
        <v>0</v>
      </c>
      <c r="K126" s="158"/>
      <c r="L126" s="334"/>
      <c r="M126" s="158">
        <f t="shared" si="22"/>
        <v>0</v>
      </c>
      <c r="N126" s="334"/>
      <c r="O126" s="158">
        <f t="shared" si="23"/>
        <v>0</v>
      </c>
      <c r="P126" s="158">
        <f t="shared" si="24"/>
        <v>0</v>
      </c>
      <c r="Q126" s="1"/>
    </row>
    <row r="127" spans="2:17">
      <c r="B127" s="9" t="str">
        <f t="shared" si="25"/>
        <v/>
      </c>
      <c r="C127" s="153">
        <f>IF(D93="","-",+C126+1)</f>
        <v>2040</v>
      </c>
      <c r="D127" s="154">
        <f>IF(F126+SUM(E$99:E126)=D$92,F126,D$92-SUM(E$99:E126))</f>
        <v>22420495.265287936</v>
      </c>
      <c r="E127" s="160">
        <f>IF(+J96&lt;F126,J96,D127)</f>
        <v>1412042.5714285714</v>
      </c>
      <c r="F127" s="159">
        <f t="shared" si="26"/>
        <v>21008452.693859365</v>
      </c>
      <c r="G127" s="159">
        <f t="shared" si="27"/>
        <v>21714473.979573652</v>
      </c>
      <c r="H127" s="163">
        <f t="shared" si="28"/>
        <v>4049731.3785682819</v>
      </c>
      <c r="I127" s="253">
        <f t="shared" si="29"/>
        <v>4049731.3785682819</v>
      </c>
      <c r="J127" s="158">
        <f t="shared" si="21"/>
        <v>0</v>
      </c>
      <c r="K127" s="158"/>
      <c r="L127" s="334"/>
      <c r="M127" s="158">
        <f t="shared" si="22"/>
        <v>0</v>
      </c>
      <c r="N127" s="334"/>
      <c r="O127" s="158">
        <f t="shared" si="23"/>
        <v>0</v>
      </c>
      <c r="P127" s="158">
        <f t="shared" si="24"/>
        <v>0</v>
      </c>
      <c r="Q127" s="1"/>
    </row>
    <row r="128" spans="2:17">
      <c r="B128" s="9" t="str">
        <f t="shared" si="25"/>
        <v/>
      </c>
      <c r="C128" s="153">
        <f>IF(D93="","-",+C127+1)</f>
        <v>2041</v>
      </c>
      <c r="D128" s="154">
        <f>IF(F127+SUM(E$99:E127)=D$92,F127,D$92-SUM(E$99:E127))</f>
        <v>21008452.693859365</v>
      </c>
      <c r="E128" s="160">
        <f>IF(+J96&lt;F127,J96,D128)</f>
        <v>1412042.5714285714</v>
      </c>
      <c r="F128" s="159">
        <f t="shared" si="26"/>
        <v>19596410.122430794</v>
      </c>
      <c r="G128" s="159">
        <f t="shared" si="27"/>
        <v>20302431.408145078</v>
      </c>
      <c r="H128" s="163">
        <f t="shared" si="28"/>
        <v>3878208.5091050146</v>
      </c>
      <c r="I128" s="253">
        <f t="shared" si="29"/>
        <v>3878208.5091050146</v>
      </c>
      <c r="J128" s="158">
        <f t="shared" si="21"/>
        <v>0</v>
      </c>
      <c r="K128" s="158"/>
      <c r="L128" s="334"/>
      <c r="M128" s="158">
        <f t="shared" si="22"/>
        <v>0</v>
      </c>
      <c r="N128" s="334"/>
      <c r="O128" s="158">
        <f t="shared" si="23"/>
        <v>0</v>
      </c>
      <c r="P128" s="158">
        <f t="shared" si="24"/>
        <v>0</v>
      </c>
      <c r="Q128" s="1"/>
    </row>
    <row r="129" spans="2:17">
      <c r="B129" s="9" t="str">
        <f t="shared" si="25"/>
        <v/>
      </c>
      <c r="C129" s="153">
        <f>IF(D93="","-",+C128+1)</f>
        <v>2042</v>
      </c>
      <c r="D129" s="154">
        <f>IF(F128+SUM(E$99:E128)=D$92,F128,D$92-SUM(E$99:E128))</f>
        <v>19596410.122430794</v>
      </c>
      <c r="E129" s="160">
        <f>IF(+J96&lt;F128,J96,D129)</f>
        <v>1412042.5714285714</v>
      </c>
      <c r="F129" s="159">
        <f t="shared" si="26"/>
        <v>18184367.551002223</v>
      </c>
      <c r="G129" s="159">
        <f t="shared" si="27"/>
        <v>18890388.83671651</v>
      </c>
      <c r="H129" s="163">
        <f t="shared" si="28"/>
        <v>3706685.6396417478</v>
      </c>
      <c r="I129" s="253">
        <f t="shared" si="29"/>
        <v>3706685.6396417478</v>
      </c>
      <c r="J129" s="158">
        <f t="shared" si="21"/>
        <v>0</v>
      </c>
      <c r="K129" s="158"/>
      <c r="L129" s="334"/>
      <c r="M129" s="158">
        <f t="shared" si="22"/>
        <v>0</v>
      </c>
      <c r="N129" s="334"/>
      <c r="O129" s="158">
        <f t="shared" si="23"/>
        <v>0</v>
      </c>
      <c r="P129" s="158">
        <f t="shared" si="24"/>
        <v>0</v>
      </c>
      <c r="Q129" s="1"/>
    </row>
    <row r="130" spans="2:17">
      <c r="B130" s="9" t="str">
        <f t="shared" si="25"/>
        <v/>
      </c>
      <c r="C130" s="153">
        <f>IF(D93="","-",+C129+1)</f>
        <v>2043</v>
      </c>
      <c r="D130" s="154">
        <f>IF(F129+SUM(E$99:E129)=D$92,F129,D$92-SUM(E$99:E129))</f>
        <v>18184367.551002223</v>
      </c>
      <c r="E130" s="160">
        <f>IF(+J96&lt;F129,J96,D130)</f>
        <v>1412042.5714285714</v>
      </c>
      <c r="F130" s="159">
        <f t="shared" si="26"/>
        <v>16772324.979573652</v>
      </c>
      <c r="G130" s="159">
        <f t="shared" si="27"/>
        <v>17478346.265287936</v>
      </c>
      <c r="H130" s="163">
        <f t="shared" si="28"/>
        <v>3535162.7701784805</v>
      </c>
      <c r="I130" s="253">
        <f t="shared" si="29"/>
        <v>3535162.7701784805</v>
      </c>
      <c r="J130" s="158">
        <f t="shared" si="21"/>
        <v>0</v>
      </c>
      <c r="K130" s="158"/>
      <c r="L130" s="334"/>
      <c r="M130" s="158">
        <f t="shared" si="22"/>
        <v>0</v>
      </c>
      <c r="N130" s="334"/>
      <c r="O130" s="158">
        <f t="shared" si="23"/>
        <v>0</v>
      </c>
      <c r="P130" s="158">
        <f t="shared" si="24"/>
        <v>0</v>
      </c>
      <c r="Q130" s="1"/>
    </row>
    <row r="131" spans="2:17">
      <c r="B131" s="9" t="str">
        <f t="shared" si="25"/>
        <v/>
      </c>
      <c r="C131" s="153">
        <f>IF(D93="","-",+C130+1)</f>
        <v>2044</v>
      </c>
      <c r="D131" s="154">
        <f>IF(F130+SUM(E$99:E130)=D$92,F130,D$92-SUM(E$99:E130))</f>
        <v>16772324.979573652</v>
      </c>
      <c r="E131" s="160">
        <f>IF(+J96&lt;F130,J96,D131)</f>
        <v>1412042.5714285714</v>
      </c>
      <c r="F131" s="159">
        <f t="shared" si="26"/>
        <v>15360282.408145081</v>
      </c>
      <c r="G131" s="159">
        <f t="shared" ref="G131:G154" si="30">+(F131+D131)/2</f>
        <v>16066303.693859367</v>
      </c>
      <c r="H131" s="163">
        <f t="shared" ref="H131:H154" si="31">+J$94*G131+E131</f>
        <v>3363639.9007152142</v>
      </c>
      <c r="I131" s="253">
        <f t="shared" ref="I131:I154" si="32">+J$95*G131+E131</f>
        <v>3363639.9007152142</v>
      </c>
      <c r="J131" s="158">
        <f t="shared" ref="J131:J154" si="33">+I131-H131</f>
        <v>0</v>
      </c>
      <c r="K131" s="158"/>
      <c r="L131" s="334"/>
      <c r="M131" s="158">
        <f t="shared" ref="M131:M154" si="34">IF(L131&lt;&gt;0,+H131-L131,0)</f>
        <v>0</v>
      </c>
      <c r="N131" s="334"/>
      <c r="O131" s="158">
        <f t="shared" ref="O131:O154" si="35">IF(N131&lt;&gt;0,+I131-N131,0)</f>
        <v>0</v>
      </c>
      <c r="P131" s="158">
        <f t="shared" ref="P131:P154" si="36">+O131-M131</f>
        <v>0</v>
      </c>
      <c r="Q131" s="1"/>
    </row>
    <row r="132" spans="2:17">
      <c r="B132" s="9" t="str">
        <f t="shared" ref="B132:B154" si="37">IF(D132=F131,"","IU")</f>
        <v/>
      </c>
      <c r="C132" s="153">
        <f>IF(D93="","-",+C131+1)</f>
        <v>2045</v>
      </c>
      <c r="D132" s="154">
        <f>IF(F131+SUM(E$99:E131)=D$92,F131,D$92-SUM(E$99:E131))</f>
        <v>15360282.408145081</v>
      </c>
      <c r="E132" s="160">
        <f>IF(+J96&lt;F131,J96,D132)</f>
        <v>1412042.5714285714</v>
      </c>
      <c r="F132" s="159">
        <f t="shared" ref="F132:F154" si="38">+D132-E132</f>
        <v>13948239.83671651</v>
      </c>
      <c r="G132" s="159">
        <f t="shared" si="30"/>
        <v>14654261.122430796</v>
      </c>
      <c r="H132" s="163">
        <f t="shared" si="31"/>
        <v>3192117.0312519474</v>
      </c>
      <c r="I132" s="253">
        <f t="shared" si="32"/>
        <v>3192117.0312519474</v>
      </c>
      <c r="J132" s="158">
        <f t="shared" si="33"/>
        <v>0</v>
      </c>
      <c r="K132" s="158"/>
      <c r="L132" s="334"/>
      <c r="M132" s="158">
        <f t="shared" si="34"/>
        <v>0</v>
      </c>
      <c r="N132" s="334"/>
      <c r="O132" s="158">
        <f t="shared" si="35"/>
        <v>0</v>
      </c>
      <c r="P132" s="158">
        <f t="shared" si="36"/>
        <v>0</v>
      </c>
      <c r="Q132" s="1"/>
    </row>
    <row r="133" spans="2:17">
      <c r="B133" s="9" t="str">
        <f t="shared" si="37"/>
        <v/>
      </c>
      <c r="C133" s="153">
        <f>IF(D93="","-",+C132+1)</f>
        <v>2046</v>
      </c>
      <c r="D133" s="154">
        <f>IF(F132+SUM(E$99:E132)=D$92,F132,D$92-SUM(E$99:E132))</f>
        <v>13948239.83671651</v>
      </c>
      <c r="E133" s="160">
        <f>IF(+J96&lt;F132,J96,D133)</f>
        <v>1412042.5714285714</v>
      </c>
      <c r="F133" s="159">
        <f t="shared" si="38"/>
        <v>12536197.265287939</v>
      </c>
      <c r="G133" s="159">
        <f t="shared" si="30"/>
        <v>13242218.551002225</v>
      </c>
      <c r="H133" s="163">
        <f t="shared" si="31"/>
        <v>3020594.1617886806</v>
      </c>
      <c r="I133" s="253">
        <f t="shared" si="32"/>
        <v>3020594.1617886806</v>
      </c>
      <c r="J133" s="158">
        <f t="shared" si="33"/>
        <v>0</v>
      </c>
      <c r="K133" s="158"/>
      <c r="L133" s="334"/>
      <c r="M133" s="158">
        <f t="shared" si="34"/>
        <v>0</v>
      </c>
      <c r="N133" s="334"/>
      <c r="O133" s="158">
        <f t="shared" si="35"/>
        <v>0</v>
      </c>
      <c r="P133" s="158">
        <f t="shared" si="36"/>
        <v>0</v>
      </c>
      <c r="Q133" s="1"/>
    </row>
    <row r="134" spans="2:17">
      <c r="B134" s="9" t="str">
        <f t="shared" si="37"/>
        <v/>
      </c>
      <c r="C134" s="153">
        <f>IF(D93="","-",+C133+1)</f>
        <v>2047</v>
      </c>
      <c r="D134" s="154">
        <f>IF(F133+SUM(E$99:E133)=D$92,F133,D$92-SUM(E$99:E133))</f>
        <v>12536197.265287939</v>
      </c>
      <c r="E134" s="160">
        <f>IF(+J96&lt;F133,J96,D134)</f>
        <v>1412042.5714285714</v>
      </c>
      <c r="F134" s="159">
        <f t="shared" si="38"/>
        <v>11124154.693859369</v>
      </c>
      <c r="G134" s="159">
        <f t="shared" si="30"/>
        <v>11830175.979573654</v>
      </c>
      <c r="H134" s="163">
        <f t="shared" si="31"/>
        <v>2849071.2923254138</v>
      </c>
      <c r="I134" s="253">
        <f t="shared" si="32"/>
        <v>2849071.2923254138</v>
      </c>
      <c r="J134" s="158">
        <f t="shared" si="33"/>
        <v>0</v>
      </c>
      <c r="K134" s="158"/>
      <c r="L134" s="334"/>
      <c r="M134" s="158">
        <f t="shared" si="34"/>
        <v>0</v>
      </c>
      <c r="N134" s="334"/>
      <c r="O134" s="158">
        <f t="shared" si="35"/>
        <v>0</v>
      </c>
      <c r="P134" s="158">
        <f t="shared" si="36"/>
        <v>0</v>
      </c>
      <c r="Q134" s="1"/>
    </row>
    <row r="135" spans="2:17">
      <c r="B135" s="9" t="str">
        <f t="shared" si="37"/>
        <v/>
      </c>
      <c r="C135" s="153">
        <f>IF(D93="","-",+C134+1)</f>
        <v>2048</v>
      </c>
      <c r="D135" s="154">
        <f>IF(F134+SUM(E$99:E134)=D$92,F134,D$92-SUM(E$99:E134))</f>
        <v>11124154.693859369</v>
      </c>
      <c r="E135" s="160">
        <f>IF(+J96&lt;F134,J96,D135)</f>
        <v>1412042.5714285714</v>
      </c>
      <c r="F135" s="159">
        <f t="shared" si="38"/>
        <v>9712112.1224307977</v>
      </c>
      <c r="G135" s="159">
        <f t="shared" si="30"/>
        <v>10418133.408145083</v>
      </c>
      <c r="H135" s="163">
        <f t="shared" si="31"/>
        <v>2677548.4228621465</v>
      </c>
      <c r="I135" s="253">
        <f t="shared" si="32"/>
        <v>2677548.4228621465</v>
      </c>
      <c r="J135" s="158">
        <f t="shared" si="33"/>
        <v>0</v>
      </c>
      <c r="K135" s="158"/>
      <c r="L135" s="334"/>
      <c r="M135" s="158">
        <f t="shared" si="34"/>
        <v>0</v>
      </c>
      <c r="N135" s="334"/>
      <c r="O135" s="158">
        <f t="shared" si="35"/>
        <v>0</v>
      </c>
      <c r="P135" s="158">
        <f t="shared" si="36"/>
        <v>0</v>
      </c>
      <c r="Q135" s="1"/>
    </row>
    <row r="136" spans="2:17">
      <c r="B136" s="9" t="str">
        <f t="shared" si="37"/>
        <v/>
      </c>
      <c r="C136" s="153">
        <f>IF(D93="","-",+C135+1)</f>
        <v>2049</v>
      </c>
      <c r="D136" s="154">
        <f>IF(F135+SUM(E$99:E135)=D$92,F135,D$92-SUM(E$99:E135))</f>
        <v>9712112.1224307977</v>
      </c>
      <c r="E136" s="160">
        <f>IF(+J96&lt;F135,J96,D136)</f>
        <v>1412042.5714285714</v>
      </c>
      <c r="F136" s="159">
        <f t="shared" si="38"/>
        <v>8300069.5510022268</v>
      </c>
      <c r="G136" s="159">
        <f t="shared" si="30"/>
        <v>9006090.8367165122</v>
      </c>
      <c r="H136" s="163">
        <f t="shared" si="31"/>
        <v>2506025.5533988797</v>
      </c>
      <c r="I136" s="253">
        <f t="shared" si="32"/>
        <v>2506025.5533988797</v>
      </c>
      <c r="J136" s="158">
        <f t="shared" si="33"/>
        <v>0</v>
      </c>
      <c r="K136" s="158"/>
      <c r="L136" s="334"/>
      <c r="M136" s="158">
        <f t="shared" si="34"/>
        <v>0</v>
      </c>
      <c r="N136" s="334"/>
      <c r="O136" s="158">
        <f t="shared" si="35"/>
        <v>0</v>
      </c>
      <c r="P136" s="158">
        <f t="shared" si="36"/>
        <v>0</v>
      </c>
      <c r="Q136" s="1"/>
    </row>
    <row r="137" spans="2:17">
      <c r="B137" s="9" t="str">
        <f t="shared" si="37"/>
        <v/>
      </c>
      <c r="C137" s="153">
        <f>IF(D93="","-",+C136+1)</f>
        <v>2050</v>
      </c>
      <c r="D137" s="154">
        <f>IF(F136+SUM(E$99:E136)=D$92,F136,D$92-SUM(E$99:E136))</f>
        <v>8300069.5510022268</v>
      </c>
      <c r="E137" s="160">
        <f>IF(+J96&lt;F136,J96,D137)</f>
        <v>1412042.5714285714</v>
      </c>
      <c r="F137" s="159">
        <f t="shared" si="38"/>
        <v>6888026.9795736559</v>
      </c>
      <c r="G137" s="159">
        <f t="shared" si="30"/>
        <v>7594048.2652879413</v>
      </c>
      <c r="H137" s="163">
        <f t="shared" si="31"/>
        <v>2334502.6839356129</v>
      </c>
      <c r="I137" s="253">
        <f t="shared" si="32"/>
        <v>2334502.6839356129</v>
      </c>
      <c r="J137" s="158">
        <f t="shared" si="33"/>
        <v>0</v>
      </c>
      <c r="K137" s="158"/>
      <c r="L137" s="334"/>
      <c r="M137" s="158">
        <f t="shared" si="34"/>
        <v>0</v>
      </c>
      <c r="N137" s="334"/>
      <c r="O137" s="158">
        <f t="shared" si="35"/>
        <v>0</v>
      </c>
      <c r="P137" s="158">
        <f t="shared" si="36"/>
        <v>0</v>
      </c>
      <c r="Q137" s="1"/>
    </row>
    <row r="138" spans="2:17">
      <c r="B138" s="9" t="str">
        <f t="shared" si="37"/>
        <v/>
      </c>
      <c r="C138" s="153">
        <f>IF(D93="","-",+C137+1)</f>
        <v>2051</v>
      </c>
      <c r="D138" s="154">
        <f>IF(F137+SUM(E$99:E137)=D$92,F137,D$92-SUM(E$99:E137))</f>
        <v>6888026.9795736559</v>
      </c>
      <c r="E138" s="160">
        <f>IF(+J96&lt;F137,J96,D138)</f>
        <v>1412042.5714285714</v>
      </c>
      <c r="F138" s="159">
        <f t="shared" si="38"/>
        <v>5475984.408145085</v>
      </c>
      <c r="G138" s="159">
        <f t="shared" si="30"/>
        <v>6182005.6938593704</v>
      </c>
      <c r="H138" s="163">
        <f t="shared" si="31"/>
        <v>2162979.8144723461</v>
      </c>
      <c r="I138" s="253">
        <f t="shared" si="32"/>
        <v>2162979.8144723461</v>
      </c>
      <c r="J138" s="158">
        <f t="shared" si="33"/>
        <v>0</v>
      </c>
      <c r="K138" s="158"/>
      <c r="L138" s="334"/>
      <c r="M138" s="158">
        <f t="shared" si="34"/>
        <v>0</v>
      </c>
      <c r="N138" s="334"/>
      <c r="O138" s="158">
        <f t="shared" si="35"/>
        <v>0</v>
      </c>
      <c r="P138" s="158">
        <f t="shared" si="36"/>
        <v>0</v>
      </c>
      <c r="Q138" s="1"/>
    </row>
    <row r="139" spans="2:17">
      <c r="B139" s="9" t="str">
        <f t="shared" si="37"/>
        <v>IU</v>
      </c>
      <c r="C139" s="153">
        <f>IF(D93="","-",+C138+1)</f>
        <v>2052</v>
      </c>
      <c r="D139" s="154">
        <f>IF(F138+SUM(E$99:E138)=D$92,F138,D$92-SUM(E$99:E138))</f>
        <v>5475984.4081450328</v>
      </c>
      <c r="E139" s="160">
        <f>IF(+J96&lt;F138,J96,D139)</f>
        <v>1412042.5714285714</v>
      </c>
      <c r="F139" s="159">
        <f t="shared" si="38"/>
        <v>4063941.8367164615</v>
      </c>
      <c r="G139" s="159">
        <f t="shared" si="30"/>
        <v>4769963.1224307474</v>
      </c>
      <c r="H139" s="163">
        <f t="shared" si="31"/>
        <v>1991456.9450090728</v>
      </c>
      <c r="I139" s="253">
        <f t="shared" si="32"/>
        <v>1991456.9450090728</v>
      </c>
      <c r="J139" s="158">
        <f t="shared" si="33"/>
        <v>0</v>
      </c>
      <c r="K139" s="158"/>
      <c r="L139" s="334"/>
      <c r="M139" s="158">
        <f t="shared" si="34"/>
        <v>0</v>
      </c>
      <c r="N139" s="334"/>
      <c r="O139" s="158">
        <f t="shared" si="35"/>
        <v>0</v>
      </c>
      <c r="P139" s="158">
        <f t="shared" si="36"/>
        <v>0</v>
      </c>
      <c r="Q139" s="1"/>
    </row>
    <row r="140" spans="2:17">
      <c r="B140" s="9" t="str">
        <f t="shared" si="37"/>
        <v/>
      </c>
      <c r="C140" s="153">
        <f>IF(D93="","-",+C139+1)</f>
        <v>2053</v>
      </c>
      <c r="D140" s="154">
        <f>IF(F139+SUM(E$99:E139)=D$92,F139,D$92-SUM(E$99:E139))</f>
        <v>4063941.8367164615</v>
      </c>
      <c r="E140" s="160">
        <f>IF(+J96&lt;F139,J96,D140)</f>
        <v>1412042.5714285714</v>
      </c>
      <c r="F140" s="159">
        <f t="shared" si="38"/>
        <v>2651899.2652878901</v>
      </c>
      <c r="G140" s="159">
        <f t="shared" si="30"/>
        <v>3357920.5510021755</v>
      </c>
      <c r="H140" s="163">
        <f t="shared" si="31"/>
        <v>1819934.075545806</v>
      </c>
      <c r="I140" s="253">
        <f t="shared" si="32"/>
        <v>1819934.075545806</v>
      </c>
      <c r="J140" s="158">
        <f t="shared" si="33"/>
        <v>0</v>
      </c>
      <c r="K140" s="158"/>
      <c r="L140" s="334"/>
      <c r="M140" s="158">
        <f t="shared" si="34"/>
        <v>0</v>
      </c>
      <c r="N140" s="334"/>
      <c r="O140" s="158">
        <f t="shared" si="35"/>
        <v>0</v>
      </c>
      <c r="P140" s="158">
        <f t="shared" si="36"/>
        <v>0</v>
      </c>
      <c r="Q140" s="1"/>
    </row>
    <row r="141" spans="2:17">
      <c r="B141" s="9" t="str">
        <f t="shared" si="37"/>
        <v/>
      </c>
      <c r="C141" s="153">
        <f>IF(D93="","-",+C140+1)</f>
        <v>2054</v>
      </c>
      <c r="D141" s="154">
        <f>IF(F140+SUM(E$99:E140)=D$92,F140,D$92-SUM(E$99:E140))</f>
        <v>2651899.2652878901</v>
      </c>
      <c r="E141" s="160">
        <f>IF(+J96&lt;F140,J96,D141)</f>
        <v>1412042.5714285714</v>
      </c>
      <c r="F141" s="159">
        <f t="shared" si="38"/>
        <v>1239856.6938593187</v>
      </c>
      <c r="G141" s="159">
        <f t="shared" si="30"/>
        <v>1945877.9795736044</v>
      </c>
      <c r="H141" s="163">
        <f t="shared" si="31"/>
        <v>1648411.2060825389</v>
      </c>
      <c r="I141" s="253">
        <f t="shared" si="32"/>
        <v>1648411.2060825389</v>
      </c>
      <c r="J141" s="158">
        <f t="shared" si="33"/>
        <v>0</v>
      </c>
      <c r="K141" s="158"/>
      <c r="L141" s="334"/>
      <c r="M141" s="158">
        <f t="shared" si="34"/>
        <v>0</v>
      </c>
      <c r="N141" s="334"/>
      <c r="O141" s="158">
        <f t="shared" si="35"/>
        <v>0</v>
      </c>
      <c r="P141" s="158">
        <f t="shared" si="36"/>
        <v>0</v>
      </c>
      <c r="Q141" s="1"/>
    </row>
    <row r="142" spans="2:17">
      <c r="B142" s="9" t="str">
        <f t="shared" si="37"/>
        <v/>
      </c>
      <c r="C142" s="153">
        <f>IF(D93="","-",+C141+1)</f>
        <v>2055</v>
      </c>
      <c r="D142" s="154">
        <f>IF(F141+SUM(E$99:E141)=D$92,F141,D$92-SUM(E$99:E141))</f>
        <v>1239856.6938593187</v>
      </c>
      <c r="E142" s="160">
        <f>IF(+J96&lt;F141,J96,D142)</f>
        <v>1239856.6938593187</v>
      </c>
      <c r="F142" s="159">
        <f t="shared" si="38"/>
        <v>0</v>
      </c>
      <c r="G142" s="159">
        <f t="shared" si="30"/>
        <v>619928.34692965937</v>
      </c>
      <c r="H142" s="163">
        <f t="shared" si="31"/>
        <v>1315160.2938204857</v>
      </c>
      <c r="I142" s="253">
        <f t="shared" si="32"/>
        <v>1315160.2938204857</v>
      </c>
      <c r="J142" s="158">
        <f t="shared" si="33"/>
        <v>0</v>
      </c>
      <c r="K142" s="158"/>
      <c r="L142" s="334"/>
      <c r="M142" s="158">
        <f t="shared" si="34"/>
        <v>0</v>
      </c>
      <c r="N142" s="334"/>
      <c r="O142" s="158">
        <f t="shared" si="35"/>
        <v>0</v>
      </c>
      <c r="P142" s="158">
        <f t="shared" si="36"/>
        <v>0</v>
      </c>
      <c r="Q142" s="1"/>
    </row>
    <row r="143" spans="2:17">
      <c r="B143" s="9" t="str">
        <f t="shared" si="37"/>
        <v/>
      </c>
      <c r="C143" s="153">
        <f>IF(D93="","-",+C142+1)</f>
        <v>2056</v>
      </c>
      <c r="D143" s="154">
        <f>IF(F142+SUM(E$99:E142)=D$92,F142,D$92-SUM(E$99:E142))</f>
        <v>0</v>
      </c>
      <c r="E143" s="160">
        <f>IF(+J96&lt;F142,J96,D143)</f>
        <v>0</v>
      </c>
      <c r="F143" s="159">
        <f t="shared" si="38"/>
        <v>0</v>
      </c>
      <c r="G143" s="159">
        <f t="shared" si="30"/>
        <v>0</v>
      </c>
      <c r="H143" s="163">
        <f t="shared" si="31"/>
        <v>0</v>
      </c>
      <c r="I143" s="253">
        <f t="shared" si="32"/>
        <v>0</v>
      </c>
      <c r="J143" s="158">
        <f t="shared" si="33"/>
        <v>0</v>
      </c>
      <c r="K143" s="158"/>
      <c r="L143" s="334"/>
      <c r="M143" s="158">
        <f t="shared" si="34"/>
        <v>0</v>
      </c>
      <c r="N143" s="334"/>
      <c r="O143" s="158">
        <f t="shared" si="35"/>
        <v>0</v>
      </c>
      <c r="P143" s="158">
        <f t="shared" si="36"/>
        <v>0</v>
      </c>
      <c r="Q143" s="1"/>
    </row>
    <row r="144" spans="2:17">
      <c r="B144" s="9" t="str">
        <f t="shared" si="37"/>
        <v/>
      </c>
      <c r="C144" s="153">
        <f>IF(D93="","-",+C143+1)</f>
        <v>2057</v>
      </c>
      <c r="D144" s="154">
        <f>IF(F143+SUM(E$99:E143)=D$92,F143,D$92-SUM(E$99:E143))</f>
        <v>0</v>
      </c>
      <c r="E144" s="160">
        <f>IF(+J96&lt;F143,J96,D144)</f>
        <v>0</v>
      </c>
      <c r="F144" s="159">
        <f t="shared" si="38"/>
        <v>0</v>
      </c>
      <c r="G144" s="159">
        <f t="shared" si="30"/>
        <v>0</v>
      </c>
      <c r="H144" s="163">
        <f t="shared" si="31"/>
        <v>0</v>
      </c>
      <c r="I144" s="253">
        <f t="shared" si="32"/>
        <v>0</v>
      </c>
      <c r="J144" s="158">
        <f t="shared" si="33"/>
        <v>0</v>
      </c>
      <c r="K144" s="158"/>
      <c r="L144" s="334"/>
      <c r="M144" s="158">
        <f t="shared" si="34"/>
        <v>0</v>
      </c>
      <c r="N144" s="334"/>
      <c r="O144" s="158">
        <f t="shared" si="35"/>
        <v>0</v>
      </c>
      <c r="P144" s="158">
        <f t="shared" si="36"/>
        <v>0</v>
      </c>
      <c r="Q144" s="1"/>
    </row>
    <row r="145" spans="2:17">
      <c r="B145" s="9" t="str">
        <f t="shared" si="37"/>
        <v/>
      </c>
      <c r="C145" s="153">
        <f>IF(D93="","-",+C144+1)</f>
        <v>2058</v>
      </c>
      <c r="D145" s="154">
        <f>IF(F144+SUM(E$99:E144)=D$92,F144,D$92-SUM(E$99:E144))</f>
        <v>0</v>
      </c>
      <c r="E145" s="160">
        <f>IF(+J96&lt;F144,J96,D145)</f>
        <v>0</v>
      </c>
      <c r="F145" s="159">
        <f t="shared" si="38"/>
        <v>0</v>
      </c>
      <c r="G145" s="159">
        <f t="shared" si="30"/>
        <v>0</v>
      </c>
      <c r="H145" s="163">
        <f t="shared" si="31"/>
        <v>0</v>
      </c>
      <c r="I145" s="253">
        <f t="shared" si="32"/>
        <v>0</v>
      </c>
      <c r="J145" s="158">
        <f t="shared" si="33"/>
        <v>0</v>
      </c>
      <c r="K145" s="158"/>
      <c r="L145" s="334"/>
      <c r="M145" s="158">
        <f t="shared" si="34"/>
        <v>0</v>
      </c>
      <c r="N145" s="334"/>
      <c r="O145" s="158">
        <f t="shared" si="35"/>
        <v>0</v>
      </c>
      <c r="P145" s="158">
        <f t="shared" si="36"/>
        <v>0</v>
      </c>
      <c r="Q145" s="1"/>
    </row>
    <row r="146" spans="2:17">
      <c r="B146" s="9" t="str">
        <f t="shared" si="37"/>
        <v/>
      </c>
      <c r="C146" s="153">
        <f>IF(D93="","-",+C145+1)</f>
        <v>2059</v>
      </c>
      <c r="D146" s="154">
        <f>IF(F145+SUM(E$99:E145)=D$92,F145,D$92-SUM(E$99:E145))</f>
        <v>0</v>
      </c>
      <c r="E146" s="160">
        <f>IF(+J96&lt;F145,J96,D146)</f>
        <v>0</v>
      </c>
      <c r="F146" s="159">
        <f t="shared" si="38"/>
        <v>0</v>
      </c>
      <c r="G146" s="159">
        <f t="shared" si="30"/>
        <v>0</v>
      </c>
      <c r="H146" s="163">
        <f t="shared" si="31"/>
        <v>0</v>
      </c>
      <c r="I146" s="253">
        <f t="shared" si="32"/>
        <v>0</v>
      </c>
      <c r="J146" s="158">
        <f t="shared" si="33"/>
        <v>0</v>
      </c>
      <c r="K146" s="158"/>
      <c r="L146" s="334"/>
      <c r="M146" s="158">
        <f t="shared" si="34"/>
        <v>0</v>
      </c>
      <c r="N146" s="334"/>
      <c r="O146" s="158">
        <f t="shared" si="35"/>
        <v>0</v>
      </c>
      <c r="P146" s="158">
        <f t="shared" si="36"/>
        <v>0</v>
      </c>
      <c r="Q146" s="1"/>
    </row>
    <row r="147" spans="2:17">
      <c r="B147" s="9" t="str">
        <f t="shared" si="37"/>
        <v/>
      </c>
      <c r="C147" s="153">
        <f>IF(D93="","-",+C146+1)</f>
        <v>2060</v>
      </c>
      <c r="D147" s="154">
        <f>IF(F146+SUM(E$99:E146)=D$92,F146,D$92-SUM(E$99:E146))</f>
        <v>0</v>
      </c>
      <c r="E147" s="160">
        <f>IF(+J96&lt;F146,J96,D147)</f>
        <v>0</v>
      </c>
      <c r="F147" s="159">
        <f t="shared" si="38"/>
        <v>0</v>
      </c>
      <c r="G147" s="159">
        <f t="shared" si="30"/>
        <v>0</v>
      </c>
      <c r="H147" s="163">
        <f t="shared" si="31"/>
        <v>0</v>
      </c>
      <c r="I147" s="253">
        <f t="shared" si="32"/>
        <v>0</v>
      </c>
      <c r="J147" s="158">
        <f t="shared" si="33"/>
        <v>0</v>
      </c>
      <c r="K147" s="158"/>
      <c r="L147" s="334"/>
      <c r="M147" s="158">
        <f t="shared" si="34"/>
        <v>0</v>
      </c>
      <c r="N147" s="334"/>
      <c r="O147" s="158">
        <f t="shared" si="35"/>
        <v>0</v>
      </c>
      <c r="P147" s="158">
        <f t="shared" si="36"/>
        <v>0</v>
      </c>
      <c r="Q147" s="1"/>
    </row>
    <row r="148" spans="2:17">
      <c r="B148" s="9" t="str">
        <f t="shared" si="37"/>
        <v/>
      </c>
      <c r="C148" s="153">
        <f>IF(D93="","-",+C147+1)</f>
        <v>2061</v>
      </c>
      <c r="D148" s="154">
        <f>IF(F147+SUM(E$99:E147)=D$92,F147,D$92-SUM(E$99:E147))</f>
        <v>0</v>
      </c>
      <c r="E148" s="160">
        <f>IF(+J96&lt;F147,J96,D148)</f>
        <v>0</v>
      </c>
      <c r="F148" s="159">
        <f t="shared" si="38"/>
        <v>0</v>
      </c>
      <c r="G148" s="159">
        <f t="shared" si="30"/>
        <v>0</v>
      </c>
      <c r="H148" s="163">
        <f t="shared" si="31"/>
        <v>0</v>
      </c>
      <c r="I148" s="253">
        <f t="shared" si="32"/>
        <v>0</v>
      </c>
      <c r="J148" s="158">
        <f t="shared" si="33"/>
        <v>0</v>
      </c>
      <c r="K148" s="158"/>
      <c r="L148" s="334"/>
      <c r="M148" s="158">
        <f t="shared" si="34"/>
        <v>0</v>
      </c>
      <c r="N148" s="334"/>
      <c r="O148" s="158">
        <f t="shared" si="35"/>
        <v>0</v>
      </c>
      <c r="P148" s="158">
        <f t="shared" si="36"/>
        <v>0</v>
      </c>
      <c r="Q148" s="1"/>
    </row>
    <row r="149" spans="2:17">
      <c r="B149" s="9" t="str">
        <f t="shared" si="37"/>
        <v/>
      </c>
      <c r="C149" s="153">
        <f>IF(D93="","-",+C148+1)</f>
        <v>2062</v>
      </c>
      <c r="D149" s="154">
        <f>IF(F148+SUM(E$99:E148)=D$92,F148,D$92-SUM(E$99:E148))</f>
        <v>0</v>
      </c>
      <c r="E149" s="160">
        <f>IF(+J96&lt;F148,J96,D149)</f>
        <v>0</v>
      </c>
      <c r="F149" s="159">
        <f t="shared" si="38"/>
        <v>0</v>
      </c>
      <c r="G149" s="159">
        <f t="shared" si="30"/>
        <v>0</v>
      </c>
      <c r="H149" s="163">
        <f t="shared" si="31"/>
        <v>0</v>
      </c>
      <c r="I149" s="253">
        <f t="shared" si="32"/>
        <v>0</v>
      </c>
      <c r="J149" s="158">
        <f t="shared" si="33"/>
        <v>0</v>
      </c>
      <c r="K149" s="158"/>
      <c r="L149" s="334"/>
      <c r="M149" s="158">
        <f t="shared" si="34"/>
        <v>0</v>
      </c>
      <c r="N149" s="334"/>
      <c r="O149" s="158">
        <f t="shared" si="35"/>
        <v>0</v>
      </c>
      <c r="P149" s="158">
        <f t="shared" si="36"/>
        <v>0</v>
      </c>
      <c r="Q149" s="1"/>
    </row>
    <row r="150" spans="2:17">
      <c r="B150" s="9" t="str">
        <f t="shared" si="37"/>
        <v/>
      </c>
      <c r="C150" s="153">
        <f>IF(D93="","-",+C149+1)</f>
        <v>2063</v>
      </c>
      <c r="D150" s="154">
        <f>IF(F149+SUM(E$99:E149)=D$92,F149,D$92-SUM(E$99:E149))</f>
        <v>0</v>
      </c>
      <c r="E150" s="160">
        <f>IF(+J96&lt;F149,J96,D150)</f>
        <v>0</v>
      </c>
      <c r="F150" s="159">
        <f t="shared" si="38"/>
        <v>0</v>
      </c>
      <c r="G150" s="159">
        <f t="shared" si="30"/>
        <v>0</v>
      </c>
      <c r="H150" s="163">
        <f t="shared" si="31"/>
        <v>0</v>
      </c>
      <c r="I150" s="253">
        <f t="shared" si="32"/>
        <v>0</v>
      </c>
      <c r="J150" s="158">
        <f t="shared" si="33"/>
        <v>0</v>
      </c>
      <c r="K150" s="158"/>
      <c r="L150" s="334"/>
      <c r="M150" s="158">
        <f t="shared" si="34"/>
        <v>0</v>
      </c>
      <c r="N150" s="334"/>
      <c r="O150" s="158">
        <f t="shared" si="35"/>
        <v>0</v>
      </c>
      <c r="P150" s="158">
        <f t="shared" si="36"/>
        <v>0</v>
      </c>
      <c r="Q150" s="1"/>
    </row>
    <row r="151" spans="2:17">
      <c r="B151" s="9" t="str">
        <f t="shared" si="37"/>
        <v/>
      </c>
      <c r="C151" s="153">
        <f>IF(D93="","-",+C150+1)</f>
        <v>2064</v>
      </c>
      <c r="D151" s="154">
        <f>IF(F150+SUM(E$99:E150)=D$92,F150,D$92-SUM(E$99:E150))</f>
        <v>0</v>
      </c>
      <c r="E151" s="160">
        <f>IF(+J96&lt;F150,J96,D151)</f>
        <v>0</v>
      </c>
      <c r="F151" s="159">
        <f t="shared" si="38"/>
        <v>0</v>
      </c>
      <c r="G151" s="159">
        <f t="shared" si="30"/>
        <v>0</v>
      </c>
      <c r="H151" s="163">
        <f t="shared" si="31"/>
        <v>0</v>
      </c>
      <c r="I151" s="253">
        <f t="shared" si="32"/>
        <v>0</v>
      </c>
      <c r="J151" s="158">
        <f t="shared" si="33"/>
        <v>0</v>
      </c>
      <c r="K151" s="158"/>
      <c r="L151" s="334"/>
      <c r="M151" s="158">
        <f t="shared" si="34"/>
        <v>0</v>
      </c>
      <c r="N151" s="334"/>
      <c r="O151" s="158">
        <f t="shared" si="35"/>
        <v>0</v>
      </c>
      <c r="P151" s="158">
        <f t="shared" si="36"/>
        <v>0</v>
      </c>
      <c r="Q151" s="1"/>
    </row>
    <row r="152" spans="2:17">
      <c r="B152" s="9" t="str">
        <f t="shared" si="37"/>
        <v/>
      </c>
      <c r="C152" s="153">
        <f>IF(D93="","-",+C151+1)</f>
        <v>2065</v>
      </c>
      <c r="D152" s="154">
        <f>IF(F151+SUM(E$99:E151)=D$92,F151,D$92-SUM(E$99:E151))</f>
        <v>0</v>
      </c>
      <c r="E152" s="160">
        <f>IF(+J96&lt;F151,J96,D152)</f>
        <v>0</v>
      </c>
      <c r="F152" s="159">
        <f t="shared" si="38"/>
        <v>0</v>
      </c>
      <c r="G152" s="159">
        <f t="shared" si="30"/>
        <v>0</v>
      </c>
      <c r="H152" s="163">
        <f t="shared" si="31"/>
        <v>0</v>
      </c>
      <c r="I152" s="253">
        <f t="shared" si="32"/>
        <v>0</v>
      </c>
      <c r="J152" s="158">
        <f t="shared" si="33"/>
        <v>0</v>
      </c>
      <c r="K152" s="158"/>
      <c r="L152" s="334"/>
      <c r="M152" s="158">
        <f t="shared" si="34"/>
        <v>0</v>
      </c>
      <c r="N152" s="334"/>
      <c r="O152" s="158">
        <f t="shared" si="35"/>
        <v>0</v>
      </c>
      <c r="P152" s="158">
        <f t="shared" si="36"/>
        <v>0</v>
      </c>
      <c r="Q152" s="1"/>
    </row>
    <row r="153" spans="2:17">
      <c r="B153" s="9" t="str">
        <f t="shared" si="37"/>
        <v/>
      </c>
      <c r="C153" s="153">
        <f>IF(D93="","-",+C152+1)</f>
        <v>2066</v>
      </c>
      <c r="D153" s="154">
        <f>IF(F152+SUM(E$99:E152)=D$92,F152,D$92-SUM(E$99:E152))</f>
        <v>0</v>
      </c>
      <c r="E153" s="160">
        <f>IF(+J96&lt;F152,J96,D153)</f>
        <v>0</v>
      </c>
      <c r="F153" s="159">
        <f t="shared" si="38"/>
        <v>0</v>
      </c>
      <c r="G153" s="159">
        <f t="shared" si="30"/>
        <v>0</v>
      </c>
      <c r="H153" s="163">
        <f t="shared" si="31"/>
        <v>0</v>
      </c>
      <c r="I153" s="253">
        <f t="shared" si="32"/>
        <v>0</v>
      </c>
      <c r="J153" s="158">
        <f t="shared" si="33"/>
        <v>0</v>
      </c>
      <c r="K153" s="158"/>
      <c r="L153" s="334"/>
      <c r="M153" s="158">
        <f t="shared" si="34"/>
        <v>0</v>
      </c>
      <c r="N153" s="334"/>
      <c r="O153" s="158">
        <f t="shared" si="35"/>
        <v>0</v>
      </c>
      <c r="P153" s="158">
        <f t="shared" si="36"/>
        <v>0</v>
      </c>
      <c r="Q153" s="1"/>
    </row>
    <row r="154" spans="2:17" ht="13.5" thickBot="1">
      <c r="B154" s="9" t="str">
        <f t="shared" si="37"/>
        <v/>
      </c>
      <c r="C154" s="164">
        <f>IF(D93="","-",+C153+1)</f>
        <v>2067</v>
      </c>
      <c r="D154" s="215">
        <f>IF(F153+SUM(E$99:E153)=D$92,F153,D$92-SUM(E$99:E153))</f>
        <v>0</v>
      </c>
      <c r="E154" s="166">
        <f>IF(+J96&lt;F153,J96,D154)</f>
        <v>0</v>
      </c>
      <c r="F154" s="165">
        <f t="shared" si="38"/>
        <v>0</v>
      </c>
      <c r="G154" s="165">
        <f t="shared" si="30"/>
        <v>0</v>
      </c>
      <c r="H154" s="167">
        <f t="shared" si="31"/>
        <v>0</v>
      </c>
      <c r="I154" s="254">
        <f t="shared" si="32"/>
        <v>0</v>
      </c>
      <c r="J154" s="169">
        <f t="shared" si="33"/>
        <v>0</v>
      </c>
      <c r="K154" s="158"/>
      <c r="L154" s="335"/>
      <c r="M154" s="169">
        <f t="shared" si="34"/>
        <v>0</v>
      </c>
      <c r="N154" s="335"/>
      <c r="O154" s="169">
        <f t="shared" si="35"/>
        <v>0</v>
      </c>
      <c r="P154" s="169">
        <f t="shared" si="36"/>
        <v>0</v>
      </c>
      <c r="Q154" s="1"/>
    </row>
    <row r="155" spans="2:17">
      <c r="C155" s="154" t="s">
        <v>73</v>
      </c>
      <c r="D155" s="111"/>
      <c r="E155" s="111">
        <f>SUM(E99:E154)</f>
        <v>59305788.000000007</v>
      </c>
      <c r="F155" s="111"/>
      <c r="G155" s="111"/>
      <c r="H155" s="111">
        <f>SUM(H99:H154)</f>
        <v>212606575.08953604</v>
      </c>
      <c r="I155" s="111">
        <f>SUM(I99:I154)</f>
        <v>212606575.08953604</v>
      </c>
      <c r="J155" s="111">
        <f>SUM(J99:J154)</f>
        <v>0</v>
      </c>
      <c r="K155" s="111"/>
      <c r="L155" s="111"/>
      <c r="M155" s="111"/>
      <c r="N155" s="111"/>
      <c r="O155" s="111"/>
      <c r="P155" s="1"/>
      <c r="Q155" s="1"/>
    </row>
    <row r="156" spans="2:17">
      <c r="D156" s="2"/>
      <c r="E156" s="1"/>
      <c r="F156" s="1"/>
      <c r="G156" s="1"/>
      <c r="H156" s="1"/>
      <c r="I156" s="3"/>
      <c r="J156" s="3"/>
      <c r="K156" s="111"/>
      <c r="L156" s="3"/>
      <c r="M156" s="3"/>
      <c r="N156" s="3"/>
      <c r="O156" s="3"/>
      <c r="P156" s="1"/>
      <c r="Q156" s="1"/>
    </row>
    <row r="157" spans="2:17">
      <c r="C157" s="216" t="s">
        <v>87</v>
      </c>
      <c r="D157" s="2"/>
      <c r="E157" s="1"/>
      <c r="F157" s="1"/>
      <c r="G157" s="1"/>
      <c r="H157" s="1"/>
      <c r="I157" s="3"/>
      <c r="J157" s="3"/>
      <c r="K157" s="111"/>
      <c r="L157" s="3"/>
      <c r="M157" s="3"/>
      <c r="N157" s="3"/>
      <c r="O157" s="3"/>
      <c r="P157" s="1"/>
      <c r="Q157" s="1"/>
    </row>
    <row r="158" spans="2:17">
      <c r="D158" s="2"/>
      <c r="E158" s="1"/>
      <c r="F158" s="1"/>
      <c r="G158" s="1"/>
      <c r="H158" s="1"/>
      <c r="I158" s="3"/>
      <c r="J158" s="3"/>
      <c r="K158" s="111"/>
      <c r="L158" s="3"/>
      <c r="M158" s="3"/>
      <c r="N158" s="3"/>
      <c r="O158" s="3"/>
      <c r="P158" s="1"/>
      <c r="Q158" s="1"/>
    </row>
    <row r="159" spans="2:17">
      <c r="C159" s="170" t="s">
        <v>92</v>
      </c>
      <c r="D159" s="154"/>
      <c r="E159" s="154"/>
      <c r="F159" s="154"/>
      <c r="G159" s="154"/>
      <c r="H159" s="111"/>
      <c r="I159" s="111"/>
      <c r="J159" s="171"/>
      <c r="K159" s="171"/>
      <c r="L159" s="171"/>
      <c r="M159" s="171"/>
      <c r="N159" s="171"/>
      <c r="O159" s="171"/>
      <c r="P159" s="1"/>
      <c r="Q159" s="1"/>
    </row>
    <row r="160" spans="2:17">
      <c r="C160" s="217" t="s">
        <v>74</v>
      </c>
      <c r="D160" s="154"/>
      <c r="E160" s="154"/>
      <c r="F160" s="154"/>
      <c r="G160" s="154"/>
      <c r="H160" s="111"/>
      <c r="I160" s="111"/>
      <c r="J160" s="171"/>
      <c r="K160" s="171"/>
      <c r="L160" s="171"/>
      <c r="M160" s="171"/>
      <c r="N160" s="171"/>
      <c r="O160" s="171"/>
      <c r="P160" s="1"/>
      <c r="Q160" s="1"/>
    </row>
    <row r="161" spans="3:17">
      <c r="C161" s="217" t="s">
        <v>75</v>
      </c>
      <c r="D161" s="154"/>
      <c r="E161" s="154"/>
      <c r="F161" s="154"/>
      <c r="G161" s="154"/>
      <c r="H161" s="111"/>
      <c r="I161" s="111"/>
      <c r="J161" s="171"/>
      <c r="K161" s="171"/>
      <c r="L161" s="171"/>
      <c r="M161" s="171"/>
      <c r="N161" s="171"/>
      <c r="O161" s="171"/>
      <c r="P161" s="1"/>
      <c r="Q161" s="1"/>
    </row>
    <row r="162" spans="3:17" ht="18">
      <c r="C162" s="217"/>
      <c r="D162" s="154"/>
      <c r="E162" s="154"/>
      <c r="F162" s="154"/>
      <c r="G162" s="154"/>
      <c r="H162" s="111"/>
      <c r="I162" s="111"/>
      <c r="J162" s="171"/>
      <c r="K162" s="171"/>
      <c r="L162" s="171"/>
      <c r="M162" s="171"/>
      <c r="N162" s="171"/>
      <c r="P162" s="237" t="s">
        <v>126</v>
      </c>
      <c r="Q162" s="1"/>
    </row>
  </sheetData>
  <phoneticPr fontId="0" type="noConversion"/>
  <conditionalFormatting sqref="C17:C72">
    <cfRule type="cellIs" dxfId="99" priority="1" stopIfTrue="1" operator="equal">
      <formula>$I$10</formula>
    </cfRule>
  </conditionalFormatting>
  <conditionalFormatting sqref="C99:C154">
    <cfRule type="cellIs" dxfId="98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0"/>
  <dimension ref="A1:Q162"/>
  <sheetViews>
    <sheetView view="pageBreakPreview" zoomScale="75" zoomScaleNormal="100" zoomScaleSheetLayoutView="75" workbookViewId="0">
      <selection activeCell="C19" sqref="C19"/>
    </sheetView>
  </sheetViews>
  <sheetFormatPr defaultRowHeight="12.75" customHeight="1"/>
  <cols>
    <col min="1" max="1" width="4.7109375" customWidth="1"/>
    <col min="2" max="2" width="6.7109375" customWidth="1"/>
    <col min="3" max="3" width="23.28515625" customWidth="1"/>
    <col min="4" max="8" width="17.7109375" customWidth="1"/>
    <col min="9" max="9" width="20.42578125" customWidth="1"/>
    <col min="10" max="10" width="16.42578125" customWidth="1"/>
    <col min="11" max="11" width="17.7109375" customWidth="1"/>
    <col min="12" max="12" width="18.42578125" customWidth="1"/>
    <col min="13" max="13" width="17.7109375" customWidth="1"/>
    <col min="14" max="14" width="19.140625" customWidth="1"/>
    <col min="15" max="15" width="20.140625" customWidth="1"/>
    <col min="16" max="16" width="24.42578125" customWidth="1"/>
    <col min="17" max="17" width="4.7109375" customWidth="1"/>
    <col min="23" max="23" width="9.140625" customWidth="1"/>
  </cols>
  <sheetData>
    <row r="1" spans="1:17" ht="20.25">
      <c r="A1" s="243" t="s">
        <v>128</v>
      </c>
      <c r="B1" s="1"/>
      <c r="C1" s="21"/>
      <c r="D1" s="2"/>
      <c r="E1" s="1"/>
      <c r="F1" s="99"/>
      <c r="G1" s="1"/>
      <c r="H1" s="3"/>
      <c r="J1" s="7"/>
      <c r="K1" s="109"/>
      <c r="L1" s="109"/>
      <c r="M1" s="109"/>
      <c r="P1" s="249" t="str">
        <f ca="1">"SWEPCO Project "&amp;RIGHT(MID(CELL("filename",$A$1),FIND("]",CELL("filename",$A$1))+1,256),2)&amp;" of "&amp;COUNT('S.001:S.xyz - blank'!$P$3)-1</f>
        <v>SWEPCO Project 34 of 73</v>
      </c>
      <c r="Q1" s="108"/>
    </row>
    <row r="2" spans="1:17" ht="18">
      <c r="B2" s="1"/>
      <c r="C2" s="1"/>
      <c r="D2" s="2"/>
      <c r="E2" s="1"/>
      <c r="F2" s="1"/>
      <c r="G2" s="1"/>
      <c r="H2" s="3"/>
      <c r="I2" s="1"/>
      <c r="J2" s="4"/>
      <c r="K2" s="1"/>
      <c r="L2" s="1"/>
      <c r="M2" s="1"/>
      <c r="N2" s="1"/>
      <c r="P2" s="244" t="s">
        <v>124</v>
      </c>
    </row>
    <row r="3" spans="1:17" ht="18.75">
      <c r="B3" s="5" t="s">
        <v>40</v>
      </c>
      <c r="C3" s="68" t="s">
        <v>41</v>
      </c>
      <c r="D3" s="2"/>
      <c r="E3" s="1"/>
      <c r="F3" s="1"/>
      <c r="G3" s="1"/>
      <c r="H3" s="3"/>
      <c r="I3" s="3"/>
      <c r="J3" s="111"/>
      <c r="K3" s="3"/>
      <c r="L3" s="3"/>
      <c r="M3" s="3"/>
      <c r="N3" s="3"/>
      <c r="O3" s="1"/>
      <c r="P3" s="240">
        <v>1</v>
      </c>
    </row>
    <row r="4" spans="1:17" ht="15.75" thickBot="1">
      <c r="C4" s="67"/>
      <c r="D4" s="2"/>
      <c r="E4" s="1"/>
      <c r="F4" s="1"/>
      <c r="G4" s="1"/>
      <c r="H4" s="3"/>
      <c r="I4" s="3"/>
      <c r="J4" s="111"/>
      <c r="K4" s="3"/>
      <c r="L4" s="3"/>
      <c r="M4" s="3"/>
      <c r="N4" s="3"/>
      <c r="O4" s="1"/>
      <c r="P4" s="1"/>
    </row>
    <row r="5" spans="1:17" ht="15">
      <c r="C5" s="112" t="s">
        <v>42</v>
      </c>
      <c r="D5" s="2"/>
      <c r="E5" s="1"/>
      <c r="F5" s="1"/>
      <c r="G5" s="113"/>
      <c r="H5" s="1" t="s">
        <v>43</v>
      </c>
      <c r="I5" s="1"/>
      <c r="J5" s="4"/>
      <c r="K5" s="268" t="s">
        <v>152</v>
      </c>
      <c r="L5" s="114"/>
      <c r="M5" s="115"/>
      <c r="N5" s="116">
        <f>VLOOKUP(I10,C17:I72,5)</f>
        <v>934465.04750491981</v>
      </c>
      <c r="P5" s="1"/>
    </row>
    <row r="6" spans="1:17" ht="15.75">
      <c r="C6" s="8"/>
      <c r="D6" s="2"/>
      <c r="E6" s="1"/>
      <c r="F6" s="1"/>
      <c r="G6" s="1"/>
      <c r="H6" s="117"/>
      <c r="I6" s="117"/>
      <c r="J6" s="118"/>
      <c r="K6" s="269" t="s">
        <v>153</v>
      </c>
      <c r="L6" s="119"/>
      <c r="M6" s="4"/>
      <c r="N6" s="120">
        <f>VLOOKUP(I10,C17:I72,6)</f>
        <v>934465.04750491981</v>
      </c>
      <c r="O6" s="1"/>
      <c r="P6" s="1"/>
    </row>
    <row r="7" spans="1:17" ht="13.5" thickBot="1">
      <c r="C7" s="121" t="s">
        <v>44</v>
      </c>
      <c r="D7" s="223" t="s">
        <v>286</v>
      </c>
      <c r="E7" s="379"/>
      <c r="F7" s="379"/>
      <c r="G7" s="379"/>
      <c r="H7" s="3"/>
      <c r="I7" s="3"/>
      <c r="J7" s="111"/>
      <c r="K7" s="122" t="s">
        <v>45</v>
      </c>
      <c r="L7" s="123"/>
      <c r="M7" s="123"/>
      <c r="N7" s="124">
        <f>+N6-N5</f>
        <v>0</v>
      </c>
      <c r="O7" s="1"/>
      <c r="P7" s="1"/>
    </row>
    <row r="8" spans="1:17" ht="13.5" thickBot="1">
      <c r="C8" s="125"/>
      <c r="D8" s="352" t="str">
        <f>IF(D10&lt;100000,"DOES NOT MEET SPP $100,000 MINIMUM INVESTMENT FOR REGIONAL BPU SHARING.","")</f>
        <v/>
      </c>
      <c r="E8" s="126"/>
      <c r="F8" s="126"/>
      <c r="G8" s="126"/>
      <c r="H8" s="126"/>
      <c r="I8" s="126"/>
      <c r="J8" s="101"/>
      <c r="K8" s="126"/>
      <c r="L8" s="126"/>
      <c r="M8" s="126"/>
      <c r="N8" s="126"/>
      <c r="O8" s="101"/>
      <c r="P8" s="21"/>
    </row>
    <row r="9" spans="1:17" ht="13.5" thickBot="1">
      <c r="C9" s="127" t="s">
        <v>46</v>
      </c>
      <c r="D9" s="225" t="s">
        <v>284</v>
      </c>
      <c r="E9" s="401" t="s">
        <v>425</v>
      </c>
      <c r="F9" s="128"/>
      <c r="G9" s="128"/>
      <c r="H9" s="128"/>
      <c r="I9" s="129"/>
      <c r="J9" s="130"/>
      <c r="O9" s="131"/>
      <c r="P9" s="4"/>
    </row>
    <row r="10" spans="1:17">
      <c r="C10" s="132" t="s">
        <v>47</v>
      </c>
      <c r="D10" s="133">
        <v>8598828</v>
      </c>
      <c r="E10" s="61" t="s">
        <v>459</v>
      </c>
      <c r="F10" s="131"/>
      <c r="G10" s="134"/>
      <c r="H10" s="134"/>
      <c r="I10" s="135">
        <f>+SWE.WS.F.BPU.ATRR.Projected!K17</f>
        <v>2019</v>
      </c>
      <c r="J10" s="130"/>
      <c r="K10" s="111" t="s">
        <v>48</v>
      </c>
      <c r="O10" s="4"/>
      <c r="P10" s="4"/>
    </row>
    <row r="11" spans="1:17">
      <c r="C11" s="136" t="s">
        <v>49</v>
      </c>
      <c r="D11" s="137">
        <v>2013</v>
      </c>
      <c r="E11" s="136" t="s">
        <v>50</v>
      </c>
      <c r="F11" s="134"/>
      <c r="G11" s="7"/>
      <c r="H11" s="7"/>
      <c r="I11" s="138">
        <f>IF(G5="",0,SWE.WS.F.BPU.ATRR.Projected!F$11)</f>
        <v>0</v>
      </c>
      <c r="J11" s="139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4"/>
      <c r="P11" s="4"/>
    </row>
    <row r="12" spans="1:17">
      <c r="C12" s="136" t="s">
        <v>51</v>
      </c>
      <c r="D12" s="133">
        <v>11</v>
      </c>
      <c r="E12" s="136" t="s">
        <v>52</v>
      </c>
      <c r="F12" s="134"/>
      <c r="G12" s="7"/>
      <c r="H12" s="7"/>
      <c r="I12" s="140">
        <f>SWE.WS.F.BPU.ATRR.Projected!$F$76</f>
        <v>9.9555672459071778E-2</v>
      </c>
      <c r="J12" s="141"/>
      <c r="K12" t="s">
        <v>53</v>
      </c>
      <c r="O12" s="4"/>
      <c r="P12" s="4"/>
    </row>
    <row r="13" spans="1:17">
      <c r="C13" s="136" t="s">
        <v>54</v>
      </c>
      <c r="D13" s="138">
        <f>+SWE.WS.F.BPU.ATRR.Projected!F$87</f>
        <v>43</v>
      </c>
      <c r="E13" s="136" t="s">
        <v>55</v>
      </c>
      <c r="F13" s="134"/>
      <c r="G13" s="7"/>
      <c r="H13" s="7"/>
      <c r="I13" s="140">
        <f>IF(G5="",I12,SWE.WS.F.BPU.ATRR.Projected!$F$75)</f>
        <v>9.9555672459071778E-2</v>
      </c>
      <c r="J13" s="141"/>
      <c r="K13" s="111" t="s">
        <v>56</v>
      </c>
      <c r="L13" s="58"/>
      <c r="M13" s="58"/>
      <c r="N13" s="58"/>
      <c r="O13" s="4"/>
      <c r="P13" s="4"/>
    </row>
    <row r="14" spans="1:17" ht="13.5" thickBot="1">
      <c r="C14" s="136" t="s">
        <v>57</v>
      </c>
      <c r="D14" s="137" t="s">
        <v>58</v>
      </c>
      <c r="E14" s="4" t="s">
        <v>59</v>
      </c>
      <c r="F14" s="134"/>
      <c r="G14" s="7"/>
      <c r="H14" s="7"/>
      <c r="I14" s="142">
        <f>IF(D10=0,0,D10/D13)</f>
        <v>199972.7441860465</v>
      </c>
      <c r="J14" s="111"/>
      <c r="K14" s="111"/>
      <c r="L14" s="111"/>
      <c r="M14" s="111"/>
      <c r="N14" s="111"/>
      <c r="O14" s="4"/>
      <c r="P14" s="4"/>
    </row>
    <row r="15" spans="1:17" ht="38.25">
      <c r="C15" s="143" t="s">
        <v>47</v>
      </c>
      <c r="D15" s="144" t="s">
        <v>60</v>
      </c>
      <c r="E15" s="144" t="s">
        <v>61</v>
      </c>
      <c r="F15" s="144" t="s">
        <v>62</v>
      </c>
      <c r="G15" s="434" t="s">
        <v>378</v>
      </c>
      <c r="H15" s="435" t="s">
        <v>379</v>
      </c>
      <c r="I15" s="143" t="s">
        <v>63</v>
      </c>
      <c r="J15" s="145"/>
      <c r="K15" s="271" t="s">
        <v>219</v>
      </c>
      <c r="L15" s="146" t="s">
        <v>64</v>
      </c>
      <c r="M15" s="271" t="s">
        <v>219</v>
      </c>
      <c r="N15" s="146" t="s">
        <v>64</v>
      </c>
      <c r="O15" s="146" t="s">
        <v>65</v>
      </c>
      <c r="P15" s="4"/>
    </row>
    <row r="16" spans="1:17" ht="13.5" thickBot="1">
      <c r="C16" s="147" t="s">
        <v>66</v>
      </c>
      <c r="D16" s="147" t="s">
        <v>67</v>
      </c>
      <c r="E16" s="147" t="s">
        <v>68</v>
      </c>
      <c r="F16" s="147" t="s">
        <v>67</v>
      </c>
      <c r="G16" s="408" t="s">
        <v>69</v>
      </c>
      <c r="H16" s="148" t="s">
        <v>70</v>
      </c>
      <c r="I16" s="149" t="s">
        <v>89</v>
      </c>
      <c r="J16" s="150" t="s">
        <v>71</v>
      </c>
      <c r="K16" s="151" t="s">
        <v>72</v>
      </c>
      <c r="L16" s="151" t="s">
        <v>72</v>
      </c>
      <c r="M16" s="151" t="s">
        <v>90</v>
      </c>
      <c r="N16" s="152" t="s">
        <v>90</v>
      </c>
      <c r="O16" s="151" t="s">
        <v>90</v>
      </c>
      <c r="P16" s="4"/>
    </row>
    <row r="17" spans="2:16">
      <c r="C17" s="153">
        <f>IF(D11= "","-",D11)</f>
        <v>2013</v>
      </c>
      <c r="D17" s="393">
        <v>8177700</v>
      </c>
      <c r="E17" s="394">
        <v>97353.571428571435</v>
      </c>
      <c r="F17" s="393">
        <v>8080346.4285714282</v>
      </c>
      <c r="G17" s="394">
        <v>1228497.690125915</v>
      </c>
      <c r="H17" s="395">
        <v>1228497.690125915</v>
      </c>
      <c r="I17" s="404">
        <v>0</v>
      </c>
      <c r="J17" s="156"/>
      <c r="K17" s="256">
        <f t="shared" ref="K17:K22" si="0">G17</f>
        <v>1228497.690125915</v>
      </c>
      <c r="L17" s="172">
        <f t="shared" ref="L17:L22" si="1">IF(K17&lt;&gt;0,+G17-K17,0)</f>
        <v>0</v>
      </c>
      <c r="M17" s="256">
        <f t="shared" ref="M17:M22" si="2">H17</f>
        <v>1228497.690125915</v>
      </c>
      <c r="N17" s="157">
        <f t="shared" ref="N17:N22" si="3">IF(M17&lt;&gt;0,+H17-M17,0)</f>
        <v>0</v>
      </c>
      <c r="O17" s="158">
        <f t="shared" ref="O17:O22" si="4">+N17-L17</f>
        <v>0</v>
      </c>
      <c r="P17" s="4"/>
    </row>
    <row r="18" spans="2:16">
      <c r="B18" s="9" t="str">
        <f>IF(D18=F17,"","IU")</f>
        <v/>
      </c>
      <c r="C18" s="153">
        <f>IF(D11="","-",+C17+1)</f>
        <v>2014</v>
      </c>
      <c r="D18" s="393">
        <v>8080346.4285714282</v>
      </c>
      <c r="E18" s="397">
        <v>204615.59523809524</v>
      </c>
      <c r="F18" s="393">
        <v>7875730.833333333</v>
      </c>
      <c r="G18" s="397">
        <v>1267134.4448032489</v>
      </c>
      <c r="H18" s="395">
        <v>1267134.4448032489</v>
      </c>
      <c r="I18" s="404">
        <v>0</v>
      </c>
      <c r="J18" s="156"/>
      <c r="K18" s="258">
        <f t="shared" si="0"/>
        <v>1267134.4448032489</v>
      </c>
      <c r="L18" s="257">
        <f t="shared" si="1"/>
        <v>0</v>
      </c>
      <c r="M18" s="258">
        <f t="shared" si="2"/>
        <v>1267134.4448032489</v>
      </c>
      <c r="N18" s="158">
        <f t="shared" si="3"/>
        <v>0</v>
      </c>
      <c r="O18" s="158">
        <f t="shared" si="4"/>
        <v>0</v>
      </c>
      <c r="P18" s="4"/>
    </row>
    <row r="19" spans="2:16">
      <c r="B19" s="9" t="str">
        <f>IF(D19=F18,"","IU")</f>
        <v/>
      </c>
      <c r="C19" s="153">
        <f>IF(D11="","-",+C18+1)</f>
        <v>2015</v>
      </c>
      <c r="D19" s="393">
        <v>7875730.833333333</v>
      </c>
      <c r="E19" s="397">
        <v>204734</v>
      </c>
      <c r="F19" s="393">
        <v>7670996.833333333</v>
      </c>
      <c r="G19" s="397">
        <v>1215041.1112148757</v>
      </c>
      <c r="H19" s="395">
        <v>1215041.1112148757</v>
      </c>
      <c r="I19" s="156">
        <v>0</v>
      </c>
      <c r="J19" s="156"/>
      <c r="K19" s="258">
        <f t="shared" si="0"/>
        <v>1215041.1112148757</v>
      </c>
      <c r="L19" s="257">
        <f t="shared" si="1"/>
        <v>0</v>
      </c>
      <c r="M19" s="258">
        <f t="shared" si="2"/>
        <v>1215041.1112148757</v>
      </c>
      <c r="N19" s="158">
        <f t="shared" si="3"/>
        <v>0</v>
      </c>
      <c r="O19" s="158">
        <f t="shared" si="4"/>
        <v>0</v>
      </c>
      <c r="P19" s="4"/>
    </row>
    <row r="20" spans="2:16">
      <c r="B20" s="9" t="str">
        <f t="shared" ref="B20:B72" si="5">IF(D20=F19,"","IU")</f>
        <v>IU</v>
      </c>
      <c r="C20" s="153">
        <f>IF(D11="","-",+C19+1)</f>
        <v>2016</v>
      </c>
      <c r="D20" s="393">
        <v>8092124.833333333</v>
      </c>
      <c r="E20" s="397">
        <v>204734</v>
      </c>
      <c r="F20" s="393">
        <v>7887390.833333333</v>
      </c>
      <c r="G20" s="397">
        <v>1230725.6025644462</v>
      </c>
      <c r="H20" s="395">
        <v>1230725.6025644462</v>
      </c>
      <c r="I20" s="156">
        <f>H20-G20</f>
        <v>0</v>
      </c>
      <c r="J20" s="156"/>
      <c r="K20" s="258">
        <f t="shared" si="0"/>
        <v>1230725.6025644462</v>
      </c>
      <c r="L20" s="257">
        <f t="shared" si="1"/>
        <v>0</v>
      </c>
      <c r="M20" s="258">
        <f t="shared" si="2"/>
        <v>1230725.6025644462</v>
      </c>
      <c r="N20" s="158">
        <f t="shared" si="3"/>
        <v>0</v>
      </c>
      <c r="O20" s="158">
        <f t="shared" si="4"/>
        <v>0</v>
      </c>
      <c r="P20" s="4"/>
    </row>
    <row r="21" spans="2:16">
      <c r="B21" s="9" t="str">
        <f t="shared" si="5"/>
        <v/>
      </c>
      <c r="C21" s="153">
        <f>IF(D11="","-",+C20+1)</f>
        <v>2017</v>
      </c>
      <c r="D21" s="393">
        <v>7887390.833333333</v>
      </c>
      <c r="E21" s="397">
        <v>199972.7441860465</v>
      </c>
      <c r="F21" s="393">
        <v>7687418.0891472865</v>
      </c>
      <c r="G21" s="397">
        <v>1164774.0131848808</v>
      </c>
      <c r="H21" s="395">
        <v>1164774.0131848808</v>
      </c>
      <c r="I21" s="156">
        <v>0</v>
      </c>
      <c r="J21" s="156"/>
      <c r="K21" s="258">
        <f t="shared" si="0"/>
        <v>1164774.0131848808</v>
      </c>
      <c r="L21" s="257">
        <f t="shared" si="1"/>
        <v>0</v>
      </c>
      <c r="M21" s="258">
        <f t="shared" si="2"/>
        <v>1164774.0131848808</v>
      </c>
      <c r="N21" s="158">
        <f t="shared" si="3"/>
        <v>0</v>
      </c>
      <c r="O21" s="158">
        <f t="shared" si="4"/>
        <v>0</v>
      </c>
      <c r="P21" s="4"/>
    </row>
    <row r="22" spans="2:16">
      <c r="B22" s="9" t="str">
        <f t="shared" si="5"/>
        <v/>
      </c>
      <c r="C22" s="153">
        <f>IF(D11="","-",+C21+1)</f>
        <v>2018</v>
      </c>
      <c r="D22" s="393">
        <v>7687418.0891472865</v>
      </c>
      <c r="E22" s="397">
        <v>209727.51219512196</v>
      </c>
      <c r="F22" s="393">
        <v>7477690.576952165</v>
      </c>
      <c r="G22" s="397">
        <v>1058095.6138238069</v>
      </c>
      <c r="H22" s="395">
        <v>1058095.6138238069</v>
      </c>
      <c r="I22" s="156">
        <f t="shared" ref="I22:I72" si="6">H22-G22</f>
        <v>0</v>
      </c>
      <c r="J22" s="156"/>
      <c r="K22" s="258">
        <f t="shared" si="0"/>
        <v>1058095.6138238069</v>
      </c>
      <c r="L22" s="257">
        <f t="shared" si="1"/>
        <v>0</v>
      </c>
      <c r="M22" s="258">
        <f t="shared" si="2"/>
        <v>1058095.6138238069</v>
      </c>
      <c r="N22" s="158">
        <f t="shared" si="3"/>
        <v>0</v>
      </c>
      <c r="O22" s="158">
        <f t="shared" si="4"/>
        <v>0</v>
      </c>
      <c r="P22" s="4"/>
    </row>
    <row r="23" spans="2:16">
      <c r="B23" s="9" t="str">
        <f t="shared" si="5"/>
        <v/>
      </c>
      <c r="C23" s="153">
        <f>IF(D11="","-",+C22+1)</f>
        <v>2019</v>
      </c>
      <c r="D23" s="159">
        <f>IF(F22+SUM(E$17:E22)=D$10,F22,D$10-SUM(E$17:E22))</f>
        <v>7477690.576952165</v>
      </c>
      <c r="E23" s="160">
        <f t="shared" ref="E23:E72" si="7">IF(+$I$14&lt;F22,$I$14,D23)</f>
        <v>199972.7441860465</v>
      </c>
      <c r="F23" s="159">
        <f t="shared" ref="F23:F72" si="8">+D23-E23</f>
        <v>7277717.8327661185</v>
      </c>
      <c r="G23" s="161">
        <f t="shared" ref="G23:G52" si="9">+I$12*((D23+F23)/2)+E23</f>
        <v>934465.04750491981</v>
      </c>
      <c r="H23" s="142">
        <f t="shared" ref="H23:H52" si="10">+I$13*((D23+F23)/2)+E23</f>
        <v>934465.04750491981</v>
      </c>
      <c r="I23" s="156">
        <f t="shared" si="6"/>
        <v>0</v>
      </c>
      <c r="J23" s="156"/>
      <c r="K23" s="334"/>
      <c r="L23" s="158">
        <f t="shared" ref="L23:L72" si="11">IF(K23&lt;&gt;0,+G23-K23,0)</f>
        <v>0</v>
      </c>
      <c r="M23" s="334"/>
      <c r="N23" s="158">
        <f t="shared" ref="N23:N72" si="12">IF(M23&lt;&gt;0,+H23-M23,0)</f>
        <v>0</v>
      </c>
      <c r="O23" s="158">
        <f t="shared" ref="O23:O72" si="13">+N23-L23</f>
        <v>0</v>
      </c>
      <c r="P23" s="4"/>
    </row>
    <row r="24" spans="2:16">
      <c r="B24" s="9" t="str">
        <f t="shared" si="5"/>
        <v/>
      </c>
      <c r="C24" s="153">
        <f>IF(D11="","-",+C23+1)</f>
        <v>2020</v>
      </c>
      <c r="D24" s="159">
        <f>IF(F23+SUM(E$17:E23)=D$10,F23,D$10-SUM(E$17:E23))</f>
        <v>7277717.8327661185</v>
      </c>
      <c r="E24" s="160">
        <f t="shared" si="7"/>
        <v>199972.7441860465</v>
      </c>
      <c r="F24" s="159">
        <f t="shared" si="8"/>
        <v>7077745.0885800719</v>
      </c>
      <c r="G24" s="161">
        <f t="shared" si="9"/>
        <v>914556.62648399209</v>
      </c>
      <c r="H24" s="142">
        <f t="shared" si="10"/>
        <v>914556.62648399209</v>
      </c>
      <c r="I24" s="156">
        <f t="shared" si="6"/>
        <v>0</v>
      </c>
      <c r="J24" s="156"/>
      <c r="K24" s="334"/>
      <c r="L24" s="158">
        <f t="shared" si="11"/>
        <v>0</v>
      </c>
      <c r="M24" s="334"/>
      <c r="N24" s="158">
        <f t="shared" si="12"/>
        <v>0</v>
      </c>
      <c r="O24" s="158">
        <f t="shared" si="13"/>
        <v>0</v>
      </c>
      <c r="P24" s="4"/>
    </row>
    <row r="25" spans="2:16">
      <c r="B25" s="9" t="str">
        <f t="shared" si="5"/>
        <v/>
      </c>
      <c r="C25" s="153">
        <f>IF(D11="","-",+C24+1)</f>
        <v>2021</v>
      </c>
      <c r="D25" s="159">
        <f>IF(F24+SUM(E$17:E24)=D$10,F24,D$10-SUM(E$17:E24))</f>
        <v>7077745.0885800719</v>
      </c>
      <c r="E25" s="160">
        <f t="shared" si="7"/>
        <v>199972.7441860465</v>
      </c>
      <c r="F25" s="159">
        <f t="shared" si="8"/>
        <v>6877772.3443940254</v>
      </c>
      <c r="G25" s="161">
        <f t="shared" si="9"/>
        <v>894648.20546306425</v>
      </c>
      <c r="H25" s="142">
        <f t="shared" si="10"/>
        <v>894648.20546306425</v>
      </c>
      <c r="I25" s="156">
        <f t="shared" si="6"/>
        <v>0</v>
      </c>
      <c r="J25" s="156"/>
      <c r="K25" s="334"/>
      <c r="L25" s="158">
        <f t="shared" si="11"/>
        <v>0</v>
      </c>
      <c r="M25" s="334"/>
      <c r="N25" s="158">
        <f t="shared" si="12"/>
        <v>0</v>
      </c>
      <c r="O25" s="158">
        <f t="shared" si="13"/>
        <v>0</v>
      </c>
      <c r="P25" s="4"/>
    </row>
    <row r="26" spans="2:16">
      <c r="B26" s="9" t="str">
        <f t="shared" si="5"/>
        <v/>
      </c>
      <c r="C26" s="153">
        <f>IF(D11="","-",+C25+1)</f>
        <v>2022</v>
      </c>
      <c r="D26" s="159">
        <f>IF(F25+SUM(E$17:E25)=D$10,F25,D$10-SUM(E$17:E25))</f>
        <v>6877772.3443940254</v>
      </c>
      <c r="E26" s="160">
        <f t="shared" si="7"/>
        <v>199972.7441860465</v>
      </c>
      <c r="F26" s="159">
        <f t="shared" si="8"/>
        <v>6677799.6002079789</v>
      </c>
      <c r="G26" s="161">
        <f t="shared" si="9"/>
        <v>874739.78444213653</v>
      </c>
      <c r="H26" s="142">
        <f t="shared" si="10"/>
        <v>874739.78444213653</v>
      </c>
      <c r="I26" s="156">
        <f t="shared" si="6"/>
        <v>0</v>
      </c>
      <c r="J26" s="156"/>
      <c r="K26" s="334"/>
      <c r="L26" s="158">
        <f t="shared" si="11"/>
        <v>0</v>
      </c>
      <c r="M26" s="334"/>
      <c r="N26" s="158">
        <f t="shared" si="12"/>
        <v>0</v>
      </c>
      <c r="O26" s="158">
        <f t="shared" si="13"/>
        <v>0</v>
      </c>
      <c r="P26" s="4"/>
    </row>
    <row r="27" spans="2:16">
      <c r="B27" s="9" t="str">
        <f t="shared" si="5"/>
        <v/>
      </c>
      <c r="C27" s="153">
        <f>IF(D11="","-",+C26+1)</f>
        <v>2023</v>
      </c>
      <c r="D27" s="159">
        <f>IF(F26+SUM(E$17:E26)=D$10,F26,D$10-SUM(E$17:E26))</f>
        <v>6677799.6002079789</v>
      </c>
      <c r="E27" s="160">
        <f t="shared" si="7"/>
        <v>199972.7441860465</v>
      </c>
      <c r="F27" s="159">
        <f t="shared" si="8"/>
        <v>6477826.8560219323</v>
      </c>
      <c r="G27" s="161">
        <f t="shared" si="9"/>
        <v>854831.36342120857</v>
      </c>
      <c r="H27" s="142">
        <f t="shared" si="10"/>
        <v>854831.36342120857</v>
      </c>
      <c r="I27" s="156">
        <f t="shared" si="6"/>
        <v>0</v>
      </c>
      <c r="J27" s="156"/>
      <c r="K27" s="334"/>
      <c r="L27" s="158">
        <f t="shared" si="11"/>
        <v>0</v>
      </c>
      <c r="M27" s="334"/>
      <c r="N27" s="158">
        <f t="shared" si="12"/>
        <v>0</v>
      </c>
      <c r="O27" s="158">
        <f t="shared" si="13"/>
        <v>0</v>
      </c>
      <c r="P27" s="4"/>
    </row>
    <row r="28" spans="2:16">
      <c r="B28" s="9" t="str">
        <f t="shared" si="5"/>
        <v/>
      </c>
      <c r="C28" s="153">
        <f>IF(D11="","-",+C27+1)</f>
        <v>2024</v>
      </c>
      <c r="D28" s="159">
        <f>IF(F27+SUM(E$17:E27)=D$10,F27,D$10-SUM(E$17:E27))</f>
        <v>6477826.8560219323</v>
      </c>
      <c r="E28" s="160">
        <f t="shared" si="7"/>
        <v>199972.7441860465</v>
      </c>
      <c r="F28" s="159">
        <f t="shared" si="8"/>
        <v>6277854.1118358858</v>
      </c>
      <c r="G28" s="161">
        <f t="shared" si="9"/>
        <v>834922.94240028085</v>
      </c>
      <c r="H28" s="142">
        <f t="shared" si="10"/>
        <v>834922.94240028085</v>
      </c>
      <c r="I28" s="156">
        <f t="shared" si="6"/>
        <v>0</v>
      </c>
      <c r="J28" s="156"/>
      <c r="K28" s="334"/>
      <c r="L28" s="158">
        <f t="shared" si="11"/>
        <v>0</v>
      </c>
      <c r="M28" s="334"/>
      <c r="N28" s="158">
        <f t="shared" si="12"/>
        <v>0</v>
      </c>
      <c r="O28" s="158">
        <f t="shared" si="13"/>
        <v>0</v>
      </c>
      <c r="P28" s="4"/>
    </row>
    <row r="29" spans="2:16">
      <c r="B29" s="9" t="str">
        <f t="shared" si="5"/>
        <v/>
      </c>
      <c r="C29" s="153">
        <f>IF(D11="","-",+C28+1)</f>
        <v>2025</v>
      </c>
      <c r="D29" s="159">
        <f>IF(F28+SUM(E$17:E28)=D$10,F28,D$10-SUM(E$17:E28))</f>
        <v>6277854.1118358858</v>
      </c>
      <c r="E29" s="160">
        <f t="shared" si="7"/>
        <v>199972.7441860465</v>
      </c>
      <c r="F29" s="159">
        <f t="shared" si="8"/>
        <v>6077881.3676498393</v>
      </c>
      <c r="G29" s="161">
        <f t="shared" si="9"/>
        <v>815014.52137935301</v>
      </c>
      <c r="H29" s="142">
        <f t="shared" si="10"/>
        <v>815014.52137935301</v>
      </c>
      <c r="I29" s="156">
        <f t="shared" si="6"/>
        <v>0</v>
      </c>
      <c r="J29" s="156"/>
      <c r="K29" s="334"/>
      <c r="L29" s="158">
        <f t="shared" si="11"/>
        <v>0</v>
      </c>
      <c r="M29" s="334"/>
      <c r="N29" s="158">
        <f t="shared" si="12"/>
        <v>0</v>
      </c>
      <c r="O29" s="158">
        <f t="shared" si="13"/>
        <v>0</v>
      </c>
      <c r="P29" s="4"/>
    </row>
    <row r="30" spans="2:16">
      <c r="B30" s="9" t="str">
        <f t="shared" si="5"/>
        <v/>
      </c>
      <c r="C30" s="153">
        <f>IF(D11="","-",+C29+1)</f>
        <v>2026</v>
      </c>
      <c r="D30" s="159">
        <f>IF(F29+SUM(E$17:E29)=D$10,F29,D$10-SUM(E$17:E29))</f>
        <v>6077881.3676498393</v>
      </c>
      <c r="E30" s="160">
        <f t="shared" si="7"/>
        <v>199972.7441860465</v>
      </c>
      <c r="F30" s="159">
        <f t="shared" si="8"/>
        <v>5877908.6234637927</v>
      </c>
      <c r="G30" s="161">
        <f t="shared" si="9"/>
        <v>795106.10035842529</v>
      </c>
      <c r="H30" s="142">
        <f t="shared" si="10"/>
        <v>795106.10035842529</v>
      </c>
      <c r="I30" s="156">
        <f t="shared" si="6"/>
        <v>0</v>
      </c>
      <c r="J30" s="156"/>
      <c r="K30" s="334"/>
      <c r="L30" s="158">
        <f t="shared" si="11"/>
        <v>0</v>
      </c>
      <c r="M30" s="334"/>
      <c r="N30" s="158">
        <f t="shared" si="12"/>
        <v>0</v>
      </c>
      <c r="O30" s="158">
        <f t="shared" si="13"/>
        <v>0</v>
      </c>
      <c r="P30" s="4"/>
    </row>
    <row r="31" spans="2:16">
      <c r="B31" s="9" t="str">
        <f t="shared" si="5"/>
        <v/>
      </c>
      <c r="C31" s="153">
        <f>IF(D11="","-",+C30+1)</f>
        <v>2027</v>
      </c>
      <c r="D31" s="159">
        <f>IF(F30+SUM(E$17:E30)=D$10,F30,D$10-SUM(E$17:E30))</f>
        <v>5877908.6234637927</v>
      </c>
      <c r="E31" s="160">
        <f t="shared" si="7"/>
        <v>199972.7441860465</v>
      </c>
      <c r="F31" s="159">
        <f t="shared" si="8"/>
        <v>5677935.8792777462</v>
      </c>
      <c r="G31" s="161">
        <f t="shared" si="9"/>
        <v>775197.67933749745</v>
      </c>
      <c r="H31" s="142">
        <f t="shared" si="10"/>
        <v>775197.67933749745</v>
      </c>
      <c r="I31" s="156">
        <f t="shared" si="6"/>
        <v>0</v>
      </c>
      <c r="J31" s="156"/>
      <c r="K31" s="334"/>
      <c r="L31" s="158">
        <f t="shared" si="11"/>
        <v>0</v>
      </c>
      <c r="M31" s="334"/>
      <c r="N31" s="158">
        <f t="shared" si="12"/>
        <v>0</v>
      </c>
      <c r="O31" s="158">
        <f t="shared" si="13"/>
        <v>0</v>
      </c>
      <c r="P31" s="4"/>
    </row>
    <row r="32" spans="2:16">
      <c r="B32" s="9" t="str">
        <f t="shared" si="5"/>
        <v/>
      </c>
      <c r="C32" s="153">
        <f>IF(D11="","-",+C31+1)</f>
        <v>2028</v>
      </c>
      <c r="D32" s="159">
        <f>IF(F31+SUM(E$17:E31)=D$10,F31,D$10-SUM(E$17:E31))</f>
        <v>5677935.8792777462</v>
      </c>
      <c r="E32" s="160">
        <f t="shared" si="7"/>
        <v>199972.7441860465</v>
      </c>
      <c r="F32" s="159">
        <f t="shared" si="8"/>
        <v>5477963.1350916997</v>
      </c>
      <c r="G32" s="161">
        <f t="shared" si="9"/>
        <v>755289.25831656973</v>
      </c>
      <c r="H32" s="142">
        <f t="shared" si="10"/>
        <v>755289.25831656973</v>
      </c>
      <c r="I32" s="156">
        <f t="shared" si="6"/>
        <v>0</v>
      </c>
      <c r="J32" s="156"/>
      <c r="K32" s="334"/>
      <c r="L32" s="158">
        <f t="shared" si="11"/>
        <v>0</v>
      </c>
      <c r="M32" s="334"/>
      <c r="N32" s="158">
        <f t="shared" si="12"/>
        <v>0</v>
      </c>
      <c r="O32" s="158">
        <f t="shared" si="13"/>
        <v>0</v>
      </c>
      <c r="P32" s="4"/>
    </row>
    <row r="33" spans="2:16">
      <c r="B33" s="9" t="str">
        <f t="shared" si="5"/>
        <v/>
      </c>
      <c r="C33" s="153">
        <f>IF(D11="","-",+C32+1)</f>
        <v>2029</v>
      </c>
      <c r="D33" s="159">
        <f>IF(F32+SUM(E$17:E32)=D$10,F32,D$10-SUM(E$17:E32))</f>
        <v>5477963.1350916997</v>
      </c>
      <c r="E33" s="160">
        <f t="shared" si="7"/>
        <v>199972.7441860465</v>
      </c>
      <c r="F33" s="159">
        <f t="shared" si="8"/>
        <v>5277990.3909056531</v>
      </c>
      <c r="G33" s="161">
        <f t="shared" si="9"/>
        <v>735380.83729564177</v>
      </c>
      <c r="H33" s="142">
        <f t="shared" si="10"/>
        <v>735380.83729564177</v>
      </c>
      <c r="I33" s="156">
        <f t="shared" si="6"/>
        <v>0</v>
      </c>
      <c r="J33" s="156"/>
      <c r="K33" s="334"/>
      <c r="L33" s="158">
        <f t="shared" si="11"/>
        <v>0</v>
      </c>
      <c r="M33" s="334"/>
      <c r="N33" s="158">
        <f t="shared" si="12"/>
        <v>0</v>
      </c>
      <c r="O33" s="158">
        <f t="shared" si="13"/>
        <v>0</v>
      </c>
      <c r="P33" s="4"/>
    </row>
    <row r="34" spans="2:16">
      <c r="B34" s="9" t="str">
        <f t="shared" si="5"/>
        <v/>
      </c>
      <c r="C34" s="153">
        <f>IF(D11="","-",+C33+1)</f>
        <v>2030</v>
      </c>
      <c r="D34" s="159">
        <f>IF(F33+SUM(E$17:E33)=D$10,F33,D$10-SUM(E$17:E33))</f>
        <v>5277990.3909056531</v>
      </c>
      <c r="E34" s="160">
        <f t="shared" si="7"/>
        <v>199972.7441860465</v>
      </c>
      <c r="F34" s="159">
        <f t="shared" si="8"/>
        <v>5078017.6467196066</v>
      </c>
      <c r="G34" s="161">
        <f t="shared" si="9"/>
        <v>715472.41627471405</v>
      </c>
      <c r="H34" s="142">
        <f t="shared" si="10"/>
        <v>715472.41627471405</v>
      </c>
      <c r="I34" s="156">
        <f t="shared" si="6"/>
        <v>0</v>
      </c>
      <c r="J34" s="156"/>
      <c r="K34" s="334"/>
      <c r="L34" s="158">
        <f t="shared" si="11"/>
        <v>0</v>
      </c>
      <c r="M34" s="334"/>
      <c r="N34" s="158">
        <f t="shared" si="12"/>
        <v>0</v>
      </c>
      <c r="O34" s="158">
        <f t="shared" si="13"/>
        <v>0</v>
      </c>
      <c r="P34" s="4"/>
    </row>
    <row r="35" spans="2:16">
      <c r="B35" s="9" t="str">
        <f t="shared" si="5"/>
        <v/>
      </c>
      <c r="C35" s="153">
        <f>IF(D11="","-",+C34+1)</f>
        <v>2031</v>
      </c>
      <c r="D35" s="159">
        <f>IF(F34+SUM(E$17:E34)=D$10,F34,D$10-SUM(E$17:E34))</f>
        <v>5078017.6467196066</v>
      </c>
      <c r="E35" s="160">
        <f t="shared" si="7"/>
        <v>199972.7441860465</v>
      </c>
      <c r="F35" s="159">
        <f t="shared" si="8"/>
        <v>4878044.9025335601</v>
      </c>
      <c r="G35" s="161">
        <f t="shared" si="9"/>
        <v>695563.99525378621</v>
      </c>
      <c r="H35" s="142">
        <f t="shared" si="10"/>
        <v>695563.99525378621</v>
      </c>
      <c r="I35" s="156">
        <f t="shared" si="6"/>
        <v>0</v>
      </c>
      <c r="J35" s="156"/>
      <c r="K35" s="334"/>
      <c r="L35" s="158">
        <f t="shared" si="11"/>
        <v>0</v>
      </c>
      <c r="M35" s="334"/>
      <c r="N35" s="158">
        <f t="shared" si="12"/>
        <v>0</v>
      </c>
      <c r="O35" s="158">
        <f t="shared" si="13"/>
        <v>0</v>
      </c>
      <c r="P35" s="4"/>
    </row>
    <row r="36" spans="2:16">
      <c r="B36" s="9" t="str">
        <f t="shared" si="5"/>
        <v/>
      </c>
      <c r="C36" s="153">
        <f>IF(D11="","-",+C35+1)</f>
        <v>2032</v>
      </c>
      <c r="D36" s="159">
        <f>IF(F35+SUM(E$17:E35)=D$10,F35,D$10-SUM(E$17:E35))</f>
        <v>4878044.9025335601</v>
      </c>
      <c r="E36" s="160">
        <f t="shared" si="7"/>
        <v>199972.7441860465</v>
      </c>
      <c r="F36" s="159">
        <f t="shared" si="8"/>
        <v>4678072.1583475135</v>
      </c>
      <c r="G36" s="161">
        <f t="shared" si="9"/>
        <v>675655.57423285849</v>
      </c>
      <c r="H36" s="142">
        <f t="shared" si="10"/>
        <v>675655.57423285849</v>
      </c>
      <c r="I36" s="156">
        <f t="shared" si="6"/>
        <v>0</v>
      </c>
      <c r="J36" s="156"/>
      <c r="K36" s="334"/>
      <c r="L36" s="158">
        <f t="shared" si="11"/>
        <v>0</v>
      </c>
      <c r="M36" s="334"/>
      <c r="N36" s="158">
        <f t="shared" si="12"/>
        <v>0</v>
      </c>
      <c r="O36" s="158">
        <f t="shared" si="13"/>
        <v>0</v>
      </c>
      <c r="P36" s="4"/>
    </row>
    <row r="37" spans="2:16">
      <c r="B37" s="9" t="str">
        <f t="shared" si="5"/>
        <v/>
      </c>
      <c r="C37" s="153">
        <f>IF(D11="","-",+C36+1)</f>
        <v>2033</v>
      </c>
      <c r="D37" s="159">
        <f>IF(F36+SUM(E$17:E36)=D$10,F36,D$10-SUM(E$17:E36))</f>
        <v>4678072.1583475135</v>
      </c>
      <c r="E37" s="160">
        <f t="shared" si="7"/>
        <v>199972.7441860465</v>
      </c>
      <c r="F37" s="159">
        <f t="shared" si="8"/>
        <v>4478099.414161467</v>
      </c>
      <c r="G37" s="161">
        <f t="shared" si="9"/>
        <v>655747.15321193053</v>
      </c>
      <c r="H37" s="142">
        <f t="shared" si="10"/>
        <v>655747.15321193053</v>
      </c>
      <c r="I37" s="156">
        <f t="shared" si="6"/>
        <v>0</v>
      </c>
      <c r="J37" s="156"/>
      <c r="K37" s="334"/>
      <c r="L37" s="158">
        <f t="shared" si="11"/>
        <v>0</v>
      </c>
      <c r="M37" s="334"/>
      <c r="N37" s="158">
        <f t="shared" si="12"/>
        <v>0</v>
      </c>
      <c r="O37" s="158">
        <f t="shared" si="13"/>
        <v>0</v>
      </c>
      <c r="P37" s="4"/>
    </row>
    <row r="38" spans="2:16">
      <c r="B38" s="9" t="str">
        <f t="shared" si="5"/>
        <v/>
      </c>
      <c r="C38" s="153">
        <f>IF(D11="","-",+C37+1)</f>
        <v>2034</v>
      </c>
      <c r="D38" s="159">
        <f>IF(F37+SUM(E$17:E37)=D$10,F37,D$10-SUM(E$17:E37))</f>
        <v>4478099.414161467</v>
      </c>
      <c r="E38" s="160">
        <f t="shared" si="7"/>
        <v>199972.7441860465</v>
      </c>
      <c r="F38" s="159">
        <f t="shared" si="8"/>
        <v>4278126.6699754205</v>
      </c>
      <c r="G38" s="161">
        <f t="shared" si="9"/>
        <v>635838.73219100293</v>
      </c>
      <c r="H38" s="142">
        <f t="shared" si="10"/>
        <v>635838.73219100293</v>
      </c>
      <c r="I38" s="156">
        <f t="shared" si="6"/>
        <v>0</v>
      </c>
      <c r="J38" s="156"/>
      <c r="K38" s="334"/>
      <c r="L38" s="158">
        <f t="shared" si="11"/>
        <v>0</v>
      </c>
      <c r="M38" s="334"/>
      <c r="N38" s="158">
        <f t="shared" si="12"/>
        <v>0</v>
      </c>
      <c r="O38" s="158">
        <f t="shared" si="13"/>
        <v>0</v>
      </c>
      <c r="P38" s="4"/>
    </row>
    <row r="39" spans="2:16">
      <c r="B39" s="9" t="str">
        <f t="shared" si="5"/>
        <v/>
      </c>
      <c r="C39" s="153">
        <f>IF(D11="","-",+C38+1)</f>
        <v>2035</v>
      </c>
      <c r="D39" s="159">
        <f>IF(F38+SUM(E$17:E38)=D$10,F38,D$10-SUM(E$17:E38))</f>
        <v>4278126.6699754205</v>
      </c>
      <c r="E39" s="160">
        <f t="shared" si="7"/>
        <v>199972.7441860465</v>
      </c>
      <c r="F39" s="159">
        <f t="shared" si="8"/>
        <v>4078153.9257893739</v>
      </c>
      <c r="G39" s="161">
        <f t="shared" si="9"/>
        <v>615930.31117007509</v>
      </c>
      <c r="H39" s="142">
        <f t="shared" si="10"/>
        <v>615930.31117007509</v>
      </c>
      <c r="I39" s="156">
        <f t="shared" si="6"/>
        <v>0</v>
      </c>
      <c r="J39" s="156"/>
      <c r="K39" s="334"/>
      <c r="L39" s="158">
        <f t="shared" si="11"/>
        <v>0</v>
      </c>
      <c r="M39" s="334"/>
      <c r="N39" s="158">
        <f t="shared" si="12"/>
        <v>0</v>
      </c>
      <c r="O39" s="158">
        <f t="shared" si="13"/>
        <v>0</v>
      </c>
      <c r="P39" s="4"/>
    </row>
    <row r="40" spans="2:16">
      <c r="B40" s="9" t="str">
        <f t="shared" si="5"/>
        <v/>
      </c>
      <c r="C40" s="153">
        <f>IF(D11="","-",+C39+1)</f>
        <v>2036</v>
      </c>
      <c r="D40" s="159">
        <f>IF(F39+SUM(E$17:E39)=D$10,F39,D$10-SUM(E$17:E39))</f>
        <v>4078153.9257893739</v>
      </c>
      <c r="E40" s="160">
        <f t="shared" si="7"/>
        <v>199972.7441860465</v>
      </c>
      <c r="F40" s="159">
        <f t="shared" si="8"/>
        <v>3878181.1816033274</v>
      </c>
      <c r="G40" s="161">
        <f t="shared" si="9"/>
        <v>596021.89014914725</v>
      </c>
      <c r="H40" s="142">
        <f t="shared" si="10"/>
        <v>596021.89014914725</v>
      </c>
      <c r="I40" s="156">
        <f t="shared" si="6"/>
        <v>0</v>
      </c>
      <c r="J40" s="156"/>
      <c r="K40" s="334"/>
      <c r="L40" s="158">
        <f t="shared" si="11"/>
        <v>0</v>
      </c>
      <c r="M40" s="334"/>
      <c r="N40" s="158">
        <f t="shared" si="12"/>
        <v>0</v>
      </c>
      <c r="O40" s="158">
        <f t="shared" si="13"/>
        <v>0</v>
      </c>
      <c r="P40" s="4"/>
    </row>
    <row r="41" spans="2:16">
      <c r="B41" s="9" t="str">
        <f t="shared" si="5"/>
        <v/>
      </c>
      <c r="C41" s="153">
        <f>IF(D11="","-",+C40+1)</f>
        <v>2037</v>
      </c>
      <c r="D41" s="159">
        <f>IF(F40+SUM(E$17:E40)=D$10,F40,D$10-SUM(E$17:E40))</f>
        <v>3878181.1816033274</v>
      </c>
      <c r="E41" s="160">
        <f t="shared" si="7"/>
        <v>199972.7441860465</v>
      </c>
      <c r="F41" s="159">
        <f t="shared" si="8"/>
        <v>3678208.4374172809</v>
      </c>
      <c r="G41" s="161">
        <f t="shared" si="9"/>
        <v>576113.46912821941</v>
      </c>
      <c r="H41" s="142">
        <f t="shared" si="10"/>
        <v>576113.46912821941</v>
      </c>
      <c r="I41" s="156">
        <f t="shared" si="6"/>
        <v>0</v>
      </c>
      <c r="J41" s="156"/>
      <c r="K41" s="334"/>
      <c r="L41" s="158">
        <f t="shared" si="11"/>
        <v>0</v>
      </c>
      <c r="M41" s="334"/>
      <c r="N41" s="158">
        <f t="shared" si="12"/>
        <v>0</v>
      </c>
      <c r="O41" s="158">
        <f t="shared" si="13"/>
        <v>0</v>
      </c>
      <c r="P41" s="4"/>
    </row>
    <row r="42" spans="2:16">
      <c r="B42" s="9" t="str">
        <f t="shared" si="5"/>
        <v/>
      </c>
      <c r="C42" s="153">
        <f>IF(D11="","-",+C41+1)</f>
        <v>2038</v>
      </c>
      <c r="D42" s="159">
        <f>IF(F41+SUM(E$17:E41)=D$10,F41,D$10-SUM(E$17:E41))</f>
        <v>3678208.4374172809</v>
      </c>
      <c r="E42" s="160">
        <f t="shared" si="7"/>
        <v>199972.7441860465</v>
      </c>
      <c r="F42" s="159">
        <f t="shared" si="8"/>
        <v>3478235.6932312343</v>
      </c>
      <c r="G42" s="161">
        <f t="shared" si="9"/>
        <v>556205.04810729169</v>
      </c>
      <c r="H42" s="142">
        <f t="shared" si="10"/>
        <v>556205.04810729169</v>
      </c>
      <c r="I42" s="156">
        <f t="shared" si="6"/>
        <v>0</v>
      </c>
      <c r="J42" s="156"/>
      <c r="K42" s="334"/>
      <c r="L42" s="158">
        <f t="shared" si="11"/>
        <v>0</v>
      </c>
      <c r="M42" s="334"/>
      <c r="N42" s="158">
        <f t="shared" si="12"/>
        <v>0</v>
      </c>
      <c r="O42" s="158">
        <f t="shared" si="13"/>
        <v>0</v>
      </c>
      <c r="P42" s="4"/>
    </row>
    <row r="43" spans="2:16">
      <c r="B43" s="9" t="str">
        <f t="shared" si="5"/>
        <v/>
      </c>
      <c r="C43" s="153">
        <f>IF(D11="","-",+C42+1)</f>
        <v>2039</v>
      </c>
      <c r="D43" s="159">
        <f>IF(F42+SUM(E$17:E42)=D$10,F42,D$10-SUM(E$17:E42))</f>
        <v>3478235.6932312343</v>
      </c>
      <c r="E43" s="160">
        <f t="shared" si="7"/>
        <v>199972.7441860465</v>
      </c>
      <c r="F43" s="159">
        <f t="shared" si="8"/>
        <v>3278262.9490451878</v>
      </c>
      <c r="G43" s="161">
        <f t="shared" si="9"/>
        <v>536296.62708636385</v>
      </c>
      <c r="H43" s="142">
        <f t="shared" si="10"/>
        <v>536296.62708636385</v>
      </c>
      <c r="I43" s="156">
        <f t="shared" si="6"/>
        <v>0</v>
      </c>
      <c r="J43" s="156"/>
      <c r="K43" s="334"/>
      <c r="L43" s="158">
        <f t="shared" si="11"/>
        <v>0</v>
      </c>
      <c r="M43" s="334"/>
      <c r="N43" s="158">
        <f t="shared" si="12"/>
        <v>0</v>
      </c>
      <c r="O43" s="158">
        <f t="shared" si="13"/>
        <v>0</v>
      </c>
      <c r="P43" s="4"/>
    </row>
    <row r="44" spans="2:16">
      <c r="B44" s="9" t="str">
        <f t="shared" si="5"/>
        <v/>
      </c>
      <c r="C44" s="153">
        <f>IF(D11="","-",+C43+1)</f>
        <v>2040</v>
      </c>
      <c r="D44" s="159">
        <f>IF(F43+SUM(E$17:E43)=D$10,F43,D$10-SUM(E$17:E43))</f>
        <v>3278262.9490451878</v>
      </c>
      <c r="E44" s="160">
        <f t="shared" si="7"/>
        <v>199972.7441860465</v>
      </c>
      <c r="F44" s="159">
        <f t="shared" si="8"/>
        <v>3078290.2048591413</v>
      </c>
      <c r="G44" s="161">
        <f t="shared" si="9"/>
        <v>516388.20606543601</v>
      </c>
      <c r="H44" s="142">
        <f t="shared" si="10"/>
        <v>516388.20606543601</v>
      </c>
      <c r="I44" s="156">
        <f t="shared" si="6"/>
        <v>0</v>
      </c>
      <c r="J44" s="156"/>
      <c r="K44" s="334"/>
      <c r="L44" s="158">
        <f t="shared" si="11"/>
        <v>0</v>
      </c>
      <c r="M44" s="334"/>
      <c r="N44" s="158">
        <f t="shared" si="12"/>
        <v>0</v>
      </c>
      <c r="O44" s="158">
        <f t="shared" si="13"/>
        <v>0</v>
      </c>
      <c r="P44" s="4"/>
    </row>
    <row r="45" spans="2:16">
      <c r="B45" s="9" t="str">
        <f t="shared" si="5"/>
        <v/>
      </c>
      <c r="C45" s="153">
        <f>IF(D11="","-",+C44+1)</f>
        <v>2041</v>
      </c>
      <c r="D45" s="159">
        <f>IF(F44+SUM(E$17:E44)=D$10,F44,D$10-SUM(E$17:E44))</f>
        <v>3078290.2048591413</v>
      </c>
      <c r="E45" s="160">
        <f t="shared" si="7"/>
        <v>199972.7441860465</v>
      </c>
      <c r="F45" s="159">
        <f t="shared" si="8"/>
        <v>2878317.4606730947</v>
      </c>
      <c r="G45" s="161">
        <f t="shared" si="9"/>
        <v>496479.78504450829</v>
      </c>
      <c r="H45" s="142">
        <f t="shared" si="10"/>
        <v>496479.78504450829</v>
      </c>
      <c r="I45" s="156">
        <f t="shared" si="6"/>
        <v>0</v>
      </c>
      <c r="J45" s="156"/>
      <c r="K45" s="334"/>
      <c r="L45" s="158">
        <f t="shared" si="11"/>
        <v>0</v>
      </c>
      <c r="M45" s="334"/>
      <c r="N45" s="158">
        <f t="shared" si="12"/>
        <v>0</v>
      </c>
      <c r="O45" s="158">
        <f t="shared" si="13"/>
        <v>0</v>
      </c>
      <c r="P45" s="4"/>
    </row>
    <row r="46" spans="2:16">
      <c r="B46" s="9" t="str">
        <f t="shared" si="5"/>
        <v/>
      </c>
      <c r="C46" s="153">
        <f>IF(D11="","-",+C45+1)</f>
        <v>2042</v>
      </c>
      <c r="D46" s="159">
        <f>IF(F45+SUM(E$17:E45)=D$10,F45,D$10-SUM(E$17:E45))</f>
        <v>2878317.4606730947</v>
      </c>
      <c r="E46" s="160">
        <f t="shared" si="7"/>
        <v>199972.7441860465</v>
      </c>
      <c r="F46" s="159">
        <f t="shared" si="8"/>
        <v>2678344.7164870482</v>
      </c>
      <c r="G46" s="161">
        <f t="shared" si="9"/>
        <v>476571.36402358045</v>
      </c>
      <c r="H46" s="142">
        <f t="shared" si="10"/>
        <v>476571.36402358045</v>
      </c>
      <c r="I46" s="156">
        <f t="shared" si="6"/>
        <v>0</v>
      </c>
      <c r="J46" s="156"/>
      <c r="K46" s="334"/>
      <c r="L46" s="158">
        <f t="shared" si="11"/>
        <v>0</v>
      </c>
      <c r="M46" s="334"/>
      <c r="N46" s="158">
        <f t="shared" si="12"/>
        <v>0</v>
      </c>
      <c r="O46" s="158">
        <f t="shared" si="13"/>
        <v>0</v>
      </c>
      <c r="P46" s="4"/>
    </row>
    <row r="47" spans="2:16">
      <c r="B47" s="9" t="str">
        <f t="shared" si="5"/>
        <v/>
      </c>
      <c r="C47" s="153">
        <f>IF(D11="","-",+C46+1)</f>
        <v>2043</v>
      </c>
      <c r="D47" s="159">
        <f>IF(F46+SUM(E$17:E46)=D$10,F46,D$10-SUM(E$17:E46))</f>
        <v>2678344.7164870482</v>
      </c>
      <c r="E47" s="160">
        <f t="shared" si="7"/>
        <v>199972.7441860465</v>
      </c>
      <c r="F47" s="159">
        <f t="shared" si="8"/>
        <v>2478371.9723010017</v>
      </c>
      <c r="G47" s="161">
        <f t="shared" si="9"/>
        <v>456662.94300265261</v>
      </c>
      <c r="H47" s="142">
        <f t="shared" si="10"/>
        <v>456662.94300265261</v>
      </c>
      <c r="I47" s="156">
        <f t="shared" si="6"/>
        <v>0</v>
      </c>
      <c r="J47" s="156"/>
      <c r="K47" s="334"/>
      <c r="L47" s="158">
        <f t="shared" si="11"/>
        <v>0</v>
      </c>
      <c r="M47" s="334"/>
      <c r="N47" s="158">
        <f t="shared" si="12"/>
        <v>0</v>
      </c>
      <c r="O47" s="158">
        <f t="shared" si="13"/>
        <v>0</v>
      </c>
      <c r="P47" s="4"/>
    </row>
    <row r="48" spans="2:16">
      <c r="B48" s="9" t="str">
        <f t="shared" si="5"/>
        <v/>
      </c>
      <c r="C48" s="153">
        <f>IF(D11="","-",+C47+1)</f>
        <v>2044</v>
      </c>
      <c r="D48" s="159">
        <f>IF(F47+SUM(E$17:E47)=D$10,F47,D$10-SUM(E$17:E47))</f>
        <v>2478371.9723010017</v>
      </c>
      <c r="E48" s="160">
        <f t="shared" si="7"/>
        <v>199972.7441860465</v>
      </c>
      <c r="F48" s="159">
        <f t="shared" si="8"/>
        <v>2278399.2281149551</v>
      </c>
      <c r="G48" s="161">
        <f t="shared" si="9"/>
        <v>436754.52198172483</v>
      </c>
      <c r="H48" s="142">
        <f t="shared" si="10"/>
        <v>436754.52198172483</v>
      </c>
      <c r="I48" s="156">
        <f t="shared" si="6"/>
        <v>0</v>
      </c>
      <c r="J48" s="156"/>
      <c r="K48" s="334"/>
      <c r="L48" s="158">
        <f t="shared" si="11"/>
        <v>0</v>
      </c>
      <c r="M48" s="334"/>
      <c r="N48" s="158">
        <f t="shared" si="12"/>
        <v>0</v>
      </c>
      <c r="O48" s="158">
        <f t="shared" si="13"/>
        <v>0</v>
      </c>
      <c r="P48" s="4"/>
    </row>
    <row r="49" spans="2:17">
      <c r="B49" s="9" t="str">
        <f t="shared" si="5"/>
        <v/>
      </c>
      <c r="C49" s="153">
        <f>IF(D11="","-",+C48+1)</f>
        <v>2045</v>
      </c>
      <c r="D49" s="159">
        <f>IF(F48+SUM(E$17:E48)=D$10,F48,D$10-SUM(E$17:E48))</f>
        <v>2278399.2281149551</v>
      </c>
      <c r="E49" s="160">
        <f t="shared" si="7"/>
        <v>199972.7441860465</v>
      </c>
      <c r="F49" s="159">
        <f t="shared" si="8"/>
        <v>2078426.4839289086</v>
      </c>
      <c r="G49" s="161">
        <f t="shared" si="9"/>
        <v>416846.10096079705</v>
      </c>
      <c r="H49" s="142">
        <f t="shared" si="10"/>
        <v>416846.10096079705</v>
      </c>
      <c r="I49" s="156">
        <f t="shared" si="6"/>
        <v>0</v>
      </c>
      <c r="J49" s="156"/>
      <c r="K49" s="334"/>
      <c r="L49" s="158">
        <f t="shared" si="11"/>
        <v>0</v>
      </c>
      <c r="M49" s="334"/>
      <c r="N49" s="158">
        <f t="shared" si="12"/>
        <v>0</v>
      </c>
      <c r="O49" s="158">
        <f t="shared" si="13"/>
        <v>0</v>
      </c>
      <c r="P49" s="4"/>
    </row>
    <row r="50" spans="2:17">
      <c r="B50" s="9" t="str">
        <f t="shared" si="5"/>
        <v/>
      </c>
      <c r="C50" s="153">
        <f>IF(D11="","-",+C49+1)</f>
        <v>2046</v>
      </c>
      <c r="D50" s="159">
        <f>IF(F49+SUM(E$17:E49)=D$10,F49,D$10-SUM(E$17:E49))</f>
        <v>2078426.4839289086</v>
      </c>
      <c r="E50" s="160">
        <f t="shared" si="7"/>
        <v>199972.7441860465</v>
      </c>
      <c r="F50" s="159">
        <f t="shared" si="8"/>
        <v>1878453.7397428621</v>
      </c>
      <c r="G50" s="161">
        <f t="shared" si="9"/>
        <v>396937.67993986921</v>
      </c>
      <c r="H50" s="142">
        <f t="shared" si="10"/>
        <v>396937.67993986921</v>
      </c>
      <c r="I50" s="156">
        <f t="shared" si="6"/>
        <v>0</v>
      </c>
      <c r="J50" s="156"/>
      <c r="K50" s="334"/>
      <c r="L50" s="158">
        <f t="shared" si="11"/>
        <v>0</v>
      </c>
      <c r="M50" s="334"/>
      <c r="N50" s="158">
        <f t="shared" si="12"/>
        <v>0</v>
      </c>
      <c r="O50" s="158">
        <f t="shared" si="13"/>
        <v>0</v>
      </c>
      <c r="P50" s="4"/>
    </row>
    <row r="51" spans="2:17">
      <c r="B51" s="9" t="str">
        <f t="shared" si="5"/>
        <v/>
      </c>
      <c r="C51" s="153">
        <f>IF(D11="","-",+C50+1)</f>
        <v>2047</v>
      </c>
      <c r="D51" s="159">
        <f>IF(F50+SUM(E$17:E50)=D$10,F50,D$10-SUM(E$17:E50))</f>
        <v>1878453.7397428621</v>
      </c>
      <c r="E51" s="160">
        <f t="shared" si="7"/>
        <v>199972.7441860465</v>
      </c>
      <c r="F51" s="159">
        <f t="shared" si="8"/>
        <v>1678480.9955568155</v>
      </c>
      <c r="G51" s="161">
        <f t="shared" si="9"/>
        <v>377029.25891894149</v>
      </c>
      <c r="H51" s="142">
        <f t="shared" si="10"/>
        <v>377029.25891894149</v>
      </c>
      <c r="I51" s="156">
        <f t="shared" si="6"/>
        <v>0</v>
      </c>
      <c r="J51" s="156"/>
      <c r="K51" s="334"/>
      <c r="L51" s="158">
        <f t="shared" si="11"/>
        <v>0</v>
      </c>
      <c r="M51" s="334"/>
      <c r="N51" s="158">
        <f t="shared" si="12"/>
        <v>0</v>
      </c>
      <c r="O51" s="158">
        <f t="shared" si="13"/>
        <v>0</v>
      </c>
      <c r="P51" s="4"/>
    </row>
    <row r="52" spans="2:17">
      <c r="B52" s="9" t="str">
        <f t="shared" si="5"/>
        <v/>
      </c>
      <c r="C52" s="153">
        <f>IF(D11="","-",+C51+1)</f>
        <v>2048</v>
      </c>
      <c r="D52" s="159">
        <f>IF(F51+SUM(E$17:E51)=D$10,F51,D$10-SUM(E$17:E51))</f>
        <v>1678480.9955568155</v>
      </c>
      <c r="E52" s="160">
        <f t="shared" si="7"/>
        <v>199972.7441860465</v>
      </c>
      <c r="F52" s="159">
        <f t="shared" si="8"/>
        <v>1478508.251370769</v>
      </c>
      <c r="G52" s="161">
        <f t="shared" si="9"/>
        <v>357120.83789801365</v>
      </c>
      <c r="H52" s="142">
        <f t="shared" si="10"/>
        <v>357120.83789801365</v>
      </c>
      <c r="I52" s="156">
        <f t="shared" si="6"/>
        <v>0</v>
      </c>
      <c r="J52" s="156"/>
      <c r="K52" s="334"/>
      <c r="L52" s="158">
        <f t="shared" si="11"/>
        <v>0</v>
      </c>
      <c r="M52" s="334"/>
      <c r="N52" s="158">
        <f t="shared" si="12"/>
        <v>0</v>
      </c>
      <c r="O52" s="158">
        <f t="shared" si="13"/>
        <v>0</v>
      </c>
      <c r="P52" s="4"/>
    </row>
    <row r="53" spans="2:17">
      <c r="B53" s="9" t="str">
        <f t="shared" si="5"/>
        <v/>
      </c>
      <c r="C53" s="153">
        <f>IF(D11="","-",+C52+1)</f>
        <v>2049</v>
      </c>
      <c r="D53" s="159">
        <f>IF(F52+SUM(E$17:E52)=D$10,F52,D$10-SUM(E$17:E52))</f>
        <v>1478508.251370769</v>
      </c>
      <c r="E53" s="160">
        <f t="shared" si="7"/>
        <v>199972.7441860465</v>
      </c>
      <c r="F53" s="159">
        <f t="shared" si="8"/>
        <v>1278535.5071847225</v>
      </c>
      <c r="G53" s="161">
        <f t="shared" ref="G53:G72" si="14">+I$12*((D53+F53)/2)+E53</f>
        <v>337212.41687708581</v>
      </c>
      <c r="H53" s="142">
        <f t="shared" ref="H53:H72" si="15">+I$13*((D53+F53)/2)+E53</f>
        <v>337212.41687708581</v>
      </c>
      <c r="I53" s="156">
        <f t="shared" si="6"/>
        <v>0</v>
      </c>
      <c r="J53" s="156"/>
      <c r="K53" s="334"/>
      <c r="L53" s="158">
        <f t="shared" si="11"/>
        <v>0</v>
      </c>
      <c r="M53" s="334"/>
      <c r="N53" s="158">
        <f t="shared" si="12"/>
        <v>0</v>
      </c>
      <c r="O53" s="158">
        <f t="shared" si="13"/>
        <v>0</v>
      </c>
      <c r="P53" s="4"/>
    </row>
    <row r="54" spans="2:17">
      <c r="B54" s="9" t="str">
        <f t="shared" si="5"/>
        <v/>
      </c>
      <c r="C54" s="153">
        <f>IF(D11="","-",+C53+1)</f>
        <v>2050</v>
      </c>
      <c r="D54" s="159">
        <f>IF(F53+SUM(E$17:E53)=D$10,F53,D$10-SUM(E$17:E53))</f>
        <v>1278535.5071847225</v>
      </c>
      <c r="E54" s="160">
        <f t="shared" si="7"/>
        <v>199972.7441860465</v>
      </c>
      <c r="F54" s="159">
        <f t="shared" si="8"/>
        <v>1078562.7629986759</v>
      </c>
      <c r="G54" s="161">
        <f t="shared" si="14"/>
        <v>317303.99585615803</v>
      </c>
      <c r="H54" s="142">
        <f t="shared" si="15"/>
        <v>317303.99585615803</v>
      </c>
      <c r="I54" s="156">
        <f t="shared" si="6"/>
        <v>0</v>
      </c>
      <c r="J54" s="156"/>
      <c r="K54" s="334"/>
      <c r="L54" s="158">
        <f t="shared" si="11"/>
        <v>0</v>
      </c>
      <c r="M54" s="334"/>
      <c r="N54" s="158">
        <f t="shared" si="12"/>
        <v>0</v>
      </c>
      <c r="O54" s="158">
        <f t="shared" si="13"/>
        <v>0</v>
      </c>
      <c r="P54" s="4"/>
    </row>
    <row r="55" spans="2:17">
      <c r="B55" s="9" t="str">
        <f t="shared" si="5"/>
        <v/>
      </c>
      <c r="C55" s="153">
        <f>IF(D11="","-",+C54+1)</f>
        <v>2051</v>
      </c>
      <c r="D55" s="159">
        <f>IF(F54+SUM(E$17:E54)=D$10,F54,D$10-SUM(E$17:E54))</f>
        <v>1078562.7629986759</v>
      </c>
      <c r="E55" s="160">
        <f t="shared" si="7"/>
        <v>199972.7441860465</v>
      </c>
      <c r="F55" s="159">
        <f t="shared" si="8"/>
        <v>878590.01881262939</v>
      </c>
      <c r="G55" s="161">
        <f t="shared" si="14"/>
        <v>297395.57483523025</v>
      </c>
      <c r="H55" s="142">
        <f t="shared" si="15"/>
        <v>297395.57483523025</v>
      </c>
      <c r="I55" s="156">
        <f t="shared" si="6"/>
        <v>0</v>
      </c>
      <c r="J55" s="156"/>
      <c r="K55" s="334"/>
      <c r="L55" s="158">
        <f t="shared" si="11"/>
        <v>0</v>
      </c>
      <c r="M55" s="334"/>
      <c r="N55" s="158">
        <f t="shared" si="12"/>
        <v>0</v>
      </c>
      <c r="O55" s="158">
        <f t="shared" si="13"/>
        <v>0</v>
      </c>
      <c r="P55" s="4"/>
    </row>
    <row r="56" spans="2:17">
      <c r="B56" s="9" t="str">
        <f t="shared" si="5"/>
        <v/>
      </c>
      <c r="C56" s="153">
        <f>IF(D11="","-",+C55+1)</f>
        <v>2052</v>
      </c>
      <c r="D56" s="159">
        <f>IF(F55+SUM(E$17:E55)=D$10,F55,D$10-SUM(E$17:E55))</f>
        <v>878590.01881262939</v>
      </c>
      <c r="E56" s="160">
        <f t="shared" si="7"/>
        <v>199972.7441860465</v>
      </c>
      <c r="F56" s="159">
        <f t="shared" si="8"/>
        <v>678617.27462658286</v>
      </c>
      <c r="G56" s="161">
        <f t="shared" si="14"/>
        <v>277487.15381430247</v>
      </c>
      <c r="H56" s="142">
        <f t="shared" si="15"/>
        <v>277487.15381430247</v>
      </c>
      <c r="I56" s="156">
        <f t="shared" si="6"/>
        <v>0</v>
      </c>
      <c r="J56" s="156"/>
      <c r="K56" s="334"/>
      <c r="L56" s="158">
        <f t="shared" si="11"/>
        <v>0</v>
      </c>
      <c r="M56" s="334"/>
      <c r="N56" s="158">
        <f t="shared" si="12"/>
        <v>0</v>
      </c>
      <c r="O56" s="158">
        <f t="shared" si="13"/>
        <v>0</v>
      </c>
      <c r="P56" s="4"/>
    </row>
    <row r="57" spans="2:17">
      <c r="B57" s="9" t="str">
        <f t="shared" si="5"/>
        <v/>
      </c>
      <c r="C57" s="153">
        <f>IF(D11="","-",+C56+1)</f>
        <v>2053</v>
      </c>
      <c r="D57" s="159">
        <f>IF(F56+SUM(E$17:E56)=D$10,F56,D$10-SUM(E$17:E56))</f>
        <v>678617.27462658286</v>
      </c>
      <c r="E57" s="160">
        <f t="shared" si="7"/>
        <v>199972.7441860465</v>
      </c>
      <c r="F57" s="159">
        <f t="shared" si="8"/>
        <v>478644.53044053633</v>
      </c>
      <c r="G57" s="161">
        <f t="shared" si="14"/>
        <v>257578.73279337466</v>
      </c>
      <c r="H57" s="142">
        <f t="shared" si="15"/>
        <v>257578.73279337466</v>
      </c>
      <c r="I57" s="156">
        <f t="shared" si="6"/>
        <v>0</v>
      </c>
      <c r="J57" s="156"/>
      <c r="K57" s="334"/>
      <c r="L57" s="158">
        <f t="shared" si="11"/>
        <v>0</v>
      </c>
      <c r="M57" s="334"/>
      <c r="N57" s="158">
        <f t="shared" si="12"/>
        <v>0</v>
      </c>
      <c r="O57" s="158">
        <f t="shared" si="13"/>
        <v>0</v>
      </c>
      <c r="P57" s="4"/>
    </row>
    <row r="58" spans="2:17">
      <c r="B58" s="9" t="str">
        <f t="shared" si="5"/>
        <v/>
      </c>
      <c r="C58" s="153">
        <f>IF(D11="","-",+C57+1)</f>
        <v>2054</v>
      </c>
      <c r="D58" s="159">
        <f>IF(F57+SUM(E$17:E57)=D$10,F57,D$10-SUM(E$17:E57))</f>
        <v>478644.53044053633</v>
      </c>
      <c r="E58" s="160">
        <f t="shared" si="7"/>
        <v>199972.7441860465</v>
      </c>
      <c r="F58" s="159">
        <f t="shared" si="8"/>
        <v>278671.78625448979</v>
      </c>
      <c r="G58" s="161">
        <f t="shared" si="14"/>
        <v>237670.31177244685</v>
      </c>
      <c r="H58" s="142">
        <f t="shared" si="15"/>
        <v>237670.31177244685</v>
      </c>
      <c r="I58" s="156">
        <f t="shared" si="6"/>
        <v>0</v>
      </c>
      <c r="J58" s="156"/>
      <c r="K58" s="334"/>
      <c r="L58" s="158">
        <f t="shared" si="11"/>
        <v>0</v>
      </c>
      <c r="M58" s="334"/>
      <c r="N58" s="158">
        <f t="shared" si="12"/>
        <v>0</v>
      </c>
      <c r="O58" s="158">
        <f t="shared" si="13"/>
        <v>0</v>
      </c>
      <c r="P58" s="4"/>
      <c r="Q58" t="str">
        <f>IF(ROUND(Q57,0)=ROUND(SUM(Q18:Q56),0),"","Error -- check allocations above).")</f>
        <v/>
      </c>
    </row>
    <row r="59" spans="2:17">
      <c r="B59" s="9" t="str">
        <f t="shared" si="5"/>
        <v/>
      </c>
      <c r="C59" s="153">
        <f>IF(D11="","-",+C58+1)</f>
        <v>2055</v>
      </c>
      <c r="D59" s="159">
        <f>IF(F58+SUM(E$17:E58)=D$10,F58,D$10-SUM(E$17:E58))</f>
        <v>278671.78625448979</v>
      </c>
      <c r="E59" s="160">
        <f t="shared" si="7"/>
        <v>199972.7441860465</v>
      </c>
      <c r="F59" s="159">
        <f t="shared" si="8"/>
        <v>78699.04206844329</v>
      </c>
      <c r="G59" s="161">
        <f t="shared" si="14"/>
        <v>217761.89075151907</v>
      </c>
      <c r="H59" s="142">
        <f t="shared" si="15"/>
        <v>217761.89075151907</v>
      </c>
      <c r="I59" s="156">
        <f t="shared" si="6"/>
        <v>0</v>
      </c>
      <c r="J59" s="156"/>
      <c r="K59" s="334"/>
      <c r="L59" s="158">
        <f t="shared" si="11"/>
        <v>0</v>
      </c>
      <c r="M59" s="334"/>
      <c r="N59" s="158">
        <f t="shared" si="12"/>
        <v>0</v>
      </c>
      <c r="O59" s="158">
        <f t="shared" si="13"/>
        <v>0</v>
      </c>
      <c r="P59" s="4"/>
    </row>
    <row r="60" spans="2:17">
      <c r="B60" s="9" t="str">
        <f t="shared" si="5"/>
        <v/>
      </c>
      <c r="C60" s="153">
        <f>IF(D11="","-",+C59+1)</f>
        <v>2056</v>
      </c>
      <c r="D60" s="159">
        <f>IF(F59+SUM(E$17:E59)=D$10,F59,D$10-SUM(E$17:E59))</f>
        <v>78699.04206844329</v>
      </c>
      <c r="E60" s="160">
        <f t="shared" si="7"/>
        <v>78699.04206844329</v>
      </c>
      <c r="F60" s="159">
        <f t="shared" si="8"/>
        <v>0</v>
      </c>
      <c r="G60" s="161">
        <f t="shared" si="14"/>
        <v>82616.510095947611</v>
      </c>
      <c r="H60" s="142">
        <f t="shared" si="15"/>
        <v>82616.510095947611</v>
      </c>
      <c r="I60" s="156">
        <f t="shared" si="6"/>
        <v>0</v>
      </c>
      <c r="J60" s="156"/>
      <c r="K60" s="334"/>
      <c r="L60" s="158">
        <f t="shared" si="11"/>
        <v>0</v>
      </c>
      <c r="M60" s="334"/>
      <c r="N60" s="158">
        <f t="shared" si="12"/>
        <v>0</v>
      </c>
      <c r="O60" s="158">
        <f t="shared" si="13"/>
        <v>0</v>
      </c>
      <c r="P60" s="4"/>
    </row>
    <row r="61" spans="2:17">
      <c r="B61" s="9" t="str">
        <f t="shared" si="5"/>
        <v/>
      </c>
      <c r="C61" s="153">
        <f>IF(D11="","-",+C60+1)</f>
        <v>2057</v>
      </c>
      <c r="D61" s="159">
        <f>IF(F60+SUM(E$17:E60)=D$10,F60,D$10-SUM(E$17:E60))</f>
        <v>0</v>
      </c>
      <c r="E61" s="160">
        <f t="shared" si="7"/>
        <v>0</v>
      </c>
      <c r="F61" s="159">
        <f t="shared" si="8"/>
        <v>0</v>
      </c>
      <c r="G61" s="161">
        <f t="shared" si="14"/>
        <v>0</v>
      </c>
      <c r="H61" s="142">
        <f t="shared" si="15"/>
        <v>0</v>
      </c>
      <c r="I61" s="156">
        <f t="shared" si="6"/>
        <v>0</v>
      </c>
      <c r="J61" s="156"/>
      <c r="K61" s="334"/>
      <c r="L61" s="158">
        <f t="shared" si="11"/>
        <v>0</v>
      </c>
      <c r="M61" s="334"/>
      <c r="N61" s="158">
        <f t="shared" si="12"/>
        <v>0</v>
      </c>
      <c r="O61" s="158">
        <f t="shared" si="13"/>
        <v>0</v>
      </c>
      <c r="P61" s="4"/>
    </row>
    <row r="62" spans="2:17">
      <c r="B62" s="9" t="str">
        <f t="shared" si="5"/>
        <v/>
      </c>
      <c r="C62" s="153">
        <f>IF(D11="","-",+C61+1)</f>
        <v>2058</v>
      </c>
      <c r="D62" s="159">
        <f>IF(F61+SUM(E$17:E61)=D$10,F61,D$10-SUM(E$17:E61))</f>
        <v>0</v>
      </c>
      <c r="E62" s="160">
        <f t="shared" si="7"/>
        <v>0</v>
      </c>
      <c r="F62" s="159">
        <f t="shared" si="8"/>
        <v>0</v>
      </c>
      <c r="G62" s="161">
        <f t="shared" si="14"/>
        <v>0</v>
      </c>
      <c r="H62" s="142">
        <f t="shared" si="15"/>
        <v>0</v>
      </c>
      <c r="I62" s="156">
        <f t="shared" si="6"/>
        <v>0</v>
      </c>
      <c r="J62" s="156"/>
      <c r="K62" s="334"/>
      <c r="L62" s="158">
        <f t="shared" si="11"/>
        <v>0</v>
      </c>
      <c r="M62" s="334"/>
      <c r="N62" s="158">
        <f t="shared" si="12"/>
        <v>0</v>
      </c>
      <c r="O62" s="158">
        <f t="shared" si="13"/>
        <v>0</v>
      </c>
      <c r="P62" s="4"/>
    </row>
    <row r="63" spans="2:17">
      <c r="B63" s="9" t="str">
        <f t="shared" si="5"/>
        <v/>
      </c>
      <c r="C63" s="153">
        <f>IF(D11="","-",+C62+1)</f>
        <v>2059</v>
      </c>
      <c r="D63" s="159">
        <f>IF(F62+SUM(E$17:E62)=D$10,F62,D$10-SUM(E$17:E62))</f>
        <v>0</v>
      </c>
      <c r="E63" s="160">
        <f t="shared" si="7"/>
        <v>0</v>
      </c>
      <c r="F63" s="159">
        <f t="shared" si="8"/>
        <v>0</v>
      </c>
      <c r="G63" s="161">
        <f t="shared" si="14"/>
        <v>0</v>
      </c>
      <c r="H63" s="142">
        <f t="shared" si="15"/>
        <v>0</v>
      </c>
      <c r="I63" s="156">
        <f t="shared" si="6"/>
        <v>0</v>
      </c>
      <c r="J63" s="156"/>
      <c r="K63" s="334"/>
      <c r="L63" s="158">
        <f t="shared" si="11"/>
        <v>0</v>
      </c>
      <c r="M63" s="334"/>
      <c r="N63" s="158">
        <f t="shared" si="12"/>
        <v>0</v>
      </c>
      <c r="O63" s="158">
        <f t="shared" si="13"/>
        <v>0</v>
      </c>
      <c r="P63" s="4"/>
    </row>
    <row r="64" spans="2:17">
      <c r="B64" s="9" t="str">
        <f t="shared" si="5"/>
        <v/>
      </c>
      <c r="C64" s="153">
        <f>IF(D11="","-",+C63+1)</f>
        <v>2060</v>
      </c>
      <c r="D64" s="159">
        <f>IF(F63+SUM(E$17:E63)=D$10,F63,D$10-SUM(E$17:E63))</f>
        <v>0</v>
      </c>
      <c r="E64" s="160">
        <f t="shared" si="7"/>
        <v>0</v>
      </c>
      <c r="F64" s="159">
        <f t="shared" si="8"/>
        <v>0</v>
      </c>
      <c r="G64" s="161">
        <f t="shared" si="14"/>
        <v>0</v>
      </c>
      <c r="H64" s="142">
        <f t="shared" si="15"/>
        <v>0</v>
      </c>
      <c r="I64" s="156">
        <f t="shared" si="6"/>
        <v>0</v>
      </c>
      <c r="J64" s="156"/>
      <c r="K64" s="334"/>
      <c r="L64" s="158">
        <f t="shared" si="11"/>
        <v>0</v>
      </c>
      <c r="M64" s="334"/>
      <c r="N64" s="158">
        <f t="shared" si="12"/>
        <v>0</v>
      </c>
      <c r="O64" s="158">
        <f t="shared" si="13"/>
        <v>0</v>
      </c>
      <c r="P64" s="4"/>
    </row>
    <row r="65" spans="2:16">
      <c r="B65" s="9" t="str">
        <f t="shared" si="5"/>
        <v/>
      </c>
      <c r="C65" s="153">
        <f>IF(D11="","-",+C64+1)</f>
        <v>2061</v>
      </c>
      <c r="D65" s="159">
        <f>IF(F64+SUM(E$17:E64)=D$10,F64,D$10-SUM(E$17:E64))</f>
        <v>0</v>
      </c>
      <c r="E65" s="160">
        <f t="shared" si="7"/>
        <v>0</v>
      </c>
      <c r="F65" s="159">
        <f t="shared" si="8"/>
        <v>0</v>
      </c>
      <c r="G65" s="161">
        <f t="shared" si="14"/>
        <v>0</v>
      </c>
      <c r="H65" s="142">
        <f t="shared" si="15"/>
        <v>0</v>
      </c>
      <c r="I65" s="156">
        <f t="shared" si="6"/>
        <v>0</v>
      </c>
      <c r="J65" s="156"/>
      <c r="K65" s="334"/>
      <c r="L65" s="158">
        <f t="shared" si="11"/>
        <v>0</v>
      </c>
      <c r="M65" s="334"/>
      <c r="N65" s="158">
        <f t="shared" si="12"/>
        <v>0</v>
      </c>
      <c r="O65" s="158">
        <f t="shared" si="13"/>
        <v>0</v>
      </c>
      <c r="P65" s="4"/>
    </row>
    <row r="66" spans="2:16">
      <c r="B66" s="9" t="str">
        <f t="shared" si="5"/>
        <v/>
      </c>
      <c r="C66" s="153">
        <f>IF(D11="","-",+C65+1)</f>
        <v>2062</v>
      </c>
      <c r="D66" s="159">
        <f>IF(F65+SUM(E$17:E65)=D$10,F65,D$10-SUM(E$17:E65))</f>
        <v>0</v>
      </c>
      <c r="E66" s="160">
        <f t="shared" si="7"/>
        <v>0</v>
      </c>
      <c r="F66" s="159">
        <f t="shared" si="8"/>
        <v>0</v>
      </c>
      <c r="G66" s="161">
        <f t="shared" si="14"/>
        <v>0</v>
      </c>
      <c r="H66" s="142">
        <f t="shared" si="15"/>
        <v>0</v>
      </c>
      <c r="I66" s="156">
        <f t="shared" si="6"/>
        <v>0</v>
      </c>
      <c r="J66" s="156"/>
      <c r="K66" s="334"/>
      <c r="L66" s="158">
        <f t="shared" si="11"/>
        <v>0</v>
      </c>
      <c r="M66" s="334"/>
      <c r="N66" s="158">
        <f t="shared" si="12"/>
        <v>0</v>
      </c>
      <c r="O66" s="158">
        <f t="shared" si="13"/>
        <v>0</v>
      </c>
      <c r="P66" s="4"/>
    </row>
    <row r="67" spans="2:16">
      <c r="B67" s="9" t="str">
        <f t="shared" si="5"/>
        <v/>
      </c>
      <c r="C67" s="153">
        <f>IF(D11="","-",+C66+1)</f>
        <v>2063</v>
      </c>
      <c r="D67" s="159">
        <f>IF(F66+SUM(E$17:E66)=D$10,F66,D$10-SUM(E$17:E66))</f>
        <v>0</v>
      </c>
      <c r="E67" s="160">
        <f t="shared" si="7"/>
        <v>0</v>
      </c>
      <c r="F67" s="159">
        <f t="shared" si="8"/>
        <v>0</v>
      </c>
      <c r="G67" s="161">
        <f t="shared" si="14"/>
        <v>0</v>
      </c>
      <c r="H67" s="142">
        <f t="shared" si="15"/>
        <v>0</v>
      </c>
      <c r="I67" s="156">
        <f t="shared" si="6"/>
        <v>0</v>
      </c>
      <c r="J67" s="156"/>
      <c r="K67" s="334"/>
      <c r="L67" s="158">
        <f t="shared" si="11"/>
        <v>0</v>
      </c>
      <c r="M67" s="334"/>
      <c r="N67" s="158">
        <f t="shared" si="12"/>
        <v>0</v>
      </c>
      <c r="O67" s="158">
        <f t="shared" si="13"/>
        <v>0</v>
      </c>
      <c r="P67" s="4"/>
    </row>
    <row r="68" spans="2:16">
      <c r="B68" s="9" t="str">
        <f t="shared" si="5"/>
        <v/>
      </c>
      <c r="C68" s="153">
        <f>IF(D11="","-",+C67+1)</f>
        <v>2064</v>
      </c>
      <c r="D68" s="159">
        <f>IF(F67+SUM(E$17:E67)=D$10,F67,D$10-SUM(E$17:E67))</f>
        <v>0</v>
      </c>
      <c r="E68" s="160">
        <f t="shared" si="7"/>
        <v>0</v>
      </c>
      <c r="F68" s="159">
        <f t="shared" si="8"/>
        <v>0</v>
      </c>
      <c r="G68" s="161">
        <f t="shared" si="14"/>
        <v>0</v>
      </c>
      <c r="H68" s="142">
        <f t="shared" si="15"/>
        <v>0</v>
      </c>
      <c r="I68" s="156">
        <f t="shared" si="6"/>
        <v>0</v>
      </c>
      <c r="J68" s="156"/>
      <c r="K68" s="334"/>
      <c r="L68" s="158">
        <f t="shared" si="11"/>
        <v>0</v>
      </c>
      <c r="M68" s="334"/>
      <c r="N68" s="158">
        <f t="shared" si="12"/>
        <v>0</v>
      </c>
      <c r="O68" s="158">
        <f t="shared" si="13"/>
        <v>0</v>
      </c>
      <c r="P68" s="4"/>
    </row>
    <row r="69" spans="2:16">
      <c r="B69" s="9" t="str">
        <f t="shared" si="5"/>
        <v/>
      </c>
      <c r="C69" s="153">
        <f>IF(D11="","-",+C68+1)</f>
        <v>2065</v>
      </c>
      <c r="D69" s="159">
        <f>IF(F68+SUM(E$17:E68)=D$10,F68,D$10-SUM(E$17:E68))</f>
        <v>0</v>
      </c>
      <c r="E69" s="160">
        <f t="shared" si="7"/>
        <v>0</v>
      </c>
      <c r="F69" s="159">
        <f t="shared" si="8"/>
        <v>0</v>
      </c>
      <c r="G69" s="161">
        <f t="shared" si="14"/>
        <v>0</v>
      </c>
      <c r="H69" s="142">
        <f t="shared" si="15"/>
        <v>0</v>
      </c>
      <c r="I69" s="156">
        <f t="shared" si="6"/>
        <v>0</v>
      </c>
      <c r="J69" s="156"/>
      <c r="K69" s="334"/>
      <c r="L69" s="158">
        <f t="shared" si="11"/>
        <v>0</v>
      </c>
      <c r="M69" s="334"/>
      <c r="N69" s="158">
        <f t="shared" si="12"/>
        <v>0</v>
      </c>
      <c r="O69" s="158">
        <f t="shared" si="13"/>
        <v>0</v>
      </c>
      <c r="P69" s="4"/>
    </row>
    <row r="70" spans="2:16">
      <c r="B70" s="9" t="str">
        <f t="shared" si="5"/>
        <v/>
      </c>
      <c r="C70" s="153">
        <f>IF(D11="","-",+C69+1)</f>
        <v>2066</v>
      </c>
      <c r="D70" s="159">
        <f>IF(F69+SUM(E$17:E69)=D$10,F69,D$10-SUM(E$17:E69))</f>
        <v>0</v>
      </c>
      <c r="E70" s="160">
        <f t="shared" si="7"/>
        <v>0</v>
      </c>
      <c r="F70" s="159">
        <f t="shared" si="8"/>
        <v>0</v>
      </c>
      <c r="G70" s="161">
        <f t="shared" si="14"/>
        <v>0</v>
      </c>
      <c r="H70" s="142">
        <f t="shared" si="15"/>
        <v>0</v>
      </c>
      <c r="I70" s="156">
        <f t="shared" si="6"/>
        <v>0</v>
      </c>
      <c r="J70" s="156"/>
      <c r="K70" s="334"/>
      <c r="L70" s="158">
        <f t="shared" si="11"/>
        <v>0</v>
      </c>
      <c r="M70" s="334"/>
      <c r="N70" s="158">
        <f t="shared" si="12"/>
        <v>0</v>
      </c>
      <c r="O70" s="158">
        <f t="shared" si="13"/>
        <v>0</v>
      </c>
      <c r="P70" s="4"/>
    </row>
    <row r="71" spans="2:16">
      <c r="B71" s="9" t="str">
        <f t="shared" si="5"/>
        <v/>
      </c>
      <c r="C71" s="153">
        <f>IF(D11="","-",+C70+1)</f>
        <v>2067</v>
      </c>
      <c r="D71" s="159">
        <f>IF(F70+SUM(E$17:E70)=D$10,F70,D$10-SUM(E$17:E70))</f>
        <v>0</v>
      </c>
      <c r="E71" s="160">
        <f t="shared" si="7"/>
        <v>0</v>
      </c>
      <c r="F71" s="159">
        <f t="shared" si="8"/>
        <v>0</v>
      </c>
      <c r="G71" s="161">
        <f t="shared" si="14"/>
        <v>0</v>
      </c>
      <c r="H71" s="142">
        <f t="shared" si="15"/>
        <v>0</v>
      </c>
      <c r="I71" s="156">
        <f t="shared" si="6"/>
        <v>0</v>
      </c>
      <c r="J71" s="156"/>
      <c r="K71" s="334"/>
      <c r="L71" s="158">
        <f t="shared" si="11"/>
        <v>0</v>
      </c>
      <c r="M71" s="334"/>
      <c r="N71" s="158">
        <f t="shared" si="12"/>
        <v>0</v>
      </c>
      <c r="O71" s="158">
        <f t="shared" si="13"/>
        <v>0</v>
      </c>
      <c r="P71" s="4"/>
    </row>
    <row r="72" spans="2:16" ht="13.5" thickBot="1">
      <c r="B72" s="9" t="str">
        <f t="shared" si="5"/>
        <v/>
      </c>
      <c r="C72" s="164">
        <f>IF(D11="","-",+C71+1)</f>
        <v>2068</v>
      </c>
      <c r="D72" s="165">
        <f>IF(F71+SUM(E$17:E71)=D$10,F71,D$10-SUM(E$17:E71))</f>
        <v>0</v>
      </c>
      <c r="E72" s="166">
        <f t="shared" si="7"/>
        <v>0</v>
      </c>
      <c r="F72" s="165">
        <f t="shared" si="8"/>
        <v>0</v>
      </c>
      <c r="G72" s="167">
        <f t="shared" si="14"/>
        <v>0</v>
      </c>
      <c r="H72" s="124">
        <f t="shared" si="15"/>
        <v>0</v>
      </c>
      <c r="I72" s="168">
        <f t="shared" si="6"/>
        <v>0</v>
      </c>
      <c r="J72" s="156"/>
      <c r="K72" s="335"/>
      <c r="L72" s="169">
        <f t="shared" si="11"/>
        <v>0</v>
      </c>
      <c r="M72" s="335"/>
      <c r="N72" s="169">
        <f t="shared" si="12"/>
        <v>0</v>
      </c>
      <c r="O72" s="169">
        <f t="shared" si="13"/>
        <v>0</v>
      </c>
      <c r="P72" s="4"/>
    </row>
    <row r="73" spans="2:16">
      <c r="C73" s="154" t="s">
        <v>73</v>
      </c>
      <c r="D73" s="111"/>
      <c r="E73" s="111">
        <f>SUM(E17:E72)</f>
        <v>8598828</v>
      </c>
      <c r="F73" s="111"/>
      <c r="G73" s="111">
        <f>SUM(G17:G72)</f>
        <v>28563083.343557242</v>
      </c>
      <c r="H73" s="111">
        <f>SUM(H17:H72)</f>
        <v>28563083.343557242</v>
      </c>
      <c r="I73" s="111">
        <f>SUM(I17:I72)</f>
        <v>0</v>
      </c>
      <c r="J73" s="111"/>
      <c r="K73" s="111"/>
      <c r="L73" s="111"/>
      <c r="M73" s="111"/>
      <c r="N73" s="111"/>
      <c r="O73" s="4"/>
      <c r="P73" s="4"/>
    </row>
    <row r="74" spans="2:16">
      <c r="D74" s="2"/>
      <c r="E74" s="1"/>
      <c r="F74" s="1"/>
      <c r="G74" s="1"/>
      <c r="H74" s="3"/>
      <c r="I74" s="3"/>
      <c r="J74" s="111"/>
      <c r="K74" s="3"/>
      <c r="L74" s="3"/>
      <c r="M74" s="3"/>
      <c r="N74" s="3"/>
      <c r="O74" s="1"/>
      <c r="P74" s="1"/>
    </row>
    <row r="75" spans="2:16">
      <c r="C75" s="170" t="s">
        <v>91</v>
      </c>
      <c r="D75" s="2"/>
      <c r="E75" s="1"/>
      <c r="F75" s="1"/>
      <c r="G75" s="1"/>
      <c r="H75" s="3"/>
      <c r="I75" s="3"/>
      <c r="J75" s="111"/>
      <c r="K75" s="3"/>
      <c r="L75" s="3"/>
      <c r="M75" s="3"/>
      <c r="N75" s="3"/>
      <c r="O75" s="1"/>
      <c r="P75" s="1"/>
    </row>
    <row r="76" spans="2:16">
      <c r="C76" s="121" t="s">
        <v>74</v>
      </c>
      <c r="D76" s="2"/>
      <c r="E76" s="1"/>
      <c r="F76" s="1"/>
      <c r="G76" s="1"/>
      <c r="H76" s="3"/>
      <c r="I76" s="3"/>
      <c r="J76" s="111"/>
      <c r="K76" s="3"/>
      <c r="L76" s="3"/>
      <c r="M76" s="3"/>
      <c r="N76" s="3"/>
      <c r="O76" s="4"/>
      <c r="P76" s="4"/>
    </row>
    <row r="77" spans="2:16">
      <c r="C77" s="121" t="s">
        <v>75</v>
      </c>
      <c r="D77" s="154"/>
      <c r="E77" s="154"/>
      <c r="F77" s="154"/>
      <c r="G77" s="111"/>
      <c r="H77" s="111"/>
      <c r="I77" s="171"/>
      <c r="J77" s="171"/>
      <c r="K77" s="171"/>
      <c r="L77" s="171"/>
      <c r="M77" s="171"/>
      <c r="N77" s="171"/>
      <c r="O77" s="4"/>
      <c r="P77" s="4"/>
    </row>
    <row r="78" spans="2:16">
      <c r="C78" s="121"/>
      <c r="D78" s="154"/>
      <c r="E78" s="154"/>
      <c r="F78" s="154"/>
      <c r="G78" s="111"/>
      <c r="H78" s="111"/>
      <c r="I78" s="171"/>
      <c r="J78" s="171"/>
      <c r="K78" s="171"/>
      <c r="L78" s="171"/>
      <c r="M78" s="171"/>
      <c r="N78" s="171"/>
      <c r="O78" s="4"/>
      <c r="P78" s="1"/>
    </row>
    <row r="79" spans="2:16">
      <c r="B79" s="1"/>
      <c r="C79" s="21"/>
      <c r="D79" s="2"/>
      <c r="E79" s="1"/>
      <c r="F79" s="107"/>
      <c r="G79" s="1"/>
      <c r="H79" s="3"/>
      <c r="I79" s="1"/>
      <c r="J79" s="4"/>
      <c r="K79" s="1"/>
      <c r="L79" s="1"/>
      <c r="M79" s="1"/>
      <c r="N79" s="1"/>
      <c r="O79" s="1"/>
      <c r="P79" s="1"/>
    </row>
    <row r="80" spans="2:16" ht="18">
      <c r="B80" s="1"/>
      <c r="C80" s="242"/>
      <c r="D80" s="2"/>
      <c r="E80" s="1"/>
      <c r="F80" s="107"/>
      <c r="G80" s="1"/>
      <c r="H80" s="3"/>
      <c r="I80" s="1"/>
      <c r="J80" s="4"/>
      <c r="K80" s="1"/>
      <c r="L80" s="1"/>
      <c r="M80" s="1"/>
      <c r="N80" s="1"/>
      <c r="P80" s="244" t="s">
        <v>125</v>
      </c>
    </row>
    <row r="81" spans="1:17">
      <c r="B81" s="1"/>
      <c r="C81" s="21"/>
      <c r="D81" s="2"/>
      <c r="E81" s="1"/>
      <c r="F81" s="107"/>
      <c r="G81" s="1"/>
      <c r="H81" s="3"/>
      <c r="I81" s="1"/>
      <c r="J81" s="4"/>
      <c r="K81" s="1"/>
      <c r="L81" s="1"/>
      <c r="M81" s="1"/>
      <c r="N81" s="1"/>
      <c r="O81" s="1"/>
      <c r="P81" s="1"/>
    </row>
    <row r="82" spans="1:17">
      <c r="B82" s="1"/>
      <c r="C82" s="21"/>
      <c r="D82" s="2"/>
      <c r="E82" s="1"/>
      <c r="F82" s="107"/>
      <c r="G82" s="1"/>
      <c r="H82" s="3"/>
      <c r="I82" s="1"/>
      <c r="J82" s="4"/>
      <c r="K82" s="1"/>
      <c r="L82" s="1"/>
      <c r="M82" s="1"/>
      <c r="N82" s="1"/>
      <c r="O82" s="1"/>
      <c r="P82" s="1"/>
      <c r="Q82" s="1"/>
    </row>
    <row r="83" spans="1:17" ht="20.25">
      <c r="A83" s="243" t="s">
        <v>129</v>
      </c>
      <c r="B83" s="1"/>
      <c r="C83" s="21"/>
      <c r="D83" s="2"/>
      <c r="E83" s="1"/>
      <c r="F83" s="99"/>
      <c r="G83" s="99"/>
      <c r="H83" s="1"/>
      <c r="I83" s="3"/>
      <c r="K83" s="7"/>
      <c r="L83" s="109"/>
      <c r="M83" s="109"/>
      <c r="P83" s="109" t="str">
        <f ca="1">P1</f>
        <v>SWEPCO Project 34 of 73</v>
      </c>
      <c r="Q83" s="1"/>
    </row>
    <row r="84" spans="1:17" ht="18">
      <c r="B84" s="1"/>
      <c r="C84" s="1"/>
      <c r="D84" s="2"/>
      <c r="E84" s="1"/>
      <c r="F84" s="1"/>
      <c r="G84" s="1"/>
      <c r="H84" s="1"/>
      <c r="I84" s="3"/>
      <c r="J84" s="1"/>
      <c r="K84" s="4"/>
      <c r="L84" s="1"/>
      <c r="M84" s="1"/>
      <c r="P84" s="244" t="s">
        <v>123</v>
      </c>
      <c r="Q84" s="1"/>
    </row>
    <row r="85" spans="1:17" ht="18.75" thickBot="1">
      <c r="B85" s="5" t="s">
        <v>40</v>
      </c>
      <c r="C85" s="197" t="s">
        <v>78</v>
      </c>
      <c r="D85" s="2"/>
      <c r="E85" s="1"/>
      <c r="F85" s="1"/>
      <c r="G85" s="1"/>
      <c r="H85" s="1"/>
      <c r="I85" s="3"/>
      <c r="J85" s="3"/>
      <c r="K85" s="111"/>
      <c r="L85" s="3"/>
      <c r="M85" s="3"/>
      <c r="N85" s="3"/>
      <c r="O85" s="111"/>
      <c r="P85" s="1"/>
      <c r="Q85" s="1"/>
    </row>
    <row r="86" spans="1:17" ht="15.75" thickBot="1">
      <c r="C86" s="67"/>
      <c r="D86" s="2"/>
      <c r="E86" s="1"/>
      <c r="F86" s="1"/>
      <c r="G86" s="1"/>
      <c r="H86" s="1"/>
      <c r="I86" s="3"/>
      <c r="J86" s="3"/>
      <c r="K86" s="111"/>
      <c r="L86" s="265">
        <f>+J92</f>
        <v>2017</v>
      </c>
      <c r="M86" s="266" t="s">
        <v>7</v>
      </c>
      <c r="N86" s="270" t="s">
        <v>154</v>
      </c>
      <c r="O86" s="267" t="s">
        <v>9</v>
      </c>
      <c r="P86" s="1"/>
      <c r="Q86" s="1"/>
    </row>
    <row r="87" spans="1:17" ht="15">
      <c r="C87" s="235" t="s">
        <v>42</v>
      </c>
      <c r="D87" s="2"/>
      <c r="E87" s="1"/>
      <c r="F87" s="1"/>
      <c r="G87" s="1"/>
      <c r="H87" s="113"/>
      <c r="I87" s="1" t="s">
        <v>43</v>
      </c>
      <c r="J87" s="1"/>
      <c r="K87" s="261"/>
      <c r="L87" s="259" t="s">
        <v>381</v>
      </c>
      <c r="M87" s="198">
        <f>IF(J92&lt;D11,0,VLOOKUP(J92,C17:O72,9))</f>
        <v>1164774.0131848808</v>
      </c>
      <c r="N87" s="198">
        <f>IF(J92&lt;D11,0,VLOOKUP(J92,C17:O72,11))</f>
        <v>1164774.0131848808</v>
      </c>
      <c r="O87" s="199">
        <f>+N87-M87</f>
        <v>0</v>
      </c>
      <c r="P87" s="1"/>
      <c r="Q87" s="1"/>
    </row>
    <row r="88" spans="1:17" ht="15.75">
      <c r="C88" s="8"/>
      <c r="D88" s="2"/>
      <c r="E88" s="1"/>
      <c r="F88" s="1"/>
      <c r="G88" s="1"/>
      <c r="H88" s="1"/>
      <c r="I88" s="117"/>
      <c r="J88" s="117"/>
      <c r="K88" s="263"/>
      <c r="L88" s="264" t="s">
        <v>382</v>
      </c>
      <c r="M88" s="200">
        <f>IF(J92&lt;D11,0,VLOOKUP(J92,C99:P154,6))</f>
        <v>1150354.3699475904</v>
      </c>
      <c r="N88" s="200">
        <f>IF(J92&lt;D11,0,VLOOKUP(J92,C99:P154,7))</f>
        <v>1150354.3699475904</v>
      </c>
      <c r="O88" s="201">
        <f>+N88-M88</f>
        <v>0</v>
      </c>
      <c r="P88" s="1"/>
      <c r="Q88" s="1"/>
    </row>
    <row r="89" spans="1:17" ht="13.5" thickBot="1">
      <c r="C89" s="121" t="s">
        <v>79</v>
      </c>
      <c r="D89" s="246" t="str">
        <f>+D7</f>
        <v>Bann - LS Ordnance - Hooks 69 kV - Rebuild 7.1 mi</v>
      </c>
      <c r="E89" s="1"/>
      <c r="F89" s="1"/>
      <c r="G89" s="1"/>
      <c r="H89" s="1"/>
      <c r="I89" s="3"/>
      <c r="J89" s="3"/>
      <c r="K89" s="262"/>
      <c r="L89" s="260" t="s">
        <v>151</v>
      </c>
      <c r="M89" s="203">
        <f>+M88-M87</f>
        <v>-14419.643237290438</v>
      </c>
      <c r="N89" s="203">
        <f>+N88-N87</f>
        <v>-14419.643237290438</v>
      </c>
      <c r="O89" s="204">
        <f>+O88-O87</f>
        <v>0</v>
      </c>
      <c r="P89" s="1"/>
      <c r="Q89" s="1"/>
    </row>
    <row r="90" spans="1:17" ht="13.5" thickBot="1">
      <c r="C90" s="170"/>
      <c r="D90" s="173" t="str">
        <f>D8</f>
        <v/>
      </c>
      <c r="E90" s="107"/>
      <c r="F90" s="107"/>
      <c r="G90" s="107"/>
      <c r="H90" s="126"/>
      <c r="I90" s="3"/>
      <c r="J90" s="3"/>
      <c r="K90" s="111"/>
      <c r="L90" s="3"/>
      <c r="M90" s="3"/>
      <c r="N90" s="3"/>
      <c r="O90" s="111"/>
      <c r="P90" s="1"/>
      <c r="Q90" s="1"/>
    </row>
    <row r="91" spans="1:17" ht="13.5" thickBot="1">
      <c r="A91" s="103"/>
      <c r="C91" s="205" t="s">
        <v>80</v>
      </c>
      <c r="D91" s="224" t="str">
        <f>+D9</f>
        <v>TP2011024</v>
      </c>
      <c r="E91" s="206"/>
      <c r="F91" s="206"/>
      <c r="G91" s="206"/>
      <c r="H91" s="206"/>
      <c r="I91" s="206"/>
      <c r="J91" s="206"/>
      <c r="K91" s="207"/>
      <c r="P91" s="131"/>
      <c r="Q91" s="1"/>
    </row>
    <row r="92" spans="1:17">
      <c r="C92" s="136" t="s">
        <v>47</v>
      </c>
      <c r="D92" s="417">
        <f>D10</f>
        <v>8598828</v>
      </c>
      <c r="E92" s="21" t="s">
        <v>81</v>
      </c>
      <c r="H92" s="134"/>
      <c r="I92" s="134"/>
      <c r="J92" s="135">
        <f>+'SWE.WS.G.BPU.ATRR.True-up'!M15</f>
        <v>2017</v>
      </c>
      <c r="K92" s="130"/>
      <c r="L92" s="111" t="s">
        <v>82</v>
      </c>
      <c r="P92" s="4"/>
      <c r="Q92" s="1"/>
    </row>
    <row r="93" spans="1:17">
      <c r="C93" s="136" t="s">
        <v>49</v>
      </c>
      <c r="D93" s="218">
        <f>D11</f>
        <v>2013</v>
      </c>
      <c r="E93" s="136" t="s">
        <v>50</v>
      </c>
      <c r="F93" s="134"/>
      <c r="G93" s="134"/>
      <c r="J93" s="138">
        <f>IF(H87="",0,'SWE.WS.G.BPU.ATRR.True-up'!$F$12)</f>
        <v>0</v>
      </c>
      <c r="K93" s="139"/>
      <c r="L93" t="str">
        <f>"          INPUT TRUE-UP ARR (WITH &amp; WITHOUT INCENTIVES) FROM EACH PRIOR YEAR"</f>
        <v xml:space="preserve">          INPUT TRUE-UP ARR (WITH &amp; WITHOUT INCENTIVES) FROM EACH PRIOR YEAR</v>
      </c>
      <c r="P93" s="4"/>
      <c r="Q93" s="1"/>
    </row>
    <row r="94" spans="1:17">
      <c r="C94" s="136" t="s">
        <v>51</v>
      </c>
      <c r="D94" s="218">
        <f>D12</f>
        <v>11</v>
      </c>
      <c r="E94" s="136" t="s">
        <v>52</v>
      </c>
      <c r="F94" s="134"/>
      <c r="G94" s="134"/>
      <c r="J94" s="140">
        <f>'SWE.WS.G.BPU.ATRR.True-up'!$F$80</f>
        <v>0.12147145768398206</v>
      </c>
      <c r="K94" s="141"/>
      <c r="L94" t="s">
        <v>83</v>
      </c>
      <c r="P94" s="4"/>
      <c r="Q94" s="1"/>
    </row>
    <row r="95" spans="1:17">
      <c r="C95" s="136" t="s">
        <v>54</v>
      </c>
      <c r="D95" s="138">
        <f>'SWE.WS.G.BPU.ATRR.True-up'!F$92</f>
        <v>42</v>
      </c>
      <c r="E95" s="136" t="s">
        <v>55</v>
      </c>
      <c r="F95" s="134"/>
      <c r="G95" s="134"/>
      <c r="J95" s="140">
        <f>IF(H87="",J94,'SWE.WS.G.BPU.ATRR.True-up'!$F$79)</f>
        <v>0.12147145768398206</v>
      </c>
      <c r="K95" s="58"/>
      <c r="L95" s="111" t="s">
        <v>56</v>
      </c>
      <c r="M95" s="58"/>
      <c r="N95" s="58"/>
      <c r="O95" s="58"/>
      <c r="P95" s="4"/>
      <c r="Q95" s="1"/>
    </row>
    <row r="96" spans="1:17" ht="13.5" thickBot="1">
      <c r="C96" s="136" t="s">
        <v>57</v>
      </c>
      <c r="D96" s="220" t="str">
        <f>+D14</f>
        <v>No</v>
      </c>
      <c r="E96" s="202" t="s">
        <v>59</v>
      </c>
      <c r="F96" s="208"/>
      <c r="G96" s="208"/>
      <c r="H96" s="209"/>
      <c r="I96" s="209"/>
      <c r="J96" s="124">
        <f>IF(D92=0,0,D92/D95)</f>
        <v>204734</v>
      </c>
      <c r="K96" s="111"/>
      <c r="L96" s="111"/>
      <c r="M96" s="111"/>
      <c r="N96" s="111"/>
      <c r="O96" s="111"/>
      <c r="P96" s="4"/>
      <c r="Q96" s="1"/>
    </row>
    <row r="97" spans="1:17" ht="38.25">
      <c r="A97" s="6"/>
      <c r="B97" s="6"/>
      <c r="C97" s="210" t="s">
        <v>47</v>
      </c>
      <c r="D97" s="211" t="s">
        <v>60</v>
      </c>
      <c r="E97" s="146" t="s">
        <v>61</v>
      </c>
      <c r="F97" s="146" t="s">
        <v>62</v>
      </c>
      <c r="G97" s="144" t="s">
        <v>84</v>
      </c>
      <c r="H97" s="434" t="s">
        <v>378</v>
      </c>
      <c r="I97" s="435" t="s">
        <v>379</v>
      </c>
      <c r="J97" s="210" t="s">
        <v>85</v>
      </c>
      <c r="K97" s="212"/>
      <c r="L97" s="271" t="s">
        <v>220</v>
      </c>
      <c r="M97" s="146" t="s">
        <v>86</v>
      </c>
      <c r="N97" s="271" t="s">
        <v>220</v>
      </c>
      <c r="O97" s="146" t="s">
        <v>86</v>
      </c>
      <c r="P97" s="146" t="s">
        <v>65</v>
      </c>
      <c r="Q97" s="1"/>
    </row>
    <row r="98" spans="1:17" ht="13.5" thickBot="1">
      <c r="C98" s="147" t="s">
        <v>66</v>
      </c>
      <c r="D98" s="213" t="s">
        <v>67</v>
      </c>
      <c r="E98" s="147" t="s">
        <v>68</v>
      </c>
      <c r="F98" s="147" t="s">
        <v>67</v>
      </c>
      <c r="G98" s="147" t="s">
        <v>67</v>
      </c>
      <c r="H98" s="407" t="s">
        <v>69</v>
      </c>
      <c r="I98" s="148" t="s">
        <v>70</v>
      </c>
      <c r="J98" s="149" t="s">
        <v>89</v>
      </c>
      <c r="K98" s="150"/>
      <c r="L98" s="151" t="s">
        <v>72</v>
      </c>
      <c r="M98" s="151" t="s">
        <v>72</v>
      </c>
      <c r="N98" s="151" t="s">
        <v>90</v>
      </c>
      <c r="O98" s="151" t="s">
        <v>90</v>
      </c>
      <c r="P98" s="151" t="s">
        <v>90</v>
      </c>
      <c r="Q98" s="1"/>
    </row>
    <row r="99" spans="1:17">
      <c r="C99" s="153">
        <f>IF(D93= "","-",D93)</f>
        <v>2013</v>
      </c>
      <c r="D99" s="409">
        <v>0</v>
      </c>
      <c r="E99" s="410">
        <v>102307.79761904763</v>
      </c>
      <c r="F99" s="411">
        <v>8491547.2023809515</v>
      </c>
      <c r="G99" s="412">
        <v>4245773.6011904757</v>
      </c>
      <c r="H99" s="413">
        <v>676725.73574462067</v>
      </c>
      <c r="I99" s="414">
        <v>676725.73574462067</v>
      </c>
      <c r="J99" s="403">
        <v>0</v>
      </c>
      <c r="K99" s="158"/>
      <c r="L99" s="258">
        <f>H99</f>
        <v>676725.73574462067</v>
      </c>
      <c r="M99" s="257">
        <f>IF(L99&lt;&gt;0,+H99-L99,0)</f>
        <v>0</v>
      </c>
      <c r="N99" s="258">
        <f>I99</f>
        <v>676725.73574462067</v>
      </c>
      <c r="O99" s="158">
        <f>IF(N99&lt;&gt;0,+I99-N99,0)</f>
        <v>0</v>
      </c>
      <c r="P99" s="158">
        <f>+O99-M99</f>
        <v>0</v>
      </c>
      <c r="Q99" s="1"/>
    </row>
    <row r="100" spans="1:17">
      <c r="B100" s="9" t="str">
        <f>IF(D100=F99,"","IU")</f>
        <v/>
      </c>
      <c r="C100" s="153">
        <f>IF(D93="","-",+C99+1)</f>
        <v>2014</v>
      </c>
      <c r="D100" s="409">
        <v>8491547.2023809515</v>
      </c>
      <c r="E100" s="410">
        <v>204734</v>
      </c>
      <c r="F100" s="411">
        <v>8286813.2023809515</v>
      </c>
      <c r="G100" s="411">
        <v>8389180.2023809515</v>
      </c>
      <c r="H100" s="413">
        <v>1345020.3976952727</v>
      </c>
      <c r="I100" s="414">
        <v>1345020.3976952727</v>
      </c>
      <c r="J100" s="158">
        <v>0</v>
      </c>
      <c r="K100" s="158"/>
      <c r="L100" s="258">
        <f>H100</f>
        <v>1345020.3976952727</v>
      </c>
      <c r="M100" s="257">
        <f>IF(L100&lt;&gt;0,+H100-L100,0)</f>
        <v>0</v>
      </c>
      <c r="N100" s="258">
        <f>I100</f>
        <v>1345020.3976952727</v>
      </c>
      <c r="O100" s="158">
        <f>IF(N100&lt;&gt;0,+I100-N100,0)</f>
        <v>0</v>
      </c>
      <c r="P100" s="158">
        <f>+O100-M100</f>
        <v>0</v>
      </c>
      <c r="Q100" s="1"/>
    </row>
    <row r="101" spans="1:17">
      <c r="B101" s="9" t="str">
        <f t="shared" ref="B101:B154" si="16">IF(D101=F100,"","IU")</f>
        <v>IU</v>
      </c>
      <c r="C101" s="153">
        <f>IF(D93="","-",+C100+1)</f>
        <v>2015</v>
      </c>
      <c r="D101" s="409">
        <v>8291786.2023809524</v>
      </c>
      <c r="E101" s="410">
        <v>204734</v>
      </c>
      <c r="F101" s="411">
        <v>8087052.2023809524</v>
      </c>
      <c r="G101" s="411">
        <v>8189419.2023809524</v>
      </c>
      <c r="H101" s="413">
        <v>1283844.5787456448</v>
      </c>
      <c r="I101" s="414">
        <v>1283844.5787456448</v>
      </c>
      <c r="J101" s="158">
        <f>+I101-H101</f>
        <v>0</v>
      </c>
      <c r="K101" s="158"/>
      <c r="L101" s="258">
        <f>H101</f>
        <v>1283844.5787456448</v>
      </c>
      <c r="M101" s="257">
        <f>IF(L101&lt;&gt;0,+H101-L101,0)</f>
        <v>0</v>
      </c>
      <c r="N101" s="258">
        <f>I101</f>
        <v>1283844.5787456448</v>
      </c>
      <c r="O101" s="158">
        <f>IF(N101&lt;&gt;0,+I101-N101,0)</f>
        <v>0</v>
      </c>
      <c r="P101" s="158">
        <f>+O101-M101</f>
        <v>0</v>
      </c>
      <c r="Q101" s="1"/>
    </row>
    <row r="102" spans="1:17">
      <c r="B102" s="9" t="str">
        <f t="shared" si="16"/>
        <v/>
      </c>
      <c r="C102" s="153">
        <f>IF(D93="","-",+C101+1)</f>
        <v>2016</v>
      </c>
      <c r="D102" s="409">
        <v>8087052.2023809524</v>
      </c>
      <c r="E102" s="410">
        <v>199972.7441860465</v>
      </c>
      <c r="F102" s="411">
        <v>7887079.4581949059</v>
      </c>
      <c r="G102" s="411">
        <v>7987065.8302879296</v>
      </c>
      <c r="H102" s="413">
        <v>1213930.6577994749</v>
      </c>
      <c r="I102" s="414">
        <v>1213930.6577994749</v>
      </c>
      <c r="J102" s="158">
        <v>0</v>
      </c>
      <c r="K102" s="158"/>
      <c r="L102" s="258">
        <f>H102</f>
        <v>1213930.6577994749</v>
      </c>
      <c r="M102" s="257">
        <f>IF(L102&lt;&gt;0,+H102-L102,0)</f>
        <v>0</v>
      </c>
      <c r="N102" s="258">
        <f>I102</f>
        <v>1213930.6577994749</v>
      </c>
      <c r="O102" s="158">
        <f>IF(N102&lt;&gt;0,+I102-N102,0)</f>
        <v>0</v>
      </c>
      <c r="P102" s="158">
        <f>+O102-M102</f>
        <v>0</v>
      </c>
      <c r="Q102" s="1"/>
    </row>
    <row r="103" spans="1:17">
      <c r="B103" s="9" t="str">
        <f t="shared" si="16"/>
        <v/>
      </c>
      <c r="C103" s="153">
        <f>IF(D93="","-",+C102+1)</f>
        <v>2017</v>
      </c>
      <c r="D103" s="154">
        <f>IF(F102+SUM(E$99:E102)=D$92,F102,D$92-SUM(E$99:E102))</f>
        <v>7887079.4581949059</v>
      </c>
      <c r="E103" s="160">
        <f t="shared" ref="E103:E154" si="17">IF(+$J$96&lt;F102,$J$96,D103)</f>
        <v>204734</v>
      </c>
      <c r="F103" s="159">
        <f t="shared" ref="F103:F154" si="18">+D103-E103</f>
        <v>7682345.4581949059</v>
      </c>
      <c r="G103" s="159">
        <f t="shared" ref="G103:G154" si="19">+(F103+D103)/2</f>
        <v>7784712.4581949059</v>
      </c>
      <c r="H103" s="163">
        <f t="shared" ref="H103:H154" si="20">+J$94*G103+E103</f>
        <v>1150354.3699475904</v>
      </c>
      <c r="I103" s="253">
        <f t="shared" ref="I103:I154" si="21">+J$95*G103+E103</f>
        <v>1150354.3699475904</v>
      </c>
      <c r="J103" s="158">
        <f t="shared" ref="J103:J154" si="22">+I103-H103</f>
        <v>0</v>
      </c>
      <c r="K103" s="158"/>
      <c r="L103" s="334"/>
      <c r="M103" s="158">
        <f t="shared" ref="M103:M130" si="23">IF(L103&lt;&gt;0,+H103-L103,0)</f>
        <v>0</v>
      </c>
      <c r="N103" s="334"/>
      <c r="O103" s="158">
        <f t="shared" ref="O103:O130" si="24">IF(N103&lt;&gt;0,+I103-N103,0)</f>
        <v>0</v>
      </c>
      <c r="P103" s="158">
        <f t="shared" ref="P103:P130" si="25">+O103-M103</f>
        <v>0</v>
      </c>
      <c r="Q103" s="1"/>
    </row>
    <row r="104" spans="1:17">
      <c r="B104" s="9" t="str">
        <f t="shared" si="16"/>
        <v/>
      </c>
      <c r="C104" s="153">
        <f>IF(D93="","-",+C103+1)</f>
        <v>2018</v>
      </c>
      <c r="D104" s="154">
        <f>IF(F103+SUM(E$99:E103)=D$92,F103,D$92-SUM(E$99:E103))</f>
        <v>7682345.4581949059</v>
      </c>
      <c r="E104" s="160">
        <f t="shared" si="17"/>
        <v>204734</v>
      </c>
      <c r="F104" s="159">
        <f t="shared" si="18"/>
        <v>7477611.4581949059</v>
      </c>
      <c r="G104" s="159">
        <f t="shared" si="19"/>
        <v>7579978.4581949059</v>
      </c>
      <c r="H104" s="163">
        <f t="shared" si="20"/>
        <v>1125485.032530118</v>
      </c>
      <c r="I104" s="253">
        <f t="shared" si="21"/>
        <v>1125485.032530118</v>
      </c>
      <c r="J104" s="158">
        <f t="shared" si="22"/>
        <v>0</v>
      </c>
      <c r="K104" s="158"/>
      <c r="L104" s="334"/>
      <c r="M104" s="158">
        <f t="shared" si="23"/>
        <v>0</v>
      </c>
      <c r="N104" s="334"/>
      <c r="O104" s="158">
        <f t="shared" si="24"/>
        <v>0</v>
      </c>
      <c r="P104" s="158">
        <f t="shared" si="25"/>
        <v>0</v>
      </c>
      <c r="Q104" s="1"/>
    </row>
    <row r="105" spans="1:17">
      <c r="B105" s="9" t="str">
        <f t="shared" si="16"/>
        <v/>
      </c>
      <c r="C105" s="153">
        <f>IF(D93="","-",+C104+1)</f>
        <v>2019</v>
      </c>
      <c r="D105" s="154">
        <f>IF(F104+SUM(E$99:E104)=D$92,F104,D$92-SUM(E$99:E104))</f>
        <v>7477611.4581949059</v>
      </c>
      <c r="E105" s="160">
        <f t="shared" si="17"/>
        <v>204734</v>
      </c>
      <c r="F105" s="159">
        <f t="shared" si="18"/>
        <v>7272877.4581949059</v>
      </c>
      <c r="G105" s="159">
        <f t="shared" si="19"/>
        <v>7375244.4581949059</v>
      </c>
      <c r="H105" s="163">
        <f t="shared" si="20"/>
        <v>1100615.6951126456</v>
      </c>
      <c r="I105" s="253">
        <f t="shared" si="21"/>
        <v>1100615.6951126456</v>
      </c>
      <c r="J105" s="158">
        <f t="shared" si="22"/>
        <v>0</v>
      </c>
      <c r="K105" s="158"/>
      <c r="L105" s="334"/>
      <c r="M105" s="158">
        <f t="shared" si="23"/>
        <v>0</v>
      </c>
      <c r="N105" s="334"/>
      <c r="O105" s="158">
        <f t="shared" si="24"/>
        <v>0</v>
      </c>
      <c r="P105" s="158">
        <f t="shared" si="25"/>
        <v>0</v>
      </c>
      <c r="Q105" s="1"/>
    </row>
    <row r="106" spans="1:17">
      <c r="B106" s="9" t="str">
        <f t="shared" si="16"/>
        <v/>
      </c>
      <c r="C106" s="153">
        <f>IF(D93="","-",+C105+1)</f>
        <v>2020</v>
      </c>
      <c r="D106" s="154">
        <f>IF(F105+SUM(E$99:E105)=D$92,F105,D$92-SUM(E$99:E105))</f>
        <v>7272877.4581949059</v>
      </c>
      <c r="E106" s="160">
        <f t="shared" si="17"/>
        <v>204734</v>
      </c>
      <c r="F106" s="159">
        <f t="shared" si="18"/>
        <v>7068143.4581949059</v>
      </c>
      <c r="G106" s="159">
        <f t="shared" si="19"/>
        <v>7170510.4581949059</v>
      </c>
      <c r="H106" s="163">
        <f t="shared" si="20"/>
        <v>1075746.3576951735</v>
      </c>
      <c r="I106" s="253">
        <f t="shared" si="21"/>
        <v>1075746.3576951735</v>
      </c>
      <c r="J106" s="158">
        <f t="shared" si="22"/>
        <v>0</v>
      </c>
      <c r="K106" s="158"/>
      <c r="L106" s="334"/>
      <c r="M106" s="158">
        <f t="shared" si="23"/>
        <v>0</v>
      </c>
      <c r="N106" s="334"/>
      <c r="O106" s="158">
        <f t="shared" si="24"/>
        <v>0</v>
      </c>
      <c r="P106" s="158">
        <f t="shared" si="25"/>
        <v>0</v>
      </c>
      <c r="Q106" s="1"/>
    </row>
    <row r="107" spans="1:17">
      <c r="B107" s="9" t="str">
        <f t="shared" si="16"/>
        <v/>
      </c>
      <c r="C107" s="153">
        <f>IF(D93="","-",+C106+1)</f>
        <v>2021</v>
      </c>
      <c r="D107" s="154">
        <f>IF(F106+SUM(E$99:E106)=D$92,F106,D$92-SUM(E$99:E106))</f>
        <v>7068143.4581949059</v>
      </c>
      <c r="E107" s="160">
        <f t="shared" si="17"/>
        <v>204734</v>
      </c>
      <c r="F107" s="159">
        <f t="shared" si="18"/>
        <v>6863409.4581949059</v>
      </c>
      <c r="G107" s="159">
        <f t="shared" si="19"/>
        <v>6965776.4581949059</v>
      </c>
      <c r="H107" s="163">
        <f t="shared" si="20"/>
        <v>1050877.0202777009</v>
      </c>
      <c r="I107" s="253">
        <f t="shared" si="21"/>
        <v>1050877.0202777009</v>
      </c>
      <c r="J107" s="158">
        <f t="shared" si="22"/>
        <v>0</v>
      </c>
      <c r="K107" s="158"/>
      <c r="L107" s="334"/>
      <c r="M107" s="158">
        <f t="shared" si="23"/>
        <v>0</v>
      </c>
      <c r="N107" s="334"/>
      <c r="O107" s="158">
        <f t="shared" si="24"/>
        <v>0</v>
      </c>
      <c r="P107" s="158">
        <f t="shared" si="25"/>
        <v>0</v>
      </c>
      <c r="Q107" s="1"/>
    </row>
    <row r="108" spans="1:17">
      <c r="B108" s="9" t="str">
        <f t="shared" si="16"/>
        <v/>
      </c>
      <c r="C108" s="153">
        <f>IF(D93="","-",+C107+1)</f>
        <v>2022</v>
      </c>
      <c r="D108" s="154">
        <f>IF(F107+SUM(E$99:E107)=D$92,F107,D$92-SUM(E$99:E107))</f>
        <v>6863409.4581949059</v>
      </c>
      <c r="E108" s="160">
        <f t="shared" si="17"/>
        <v>204734</v>
      </c>
      <c r="F108" s="159">
        <f t="shared" si="18"/>
        <v>6658675.4581949059</v>
      </c>
      <c r="G108" s="159">
        <f t="shared" si="19"/>
        <v>6761042.4581949059</v>
      </c>
      <c r="H108" s="163">
        <f t="shared" si="20"/>
        <v>1026007.6828602286</v>
      </c>
      <c r="I108" s="253">
        <f t="shared" si="21"/>
        <v>1026007.6828602286</v>
      </c>
      <c r="J108" s="158">
        <f t="shared" si="22"/>
        <v>0</v>
      </c>
      <c r="K108" s="158"/>
      <c r="L108" s="334"/>
      <c r="M108" s="158">
        <f t="shared" si="23"/>
        <v>0</v>
      </c>
      <c r="N108" s="334"/>
      <c r="O108" s="158">
        <f t="shared" si="24"/>
        <v>0</v>
      </c>
      <c r="P108" s="158">
        <f t="shared" si="25"/>
        <v>0</v>
      </c>
      <c r="Q108" s="1"/>
    </row>
    <row r="109" spans="1:17">
      <c r="B109" s="9" t="str">
        <f t="shared" si="16"/>
        <v/>
      </c>
      <c r="C109" s="153">
        <f>IF(D93="","-",+C108+1)</f>
        <v>2023</v>
      </c>
      <c r="D109" s="154">
        <f>IF(F108+SUM(E$99:E108)=D$92,F108,D$92-SUM(E$99:E108))</f>
        <v>6658675.4581949059</v>
      </c>
      <c r="E109" s="160">
        <f t="shared" si="17"/>
        <v>204734</v>
      </c>
      <c r="F109" s="159">
        <f t="shared" si="18"/>
        <v>6453941.4581949059</v>
      </c>
      <c r="G109" s="159">
        <f t="shared" si="19"/>
        <v>6556308.4581949059</v>
      </c>
      <c r="H109" s="163">
        <f t="shared" si="20"/>
        <v>1001138.3454427562</v>
      </c>
      <c r="I109" s="253">
        <f t="shared" si="21"/>
        <v>1001138.3454427562</v>
      </c>
      <c r="J109" s="158">
        <f t="shared" si="22"/>
        <v>0</v>
      </c>
      <c r="K109" s="158"/>
      <c r="L109" s="334"/>
      <c r="M109" s="158">
        <f t="shared" si="23"/>
        <v>0</v>
      </c>
      <c r="N109" s="334"/>
      <c r="O109" s="158">
        <f t="shared" si="24"/>
        <v>0</v>
      </c>
      <c r="P109" s="158">
        <f t="shared" si="25"/>
        <v>0</v>
      </c>
      <c r="Q109" s="1"/>
    </row>
    <row r="110" spans="1:17">
      <c r="B110" s="9" t="str">
        <f t="shared" si="16"/>
        <v/>
      </c>
      <c r="C110" s="153">
        <f>IF(D93="","-",+C109+1)</f>
        <v>2024</v>
      </c>
      <c r="D110" s="154">
        <f>IF(F109+SUM(E$99:E109)=D$92,F109,D$92-SUM(E$99:E109))</f>
        <v>6453941.4581949059</v>
      </c>
      <c r="E110" s="160">
        <f t="shared" si="17"/>
        <v>204734</v>
      </c>
      <c r="F110" s="159">
        <f t="shared" si="18"/>
        <v>6249207.4581949059</v>
      </c>
      <c r="G110" s="159">
        <f t="shared" si="19"/>
        <v>6351574.4581949059</v>
      </c>
      <c r="H110" s="163">
        <f t="shared" si="20"/>
        <v>976269.00802528381</v>
      </c>
      <c r="I110" s="253">
        <f t="shared" si="21"/>
        <v>976269.00802528381</v>
      </c>
      <c r="J110" s="158">
        <f t="shared" si="22"/>
        <v>0</v>
      </c>
      <c r="K110" s="158"/>
      <c r="L110" s="334"/>
      <c r="M110" s="158">
        <f t="shared" si="23"/>
        <v>0</v>
      </c>
      <c r="N110" s="334"/>
      <c r="O110" s="158">
        <f t="shared" si="24"/>
        <v>0</v>
      </c>
      <c r="P110" s="158">
        <f t="shared" si="25"/>
        <v>0</v>
      </c>
      <c r="Q110" s="1"/>
    </row>
    <row r="111" spans="1:17">
      <c r="B111" s="9" t="str">
        <f t="shared" si="16"/>
        <v/>
      </c>
      <c r="C111" s="153">
        <f>IF(D93="","-",+C110+1)</f>
        <v>2025</v>
      </c>
      <c r="D111" s="154">
        <f>IF(F110+SUM(E$99:E110)=D$92,F110,D$92-SUM(E$99:E110))</f>
        <v>6249207.4581949059</v>
      </c>
      <c r="E111" s="160">
        <f t="shared" si="17"/>
        <v>204734</v>
      </c>
      <c r="F111" s="159">
        <f t="shared" si="18"/>
        <v>6044473.4581949059</v>
      </c>
      <c r="G111" s="159">
        <f t="shared" si="19"/>
        <v>6146840.4581949059</v>
      </c>
      <c r="H111" s="163">
        <f t="shared" si="20"/>
        <v>951399.67060781142</v>
      </c>
      <c r="I111" s="253">
        <f t="shared" si="21"/>
        <v>951399.67060781142</v>
      </c>
      <c r="J111" s="158">
        <f t="shared" si="22"/>
        <v>0</v>
      </c>
      <c r="K111" s="158"/>
      <c r="L111" s="334"/>
      <c r="M111" s="158">
        <f t="shared" si="23"/>
        <v>0</v>
      </c>
      <c r="N111" s="334"/>
      <c r="O111" s="158">
        <f t="shared" si="24"/>
        <v>0</v>
      </c>
      <c r="P111" s="158">
        <f t="shared" si="25"/>
        <v>0</v>
      </c>
      <c r="Q111" s="1"/>
    </row>
    <row r="112" spans="1:17">
      <c r="B112" s="9" t="str">
        <f t="shared" si="16"/>
        <v/>
      </c>
      <c r="C112" s="153">
        <f>IF(D93="","-",+C111+1)</f>
        <v>2026</v>
      </c>
      <c r="D112" s="154">
        <f>IF(F111+SUM(E$99:E111)=D$92,F111,D$92-SUM(E$99:E111))</f>
        <v>6044473.4581949059</v>
      </c>
      <c r="E112" s="160">
        <f t="shared" si="17"/>
        <v>204734</v>
      </c>
      <c r="F112" s="159">
        <f t="shared" si="18"/>
        <v>5839739.4581949059</v>
      </c>
      <c r="G112" s="159">
        <f t="shared" si="19"/>
        <v>5942106.4581949059</v>
      </c>
      <c r="H112" s="163">
        <f t="shared" si="20"/>
        <v>926530.33319033904</v>
      </c>
      <c r="I112" s="253">
        <f t="shared" si="21"/>
        <v>926530.33319033904</v>
      </c>
      <c r="J112" s="158">
        <f t="shared" si="22"/>
        <v>0</v>
      </c>
      <c r="K112" s="158"/>
      <c r="L112" s="334"/>
      <c r="M112" s="158">
        <f t="shared" si="23"/>
        <v>0</v>
      </c>
      <c r="N112" s="334"/>
      <c r="O112" s="158">
        <f t="shared" si="24"/>
        <v>0</v>
      </c>
      <c r="P112" s="158">
        <f t="shared" si="25"/>
        <v>0</v>
      </c>
      <c r="Q112" s="1"/>
    </row>
    <row r="113" spans="2:17">
      <c r="B113" s="9" t="str">
        <f t="shared" si="16"/>
        <v/>
      </c>
      <c r="C113" s="153">
        <f>IF(D93="","-",+C112+1)</f>
        <v>2027</v>
      </c>
      <c r="D113" s="154">
        <f>IF(F112+SUM(E$99:E112)=D$92,F112,D$92-SUM(E$99:E112))</f>
        <v>5839739.4581949059</v>
      </c>
      <c r="E113" s="160">
        <f t="shared" si="17"/>
        <v>204734</v>
      </c>
      <c r="F113" s="159">
        <f t="shared" si="18"/>
        <v>5635005.4581949059</v>
      </c>
      <c r="G113" s="159">
        <f t="shared" si="19"/>
        <v>5737372.4581949059</v>
      </c>
      <c r="H113" s="163">
        <f t="shared" si="20"/>
        <v>901660.99577286665</v>
      </c>
      <c r="I113" s="253">
        <f t="shared" si="21"/>
        <v>901660.99577286665</v>
      </c>
      <c r="J113" s="158">
        <f t="shared" si="22"/>
        <v>0</v>
      </c>
      <c r="K113" s="158"/>
      <c r="L113" s="334"/>
      <c r="M113" s="158">
        <f t="shared" si="23"/>
        <v>0</v>
      </c>
      <c r="N113" s="334"/>
      <c r="O113" s="158">
        <f t="shared" si="24"/>
        <v>0</v>
      </c>
      <c r="P113" s="158">
        <f t="shared" si="25"/>
        <v>0</v>
      </c>
      <c r="Q113" s="1"/>
    </row>
    <row r="114" spans="2:17">
      <c r="B114" s="9" t="str">
        <f t="shared" si="16"/>
        <v/>
      </c>
      <c r="C114" s="153">
        <f>IF(D93="","-",+C113+1)</f>
        <v>2028</v>
      </c>
      <c r="D114" s="154">
        <f>IF(F113+SUM(E$99:E113)=D$92,F113,D$92-SUM(E$99:E113))</f>
        <v>5635005.4581949059</v>
      </c>
      <c r="E114" s="160">
        <f t="shared" si="17"/>
        <v>204734</v>
      </c>
      <c r="F114" s="159">
        <f t="shared" si="18"/>
        <v>5430271.4581949059</v>
      </c>
      <c r="G114" s="159">
        <f t="shared" si="19"/>
        <v>5532638.4581949059</v>
      </c>
      <c r="H114" s="163">
        <f t="shared" si="20"/>
        <v>876791.65835539426</v>
      </c>
      <c r="I114" s="253">
        <f t="shared" si="21"/>
        <v>876791.65835539426</v>
      </c>
      <c r="J114" s="158">
        <f t="shared" si="22"/>
        <v>0</v>
      </c>
      <c r="K114" s="158"/>
      <c r="L114" s="334"/>
      <c r="M114" s="158">
        <f t="shared" si="23"/>
        <v>0</v>
      </c>
      <c r="N114" s="334"/>
      <c r="O114" s="158">
        <f t="shared" si="24"/>
        <v>0</v>
      </c>
      <c r="P114" s="158">
        <f t="shared" si="25"/>
        <v>0</v>
      </c>
      <c r="Q114" s="1"/>
    </row>
    <row r="115" spans="2:17">
      <c r="B115" s="9" t="str">
        <f t="shared" si="16"/>
        <v/>
      </c>
      <c r="C115" s="153">
        <f>IF(D93="","-",+C114+1)</f>
        <v>2029</v>
      </c>
      <c r="D115" s="154">
        <f>IF(F114+SUM(E$99:E114)=D$92,F114,D$92-SUM(E$99:E114))</f>
        <v>5430271.4581949059</v>
      </c>
      <c r="E115" s="160">
        <f t="shared" si="17"/>
        <v>204734</v>
      </c>
      <c r="F115" s="159">
        <f t="shared" si="18"/>
        <v>5225537.4581949059</v>
      </c>
      <c r="G115" s="159">
        <f t="shared" si="19"/>
        <v>5327904.4581949059</v>
      </c>
      <c r="H115" s="163">
        <f t="shared" si="20"/>
        <v>851922.32093792188</v>
      </c>
      <c r="I115" s="253">
        <f t="shared" si="21"/>
        <v>851922.32093792188</v>
      </c>
      <c r="J115" s="158">
        <f t="shared" si="22"/>
        <v>0</v>
      </c>
      <c r="K115" s="158"/>
      <c r="L115" s="334"/>
      <c r="M115" s="158">
        <f t="shared" si="23"/>
        <v>0</v>
      </c>
      <c r="N115" s="334"/>
      <c r="O115" s="158">
        <f t="shared" si="24"/>
        <v>0</v>
      </c>
      <c r="P115" s="158">
        <f t="shared" si="25"/>
        <v>0</v>
      </c>
      <c r="Q115" s="1"/>
    </row>
    <row r="116" spans="2:17">
      <c r="B116" s="9" t="str">
        <f t="shared" si="16"/>
        <v/>
      </c>
      <c r="C116" s="153">
        <f>IF(D93="","-",+C115+1)</f>
        <v>2030</v>
      </c>
      <c r="D116" s="154">
        <f>IF(F115+SUM(E$99:E115)=D$92,F115,D$92-SUM(E$99:E115))</f>
        <v>5225537.4581949059</v>
      </c>
      <c r="E116" s="160">
        <f t="shared" si="17"/>
        <v>204734</v>
      </c>
      <c r="F116" s="159">
        <f t="shared" si="18"/>
        <v>5020803.4581949059</v>
      </c>
      <c r="G116" s="159">
        <f t="shared" si="19"/>
        <v>5123170.4581949059</v>
      </c>
      <c r="H116" s="163">
        <f t="shared" si="20"/>
        <v>827052.98352044949</v>
      </c>
      <c r="I116" s="253">
        <f t="shared" si="21"/>
        <v>827052.98352044949</v>
      </c>
      <c r="J116" s="158">
        <f t="shared" si="22"/>
        <v>0</v>
      </c>
      <c r="K116" s="158"/>
      <c r="L116" s="334"/>
      <c r="M116" s="158">
        <f t="shared" si="23"/>
        <v>0</v>
      </c>
      <c r="N116" s="334"/>
      <c r="O116" s="158">
        <f t="shared" si="24"/>
        <v>0</v>
      </c>
      <c r="P116" s="158">
        <f t="shared" si="25"/>
        <v>0</v>
      </c>
      <c r="Q116" s="1"/>
    </row>
    <row r="117" spans="2:17">
      <c r="B117" s="9" t="str">
        <f t="shared" si="16"/>
        <v/>
      </c>
      <c r="C117" s="153">
        <f>IF(D93="","-",+C116+1)</f>
        <v>2031</v>
      </c>
      <c r="D117" s="154">
        <f>IF(F116+SUM(E$99:E116)=D$92,F116,D$92-SUM(E$99:E116))</f>
        <v>5020803.4581949059</v>
      </c>
      <c r="E117" s="160">
        <f t="shared" si="17"/>
        <v>204734</v>
      </c>
      <c r="F117" s="159">
        <f t="shared" si="18"/>
        <v>4816069.4581949059</v>
      </c>
      <c r="G117" s="159">
        <f t="shared" si="19"/>
        <v>4918436.4581949059</v>
      </c>
      <c r="H117" s="163">
        <f t="shared" si="20"/>
        <v>802183.6461029771</v>
      </c>
      <c r="I117" s="253">
        <f t="shared" si="21"/>
        <v>802183.6461029771</v>
      </c>
      <c r="J117" s="158">
        <f t="shared" si="22"/>
        <v>0</v>
      </c>
      <c r="K117" s="158"/>
      <c r="L117" s="334"/>
      <c r="M117" s="158">
        <f t="shared" si="23"/>
        <v>0</v>
      </c>
      <c r="N117" s="334"/>
      <c r="O117" s="158">
        <f t="shared" si="24"/>
        <v>0</v>
      </c>
      <c r="P117" s="158">
        <f t="shared" si="25"/>
        <v>0</v>
      </c>
      <c r="Q117" s="1"/>
    </row>
    <row r="118" spans="2:17">
      <c r="B118" s="9" t="str">
        <f t="shared" si="16"/>
        <v/>
      </c>
      <c r="C118" s="153">
        <f>IF(D93="","-",+C117+1)</f>
        <v>2032</v>
      </c>
      <c r="D118" s="154">
        <f>IF(F117+SUM(E$99:E117)=D$92,F117,D$92-SUM(E$99:E117))</f>
        <v>4816069.4581949059</v>
      </c>
      <c r="E118" s="160">
        <f t="shared" si="17"/>
        <v>204734</v>
      </c>
      <c r="F118" s="159">
        <f t="shared" si="18"/>
        <v>4611335.4581949059</v>
      </c>
      <c r="G118" s="159">
        <f t="shared" si="19"/>
        <v>4713702.4581949059</v>
      </c>
      <c r="H118" s="163">
        <f t="shared" si="20"/>
        <v>777314.30868550471</v>
      </c>
      <c r="I118" s="253">
        <f t="shared" si="21"/>
        <v>777314.30868550471</v>
      </c>
      <c r="J118" s="158">
        <f t="shared" si="22"/>
        <v>0</v>
      </c>
      <c r="K118" s="158"/>
      <c r="L118" s="334"/>
      <c r="M118" s="158">
        <f t="shared" si="23"/>
        <v>0</v>
      </c>
      <c r="N118" s="334"/>
      <c r="O118" s="158">
        <f t="shared" si="24"/>
        <v>0</v>
      </c>
      <c r="P118" s="158">
        <f t="shared" si="25"/>
        <v>0</v>
      </c>
      <c r="Q118" s="1"/>
    </row>
    <row r="119" spans="2:17">
      <c r="B119" s="9" t="str">
        <f t="shared" si="16"/>
        <v/>
      </c>
      <c r="C119" s="153">
        <f>IF(D93="","-",+C118+1)</f>
        <v>2033</v>
      </c>
      <c r="D119" s="154">
        <f>IF(F118+SUM(E$99:E118)=D$92,F118,D$92-SUM(E$99:E118))</f>
        <v>4611335.4581949059</v>
      </c>
      <c r="E119" s="160">
        <f t="shared" si="17"/>
        <v>204734</v>
      </c>
      <c r="F119" s="159">
        <f t="shared" si="18"/>
        <v>4406601.4581949059</v>
      </c>
      <c r="G119" s="159">
        <f t="shared" si="19"/>
        <v>4508968.4581949059</v>
      </c>
      <c r="H119" s="163">
        <f t="shared" si="20"/>
        <v>752444.97126803233</v>
      </c>
      <c r="I119" s="253">
        <f t="shared" si="21"/>
        <v>752444.97126803233</v>
      </c>
      <c r="J119" s="158">
        <f t="shared" si="22"/>
        <v>0</v>
      </c>
      <c r="K119" s="158"/>
      <c r="L119" s="334"/>
      <c r="M119" s="158">
        <f t="shared" si="23"/>
        <v>0</v>
      </c>
      <c r="N119" s="334"/>
      <c r="O119" s="158">
        <f t="shared" si="24"/>
        <v>0</v>
      </c>
      <c r="P119" s="158">
        <f t="shared" si="25"/>
        <v>0</v>
      </c>
      <c r="Q119" s="1"/>
    </row>
    <row r="120" spans="2:17">
      <c r="B120" s="9" t="str">
        <f t="shared" si="16"/>
        <v/>
      </c>
      <c r="C120" s="153">
        <f>IF(D93="","-",+C119+1)</f>
        <v>2034</v>
      </c>
      <c r="D120" s="154">
        <f>IF(F119+SUM(E$99:E119)=D$92,F119,D$92-SUM(E$99:E119))</f>
        <v>4406601.4581949059</v>
      </c>
      <c r="E120" s="160">
        <f t="shared" si="17"/>
        <v>204734</v>
      </c>
      <c r="F120" s="159">
        <f t="shared" si="18"/>
        <v>4201867.4581949059</v>
      </c>
      <c r="G120" s="159">
        <f t="shared" si="19"/>
        <v>4304234.4581949059</v>
      </c>
      <c r="H120" s="163">
        <f t="shared" si="20"/>
        <v>727575.63385055994</v>
      </c>
      <c r="I120" s="253">
        <f t="shared" si="21"/>
        <v>727575.63385055994</v>
      </c>
      <c r="J120" s="158">
        <f t="shared" si="22"/>
        <v>0</v>
      </c>
      <c r="K120" s="158"/>
      <c r="L120" s="334"/>
      <c r="M120" s="158">
        <f t="shared" si="23"/>
        <v>0</v>
      </c>
      <c r="N120" s="334"/>
      <c r="O120" s="158">
        <f t="shared" si="24"/>
        <v>0</v>
      </c>
      <c r="P120" s="158">
        <f t="shared" si="25"/>
        <v>0</v>
      </c>
      <c r="Q120" s="1"/>
    </row>
    <row r="121" spans="2:17">
      <c r="B121" s="9" t="str">
        <f t="shared" si="16"/>
        <v/>
      </c>
      <c r="C121" s="153">
        <f>IF(D93="","-",+C120+1)</f>
        <v>2035</v>
      </c>
      <c r="D121" s="154">
        <f>IF(F120+SUM(E$99:E120)=D$92,F120,D$92-SUM(E$99:E120))</f>
        <v>4201867.4581949059</v>
      </c>
      <c r="E121" s="160">
        <f t="shared" si="17"/>
        <v>204734</v>
      </c>
      <c r="F121" s="159">
        <f t="shared" si="18"/>
        <v>3997133.4581949059</v>
      </c>
      <c r="G121" s="159">
        <f t="shared" si="19"/>
        <v>4099500.4581949059</v>
      </c>
      <c r="H121" s="163">
        <f t="shared" si="20"/>
        <v>702706.29643308755</v>
      </c>
      <c r="I121" s="253">
        <f t="shared" si="21"/>
        <v>702706.29643308755</v>
      </c>
      <c r="J121" s="158">
        <f t="shared" si="22"/>
        <v>0</v>
      </c>
      <c r="K121" s="158"/>
      <c r="L121" s="334"/>
      <c r="M121" s="158">
        <f t="shared" si="23"/>
        <v>0</v>
      </c>
      <c r="N121" s="334"/>
      <c r="O121" s="158">
        <f t="shared" si="24"/>
        <v>0</v>
      </c>
      <c r="P121" s="158">
        <f t="shared" si="25"/>
        <v>0</v>
      </c>
      <c r="Q121" s="1"/>
    </row>
    <row r="122" spans="2:17">
      <c r="B122" s="9" t="str">
        <f t="shared" si="16"/>
        <v/>
      </c>
      <c r="C122" s="153">
        <f>IF(D93="","-",+C121+1)</f>
        <v>2036</v>
      </c>
      <c r="D122" s="154">
        <f>IF(F121+SUM(E$99:E121)=D$92,F121,D$92-SUM(E$99:E121))</f>
        <v>3997133.4581949059</v>
      </c>
      <c r="E122" s="160">
        <f t="shared" si="17"/>
        <v>204734</v>
      </c>
      <c r="F122" s="159">
        <f t="shared" si="18"/>
        <v>3792399.4581949059</v>
      </c>
      <c r="G122" s="159">
        <f t="shared" si="19"/>
        <v>3894766.4581949059</v>
      </c>
      <c r="H122" s="163">
        <f t="shared" si="20"/>
        <v>677836.95901561517</v>
      </c>
      <c r="I122" s="253">
        <f t="shared" si="21"/>
        <v>677836.95901561517</v>
      </c>
      <c r="J122" s="158">
        <f t="shared" si="22"/>
        <v>0</v>
      </c>
      <c r="K122" s="158"/>
      <c r="L122" s="334"/>
      <c r="M122" s="158">
        <f t="shared" si="23"/>
        <v>0</v>
      </c>
      <c r="N122" s="334"/>
      <c r="O122" s="158">
        <f t="shared" si="24"/>
        <v>0</v>
      </c>
      <c r="P122" s="158">
        <f t="shared" si="25"/>
        <v>0</v>
      </c>
      <c r="Q122" s="1"/>
    </row>
    <row r="123" spans="2:17">
      <c r="B123" s="9" t="str">
        <f t="shared" si="16"/>
        <v/>
      </c>
      <c r="C123" s="153">
        <f>IF(D93="","-",+C122+1)</f>
        <v>2037</v>
      </c>
      <c r="D123" s="154">
        <f>IF(F122+SUM(E$99:E122)=D$92,F122,D$92-SUM(E$99:E122))</f>
        <v>3792399.4581949059</v>
      </c>
      <c r="E123" s="160">
        <f t="shared" si="17"/>
        <v>204734</v>
      </c>
      <c r="F123" s="159">
        <f t="shared" si="18"/>
        <v>3587665.4581949059</v>
      </c>
      <c r="G123" s="159">
        <f t="shared" si="19"/>
        <v>3690032.4581949059</v>
      </c>
      <c r="H123" s="163">
        <f t="shared" si="20"/>
        <v>652967.62159814278</v>
      </c>
      <c r="I123" s="253">
        <f t="shared" si="21"/>
        <v>652967.62159814278</v>
      </c>
      <c r="J123" s="158">
        <f t="shared" si="22"/>
        <v>0</v>
      </c>
      <c r="K123" s="158"/>
      <c r="L123" s="334"/>
      <c r="M123" s="158">
        <f t="shared" si="23"/>
        <v>0</v>
      </c>
      <c r="N123" s="334"/>
      <c r="O123" s="158">
        <f t="shared" si="24"/>
        <v>0</v>
      </c>
      <c r="P123" s="158">
        <f t="shared" si="25"/>
        <v>0</v>
      </c>
      <c r="Q123" s="1"/>
    </row>
    <row r="124" spans="2:17">
      <c r="B124" s="9" t="str">
        <f t="shared" si="16"/>
        <v/>
      </c>
      <c r="C124" s="153">
        <f>IF(D93="","-",+C123+1)</f>
        <v>2038</v>
      </c>
      <c r="D124" s="154">
        <f>IF(F123+SUM(E$99:E123)=D$92,F123,D$92-SUM(E$99:E123))</f>
        <v>3587665.4581949059</v>
      </c>
      <c r="E124" s="160">
        <f t="shared" si="17"/>
        <v>204734</v>
      </c>
      <c r="F124" s="159">
        <f t="shared" si="18"/>
        <v>3382931.4581949059</v>
      </c>
      <c r="G124" s="159">
        <f t="shared" si="19"/>
        <v>3485298.4581949059</v>
      </c>
      <c r="H124" s="163">
        <f t="shared" si="20"/>
        <v>628098.28418067039</v>
      </c>
      <c r="I124" s="253">
        <f t="shared" si="21"/>
        <v>628098.28418067039</v>
      </c>
      <c r="J124" s="158">
        <f t="shared" si="22"/>
        <v>0</v>
      </c>
      <c r="K124" s="158"/>
      <c r="L124" s="334"/>
      <c r="M124" s="158">
        <f t="shared" si="23"/>
        <v>0</v>
      </c>
      <c r="N124" s="334"/>
      <c r="O124" s="158">
        <f t="shared" si="24"/>
        <v>0</v>
      </c>
      <c r="P124" s="158">
        <f t="shared" si="25"/>
        <v>0</v>
      </c>
      <c r="Q124" s="1"/>
    </row>
    <row r="125" spans="2:17">
      <c r="B125" s="9" t="str">
        <f t="shared" si="16"/>
        <v/>
      </c>
      <c r="C125" s="153">
        <f>IF(D93="","-",+C124+1)</f>
        <v>2039</v>
      </c>
      <c r="D125" s="154">
        <f>IF(F124+SUM(E$99:E124)=D$92,F124,D$92-SUM(E$99:E124))</f>
        <v>3382931.4581949059</v>
      </c>
      <c r="E125" s="160">
        <f t="shared" si="17"/>
        <v>204734</v>
      </c>
      <c r="F125" s="159">
        <f t="shared" si="18"/>
        <v>3178197.4581949059</v>
      </c>
      <c r="G125" s="159">
        <f t="shared" si="19"/>
        <v>3280564.4581949059</v>
      </c>
      <c r="H125" s="163">
        <f t="shared" si="20"/>
        <v>603228.94676319801</v>
      </c>
      <c r="I125" s="253">
        <f t="shared" si="21"/>
        <v>603228.94676319801</v>
      </c>
      <c r="J125" s="158">
        <f t="shared" si="22"/>
        <v>0</v>
      </c>
      <c r="K125" s="158"/>
      <c r="L125" s="334"/>
      <c r="M125" s="158">
        <f t="shared" si="23"/>
        <v>0</v>
      </c>
      <c r="N125" s="334"/>
      <c r="O125" s="158">
        <f t="shared" si="24"/>
        <v>0</v>
      </c>
      <c r="P125" s="158">
        <f t="shared" si="25"/>
        <v>0</v>
      </c>
      <c r="Q125" s="1"/>
    </row>
    <row r="126" spans="2:17">
      <c r="B126" s="9" t="str">
        <f t="shared" si="16"/>
        <v/>
      </c>
      <c r="C126" s="153">
        <f>IF(D93="","-",+C125+1)</f>
        <v>2040</v>
      </c>
      <c r="D126" s="154">
        <f>IF(F125+SUM(E$99:E125)=D$92,F125,D$92-SUM(E$99:E125))</f>
        <v>3178197.4581949059</v>
      </c>
      <c r="E126" s="160">
        <f t="shared" si="17"/>
        <v>204734</v>
      </c>
      <c r="F126" s="159">
        <f t="shared" si="18"/>
        <v>2973463.4581949059</v>
      </c>
      <c r="G126" s="159">
        <f t="shared" si="19"/>
        <v>3075830.4581949059</v>
      </c>
      <c r="H126" s="163">
        <f t="shared" si="20"/>
        <v>578359.60934572574</v>
      </c>
      <c r="I126" s="253">
        <f t="shared" si="21"/>
        <v>578359.60934572574</v>
      </c>
      <c r="J126" s="158">
        <f t="shared" si="22"/>
        <v>0</v>
      </c>
      <c r="K126" s="158"/>
      <c r="L126" s="334"/>
      <c r="M126" s="158">
        <f t="shared" si="23"/>
        <v>0</v>
      </c>
      <c r="N126" s="334"/>
      <c r="O126" s="158">
        <f t="shared" si="24"/>
        <v>0</v>
      </c>
      <c r="P126" s="158">
        <f t="shared" si="25"/>
        <v>0</v>
      </c>
      <c r="Q126" s="1"/>
    </row>
    <row r="127" spans="2:17">
      <c r="B127" s="9" t="str">
        <f t="shared" si="16"/>
        <v/>
      </c>
      <c r="C127" s="153">
        <f>IF(D93="","-",+C126+1)</f>
        <v>2041</v>
      </c>
      <c r="D127" s="154">
        <f>IF(F126+SUM(E$99:E126)=D$92,F126,D$92-SUM(E$99:E126))</f>
        <v>2973463.4581949059</v>
      </c>
      <c r="E127" s="160">
        <f t="shared" si="17"/>
        <v>204734</v>
      </c>
      <c r="F127" s="159">
        <f t="shared" si="18"/>
        <v>2768729.4581949059</v>
      </c>
      <c r="G127" s="159">
        <f t="shared" si="19"/>
        <v>2871096.4581949059</v>
      </c>
      <c r="H127" s="163">
        <f t="shared" si="20"/>
        <v>553490.27192825335</v>
      </c>
      <c r="I127" s="253">
        <f t="shared" si="21"/>
        <v>553490.27192825335</v>
      </c>
      <c r="J127" s="158">
        <f t="shared" si="22"/>
        <v>0</v>
      </c>
      <c r="K127" s="158"/>
      <c r="L127" s="334"/>
      <c r="M127" s="158">
        <f t="shared" si="23"/>
        <v>0</v>
      </c>
      <c r="N127" s="334"/>
      <c r="O127" s="158">
        <f t="shared" si="24"/>
        <v>0</v>
      </c>
      <c r="P127" s="158">
        <f t="shared" si="25"/>
        <v>0</v>
      </c>
      <c r="Q127" s="1"/>
    </row>
    <row r="128" spans="2:17">
      <c r="B128" s="9" t="str">
        <f t="shared" si="16"/>
        <v/>
      </c>
      <c r="C128" s="153">
        <f>IF(D93="","-",+C127+1)</f>
        <v>2042</v>
      </c>
      <c r="D128" s="154">
        <f>IF(F127+SUM(E$99:E127)=D$92,F127,D$92-SUM(E$99:E127))</f>
        <v>2768729.4581949059</v>
      </c>
      <c r="E128" s="160">
        <f t="shared" si="17"/>
        <v>204734</v>
      </c>
      <c r="F128" s="159">
        <f t="shared" si="18"/>
        <v>2563995.4581949059</v>
      </c>
      <c r="G128" s="159">
        <f t="shared" si="19"/>
        <v>2666362.4581949059</v>
      </c>
      <c r="H128" s="163">
        <f t="shared" si="20"/>
        <v>528620.93451078096</v>
      </c>
      <c r="I128" s="253">
        <f t="shared" si="21"/>
        <v>528620.93451078096</v>
      </c>
      <c r="J128" s="158">
        <f t="shared" si="22"/>
        <v>0</v>
      </c>
      <c r="K128" s="158"/>
      <c r="L128" s="334"/>
      <c r="M128" s="158">
        <f t="shared" si="23"/>
        <v>0</v>
      </c>
      <c r="N128" s="334"/>
      <c r="O128" s="158">
        <f t="shared" si="24"/>
        <v>0</v>
      </c>
      <c r="P128" s="158">
        <f t="shared" si="25"/>
        <v>0</v>
      </c>
      <c r="Q128" s="1"/>
    </row>
    <row r="129" spans="2:17">
      <c r="B129" s="9" t="str">
        <f t="shared" si="16"/>
        <v/>
      </c>
      <c r="C129" s="153">
        <f>IF(D93="","-",+C128+1)</f>
        <v>2043</v>
      </c>
      <c r="D129" s="154">
        <f>IF(F128+SUM(E$99:E128)=D$92,F128,D$92-SUM(E$99:E128))</f>
        <v>2563995.4581949059</v>
      </c>
      <c r="E129" s="160">
        <f t="shared" si="17"/>
        <v>204734</v>
      </c>
      <c r="F129" s="159">
        <f t="shared" si="18"/>
        <v>2359261.4581949059</v>
      </c>
      <c r="G129" s="159">
        <f t="shared" si="19"/>
        <v>2461628.4581949059</v>
      </c>
      <c r="H129" s="163">
        <f t="shared" si="20"/>
        <v>503751.59709330852</v>
      </c>
      <c r="I129" s="253">
        <f t="shared" si="21"/>
        <v>503751.59709330852</v>
      </c>
      <c r="J129" s="158">
        <f t="shared" si="22"/>
        <v>0</v>
      </c>
      <c r="K129" s="158"/>
      <c r="L129" s="334"/>
      <c r="M129" s="158">
        <f t="shared" si="23"/>
        <v>0</v>
      </c>
      <c r="N129" s="334"/>
      <c r="O129" s="158">
        <f t="shared" si="24"/>
        <v>0</v>
      </c>
      <c r="P129" s="158">
        <f t="shared" si="25"/>
        <v>0</v>
      </c>
      <c r="Q129" s="1"/>
    </row>
    <row r="130" spans="2:17">
      <c r="B130" s="9" t="str">
        <f t="shared" si="16"/>
        <v/>
      </c>
      <c r="C130" s="153">
        <f>IF(D93="","-",+C129+1)</f>
        <v>2044</v>
      </c>
      <c r="D130" s="154">
        <f>IF(F129+SUM(E$99:E129)=D$92,F129,D$92-SUM(E$99:E129))</f>
        <v>2359261.4581949059</v>
      </c>
      <c r="E130" s="160">
        <f t="shared" si="17"/>
        <v>204734</v>
      </c>
      <c r="F130" s="159">
        <f t="shared" si="18"/>
        <v>2154527.4581949059</v>
      </c>
      <c r="G130" s="159">
        <f t="shared" si="19"/>
        <v>2256894.4581949059</v>
      </c>
      <c r="H130" s="163">
        <f t="shared" si="20"/>
        <v>478882.25967583613</v>
      </c>
      <c r="I130" s="253">
        <f t="shared" si="21"/>
        <v>478882.25967583613</v>
      </c>
      <c r="J130" s="158">
        <f t="shared" si="22"/>
        <v>0</v>
      </c>
      <c r="K130" s="158"/>
      <c r="L130" s="334"/>
      <c r="M130" s="158">
        <f t="shared" si="23"/>
        <v>0</v>
      </c>
      <c r="N130" s="334"/>
      <c r="O130" s="158">
        <f t="shared" si="24"/>
        <v>0</v>
      </c>
      <c r="P130" s="158">
        <f t="shared" si="25"/>
        <v>0</v>
      </c>
      <c r="Q130" s="1"/>
    </row>
    <row r="131" spans="2:17">
      <c r="B131" s="9" t="str">
        <f t="shared" si="16"/>
        <v/>
      </c>
      <c r="C131" s="153">
        <f>IF(D93="","-",+C130+1)</f>
        <v>2045</v>
      </c>
      <c r="D131" s="154">
        <f>IF(F130+SUM(E$99:E130)=D$92,F130,D$92-SUM(E$99:E130))</f>
        <v>2154527.4581949059</v>
      </c>
      <c r="E131" s="160">
        <f t="shared" si="17"/>
        <v>204734</v>
      </c>
      <c r="F131" s="159">
        <f t="shared" si="18"/>
        <v>1949793.4581949059</v>
      </c>
      <c r="G131" s="159">
        <f t="shared" si="19"/>
        <v>2052160.4581949059</v>
      </c>
      <c r="H131" s="163">
        <f t="shared" si="20"/>
        <v>454012.92225836375</v>
      </c>
      <c r="I131" s="253">
        <f t="shared" si="21"/>
        <v>454012.92225836375</v>
      </c>
      <c r="J131" s="158">
        <f t="shared" si="22"/>
        <v>0</v>
      </c>
      <c r="K131" s="158"/>
      <c r="L131" s="334"/>
      <c r="M131" s="158">
        <f t="shared" ref="M131:M154" si="26">IF(L541&lt;&gt;0,+H541-L541,0)</f>
        <v>0</v>
      </c>
      <c r="N131" s="334"/>
      <c r="O131" s="158">
        <f t="shared" ref="O131:O154" si="27">IF(N541&lt;&gt;0,+I541-N541,0)</f>
        <v>0</v>
      </c>
      <c r="P131" s="158">
        <f t="shared" ref="P131:P154" si="28">+O541-M541</f>
        <v>0</v>
      </c>
      <c r="Q131" s="1"/>
    </row>
    <row r="132" spans="2:17">
      <c r="B132" s="9" t="str">
        <f t="shared" si="16"/>
        <v/>
      </c>
      <c r="C132" s="153">
        <f>IF(D93="","-",+C131+1)</f>
        <v>2046</v>
      </c>
      <c r="D132" s="154">
        <f>IF(F131+SUM(E$99:E131)=D$92,F131,D$92-SUM(E$99:E131))</f>
        <v>1949793.4581949059</v>
      </c>
      <c r="E132" s="160">
        <f t="shared" si="17"/>
        <v>204734</v>
      </c>
      <c r="F132" s="159">
        <f t="shared" si="18"/>
        <v>1745059.4581949059</v>
      </c>
      <c r="G132" s="159">
        <f t="shared" si="19"/>
        <v>1847426.4581949059</v>
      </c>
      <c r="H132" s="163">
        <f t="shared" si="20"/>
        <v>429143.58484089136</v>
      </c>
      <c r="I132" s="253">
        <f t="shared" si="21"/>
        <v>429143.58484089136</v>
      </c>
      <c r="J132" s="158">
        <f t="shared" si="22"/>
        <v>0</v>
      </c>
      <c r="K132" s="158"/>
      <c r="L132" s="334"/>
      <c r="M132" s="158">
        <f t="shared" si="26"/>
        <v>0</v>
      </c>
      <c r="N132" s="334"/>
      <c r="O132" s="158">
        <f t="shared" si="27"/>
        <v>0</v>
      </c>
      <c r="P132" s="158">
        <f t="shared" si="28"/>
        <v>0</v>
      </c>
      <c r="Q132" s="1"/>
    </row>
    <row r="133" spans="2:17">
      <c r="B133" s="9" t="str">
        <f t="shared" si="16"/>
        <v/>
      </c>
      <c r="C133" s="153">
        <f>IF(D93="","-",+C132+1)</f>
        <v>2047</v>
      </c>
      <c r="D133" s="154">
        <f>IF(F132+SUM(E$99:E132)=D$92,F132,D$92-SUM(E$99:E132))</f>
        <v>1745059.4581949059</v>
      </c>
      <c r="E133" s="160">
        <f t="shared" si="17"/>
        <v>204734</v>
      </c>
      <c r="F133" s="159">
        <f t="shared" si="18"/>
        <v>1540325.4581949059</v>
      </c>
      <c r="G133" s="159">
        <f t="shared" si="19"/>
        <v>1642692.4581949059</v>
      </c>
      <c r="H133" s="163">
        <f t="shared" si="20"/>
        <v>404274.24742341897</v>
      </c>
      <c r="I133" s="253">
        <f t="shared" si="21"/>
        <v>404274.24742341897</v>
      </c>
      <c r="J133" s="158">
        <f t="shared" si="22"/>
        <v>0</v>
      </c>
      <c r="K133" s="158"/>
      <c r="L133" s="334"/>
      <c r="M133" s="158">
        <f t="shared" si="26"/>
        <v>0</v>
      </c>
      <c r="N133" s="334"/>
      <c r="O133" s="158">
        <f t="shared" si="27"/>
        <v>0</v>
      </c>
      <c r="P133" s="158">
        <f t="shared" si="28"/>
        <v>0</v>
      </c>
      <c r="Q133" s="1"/>
    </row>
    <row r="134" spans="2:17">
      <c r="B134" s="9" t="str">
        <f t="shared" si="16"/>
        <v/>
      </c>
      <c r="C134" s="153">
        <f>IF(D93="","-",+C133+1)</f>
        <v>2048</v>
      </c>
      <c r="D134" s="154">
        <f>IF(F133+SUM(E$99:E133)=D$92,F133,D$92-SUM(E$99:E133))</f>
        <v>1540325.4581949059</v>
      </c>
      <c r="E134" s="160">
        <f t="shared" si="17"/>
        <v>204734</v>
      </c>
      <c r="F134" s="159">
        <f t="shared" si="18"/>
        <v>1335591.4581949059</v>
      </c>
      <c r="G134" s="159">
        <f t="shared" si="19"/>
        <v>1437958.4581949059</v>
      </c>
      <c r="H134" s="163">
        <f t="shared" si="20"/>
        <v>379404.91000594659</v>
      </c>
      <c r="I134" s="253">
        <f t="shared" si="21"/>
        <v>379404.91000594659</v>
      </c>
      <c r="J134" s="158">
        <f t="shared" si="22"/>
        <v>0</v>
      </c>
      <c r="K134" s="158"/>
      <c r="L134" s="334"/>
      <c r="M134" s="158">
        <f t="shared" si="26"/>
        <v>0</v>
      </c>
      <c r="N134" s="334"/>
      <c r="O134" s="158">
        <f t="shared" si="27"/>
        <v>0</v>
      </c>
      <c r="P134" s="158">
        <f t="shared" si="28"/>
        <v>0</v>
      </c>
      <c r="Q134" s="1"/>
    </row>
    <row r="135" spans="2:17">
      <c r="B135" s="9" t="str">
        <f t="shared" si="16"/>
        <v/>
      </c>
      <c r="C135" s="153">
        <f>IF(D93="","-",+C134+1)</f>
        <v>2049</v>
      </c>
      <c r="D135" s="154">
        <f>IF(F134+SUM(E$99:E134)=D$92,F134,D$92-SUM(E$99:E134))</f>
        <v>1335591.4581949059</v>
      </c>
      <c r="E135" s="160">
        <f t="shared" si="17"/>
        <v>204734</v>
      </c>
      <c r="F135" s="159">
        <f t="shared" si="18"/>
        <v>1130857.4581949059</v>
      </c>
      <c r="G135" s="159">
        <f t="shared" si="19"/>
        <v>1233224.4581949059</v>
      </c>
      <c r="H135" s="163">
        <f t="shared" si="20"/>
        <v>354535.5725884742</v>
      </c>
      <c r="I135" s="253">
        <f t="shared" si="21"/>
        <v>354535.5725884742</v>
      </c>
      <c r="J135" s="158">
        <f t="shared" si="22"/>
        <v>0</v>
      </c>
      <c r="K135" s="158"/>
      <c r="L135" s="334"/>
      <c r="M135" s="158">
        <f t="shared" si="26"/>
        <v>0</v>
      </c>
      <c r="N135" s="334"/>
      <c r="O135" s="158">
        <f t="shared" si="27"/>
        <v>0</v>
      </c>
      <c r="P135" s="158">
        <f t="shared" si="28"/>
        <v>0</v>
      </c>
      <c r="Q135" s="1"/>
    </row>
    <row r="136" spans="2:17">
      <c r="B136" s="9" t="str">
        <f t="shared" si="16"/>
        <v/>
      </c>
      <c r="C136" s="153">
        <f>IF(D93="","-",+C135+1)</f>
        <v>2050</v>
      </c>
      <c r="D136" s="154">
        <f>IF(F135+SUM(E$99:E135)=D$92,F135,D$92-SUM(E$99:E135))</f>
        <v>1130857.4581949059</v>
      </c>
      <c r="E136" s="160">
        <f t="shared" si="17"/>
        <v>204734</v>
      </c>
      <c r="F136" s="159">
        <f t="shared" si="18"/>
        <v>926123.45819490589</v>
      </c>
      <c r="G136" s="159">
        <f t="shared" si="19"/>
        <v>1028490.4581949059</v>
      </c>
      <c r="H136" s="163">
        <f t="shared" si="20"/>
        <v>329666.23517100181</v>
      </c>
      <c r="I136" s="253">
        <f t="shared" si="21"/>
        <v>329666.23517100181</v>
      </c>
      <c r="J136" s="158">
        <f t="shared" si="22"/>
        <v>0</v>
      </c>
      <c r="K136" s="158"/>
      <c r="L136" s="334"/>
      <c r="M136" s="158">
        <f t="shared" si="26"/>
        <v>0</v>
      </c>
      <c r="N136" s="334"/>
      <c r="O136" s="158">
        <f t="shared" si="27"/>
        <v>0</v>
      </c>
      <c r="P136" s="158">
        <f t="shared" si="28"/>
        <v>0</v>
      </c>
      <c r="Q136" s="1"/>
    </row>
    <row r="137" spans="2:17">
      <c r="B137" s="9" t="str">
        <f t="shared" si="16"/>
        <v/>
      </c>
      <c r="C137" s="153">
        <f>IF(D93="","-",+C136+1)</f>
        <v>2051</v>
      </c>
      <c r="D137" s="154">
        <f>IF(F136+SUM(E$99:E136)=D$92,F136,D$92-SUM(E$99:E136))</f>
        <v>926123.45819490589</v>
      </c>
      <c r="E137" s="160">
        <f t="shared" si="17"/>
        <v>204734</v>
      </c>
      <c r="F137" s="159">
        <f t="shared" si="18"/>
        <v>721389.45819490589</v>
      </c>
      <c r="G137" s="159">
        <f t="shared" si="19"/>
        <v>823756.45819490589</v>
      </c>
      <c r="H137" s="163">
        <f t="shared" si="20"/>
        <v>304796.89775352943</v>
      </c>
      <c r="I137" s="253">
        <f t="shared" si="21"/>
        <v>304796.89775352943</v>
      </c>
      <c r="J137" s="158">
        <f t="shared" si="22"/>
        <v>0</v>
      </c>
      <c r="K137" s="158"/>
      <c r="L137" s="334"/>
      <c r="M137" s="158">
        <f t="shared" si="26"/>
        <v>0</v>
      </c>
      <c r="N137" s="334"/>
      <c r="O137" s="158">
        <f t="shared" si="27"/>
        <v>0</v>
      </c>
      <c r="P137" s="158">
        <f t="shared" si="28"/>
        <v>0</v>
      </c>
      <c r="Q137" s="1"/>
    </row>
    <row r="138" spans="2:17">
      <c r="B138" s="9" t="str">
        <f t="shared" si="16"/>
        <v/>
      </c>
      <c r="C138" s="153">
        <f>IF(D93="","-",+C137+1)</f>
        <v>2052</v>
      </c>
      <c r="D138" s="154">
        <f>IF(F137+SUM(E$99:E137)=D$92,F137,D$92-SUM(E$99:E137))</f>
        <v>721389.45819490589</v>
      </c>
      <c r="E138" s="160">
        <f t="shared" si="17"/>
        <v>204734</v>
      </c>
      <c r="F138" s="159">
        <f t="shared" si="18"/>
        <v>516655.45819490589</v>
      </c>
      <c r="G138" s="159">
        <f t="shared" si="19"/>
        <v>619022.45819490589</v>
      </c>
      <c r="H138" s="163">
        <f t="shared" si="20"/>
        <v>279927.5603360571</v>
      </c>
      <c r="I138" s="253">
        <f t="shared" si="21"/>
        <v>279927.5603360571</v>
      </c>
      <c r="J138" s="158">
        <f t="shared" si="22"/>
        <v>0</v>
      </c>
      <c r="K138" s="158"/>
      <c r="L138" s="334"/>
      <c r="M138" s="158">
        <f t="shared" si="26"/>
        <v>0</v>
      </c>
      <c r="N138" s="334"/>
      <c r="O138" s="158">
        <f t="shared" si="27"/>
        <v>0</v>
      </c>
      <c r="P138" s="158">
        <f t="shared" si="28"/>
        <v>0</v>
      </c>
      <c r="Q138" s="1"/>
    </row>
    <row r="139" spans="2:17">
      <c r="B139" s="9" t="str">
        <f t="shared" si="16"/>
        <v/>
      </c>
      <c r="C139" s="153">
        <f>IF(D93="","-",+C138+1)</f>
        <v>2053</v>
      </c>
      <c r="D139" s="154">
        <f>IF(F138+SUM(E$99:E138)=D$92,F138,D$92-SUM(E$99:E138))</f>
        <v>516655.45819490589</v>
      </c>
      <c r="E139" s="160">
        <f t="shared" si="17"/>
        <v>204734</v>
      </c>
      <c r="F139" s="159">
        <f t="shared" si="18"/>
        <v>311921.45819490589</v>
      </c>
      <c r="G139" s="159">
        <f t="shared" si="19"/>
        <v>414288.45819490589</v>
      </c>
      <c r="H139" s="163">
        <f t="shared" si="20"/>
        <v>255058.22291858468</v>
      </c>
      <c r="I139" s="253">
        <f t="shared" si="21"/>
        <v>255058.22291858468</v>
      </c>
      <c r="J139" s="158">
        <f t="shared" si="22"/>
        <v>0</v>
      </c>
      <c r="K139" s="158"/>
      <c r="L139" s="334"/>
      <c r="M139" s="158">
        <f t="shared" si="26"/>
        <v>0</v>
      </c>
      <c r="N139" s="334"/>
      <c r="O139" s="158">
        <f t="shared" si="27"/>
        <v>0</v>
      </c>
      <c r="P139" s="158">
        <f t="shared" si="28"/>
        <v>0</v>
      </c>
      <c r="Q139" s="1"/>
    </row>
    <row r="140" spans="2:17">
      <c r="B140" s="9" t="str">
        <f t="shared" si="16"/>
        <v/>
      </c>
      <c r="C140" s="153">
        <f>IF(D93="","-",+C139+1)</f>
        <v>2054</v>
      </c>
      <c r="D140" s="154">
        <f>IF(F139+SUM(E$99:E139)=D$92,F139,D$92-SUM(E$99:E139))</f>
        <v>311921.45819490589</v>
      </c>
      <c r="E140" s="160">
        <f t="shared" si="17"/>
        <v>204734</v>
      </c>
      <c r="F140" s="159">
        <f t="shared" si="18"/>
        <v>107187.45819490589</v>
      </c>
      <c r="G140" s="159">
        <f t="shared" si="19"/>
        <v>209554.45819490589</v>
      </c>
      <c r="H140" s="163">
        <f t="shared" si="20"/>
        <v>230188.88550111229</v>
      </c>
      <c r="I140" s="253">
        <f t="shared" si="21"/>
        <v>230188.88550111229</v>
      </c>
      <c r="J140" s="158">
        <f t="shared" si="22"/>
        <v>0</v>
      </c>
      <c r="K140" s="158"/>
      <c r="L140" s="334"/>
      <c r="M140" s="158">
        <f t="shared" si="26"/>
        <v>0</v>
      </c>
      <c r="N140" s="334"/>
      <c r="O140" s="158">
        <f t="shared" si="27"/>
        <v>0</v>
      </c>
      <c r="P140" s="158">
        <f t="shared" si="28"/>
        <v>0</v>
      </c>
      <c r="Q140" s="1"/>
    </row>
    <row r="141" spans="2:17">
      <c r="B141" s="9" t="str">
        <f t="shared" si="16"/>
        <v/>
      </c>
      <c r="C141" s="153">
        <f>IF(D93="","-",+C140+1)</f>
        <v>2055</v>
      </c>
      <c r="D141" s="154">
        <f>IF(F140+SUM(E$99:E140)=D$92,F140,D$92-SUM(E$99:E140))</f>
        <v>107187.45819490589</v>
      </c>
      <c r="E141" s="160">
        <f t="shared" si="17"/>
        <v>107187.45819490589</v>
      </c>
      <c r="F141" s="159">
        <f t="shared" si="18"/>
        <v>0</v>
      </c>
      <c r="G141" s="159">
        <f t="shared" si="19"/>
        <v>53593.729097452946</v>
      </c>
      <c r="H141" s="163">
        <f t="shared" si="20"/>
        <v>113697.56659109394</v>
      </c>
      <c r="I141" s="253">
        <f t="shared" si="21"/>
        <v>113697.56659109394</v>
      </c>
      <c r="J141" s="158">
        <f t="shared" si="22"/>
        <v>0</v>
      </c>
      <c r="K141" s="158"/>
      <c r="L141" s="334"/>
      <c r="M141" s="158">
        <f t="shared" si="26"/>
        <v>0</v>
      </c>
      <c r="N141" s="334"/>
      <c r="O141" s="158">
        <f t="shared" si="27"/>
        <v>0</v>
      </c>
      <c r="P141" s="158">
        <f t="shared" si="28"/>
        <v>0</v>
      </c>
      <c r="Q141" s="1"/>
    </row>
    <row r="142" spans="2:17">
      <c r="B142" s="9" t="str">
        <f t="shared" si="16"/>
        <v/>
      </c>
      <c r="C142" s="153">
        <f>IF(D93="","-",+C141+1)</f>
        <v>2056</v>
      </c>
      <c r="D142" s="154">
        <f>IF(F141+SUM(E$99:E141)=D$92,F141,D$92-SUM(E$99:E141))</f>
        <v>0</v>
      </c>
      <c r="E142" s="160">
        <f t="shared" si="17"/>
        <v>0</v>
      </c>
      <c r="F142" s="159">
        <f t="shared" si="18"/>
        <v>0</v>
      </c>
      <c r="G142" s="159">
        <f t="shared" si="19"/>
        <v>0</v>
      </c>
      <c r="H142" s="163">
        <f t="shared" si="20"/>
        <v>0</v>
      </c>
      <c r="I142" s="253">
        <f t="shared" si="21"/>
        <v>0</v>
      </c>
      <c r="J142" s="158">
        <f t="shared" si="22"/>
        <v>0</v>
      </c>
      <c r="K142" s="158"/>
      <c r="L142" s="334"/>
      <c r="M142" s="158">
        <f t="shared" si="26"/>
        <v>0</v>
      </c>
      <c r="N142" s="334"/>
      <c r="O142" s="158">
        <f t="shared" si="27"/>
        <v>0</v>
      </c>
      <c r="P142" s="158">
        <f t="shared" si="28"/>
        <v>0</v>
      </c>
      <c r="Q142" s="1"/>
    </row>
    <row r="143" spans="2:17">
      <c r="B143" s="9" t="str">
        <f t="shared" si="16"/>
        <v/>
      </c>
      <c r="C143" s="153">
        <f>IF(D93="","-",+C142+1)</f>
        <v>2057</v>
      </c>
      <c r="D143" s="154">
        <f>IF(F142+SUM(E$99:E142)=D$92,F142,D$92-SUM(E$99:E142))</f>
        <v>0</v>
      </c>
      <c r="E143" s="160">
        <f t="shared" si="17"/>
        <v>0</v>
      </c>
      <c r="F143" s="159">
        <f t="shared" si="18"/>
        <v>0</v>
      </c>
      <c r="G143" s="159">
        <f t="shared" si="19"/>
        <v>0</v>
      </c>
      <c r="H143" s="163">
        <f t="shared" si="20"/>
        <v>0</v>
      </c>
      <c r="I143" s="253">
        <f t="shared" si="21"/>
        <v>0</v>
      </c>
      <c r="J143" s="158">
        <f t="shared" si="22"/>
        <v>0</v>
      </c>
      <c r="K143" s="158"/>
      <c r="L143" s="334"/>
      <c r="M143" s="158">
        <f t="shared" si="26"/>
        <v>0</v>
      </c>
      <c r="N143" s="334"/>
      <c r="O143" s="158">
        <f t="shared" si="27"/>
        <v>0</v>
      </c>
      <c r="P143" s="158">
        <f t="shared" si="28"/>
        <v>0</v>
      </c>
      <c r="Q143" s="1"/>
    </row>
    <row r="144" spans="2:17">
      <c r="B144" s="9" t="str">
        <f t="shared" si="16"/>
        <v/>
      </c>
      <c r="C144" s="153">
        <f>IF(D93="","-",+C143+1)</f>
        <v>2058</v>
      </c>
      <c r="D144" s="154">
        <f>IF(F143+SUM(E$99:E143)=D$92,F143,D$92-SUM(E$99:E143))</f>
        <v>0</v>
      </c>
      <c r="E144" s="160">
        <f t="shared" si="17"/>
        <v>0</v>
      </c>
      <c r="F144" s="159">
        <f t="shared" si="18"/>
        <v>0</v>
      </c>
      <c r="G144" s="159">
        <f t="shared" si="19"/>
        <v>0</v>
      </c>
      <c r="H144" s="163">
        <f t="shared" si="20"/>
        <v>0</v>
      </c>
      <c r="I144" s="253">
        <f t="shared" si="21"/>
        <v>0</v>
      </c>
      <c r="J144" s="158">
        <f t="shared" si="22"/>
        <v>0</v>
      </c>
      <c r="K144" s="158"/>
      <c r="L144" s="334"/>
      <c r="M144" s="158">
        <f t="shared" si="26"/>
        <v>0</v>
      </c>
      <c r="N144" s="334"/>
      <c r="O144" s="158">
        <f t="shared" si="27"/>
        <v>0</v>
      </c>
      <c r="P144" s="158">
        <f t="shared" si="28"/>
        <v>0</v>
      </c>
      <c r="Q144" s="1"/>
    </row>
    <row r="145" spans="2:17">
      <c r="B145" s="9" t="str">
        <f t="shared" si="16"/>
        <v/>
      </c>
      <c r="C145" s="153">
        <f>IF(D93="","-",+C144+1)</f>
        <v>2059</v>
      </c>
      <c r="D145" s="154">
        <f>IF(F144+SUM(E$99:E144)=D$92,F144,D$92-SUM(E$99:E144))</f>
        <v>0</v>
      </c>
      <c r="E145" s="160">
        <f t="shared" si="17"/>
        <v>0</v>
      </c>
      <c r="F145" s="159">
        <f t="shared" si="18"/>
        <v>0</v>
      </c>
      <c r="G145" s="159">
        <f t="shared" si="19"/>
        <v>0</v>
      </c>
      <c r="H145" s="163">
        <f t="shared" si="20"/>
        <v>0</v>
      </c>
      <c r="I145" s="253">
        <f t="shared" si="21"/>
        <v>0</v>
      </c>
      <c r="J145" s="158">
        <f t="shared" si="22"/>
        <v>0</v>
      </c>
      <c r="K145" s="158"/>
      <c r="L145" s="334"/>
      <c r="M145" s="158">
        <f t="shared" si="26"/>
        <v>0</v>
      </c>
      <c r="N145" s="334"/>
      <c r="O145" s="158">
        <f t="shared" si="27"/>
        <v>0</v>
      </c>
      <c r="P145" s="158">
        <f t="shared" si="28"/>
        <v>0</v>
      </c>
      <c r="Q145" s="1"/>
    </row>
    <row r="146" spans="2:17">
      <c r="B146" s="9" t="str">
        <f t="shared" si="16"/>
        <v/>
      </c>
      <c r="C146" s="153">
        <f>IF(D93="","-",+C145+1)</f>
        <v>2060</v>
      </c>
      <c r="D146" s="154">
        <f>IF(F145+SUM(E$99:E145)=D$92,F145,D$92-SUM(E$99:E145))</f>
        <v>0</v>
      </c>
      <c r="E146" s="160">
        <f t="shared" si="17"/>
        <v>0</v>
      </c>
      <c r="F146" s="159">
        <f t="shared" si="18"/>
        <v>0</v>
      </c>
      <c r="G146" s="159">
        <f t="shared" si="19"/>
        <v>0</v>
      </c>
      <c r="H146" s="163">
        <f t="shared" si="20"/>
        <v>0</v>
      </c>
      <c r="I146" s="253">
        <f t="shared" si="21"/>
        <v>0</v>
      </c>
      <c r="J146" s="158">
        <f t="shared" si="22"/>
        <v>0</v>
      </c>
      <c r="K146" s="158"/>
      <c r="L146" s="334"/>
      <c r="M146" s="158">
        <f t="shared" si="26"/>
        <v>0</v>
      </c>
      <c r="N146" s="334"/>
      <c r="O146" s="158">
        <f t="shared" si="27"/>
        <v>0</v>
      </c>
      <c r="P146" s="158">
        <f t="shared" si="28"/>
        <v>0</v>
      </c>
      <c r="Q146" s="1"/>
    </row>
    <row r="147" spans="2:17">
      <c r="B147" s="9" t="str">
        <f t="shared" si="16"/>
        <v/>
      </c>
      <c r="C147" s="153">
        <f>IF(D93="","-",+C146+1)</f>
        <v>2061</v>
      </c>
      <c r="D147" s="154">
        <f>IF(F146+SUM(E$99:E146)=D$92,F146,D$92-SUM(E$99:E146))</f>
        <v>0</v>
      </c>
      <c r="E147" s="160">
        <f t="shared" si="17"/>
        <v>0</v>
      </c>
      <c r="F147" s="159">
        <f t="shared" si="18"/>
        <v>0</v>
      </c>
      <c r="G147" s="159">
        <f t="shared" si="19"/>
        <v>0</v>
      </c>
      <c r="H147" s="163">
        <f t="shared" si="20"/>
        <v>0</v>
      </c>
      <c r="I147" s="253">
        <f t="shared" si="21"/>
        <v>0</v>
      </c>
      <c r="J147" s="158">
        <f t="shared" si="22"/>
        <v>0</v>
      </c>
      <c r="K147" s="158"/>
      <c r="L147" s="334"/>
      <c r="M147" s="158">
        <f t="shared" si="26"/>
        <v>0</v>
      </c>
      <c r="N147" s="334"/>
      <c r="O147" s="158">
        <f t="shared" si="27"/>
        <v>0</v>
      </c>
      <c r="P147" s="158">
        <f t="shared" si="28"/>
        <v>0</v>
      </c>
      <c r="Q147" s="1"/>
    </row>
    <row r="148" spans="2:17">
      <c r="B148" s="9" t="str">
        <f t="shared" si="16"/>
        <v/>
      </c>
      <c r="C148" s="153">
        <f>IF(D93="","-",+C147+1)</f>
        <v>2062</v>
      </c>
      <c r="D148" s="154">
        <f>IF(F147+SUM(E$99:E147)=D$92,F147,D$92-SUM(E$99:E147))</f>
        <v>0</v>
      </c>
      <c r="E148" s="160">
        <f t="shared" si="17"/>
        <v>0</v>
      </c>
      <c r="F148" s="159">
        <f t="shared" si="18"/>
        <v>0</v>
      </c>
      <c r="G148" s="159">
        <f t="shared" si="19"/>
        <v>0</v>
      </c>
      <c r="H148" s="163">
        <f t="shared" si="20"/>
        <v>0</v>
      </c>
      <c r="I148" s="253">
        <f t="shared" si="21"/>
        <v>0</v>
      </c>
      <c r="J148" s="158">
        <f t="shared" si="22"/>
        <v>0</v>
      </c>
      <c r="K148" s="158"/>
      <c r="L148" s="334"/>
      <c r="M148" s="158">
        <f t="shared" si="26"/>
        <v>0</v>
      </c>
      <c r="N148" s="334"/>
      <c r="O148" s="158">
        <f t="shared" si="27"/>
        <v>0</v>
      </c>
      <c r="P148" s="158">
        <f t="shared" si="28"/>
        <v>0</v>
      </c>
      <c r="Q148" s="1"/>
    </row>
    <row r="149" spans="2:17">
      <c r="B149" s="9" t="str">
        <f t="shared" si="16"/>
        <v/>
      </c>
      <c r="C149" s="153">
        <f>IF(D93="","-",+C148+1)</f>
        <v>2063</v>
      </c>
      <c r="D149" s="154">
        <f>IF(F148+SUM(E$99:E148)=D$92,F148,D$92-SUM(E$99:E148))</f>
        <v>0</v>
      </c>
      <c r="E149" s="160">
        <f t="shared" si="17"/>
        <v>0</v>
      </c>
      <c r="F149" s="159">
        <f t="shared" si="18"/>
        <v>0</v>
      </c>
      <c r="G149" s="159">
        <f t="shared" si="19"/>
        <v>0</v>
      </c>
      <c r="H149" s="163">
        <f t="shared" si="20"/>
        <v>0</v>
      </c>
      <c r="I149" s="253">
        <f t="shared" si="21"/>
        <v>0</v>
      </c>
      <c r="J149" s="158">
        <f t="shared" si="22"/>
        <v>0</v>
      </c>
      <c r="K149" s="158"/>
      <c r="L149" s="334"/>
      <c r="M149" s="158">
        <f t="shared" si="26"/>
        <v>0</v>
      </c>
      <c r="N149" s="334"/>
      <c r="O149" s="158">
        <f t="shared" si="27"/>
        <v>0</v>
      </c>
      <c r="P149" s="158">
        <f t="shared" si="28"/>
        <v>0</v>
      </c>
      <c r="Q149" s="1"/>
    </row>
    <row r="150" spans="2:17">
      <c r="B150" s="9" t="str">
        <f t="shared" si="16"/>
        <v/>
      </c>
      <c r="C150" s="153">
        <f>IF(D93="","-",+C149+1)</f>
        <v>2064</v>
      </c>
      <c r="D150" s="154">
        <f>IF(F149+SUM(E$99:E149)=D$92,F149,D$92-SUM(E$99:E149))</f>
        <v>0</v>
      </c>
      <c r="E150" s="160">
        <f t="shared" si="17"/>
        <v>0</v>
      </c>
      <c r="F150" s="159">
        <f t="shared" si="18"/>
        <v>0</v>
      </c>
      <c r="G150" s="159">
        <f t="shared" si="19"/>
        <v>0</v>
      </c>
      <c r="H150" s="163">
        <f t="shared" si="20"/>
        <v>0</v>
      </c>
      <c r="I150" s="253">
        <f t="shared" si="21"/>
        <v>0</v>
      </c>
      <c r="J150" s="158">
        <f t="shared" si="22"/>
        <v>0</v>
      </c>
      <c r="K150" s="158"/>
      <c r="L150" s="334"/>
      <c r="M150" s="158">
        <f t="shared" si="26"/>
        <v>0</v>
      </c>
      <c r="N150" s="334"/>
      <c r="O150" s="158">
        <f t="shared" si="27"/>
        <v>0</v>
      </c>
      <c r="P150" s="158">
        <f t="shared" si="28"/>
        <v>0</v>
      </c>
      <c r="Q150" s="1"/>
    </row>
    <row r="151" spans="2:17">
      <c r="B151" s="9" t="str">
        <f t="shared" si="16"/>
        <v/>
      </c>
      <c r="C151" s="153">
        <f>IF(D93="","-",+C150+1)</f>
        <v>2065</v>
      </c>
      <c r="D151" s="154">
        <f>IF(F150+SUM(E$99:E150)=D$92,F150,D$92-SUM(E$99:E150))</f>
        <v>0</v>
      </c>
      <c r="E151" s="160">
        <f t="shared" si="17"/>
        <v>0</v>
      </c>
      <c r="F151" s="159">
        <f t="shared" si="18"/>
        <v>0</v>
      </c>
      <c r="G151" s="159">
        <f t="shared" si="19"/>
        <v>0</v>
      </c>
      <c r="H151" s="163">
        <f t="shared" si="20"/>
        <v>0</v>
      </c>
      <c r="I151" s="253">
        <f t="shared" si="21"/>
        <v>0</v>
      </c>
      <c r="J151" s="158">
        <f t="shared" si="22"/>
        <v>0</v>
      </c>
      <c r="K151" s="158"/>
      <c r="L151" s="334"/>
      <c r="M151" s="158">
        <f t="shared" si="26"/>
        <v>0</v>
      </c>
      <c r="N151" s="334"/>
      <c r="O151" s="158">
        <f t="shared" si="27"/>
        <v>0</v>
      </c>
      <c r="P151" s="158">
        <f t="shared" si="28"/>
        <v>0</v>
      </c>
      <c r="Q151" s="1"/>
    </row>
    <row r="152" spans="2:17">
      <c r="B152" s="9" t="str">
        <f t="shared" si="16"/>
        <v/>
      </c>
      <c r="C152" s="153">
        <f>IF(D93="","-",+C151+1)</f>
        <v>2066</v>
      </c>
      <c r="D152" s="154">
        <f>IF(F151+SUM(E$99:E151)=D$92,F151,D$92-SUM(E$99:E151))</f>
        <v>0</v>
      </c>
      <c r="E152" s="160">
        <f t="shared" si="17"/>
        <v>0</v>
      </c>
      <c r="F152" s="159">
        <f t="shared" si="18"/>
        <v>0</v>
      </c>
      <c r="G152" s="159">
        <f t="shared" si="19"/>
        <v>0</v>
      </c>
      <c r="H152" s="163">
        <f t="shared" si="20"/>
        <v>0</v>
      </c>
      <c r="I152" s="253">
        <f t="shared" si="21"/>
        <v>0</v>
      </c>
      <c r="J152" s="158">
        <f t="shared" si="22"/>
        <v>0</v>
      </c>
      <c r="K152" s="158"/>
      <c r="L152" s="334"/>
      <c r="M152" s="158">
        <f t="shared" si="26"/>
        <v>0</v>
      </c>
      <c r="N152" s="334"/>
      <c r="O152" s="158">
        <f t="shared" si="27"/>
        <v>0</v>
      </c>
      <c r="P152" s="158">
        <f t="shared" si="28"/>
        <v>0</v>
      </c>
      <c r="Q152" s="1"/>
    </row>
    <row r="153" spans="2:17">
      <c r="B153" s="9" t="str">
        <f t="shared" si="16"/>
        <v/>
      </c>
      <c r="C153" s="153">
        <f>IF(D93="","-",+C152+1)</f>
        <v>2067</v>
      </c>
      <c r="D153" s="154">
        <f>IF(F152+SUM(E$99:E152)=D$92,F152,D$92-SUM(E$99:E152))</f>
        <v>0</v>
      </c>
      <c r="E153" s="160">
        <f t="shared" si="17"/>
        <v>0</v>
      </c>
      <c r="F153" s="159">
        <f t="shared" si="18"/>
        <v>0</v>
      </c>
      <c r="G153" s="159">
        <f t="shared" si="19"/>
        <v>0</v>
      </c>
      <c r="H153" s="163">
        <f t="shared" si="20"/>
        <v>0</v>
      </c>
      <c r="I153" s="253">
        <f t="shared" si="21"/>
        <v>0</v>
      </c>
      <c r="J153" s="158">
        <f t="shared" si="22"/>
        <v>0</v>
      </c>
      <c r="K153" s="158"/>
      <c r="L153" s="334"/>
      <c r="M153" s="158">
        <f t="shared" si="26"/>
        <v>0</v>
      </c>
      <c r="N153" s="334"/>
      <c r="O153" s="158">
        <f t="shared" si="27"/>
        <v>0</v>
      </c>
      <c r="P153" s="158">
        <f t="shared" si="28"/>
        <v>0</v>
      </c>
      <c r="Q153" s="1"/>
    </row>
    <row r="154" spans="2:17" ht="13.5" thickBot="1">
      <c r="B154" s="9" t="str">
        <f t="shared" si="16"/>
        <v/>
      </c>
      <c r="C154" s="164">
        <f>IF(D93="","-",+C153+1)</f>
        <v>2068</v>
      </c>
      <c r="D154" s="154">
        <f>IF(F153+SUM(E$99:E153)=D$92,F153,D$92-SUM(E$99:E153))</f>
        <v>0</v>
      </c>
      <c r="E154" s="160">
        <f t="shared" si="17"/>
        <v>0</v>
      </c>
      <c r="F154" s="159">
        <f t="shared" si="18"/>
        <v>0</v>
      </c>
      <c r="G154" s="159">
        <f t="shared" si="19"/>
        <v>0</v>
      </c>
      <c r="H154" s="163">
        <f t="shared" si="20"/>
        <v>0</v>
      </c>
      <c r="I154" s="253">
        <f t="shared" si="21"/>
        <v>0</v>
      </c>
      <c r="J154" s="158">
        <f t="shared" si="22"/>
        <v>0</v>
      </c>
      <c r="K154" s="158"/>
      <c r="L154" s="335"/>
      <c r="M154" s="169">
        <f t="shared" si="26"/>
        <v>0</v>
      </c>
      <c r="N154" s="335"/>
      <c r="O154" s="169">
        <f t="shared" si="27"/>
        <v>0</v>
      </c>
      <c r="P154" s="169">
        <f t="shared" si="28"/>
        <v>0</v>
      </c>
      <c r="Q154" s="1"/>
    </row>
    <row r="155" spans="2:17">
      <c r="C155" s="154" t="s">
        <v>73</v>
      </c>
      <c r="D155" s="111"/>
      <c r="E155" s="111">
        <f>SUM(E99:E154)</f>
        <v>8598828</v>
      </c>
      <c r="F155" s="111"/>
      <c r="G155" s="111"/>
      <c r="H155" s="111">
        <f>SUM(H99:H154)</f>
        <v>30863540.790101457</v>
      </c>
      <c r="I155" s="111">
        <f>SUM(I99:I154)</f>
        <v>30863540.790101457</v>
      </c>
      <c r="J155" s="111">
        <f>SUM(J99:J154)</f>
        <v>0</v>
      </c>
      <c r="K155" s="111"/>
      <c r="L155" s="111"/>
      <c r="M155" s="111"/>
      <c r="N155" s="111"/>
      <c r="O155" s="111"/>
      <c r="P155" s="1"/>
      <c r="Q155" s="1"/>
    </row>
    <row r="156" spans="2:17">
      <c r="C156" t="s">
        <v>87</v>
      </c>
      <c r="D156" s="2"/>
      <c r="E156" s="1"/>
      <c r="F156" s="1"/>
      <c r="G156" s="1"/>
      <c r="H156" s="1"/>
      <c r="I156" s="3"/>
      <c r="J156" s="3"/>
      <c r="K156" s="111"/>
      <c r="L156" s="3"/>
      <c r="M156" s="3"/>
      <c r="N156" s="3"/>
      <c r="O156" s="3"/>
      <c r="P156" s="1"/>
      <c r="Q156" s="1"/>
    </row>
    <row r="157" spans="2:17">
      <c r="C157" s="216"/>
      <c r="D157" s="2"/>
      <c r="E157" s="1"/>
      <c r="F157" s="1"/>
      <c r="G157" s="1"/>
      <c r="H157" s="1"/>
      <c r="I157" s="3"/>
      <c r="J157" s="3"/>
      <c r="K157" s="111"/>
      <c r="L157" s="3"/>
      <c r="M157" s="3"/>
      <c r="N157" s="3"/>
      <c r="O157" s="3"/>
      <c r="P157" s="1"/>
      <c r="Q157" s="1"/>
    </row>
    <row r="158" spans="2:17">
      <c r="C158" s="248" t="s">
        <v>127</v>
      </c>
      <c r="D158" s="2"/>
      <c r="E158" s="1"/>
      <c r="F158" s="1"/>
      <c r="G158" s="1"/>
      <c r="H158" s="1"/>
      <c r="I158" s="3"/>
      <c r="J158" s="3"/>
      <c r="K158" s="111"/>
      <c r="L158" s="3"/>
      <c r="M158" s="3"/>
      <c r="N158" s="3"/>
      <c r="O158" s="3"/>
      <c r="P158" s="1"/>
      <c r="Q158" s="1"/>
    </row>
    <row r="159" spans="2:17">
      <c r="C159" s="121" t="s">
        <v>74</v>
      </c>
      <c r="D159" s="154"/>
      <c r="E159" s="154"/>
      <c r="F159" s="154"/>
      <c r="G159" s="154"/>
      <c r="H159" s="111"/>
      <c r="I159" s="111"/>
      <c r="J159" s="171"/>
      <c r="K159" s="171"/>
      <c r="L159" s="171"/>
      <c r="M159" s="171"/>
      <c r="N159" s="171"/>
      <c r="O159" s="171"/>
      <c r="P159" s="1"/>
      <c r="Q159" s="1"/>
    </row>
    <row r="160" spans="2:17">
      <c r="C160" s="217" t="s">
        <v>75</v>
      </c>
      <c r="D160" s="154"/>
      <c r="E160" s="154"/>
      <c r="F160" s="154"/>
      <c r="G160" s="154"/>
      <c r="H160" s="111"/>
      <c r="I160" s="111"/>
      <c r="J160" s="171"/>
      <c r="K160" s="171"/>
      <c r="L160" s="171"/>
      <c r="M160" s="171"/>
      <c r="N160" s="171"/>
      <c r="O160" s="171"/>
      <c r="P160" s="1"/>
      <c r="Q160" s="1"/>
    </row>
    <row r="161" spans="3:17">
      <c r="C161" s="217"/>
      <c r="D161" s="154"/>
      <c r="E161" s="154"/>
      <c r="F161" s="154"/>
      <c r="G161" s="154"/>
      <c r="H161" s="111"/>
      <c r="I161" s="111"/>
      <c r="J161" s="171"/>
      <c r="K161" s="171"/>
      <c r="L161" s="171"/>
      <c r="M161" s="171"/>
      <c r="N161" s="171"/>
      <c r="O161" s="171"/>
      <c r="P161" s="1"/>
      <c r="Q161" s="1"/>
    </row>
    <row r="162" spans="3:17" ht="18">
      <c r="C162" s="217"/>
      <c r="D162" s="154"/>
      <c r="E162" s="154"/>
      <c r="F162" s="154"/>
      <c r="G162" s="154"/>
      <c r="H162" s="111"/>
      <c r="I162" s="111"/>
      <c r="J162" s="171"/>
      <c r="K162" s="171"/>
      <c r="L162" s="171"/>
      <c r="M162" s="171"/>
      <c r="N162" s="171"/>
      <c r="P162" s="245" t="s">
        <v>126</v>
      </c>
      <c r="Q162" s="1"/>
    </row>
  </sheetData>
  <conditionalFormatting sqref="C17:C71">
    <cfRule type="cellIs" dxfId="97" priority="2" stopIfTrue="1" operator="equal">
      <formula>$I$10</formula>
    </cfRule>
  </conditionalFormatting>
  <conditionalFormatting sqref="C99:C154">
    <cfRule type="cellIs" dxfId="96" priority="3" stopIfTrue="1" operator="equal">
      <formula>$J$92</formula>
    </cfRule>
  </conditionalFormatting>
  <conditionalFormatting sqref="C72">
    <cfRule type="cellIs" dxfId="95" priority="1" stopIfTrue="1" operator="equal">
      <formula>$I$10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5"/>
  <dimension ref="A1:Q162"/>
  <sheetViews>
    <sheetView view="pageBreakPreview" zoomScale="75" zoomScaleNormal="100" zoomScaleSheetLayoutView="75" workbookViewId="0">
      <selection activeCell="C19" sqref="C19"/>
    </sheetView>
  </sheetViews>
  <sheetFormatPr defaultRowHeight="12.75" customHeight="1"/>
  <cols>
    <col min="1" max="1" width="4.7109375" customWidth="1"/>
    <col min="2" max="2" width="6.7109375" customWidth="1"/>
    <col min="3" max="3" width="23.28515625" customWidth="1"/>
    <col min="4" max="8" width="17.7109375" customWidth="1"/>
    <col min="9" max="9" width="20.42578125" customWidth="1"/>
    <col min="10" max="10" width="16.42578125" customWidth="1"/>
    <col min="11" max="11" width="17.7109375" customWidth="1"/>
    <col min="12" max="12" width="18" customWidth="1"/>
    <col min="13" max="13" width="17.7109375" customWidth="1"/>
    <col min="14" max="14" width="16.7109375" customWidth="1"/>
    <col min="15" max="15" width="16.85546875" customWidth="1"/>
    <col min="16" max="16" width="24.42578125" customWidth="1"/>
    <col min="17" max="17" width="4.7109375" customWidth="1"/>
    <col min="23" max="23" width="9.140625" customWidth="1"/>
  </cols>
  <sheetData>
    <row r="1" spans="1:17" ht="20.25">
      <c r="A1" s="243" t="s">
        <v>128</v>
      </c>
      <c r="B1" s="1"/>
      <c r="C1" s="21"/>
      <c r="D1" s="2"/>
      <c r="E1" s="1"/>
      <c r="F1" s="99"/>
      <c r="G1" s="1"/>
      <c r="H1" s="3"/>
      <c r="J1" s="7"/>
      <c r="K1" s="109"/>
      <c r="L1" s="109"/>
      <c r="M1" s="109"/>
      <c r="P1" s="249" t="str">
        <f ca="1">"SWEPCO Project "&amp;RIGHT(MID(CELL("filename",$A$1),FIND("]",CELL("filename",$A$1))+1,256),2)&amp;" of "&amp;COUNT('S.001:S.xyz - blank'!$P$3)-1</f>
        <v>SWEPCO Project 35 of 73</v>
      </c>
      <c r="Q1" s="108"/>
    </row>
    <row r="2" spans="1:17" ht="18">
      <c r="B2" s="1"/>
      <c r="C2" s="1"/>
      <c r="D2" s="2"/>
      <c r="E2" s="1"/>
      <c r="F2" s="1"/>
      <c r="G2" s="1"/>
      <c r="H2" s="3"/>
      <c r="I2" s="1"/>
      <c r="J2" s="4"/>
      <c r="K2" s="1"/>
      <c r="L2" s="1"/>
      <c r="M2" s="1"/>
      <c r="N2" s="1"/>
      <c r="P2" s="244" t="s">
        <v>124</v>
      </c>
    </row>
    <row r="3" spans="1:17" ht="18.75">
      <c r="B3" s="5" t="s">
        <v>40</v>
      </c>
      <c r="C3" s="68" t="s">
        <v>41</v>
      </c>
      <c r="D3" s="2"/>
      <c r="E3" s="1"/>
      <c r="F3" s="1"/>
      <c r="G3" s="1"/>
      <c r="H3" s="3"/>
      <c r="I3" s="3"/>
      <c r="J3" s="111"/>
      <c r="K3" s="3"/>
      <c r="L3" s="3"/>
      <c r="M3" s="3"/>
      <c r="N3" s="3"/>
      <c r="O3" s="1"/>
      <c r="P3" s="240">
        <v>1</v>
      </c>
    </row>
    <row r="4" spans="1:17" ht="15.75" thickBot="1">
      <c r="C4" s="67"/>
      <c r="D4" s="2"/>
      <c r="E4" s="1"/>
      <c r="F4" s="1"/>
      <c r="G4" s="1"/>
      <c r="H4" s="3"/>
      <c r="I4" s="3"/>
      <c r="J4" s="111"/>
      <c r="K4" s="3"/>
      <c r="L4" s="3"/>
      <c r="M4" s="3"/>
      <c r="N4" s="3"/>
      <c r="O4" s="1"/>
      <c r="P4" s="1"/>
    </row>
    <row r="5" spans="1:17" ht="15">
      <c r="C5" s="112" t="s">
        <v>42</v>
      </c>
      <c r="D5" s="2"/>
      <c r="E5" s="1"/>
      <c r="F5" s="1"/>
      <c r="G5" s="113"/>
      <c r="H5" s="1" t="s">
        <v>43</v>
      </c>
      <c r="I5" s="1"/>
      <c r="J5" s="4"/>
      <c r="K5" s="268" t="s">
        <v>152</v>
      </c>
      <c r="L5" s="114"/>
      <c r="M5" s="115"/>
      <c r="N5" s="116">
        <f>VLOOKUP(I10,C17:I72,5)</f>
        <v>472563.74534296617</v>
      </c>
      <c r="P5" s="1"/>
    </row>
    <row r="6" spans="1:17" ht="15.75">
      <c r="C6" s="8"/>
      <c r="D6" s="2"/>
      <c r="E6" s="1"/>
      <c r="F6" s="1"/>
      <c r="G6" s="1"/>
      <c r="H6" s="117"/>
      <c r="I6" s="117"/>
      <c r="J6" s="118"/>
      <c r="K6" s="269" t="s">
        <v>153</v>
      </c>
      <c r="L6" s="119"/>
      <c r="M6" s="4"/>
      <c r="N6" s="120">
        <f>VLOOKUP(I10,C17:I72,6)</f>
        <v>472563.74534296617</v>
      </c>
      <c r="O6" s="1"/>
      <c r="P6" s="1"/>
    </row>
    <row r="7" spans="1:17" ht="13.5" thickBot="1">
      <c r="C7" s="121" t="s">
        <v>44</v>
      </c>
      <c r="D7" s="386" t="s">
        <v>285</v>
      </c>
      <c r="E7" s="379"/>
      <c r="F7" s="379"/>
      <c r="G7" s="1"/>
      <c r="H7" s="3"/>
      <c r="I7" s="3"/>
      <c r="J7" s="111"/>
      <c r="K7" s="122" t="s">
        <v>45</v>
      </c>
      <c r="L7" s="123"/>
      <c r="M7" s="123"/>
      <c r="N7" s="124">
        <f>+N6-N5</f>
        <v>0</v>
      </c>
      <c r="O7" s="1"/>
      <c r="P7" s="1"/>
    </row>
    <row r="8" spans="1:17" ht="13.5" thickBot="1">
      <c r="C8" s="125"/>
      <c r="D8" s="352" t="str">
        <f>IF(D10&lt;100000,"DOES NOT MEET SPP $100,000 MINIMUM INVESTMENT FOR REGIONAL BPU SHARING.","")</f>
        <v/>
      </c>
      <c r="E8" s="126"/>
      <c r="F8" s="126"/>
      <c r="G8" s="126"/>
      <c r="H8" s="126"/>
      <c r="I8" s="126"/>
      <c r="J8" s="101"/>
      <c r="K8" s="126"/>
      <c r="L8" s="126"/>
      <c r="M8" s="126"/>
      <c r="N8" s="126"/>
      <c r="O8" s="101"/>
      <c r="P8" s="21"/>
    </row>
    <row r="9" spans="1:17" ht="13.5" thickBot="1">
      <c r="C9" s="127" t="s">
        <v>46</v>
      </c>
      <c r="D9" s="225" t="s">
        <v>287</v>
      </c>
      <c r="E9" s="401" t="s">
        <v>426</v>
      </c>
      <c r="F9" s="128"/>
      <c r="G9" s="128"/>
      <c r="H9" s="128"/>
      <c r="I9" s="129"/>
      <c r="J9" s="130"/>
      <c r="O9" s="131"/>
      <c r="P9" s="4"/>
    </row>
    <row r="10" spans="1:17">
      <c r="C10" s="132" t="s">
        <v>47</v>
      </c>
      <c r="D10" s="133">
        <v>4344850</v>
      </c>
      <c r="E10" s="61" t="s">
        <v>459</v>
      </c>
      <c r="F10" s="131"/>
      <c r="G10" s="134"/>
      <c r="H10" s="134"/>
      <c r="I10" s="135">
        <f>+SWE.WS.F.BPU.ATRR.Projected!K17</f>
        <v>2019</v>
      </c>
      <c r="J10" s="130"/>
      <c r="K10" s="111" t="s">
        <v>48</v>
      </c>
      <c r="O10" s="4"/>
      <c r="P10" s="4"/>
    </row>
    <row r="11" spans="1:17">
      <c r="C11" s="136" t="s">
        <v>49</v>
      </c>
      <c r="D11" s="137">
        <v>2013</v>
      </c>
      <c r="E11" s="136" t="s">
        <v>50</v>
      </c>
      <c r="F11" s="134"/>
      <c r="G11" s="7"/>
      <c r="H11" s="7"/>
      <c r="I11" s="138">
        <f>IF(G5="",0,SWE.WS.F.BPU.ATRR.Projected!F$11)</f>
        <v>0</v>
      </c>
      <c r="J11" s="139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4"/>
      <c r="P11" s="4"/>
    </row>
    <row r="12" spans="1:17">
      <c r="C12" s="136" t="s">
        <v>51</v>
      </c>
      <c r="D12" s="133">
        <v>6</v>
      </c>
      <c r="E12" s="136" t="s">
        <v>52</v>
      </c>
      <c r="F12" s="134"/>
      <c r="G12" s="7"/>
      <c r="H12" s="7"/>
      <c r="I12" s="140">
        <f>SWE.WS.F.BPU.ATRR.Projected!$F$76</f>
        <v>9.9555672459071778E-2</v>
      </c>
      <c r="J12" s="141"/>
      <c r="K12" t="s">
        <v>53</v>
      </c>
      <c r="O12" s="4"/>
      <c r="P12" s="4"/>
    </row>
    <row r="13" spans="1:17">
      <c r="C13" s="136" t="s">
        <v>54</v>
      </c>
      <c r="D13" s="138">
        <f>+SWE.WS.F.BPU.ATRR.Projected!F$87</f>
        <v>43</v>
      </c>
      <c r="E13" s="136" t="s">
        <v>55</v>
      </c>
      <c r="F13" s="134"/>
      <c r="G13" s="7"/>
      <c r="H13" s="7"/>
      <c r="I13" s="140">
        <f>IF(G5="",I12,SWE.WS.F.BPU.ATRR.Projected!$F$75)</f>
        <v>9.9555672459071778E-2</v>
      </c>
      <c r="J13" s="141"/>
      <c r="K13" s="111" t="s">
        <v>56</v>
      </c>
      <c r="L13" s="58"/>
      <c r="M13" s="58"/>
      <c r="N13" s="58"/>
      <c r="O13" s="4"/>
      <c r="P13" s="4"/>
    </row>
    <row r="14" spans="1:17" ht="13.5" thickBot="1">
      <c r="C14" s="136" t="s">
        <v>57</v>
      </c>
      <c r="D14" s="137" t="s">
        <v>58</v>
      </c>
      <c r="E14" s="4" t="s">
        <v>59</v>
      </c>
      <c r="F14" s="134"/>
      <c r="G14" s="7"/>
      <c r="H14" s="7"/>
      <c r="I14" s="142">
        <f>IF(D10=0,0,D10/D13)</f>
        <v>101043.02325581395</v>
      </c>
      <c r="J14" s="111"/>
      <c r="K14" s="111"/>
      <c r="L14" s="111"/>
      <c r="M14" s="111"/>
      <c r="N14" s="111"/>
      <c r="O14" s="4"/>
      <c r="P14" s="4"/>
    </row>
    <row r="15" spans="1:17" ht="38.25">
      <c r="C15" s="143" t="s">
        <v>47</v>
      </c>
      <c r="D15" s="144" t="s">
        <v>60</v>
      </c>
      <c r="E15" s="144" t="s">
        <v>61</v>
      </c>
      <c r="F15" s="144" t="s">
        <v>62</v>
      </c>
      <c r="G15" s="434" t="s">
        <v>378</v>
      </c>
      <c r="H15" s="435" t="s">
        <v>379</v>
      </c>
      <c r="I15" s="143" t="s">
        <v>63</v>
      </c>
      <c r="J15" s="145"/>
      <c r="K15" s="271" t="s">
        <v>219</v>
      </c>
      <c r="L15" s="146" t="s">
        <v>64</v>
      </c>
      <c r="M15" s="271" t="s">
        <v>219</v>
      </c>
      <c r="N15" s="146" t="s">
        <v>64</v>
      </c>
      <c r="O15" s="146" t="s">
        <v>65</v>
      </c>
      <c r="P15" s="4"/>
    </row>
    <row r="16" spans="1:17" ht="13.5" thickBot="1">
      <c r="C16" s="147" t="s">
        <v>66</v>
      </c>
      <c r="D16" s="147" t="s">
        <v>67</v>
      </c>
      <c r="E16" s="147" t="s">
        <v>68</v>
      </c>
      <c r="F16" s="147" t="s">
        <v>67</v>
      </c>
      <c r="G16" s="408" t="s">
        <v>69</v>
      </c>
      <c r="H16" s="148" t="s">
        <v>70</v>
      </c>
      <c r="I16" s="149" t="s">
        <v>89</v>
      </c>
      <c r="J16" s="150" t="s">
        <v>71</v>
      </c>
      <c r="K16" s="151" t="s">
        <v>72</v>
      </c>
      <c r="L16" s="151" t="s">
        <v>72</v>
      </c>
      <c r="M16" s="151" t="s">
        <v>90</v>
      </c>
      <c r="N16" s="152" t="s">
        <v>90</v>
      </c>
      <c r="O16" s="151" t="s">
        <v>90</v>
      </c>
      <c r="P16" s="4"/>
    </row>
    <row r="17" spans="2:16">
      <c r="C17" s="153">
        <f>IF(D11= "","-",D11)</f>
        <v>2013</v>
      </c>
      <c r="D17" s="393">
        <v>3795000</v>
      </c>
      <c r="E17" s="394">
        <v>45178.571428571428</v>
      </c>
      <c r="F17" s="393">
        <v>3749821.4285714286</v>
      </c>
      <c r="G17" s="394">
        <v>570105.1315196018</v>
      </c>
      <c r="H17" s="395">
        <v>570105.1315196018</v>
      </c>
      <c r="I17" s="404">
        <v>0</v>
      </c>
      <c r="J17" s="156"/>
      <c r="K17" s="256">
        <f t="shared" ref="K17:K22" si="0">G17</f>
        <v>570105.1315196018</v>
      </c>
      <c r="L17" s="172">
        <f t="shared" ref="L17:L22" si="1">IF(K17&lt;&gt;0,+G17-K17,0)</f>
        <v>0</v>
      </c>
      <c r="M17" s="256">
        <f t="shared" ref="M17:M22" si="2">H17</f>
        <v>570105.1315196018</v>
      </c>
      <c r="N17" s="157">
        <f t="shared" ref="N17:N22" si="3">IF(M17&lt;&gt;0,+H17-M17,0)</f>
        <v>0</v>
      </c>
      <c r="O17" s="158">
        <f t="shared" ref="O17:O22" si="4">+N17-L17</f>
        <v>0</v>
      </c>
      <c r="P17" s="4"/>
    </row>
    <row r="18" spans="2:16">
      <c r="B18" s="9" t="str">
        <f>IF(D18=F17,"","IU")</f>
        <v/>
      </c>
      <c r="C18" s="153">
        <f>IF(D11="","-",+C17+1)</f>
        <v>2014</v>
      </c>
      <c r="D18" s="393">
        <v>3749821.4285714286</v>
      </c>
      <c r="E18" s="397">
        <v>103448.73809523809</v>
      </c>
      <c r="F18" s="393">
        <v>3646372.6904761908</v>
      </c>
      <c r="G18" s="397">
        <v>595382.73103628133</v>
      </c>
      <c r="H18" s="395">
        <v>595382.73103628133</v>
      </c>
      <c r="I18" s="404">
        <v>0</v>
      </c>
      <c r="J18" s="156"/>
      <c r="K18" s="258">
        <f t="shared" si="0"/>
        <v>595382.73103628133</v>
      </c>
      <c r="L18" s="257">
        <f t="shared" si="1"/>
        <v>0</v>
      </c>
      <c r="M18" s="258">
        <f t="shared" si="2"/>
        <v>595382.73103628133</v>
      </c>
      <c r="N18" s="158">
        <f t="shared" si="3"/>
        <v>0</v>
      </c>
      <c r="O18" s="158">
        <f t="shared" si="4"/>
        <v>0</v>
      </c>
      <c r="P18" s="4"/>
    </row>
    <row r="19" spans="2:16">
      <c r="B19" s="9" t="str">
        <f>IF(D19=F18,"","IU")</f>
        <v/>
      </c>
      <c r="C19" s="153">
        <f>IF(D11="","-",+C18+1)</f>
        <v>2015</v>
      </c>
      <c r="D19" s="393">
        <v>3646372.6904761908</v>
      </c>
      <c r="E19" s="397">
        <v>103448.80952380953</v>
      </c>
      <c r="F19" s="393">
        <v>3542923.8809523811</v>
      </c>
      <c r="G19" s="397">
        <v>570068.89413461182</v>
      </c>
      <c r="H19" s="395">
        <v>570068.89413461182</v>
      </c>
      <c r="I19" s="156">
        <v>0</v>
      </c>
      <c r="J19" s="156"/>
      <c r="K19" s="258">
        <f t="shared" si="0"/>
        <v>570068.89413461182</v>
      </c>
      <c r="L19" s="257">
        <f t="shared" si="1"/>
        <v>0</v>
      </c>
      <c r="M19" s="258">
        <f t="shared" si="2"/>
        <v>570068.89413461182</v>
      </c>
      <c r="N19" s="158">
        <f t="shared" si="3"/>
        <v>0</v>
      </c>
      <c r="O19" s="158">
        <f t="shared" si="4"/>
        <v>0</v>
      </c>
      <c r="P19" s="4"/>
    </row>
    <row r="20" spans="2:16">
      <c r="B20" s="9" t="str">
        <f t="shared" ref="B20:B72" si="5">IF(D20=F19,"","IU")</f>
        <v>IU</v>
      </c>
      <c r="C20" s="153">
        <f>IF(D11="","-",+C19+1)</f>
        <v>2016</v>
      </c>
      <c r="D20" s="393">
        <v>4092773.8809523811</v>
      </c>
      <c r="E20" s="397">
        <v>103448.80952380953</v>
      </c>
      <c r="F20" s="393">
        <v>3989325.0714285714</v>
      </c>
      <c r="G20" s="397">
        <v>628862.07408133126</v>
      </c>
      <c r="H20" s="395">
        <v>628862.07408133126</v>
      </c>
      <c r="I20" s="156">
        <v>0</v>
      </c>
      <c r="J20" s="156"/>
      <c r="K20" s="258">
        <f t="shared" si="0"/>
        <v>628862.07408133126</v>
      </c>
      <c r="L20" s="257">
        <f t="shared" si="1"/>
        <v>0</v>
      </c>
      <c r="M20" s="258">
        <f t="shared" si="2"/>
        <v>628862.07408133126</v>
      </c>
      <c r="N20" s="158">
        <f t="shared" si="3"/>
        <v>0</v>
      </c>
      <c r="O20" s="158">
        <f t="shared" si="4"/>
        <v>0</v>
      </c>
      <c r="P20" s="4"/>
    </row>
    <row r="21" spans="2:16">
      <c r="B21" s="9" t="str">
        <f t="shared" si="5"/>
        <v/>
      </c>
      <c r="C21" s="153">
        <f>IF(D11="","-",+C20+1)</f>
        <v>2017</v>
      </c>
      <c r="D21" s="393">
        <v>3989325.0714285714</v>
      </c>
      <c r="E21" s="397">
        <v>101043.02325581395</v>
      </c>
      <c r="F21" s="393">
        <v>3888282.0481727575</v>
      </c>
      <c r="G21" s="397">
        <v>589031.37569687236</v>
      </c>
      <c r="H21" s="395">
        <v>589031.37569687236</v>
      </c>
      <c r="I21" s="156">
        <v>0</v>
      </c>
      <c r="J21" s="156"/>
      <c r="K21" s="258">
        <f t="shared" si="0"/>
        <v>589031.37569687236</v>
      </c>
      <c r="L21" s="257">
        <f t="shared" si="1"/>
        <v>0</v>
      </c>
      <c r="M21" s="258">
        <f t="shared" si="2"/>
        <v>589031.37569687236</v>
      </c>
      <c r="N21" s="158">
        <f t="shared" si="3"/>
        <v>0</v>
      </c>
      <c r="O21" s="158">
        <f t="shared" si="4"/>
        <v>0</v>
      </c>
      <c r="P21" s="4"/>
    </row>
    <row r="22" spans="2:16">
      <c r="B22" s="9" t="str">
        <f t="shared" si="5"/>
        <v/>
      </c>
      <c r="C22" s="153">
        <f>IF(D11="","-",+C21+1)</f>
        <v>2018</v>
      </c>
      <c r="D22" s="393">
        <v>3888282.0481727575</v>
      </c>
      <c r="E22" s="397">
        <v>105971.95121951219</v>
      </c>
      <c r="F22" s="393">
        <v>3782310.0969532453</v>
      </c>
      <c r="G22" s="397">
        <v>535081.02256269893</v>
      </c>
      <c r="H22" s="395">
        <v>535081.02256269893</v>
      </c>
      <c r="I22" s="156">
        <f t="shared" ref="I22:I72" si="6">H22-G22</f>
        <v>0</v>
      </c>
      <c r="J22" s="156"/>
      <c r="K22" s="258">
        <f t="shared" si="0"/>
        <v>535081.02256269893</v>
      </c>
      <c r="L22" s="257">
        <f t="shared" si="1"/>
        <v>0</v>
      </c>
      <c r="M22" s="258">
        <f t="shared" si="2"/>
        <v>535081.02256269893</v>
      </c>
      <c r="N22" s="158">
        <f t="shared" si="3"/>
        <v>0</v>
      </c>
      <c r="O22" s="158">
        <f t="shared" si="4"/>
        <v>0</v>
      </c>
      <c r="P22" s="4"/>
    </row>
    <row r="23" spans="2:16">
      <c r="B23" s="9" t="str">
        <f t="shared" si="5"/>
        <v/>
      </c>
      <c r="C23" s="153">
        <f>IF(D11="","-",+C22+1)</f>
        <v>2019</v>
      </c>
      <c r="D23" s="159">
        <f>IF(F22+SUM(E$17:E22)=D$10,F22,D$10-SUM(E$17:E22))</f>
        <v>3782310.0969532453</v>
      </c>
      <c r="E23" s="160">
        <f t="shared" ref="E23:E72" si="7">IF(+$I$14&lt;F22,$I$14,D23)</f>
        <v>101043.02325581395</v>
      </c>
      <c r="F23" s="159">
        <f t="shared" ref="F23:F72" si="8">+D23-E23</f>
        <v>3681267.0736974315</v>
      </c>
      <c r="G23" s="161">
        <f t="shared" ref="G23:G52" si="9">+I$12*((D23+F23)/2)+E23</f>
        <v>472563.74534296617</v>
      </c>
      <c r="H23" s="142">
        <f t="shared" ref="H23:H52" si="10">+I$13*((D23+F23)/2)+E23</f>
        <v>472563.74534296617</v>
      </c>
      <c r="I23" s="156">
        <f t="shared" si="6"/>
        <v>0</v>
      </c>
      <c r="J23" s="156"/>
      <c r="K23" s="334"/>
      <c r="L23" s="158">
        <f t="shared" ref="L23:L72" si="11">IF(K23&lt;&gt;0,+G23-K23,0)</f>
        <v>0</v>
      </c>
      <c r="M23" s="334"/>
      <c r="N23" s="158">
        <f t="shared" ref="N23:N72" si="12">IF(M23&lt;&gt;0,+H23-M23,0)</f>
        <v>0</v>
      </c>
      <c r="O23" s="158">
        <f t="shared" ref="O23:O72" si="13">+N23-L23</f>
        <v>0</v>
      </c>
      <c r="P23" s="4"/>
    </row>
    <row r="24" spans="2:16">
      <c r="B24" s="9" t="str">
        <f t="shared" si="5"/>
        <v/>
      </c>
      <c r="C24" s="153">
        <f>IF(D11="","-",+C23+1)</f>
        <v>2020</v>
      </c>
      <c r="D24" s="159">
        <f>IF(F23+SUM(E$17:E23)=D$10,F23,D$10-SUM(E$17:E23))</f>
        <v>3681267.0736974315</v>
      </c>
      <c r="E24" s="160">
        <f t="shared" si="7"/>
        <v>101043.02325581395</v>
      </c>
      <c r="F24" s="159">
        <f t="shared" si="8"/>
        <v>3580224.0504416176</v>
      </c>
      <c r="G24" s="161">
        <f t="shared" si="9"/>
        <v>462504.33921543602</v>
      </c>
      <c r="H24" s="142">
        <f t="shared" si="10"/>
        <v>462504.33921543602</v>
      </c>
      <c r="I24" s="156">
        <f t="shared" si="6"/>
        <v>0</v>
      </c>
      <c r="J24" s="156"/>
      <c r="K24" s="334"/>
      <c r="L24" s="158">
        <f t="shared" si="11"/>
        <v>0</v>
      </c>
      <c r="M24" s="334"/>
      <c r="N24" s="158">
        <f t="shared" si="12"/>
        <v>0</v>
      </c>
      <c r="O24" s="158">
        <f t="shared" si="13"/>
        <v>0</v>
      </c>
      <c r="P24" s="4"/>
    </row>
    <row r="25" spans="2:16">
      <c r="B25" s="9" t="str">
        <f t="shared" si="5"/>
        <v/>
      </c>
      <c r="C25" s="153">
        <f>IF(D11="","-",+C24+1)</f>
        <v>2021</v>
      </c>
      <c r="D25" s="159">
        <f>IF(F24+SUM(E$17:E24)=D$10,F24,D$10-SUM(E$17:E24))</f>
        <v>3580224.0504416176</v>
      </c>
      <c r="E25" s="160">
        <f t="shared" si="7"/>
        <v>101043.02325581395</v>
      </c>
      <c r="F25" s="159">
        <f t="shared" si="8"/>
        <v>3479181.0271858037</v>
      </c>
      <c r="G25" s="161">
        <f t="shared" si="9"/>
        <v>452444.93308790587</v>
      </c>
      <c r="H25" s="142">
        <f t="shared" si="10"/>
        <v>452444.93308790587</v>
      </c>
      <c r="I25" s="156">
        <f t="shared" si="6"/>
        <v>0</v>
      </c>
      <c r="J25" s="156"/>
      <c r="K25" s="334"/>
      <c r="L25" s="158">
        <f t="shared" si="11"/>
        <v>0</v>
      </c>
      <c r="M25" s="334"/>
      <c r="N25" s="158">
        <f t="shared" si="12"/>
        <v>0</v>
      </c>
      <c r="O25" s="158">
        <f t="shared" si="13"/>
        <v>0</v>
      </c>
      <c r="P25" s="4"/>
    </row>
    <row r="26" spans="2:16">
      <c r="B26" s="9" t="str">
        <f t="shared" si="5"/>
        <v/>
      </c>
      <c r="C26" s="153">
        <f>IF(D11="","-",+C25+1)</f>
        <v>2022</v>
      </c>
      <c r="D26" s="159">
        <f>IF(F25+SUM(E$17:E25)=D$10,F25,D$10-SUM(E$17:E25))</f>
        <v>3479181.0271858037</v>
      </c>
      <c r="E26" s="160">
        <f t="shared" si="7"/>
        <v>101043.02325581395</v>
      </c>
      <c r="F26" s="159">
        <f t="shared" si="8"/>
        <v>3378138.0039299899</v>
      </c>
      <c r="G26" s="161">
        <f t="shared" si="9"/>
        <v>442385.5269603756</v>
      </c>
      <c r="H26" s="142">
        <f t="shared" si="10"/>
        <v>442385.5269603756</v>
      </c>
      <c r="I26" s="156">
        <f t="shared" si="6"/>
        <v>0</v>
      </c>
      <c r="J26" s="156"/>
      <c r="K26" s="334"/>
      <c r="L26" s="158">
        <f t="shared" si="11"/>
        <v>0</v>
      </c>
      <c r="M26" s="334"/>
      <c r="N26" s="158">
        <f t="shared" si="12"/>
        <v>0</v>
      </c>
      <c r="O26" s="158">
        <f t="shared" si="13"/>
        <v>0</v>
      </c>
      <c r="P26" s="4"/>
    </row>
    <row r="27" spans="2:16">
      <c r="B27" s="9" t="str">
        <f t="shared" si="5"/>
        <v/>
      </c>
      <c r="C27" s="153">
        <f>IF(D11="","-",+C26+1)</f>
        <v>2023</v>
      </c>
      <c r="D27" s="159">
        <f>IF(F26+SUM(E$17:E26)=D$10,F26,D$10-SUM(E$17:E26))</f>
        <v>3378138.0039299899</v>
      </c>
      <c r="E27" s="160">
        <f t="shared" si="7"/>
        <v>101043.02325581395</v>
      </c>
      <c r="F27" s="159">
        <f t="shared" si="8"/>
        <v>3277094.980674176</v>
      </c>
      <c r="G27" s="161">
        <f t="shared" si="9"/>
        <v>432326.12083284545</v>
      </c>
      <c r="H27" s="142">
        <f t="shared" si="10"/>
        <v>432326.12083284545</v>
      </c>
      <c r="I27" s="156">
        <f t="shared" si="6"/>
        <v>0</v>
      </c>
      <c r="J27" s="156"/>
      <c r="K27" s="334"/>
      <c r="L27" s="158">
        <f t="shared" si="11"/>
        <v>0</v>
      </c>
      <c r="M27" s="334"/>
      <c r="N27" s="158">
        <f t="shared" si="12"/>
        <v>0</v>
      </c>
      <c r="O27" s="158">
        <f t="shared" si="13"/>
        <v>0</v>
      </c>
      <c r="P27" s="4"/>
    </row>
    <row r="28" spans="2:16">
      <c r="B28" s="9" t="str">
        <f t="shared" si="5"/>
        <v/>
      </c>
      <c r="C28" s="153">
        <f>IF(D11="","-",+C27+1)</f>
        <v>2024</v>
      </c>
      <c r="D28" s="159">
        <f>IF(F27+SUM(E$17:E27)=D$10,F27,D$10-SUM(E$17:E27))</f>
        <v>3277094.980674176</v>
      </c>
      <c r="E28" s="160">
        <f t="shared" si="7"/>
        <v>101043.02325581395</v>
      </c>
      <c r="F28" s="159">
        <f t="shared" si="8"/>
        <v>3176051.9574183621</v>
      </c>
      <c r="G28" s="161">
        <f t="shared" si="9"/>
        <v>422266.7147053153</v>
      </c>
      <c r="H28" s="142">
        <f t="shared" si="10"/>
        <v>422266.7147053153</v>
      </c>
      <c r="I28" s="156">
        <f t="shared" si="6"/>
        <v>0</v>
      </c>
      <c r="J28" s="156"/>
      <c r="K28" s="334"/>
      <c r="L28" s="158">
        <f t="shared" si="11"/>
        <v>0</v>
      </c>
      <c r="M28" s="334"/>
      <c r="N28" s="158">
        <f t="shared" si="12"/>
        <v>0</v>
      </c>
      <c r="O28" s="158">
        <f t="shared" si="13"/>
        <v>0</v>
      </c>
      <c r="P28" s="4"/>
    </row>
    <row r="29" spans="2:16">
      <c r="B29" s="9" t="str">
        <f t="shared" si="5"/>
        <v/>
      </c>
      <c r="C29" s="153">
        <f>IF(D11="","-",+C28+1)</f>
        <v>2025</v>
      </c>
      <c r="D29" s="159">
        <f>IF(F28+SUM(E$17:E28)=D$10,F28,D$10-SUM(E$17:E28))</f>
        <v>3176051.9574183621</v>
      </c>
      <c r="E29" s="160">
        <f t="shared" si="7"/>
        <v>101043.02325581395</v>
      </c>
      <c r="F29" s="159">
        <f t="shared" si="8"/>
        <v>3075008.9341625483</v>
      </c>
      <c r="G29" s="161">
        <f t="shared" si="9"/>
        <v>412207.30857778515</v>
      </c>
      <c r="H29" s="142">
        <f t="shared" si="10"/>
        <v>412207.30857778515</v>
      </c>
      <c r="I29" s="156">
        <f t="shared" si="6"/>
        <v>0</v>
      </c>
      <c r="J29" s="156"/>
      <c r="K29" s="334"/>
      <c r="L29" s="158">
        <f t="shared" si="11"/>
        <v>0</v>
      </c>
      <c r="M29" s="334"/>
      <c r="N29" s="158">
        <f t="shared" si="12"/>
        <v>0</v>
      </c>
      <c r="O29" s="158">
        <f t="shared" si="13"/>
        <v>0</v>
      </c>
      <c r="P29" s="4"/>
    </row>
    <row r="30" spans="2:16">
      <c r="B30" s="9" t="str">
        <f t="shared" si="5"/>
        <v/>
      </c>
      <c r="C30" s="153">
        <f>IF(D11="","-",+C29+1)</f>
        <v>2026</v>
      </c>
      <c r="D30" s="159">
        <f>IF(F29+SUM(E$17:E29)=D$10,F29,D$10-SUM(E$17:E29))</f>
        <v>3075008.9341625483</v>
      </c>
      <c r="E30" s="160">
        <f t="shared" si="7"/>
        <v>101043.02325581395</v>
      </c>
      <c r="F30" s="159">
        <f t="shared" si="8"/>
        <v>2973965.9109067344</v>
      </c>
      <c r="G30" s="161">
        <f t="shared" si="9"/>
        <v>402147.90245025489</v>
      </c>
      <c r="H30" s="142">
        <f t="shared" si="10"/>
        <v>402147.90245025489</v>
      </c>
      <c r="I30" s="156">
        <f t="shared" si="6"/>
        <v>0</v>
      </c>
      <c r="J30" s="156"/>
      <c r="K30" s="334"/>
      <c r="L30" s="158">
        <f t="shared" si="11"/>
        <v>0</v>
      </c>
      <c r="M30" s="334"/>
      <c r="N30" s="158">
        <f t="shared" si="12"/>
        <v>0</v>
      </c>
      <c r="O30" s="158">
        <f t="shared" si="13"/>
        <v>0</v>
      </c>
      <c r="P30" s="4"/>
    </row>
    <row r="31" spans="2:16">
      <c r="B31" s="9" t="str">
        <f t="shared" si="5"/>
        <v/>
      </c>
      <c r="C31" s="153">
        <f>IF(D11="","-",+C30+1)</f>
        <v>2027</v>
      </c>
      <c r="D31" s="159">
        <f>IF(F30+SUM(E$17:E30)=D$10,F30,D$10-SUM(E$17:E30))</f>
        <v>2973965.9109067344</v>
      </c>
      <c r="E31" s="160">
        <f t="shared" si="7"/>
        <v>101043.02325581395</v>
      </c>
      <c r="F31" s="159">
        <f t="shared" si="8"/>
        <v>2872922.8876509205</v>
      </c>
      <c r="G31" s="161">
        <f t="shared" si="9"/>
        <v>392088.49632272474</v>
      </c>
      <c r="H31" s="142">
        <f t="shared" si="10"/>
        <v>392088.49632272474</v>
      </c>
      <c r="I31" s="156">
        <f t="shared" si="6"/>
        <v>0</v>
      </c>
      <c r="J31" s="156"/>
      <c r="K31" s="334"/>
      <c r="L31" s="158">
        <f t="shared" si="11"/>
        <v>0</v>
      </c>
      <c r="M31" s="334"/>
      <c r="N31" s="158">
        <f t="shared" si="12"/>
        <v>0</v>
      </c>
      <c r="O31" s="158">
        <f t="shared" si="13"/>
        <v>0</v>
      </c>
      <c r="P31" s="4"/>
    </row>
    <row r="32" spans="2:16">
      <c r="B32" s="9" t="str">
        <f t="shared" si="5"/>
        <v/>
      </c>
      <c r="C32" s="153">
        <f>IF(D11="","-",+C31+1)</f>
        <v>2028</v>
      </c>
      <c r="D32" s="159">
        <f>IF(F31+SUM(E$17:E31)=D$10,F31,D$10-SUM(E$17:E31))</f>
        <v>2872922.8876509205</v>
      </c>
      <c r="E32" s="160">
        <f t="shared" si="7"/>
        <v>101043.02325581395</v>
      </c>
      <c r="F32" s="159">
        <f t="shared" si="8"/>
        <v>2771879.8643951067</v>
      </c>
      <c r="G32" s="161">
        <f t="shared" si="9"/>
        <v>382029.09019519459</v>
      </c>
      <c r="H32" s="142">
        <f t="shared" si="10"/>
        <v>382029.09019519459</v>
      </c>
      <c r="I32" s="156">
        <f t="shared" si="6"/>
        <v>0</v>
      </c>
      <c r="J32" s="156"/>
      <c r="K32" s="334"/>
      <c r="L32" s="158">
        <f t="shared" si="11"/>
        <v>0</v>
      </c>
      <c r="M32" s="334"/>
      <c r="N32" s="158">
        <f t="shared" si="12"/>
        <v>0</v>
      </c>
      <c r="O32" s="158">
        <f t="shared" si="13"/>
        <v>0</v>
      </c>
      <c r="P32" s="4"/>
    </row>
    <row r="33" spans="2:16">
      <c r="B33" s="9" t="str">
        <f t="shared" si="5"/>
        <v/>
      </c>
      <c r="C33" s="153">
        <f>IF(D11="","-",+C32+1)</f>
        <v>2029</v>
      </c>
      <c r="D33" s="159">
        <f>IF(F32+SUM(E$17:E32)=D$10,F32,D$10-SUM(E$17:E32))</f>
        <v>2771879.8643951067</v>
      </c>
      <c r="E33" s="160">
        <f t="shared" si="7"/>
        <v>101043.02325581395</v>
      </c>
      <c r="F33" s="159">
        <f t="shared" si="8"/>
        <v>2670836.8411392928</v>
      </c>
      <c r="G33" s="161">
        <f t="shared" si="9"/>
        <v>371969.68406766444</v>
      </c>
      <c r="H33" s="142">
        <f t="shared" si="10"/>
        <v>371969.68406766444</v>
      </c>
      <c r="I33" s="156">
        <f t="shared" si="6"/>
        <v>0</v>
      </c>
      <c r="J33" s="156"/>
      <c r="K33" s="334"/>
      <c r="L33" s="158">
        <f t="shared" si="11"/>
        <v>0</v>
      </c>
      <c r="M33" s="334"/>
      <c r="N33" s="158">
        <f t="shared" si="12"/>
        <v>0</v>
      </c>
      <c r="O33" s="158">
        <f t="shared" si="13"/>
        <v>0</v>
      </c>
      <c r="P33" s="4"/>
    </row>
    <row r="34" spans="2:16">
      <c r="B34" s="9" t="str">
        <f t="shared" si="5"/>
        <v/>
      </c>
      <c r="C34" s="153">
        <f>IF(D11="","-",+C33+1)</f>
        <v>2030</v>
      </c>
      <c r="D34" s="159">
        <f>IF(F33+SUM(E$17:E33)=D$10,F33,D$10-SUM(E$17:E33))</f>
        <v>2670836.8411392928</v>
      </c>
      <c r="E34" s="160">
        <f t="shared" si="7"/>
        <v>101043.02325581395</v>
      </c>
      <c r="F34" s="159">
        <f t="shared" si="8"/>
        <v>2569793.8178834789</v>
      </c>
      <c r="G34" s="161">
        <f t="shared" si="9"/>
        <v>361910.27794013423</v>
      </c>
      <c r="H34" s="142">
        <f t="shared" si="10"/>
        <v>361910.27794013423</v>
      </c>
      <c r="I34" s="156">
        <f t="shared" si="6"/>
        <v>0</v>
      </c>
      <c r="J34" s="156"/>
      <c r="K34" s="334"/>
      <c r="L34" s="158">
        <f t="shared" si="11"/>
        <v>0</v>
      </c>
      <c r="M34" s="334"/>
      <c r="N34" s="158">
        <f t="shared" si="12"/>
        <v>0</v>
      </c>
      <c r="O34" s="158">
        <f t="shared" si="13"/>
        <v>0</v>
      </c>
      <c r="P34" s="4"/>
    </row>
    <row r="35" spans="2:16">
      <c r="B35" s="9" t="str">
        <f t="shared" si="5"/>
        <v/>
      </c>
      <c r="C35" s="153">
        <f>IF(D11="","-",+C34+1)</f>
        <v>2031</v>
      </c>
      <c r="D35" s="159">
        <f>IF(F34+SUM(E$17:E34)=D$10,F34,D$10-SUM(E$17:E34))</f>
        <v>2569793.8178834789</v>
      </c>
      <c r="E35" s="160">
        <f t="shared" si="7"/>
        <v>101043.02325581395</v>
      </c>
      <c r="F35" s="159">
        <f t="shared" si="8"/>
        <v>2468750.7946276651</v>
      </c>
      <c r="G35" s="161">
        <f t="shared" si="9"/>
        <v>351850.87181260402</v>
      </c>
      <c r="H35" s="142">
        <f t="shared" si="10"/>
        <v>351850.87181260402</v>
      </c>
      <c r="I35" s="156">
        <f t="shared" si="6"/>
        <v>0</v>
      </c>
      <c r="J35" s="156"/>
      <c r="K35" s="334"/>
      <c r="L35" s="158">
        <f t="shared" si="11"/>
        <v>0</v>
      </c>
      <c r="M35" s="334"/>
      <c r="N35" s="158">
        <f t="shared" si="12"/>
        <v>0</v>
      </c>
      <c r="O35" s="158">
        <f t="shared" si="13"/>
        <v>0</v>
      </c>
      <c r="P35" s="4"/>
    </row>
    <row r="36" spans="2:16">
      <c r="B36" s="9" t="str">
        <f t="shared" si="5"/>
        <v/>
      </c>
      <c r="C36" s="153">
        <f>IF(D11="","-",+C35+1)</f>
        <v>2032</v>
      </c>
      <c r="D36" s="159">
        <f>IF(F35+SUM(E$17:E35)=D$10,F35,D$10-SUM(E$17:E35))</f>
        <v>2468750.7946276651</v>
      </c>
      <c r="E36" s="160">
        <f t="shared" si="7"/>
        <v>101043.02325581395</v>
      </c>
      <c r="F36" s="159">
        <f t="shared" si="8"/>
        <v>2367707.7713718512</v>
      </c>
      <c r="G36" s="161">
        <f t="shared" si="9"/>
        <v>341791.46568507387</v>
      </c>
      <c r="H36" s="142">
        <f t="shared" si="10"/>
        <v>341791.46568507387</v>
      </c>
      <c r="I36" s="156">
        <f t="shared" si="6"/>
        <v>0</v>
      </c>
      <c r="J36" s="156"/>
      <c r="K36" s="334"/>
      <c r="L36" s="158">
        <f t="shared" si="11"/>
        <v>0</v>
      </c>
      <c r="M36" s="334"/>
      <c r="N36" s="158">
        <f t="shared" si="12"/>
        <v>0</v>
      </c>
      <c r="O36" s="158">
        <f t="shared" si="13"/>
        <v>0</v>
      </c>
      <c r="P36" s="4"/>
    </row>
    <row r="37" spans="2:16">
      <c r="B37" s="9" t="str">
        <f t="shared" si="5"/>
        <v/>
      </c>
      <c r="C37" s="153">
        <f>IF(D11="","-",+C36+1)</f>
        <v>2033</v>
      </c>
      <c r="D37" s="159">
        <f>IF(F36+SUM(E$17:E36)=D$10,F36,D$10-SUM(E$17:E36))</f>
        <v>2367707.7713718512</v>
      </c>
      <c r="E37" s="160">
        <f t="shared" si="7"/>
        <v>101043.02325581395</v>
      </c>
      <c r="F37" s="159">
        <f t="shared" si="8"/>
        <v>2266664.7481160373</v>
      </c>
      <c r="G37" s="161">
        <f t="shared" si="9"/>
        <v>331732.05955754372</v>
      </c>
      <c r="H37" s="142">
        <f t="shared" si="10"/>
        <v>331732.05955754372</v>
      </c>
      <c r="I37" s="156">
        <f t="shared" si="6"/>
        <v>0</v>
      </c>
      <c r="J37" s="156"/>
      <c r="K37" s="334"/>
      <c r="L37" s="158">
        <f t="shared" si="11"/>
        <v>0</v>
      </c>
      <c r="M37" s="334"/>
      <c r="N37" s="158">
        <f t="shared" si="12"/>
        <v>0</v>
      </c>
      <c r="O37" s="158">
        <f t="shared" si="13"/>
        <v>0</v>
      </c>
      <c r="P37" s="4"/>
    </row>
    <row r="38" spans="2:16">
      <c r="B38" s="9" t="str">
        <f t="shared" si="5"/>
        <v/>
      </c>
      <c r="C38" s="153">
        <f>IF(D11="","-",+C37+1)</f>
        <v>2034</v>
      </c>
      <c r="D38" s="159">
        <f>IF(F37+SUM(E$17:E37)=D$10,F37,D$10-SUM(E$17:E37))</f>
        <v>2266664.7481160373</v>
      </c>
      <c r="E38" s="160">
        <f t="shared" si="7"/>
        <v>101043.02325581395</v>
      </c>
      <c r="F38" s="159">
        <f t="shared" si="8"/>
        <v>2165621.7248602235</v>
      </c>
      <c r="G38" s="161">
        <f t="shared" si="9"/>
        <v>321672.65343001351</v>
      </c>
      <c r="H38" s="142">
        <f t="shared" si="10"/>
        <v>321672.65343001351</v>
      </c>
      <c r="I38" s="156">
        <f t="shared" si="6"/>
        <v>0</v>
      </c>
      <c r="J38" s="156"/>
      <c r="K38" s="334"/>
      <c r="L38" s="158">
        <f t="shared" si="11"/>
        <v>0</v>
      </c>
      <c r="M38" s="334"/>
      <c r="N38" s="158">
        <f t="shared" si="12"/>
        <v>0</v>
      </c>
      <c r="O38" s="158">
        <f t="shared" si="13"/>
        <v>0</v>
      </c>
      <c r="P38" s="4"/>
    </row>
    <row r="39" spans="2:16">
      <c r="B39" s="9" t="str">
        <f t="shared" si="5"/>
        <v/>
      </c>
      <c r="C39" s="153">
        <f>IF(D11="","-",+C38+1)</f>
        <v>2035</v>
      </c>
      <c r="D39" s="159">
        <f>IF(F38+SUM(E$17:E38)=D$10,F38,D$10-SUM(E$17:E38))</f>
        <v>2165621.7248602235</v>
      </c>
      <c r="E39" s="160">
        <f t="shared" si="7"/>
        <v>101043.02325581395</v>
      </c>
      <c r="F39" s="159">
        <f t="shared" si="8"/>
        <v>2064578.7016044096</v>
      </c>
      <c r="G39" s="161">
        <f t="shared" si="9"/>
        <v>311613.2473024833</v>
      </c>
      <c r="H39" s="142">
        <f t="shared" si="10"/>
        <v>311613.2473024833</v>
      </c>
      <c r="I39" s="156">
        <f t="shared" si="6"/>
        <v>0</v>
      </c>
      <c r="J39" s="156"/>
      <c r="K39" s="334"/>
      <c r="L39" s="158">
        <f t="shared" si="11"/>
        <v>0</v>
      </c>
      <c r="M39" s="334"/>
      <c r="N39" s="158">
        <f t="shared" si="12"/>
        <v>0</v>
      </c>
      <c r="O39" s="158">
        <f t="shared" si="13"/>
        <v>0</v>
      </c>
      <c r="P39" s="4"/>
    </row>
    <row r="40" spans="2:16">
      <c r="B40" s="9" t="str">
        <f t="shared" si="5"/>
        <v/>
      </c>
      <c r="C40" s="153">
        <f>IF(D11="","-",+C39+1)</f>
        <v>2036</v>
      </c>
      <c r="D40" s="159">
        <f>IF(F39+SUM(E$17:E39)=D$10,F39,D$10-SUM(E$17:E39))</f>
        <v>2064578.7016044096</v>
      </c>
      <c r="E40" s="160">
        <f t="shared" si="7"/>
        <v>101043.02325581395</v>
      </c>
      <c r="F40" s="159">
        <f t="shared" si="8"/>
        <v>1963535.6783485957</v>
      </c>
      <c r="G40" s="161">
        <f t="shared" si="9"/>
        <v>301553.84117495315</v>
      </c>
      <c r="H40" s="142">
        <f t="shared" si="10"/>
        <v>301553.84117495315</v>
      </c>
      <c r="I40" s="156">
        <f t="shared" si="6"/>
        <v>0</v>
      </c>
      <c r="J40" s="156"/>
      <c r="K40" s="334"/>
      <c r="L40" s="158">
        <f t="shared" si="11"/>
        <v>0</v>
      </c>
      <c r="M40" s="334"/>
      <c r="N40" s="158">
        <f t="shared" si="12"/>
        <v>0</v>
      </c>
      <c r="O40" s="158">
        <f t="shared" si="13"/>
        <v>0</v>
      </c>
      <c r="P40" s="4"/>
    </row>
    <row r="41" spans="2:16">
      <c r="B41" s="9" t="str">
        <f t="shared" si="5"/>
        <v/>
      </c>
      <c r="C41" s="153">
        <f>IF(D11="","-",+C40+1)</f>
        <v>2037</v>
      </c>
      <c r="D41" s="159">
        <f>IF(F40+SUM(E$17:E40)=D$10,F40,D$10-SUM(E$17:E40))</f>
        <v>1963535.6783485957</v>
      </c>
      <c r="E41" s="160">
        <f t="shared" si="7"/>
        <v>101043.02325581395</v>
      </c>
      <c r="F41" s="159">
        <f t="shared" si="8"/>
        <v>1862492.6550927819</v>
      </c>
      <c r="G41" s="161">
        <f t="shared" si="9"/>
        <v>291494.435047423</v>
      </c>
      <c r="H41" s="142">
        <f t="shared" si="10"/>
        <v>291494.435047423</v>
      </c>
      <c r="I41" s="156">
        <f t="shared" si="6"/>
        <v>0</v>
      </c>
      <c r="J41" s="156"/>
      <c r="K41" s="334"/>
      <c r="L41" s="158">
        <f t="shared" si="11"/>
        <v>0</v>
      </c>
      <c r="M41" s="334"/>
      <c r="N41" s="158">
        <f t="shared" si="12"/>
        <v>0</v>
      </c>
      <c r="O41" s="158">
        <f t="shared" si="13"/>
        <v>0</v>
      </c>
      <c r="P41" s="4"/>
    </row>
    <row r="42" spans="2:16">
      <c r="B42" s="9" t="str">
        <f t="shared" si="5"/>
        <v/>
      </c>
      <c r="C42" s="153">
        <f>IF(D11="","-",+C41+1)</f>
        <v>2038</v>
      </c>
      <c r="D42" s="159">
        <f>IF(F41+SUM(E$17:E41)=D$10,F41,D$10-SUM(E$17:E41))</f>
        <v>1862492.6550927819</v>
      </c>
      <c r="E42" s="160">
        <f t="shared" si="7"/>
        <v>101043.02325581395</v>
      </c>
      <c r="F42" s="159">
        <f t="shared" si="8"/>
        <v>1761449.631836968</v>
      </c>
      <c r="G42" s="161">
        <f t="shared" si="9"/>
        <v>281435.02891989279</v>
      </c>
      <c r="H42" s="142">
        <f t="shared" si="10"/>
        <v>281435.02891989279</v>
      </c>
      <c r="I42" s="156">
        <f t="shared" si="6"/>
        <v>0</v>
      </c>
      <c r="J42" s="156"/>
      <c r="K42" s="334"/>
      <c r="L42" s="158">
        <f t="shared" si="11"/>
        <v>0</v>
      </c>
      <c r="M42" s="334"/>
      <c r="N42" s="158">
        <f t="shared" si="12"/>
        <v>0</v>
      </c>
      <c r="O42" s="158">
        <f t="shared" si="13"/>
        <v>0</v>
      </c>
      <c r="P42" s="4"/>
    </row>
    <row r="43" spans="2:16">
      <c r="B43" s="9" t="str">
        <f t="shared" si="5"/>
        <v/>
      </c>
      <c r="C43" s="153">
        <f>IF(D11="","-",+C42+1)</f>
        <v>2039</v>
      </c>
      <c r="D43" s="159">
        <f>IF(F42+SUM(E$17:E42)=D$10,F42,D$10-SUM(E$17:E42))</f>
        <v>1761449.631836968</v>
      </c>
      <c r="E43" s="160">
        <f t="shared" si="7"/>
        <v>101043.02325581395</v>
      </c>
      <c r="F43" s="159">
        <f t="shared" si="8"/>
        <v>1660406.6085811541</v>
      </c>
      <c r="G43" s="161">
        <f t="shared" si="9"/>
        <v>271375.62279236258</v>
      </c>
      <c r="H43" s="142">
        <f t="shared" si="10"/>
        <v>271375.62279236258</v>
      </c>
      <c r="I43" s="156">
        <f t="shared" si="6"/>
        <v>0</v>
      </c>
      <c r="J43" s="156"/>
      <c r="K43" s="334"/>
      <c r="L43" s="158">
        <f t="shared" si="11"/>
        <v>0</v>
      </c>
      <c r="M43" s="334"/>
      <c r="N43" s="158">
        <f t="shared" si="12"/>
        <v>0</v>
      </c>
      <c r="O43" s="158">
        <f t="shared" si="13"/>
        <v>0</v>
      </c>
      <c r="P43" s="4"/>
    </row>
    <row r="44" spans="2:16">
      <c r="B44" s="9" t="str">
        <f t="shared" si="5"/>
        <v/>
      </c>
      <c r="C44" s="153">
        <f>IF(D11="","-",+C43+1)</f>
        <v>2040</v>
      </c>
      <c r="D44" s="159">
        <f>IF(F43+SUM(E$17:E43)=D$10,F43,D$10-SUM(E$17:E43))</f>
        <v>1660406.6085811541</v>
      </c>
      <c r="E44" s="160">
        <f t="shared" si="7"/>
        <v>101043.02325581395</v>
      </c>
      <c r="F44" s="159">
        <f t="shared" si="8"/>
        <v>1559363.5853253403</v>
      </c>
      <c r="G44" s="161">
        <f t="shared" si="9"/>
        <v>261316.21666483243</v>
      </c>
      <c r="H44" s="142">
        <f t="shared" si="10"/>
        <v>261316.21666483243</v>
      </c>
      <c r="I44" s="156">
        <f t="shared" si="6"/>
        <v>0</v>
      </c>
      <c r="J44" s="156"/>
      <c r="K44" s="334"/>
      <c r="L44" s="158">
        <f t="shared" si="11"/>
        <v>0</v>
      </c>
      <c r="M44" s="334"/>
      <c r="N44" s="158">
        <f t="shared" si="12"/>
        <v>0</v>
      </c>
      <c r="O44" s="158">
        <f t="shared" si="13"/>
        <v>0</v>
      </c>
      <c r="P44" s="4"/>
    </row>
    <row r="45" spans="2:16">
      <c r="B45" s="9" t="str">
        <f t="shared" si="5"/>
        <v/>
      </c>
      <c r="C45" s="153">
        <f>IF(D11="","-",+C44+1)</f>
        <v>2041</v>
      </c>
      <c r="D45" s="159">
        <f>IF(F44+SUM(E$17:E44)=D$10,F44,D$10-SUM(E$17:E44))</f>
        <v>1559363.5853253403</v>
      </c>
      <c r="E45" s="160">
        <f t="shared" si="7"/>
        <v>101043.02325581395</v>
      </c>
      <c r="F45" s="159">
        <f t="shared" si="8"/>
        <v>1458320.5620695264</v>
      </c>
      <c r="G45" s="161">
        <f t="shared" si="9"/>
        <v>251256.81053730226</v>
      </c>
      <c r="H45" s="142">
        <f t="shared" si="10"/>
        <v>251256.81053730226</v>
      </c>
      <c r="I45" s="156">
        <f t="shared" si="6"/>
        <v>0</v>
      </c>
      <c r="J45" s="156"/>
      <c r="K45" s="334"/>
      <c r="L45" s="158">
        <f t="shared" si="11"/>
        <v>0</v>
      </c>
      <c r="M45" s="334"/>
      <c r="N45" s="158">
        <f t="shared" si="12"/>
        <v>0</v>
      </c>
      <c r="O45" s="158">
        <f t="shared" si="13"/>
        <v>0</v>
      </c>
      <c r="P45" s="4"/>
    </row>
    <row r="46" spans="2:16">
      <c r="B46" s="9" t="str">
        <f t="shared" si="5"/>
        <v/>
      </c>
      <c r="C46" s="153">
        <f>IF(D11="","-",+C45+1)</f>
        <v>2042</v>
      </c>
      <c r="D46" s="159">
        <f>IF(F45+SUM(E$17:E45)=D$10,F45,D$10-SUM(E$17:E45))</f>
        <v>1458320.5620695264</v>
      </c>
      <c r="E46" s="160">
        <f t="shared" si="7"/>
        <v>101043.02325581395</v>
      </c>
      <c r="F46" s="159">
        <f t="shared" si="8"/>
        <v>1357277.5388137125</v>
      </c>
      <c r="G46" s="161">
        <f t="shared" si="9"/>
        <v>241197.40440977211</v>
      </c>
      <c r="H46" s="142">
        <f t="shared" si="10"/>
        <v>241197.40440977211</v>
      </c>
      <c r="I46" s="156">
        <f t="shared" si="6"/>
        <v>0</v>
      </c>
      <c r="J46" s="156"/>
      <c r="K46" s="334"/>
      <c r="L46" s="158">
        <f t="shared" si="11"/>
        <v>0</v>
      </c>
      <c r="M46" s="334"/>
      <c r="N46" s="158">
        <f t="shared" si="12"/>
        <v>0</v>
      </c>
      <c r="O46" s="158">
        <f t="shared" si="13"/>
        <v>0</v>
      </c>
      <c r="P46" s="4"/>
    </row>
    <row r="47" spans="2:16">
      <c r="B47" s="9" t="str">
        <f t="shared" si="5"/>
        <v/>
      </c>
      <c r="C47" s="153">
        <f>IF(D11="","-",+C46+1)</f>
        <v>2043</v>
      </c>
      <c r="D47" s="159">
        <f>IF(F46+SUM(E$17:E46)=D$10,F46,D$10-SUM(E$17:E46))</f>
        <v>1357277.5388137125</v>
      </c>
      <c r="E47" s="160">
        <f t="shared" si="7"/>
        <v>101043.02325581395</v>
      </c>
      <c r="F47" s="159">
        <f t="shared" si="8"/>
        <v>1256234.5155578987</v>
      </c>
      <c r="G47" s="161">
        <f t="shared" si="9"/>
        <v>231137.99828224193</v>
      </c>
      <c r="H47" s="142">
        <f t="shared" si="10"/>
        <v>231137.99828224193</v>
      </c>
      <c r="I47" s="156">
        <f t="shared" si="6"/>
        <v>0</v>
      </c>
      <c r="J47" s="156"/>
      <c r="K47" s="334"/>
      <c r="L47" s="158">
        <f t="shared" si="11"/>
        <v>0</v>
      </c>
      <c r="M47" s="334"/>
      <c r="N47" s="158">
        <f t="shared" si="12"/>
        <v>0</v>
      </c>
      <c r="O47" s="158">
        <f t="shared" si="13"/>
        <v>0</v>
      </c>
      <c r="P47" s="4"/>
    </row>
    <row r="48" spans="2:16">
      <c r="B48" s="9" t="str">
        <f t="shared" si="5"/>
        <v/>
      </c>
      <c r="C48" s="153">
        <f>IF(D11="","-",+C47+1)</f>
        <v>2044</v>
      </c>
      <c r="D48" s="159">
        <f>IF(F47+SUM(E$17:E47)=D$10,F47,D$10-SUM(E$17:E47))</f>
        <v>1256234.5155578987</v>
      </c>
      <c r="E48" s="160">
        <f t="shared" si="7"/>
        <v>101043.02325581395</v>
      </c>
      <c r="F48" s="159">
        <f t="shared" si="8"/>
        <v>1155191.4923020848</v>
      </c>
      <c r="G48" s="161">
        <f t="shared" si="9"/>
        <v>221078.59215471172</v>
      </c>
      <c r="H48" s="142">
        <f t="shared" si="10"/>
        <v>221078.59215471172</v>
      </c>
      <c r="I48" s="156">
        <f t="shared" si="6"/>
        <v>0</v>
      </c>
      <c r="J48" s="156"/>
      <c r="K48" s="334"/>
      <c r="L48" s="158">
        <f t="shared" si="11"/>
        <v>0</v>
      </c>
      <c r="M48" s="334"/>
      <c r="N48" s="158">
        <f t="shared" si="12"/>
        <v>0</v>
      </c>
      <c r="O48" s="158">
        <f t="shared" si="13"/>
        <v>0</v>
      </c>
      <c r="P48" s="4"/>
    </row>
    <row r="49" spans="2:17">
      <c r="B49" s="9" t="str">
        <f t="shared" si="5"/>
        <v/>
      </c>
      <c r="C49" s="153">
        <f>IF(D11="","-",+C48+1)</f>
        <v>2045</v>
      </c>
      <c r="D49" s="159">
        <f>IF(F48+SUM(E$17:E48)=D$10,F48,D$10-SUM(E$17:E48))</f>
        <v>1155191.4923020848</v>
      </c>
      <c r="E49" s="160">
        <f t="shared" si="7"/>
        <v>101043.02325581395</v>
      </c>
      <c r="F49" s="159">
        <f t="shared" si="8"/>
        <v>1054148.4690462709</v>
      </c>
      <c r="G49" s="161">
        <f t="shared" si="9"/>
        <v>211019.18602718157</v>
      </c>
      <c r="H49" s="142">
        <f t="shared" si="10"/>
        <v>211019.18602718157</v>
      </c>
      <c r="I49" s="156">
        <f t="shared" si="6"/>
        <v>0</v>
      </c>
      <c r="J49" s="156"/>
      <c r="K49" s="334"/>
      <c r="L49" s="158">
        <f t="shared" si="11"/>
        <v>0</v>
      </c>
      <c r="M49" s="334"/>
      <c r="N49" s="158">
        <f t="shared" si="12"/>
        <v>0</v>
      </c>
      <c r="O49" s="158">
        <f t="shared" si="13"/>
        <v>0</v>
      </c>
      <c r="P49" s="4"/>
    </row>
    <row r="50" spans="2:17">
      <c r="B50" s="9" t="str">
        <f t="shared" si="5"/>
        <v/>
      </c>
      <c r="C50" s="153">
        <f>IF(D11="","-",+C49+1)</f>
        <v>2046</v>
      </c>
      <c r="D50" s="159">
        <f>IF(F49+SUM(E$17:E49)=D$10,F49,D$10-SUM(E$17:E49))</f>
        <v>1054148.4690462709</v>
      </c>
      <c r="E50" s="160">
        <f t="shared" si="7"/>
        <v>101043.02325581395</v>
      </c>
      <c r="F50" s="159">
        <f t="shared" si="8"/>
        <v>953105.44579045696</v>
      </c>
      <c r="G50" s="161">
        <f t="shared" si="9"/>
        <v>200959.77989965136</v>
      </c>
      <c r="H50" s="142">
        <f t="shared" si="10"/>
        <v>200959.77989965136</v>
      </c>
      <c r="I50" s="156">
        <f t="shared" si="6"/>
        <v>0</v>
      </c>
      <c r="J50" s="156"/>
      <c r="K50" s="334"/>
      <c r="L50" s="158">
        <f t="shared" si="11"/>
        <v>0</v>
      </c>
      <c r="M50" s="334"/>
      <c r="N50" s="158">
        <f t="shared" si="12"/>
        <v>0</v>
      </c>
      <c r="O50" s="158">
        <f t="shared" si="13"/>
        <v>0</v>
      </c>
      <c r="P50" s="4"/>
    </row>
    <row r="51" spans="2:17">
      <c r="B51" s="9" t="str">
        <f t="shared" si="5"/>
        <v/>
      </c>
      <c r="C51" s="153">
        <f>IF(D11="","-",+C50+1)</f>
        <v>2047</v>
      </c>
      <c r="D51" s="159">
        <f>IF(F50+SUM(E$17:E50)=D$10,F50,D$10-SUM(E$17:E50))</f>
        <v>953105.44579045696</v>
      </c>
      <c r="E51" s="160">
        <f t="shared" si="7"/>
        <v>101043.02325581395</v>
      </c>
      <c r="F51" s="159">
        <f t="shared" si="8"/>
        <v>852062.42253464297</v>
      </c>
      <c r="G51" s="161">
        <f t="shared" si="9"/>
        <v>190900.37377212118</v>
      </c>
      <c r="H51" s="142">
        <f t="shared" si="10"/>
        <v>190900.37377212118</v>
      </c>
      <c r="I51" s="156">
        <f t="shared" si="6"/>
        <v>0</v>
      </c>
      <c r="J51" s="156"/>
      <c r="K51" s="334"/>
      <c r="L51" s="158">
        <f t="shared" si="11"/>
        <v>0</v>
      </c>
      <c r="M51" s="334"/>
      <c r="N51" s="158">
        <f t="shared" si="12"/>
        <v>0</v>
      </c>
      <c r="O51" s="158">
        <f t="shared" si="13"/>
        <v>0</v>
      </c>
      <c r="P51" s="4"/>
    </row>
    <row r="52" spans="2:17">
      <c r="B52" s="9" t="str">
        <f t="shared" si="5"/>
        <v/>
      </c>
      <c r="C52" s="153">
        <f>IF(D11="","-",+C51+1)</f>
        <v>2048</v>
      </c>
      <c r="D52" s="159">
        <f>IF(F51+SUM(E$17:E51)=D$10,F51,D$10-SUM(E$17:E51))</f>
        <v>852062.42253464297</v>
      </c>
      <c r="E52" s="160">
        <f t="shared" si="7"/>
        <v>101043.02325581395</v>
      </c>
      <c r="F52" s="159">
        <f t="shared" si="8"/>
        <v>751019.39927882899</v>
      </c>
      <c r="G52" s="161">
        <f t="shared" si="9"/>
        <v>180840.967644591</v>
      </c>
      <c r="H52" s="142">
        <f t="shared" si="10"/>
        <v>180840.967644591</v>
      </c>
      <c r="I52" s="156">
        <f t="shared" si="6"/>
        <v>0</v>
      </c>
      <c r="J52" s="156"/>
      <c r="K52" s="334"/>
      <c r="L52" s="158">
        <f t="shared" si="11"/>
        <v>0</v>
      </c>
      <c r="M52" s="334"/>
      <c r="N52" s="158">
        <f t="shared" si="12"/>
        <v>0</v>
      </c>
      <c r="O52" s="158">
        <f t="shared" si="13"/>
        <v>0</v>
      </c>
      <c r="P52" s="4"/>
    </row>
    <row r="53" spans="2:17">
      <c r="B53" s="9" t="str">
        <f t="shared" si="5"/>
        <v/>
      </c>
      <c r="C53" s="153">
        <f>IF(D11="","-",+C52+1)</f>
        <v>2049</v>
      </c>
      <c r="D53" s="159">
        <f>IF(F52+SUM(E$17:E52)=D$10,F52,D$10-SUM(E$17:E52))</f>
        <v>751019.39927882899</v>
      </c>
      <c r="E53" s="160">
        <f t="shared" si="7"/>
        <v>101043.02325581395</v>
      </c>
      <c r="F53" s="159">
        <f t="shared" si="8"/>
        <v>649976.37602301501</v>
      </c>
      <c r="G53" s="161">
        <f t="shared" ref="G53:G72" si="14">+I$12*((D53+F53)/2)+E53</f>
        <v>170781.56151706079</v>
      </c>
      <c r="H53" s="142">
        <f t="shared" ref="H53:H72" si="15">+I$13*((D53+F53)/2)+E53</f>
        <v>170781.56151706079</v>
      </c>
      <c r="I53" s="156">
        <f t="shared" si="6"/>
        <v>0</v>
      </c>
      <c r="J53" s="156"/>
      <c r="K53" s="334"/>
      <c r="L53" s="158">
        <f t="shared" si="11"/>
        <v>0</v>
      </c>
      <c r="M53" s="334"/>
      <c r="N53" s="158">
        <f t="shared" si="12"/>
        <v>0</v>
      </c>
      <c r="O53" s="158">
        <f t="shared" si="13"/>
        <v>0</v>
      </c>
      <c r="P53" s="4"/>
    </row>
    <row r="54" spans="2:17">
      <c r="B54" s="9" t="str">
        <f t="shared" si="5"/>
        <v/>
      </c>
      <c r="C54" s="153">
        <f>IF(D11="","-",+C53+1)</f>
        <v>2050</v>
      </c>
      <c r="D54" s="159">
        <f>IF(F53+SUM(E$17:E53)=D$10,F53,D$10-SUM(E$17:E53))</f>
        <v>649976.37602301501</v>
      </c>
      <c r="E54" s="160">
        <f t="shared" si="7"/>
        <v>101043.02325581395</v>
      </c>
      <c r="F54" s="159">
        <f t="shared" si="8"/>
        <v>548933.35276720102</v>
      </c>
      <c r="G54" s="161">
        <f t="shared" si="14"/>
        <v>160722.15538953061</v>
      </c>
      <c r="H54" s="142">
        <f t="shared" si="15"/>
        <v>160722.15538953061</v>
      </c>
      <c r="I54" s="156">
        <f t="shared" si="6"/>
        <v>0</v>
      </c>
      <c r="J54" s="156"/>
      <c r="K54" s="334"/>
      <c r="L54" s="158">
        <f t="shared" si="11"/>
        <v>0</v>
      </c>
      <c r="M54" s="334"/>
      <c r="N54" s="158">
        <f t="shared" si="12"/>
        <v>0</v>
      </c>
      <c r="O54" s="158">
        <f t="shared" si="13"/>
        <v>0</v>
      </c>
      <c r="P54" s="4"/>
    </row>
    <row r="55" spans="2:17">
      <c r="B55" s="9" t="str">
        <f t="shared" si="5"/>
        <v/>
      </c>
      <c r="C55" s="153">
        <f>IF(D11="","-",+C54+1)</f>
        <v>2051</v>
      </c>
      <c r="D55" s="159">
        <f>IF(F54+SUM(E$17:E54)=D$10,F54,D$10-SUM(E$17:E54))</f>
        <v>548933.35276720102</v>
      </c>
      <c r="E55" s="160">
        <f t="shared" si="7"/>
        <v>101043.02325581395</v>
      </c>
      <c r="F55" s="159">
        <f t="shared" si="8"/>
        <v>447890.32951138704</v>
      </c>
      <c r="G55" s="161">
        <f t="shared" si="14"/>
        <v>150662.74926200043</v>
      </c>
      <c r="H55" s="142">
        <f t="shared" si="15"/>
        <v>150662.74926200043</v>
      </c>
      <c r="I55" s="156">
        <f t="shared" si="6"/>
        <v>0</v>
      </c>
      <c r="J55" s="156"/>
      <c r="K55" s="334"/>
      <c r="L55" s="158">
        <f t="shared" si="11"/>
        <v>0</v>
      </c>
      <c r="M55" s="334"/>
      <c r="N55" s="158">
        <f t="shared" si="12"/>
        <v>0</v>
      </c>
      <c r="O55" s="158">
        <f t="shared" si="13"/>
        <v>0</v>
      </c>
      <c r="P55" s="4"/>
    </row>
    <row r="56" spans="2:17">
      <c r="B56" s="9" t="str">
        <f t="shared" si="5"/>
        <v/>
      </c>
      <c r="C56" s="153">
        <f>IF(D11="","-",+C55+1)</f>
        <v>2052</v>
      </c>
      <c r="D56" s="159">
        <f>IF(F55+SUM(E$17:E55)=D$10,F55,D$10-SUM(E$17:E55))</f>
        <v>447890.32951138704</v>
      </c>
      <c r="E56" s="160">
        <f t="shared" si="7"/>
        <v>101043.02325581395</v>
      </c>
      <c r="F56" s="159">
        <f t="shared" si="8"/>
        <v>346847.30625557306</v>
      </c>
      <c r="G56" s="161">
        <f t="shared" si="14"/>
        <v>140603.34313447023</v>
      </c>
      <c r="H56" s="142">
        <f t="shared" si="15"/>
        <v>140603.34313447023</v>
      </c>
      <c r="I56" s="156">
        <f t="shared" si="6"/>
        <v>0</v>
      </c>
      <c r="J56" s="156"/>
      <c r="K56" s="334"/>
      <c r="L56" s="158">
        <f t="shared" si="11"/>
        <v>0</v>
      </c>
      <c r="M56" s="334"/>
      <c r="N56" s="158">
        <f t="shared" si="12"/>
        <v>0</v>
      </c>
      <c r="O56" s="158">
        <f t="shared" si="13"/>
        <v>0</v>
      </c>
      <c r="P56" s="4"/>
    </row>
    <row r="57" spans="2:17">
      <c r="B57" s="9" t="str">
        <f t="shared" si="5"/>
        <v/>
      </c>
      <c r="C57" s="153">
        <f>IF(D11="","-",+C56+1)</f>
        <v>2053</v>
      </c>
      <c r="D57" s="159">
        <f>IF(F56+SUM(E$17:E56)=D$10,F56,D$10-SUM(E$17:E56))</f>
        <v>346847.30625557306</v>
      </c>
      <c r="E57" s="160">
        <f t="shared" si="7"/>
        <v>101043.02325581395</v>
      </c>
      <c r="F57" s="159">
        <f t="shared" si="8"/>
        <v>245804.2829997591</v>
      </c>
      <c r="G57" s="161">
        <f t="shared" si="14"/>
        <v>130543.93700694005</v>
      </c>
      <c r="H57" s="142">
        <f t="shared" si="15"/>
        <v>130543.93700694005</v>
      </c>
      <c r="I57" s="156">
        <f t="shared" si="6"/>
        <v>0</v>
      </c>
      <c r="J57" s="156"/>
      <c r="K57" s="334"/>
      <c r="L57" s="158">
        <f t="shared" si="11"/>
        <v>0</v>
      </c>
      <c r="M57" s="334"/>
      <c r="N57" s="158">
        <f t="shared" si="12"/>
        <v>0</v>
      </c>
      <c r="O57" s="158">
        <f t="shared" si="13"/>
        <v>0</v>
      </c>
      <c r="P57" s="4"/>
    </row>
    <row r="58" spans="2:17">
      <c r="B58" s="9" t="str">
        <f t="shared" si="5"/>
        <v/>
      </c>
      <c r="C58" s="153">
        <f>IF(D11="","-",+C57+1)</f>
        <v>2054</v>
      </c>
      <c r="D58" s="159">
        <f>IF(F57+SUM(E$17:E57)=D$10,F57,D$10-SUM(E$17:E57))</f>
        <v>245804.2829997591</v>
      </c>
      <c r="E58" s="160">
        <f t="shared" si="7"/>
        <v>101043.02325581395</v>
      </c>
      <c r="F58" s="159">
        <f t="shared" si="8"/>
        <v>144761.25974394515</v>
      </c>
      <c r="G58" s="161">
        <f t="shared" si="14"/>
        <v>120484.53087940987</v>
      </c>
      <c r="H58" s="142">
        <f t="shared" si="15"/>
        <v>120484.53087940987</v>
      </c>
      <c r="I58" s="156">
        <f t="shared" si="6"/>
        <v>0</v>
      </c>
      <c r="J58" s="156"/>
      <c r="K58" s="334"/>
      <c r="L58" s="158">
        <f t="shared" si="11"/>
        <v>0</v>
      </c>
      <c r="M58" s="334"/>
      <c r="N58" s="158">
        <f t="shared" si="12"/>
        <v>0</v>
      </c>
      <c r="O58" s="158">
        <f t="shared" si="13"/>
        <v>0</v>
      </c>
      <c r="P58" s="4"/>
      <c r="Q58" t="str">
        <f>IF(ROUND(Q57,0)=ROUND(SUM(Q18:Q56),0),"","Error -- check allocations above).")</f>
        <v/>
      </c>
    </row>
    <row r="59" spans="2:17">
      <c r="B59" s="9" t="str">
        <f t="shared" si="5"/>
        <v/>
      </c>
      <c r="C59" s="153">
        <f>IF(D11="","-",+C58+1)</f>
        <v>2055</v>
      </c>
      <c r="D59" s="159">
        <f>IF(F58+SUM(E$17:E58)=D$10,F58,D$10-SUM(E$17:E58))</f>
        <v>144761.25974394515</v>
      </c>
      <c r="E59" s="160">
        <f t="shared" si="7"/>
        <v>101043.02325581395</v>
      </c>
      <c r="F59" s="159">
        <f t="shared" si="8"/>
        <v>43718.236488131195</v>
      </c>
      <c r="G59" s="161">
        <f t="shared" si="14"/>
        <v>110425.12475187967</v>
      </c>
      <c r="H59" s="142">
        <f t="shared" si="15"/>
        <v>110425.12475187967</v>
      </c>
      <c r="I59" s="156">
        <f t="shared" si="6"/>
        <v>0</v>
      </c>
      <c r="J59" s="156"/>
      <c r="K59" s="334"/>
      <c r="L59" s="158">
        <f t="shared" si="11"/>
        <v>0</v>
      </c>
      <c r="M59" s="334"/>
      <c r="N59" s="158">
        <f t="shared" si="12"/>
        <v>0</v>
      </c>
      <c r="O59" s="158">
        <f t="shared" si="13"/>
        <v>0</v>
      </c>
      <c r="P59" s="4"/>
    </row>
    <row r="60" spans="2:17">
      <c r="B60" s="9" t="str">
        <f t="shared" si="5"/>
        <v/>
      </c>
      <c r="C60" s="153">
        <f>IF(D11="","-",+C59+1)</f>
        <v>2056</v>
      </c>
      <c r="D60" s="159">
        <f>IF(F59+SUM(E$17:E59)=D$10,F59,D$10-SUM(E$17:E59))</f>
        <v>43718.236488131195</v>
      </c>
      <c r="E60" s="160">
        <f t="shared" si="7"/>
        <v>43718.236488131195</v>
      </c>
      <c r="F60" s="159">
        <f t="shared" si="8"/>
        <v>0</v>
      </c>
      <c r="G60" s="161">
        <f t="shared" si="14"/>
        <v>45894.43570428151</v>
      </c>
      <c r="H60" s="142">
        <f t="shared" si="15"/>
        <v>45894.43570428151</v>
      </c>
      <c r="I60" s="156">
        <f t="shared" si="6"/>
        <v>0</v>
      </c>
      <c r="J60" s="156"/>
      <c r="K60" s="334"/>
      <c r="L60" s="158">
        <f t="shared" si="11"/>
        <v>0</v>
      </c>
      <c r="M60" s="334"/>
      <c r="N60" s="158">
        <f t="shared" si="12"/>
        <v>0</v>
      </c>
      <c r="O60" s="158">
        <f t="shared" si="13"/>
        <v>0</v>
      </c>
      <c r="P60" s="4"/>
    </row>
    <row r="61" spans="2:17">
      <c r="B61" s="9" t="str">
        <f t="shared" si="5"/>
        <v/>
      </c>
      <c r="C61" s="153">
        <f>IF(D11="","-",+C60+1)</f>
        <v>2057</v>
      </c>
      <c r="D61" s="159">
        <f>IF(F60+SUM(E$17:E60)=D$10,F60,D$10-SUM(E$17:E60))</f>
        <v>0</v>
      </c>
      <c r="E61" s="160">
        <f t="shared" si="7"/>
        <v>0</v>
      </c>
      <c r="F61" s="159">
        <f t="shared" si="8"/>
        <v>0</v>
      </c>
      <c r="G61" s="161">
        <f t="shared" si="14"/>
        <v>0</v>
      </c>
      <c r="H61" s="142">
        <f t="shared" si="15"/>
        <v>0</v>
      </c>
      <c r="I61" s="156">
        <f t="shared" si="6"/>
        <v>0</v>
      </c>
      <c r="J61" s="156"/>
      <c r="K61" s="334"/>
      <c r="L61" s="158">
        <f t="shared" si="11"/>
        <v>0</v>
      </c>
      <c r="M61" s="334"/>
      <c r="N61" s="158">
        <f t="shared" si="12"/>
        <v>0</v>
      </c>
      <c r="O61" s="158">
        <f t="shared" si="13"/>
        <v>0</v>
      </c>
      <c r="P61" s="4"/>
    </row>
    <row r="62" spans="2:17">
      <c r="B62" s="9" t="str">
        <f t="shared" si="5"/>
        <v/>
      </c>
      <c r="C62" s="153">
        <f>IF(D11="","-",+C61+1)</f>
        <v>2058</v>
      </c>
      <c r="D62" s="159">
        <f>IF(F61+SUM(E$17:E61)=D$10,F61,D$10-SUM(E$17:E61))</f>
        <v>0</v>
      </c>
      <c r="E62" s="160">
        <f t="shared" si="7"/>
        <v>0</v>
      </c>
      <c r="F62" s="159">
        <f t="shared" si="8"/>
        <v>0</v>
      </c>
      <c r="G62" s="161">
        <f t="shared" si="14"/>
        <v>0</v>
      </c>
      <c r="H62" s="142">
        <f t="shared" si="15"/>
        <v>0</v>
      </c>
      <c r="I62" s="156">
        <f t="shared" si="6"/>
        <v>0</v>
      </c>
      <c r="J62" s="156"/>
      <c r="K62" s="334"/>
      <c r="L62" s="158">
        <f t="shared" si="11"/>
        <v>0</v>
      </c>
      <c r="M62" s="334"/>
      <c r="N62" s="158">
        <f t="shared" si="12"/>
        <v>0</v>
      </c>
      <c r="O62" s="158">
        <f t="shared" si="13"/>
        <v>0</v>
      </c>
      <c r="P62" s="4"/>
    </row>
    <row r="63" spans="2:17">
      <c r="B63" s="9" t="str">
        <f t="shared" si="5"/>
        <v/>
      </c>
      <c r="C63" s="153">
        <f>IF(D11="","-",+C62+1)</f>
        <v>2059</v>
      </c>
      <c r="D63" s="159">
        <f>IF(F62+SUM(E$17:E62)=D$10,F62,D$10-SUM(E$17:E62))</f>
        <v>0</v>
      </c>
      <c r="E63" s="160">
        <f t="shared" si="7"/>
        <v>0</v>
      </c>
      <c r="F63" s="159">
        <f t="shared" si="8"/>
        <v>0</v>
      </c>
      <c r="G63" s="161">
        <f t="shared" si="14"/>
        <v>0</v>
      </c>
      <c r="H63" s="142">
        <f t="shared" si="15"/>
        <v>0</v>
      </c>
      <c r="I63" s="156">
        <f t="shared" si="6"/>
        <v>0</v>
      </c>
      <c r="J63" s="156"/>
      <c r="K63" s="334"/>
      <c r="L63" s="158">
        <f t="shared" si="11"/>
        <v>0</v>
      </c>
      <c r="M63" s="334"/>
      <c r="N63" s="158">
        <f t="shared" si="12"/>
        <v>0</v>
      </c>
      <c r="O63" s="158">
        <f t="shared" si="13"/>
        <v>0</v>
      </c>
      <c r="P63" s="4"/>
    </row>
    <row r="64" spans="2:17">
      <c r="B64" s="9" t="str">
        <f t="shared" si="5"/>
        <v/>
      </c>
      <c r="C64" s="153">
        <f>IF(D11="","-",+C63+1)</f>
        <v>2060</v>
      </c>
      <c r="D64" s="159">
        <f>IF(F63+SUM(E$17:E63)=D$10,F63,D$10-SUM(E$17:E63))</f>
        <v>0</v>
      </c>
      <c r="E64" s="160">
        <f t="shared" si="7"/>
        <v>0</v>
      </c>
      <c r="F64" s="159">
        <f t="shared" si="8"/>
        <v>0</v>
      </c>
      <c r="G64" s="161">
        <f t="shared" si="14"/>
        <v>0</v>
      </c>
      <c r="H64" s="142">
        <f t="shared" si="15"/>
        <v>0</v>
      </c>
      <c r="I64" s="156">
        <f t="shared" si="6"/>
        <v>0</v>
      </c>
      <c r="J64" s="156"/>
      <c r="K64" s="334"/>
      <c r="L64" s="158">
        <f t="shared" si="11"/>
        <v>0</v>
      </c>
      <c r="M64" s="334"/>
      <c r="N64" s="158">
        <f t="shared" si="12"/>
        <v>0</v>
      </c>
      <c r="O64" s="158">
        <f t="shared" si="13"/>
        <v>0</v>
      </c>
      <c r="P64" s="4"/>
    </row>
    <row r="65" spans="2:16">
      <c r="B65" s="9" t="str">
        <f t="shared" si="5"/>
        <v/>
      </c>
      <c r="C65" s="153">
        <f>IF(D11="","-",+C64+1)</f>
        <v>2061</v>
      </c>
      <c r="D65" s="159">
        <f>IF(F64+SUM(E$17:E64)=D$10,F64,D$10-SUM(E$17:E64))</f>
        <v>0</v>
      </c>
      <c r="E65" s="160">
        <f t="shared" si="7"/>
        <v>0</v>
      </c>
      <c r="F65" s="159">
        <f t="shared" si="8"/>
        <v>0</v>
      </c>
      <c r="G65" s="161">
        <f t="shared" si="14"/>
        <v>0</v>
      </c>
      <c r="H65" s="142">
        <f t="shared" si="15"/>
        <v>0</v>
      </c>
      <c r="I65" s="156">
        <f t="shared" si="6"/>
        <v>0</v>
      </c>
      <c r="J65" s="156"/>
      <c r="K65" s="334"/>
      <c r="L65" s="158">
        <f t="shared" si="11"/>
        <v>0</v>
      </c>
      <c r="M65" s="334"/>
      <c r="N65" s="158">
        <f t="shared" si="12"/>
        <v>0</v>
      </c>
      <c r="O65" s="158">
        <f t="shared" si="13"/>
        <v>0</v>
      </c>
      <c r="P65" s="4"/>
    </row>
    <row r="66" spans="2:16">
      <c r="B66" s="9" t="str">
        <f t="shared" si="5"/>
        <v/>
      </c>
      <c r="C66" s="153">
        <f>IF(D11="","-",+C65+1)</f>
        <v>2062</v>
      </c>
      <c r="D66" s="159">
        <f>IF(F65+SUM(E$17:E65)=D$10,F65,D$10-SUM(E$17:E65))</f>
        <v>0</v>
      </c>
      <c r="E66" s="160">
        <f t="shared" si="7"/>
        <v>0</v>
      </c>
      <c r="F66" s="159">
        <f t="shared" si="8"/>
        <v>0</v>
      </c>
      <c r="G66" s="161">
        <f t="shared" si="14"/>
        <v>0</v>
      </c>
      <c r="H66" s="142">
        <f t="shared" si="15"/>
        <v>0</v>
      </c>
      <c r="I66" s="156">
        <f t="shared" si="6"/>
        <v>0</v>
      </c>
      <c r="J66" s="156"/>
      <c r="K66" s="334"/>
      <c r="L66" s="158">
        <f t="shared" si="11"/>
        <v>0</v>
      </c>
      <c r="M66" s="334"/>
      <c r="N66" s="158">
        <f t="shared" si="12"/>
        <v>0</v>
      </c>
      <c r="O66" s="158">
        <f t="shared" si="13"/>
        <v>0</v>
      </c>
      <c r="P66" s="4"/>
    </row>
    <row r="67" spans="2:16">
      <c r="B67" s="9" t="str">
        <f t="shared" si="5"/>
        <v/>
      </c>
      <c r="C67" s="153">
        <f>IF(D11="","-",+C66+1)</f>
        <v>2063</v>
      </c>
      <c r="D67" s="159">
        <f>IF(F66+SUM(E$17:E66)=D$10,F66,D$10-SUM(E$17:E66))</f>
        <v>0</v>
      </c>
      <c r="E67" s="160">
        <f t="shared" si="7"/>
        <v>0</v>
      </c>
      <c r="F67" s="159">
        <f t="shared" si="8"/>
        <v>0</v>
      </c>
      <c r="G67" s="161">
        <f t="shared" si="14"/>
        <v>0</v>
      </c>
      <c r="H67" s="142">
        <f t="shared" si="15"/>
        <v>0</v>
      </c>
      <c r="I67" s="156">
        <f t="shared" si="6"/>
        <v>0</v>
      </c>
      <c r="J67" s="156"/>
      <c r="K67" s="334"/>
      <c r="L67" s="158">
        <f t="shared" si="11"/>
        <v>0</v>
      </c>
      <c r="M67" s="334"/>
      <c r="N67" s="158">
        <f t="shared" si="12"/>
        <v>0</v>
      </c>
      <c r="O67" s="158">
        <f t="shared" si="13"/>
        <v>0</v>
      </c>
      <c r="P67" s="4"/>
    </row>
    <row r="68" spans="2:16">
      <c r="B68" s="9" t="str">
        <f t="shared" si="5"/>
        <v/>
      </c>
      <c r="C68" s="153">
        <f>IF(D11="","-",+C67+1)</f>
        <v>2064</v>
      </c>
      <c r="D68" s="159">
        <f>IF(F67+SUM(E$17:E67)=D$10,F67,D$10-SUM(E$17:E67))</f>
        <v>0</v>
      </c>
      <c r="E68" s="160">
        <f t="shared" si="7"/>
        <v>0</v>
      </c>
      <c r="F68" s="159">
        <f t="shared" si="8"/>
        <v>0</v>
      </c>
      <c r="G68" s="161">
        <f t="shared" si="14"/>
        <v>0</v>
      </c>
      <c r="H68" s="142">
        <f t="shared" si="15"/>
        <v>0</v>
      </c>
      <c r="I68" s="156">
        <f t="shared" si="6"/>
        <v>0</v>
      </c>
      <c r="J68" s="156"/>
      <c r="K68" s="334"/>
      <c r="L68" s="158">
        <f t="shared" si="11"/>
        <v>0</v>
      </c>
      <c r="M68" s="334"/>
      <c r="N68" s="158">
        <f t="shared" si="12"/>
        <v>0</v>
      </c>
      <c r="O68" s="158">
        <f t="shared" si="13"/>
        <v>0</v>
      </c>
      <c r="P68" s="4"/>
    </row>
    <row r="69" spans="2:16">
      <c r="B69" s="9" t="str">
        <f t="shared" si="5"/>
        <v/>
      </c>
      <c r="C69" s="153">
        <f>IF(D11="","-",+C68+1)</f>
        <v>2065</v>
      </c>
      <c r="D69" s="159">
        <f>IF(F68+SUM(E$17:E68)=D$10,F68,D$10-SUM(E$17:E68))</f>
        <v>0</v>
      </c>
      <c r="E69" s="160">
        <f t="shared" si="7"/>
        <v>0</v>
      </c>
      <c r="F69" s="159">
        <f t="shared" si="8"/>
        <v>0</v>
      </c>
      <c r="G69" s="161">
        <f t="shared" si="14"/>
        <v>0</v>
      </c>
      <c r="H69" s="142">
        <f t="shared" si="15"/>
        <v>0</v>
      </c>
      <c r="I69" s="156">
        <f t="shared" si="6"/>
        <v>0</v>
      </c>
      <c r="J69" s="156"/>
      <c r="K69" s="334"/>
      <c r="L69" s="158">
        <f t="shared" si="11"/>
        <v>0</v>
      </c>
      <c r="M69" s="334"/>
      <c r="N69" s="158">
        <f t="shared" si="12"/>
        <v>0</v>
      </c>
      <c r="O69" s="158">
        <f t="shared" si="13"/>
        <v>0</v>
      </c>
      <c r="P69" s="4"/>
    </row>
    <row r="70" spans="2:16">
      <c r="B70" s="9" t="str">
        <f t="shared" si="5"/>
        <v/>
      </c>
      <c r="C70" s="153">
        <f>IF(D11="","-",+C69+1)</f>
        <v>2066</v>
      </c>
      <c r="D70" s="159">
        <f>IF(F69+SUM(E$17:E69)=D$10,F69,D$10-SUM(E$17:E69))</f>
        <v>0</v>
      </c>
      <c r="E70" s="160">
        <f t="shared" si="7"/>
        <v>0</v>
      </c>
      <c r="F70" s="159">
        <f t="shared" si="8"/>
        <v>0</v>
      </c>
      <c r="G70" s="161">
        <f t="shared" si="14"/>
        <v>0</v>
      </c>
      <c r="H70" s="142">
        <f t="shared" si="15"/>
        <v>0</v>
      </c>
      <c r="I70" s="156">
        <f t="shared" si="6"/>
        <v>0</v>
      </c>
      <c r="J70" s="156"/>
      <c r="K70" s="334"/>
      <c r="L70" s="158">
        <f t="shared" si="11"/>
        <v>0</v>
      </c>
      <c r="M70" s="334"/>
      <c r="N70" s="158">
        <f t="shared" si="12"/>
        <v>0</v>
      </c>
      <c r="O70" s="158">
        <f t="shared" si="13"/>
        <v>0</v>
      </c>
      <c r="P70" s="4"/>
    </row>
    <row r="71" spans="2:16">
      <c r="B71" s="9" t="str">
        <f t="shared" si="5"/>
        <v/>
      </c>
      <c r="C71" s="153">
        <f>IF(D11="","-",+C70+1)</f>
        <v>2067</v>
      </c>
      <c r="D71" s="159">
        <f>IF(F70+SUM(E$17:E70)=D$10,F70,D$10-SUM(E$17:E70))</f>
        <v>0</v>
      </c>
      <c r="E71" s="160">
        <f t="shared" si="7"/>
        <v>0</v>
      </c>
      <c r="F71" s="159">
        <f t="shared" si="8"/>
        <v>0</v>
      </c>
      <c r="G71" s="161">
        <f t="shared" si="14"/>
        <v>0</v>
      </c>
      <c r="H71" s="142">
        <f t="shared" si="15"/>
        <v>0</v>
      </c>
      <c r="I71" s="156">
        <f t="shared" si="6"/>
        <v>0</v>
      </c>
      <c r="J71" s="156"/>
      <c r="K71" s="334"/>
      <c r="L71" s="158">
        <f t="shared" si="11"/>
        <v>0</v>
      </c>
      <c r="M71" s="334"/>
      <c r="N71" s="158">
        <f t="shared" si="12"/>
        <v>0</v>
      </c>
      <c r="O71" s="158">
        <f t="shared" si="13"/>
        <v>0</v>
      </c>
      <c r="P71" s="4"/>
    </row>
    <row r="72" spans="2:16" ht="13.5" thickBot="1">
      <c r="B72" s="9" t="str">
        <f t="shared" si="5"/>
        <v/>
      </c>
      <c r="C72" s="164">
        <f>IF(D11="","-",+C71+1)</f>
        <v>2068</v>
      </c>
      <c r="D72" s="165">
        <f>IF(F71+SUM(E$17:E71)=D$10,F71,D$10-SUM(E$17:E71))</f>
        <v>0</v>
      </c>
      <c r="E72" s="166">
        <f t="shared" si="7"/>
        <v>0</v>
      </c>
      <c r="F72" s="165">
        <f t="shared" si="8"/>
        <v>0</v>
      </c>
      <c r="G72" s="167">
        <f t="shared" si="14"/>
        <v>0</v>
      </c>
      <c r="H72" s="124">
        <f t="shared" si="15"/>
        <v>0</v>
      </c>
      <c r="I72" s="168">
        <f t="shared" si="6"/>
        <v>0</v>
      </c>
      <c r="J72" s="156"/>
      <c r="K72" s="335"/>
      <c r="L72" s="169">
        <f t="shared" si="11"/>
        <v>0</v>
      </c>
      <c r="M72" s="335"/>
      <c r="N72" s="169">
        <f t="shared" si="12"/>
        <v>0</v>
      </c>
      <c r="O72" s="169">
        <f t="shared" si="13"/>
        <v>0</v>
      </c>
      <c r="P72" s="4"/>
    </row>
    <row r="73" spans="2:16">
      <c r="C73" s="154" t="s">
        <v>73</v>
      </c>
      <c r="D73" s="111"/>
      <c r="E73" s="111">
        <f>SUM(E17:E72)</f>
        <v>4344849.9999999991</v>
      </c>
      <c r="F73" s="111"/>
      <c r="G73" s="111">
        <f>SUM(G17:G72)</f>
        <v>14319719.761490332</v>
      </c>
      <c r="H73" s="111">
        <f>SUM(H17:H72)</f>
        <v>14319719.761490332</v>
      </c>
      <c r="I73" s="111">
        <f>SUM(I17:I72)</f>
        <v>0</v>
      </c>
      <c r="J73" s="111"/>
      <c r="K73" s="111"/>
      <c r="L73" s="111"/>
      <c r="M73" s="111"/>
      <c r="N73" s="111"/>
      <c r="O73" s="4"/>
      <c r="P73" s="4"/>
    </row>
    <row r="74" spans="2:16">
      <c r="D74" s="2"/>
      <c r="E74" s="1"/>
      <c r="F74" s="1"/>
      <c r="G74" s="1"/>
      <c r="H74" s="3"/>
      <c r="I74" s="3"/>
      <c r="J74" s="111"/>
      <c r="K74" s="3"/>
      <c r="L74" s="3"/>
      <c r="M74" s="3"/>
      <c r="N74" s="3"/>
      <c r="O74" s="1"/>
      <c r="P74" s="1"/>
    </row>
    <row r="75" spans="2:16">
      <c r="C75" s="170" t="s">
        <v>91</v>
      </c>
      <c r="D75" s="2"/>
      <c r="E75" s="1"/>
      <c r="F75" s="1"/>
      <c r="G75" s="1"/>
      <c r="H75" s="3"/>
      <c r="I75" s="3"/>
      <c r="J75" s="111"/>
      <c r="K75" s="3"/>
      <c r="L75" s="3"/>
      <c r="M75" s="3"/>
      <c r="N75" s="3"/>
      <c r="O75" s="1"/>
      <c r="P75" s="1"/>
    </row>
    <row r="76" spans="2:16">
      <c r="C76" s="121" t="s">
        <v>74</v>
      </c>
      <c r="D76" s="2"/>
      <c r="E76" s="1"/>
      <c r="F76" s="1"/>
      <c r="G76" s="1"/>
      <c r="H76" s="3"/>
      <c r="I76" s="3"/>
      <c r="J76" s="111"/>
      <c r="K76" s="3"/>
      <c r="L76" s="3"/>
      <c r="M76" s="3"/>
      <c r="N76" s="3"/>
      <c r="O76" s="4"/>
      <c r="P76" s="4"/>
    </row>
    <row r="77" spans="2:16">
      <c r="C77" s="121" t="s">
        <v>75</v>
      </c>
      <c r="D77" s="154"/>
      <c r="E77" s="154"/>
      <c r="F77" s="154"/>
      <c r="G77" s="111"/>
      <c r="H77" s="111"/>
      <c r="I77" s="171"/>
      <c r="J77" s="171"/>
      <c r="K77" s="171"/>
      <c r="L77" s="171"/>
      <c r="M77" s="171"/>
      <c r="N77" s="171"/>
      <c r="O77" s="4"/>
      <c r="P77" s="4"/>
    </row>
    <row r="78" spans="2:16">
      <c r="C78" s="121"/>
      <c r="D78" s="154"/>
      <c r="E78" s="154"/>
      <c r="F78" s="154"/>
      <c r="G78" s="111"/>
      <c r="H78" s="111"/>
      <c r="I78" s="171"/>
      <c r="J78" s="171"/>
      <c r="K78" s="171"/>
      <c r="L78" s="171"/>
      <c r="M78" s="171"/>
      <c r="N78" s="171"/>
      <c r="O78" s="4"/>
      <c r="P78" s="1"/>
    </row>
    <row r="79" spans="2:16">
      <c r="B79" s="1"/>
      <c r="C79" s="21"/>
      <c r="D79" s="2"/>
      <c r="E79" s="1"/>
      <c r="F79" s="107"/>
      <c r="G79" s="1"/>
      <c r="H79" s="3"/>
      <c r="I79" s="1"/>
      <c r="J79" s="4"/>
      <c r="K79" s="1"/>
      <c r="L79" s="1"/>
      <c r="M79" s="1"/>
      <c r="N79" s="1"/>
      <c r="O79" s="1"/>
      <c r="P79" s="1"/>
    </row>
    <row r="80" spans="2:16" ht="18">
      <c r="B80" s="1"/>
      <c r="C80" s="242"/>
      <c r="D80" s="2"/>
      <c r="E80" s="1"/>
      <c r="F80" s="107"/>
      <c r="G80" s="1"/>
      <c r="H80" s="3"/>
      <c r="I80" s="1"/>
      <c r="J80" s="4"/>
      <c r="K80" s="1"/>
      <c r="L80" s="1"/>
      <c r="M80" s="1"/>
      <c r="N80" s="1"/>
      <c r="P80" s="244" t="s">
        <v>125</v>
      </c>
    </row>
    <row r="81" spans="1:17">
      <c r="B81" s="1"/>
      <c r="C81" s="21"/>
      <c r="D81" s="2"/>
      <c r="E81" s="1"/>
      <c r="F81" s="107"/>
      <c r="G81" s="1"/>
      <c r="H81" s="3"/>
      <c r="I81" s="1"/>
      <c r="J81" s="4"/>
      <c r="K81" s="1"/>
      <c r="L81" s="1"/>
      <c r="M81" s="1"/>
      <c r="N81" s="1"/>
      <c r="O81" s="1"/>
      <c r="P81" s="1"/>
    </row>
    <row r="82" spans="1:17">
      <c r="B82" s="1"/>
      <c r="C82" s="21"/>
      <c r="D82" s="2"/>
      <c r="E82" s="1"/>
      <c r="F82" s="107"/>
      <c r="G82" s="1"/>
      <c r="H82" s="3"/>
      <c r="I82" s="1"/>
      <c r="J82" s="4"/>
      <c r="K82" s="1"/>
      <c r="L82" s="1"/>
      <c r="M82" s="1"/>
      <c r="N82" s="1"/>
      <c r="O82" s="1"/>
      <c r="P82" s="1"/>
      <c r="Q82" s="1"/>
    </row>
    <row r="83" spans="1:17" ht="20.25">
      <c r="A83" s="243" t="s">
        <v>129</v>
      </c>
      <c r="B83" s="1"/>
      <c r="C83" s="21"/>
      <c r="D83" s="2"/>
      <c r="E83" s="1"/>
      <c r="F83" s="99"/>
      <c r="G83" s="99"/>
      <c r="H83" s="1"/>
      <c r="I83" s="3"/>
      <c r="K83" s="7"/>
      <c r="L83" s="109"/>
      <c r="M83" s="109"/>
      <c r="P83" s="109" t="str">
        <f ca="1">P1</f>
        <v>SWEPCO Project 35 of 73</v>
      </c>
      <c r="Q83" s="1"/>
    </row>
    <row r="84" spans="1:17" ht="18">
      <c r="B84" s="1"/>
      <c r="C84" s="1"/>
      <c r="D84" s="2"/>
      <c r="E84" s="1"/>
      <c r="F84" s="1"/>
      <c r="G84" s="1"/>
      <c r="H84" s="1"/>
      <c r="I84" s="3"/>
      <c r="J84" s="1"/>
      <c r="K84" s="4"/>
      <c r="L84" s="1"/>
      <c r="M84" s="1"/>
      <c r="P84" s="244" t="s">
        <v>123</v>
      </c>
      <c r="Q84" s="1"/>
    </row>
    <row r="85" spans="1:17" ht="18.75" thickBot="1">
      <c r="B85" s="5" t="s">
        <v>40</v>
      </c>
      <c r="C85" s="197" t="s">
        <v>78</v>
      </c>
      <c r="D85" s="2"/>
      <c r="E85" s="1"/>
      <c r="F85" s="1"/>
      <c r="G85" s="1"/>
      <c r="H85" s="1"/>
      <c r="I85" s="3"/>
      <c r="J85" s="3"/>
      <c r="K85" s="111"/>
      <c r="L85" s="3"/>
      <c r="M85" s="3"/>
      <c r="N85" s="3"/>
      <c r="O85" s="111"/>
      <c r="P85" s="1"/>
      <c r="Q85" s="1"/>
    </row>
    <row r="86" spans="1:17" ht="15.75" thickBot="1">
      <c r="C86" s="67"/>
      <c r="D86" s="2"/>
      <c r="E86" s="1"/>
      <c r="F86" s="1"/>
      <c r="G86" s="1"/>
      <c r="H86" s="1"/>
      <c r="I86" s="3"/>
      <c r="J86" s="3"/>
      <c r="K86" s="111"/>
      <c r="L86" s="265">
        <f>+J92</f>
        <v>2017</v>
      </c>
      <c r="M86" s="266" t="s">
        <v>7</v>
      </c>
      <c r="N86" s="270" t="s">
        <v>154</v>
      </c>
      <c r="O86" s="267" t="s">
        <v>9</v>
      </c>
      <c r="P86" s="1"/>
      <c r="Q86" s="1"/>
    </row>
    <row r="87" spans="1:17" ht="15">
      <c r="C87" s="235" t="s">
        <v>42</v>
      </c>
      <c r="D87" s="2"/>
      <c r="E87" s="1"/>
      <c r="F87" s="1"/>
      <c r="G87" s="1"/>
      <c r="H87" s="113"/>
      <c r="I87" s="1" t="s">
        <v>43</v>
      </c>
      <c r="J87" s="1"/>
      <c r="K87" s="261"/>
      <c r="L87" s="259" t="s">
        <v>381</v>
      </c>
      <c r="M87" s="198">
        <f>IF(J92&lt;D11,0,VLOOKUP(J92,C17:O72,9))</f>
        <v>589031.37569687236</v>
      </c>
      <c r="N87" s="198">
        <f>IF(J92&lt;D11,0,VLOOKUP(J92,C17:O72,11))</f>
        <v>589031.37569687236</v>
      </c>
      <c r="O87" s="199">
        <f>+N87-M87</f>
        <v>0</v>
      </c>
      <c r="P87" s="1"/>
      <c r="Q87" s="1"/>
    </row>
    <row r="88" spans="1:17" ht="15.75">
      <c r="C88" s="8"/>
      <c r="D88" s="2"/>
      <c r="E88" s="1"/>
      <c r="F88" s="1"/>
      <c r="G88" s="1"/>
      <c r="H88" s="1"/>
      <c r="I88" s="117"/>
      <c r="J88" s="117"/>
      <c r="K88" s="263"/>
      <c r="L88" s="264" t="s">
        <v>382</v>
      </c>
      <c r="M88" s="200">
        <f>IF(J92&lt;D11,0,VLOOKUP(J92,C99:P154,6))</f>
        <v>581252.00039105583</v>
      </c>
      <c r="N88" s="200">
        <f>IF(J92&lt;D11,0,VLOOKUP(J92,C99:P154,7))</f>
        <v>581252.00039105583</v>
      </c>
      <c r="O88" s="201">
        <f>+N88-M88</f>
        <v>0</v>
      </c>
      <c r="P88" s="1"/>
      <c r="Q88" s="1"/>
    </row>
    <row r="89" spans="1:17" ht="13.5" thickBot="1">
      <c r="C89" s="121" t="s">
        <v>79</v>
      </c>
      <c r="D89" s="246" t="str">
        <f>+D7</f>
        <v>Diana - Replace North Autotransformer #3</v>
      </c>
      <c r="E89" s="1"/>
      <c r="F89" s="1"/>
      <c r="G89" s="1"/>
      <c r="H89" s="1"/>
      <c r="I89" s="3"/>
      <c r="J89" s="3"/>
      <c r="K89" s="262"/>
      <c r="L89" s="260" t="s">
        <v>151</v>
      </c>
      <c r="M89" s="203">
        <f>+M88-M87</f>
        <v>-7779.3753058165312</v>
      </c>
      <c r="N89" s="203">
        <f>+N88-N87</f>
        <v>-7779.3753058165312</v>
      </c>
      <c r="O89" s="204">
        <f>+O88-O87</f>
        <v>0</v>
      </c>
      <c r="P89" s="1"/>
      <c r="Q89" s="1"/>
    </row>
    <row r="90" spans="1:17" ht="13.5" thickBot="1">
      <c r="C90" s="170"/>
      <c r="D90" s="173" t="str">
        <f>D8</f>
        <v/>
      </c>
      <c r="E90" s="107"/>
      <c r="F90" s="107"/>
      <c r="G90" s="107"/>
      <c r="H90" s="126"/>
      <c r="I90" s="3"/>
      <c r="J90" s="3"/>
      <c r="K90" s="111"/>
      <c r="L90" s="3"/>
      <c r="M90" s="3"/>
      <c r="N90" s="3"/>
      <c r="O90" s="111"/>
      <c r="P90" s="1"/>
      <c r="Q90" s="1"/>
    </row>
    <row r="91" spans="1:17" ht="13.5" thickBot="1">
      <c r="A91" s="103"/>
      <c r="C91" s="205" t="s">
        <v>80</v>
      </c>
      <c r="D91" s="224" t="str">
        <f>+D9</f>
        <v>TP2010065</v>
      </c>
      <c r="E91" s="206"/>
      <c r="F91" s="206"/>
      <c r="G91" s="206"/>
      <c r="H91" s="206"/>
      <c r="I91" s="206"/>
      <c r="J91" s="206"/>
      <c r="K91" s="207"/>
      <c r="P91" s="131"/>
      <c r="Q91" s="1"/>
    </row>
    <row r="92" spans="1:17">
      <c r="C92" s="136" t="s">
        <v>47</v>
      </c>
      <c r="D92" s="417">
        <f>D10</f>
        <v>4344850</v>
      </c>
      <c r="E92" s="21" t="s">
        <v>81</v>
      </c>
      <c r="H92" s="134"/>
      <c r="I92" s="134"/>
      <c r="J92" s="135">
        <f>+'SWE.WS.G.BPU.ATRR.True-up'!M15</f>
        <v>2017</v>
      </c>
      <c r="K92" s="130"/>
      <c r="L92" s="111" t="s">
        <v>82</v>
      </c>
      <c r="P92" s="4"/>
      <c r="Q92" s="1"/>
    </row>
    <row r="93" spans="1:17">
      <c r="C93" s="136" t="s">
        <v>49</v>
      </c>
      <c r="D93" s="218">
        <f>D11</f>
        <v>2013</v>
      </c>
      <c r="E93" s="136" t="s">
        <v>50</v>
      </c>
      <c r="F93" s="134"/>
      <c r="G93" s="134"/>
      <c r="J93" s="138">
        <f>IF(H87="",0,'SWE.WS.G.BPU.ATRR.True-up'!$F$12)</f>
        <v>0</v>
      </c>
      <c r="K93" s="139"/>
      <c r="L93" t="str">
        <f>"          INPUT TRUE-UP ARR (WITH &amp; WITHOUT INCENTIVES) FROM EACH PRIOR YEAR"</f>
        <v xml:space="preserve">          INPUT TRUE-UP ARR (WITH &amp; WITHOUT INCENTIVES) FROM EACH PRIOR YEAR</v>
      </c>
      <c r="P93" s="4"/>
      <c r="Q93" s="1"/>
    </row>
    <row r="94" spans="1:17">
      <c r="C94" s="136" t="s">
        <v>51</v>
      </c>
      <c r="D94" s="218">
        <f>D12</f>
        <v>6</v>
      </c>
      <c r="E94" s="136" t="s">
        <v>52</v>
      </c>
      <c r="F94" s="134"/>
      <c r="G94" s="134"/>
      <c r="J94" s="140">
        <f>'SWE.WS.G.BPU.ATRR.True-up'!$F$80</f>
        <v>0.12147145768398206</v>
      </c>
      <c r="K94" s="141"/>
      <c r="L94" t="s">
        <v>83</v>
      </c>
      <c r="P94" s="4"/>
      <c r="Q94" s="1"/>
    </row>
    <row r="95" spans="1:17">
      <c r="C95" s="136" t="s">
        <v>54</v>
      </c>
      <c r="D95" s="138">
        <f>'SWE.WS.G.BPU.ATRR.True-up'!F$92</f>
        <v>42</v>
      </c>
      <c r="E95" s="136" t="s">
        <v>55</v>
      </c>
      <c r="F95" s="134"/>
      <c r="G95" s="134"/>
      <c r="J95" s="140">
        <f>IF(H87="",J94,'SWE.WS.G.BPU.ATRR.True-up'!$F$79)</f>
        <v>0.12147145768398206</v>
      </c>
      <c r="K95" s="58"/>
      <c r="L95" s="111" t="s">
        <v>56</v>
      </c>
      <c r="M95" s="58"/>
      <c r="N95" s="58"/>
      <c r="O95" s="58"/>
      <c r="P95" s="4"/>
      <c r="Q95" s="1"/>
    </row>
    <row r="96" spans="1:17" ht="13.5" thickBot="1">
      <c r="C96" s="136" t="s">
        <v>57</v>
      </c>
      <c r="D96" s="220" t="str">
        <f>+D14</f>
        <v>No</v>
      </c>
      <c r="E96" s="202" t="s">
        <v>59</v>
      </c>
      <c r="F96" s="208"/>
      <c r="G96" s="208"/>
      <c r="H96" s="209"/>
      <c r="I96" s="209"/>
      <c r="J96" s="124">
        <f>IF(D92=0,0,D92/D95)</f>
        <v>103448.80952380953</v>
      </c>
      <c r="K96" s="111"/>
      <c r="L96" s="111"/>
      <c r="M96" s="111"/>
      <c r="N96" s="111"/>
      <c r="O96" s="111"/>
      <c r="P96" s="4"/>
      <c r="Q96" s="1"/>
    </row>
    <row r="97" spans="1:17" ht="38.25">
      <c r="A97" s="6"/>
      <c r="B97" s="6"/>
      <c r="C97" s="210" t="s">
        <v>47</v>
      </c>
      <c r="D97" s="211" t="s">
        <v>60</v>
      </c>
      <c r="E97" s="146" t="s">
        <v>61</v>
      </c>
      <c r="F97" s="146" t="s">
        <v>62</v>
      </c>
      <c r="G97" s="144" t="s">
        <v>84</v>
      </c>
      <c r="H97" s="434" t="s">
        <v>378</v>
      </c>
      <c r="I97" s="435" t="s">
        <v>379</v>
      </c>
      <c r="J97" s="210" t="s">
        <v>85</v>
      </c>
      <c r="K97" s="212"/>
      <c r="L97" s="271" t="s">
        <v>220</v>
      </c>
      <c r="M97" s="146" t="s">
        <v>86</v>
      </c>
      <c r="N97" s="271" t="s">
        <v>220</v>
      </c>
      <c r="O97" s="146" t="s">
        <v>86</v>
      </c>
      <c r="P97" s="146" t="s">
        <v>65</v>
      </c>
      <c r="Q97" s="1"/>
    </row>
    <row r="98" spans="1:17" ht="13.5" thickBot="1">
      <c r="C98" s="147" t="s">
        <v>66</v>
      </c>
      <c r="D98" s="213" t="s">
        <v>67</v>
      </c>
      <c r="E98" s="147" t="s">
        <v>68</v>
      </c>
      <c r="F98" s="147" t="s">
        <v>67</v>
      </c>
      <c r="G98" s="147" t="s">
        <v>67</v>
      </c>
      <c r="H98" s="407" t="s">
        <v>69</v>
      </c>
      <c r="I98" s="148" t="s">
        <v>70</v>
      </c>
      <c r="J98" s="149" t="s">
        <v>89</v>
      </c>
      <c r="K98" s="150"/>
      <c r="L98" s="151" t="s">
        <v>72</v>
      </c>
      <c r="M98" s="151" t="s">
        <v>72</v>
      </c>
      <c r="N98" s="151" t="s">
        <v>90</v>
      </c>
      <c r="O98" s="151" t="s">
        <v>90</v>
      </c>
      <c r="P98" s="151" t="s">
        <v>90</v>
      </c>
      <c r="Q98" s="1"/>
    </row>
    <row r="99" spans="1:17">
      <c r="C99" s="153">
        <f>IF(D93= "","-",D93)</f>
        <v>2013</v>
      </c>
      <c r="D99" s="409">
        <v>0</v>
      </c>
      <c r="E99" s="410">
        <v>51724.369047619053</v>
      </c>
      <c r="F99" s="411">
        <v>4293122.6309523806</v>
      </c>
      <c r="G99" s="412">
        <v>2146561.3154761903</v>
      </c>
      <c r="H99" s="413">
        <v>342136.30353000003</v>
      </c>
      <c r="I99" s="414">
        <v>342136.30353000003</v>
      </c>
      <c r="J99" s="403">
        <v>0</v>
      </c>
      <c r="K99" s="158"/>
      <c r="L99" s="258">
        <f>H99</f>
        <v>342136.30353000003</v>
      </c>
      <c r="M99" s="257">
        <f>IF(L99&lt;&gt;0,+H99-L99,0)</f>
        <v>0</v>
      </c>
      <c r="N99" s="258">
        <f>I99</f>
        <v>342136.30353000003</v>
      </c>
      <c r="O99" s="158">
        <f>IF(N99&lt;&gt;0,+I99-N99,0)</f>
        <v>0</v>
      </c>
      <c r="P99" s="158">
        <f>+O99-M99</f>
        <v>0</v>
      </c>
      <c r="Q99" s="1"/>
    </row>
    <row r="100" spans="1:17">
      <c r="B100" s="9" t="str">
        <f>IF(D100=F99,"","IU")</f>
        <v/>
      </c>
      <c r="C100" s="153">
        <f>IF(D93="","-",+C99+1)</f>
        <v>2014</v>
      </c>
      <c r="D100" s="409">
        <v>4293122.6309523806</v>
      </c>
      <c r="E100" s="410">
        <v>103448.80952380953</v>
      </c>
      <c r="F100" s="411">
        <v>4189673.8214285709</v>
      </c>
      <c r="G100" s="411">
        <v>4241398.2261904757</v>
      </c>
      <c r="H100" s="413">
        <v>679954.3306665339</v>
      </c>
      <c r="I100" s="414">
        <v>679954.3306665339</v>
      </c>
      <c r="J100" s="158">
        <v>0</v>
      </c>
      <c r="K100" s="158"/>
      <c r="L100" s="258">
        <f>H100</f>
        <v>679954.3306665339</v>
      </c>
      <c r="M100" s="257">
        <f>IF(L100&lt;&gt;0,+H100-L100,0)</f>
        <v>0</v>
      </c>
      <c r="N100" s="258">
        <f>I100</f>
        <v>679954.3306665339</v>
      </c>
      <c r="O100" s="158">
        <f>IF(N100&lt;&gt;0,+I100-N100,0)</f>
        <v>0</v>
      </c>
      <c r="P100" s="158">
        <f>+O100-M100</f>
        <v>0</v>
      </c>
      <c r="Q100" s="1"/>
    </row>
    <row r="101" spans="1:17">
      <c r="B101" s="9" t="str">
        <f t="shared" ref="B101:B154" si="16">IF(D101=F100,"","IU")</f>
        <v/>
      </c>
      <c r="C101" s="153">
        <f>IF(D93="","-",+C100+1)</f>
        <v>2015</v>
      </c>
      <c r="D101" s="409">
        <v>4189673.8214285709</v>
      </c>
      <c r="E101" s="410">
        <v>103448.80952380953</v>
      </c>
      <c r="F101" s="411">
        <v>4086225.0119047612</v>
      </c>
      <c r="G101" s="411">
        <v>4137949.416666666</v>
      </c>
      <c r="H101" s="413">
        <v>665893.21056754142</v>
      </c>
      <c r="I101" s="414">
        <v>665893.21056754142</v>
      </c>
      <c r="J101" s="158">
        <v>0</v>
      </c>
      <c r="K101" s="158"/>
      <c r="L101" s="258">
        <f>H101</f>
        <v>665893.21056754142</v>
      </c>
      <c r="M101" s="257">
        <f>IF(L101&lt;&gt;0,+H101-L101,0)</f>
        <v>0</v>
      </c>
      <c r="N101" s="258">
        <f>I101</f>
        <v>665893.21056754142</v>
      </c>
      <c r="O101" s="158">
        <f>IF(N101&lt;&gt;0,+I101-N101,0)</f>
        <v>0</v>
      </c>
      <c r="P101" s="158">
        <f>+O101-M101</f>
        <v>0</v>
      </c>
      <c r="Q101" s="1"/>
    </row>
    <row r="102" spans="1:17">
      <c r="B102" s="9" t="str">
        <f t="shared" si="16"/>
        <v>IU</v>
      </c>
      <c r="C102" s="153">
        <f>IF(D93="","-",+C101+1)</f>
        <v>2016</v>
      </c>
      <c r="D102" s="409">
        <v>4086228.0119047621</v>
      </c>
      <c r="E102" s="410">
        <v>101043.02325581395</v>
      </c>
      <c r="F102" s="411">
        <v>3985184.9886489483</v>
      </c>
      <c r="G102" s="411">
        <v>4035706.5002768552</v>
      </c>
      <c r="H102" s="413">
        <v>613375.91620122688</v>
      </c>
      <c r="I102" s="414">
        <v>613375.91620122688</v>
      </c>
      <c r="J102" s="158">
        <v>0</v>
      </c>
      <c r="K102" s="158"/>
      <c r="L102" s="258">
        <f>H102</f>
        <v>613375.91620122688</v>
      </c>
      <c r="M102" s="257">
        <f>IF(L102&lt;&gt;0,+H102-L102,0)</f>
        <v>0</v>
      </c>
      <c r="N102" s="258">
        <f>I102</f>
        <v>613375.91620122688</v>
      </c>
      <c r="O102" s="158">
        <f>IF(N102&lt;&gt;0,+I102-N102,0)</f>
        <v>0</v>
      </c>
      <c r="P102" s="158">
        <f>+O102-M102</f>
        <v>0</v>
      </c>
      <c r="Q102" s="1"/>
    </row>
    <row r="103" spans="1:17">
      <c r="B103" s="9" t="str">
        <f t="shared" si="16"/>
        <v/>
      </c>
      <c r="C103" s="153">
        <f>IF(D93="","-",+C102+1)</f>
        <v>2017</v>
      </c>
      <c r="D103" s="154">
        <f>IF(F102+SUM(E$99:E102)=D$92,F102,D$92-SUM(E$99:E102))</f>
        <v>3985184.9886489483</v>
      </c>
      <c r="E103" s="160">
        <f t="shared" ref="E103:E154" si="17">IF(+$J$96&lt;F102,$J$96,D103)</f>
        <v>103448.80952380953</v>
      </c>
      <c r="F103" s="159">
        <f t="shared" ref="F103:F154" si="18">+D103-E103</f>
        <v>3881736.1791251386</v>
      </c>
      <c r="G103" s="159">
        <f t="shared" ref="G103:G154" si="19">+(F103+D103)/2</f>
        <v>3933460.5838870434</v>
      </c>
      <c r="H103" s="163">
        <f t="shared" ref="H103:H154" si="20">+J$94*G103+E103</f>
        <v>581252.00039105583</v>
      </c>
      <c r="I103" s="253">
        <f t="shared" ref="I103:I154" si="21">+J$95*G103+E103</f>
        <v>581252.00039105583</v>
      </c>
      <c r="J103" s="158">
        <f t="shared" ref="J103:J154" si="22">+I103-H103</f>
        <v>0</v>
      </c>
      <c r="K103" s="158"/>
      <c r="L103" s="334"/>
      <c r="M103" s="158">
        <f t="shared" ref="M103:M130" si="23">IF(L103&lt;&gt;0,+H103-L103,0)</f>
        <v>0</v>
      </c>
      <c r="N103" s="334"/>
      <c r="O103" s="158">
        <f t="shared" ref="O103:O130" si="24">IF(N103&lt;&gt;0,+I103-N103,0)</f>
        <v>0</v>
      </c>
      <c r="P103" s="158">
        <f t="shared" ref="P103:P130" si="25">+O103-M103</f>
        <v>0</v>
      </c>
      <c r="Q103" s="1"/>
    </row>
    <row r="104" spans="1:17">
      <c r="B104" s="9" t="str">
        <f t="shared" si="16"/>
        <v/>
      </c>
      <c r="C104" s="153">
        <f>IF(D93="","-",+C103+1)</f>
        <v>2018</v>
      </c>
      <c r="D104" s="154">
        <f>IF(F103+SUM(E$99:E103)=D$92,F103,D$92-SUM(E$99:E103))</f>
        <v>3881736.1791251386</v>
      </c>
      <c r="E104" s="160">
        <f t="shared" si="17"/>
        <v>103448.80952380953</v>
      </c>
      <c r="F104" s="159">
        <f t="shared" si="18"/>
        <v>3778287.3696013289</v>
      </c>
      <c r="G104" s="159">
        <f t="shared" si="19"/>
        <v>3830011.7743632337</v>
      </c>
      <c r="H104" s="163">
        <f t="shared" si="20"/>
        <v>568685.92270252609</v>
      </c>
      <c r="I104" s="253">
        <f t="shared" si="21"/>
        <v>568685.92270252609</v>
      </c>
      <c r="J104" s="158">
        <f t="shared" si="22"/>
        <v>0</v>
      </c>
      <c r="K104" s="158"/>
      <c r="L104" s="334"/>
      <c r="M104" s="158">
        <f t="shared" si="23"/>
        <v>0</v>
      </c>
      <c r="N104" s="334"/>
      <c r="O104" s="158">
        <f t="shared" si="24"/>
        <v>0</v>
      </c>
      <c r="P104" s="158">
        <f t="shared" si="25"/>
        <v>0</v>
      </c>
      <c r="Q104" s="1"/>
    </row>
    <row r="105" spans="1:17">
      <c r="B105" s="9" t="str">
        <f t="shared" si="16"/>
        <v/>
      </c>
      <c r="C105" s="153">
        <f>IF(D93="","-",+C104+1)</f>
        <v>2019</v>
      </c>
      <c r="D105" s="154">
        <f>IF(F104+SUM(E$99:E104)=D$92,F104,D$92-SUM(E$99:E104))</f>
        <v>3778287.3696013289</v>
      </c>
      <c r="E105" s="160">
        <f t="shared" si="17"/>
        <v>103448.80952380953</v>
      </c>
      <c r="F105" s="159">
        <f t="shared" si="18"/>
        <v>3674838.5600775192</v>
      </c>
      <c r="G105" s="159">
        <f t="shared" si="19"/>
        <v>3726562.964839424</v>
      </c>
      <c r="H105" s="163">
        <f t="shared" si="20"/>
        <v>556119.84501399635</v>
      </c>
      <c r="I105" s="253">
        <f t="shared" si="21"/>
        <v>556119.84501399635</v>
      </c>
      <c r="J105" s="158">
        <f t="shared" si="22"/>
        <v>0</v>
      </c>
      <c r="K105" s="158"/>
      <c r="L105" s="334"/>
      <c r="M105" s="158">
        <f t="shared" si="23"/>
        <v>0</v>
      </c>
      <c r="N105" s="334"/>
      <c r="O105" s="158">
        <f t="shared" si="24"/>
        <v>0</v>
      </c>
      <c r="P105" s="158">
        <f t="shared" si="25"/>
        <v>0</v>
      </c>
      <c r="Q105" s="1"/>
    </row>
    <row r="106" spans="1:17">
      <c r="B106" s="9" t="str">
        <f t="shared" si="16"/>
        <v/>
      </c>
      <c r="C106" s="153">
        <f>IF(D93="","-",+C105+1)</f>
        <v>2020</v>
      </c>
      <c r="D106" s="154">
        <f>IF(F105+SUM(E$99:E105)=D$92,F105,D$92-SUM(E$99:E105))</f>
        <v>3674838.5600775192</v>
      </c>
      <c r="E106" s="160">
        <f t="shared" si="17"/>
        <v>103448.80952380953</v>
      </c>
      <c r="F106" s="159">
        <f t="shared" si="18"/>
        <v>3571389.7505537095</v>
      </c>
      <c r="G106" s="159">
        <f t="shared" si="19"/>
        <v>3623114.1553156143</v>
      </c>
      <c r="H106" s="163">
        <f t="shared" si="20"/>
        <v>543553.7673254665</v>
      </c>
      <c r="I106" s="253">
        <f t="shared" si="21"/>
        <v>543553.7673254665</v>
      </c>
      <c r="J106" s="158">
        <f t="shared" si="22"/>
        <v>0</v>
      </c>
      <c r="K106" s="158"/>
      <c r="L106" s="334"/>
      <c r="M106" s="158">
        <f t="shared" si="23"/>
        <v>0</v>
      </c>
      <c r="N106" s="334"/>
      <c r="O106" s="158">
        <f t="shared" si="24"/>
        <v>0</v>
      </c>
      <c r="P106" s="158">
        <f t="shared" si="25"/>
        <v>0</v>
      </c>
      <c r="Q106" s="1"/>
    </row>
    <row r="107" spans="1:17">
      <c r="B107" s="9" t="str">
        <f t="shared" si="16"/>
        <v/>
      </c>
      <c r="C107" s="153">
        <f>IF(D93="","-",+C106+1)</f>
        <v>2021</v>
      </c>
      <c r="D107" s="154">
        <f>IF(F106+SUM(E$99:E106)=D$92,F106,D$92-SUM(E$99:E106))</f>
        <v>3571389.7505537095</v>
      </c>
      <c r="E107" s="160">
        <f t="shared" si="17"/>
        <v>103448.80952380953</v>
      </c>
      <c r="F107" s="159">
        <f t="shared" si="18"/>
        <v>3467940.9410298998</v>
      </c>
      <c r="G107" s="159">
        <f t="shared" si="19"/>
        <v>3519665.3457918046</v>
      </c>
      <c r="H107" s="163">
        <f t="shared" si="20"/>
        <v>530987.68963693688</v>
      </c>
      <c r="I107" s="253">
        <f t="shared" si="21"/>
        <v>530987.68963693688</v>
      </c>
      <c r="J107" s="158">
        <f t="shared" si="22"/>
        <v>0</v>
      </c>
      <c r="K107" s="158"/>
      <c r="L107" s="334"/>
      <c r="M107" s="158">
        <f t="shared" si="23"/>
        <v>0</v>
      </c>
      <c r="N107" s="334"/>
      <c r="O107" s="158">
        <f t="shared" si="24"/>
        <v>0</v>
      </c>
      <c r="P107" s="158">
        <f t="shared" si="25"/>
        <v>0</v>
      </c>
      <c r="Q107" s="1"/>
    </row>
    <row r="108" spans="1:17">
      <c r="B108" s="9" t="str">
        <f t="shared" si="16"/>
        <v/>
      </c>
      <c r="C108" s="153">
        <f>IF(D93="","-",+C107+1)</f>
        <v>2022</v>
      </c>
      <c r="D108" s="154">
        <f>IF(F107+SUM(E$99:E107)=D$92,F107,D$92-SUM(E$99:E107))</f>
        <v>3467940.9410298998</v>
      </c>
      <c r="E108" s="160">
        <f t="shared" si="17"/>
        <v>103448.80952380953</v>
      </c>
      <c r="F108" s="159">
        <f t="shared" si="18"/>
        <v>3364492.1315060901</v>
      </c>
      <c r="G108" s="159">
        <f t="shared" si="19"/>
        <v>3416216.5362679949</v>
      </c>
      <c r="H108" s="163">
        <f t="shared" si="20"/>
        <v>518421.61194840702</v>
      </c>
      <c r="I108" s="253">
        <f t="shared" si="21"/>
        <v>518421.61194840702</v>
      </c>
      <c r="J108" s="158">
        <f t="shared" si="22"/>
        <v>0</v>
      </c>
      <c r="K108" s="158"/>
      <c r="L108" s="334"/>
      <c r="M108" s="158">
        <f t="shared" si="23"/>
        <v>0</v>
      </c>
      <c r="N108" s="334"/>
      <c r="O108" s="158">
        <f t="shared" si="24"/>
        <v>0</v>
      </c>
      <c r="P108" s="158">
        <f t="shared" si="25"/>
        <v>0</v>
      </c>
      <c r="Q108" s="1"/>
    </row>
    <row r="109" spans="1:17">
      <c r="B109" s="9" t="str">
        <f t="shared" si="16"/>
        <v/>
      </c>
      <c r="C109" s="153">
        <f>IF(D93="","-",+C108+1)</f>
        <v>2023</v>
      </c>
      <c r="D109" s="154">
        <f>IF(F108+SUM(E$99:E108)=D$92,F108,D$92-SUM(E$99:E108))</f>
        <v>3364492.1315060901</v>
      </c>
      <c r="E109" s="160">
        <f t="shared" si="17"/>
        <v>103448.80952380953</v>
      </c>
      <c r="F109" s="159">
        <f t="shared" si="18"/>
        <v>3261043.3219822804</v>
      </c>
      <c r="G109" s="159">
        <f t="shared" si="19"/>
        <v>3312767.7267441852</v>
      </c>
      <c r="H109" s="163">
        <f t="shared" si="20"/>
        <v>505855.53425987723</v>
      </c>
      <c r="I109" s="253">
        <f t="shared" si="21"/>
        <v>505855.53425987723</v>
      </c>
      <c r="J109" s="158">
        <f t="shared" si="22"/>
        <v>0</v>
      </c>
      <c r="K109" s="158"/>
      <c r="L109" s="334"/>
      <c r="M109" s="158">
        <f t="shared" si="23"/>
        <v>0</v>
      </c>
      <c r="N109" s="334"/>
      <c r="O109" s="158">
        <f t="shared" si="24"/>
        <v>0</v>
      </c>
      <c r="P109" s="158">
        <f t="shared" si="25"/>
        <v>0</v>
      </c>
      <c r="Q109" s="1"/>
    </row>
    <row r="110" spans="1:17">
      <c r="B110" s="9" t="str">
        <f t="shared" si="16"/>
        <v/>
      </c>
      <c r="C110" s="153">
        <f>IF(D93="","-",+C109+1)</f>
        <v>2024</v>
      </c>
      <c r="D110" s="154">
        <f>IF(F109+SUM(E$99:E109)=D$92,F109,D$92-SUM(E$99:E109))</f>
        <v>3261043.3219822804</v>
      </c>
      <c r="E110" s="160">
        <f t="shared" si="17"/>
        <v>103448.80952380953</v>
      </c>
      <c r="F110" s="159">
        <f t="shared" si="18"/>
        <v>3157594.5124584707</v>
      </c>
      <c r="G110" s="159">
        <f t="shared" si="19"/>
        <v>3209318.9172203755</v>
      </c>
      <c r="H110" s="163">
        <f t="shared" si="20"/>
        <v>493289.45657134749</v>
      </c>
      <c r="I110" s="253">
        <f t="shared" si="21"/>
        <v>493289.45657134749</v>
      </c>
      <c r="J110" s="158">
        <f t="shared" si="22"/>
        <v>0</v>
      </c>
      <c r="K110" s="158"/>
      <c r="L110" s="334"/>
      <c r="M110" s="158">
        <f t="shared" si="23"/>
        <v>0</v>
      </c>
      <c r="N110" s="334"/>
      <c r="O110" s="158">
        <f t="shared" si="24"/>
        <v>0</v>
      </c>
      <c r="P110" s="158">
        <f t="shared" si="25"/>
        <v>0</v>
      </c>
      <c r="Q110" s="1"/>
    </row>
    <row r="111" spans="1:17">
      <c r="B111" s="9" t="str">
        <f t="shared" si="16"/>
        <v/>
      </c>
      <c r="C111" s="153">
        <f>IF(D93="","-",+C110+1)</f>
        <v>2025</v>
      </c>
      <c r="D111" s="154">
        <f>IF(F110+SUM(E$99:E110)=D$92,F110,D$92-SUM(E$99:E110))</f>
        <v>3157594.5124584707</v>
      </c>
      <c r="E111" s="160">
        <f t="shared" si="17"/>
        <v>103448.80952380953</v>
      </c>
      <c r="F111" s="159">
        <f t="shared" si="18"/>
        <v>3054145.7029346609</v>
      </c>
      <c r="G111" s="159">
        <f t="shared" si="19"/>
        <v>3105870.1076965658</v>
      </c>
      <c r="H111" s="163">
        <f t="shared" si="20"/>
        <v>480723.37888281769</v>
      </c>
      <c r="I111" s="253">
        <f t="shared" si="21"/>
        <v>480723.37888281769</v>
      </c>
      <c r="J111" s="158">
        <f t="shared" si="22"/>
        <v>0</v>
      </c>
      <c r="K111" s="158"/>
      <c r="L111" s="334"/>
      <c r="M111" s="158">
        <f t="shared" si="23"/>
        <v>0</v>
      </c>
      <c r="N111" s="334"/>
      <c r="O111" s="158">
        <f t="shared" si="24"/>
        <v>0</v>
      </c>
      <c r="P111" s="158">
        <f t="shared" si="25"/>
        <v>0</v>
      </c>
      <c r="Q111" s="1"/>
    </row>
    <row r="112" spans="1:17">
      <c r="B112" s="9" t="str">
        <f t="shared" si="16"/>
        <v/>
      </c>
      <c r="C112" s="153">
        <f>IF(D93="","-",+C111+1)</f>
        <v>2026</v>
      </c>
      <c r="D112" s="154">
        <f>IF(F111+SUM(E$99:E111)=D$92,F111,D$92-SUM(E$99:E111))</f>
        <v>3054145.7029346609</v>
      </c>
      <c r="E112" s="160">
        <f t="shared" si="17"/>
        <v>103448.80952380953</v>
      </c>
      <c r="F112" s="159">
        <f t="shared" si="18"/>
        <v>2950696.8934108512</v>
      </c>
      <c r="G112" s="159">
        <f t="shared" si="19"/>
        <v>3002421.2981727561</v>
      </c>
      <c r="H112" s="163">
        <f t="shared" si="20"/>
        <v>468157.30119428795</v>
      </c>
      <c r="I112" s="253">
        <f t="shared" si="21"/>
        <v>468157.30119428795</v>
      </c>
      <c r="J112" s="158">
        <f t="shared" si="22"/>
        <v>0</v>
      </c>
      <c r="K112" s="158"/>
      <c r="L112" s="334"/>
      <c r="M112" s="158">
        <f t="shared" si="23"/>
        <v>0</v>
      </c>
      <c r="N112" s="334"/>
      <c r="O112" s="158">
        <f t="shared" si="24"/>
        <v>0</v>
      </c>
      <c r="P112" s="158">
        <f t="shared" si="25"/>
        <v>0</v>
      </c>
      <c r="Q112" s="1"/>
    </row>
    <row r="113" spans="2:17">
      <c r="B113" s="9" t="str">
        <f t="shared" si="16"/>
        <v/>
      </c>
      <c r="C113" s="153">
        <f>IF(D93="","-",+C112+1)</f>
        <v>2027</v>
      </c>
      <c r="D113" s="154">
        <f>IF(F112+SUM(E$99:E112)=D$92,F112,D$92-SUM(E$99:E112))</f>
        <v>2950696.8934108512</v>
      </c>
      <c r="E113" s="160">
        <f t="shared" si="17"/>
        <v>103448.80952380953</v>
      </c>
      <c r="F113" s="159">
        <f t="shared" si="18"/>
        <v>2847248.0838870415</v>
      </c>
      <c r="G113" s="159">
        <f t="shared" si="19"/>
        <v>2898972.4886489464</v>
      </c>
      <c r="H113" s="163">
        <f t="shared" si="20"/>
        <v>455591.22350575816</v>
      </c>
      <c r="I113" s="253">
        <f t="shared" si="21"/>
        <v>455591.22350575816</v>
      </c>
      <c r="J113" s="158">
        <f t="shared" si="22"/>
        <v>0</v>
      </c>
      <c r="K113" s="158"/>
      <c r="L113" s="334"/>
      <c r="M113" s="158">
        <f t="shared" si="23"/>
        <v>0</v>
      </c>
      <c r="N113" s="334"/>
      <c r="O113" s="158">
        <f t="shared" si="24"/>
        <v>0</v>
      </c>
      <c r="P113" s="158">
        <f t="shared" si="25"/>
        <v>0</v>
      </c>
      <c r="Q113" s="1"/>
    </row>
    <row r="114" spans="2:17">
      <c r="B114" s="9" t="str">
        <f t="shared" si="16"/>
        <v/>
      </c>
      <c r="C114" s="153">
        <f>IF(D93="","-",+C113+1)</f>
        <v>2028</v>
      </c>
      <c r="D114" s="154">
        <f>IF(F113+SUM(E$99:E113)=D$92,F113,D$92-SUM(E$99:E113))</f>
        <v>2847248.0838870415</v>
      </c>
      <c r="E114" s="160">
        <f t="shared" si="17"/>
        <v>103448.80952380953</v>
      </c>
      <c r="F114" s="159">
        <f t="shared" si="18"/>
        <v>2743799.2743632318</v>
      </c>
      <c r="G114" s="159">
        <f t="shared" si="19"/>
        <v>2795523.6791251367</v>
      </c>
      <c r="H114" s="163">
        <f t="shared" si="20"/>
        <v>443025.14581722842</v>
      </c>
      <c r="I114" s="253">
        <f t="shared" si="21"/>
        <v>443025.14581722842</v>
      </c>
      <c r="J114" s="158">
        <f t="shared" si="22"/>
        <v>0</v>
      </c>
      <c r="K114" s="158"/>
      <c r="L114" s="334"/>
      <c r="M114" s="158">
        <f t="shared" si="23"/>
        <v>0</v>
      </c>
      <c r="N114" s="334"/>
      <c r="O114" s="158">
        <f t="shared" si="24"/>
        <v>0</v>
      </c>
      <c r="P114" s="158">
        <f t="shared" si="25"/>
        <v>0</v>
      </c>
      <c r="Q114" s="1"/>
    </row>
    <row r="115" spans="2:17">
      <c r="B115" s="9" t="str">
        <f t="shared" si="16"/>
        <v/>
      </c>
      <c r="C115" s="153">
        <f>IF(D93="","-",+C114+1)</f>
        <v>2029</v>
      </c>
      <c r="D115" s="154">
        <f>IF(F114+SUM(E$99:E114)=D$92,F114,D$92-SUM(E$99:E114))</f>
        <v>2743799.2743632318</v>
      </c>
      <c r="E115" s="160">
        <f t="shared" si="17"/>
        <v>103448.80952380953</v>
      </c>
      <c r="F115" s="159">
        <f t="shared" si="18"/>
        <v>2640350.4648394221</v>
      </c>
      <c r="G115" s="159">
        <f t="shared" si="19"/>
        <v>2692074.869601327</v>
      </c>
      <c r="H115" s="163">
        <f t="shared" si="20"/>
        <v>430459.06812869862</v>
      </c>
      <c r="I115" s="253">
        <f t="shared" si="21"/>
        <v>430459.06812869862</v>
      </c>
      <c r="J115" s="158">
        <f t="shared" si="22"/>
        <v>0</v>
      </c>
      <c r="K115" s="158"/>
      <c r="L115" s="334"/>
      <c r="M115" s="158">
        <f t="shared" si="23"/>
        <v>0</v>
      </c>
      <c r="N115" s="334"/>
      <c r="O115" s="158">
        <f t="shared" si="24"/>
        <v>0</v>
      </c>
      <c r="P115" s="158">
        <f t="shared" si="25"/>
        <v>0</v>
      </c>
      <c r="Q115" s="1"/>
    </row>
    <row r="116" spans="2:17">
      <c r="B116" s="9" t="str">
        <f t="shared" si="16"/>
        <v/>
      </c>
      <c r="C116" s="153">
        <f>IF(D93="","-",+C115+1)</f>
        <v>2030</v>
      </c>
      <c r="D116" s="154">
        <f>IF(F115+SUM(E$99:E115)=D$92,F115,D$92-SUM(E$99:E115))</f>
        <v>2640350.4648394221</v>
      </c>
      <c r="E116" s="160">
        <f t="shared" si="17"/>
        <v>103448.80952380953</v>
      </c>
      <c r="F116" s="159">
        <f t="shared" si="18"/>
        <v>2536901.6553156124</v>
      </c>
      <c r="G116" s="159">
        <f t="shared" si="19"/>
        <v>2588626.0600775173</v>
      </c>
      <c r="H116" s="163">
        <f t="shared" si="20"/>
        <v>417892.99044016888</v>
      </c>
      <c r="I116" s="253">
        <f t="shared" si="21"/>
        <v>417892.99044016888</v>
      </c>
      <c r="J116" s="158">
        <f t="shared" si="22"/>
        <v>0</v>
      </c>
      <c r="K116" s="158"/>
      <c r="L116" s="334"/>
      <c r="M116" s="158">
        <f t="shared" si="23"/>
        <v>0</v>
      </c>
      <c r="N116" s="334"/>
      <c r="O116" s="158">
        <f t="shared" si="24"/>
        <v>0</v>
      </c>
      <c r="P116" s="158">
        <f t="shared" si="25"/>
        <v>0</v>
      </c>
      <c r="Q116" s="1"/>
    </row>
    <row r="117" spans="2:17">
      <c r="B117" s="9" t="str">
        <f t="shared" si="16"/>
        <v/>
      </c>
      <c r="C117" s="153">
        <f>IF(D93="","-",+C116+1)</f>
        <v>2031</v>
      </c>
      <c r="D117" s="154">
        <f>IF(F116+SUM(E$99:E116)=D$92,F116,D$92-SUM(E$99:E116))</f>
        <v>2536901.6553156124</v>
      </c>
      <c r="E117" s="160">
        <f t="shared" si="17"/>
        <v>103448.80952380953</v>
      </c>
      <c r="F117" s="159">
        <f t="shared" si="18"/>
        <v>2433452.8457918027</v>
      </c>
      <c r="G117" s="159">
        <f t="shared" si="19"/>
        <v>2485177.2505537076</v>
      </c>
      <c r="H117" s="163">
        <f t="shared" si="20"/>
        <v>405326.91275163909</v>
      </c>
      <c r="I117" s="253">
        <f t="shared" si="21"/>
        <v>405326.91275163909</v>
      </c>
      <c r="J117" s="158">
        <f t="shared" si="22"/>
        <v>0</v>
      </c>
      <c r="K117" s="158"/>
      <c r="L117" s="334"/>
      <c r="M117" s="158">
        <f t="shared" si="23"/>
        <v>0</v>
      </c>
      <c r="N117" s="334"/>
      <c r="O117" s="158">
        <f t="shared" si="24"/>
        <v>0</v>
      </c>
      <c r="P117" s="158">
        <f t="shared" si="25"/>
        <v>0</v>
      </c>
      <c r="Q117" s="1"/>
    </row>
    <row r="118" spans="2:17">
      <c r="B118" s="9" t="str">
        <f t="shared" si="16"/>
        <v/>
      </c>
      <c r="C118" s="153">
        <f>IF(D93="","-",+C117+1)</f>
        <v>2032</v>
      </c>
      <c r="D118" s="154">
        <f>IF(F117+SUM(E$99:E117)=D$92,F117,D$92-SUM(E$99:E117))</f>
        <v>2433452.8457918027</v>
      </c>
      <c r="E118" s="160">
        <f t="shared" si="17"/>
        <v>103448.80952380953</v>
      </c>
      <c r="F118" s="159">
        <f t="shared" si="18"/>
        <v>2330004.036267993</v>
      </c>
      <c r="G118" s="159">
        <f t="shared" si="19"/>
        <v>2381728.4410298979</v>
      </c>
      <c r="H118" s="163">
        <f t="shared" si="20"/>
        <v>392760.83506310935</v>
      </c>
      <c r="I118" s="253">
        <f t="shared" si="21"/>
        <v>392760.83506310935</v>
      </c>
      <c r="J118" s="158">
        <f t="shared" si="22"/>
        <v>0</v>
      </c>
      <c r="K118" s="158"/>
      <c r="L118" s="334"/>
      <c r="M118" s="158">
        <f t="shared" si="23"/>
        <v>0</v>
      </c>
      <c r="N118" s="334"/>
      <c r="O118" s="158">
        <f t="shared" si="24"/>
        <v>0</v>
      </c>
      <c r="P118" s="158">
        <f t="shared" si="25"/>
        <v>0</v>
      </c>
      <c r="Q118" s="1"/>
    </row>
    <row r="119" spans="2:17">
      <c r="B119" s="9" t="str">
        <f t="shared" si="16"/>
        <v/>
      </c>
      <c r="C119" s="153">
        <f>IF(D93="","-",+C118+1)</f>
        <v>2033</v>
      </c>
      <c r="D119" s="154">
        <f>IF(F118+SUM(E$99:E118)=D$92,F118,D$92-SUM(E$99:E118))</f>
        <v>2330004.036267993</v>
      </c>
      <c r="E119" s="160">
        <f t="shared" si="17"/>
        <v>103448.80952380953</v>
      </c>
      <c r="F119" s="159">
        <f t="shared" si="18"/>
        <v>2226555.2267441833</v>
      </c>
      <c r="G119" s="159">
        <f t="shared" si="19"/>
        <v>2278279.6315060882</v>
      </c>
      <c r="H119" s="163">
        <f t="shared" si="20"/>
        <v>380194.75737457955</v>
      </c>
      <c r="I119" s="253">
        <f t="shared" si="21"/>
        <v>380194.75737457955</v>
      </c>
      <c r="J119" s="158">
        <f t="shared" si="22"/>
        <v>0</v>
      </c>
      <c r="K119" s="158"/>
      <c r="L119" s="334"/>
      <c r="M119" s="158">
        <f t="shared" si="23"/>
        <v>0</v>
      </c>
      <c r="N119" s="334"/>
      <c r="O119" s="158">
        <f t="shared" si="24"/>
        <v>0</v>
      </c>
      <c r="P119" s="158">
        <f t="shared" si="25"/>
        <v>0</v>
      </c>
      <c r="Q119" s="1"/>
    </row>
    <row r="120" spans="2:17">
      <c r="B120" s="9" t="str">
        <f t="shared" si="16"/>
        <v/>
      </c>
      <c r="C120" s="153">
        <f>IF(D93="","-",+C119+1)</f>
        <v>2034</v>
      </c>
      <c r="D120" s="154">
        <f>IF(F119+SUM(E$99:E119)=D$92,F119,D$92-SUM(E$99:E119))</f>
        <v>2226555.2267441833</v>
      </c>
      <c r="E120" s="160">
        <f t="shared" si="17"/>
        <v>103448.80952380953</v>
      </c>
      <c r="F120" s="159">
        <f t="shared" si="18"/>
        <v>2123106.4172203736</v>
      </c>
      <c r="G120" s="159">
        <f t="shared" si="19"/>
        <v>2174830.8219822785</v>
      </c>
      <c r="H120" s="163">
        <f t="shared" si="20"/>
        <v>367628.67968604976</v>
      </c>
      <c r="I120" s="253">
        <f t="shared" si="21"/>
        <v>367628.67968604976</v>
      </c>
      <c r="J120" s="158">
        <f t="shared" si="22"/>
        <v>0</v>
      </c>
      <c r="K120" s="158"/>
      <c r="L120" s="334"/>
      <c r="M120" s="158">
        <f t="shared" si="23"/>
        <v>0</v>
      </c>
      <c r="N120" s="334"/>
      <c r="O120" s="158">
        <f t="shared" si="24"/>
        <v>0</v>
      </c>
      <c r="P120" s="158">
        <f t="shared" si="25"/>
        <v>0</v>
      </c>
      <c r="Q120" s="1"/>
    </row>
    <row r="121" spans="2:17">
      <c r="B121" s="9" t="str">
        <f t="shared" si="16"/>
        <v/>
      </c>
      <c r="C121" s="153">
        <f>IF(D93="","-",+C120+1)</f>
        <v>2035</v>
      </c>
      <c r="D121" s="154">
        <f>IF(F120+SUM(E$99:E120)=D$92,F120,D$92-SUM(E$99:E120))</f>
        <v>2123106.4172203736</v>
      </c>
      <c r="E121" s="160">
        <f t="shared" si="17"/>
        <v>103448.80952380953</v>
      </c>
      <c r="F121" s="159">
        <f t="shared" si="18"/>
        <v>2019657.6076965642</v>
      </c>
      <c r="G121" s="159">
        <f t="shared" si="19"/>
        <v>2071382.0124584688</v>
      </c>
      <c r="H121" s="163">
        <f t="shared" si="20"/>
        <v>355062.60199752002</v>
      </c>
      <c r="I121" s="253">
        <f t="shared" si="21"/>
        <v>355062.60199752002</v>
      </c>
      <c r="J121" s="158">
        <f t="shared" si="22"/>
        <v>0</v>
      </c>
      <c r="K121" s="158"/>
      <c r="L121" s="334"/>
      <c r="M121" s="158">
        <f t="shared" si="23"/>
        <v>0</v>
      </c>
      <c r="N121" s="334"/>
      <c r="O121" s="158">
        <f t="shared" si="24"/>
        <v>0</v>
      </c>
      <c r="P121" s="158">
        <f t="shared" si="25"/>
        <v>0</v>
      </c>
      <c r="Q121" s="1"/>
    </row>
    <row r="122" spans="2:17">
      <c r="B122" s="9" t="str">
        <f t="shared" si="16"/>
        <v/>
      </c>
      <c r="C122" s="153">
        <f>IF(D93="","-",+C121+1)</f>
        <v>2036</v>
      </c>
      <c r="D122" s="154">
        <f>IF(F121+SUM(E$99:E121)=D$92,F121,D$92-SUM(E$99:E121))</f>
        <v>2019657.6076965642</v>
      </c>
      <c r="E122" s="160">
        <f t="shared" si="17"/>
        <v>103448.80952380953</v>
      </c>
      <c r="F122" s="159">
        <f t="shared" si="18"/>
        <v>1916208.7981727547</v>
      </c>
      <c r="G122" s="159">
        <f t="shared" si="19"/>
        <v>1967933.2029346596</v>
      </c>
      <c r="H122" s="163">
        <f t="shared" si="20"/>
        <v>342496.52430899034</v>
      </c>
      <c r="I122" s="253">
        <f t="shared" si="21"/>
        <v>342496.52430899034</v>
      </c>
      <c r="J122" s="158">
        <f t="shared" si="22"/>
        <v>0</v>
      </c>
      <c r="K122" s="158"/>
      <c r="L122" s="334"/>
      <c r="M122" s="158">
        <f t="shared" si="23"/>
        <v>0</v>
      </c>
      <c r="N122" s="334"/>
      <c r="O122" s="158">
        <f t="shared" si="24"/>
        <v>0</v>
      </c>
      <c r="P122" s="158">
        <f t="shared" si="25"/>
        <v>0</v>
      </c>
      <c r="Q122" s="1"/>
    </row>
    <row r="123" spans="2:17">
      <c r="B123" s="9" t="str">
        <f t="shared" si="16"/>
        <v/>
      </c>
      <c r="C123" s="153">
        <f>IF(D93="","-",+C122+1)</f>
        <v>2037</v>
      </c>
      <c r="D123" s="154">
        <f>IF(F122+SUM(E$99:E122)=D$92,F122,D$92-SUM(E$99:E122))</f>
        <v>1916208.7981727547</v>
      </c>
      <c r="E123" s="160">
        <f t="shared" si="17"/>
        <v>103448.80952380953</v>
      </c>
      <c r="F123" s="159">
        <f t="shared" si="18"/>
        <v>1812759.9886489452</v>
      </c>
      <c r="G123" s="159">
        <f t="shared" si="19"/>
        <v>1864484.3934108499</v>
      </c>
      <c r="H123" s="163">
        <f t="shared" si="20"/>
        <v>329930.44662046054</v>
      </c>
      <c r="I123" s="253">
        <f t="shared" si="21"/>
        <v>329930.44662046054</v>
      </c>
      <c r="J123" s="158">
        <f t="shared" si="22"/>
        <v>0</v>
      </c>
      <c r="K123" s="158"/>
      <c r="L123" s="334"/>
      <c r="M123" s="158">
        <f t="shared" si="23"/>
        <v>0</v>
      </c>
      <c r="N123" s="334"/>
      <c r="O123" s="158">
        <f t="shared" si="24"/>
        <v>0</v>
      </c>
      <c r="P123" s="158">
        <f t="shared" si="25"/>
        <v>0</v>
      </c>
      <c r="Q123" s="1"/>
    </row>
    <row r="124" spans="2:17">
      <c r="B124" s="9" t="str">
        <f t="shared" si="16"/>
        <v/>
      </c>
      <c r="C124" s="153">
        <f>IF(D93="","-",+C123+1)</f>
        <v>2038</v>
      </c>
      <c r="D124" s="154">
        <f>IF(F123+SUM(E$99:E123)=D$92,F123,D$92-SUM(E$99:E123))</f>
        <v>1812759.9886489452</v>
      </c>
      <c r="E124" s="160">
        <f t="shared" si="17"/>
        <v>103448.80952380953</v>
      </c>
      <c r="F124" s="159">
        <f t="shared" si="18"/>
        <v>1709311.1791251358</v>
      </c>
      <c r="G124" s="159">
        <f t="shared" si="19"/>
        <v>1761035.5838870406</v>
      </c>
      <c r="H124" s="163">
        <f t="shared" si="20"/>
        <v>317364.3689319308</v>
      </c>
      <c r="I124" s="253">
        <f t="shared" si="21"/>
        <v>317364.3689319308</v>
      </c>
      <c r="J124" s="158">
        <f t="shared" si="22"/>
        <v>0</v>
      </c>
      <c r="K124" s="158"/>
      <c r="L124" s="334"/>
      <c r="M124" s="158">
        <f t="shared" si="23"/>
        <v>0</v>
      </c>
      <c r="N124" s="334"/>
      <c r="O124" s="158">
        <f t="shared" si="24"/>
        <v>0</v>
      </c>
      <c r="P124" s="158">
        <f t="shared" si="25"/>
        <v>0</v>
      </c>
      <c r="Q124" s="1"/>
    </row>
    <row r="125" spans="2:17">
      <c r="B125" s="9" t="str">
        <f t="shared" si="16"/>
        <v/>
      </c>
      <c r="C125" s="153">
        <f>IF(D93="","-",+C124+1)</f>
        <v>2039</v>
      </c>
      <c r="D125" s="154">
        <f>IF(F124+SUM(E$99:E124)=D$92,F124,D$92-SUM(E$99:E124))</f>
        <v>1709311.1791251358</v>
      </c>
      <c r="E125" s="160">
        <f t="shared" si="17"/>
        <v>103448.80952380953</v>
      </c>
      <c r="F125" s="159">
        <f t="shared" si="18"/>
        <v>1605862.3696013263</v>
      </c>
      <c r="G125" s="159">
        <f t="shared" si="19"/>
        <v>1657586.7743632309</v>
      </c>
      <c r="H125" s="163">
        <f t="shared" si="20"/>
        <v>304798.29124340101</v>
      </c>
      <c r="I125" s="253">
        <f t="shared" si="21"/>
        <v>304798.29124340101</v>
      </c>
      <c r="J125" s="158">
        <f t="shared" si="22"/>
        <v>0</v>
      </c>
      <c r="K125" s="158"/>
      <c r="L125" s="334"/>
      <c r="M125" s="158">
        <f t="shared" si="23"/>
        <v>0</v>
      </c>
      <c r="N125" s="334"/>
      <c r="O125" s="158">
        <f t="shared" si="24"/>
        <v>0</v>
      </c>
      <c r="P125" s="158">
        <f t="shared" si="25"/>
        <v>0</v>
      </c>
      <c r="Q125" s="1"/>
    </row>
    <row r="126" spans="2:17">
      <c r="B126" s="9" t="str">
        <f t="shared" si="16"/>
        <v/>
      </c>
      <c r="C126" s="153">
        <f>IF(D93="","-",+C125+1)</f>
        <v>2040</v>
      </c>
      <c r="D126" s="154">
        <f>IF(F125+SUM(E$99:E125)=D$92,F125,D$92-SUM(E$99:E125))</f>
        <v>1605862.3696013263</v>
      </c>
      <c r="E126" s="160">
        <f t="shared" si="17"/>
        <v>103448.80952380953</v>
      </c>
      <c r="F126" s="159">
        <f t="shared" si="18"/>
        <v>1502413.5600775168</v>
      </c>
      <c r="G126" s="159">
        <f t="shared" si="19"/>
        <v>1554137.9648394217</v>
      </c>
      <c r="H126" s="163">
        <f t="shared" si="20"/>
        <v>292232.21355487133</v>
      </c>
      <c r="I126" s="253">
        <f t="shared" si="21"/>
        <v>292232.21355487133</v>
      </c>
      <c r="J126" s="158">
        <f t="shared" si="22"/>
        <v>0</v>
      </c>
      <c r="K126" s="158"/>
      <c r="L126" s="334"/>
      <c r="M126" s="158">
        <f t="shared" si="23"/>
        <v>0</v>
      </c>
      <c r="N126" s="334"/>
      <c r="O126" s="158">
        <f t="shared" si="24"/>
        <v>0</v>
      </c>
      <c r="P126" s="158">
        <f t="shared" si="25"/>
        <v>0</v>
      </c>
      <c r="Q126" s="1"/>
    </row>
    <row r="127" spans="2:17">
      <c r="B127" s="9" t="str">
        <f t="shared" si="16"/>
        <v/>
      </c>
      <c r="C127" s="153">
        <f>IF(D93="","-",+C126+1)</f>
        <v>2041</v>
      </c>
      <c r="D127" s="154">
        <f>IF(F126+SUM(E$99:E126)=D$92,F126,D$92-SUM(E$99:E126))</f>
        <v>1502413.5600775168</v>
      </c>
      <c r="E127" s="160">
        <f t="shared" si="17"/>
        <v>103448.80952380953</v>
      </c>
      <c r="F127" s="159">
        <f t="shared" si="18"/>
        <v>1398964.7505537074</v>
      </c>
      <c r="G127" s="159">
        <f t="shared" si="19"/>
        <v>1450689.155315612</v>
      </c>
      <c r="H127" s="163">
        <f t="shared" si="20"/>
        <v>279666.13586634153</v>
      </c>
      <c r="I127" s="253">
        <f t="shared" si="21"/>
        <v>279666.13586634153</v>
      </c>
      <c r="J127" s="158">
        <f t="shared" si="22"/>
        <v>0</v>
      </c>
      <c r="K127" s="158"/>
      <c r="L127" s="334"/>
      <c r="M127" s="158">
        <f t="shared" si="23"/>
        <v>0</v>
      </c>
      <c r="N127" s="334"/>
      <c r="O127" s="158">
        <f t="shared" si="24"/>
        <v>0</v>
      </c>
      <c r="P127" s="158">
        <f t="shared" si="25"/>
        <v>0</v>
      </c>
      <c r="Q127" s="1"/>
    </row>
    <row r="128" spans="2:17">
      <c r="B128" s="9" t="str">
        <f t="shared" si="16"/>
        <v/>
      </c>
      <c r="C128" s="153">
        <f>IF(D93="","-",+C127+1)</f>
        <v>2042</v>
      </c>
      <c r="D128" s="154">
        <f>IF(F127+SUM(E$99:E127)=D$92,F127,D$92-SUM(E$99:E127))</f>
        <v>1398964.7505537074</v>
      </c>
      <c r="E128" s="160">
        <f t="shared" si="17"/>
        <v>103448.80952380953</v>
      </c>
      <c r="F128" s="159">
        <f t="shared" si="18"/>
        <v>1295515.9410298979</v>
      </c>
      <c r="G128" s="159">
        <f t="shared" si="19"/>
        <v>1347240.3457918027</v>
      </c>
      <c r="H128" s="163">
        <f t="shared" si="20"/>
        <v>267100.05817781185</v>
      </c>
      <c r="I128" s="253">
        <f t="shared" si="21"/>
        <v>267100.05817781185</v>
      </c>
      <c r="J128" s="158">
        <f t="shared" si="22"/>
        <v>0</v>
      </c>
      <c r="K128" s="158"/>
      <c r="L128" s="334"/>
      <c r="M128" s="158">
        <f t="shared" si="23"/>
        <v>0</v>
      </c>
      <c r="N128" s="334"/>
      <c r="O128" s="158">
        <f t="shared" si="24"/>
        <v>0</v>
      </c>
      <c r="P128" s="158">
        <f t="shared" si="25"/>
        <v>0</v>
      </c>
      <c r="Q128" s="1"/>
    </row>
    <row r="129" spans="2:17">
      <c r="B129" s="9" t="str">
        <f t="shared" si="16"/>
        <v/>
      </c>
      <c r="C129" s="153">
        <f>IF(D93="","-",+C128+1)</f>
        <v>2043</v>
      </c>
      <c r="D129" s="154">
        <f>IF(F128+SUM(E$99:E128)=D$92,F128,D$92-SUM(E$99:E128))</f>
        <v>1295515.9410298979</v>
      </c>
      <c r="E129" s="160">
        <f t="shared" si="17"/>
        <v>103448.80952380953</v>
      </c>
      <c r="F129" s="159">
        <f t="shared" si="18"/>
        <v>1192067.1315060884</v>
      </c>
      <c r="G129" s="159">
        <f t="shared" si="19"/>
        <v>1243791.536267993</v>
      </c>
      <c r="H129" s="163">
        <f t="shared" si="20"/>
        <v>254533.98048928208</v>
      </c>
      <c r="I129" s="253">
        <f t="shared" si="21"/>
        <v>254533.98048928208</v>
      </c>
      <c r="J129" s="158">
        <f t="shared" si="22"/>
        <v>0</v>
      </c>
      <c r="K129" s="158"/>
      <c r="L129" s="334"/>
      <c r="M129" s="158">
        <f t="shared" si="23"/>
        <v>0</v>
      </c>
      <c r="N129" s="334"/>
      <c r="O129" s="158">
        <f t="shared" si="24"/>
        <v>0</v>
      </c>
      <c r="P129" s="158">
        <f t="shared" si="25"/>
        <v>0</v>
      </c>
      <c r="Q129" s="1"/>
    </row>
    <row r="130" spans="2:17">
      <c r="B130" s="9" t="str">
        <f t="shared" si="16"/>
        <v/>
      </c>
      <c r="C130" s="153">
        <f>IF(D93="","-",+C129+1)</f>
        <v>2044</v>
      </c>
      <c r="D130" s="154">
        <f>IF(F129+SUM(E$99:E129)=D$92,F129,D$92-SUM(E$99:E129))</f>
        <v>1192067.1315060884</v>
      </c>
      <c r="E130" s="160">
        <f t="shared" si="17"/>
        <v>103448.80952380953</v>
      </c>
      <c r="F130" s="159">
        <f t="shared" si="18"/>
        <v>1088618.321982279</v>
      </c>
      <c r="G130" s="159">
        <f t="shared" si="19"/>
        <v>1140342.7267441838</v>
      </c>
      <c r="H130" s="163">
        <f t="shared" si="20"/>
        <v>241967.90280075237</v>
      </c>
      <c r="I130" s="253">
        <f t="shared" si="21"/>
        <v>241967.90280075237</v>
      </c>
      <c r="J130" s="158">
        <f t="shared" si="22"/>
        <v>0</v>
      </c>
      <c r="K130" s="158"/>
      <c r="L130" s="334"/>
      <c r="M130" s="158">
        <f t="shared" si="23"/>
        <v>0</v>
      </c>
      <c r="N130" s="334"/>
      <c r="O130" s="158">
        <f t="shared" si="24"/>
        <v>0</v>
      </c>
      <c r="P130" s="158">
        <f t="shared" si="25"/>
        <v>0</v>
      </c>
      <c r="Q130" s="1"/>
    </row>
    <row r="131" spans="2:17">
      <c r="B131" s="9" t="str">
        <f t="shared" si="16"/>
        <v/>
      </c>
      <c r="C131" s="153">
        <f>IF(D93="","-",+C130+1)</f>
        <v>2045</v>
      </c>
      <c r="D131" s="154">
        <f>IF(F130+SUM(E$99:E130)=D$92,F130,D$92-SUM(E$99:E130))</f>
        <v>1088618.321982279</v>
      </c>
      <c r="E131" s="160">
        <f t="shared" si="17"/>
        <v>103448.80952380953</v>
      </c>
      <c r="F131" s="159">
        <f t="shared" si="18"/>
        <v>985169.51245846949</v>
      </c>
      <c r="G131" s="159">
        <f t="shared" si="19"/>
        <v>1036893.9172203742</v>
      </c>
      <c r="H131" s="163">
        <f t="shared" si="20"/>
        <v>229401.82511222261</v>
      </c>
      <c r="I131" s="253">
        <f t="shared" si="21"/>
        <v>229401.82511222261</v>
      </c>
      <c r="J131" s="158">
        <f t="shared" si="22"/>
        <v>0</v>
      </c>
      <c r="K131" s="158"/>
      <c r="L131" s="334"/>
      <c r="M131" s="158">
        <f t="shared" ref="M131:M154" si="26">IF(L541&lt;&gt;0,+H541-L541,0)</f>
        <v>0</v>
      </c>
      <c r="N131" s="334"/>
      <c r="O131" s="158">
        <f t="shared" ref="O131:O154" si="27">IF(N541&lt;&gt;0,+I541-N541,0)</f>
        <v>0</v>
      </c>
      <c r="P131" s="158">
        <f t="shared" ref="P131:P154" si="28">+O541-M541</f>
        <v>0</v>
      </c>
      <c r="Q131" s="1"/>
    </row>
    <row r="132" spans="2:17">
      <c r="B132" s="9" t="str">
        <f t="shared" si="16"/>
        <v/>
      </c>
      <c r="C132" s="153">
        <f>IF(D93="","-",+C131+1)</f>
        <v>2046</v>
      </c>
      <c r="D132" s="154">
        <f>IF(F131+SUM(E$99:E131)=D$92,F131,D$92-SUM(E$99:E131))</f>
        <v>985169.51245846949</v>
      </c>
      <c r="E132" s="160">
        <f t="shared" si="17"/>
        <v>103448.80952380953</v>
      </c>
      <c r="F132" s="159">
        <f t="shared" si="18"/>
        <v>881720.70293466002</v>
      </c>
      <c r="G132" s="159">
        <f t="shared" si="19"/>
        <v>933445.10769656475</v>
      </c>
      <c r="H132" s="163">
        <f t="shared" si="20"/>
        <v>216835.74742369287</v>
      </c>
      <c r="I132" s="253">
        <f t="shared" si="21"/>
        <v>216835.74742369287</v>
      </c>
      <c r="J132" s="158">
        <f t="shared" si="22"/>
        <v>0</v>
      </c>
      <c r="K132" s="158"/>
      <c r="L132" s="334"/>
      <c r="M132" s="158">
        <f t="shared" si="26"/>
        <v>0</v>
      </c>
      <c r="N132" s="334"/>
      <c r="O132" s="158">
        <f t="shared" si="27"/>
        <v>0</v>
      </c>
      <c r="P132" s="158">
        <f t="shared" si="28"/>
        <v>0</v>
      </c>
      <c r="Q132" s="1"/>
    </row>
    <row r="133" spans="2:17">
      <c r="B133" s="9" t="str">
        <f t="shared" si="16"/>
        <v/>
      </c>
      <c r="C133" s="153">
        <f>IF(D93="","-",+C132+1)</f>
        <v>2047</v>
      </c>
      <c r="D133" s="154">
        <f>IF(F132+SUM(E$99:E132)=D$92,F132,D$92-SUM(E$99:E132))</f>
        <v>881720.70293466002</v>
      </c>
      <c r="E133" s="160">
        <f t="shared" si="17"/>
        <v>103448.80952380953</v>
      </c>
      <c r="F133" s="159">
        <f t="shared" si="18"/>
        <v>778271.89341085055</v>
      </c>
      <c r="G133" s="159">
        <f t="shared" si="19"/>
        <v>829996.29817275528</v>
      </c>
      <c r="H133" s="163">
        <f t="shared" si="20"/>
        <v>204269.66973516313</v>
      </c>
      <c r="I133" s="253">
        <f t="shared" si="21"/>
        <v>204269.66973516313</v>
      </c>
      <c r="J133" s="158">
        <f t="shared" si="22"/>
        <v>0</v>
      </c>
      <c r="K133" s="158"/>
      <c r="L133" s="334"/>
      <c r="M133" s="158">
        <f t="shared" si="26"/>
        <v>0</v>
      </c>
      <c r="N133" s="334"/>
      <c r="O133" s="158">
        <f t="shared" si="27"/>
        <v>0</v>
      </c>
      <c r="P133" s="158">
        <f t="shared" si="28"/>
        <v>0</v>
      </c>
      <c r="Q133" s="1"/>
    </row>
    <row r="134" spans="2:17">
      <c r="B134" s="9" t="str">
        <f t="shared" si="16"/>
        <v/>
      </c>
      <c r="C134" s="153">
        <f>IF(D93="","-",+C133+1)</f>
        <v>2048</v>
      </c>
      <c r="D134" s="154">
        <f>IF(F133+SUM(E$99:E133)=D$92,F133,D$92-SUM(E$99:E133))</f>
        <v>778271.89341085055</v>
      </c>
      <c r="E134" s="160">
        <f t="shared" si="17"/>
        <v>103448.80952380953</v>
      </c>
      <c r="F134" s="159">
        <f t="shared" si="18"/>
        <v>674823.08388704108</v>
      </c>
      <c r="G134" s="159">
        <f t="shared" si="19"/>
        <v>726547.48864894581</v>
      </c>
      <c r="H134" s="163">
        <f t="shared" si="20"/>
        <v>191703.59204663336</v>
      </c>
      <c r="I134" s="253">
        <f t="shared" si="21"/>
        <v>191703.59204663336</v>
      </c>
      <c r="J134" s="158">
        <f t="shared" si="22"/>
        <v>0</v>
      </c>
      <c r="K134" s="158"/>
      <c r="L134" s="334"/>
      <c r="M134" s="158">
        <f t="shared" si="26"/>
        <v>0</v>
      </c>
      <c r="N134" s="334"/>
      <c r="O134" s="158">
        <f t="shared" si="27"/>
        <v>0</v>
      </c>
      <c r="P134" s="158">
        <f t="shared" si="28"/>
        <v>0</v>
      </c>
      <c r="Q134" s="1"/>
    </row>
    <row r="135" spans="2:17">
      <c r="B135" s="9" t="str">
        <f t="shared" si="16"/>
        <v/>
      </c>
      <c r="C135" s="153">
        <f>IF(D93="","-",+C134+1)</f>
        <v>2049</v>
      </c>
      <c r="D135" s="154">
        <f>IF(F134+SUM(E$99:E134)=D$92,F134,D$92-SUM(E$99:E134))</f>
        <v>674823.08388704108</v>
      </c>
      <c r="E135" s="160">
        <f t="shared" si="17"/>
        <v>103448.80952380953</v>
      </c>
      <c r="F135" s="159">
        <f t="shared" si="18"/>
        <v>571374.27436323161</v>
      </c>
      <c r="G135" s="159">
        <f t="shared" si="19"/>
        <v>623098.67912513635</v>
      </c>
      <c r="H135" s="163">
        <f t="shared" si="20"/>
        <v>179137.51435810362</v>
      </c>
      <c r="I135" s="253">
        <f t="shared" si="21"/>
        <v>179137.51435810362</v>
      </c>
      <c r="J135" s="158">
        <f t="shared" si="22"/>
        <v>0</v>
      </c>
      <c r="K135" s="158"/>
      <c r="L135" s="334"/>
      <c r="M135" s="158">
        <f t="shared" si="26"/>
        <v>0</v>
      </c>
      <c r="N135" s="334"/>
      <c r="O135" s="158">
        <f t="shared" si="27"/>
        <v>0</v>
      </c>
      <c r="P135" s="158">
        <f t="shared" si="28"/>
        <v>0</v>
      </c>
      <c r="Q135" s="1"/>
    </row>
    <row r="136" spans="2:17">
      <c r="B136" s="9" t="str">
        <f t="shared" si="16"/>
        <v/>
      </c>
      <c r="C136" s="153">
        <f>IF(D93="","-",+C135+1)</f>
        <v>2050</v>
      </c>
      <c r="D136" s="154">
        <f>IF(F135+SUM(E$99:E135)=D$92,F135,D$92-SUM(E$99:E135))</f>
        <v>571374.27436323161</v>
      </c>
      <c r="E136" s="160">
        <f t="shared" si="17"/>
        <v>103448.80952380953</v>
      </c>
      <c r="F136" s="159">
        <f t="shared" si="18"/>
        <v>467925.46483942209</v>
      </c>
      <c r="G136" s="159">
        <f t="shared" si="19"/>
        <v>519649.86960132688</v>
      </c>
      <c r="H136" s="163">
        <f t="shared" si="20"/>
        <v>166571.43666957389</v>
      </c>
      <c r="I136" s="253">
        <f t="shared" si="21"/>
        <v>166571.43666957389</v>
      </c>
      <c r="J136" s="158">
        <f t="shared" si="22"/>
        <v>0</v>
      </c>
      <c r="K136" s="158"/>
      <c r="L136" s="334"/>
      <c r="M136" s="158">
        <f t="shared" si="26"/>
        <v>0</v>
      </c>
      <c r="N136" s="334"/>
      <c r="O136" s="158">
        <f t="shared" si="27"/>
        <v>0</v>
      </c>
      <c r="P136" s="158">
        <f t="shared" si="28"/>
        <v>0</v>
      </c>
      <c r="Q136" s="1"/>
    </row>
    <row r="137" spans="2:17">
      <c r="B137" s="9" t="str">
        <f t="shared" si="16"/>
        <v/>
      </c>
      <c r="C137" s="153">
        <f>IF(D93="","-",+C136+1)</f>
        <v>2051</v>
      </c>
      <c r="D137" s="154">
        <f>IF(F136+SUM(E$99:E136)=D$92,F136,D$92-SUM(E$99:E136))</f>
        <v>467925.46483942209</v>
      </c>
      <c r="E137" s="160">
        <f t="shared" si="17"/>
        <v>103448.80952380953</v>
      </c>
      <c r="F137" s="159">
        <f t="shared" si="18"/>
        <v>364476.65531561256</v>
      </c>
      <c r="G137" s="159">
        <f t="shared" si="19"/>
        <v>416201.06007751729</v>
      </c>
      <c r="H137" s="163">
        <f t="shared" si="20"/>
        <v>154005.35898104415</v>
      </c>
      <c r="I137" s="253">
        <f t="shared" si="21"/>
        <v>154005.35898104415</v>
      </c>
      <c r="J137" s="158">
        <f t="shared" si="22"/>
        <v>0</v>
      </c>
      <c r="K137" s="158"/>
      <c r="L137" s="334"/>
      <c r="M137" s="158">
        <f t="shared" si="26"/>
        <v>0</v>
      </c>
      <c r="N137" s="334"/>
      <c r="O137" s="158">
        <f t="shared" si="27"/>
        <v>0</v>
      </c>
      <c r="P137" s="158">
        <f t="shared" si="28"/>
        <v>0</v>
      </c>
      <c r="Q137" s="1"/>
    </row>
    <row r="138" spans="2:17">
      <c r="B138" s="9" t="str">
        <f t="shared" si="16"/>
        <v/>
      </c>
      <c r="C138" s="153">
        <f>IF(D93="","-",+C137+1)</f>
        <v>2052</v>
      </c>
      <c r="D138" s="154">
        <f>IF(F137+SUM(E$99:E137)=D$92,F137,D$92-SUM(E$99:E137))</f>
        <v>364476.65531561256</v>
      </c>
      <c r="E138" s="160">
        <f t="shared" si="17"/>
        <v>103448.80952380953</v>
      </c>
      <c r="F138" s="159">
        <f t="shared" si="18"/>
        <v>261027.84579180303</v>
      </c>
      <c r="G138" s="159">
        <f t="shared" si="19"/>
        <v>312752.25055370783</v>
      </c>
      <c r="H138" s="163">
        <f t="shared" si="20"/>
        <v>141439.28129251441</v>
      </c>
      <c r="I138" s="253">
        <f t="shared" si="21"/>
        <v>141439.28129251441</v>
      </c>
      <c r="J138" s="158">
        <f t="shared" si="22"/>
        <v>0</v>
      </c>
      <c r="K138" s="158"/>
      <c r="L138" s="334"/>
      <c r="M138" s="158">
        <f t="shared" si="26"/>
        <v>0</v>
      </c>
      <c r="N138" s="334"/>
      <c r="O138" s="158">
        <f t="shared" si="27"/>
        <v>0</v>
      </c>
      <c r="P138" s="158">
        <f t="shared" si="28"/>
        <v>0</v>
      </c>
      <c r="Q138" s="1"/>
    </row>
    <row r="139" spans="2:17">
      <c r="B139" s="9" t="str">
        <f t="shared" si="16"/>
        <v/>
      </c>
      <c r="C139" s="153">
        <f>IF(D93="","-",+C138+1)</f>
        <v>2053</v>
      </c>
      <c r="D139" s="154">
        <f>IF(F138+SUM(E$99:E138)=D$92,F138,D$92-SUM(E$99:E138))</f>
        <v>261027.84579180303</v>
      </c>
      <c r="E139" s="160">
        <f t="shared" si="17"/>
        <v>103448.80952380953</v>
      </c>
      <c r="F139" s="159">
        <f t="shared" si="18"/>
        <v>157579.03626799351</v>
      </c>
      <c r="G139" s="159">
        <f t="shared" si="19"/>
        <v>209303.44102989827</v>
      </c>
      <c r="H139" s="163">
        <f t="shared" si="20"/>
        <v>128873.20360398464</v>
      </c>
      <c r="I139" s="253">
        <f t="shared" si="21"/>
        <v>128873.20360398464</v>
      </c>
      <c r="J139" s="158">
        <f t="shared" si="22"/>
        <v>0</v>
      </c>
      <c r="K139" s="158"/>
      <c r="L139" s="334"/>
      <c r="M139" s="158">
        <f t="shared" si="26"/>
        <v>0</v>
      </c>
      <c r="N139" s="334"/>
      <c r="O139" s="158">
        <f t="shared" si="27"/>
        <v>0</v>
      </c>
      <c r="P139" s="158">
        <f t="shared" si="28"/>
        <v>0</v>
      </c>
      <c r="Q139" s="1"/>
    </row>
    <row r="140" spans="2:17">
      <c r="B140" s="9" t="str">
        <f t="shared" si="16"/>
        <v/>
      </c>
      <c r="C140" s="153">
        <f>IF(D93="","-",+C139+1)</f>
        <v>2054</v>
      </c>
      <c r="D140" s="154">
        <f>IF(F139+SUM(E$99:E139)=D$92,F139,D$92-SUM(E$99:E139))</f>
        <v>157579.03626799351</v>
      </c>
      <c r="E140" s="160">
        <f t="shared" si="17"/>
        <v>103448.80952380953</v>
      </c>
      <c r="F140" s="159">
        <f t="shared" si="18"/>
        <v>54130.226744183979</v>
      </c>
      <c r="G140" s="159">
        <f t="shared" si="19"/>
        <v>105854.63150608874</v>
      </c>
      <c r="H140" s="163">
        <f t="shared" si="20"/>
        <v>116307.1259154549</v>
      </c>
      <c r="I140" s="253">
        <f t="shared" si="21"/>
        <v>116307.1259154549</v>
      </c>
      <c r="J140" s="158">
        <f t="shared" si="22"/>
        <v>0</v>
      </c>
      <c r="K140" s="158"/>
      <c r="L140" s="334"/>
      <c r="M140" s="158">
        <f t="shared" si="26"/>
        <v>0</v>
      </c>
      <c r="N140" s="334"/>
      <c r="O140" s="158">
        <f t="shared" si="27"/>
        <v>0</v>
      </c>
      <c r="P140" s="158">
        <f t="shared" si="28"/>
        <v>0</v>
      </c>
      <c r="Q140" s="1"/>
    </row>
    <row r="141" spans="2:17">
      <c r="B141" s="9" t="str">
        <f t="shared" si="16"/>
        <v/>
      </c>
      <c r="C141" s="153">
        <f>IF(D93="","-",+C140+1)</f>
        <v>2055</v>
      </c>
      <c r="D141" s="154">
        <f>IF(F140+SUM(E$99:E140)=D$92,F140,D$92-SUM(E$99:E140))</f>
        <v>54130.226744183979</v>
      </c>
      <c r="E141" s="160">
        <f t="shared" si="17"/>
        <v>54130.226744183979</v>
      </c>
      <c r="F141" s="159">
        <f t="shared" si="18"/>
        <v>0</v>
      </c>
      <c r="G141" s="159">
        <f t="shared" si="19"/>
        <v>27065.11337209199</v>
      </c>
      <c r="H141" s="163">
        <f t="shared" si="20"/>
        <v>57417.865517874226</v>
      </c>
      <c r="I141" s="253">
        <f t="shared" si="21"/>
        <v>57417.865517874226</v>
      </c>
      <c r="J141" s="158">
        <f t="shared" si="22"/>
        <v>0</v>
      </c>
      <c r="K141" s="158"/>
      <c r="L141" s="334"/>
      <c r="M141" s="158">
        <f t="shared" si="26"/>
        <v>0</v>
      </c>
      <c r="N141" s="334"/>
      <c r="O141" s="158">
        <f t="shared" si="27"/>
        <v>0</v>
      </c>
      <c r="P141" s="158">
        <f t="shared" si="28"/>
        <v>0</v>
      </c>
      <c r="Q141" s="1"/>
    </row>
    <row r="142" spans="2:17">
      <c r="B142" s="9" t="str">
        <f t="shared" si="16"/>
        <v/>
      </c>
      <c r="C142" s="153">
        <f>IF(D93="","-",+C141+1)</f>
        <v>2056</v>
      </c>
      <c r="D142" s="154">
        <f>IF(F141+SUM(E$99:E141)=D$92,F141,D$92-SUM(E$99:E141))</f>
        <v>0</v>
      </c>
      <c r="E142" s="160">
        <f t="shared" si="17"/>
        <v>0</v>
      </c>
      <c r="F142" s="159">
        <f t="shared" si="18"/>
        <v>0</v>
      </c>
      <c r="G142" s="159">
        <f t="shared" si="19"/>
        <v>0</v>
      </c>
      <c r="H142" s="163">
        <f t="shared" si="20"/>
        <v>0</v>
      </c>
      <c r="I142" s="253">
        <f t="shared" si="21"/>
        <v>0</v>
      </c>
      <c r="J142" s="158">
        <f t="shared" si="22"/>
        <v>0</v>
      </c>
      <c r="K142" s="158"/>
      <c r="L142" s="334"/>
      <c r="M142" s="158">
        <f t="shared" si="26"/>
        <v>0</v>
      </c>
      <c r="N142" s="334"/>
      <c r="O142" s="158">
        <f t="shared" si="27"/>
        <v>0</v>
      </c>
      <c r="P142" s="158">
        <f t="shared" si="28"/>
        <v>0</v>
      </c>
      <c r="Q142" s="1"/>
    </row>
    <row r="143" spans="2:17">
      <c r="B143" s="9" t="str">
        <f t="shared" si="16"/>
        <v/>
      </c>
      <c r="C143" s="153">
        <f>IF(D93="","-",+C142+1)</f>
        <v>2057</v>
      </c>
      <c r="D143" s="154">
        <f>IF(F142+SUM(E$99:E142)=D$92,F142,D$92-SUM(E$99:E142))</f>
        <v>0</v>
      </c>
      <c r="E143" s="160">
        <f t="shared" si="17"/>
        <v>0</v>
      </c>
      <c r="F143" s="159">
        <f t="shared" si="18"/>
        <v>0</v>
      </c>
      <c r="G143" s="159">
        <f t="shared" si="19"/>
        <v>0</v>
      </c>
      <c r="H143" s="163">
        <f t="shared" si="20"/>
        <v>0</v>
      </c>
      <c r="I143" s="253">
        <f t="shared" si="21"/>
        <v>0</v>
      </c>
      <c r="J143" s="158">
        <f t="shared" si="22"/>
        <v>0</v>
      </c>
      <c r="K143" s="158"/>
      <c r="L143" s="334"/>
      <c r="M143" s="158">
        <f t="shared" si="26"/>
        <v>0</v>
      </c>
      <c r="N143" s="334"/>
      <c r="O143" s="158">
        <f t="shared" si="27"/>
        <v>0</v>
      </c>
      <c r="P143" s="158">
        <f t="shared" si="28"/>
        <v>0</v>
      </c>
      <c r="Q143" s="1"/>
    </row>
    <row r="144" spans="2:17">
      <c r="B144" s="9" t="str">
        <f t="shared" si="16"/>
        <v/>
      </c>
      <c r="C144" s="153">
        <f>IF(D93="","-",+C143+1)</f>
        <v>2058</v>
      </c>
      <c r="D144" s="154">
        <f>IF(F143+SUM(E$99:E143)=D$92,F143,D$92-SUM(E$99:E143))</f>
        <v>0</v>
      </c>
      <c r="E144" s="160">
        <f t="shared" si="17"/>
        <v>0</v>
      </c>
      <c r="F144" s="159">
        <f t="shared" si="18"/>
        <v>0</v>
      </c>
      <c r="G144" s="159">
        <f t="shared" si="19"/>
        <v>0</v>
      </c>
      <c r="H144" s="163">
        <f t="shared" si="20"/>
        <v>0</v>
      </c>
      <c r="I144" s="253">
        <f t="shared" si="21"/>
        <v>0</v>
      </c>
      <c r="J144" s="158">
        <f t="shared" si="22"/>
        <v>0</v>
      </c>
      <c r="K144" s="158"/>
      <c r="L144" s="334"/>
      <c r="M144" s="158">
        <f t="shared" si="26"/>
        <v>0</v>
      </c>
      <c r="N144" s="334"/>
      <c r="O144" s="158">
        <f t="shared" si="27"/>
        <v>0</v>
      </c>
      <c r="P144" s="158">
        <f t="shared" si="28"/>
        <v>0</v>
      </c>
      <c r="Q144" s="1"/>
    </row>
    <row r="145" spans="2:17">
      <c r="B145" s="9" t="str">
        <f t="shared" si="16"/>
        <v/>
      </c>
      <c r="C145" s="153">
        <f>IF(D93="","-",+C144+1)</f>
        <v>2059</v>
      </c>
      <c r="D145" s="154">
        <f>IF(F144+SUM(E$99:E144)=D$92,F144,D$92-SUM(E$99:E144))</f>
        <v>0</v>
      </c>
      <c r="E145" s="160">
        <f t="shared" si="17"/>
        <v>0</v>
      </c>
      <c r="F145" s="159">
        <f t="shared" si="18"/>
        <v>0</v>
      </c>
      <c r="G145" s="159">
        <f t="shared" si="19"/>
        <v>0</v>
      </c>
      <c r="H145" s="163">
        <f t="shared" si="20"/>
        <v>0</v>
      </c>
      <c r="I145" s="253">
        <f t="shared" si="21"/>
        <v>0</v>
      </c>
      <c r="J145" s="158">
        <f t="shared" si="22"/>
        <v>0</v>
      </c>
      <c r="K145" s="158"/>
      <c r="L145" s="334"/>
      <c r="M145" s="158">
        <f t="shared" si="26"/>
        <v>0</v>
      </c>
      <c r="N145" s="334"/>
      <c r="O145" s="158">
        <f t="shared" si="27"/>
        <v>0</v>
      </c>
      <c r="P145" s="158">
        <f t="shared" si="28"/>
        <v>0</v>
      </c>
      <c r="Q145" s="1"/>
    </row>
    <row r="146" spans="2:17">
      <c r="B146" s="9" t="str">
        <f t="shared" si="16"/>
        <v/>
      </c>
      <c r="C146" s="153">
        <f>IF(D93="","-",+C145+1)</f>
        <v>2060</v>
      </c>
      <c r="D146" s="154">
        <f>IF(F145+SUM(E$99:E145)=D$92,F145,D$92-SUM(E$99:E145))</f>
        <v>0</v>
      </c>
      <c r="E146" s="160">
        <f t="shared" si="17"/>
        <v>0</v>
      </c>
      <c r="F146" s="159">
        <f t="shared" si="18"/>
        <v>0</v>
      </c>
      <c r="G146" s="159">
        <f t="shared" si="19"/>
        <v>0</v>
      </c>
      <c r="H146" s="163">
        <f t="shared" si="20"/>
        <v>0</v>
      </c>
      <c r="I146" s="253">
        <f t="shared" si="21"/>
        <v>0</v>
      </c>
      <c r="J146" s="158">
        <f t="shared" si="22"/>
        <v>0</v>
      </c>
      <c r="K146" s="158"/>
      <c r="L146" s="334"/>
      <c r="M146" s="158">
        <f t="shared" si="26"/>
        <v>0</v>
      </c>
      <c r="N146" s="334"/>
      <c r="O146" s="158">
        <f t="shared" si="27"/>
        <v>0</v>
      </c>
      <c r="P146" s="158">
        <f t="shared" si="28"/>
        <v>0</v>
      </c>
      <c r="Q146" s="1"/>
    </row>
    <row r="147" spans="2:17">
      <c r="B147" s="9" t="str">
        <f t="shared" si="16"/>
        <v/>
      </c>
      <c r="C147" s="153">
        <f>IF(D93="","-",+C146+1)</f>
        <v>2061</v>
      </c>
      <c r="D147" s="154">
        <f>IF(F146+SUM(E$99:E146)=D$92,F146,D$92-SUM(E$99:E146))</f>
        <v>0</v>
      </c>
      <c r="E147" s="160">
        <f t="shared" si="17"/>
        <v>0</v>
      </c>
      <c r="F147" s="159">
        <f t="shared" si="18"/>
        <v>0</v>
      </c>
      <c r="G147" s="159">
        <f t="shared" si="19"/>
        <v>0</v>
      </c>
      <c r="H147" s="163">
        <f t="shared" si="20"/>
        <v>0</v>
      </c>
      <c r="I147" s="253">
        <f t="shared" si="21"/>
        <v>0</v>
      </c>
      <c r="J147" s="158">
        <f t="shared" si="22"/>
        <v>0</v>
      </c>
      <c r="K147" s="158"/>
      <c r="L147" s="334"/>
      <c r="M147" s="158">
        <f t="shared" si="26"/>
        <v>0</v>
      </c>
      <c r="N147" s="334"/>
      <c r="O147" s="158">
        <f t="shared" si="27"/>
        <v>0</v>
      </c>
      <c r="P147" s="158">
        <f t="shared" si="28"/>
        <v>0</v>
      </c>
      <c r="Q147" s="1"/>
    </row>
    <row r="148" spans="2:17">
      <c r="B148" s="9" t="str">
        <f t="shared" si="16"/>
        <v/>
      </c>
      <c r="C148" s="153">
        <f>IF(D93="","-",+C147+1)</f>
        <v>2062</v>
      </c>
      <c r="D148" s="154">
        <f>IF(F147+SUM(E$99:E147)=D$92,F147,D$92-SUM(E$99:E147))</f>
        <v>0</v>
      </c>
      <c r="E148" s="160">
        <f t="shared" si="17"/>
        <v>0</v>
      </c>
      <c r="F148" s="159">
        <f t="shared" si="18"/>
        <v>0</v>
      </c>
      <c r="G148" s="159">
        <f t="shared" si="19"/>
        <v>0</v>
      </c>
      <c r="H148" s="163">
        <f t="shared" si="20"/>
        <v>0</v>
      </c>
      <c r="I148" s="253">
        <f t="shared" si="21"/>
        <v>0</v>
      </c>
      <c r="J148" s="158">
        <f t="shared" si="22"/>
        <v>0</v>
      </c>
      <c r="K148" s="158"/>
      <c r="L148" s="334"/>
      <c r="M148" s="158">
        <f t="shared" si="26"/>
        <v>0</v>
      </c>
      <c r="N148" s="334"/>
      <c r="O148" s="158">
        <f t="shared" si="27"/>
        <v>0</v>
      </c>
      <c r="P148" s="158">
        <f t="shared" si="28"/>
        <v>0</v>
      </c>
      <c r="Q148" s="1"/>
    </row>
    <row r="149" spans="2:17">
      <c r="B149" s="9" t="str">
        <f t="shared" si="16"/>
        <v/>
      </c>
      <c r="C149" s="153">
        <f>IF(D93="","-",+C148+1)</f>
        <v>2063</v>
      </c>
      <c r="D149" s="154">
        <f>IF(F148+SUM(E$99:E148)=D$92,F148,D$92-SUM(E$99:E148))</f>
        <v>0</v>
      </c>
      <c r="E149" s="160">
        <f t="shared" si="17"/>
        <v>0</v>
      </c>
      <c r="F149" s="159">
        <f t="shared" si="18"/>
        <v>0</v>
      </c>
      <c r="G149" s="159">
        <f t="shared" si="19"/>
        <v>0</v>
      </c>
      <c r="H149" s="163">
        <f t="shared" si="20"/>
        <v>0</v>
      </c>
      <c r="I149" s="253">
        <f t="shared" si="21"/>
        <v>0</v>
      </c>
      <c r="J149" s="158">
        <f t="shared" si="22"/>
        <v>0</v>
      </c>
      <c r="K149" s="158"/>
      <c r="L149" s="334"/>
      <c r="M149" s="158">
        <f t="shared" si="26"/>
        <v>0</v>
      </c>
      <c r="N149" s="334"/>
      <c r="O149" s="158">
        <f t="shared" si="27"/>
        <v>0</v>
      </c>
      <c r="P149" s="158">
        <f t="shared" si="28"/>
        <v>0</v>
      </c>
      <c r="Q149" s="1"/>
    </row>
    <row r="150" spans="2:17">
      <c r="B150" s="9" t="str">
        <f t="shared" si="16"/>
        <v/>
      </c>
      <c r="C150" s="153">
        <f>IF(D93="","-",+C149+1)</f>
        <v>2064</v>
      </c>
      <c r="D150" s="154">
        <f>IF(F149+SUM(E$99:E149)=D$92,F149,D$92-SUM(E$99:E149))</f>
        <v>0</v>
      </c>
      <c r="E150" s="160">
        <f t="shared" si="17"/>
        <v>0</v>
      </c>
      <c r="F150" s="159">
        <f t="shared" si="18"/>
        <v>0</v>
      </c>
      <c r="G150" s="159">
        <f t="shared" si="19"/>
        <v>0</v>
      </c>
      <c r="H150" s="163">
        <f t="shared" si="20"/>
        <v>0</v>
      </c>
      <c r="I150" s="253">
        <f t="shared" si="21"/>
        <v>0</v>
      </c>
      <c r="J150" s="158">
        <f t="shared" si="22"/>
        <v>0</v>
      </c>
      <c r="K150" s="158"/>
      <c r="L150" s="334"/>
      <c r="M150" s="158">
        <f t="shared" si="26"/>
        <v>0</v>
      </c>
      <c r="N150" s="334"/>
      <c r="O150" s="158">
        <f t="shared" si="27"/>
        <v>0</v>
      </c>
      <c r="P150" s="158">
        <f t="shared" si="28"/>
        <v>0</v>
      </c>
      <c r="Q150" s="1"/>
    </row>
    <row r="151" spans="2:17">
      <c r="B151" s="9" t="str">
        <f t="shared" si="16"/>
        <v/>
      </c>
      <c r="C151" s="153">
        <f>IF(D93="","-",+C150+1)</f>
        <v>2065</v>
      </c>
      <c r="D151" s="154">
        <f>IF(F150+SUM(E$99:E150)=D$92,F150,D$92-SUM(E$99:E150))</f>
        <v>0</v>
      </c>
      <c r="E151" s="160">
        <f t="shared" si="17"/>
        <v>0</v>
      </c>
      <c r="F151" s="159">
        <f t="shared" si="18"/>
        <v>0</v>
      </c>
      <c r="G151" s="159">
        <f t="shared" si="19"/>
        <v>0</v>
      </c>
      <c r="H151" s="163">
        <f t="shared" si="20"/>
        <v>0</v>
      </c>
      <c r="I151" s="253">
        <f t="shared" si="21"/>
        <v>0</v>
      </c>
      <c r="J151" s="158">
        <f t="shared" si="22"/>
        <v>0</v>
      </c>
      <c r="K151" s="158"/>
      <c r="L151" s="334"/>
      <c r="M151" s="158">
        <f t="shared" si="26"/>
        <v>0</v>
      </c>
      <c r="N151" s="334"/>
      <c r="O151" s="158">
        <f t="shared" si="27"/>
        <v>0</v>
      </c>
      <c r="P151" s="158">
        <f t="shared" si="28"/>
        <v>0</v>
      </c>
      <c r="Q151" s="1"/>
    </row>
    <row r="152" spans="2:17">
      <c r="B152" s="9" t="str">
        <f t="shared" si="16"/>
        <v/>
      </c>
      <c r="C152" s="153">
        <f>IF(D93="","-",+C151+1)</f>
        <v>2066</v>
      </c>
      <c r="D152" s="154">
        <f>IF(F151+SUM(E$99:E151)=D$92,F151,D$92-SUM(E$99:E151))</f>
        <v>0</v>
      </c>
      <c r="E152" s="160">
        <f t="shared" si="17"/>
        <v>0</v>
      </c>
      <c r="F152" s="159">
        <f t="shared" si="18"/>
        <v>0</v>
      </c>
      <c r="G152" s="159">
        <f t="shared" si="19"/>
        <v>0</v>
      </c>
      <c r="H152" s="163">
        <f t="shared" si="20"/>
        <v>0</v>
      </c>
      <c r="I152" s="253">
        <f t="shared" si="21"/>
        <v>0</v>
      </c>
      <c r="J152" s="158">
        <f t="shared" si="22"/>
        <v>0</v>
      </c>
      <c r="K152" s="158"/>
      <c r="L152" s="334"/>
      <c r="M152" s="158">
        <f t="shared" si="26"/>
        <v>0</v>
      </c>
      <c r="N152" s="334"/>
      <c r="O152" s="158">
        <f t="shared" si="27"/>
        <v>0</v>
      </c>
      <c r="P152" s="158">
        <f t="shared" si="28"/>
        <v>0</v>
      </c>
      <c r="Q152" s="1"/>
    </row>
    <row r="153" spans="2:17">
      <c r="B153" s="9" t="str">
        <f t="shared" si="16"/>
        <v/>
      </c>
      <c r="C153" s="153">
        <f>IF(D93="","-",+C152+1)</f>
        <v>2067</v>
      </c>
      <c r="D153" s="154">
        <f>IF(F152+SUM(E$99:E152)=D$92,F152,D$92-SUM(E$99:E152))</f>
        <v>0</v>
      </c>
      <c r="E153" s="160">
        <f t="shared" si="17"/>
        <v>0</v>
      </c>
      <c r="F153" s="159">
        <f t="shared" si="18"/>
        <v>0</v>
      </c>
      <c r="G153" s="159">
        <f t="shared" si="19"/>
        <v>0</v>
      </c>
      <c r="H153" s="163">
        <f t="shared" si="20"/>
        <v>0</v>
      </c>
      <c r="I153" s="253">
        <f t="shared" si="21"/>
        <v>0</v>
      </c>
      <c r="J153" s="158">
        <f t="shared" si="22"/>
        <v>0</v>
      </c>
      <c r="K153" s="158"/>
      <c r="L153" s="334"/>
      <c r="M153" s="158">
        <f t="shared" si="26"/>
        <v>0</v>
      </c>
      <c r="N153" s="334"/>
      <c r="O153" s="158">
        <f t="shared" si="27"/>
        <v>0</v>
      </c>
      <c r="P153" s="158">
        <f t="shared" si="28"/>
        <v>0</v>
      </c>
      <c r="Q153" s="1"/>
    </row>
    <row r="154" spans="2:17" ht="13.5" thickBot="1">
      <c r="B154" s="9" t="str">
        <f t="shared" si="16"/>
        <v/>
      </c>
      <c r="C154" s="164">
        <f>IF(D93="","-",+C153+1)</f>
        <v>2068</v>
      </c>
      <c r="D154" s="154">
        <f>IF(F153+SUM(E$99:E153)=D$92,F153,D$92-SUM(E$99:E153))</f>
        <v>0</v>
      </c>
      <c r="E154" s="160">
        <f t="shared" si="17"/>
        <v>0</v>
      </c>
      <c r="F154" s="159">
        <f t="shared" si="18"/>
        <v>0</v>
      </c>
      <c r="G154" s="159">
        <f t="shared" si="19"/>
        <v>0</v>
      </c>
      <c r="H154" s="163">
        <f t="shared" si="20"/>
        <v>0</v>
      </c>
      <c r="I154" s="253">
        <f t="shared" si="21"/>
        <v>0</v>
      </c>
      <c r="J154" s="158">
        <f t="shared" si="22"/>
        <v>0</v>
      </c>
      <c r="K154" s="158"/>
      <c r="L154" s="335"/>
      <c r="M154" s="169">
        <f t="shared" si="26"/>
        <v>0</v>
      </c>
      <c r="N154" s="335"/>
      <c r="O154" s="169">
        <f t="shared" si="27"/>
        <v>0</v>
      </c>
      <c r="P154" s="169">
        <f t="shared" si="28"/>
        <v>0</v>
      </c>
      <c r="Q154" s="1"/>
    </row>
    <row r="155" spans="2:17">
      <c r="C155" s="154" t="s">
        <v>73</v>
      </c>
      <c r="D155" s="111"/>
      <c r="E155" s="111">
        <f>SUM(E99:E154)</f>
        <v>4344850.0000000009</v>
      </c>
      <c r="F155" s="111"/>
      <c r="G155" s="111"/>
      <c r="H155" s="111">
        <f>SUM(H99:H154)</f>
        <v>15612401.026306877</v>
      </c>
      <c r="I155" s="111">
        <f>SUM(I99:I154)</f>
        <v>15612401.026306877</v>
      </c>
      <c r="J155" s="111">
        <f>SUM(J99:J154)</f>
        <v>0</v>
      </c>
      <c r="K155" s="111"/>
      <c r="L155" s="111"/>
      <c r="M155" s="111"/>
      <c r="N155" s="111"/>
      <c r="O155" s="111"/>
      <c r="P155" s="1"/>
      <c r="Q155" s="1"/>
    </row>
    <row r="156" spans="2:17">
      <c r="C156" t="s">
        <v>87</v>
      </c>
      <c r="D156" s="2"/>
      <c r="E156" s="1"/>
      <c r="F156" s="1"/>
      <c r="G156" s="1"/>
      <c r="H156" s="1"/>
      <c r="I156" s="3"/>
      <c r="J156" s="3"/>
      <c r="K156" s="111"/>
      <c r="L156" s="3"/>
      <c r="M156" s="3"/>
      <c r="N156" s="3"/>
      <c r="O156" s="3"/>
      <c r="P156" s="1"/>
      <c r="Q156" s="1"/>
    </row>
    <row r="157" spans="2:17">
      <c r="C157" s="216"/>
      <c r="D157" s="2"/>
      <c r="E157" s="1"/>
      <c r="F157" s="1"/>
      <c r="G157" s="1"/>
      <c r="H157" s="1"/>
      <c r="I157" s="3"/>
      <c r="J157" s="3"/>
      <c r="K157" s="111"/>
      <c r="L157" s="3"/>
      <c r="M157" s="3"/>
      <c r="N157" s="3"/>
      <c r="O157" s="3"/>
      <c r="P157" s="1"/>
      <c r="Q157" s="1"/>
    </row>
    <row r="158" spans="2:17">
      <c r="C158" s="248" t="s">
        <v>127</v>
      </c>
      <c r="D158" s="2"/>
      <c r="E158" s="1"/>
      <c r="F158" s="1"/>
      <c r="G158" s="1"/>
      <c r="H158" s="1"/>
      <c r="I158" s="3"/>
      <c r="J158" s="3"/>
      <c r="K158" s="111"/>
      <c r="L158" s="3"/>
      <c r="M158" s="3"/>
      <c r="N158" s="3"/>
      <c r="O158" s="3"/>
      <c r="P158" s="1"/>
      <c r="Q158" s="1"/>
    </row>
    <row r="159" spans="2:17">
      <c r="C159" s="121" t="s">
        <v>74</v>
      </c>
      <c r="D159" s="154"/>
      <c r="E159" s="154"/>
      <c r="F159" s="154"/>
      <c r="G159" s="154"/>
      <c r="H159" s="111"/>
      <c r="I159" s="111"/>
      <c r="J159" s="171"/>
      <c r="K159" s="171"/>
      <c r="L159" s="171"/>
      <c r="M159" s="171"/>
      <c r="N159" s="171"/>
      <c r="O159" s="171"/>
      <c r="P159" s="1"/>
      <c r="Q159" s="1"/>
    </row>
    <row r="160" spans="2:17">
      <c r="C160" s="217" t="s">
        <v>75</v>
      </c>
      <c r="D160" s="154"/>
      <c r="E160" s="154"/>
      <c r="F160" s="154"/>
      <c r="G160" s="154"/>
      <c r="H160" s="111"/>
      <c r="I160" s="111"/>
      <c r="J160" s="171"/>
      <c r="K160" s="171"/>
      <c r="L160" s="171"/>
      <c r="M160" s="171"/>
      <c r="N160" s="171"/>
      <c r="O160" s="171"/>
      <c r="P160" s="1"/>
      <c r="Q160" s="1"/>
    </row>
    <row r="161" spans="3:17">
      <c r="C161" s="217"/>
      <c r="D161" s="154"/>
      <c r="E161" s="154"/>
      <c r="F161" s="154"/>
      <c r="G161" s="154"/>
      <c r="H161" s="111"/>
      <c r="I161" s="111"/>
      <c r="J161" s="171"/>
      <c r="K161" s="171"/>
      <c r="L161" s="171"/>
      <c r="M161" s="171"/>
      <c r="N161" s="171"/>
      <c r="O161" s="171"/>
      <c r="P161" s="1"/>
      <c r="Q161" s="1"/>
    </row>
    <row r="162" spans="3:17" ht="18">
      <c r="C162" s="217"/>
      <c r="D162" s="154"/>
      <c r="E162" s="154"/>
      <c r="F162" s="154"/>
      <c r="G162" s="154"/>
      <c r="H162" s="111"/>
      <c r="I162" s="111"/>
      <c r="J162" s="171"/>
      <c r="K162" s="171"/>
      <c r="L162" s="171"/>
      <c r="M162" s="171"/>
      <c r="N162" s="171"/>
      <c r="P162" s="245" t="s">
        <v>126</v>
      </c>
      <c r="Q162" s="1"/>
    </row>
  </sheetData>
  <conditionalFormatting sqref="C17:C72">
    <cfRule type="cellIs" dxfId="94" priority="1" stopIfTrue="1" operator="equal">
      <formula>$I$10</formula>
    </cfRule>
  </conditionalFormatting>
  <conditionalFormatting sqref="C99:C154">
    <cfRule type="cellIs" dxfId="93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7"/>
  <dimension ref="A1:Q162"/>
  <sheetViews>
    <sheetView view="pageBreakPreview" zoomScale="75" zoomScaleNormal="100" zoomScaleSheetLayoutView="75" workbookViewId="0">
      <selection activeCell="C19" sqref="C19"/>
    </sheetView>
  </sheetViews>
  <sheetFormatPr defaultRowHeight="12.75" customHeight="1"/>
  <cols>
    <col min="1" max="1" width="4.7109375" customWidth="1"/>
    <col min="2" max="2" width="6.7109375" customWidth="1"/>
    <col min="3" max="3" width="23.28515625" customWidth="1"/>
    <col min="4" max="8" width="17.7109375" customWidth="1"/>
    <col min="9" max="9" width="20.42578125" customWidth="1"/>
    <col min="10" max="10" width="16.42578125" customWidth="1"/>
    <col min="11" max="11" width="17.7109375" customWidth="1"/>
    <col min="12" max="12" width="18" customWidth="1"/>
    <col min="13" max="13" width="17.7109375" customWidth="1"/>
    <col min="14" max="14" width="19" customWidth="1"/>
    <col min="15" max="15" width="16.85546875" customWidth="1"/>
    <col min="16" max="16" width="24.42578125" customWidth="1"/>
    <col min="17" max="17" width="4.7109375" customWidth="1"/>
    <col min="23" max="23" width="9.140625" customWidth="1"/>
  </cols>
  <sheetData>
    <row r="1" spans="1:17" ht="20.25">
      <c r="A1" s="243" t="s">
        <v>128</v>
      </c>
      <c r="B1" s="1"/>
      <c r="C1" s="21"/>
      <c r="D1" s="2"/>
      <c r="E1" s="1"/>
      <c r="F1" s="99"/>
      <c r="G1" s="1"/>
      <c r="H1" s="3"/>
      <c r="J1" s="7"/>
      <c r="K1" s="109"/>
      <c r="L1" s="109"/>
      <c r="M1" s="109"/>
      <c r="P1" s="249" t="str">
        <f ca="1">"SWEPCO Project "&amp;RIGHT(MID(CELL("filename",$A$1),FIND("]",CELL("filename",$A$1))+1,256),2)&amp;" of "&amp;COUNT('S.001:S.xyz - blank'!$P$3)-1</f>
        <v>SWEPCO Project 36 of 73</v>
      </c>
      <c r="Q1" s="108"/>
    </row>
    <row r="2" spans="1:17" ht="18">
      <c r="B2" s="1"/>
      <c r="C2" s="1"/>
      <c r="D2" s="2"/>
      <c r="E2" s="1"/>
      <c r="F2" s="1"/>
      <c r="G2" s="1"/>
      <c r="H2" s="3"/>
      <c r="I2" s="1"/>
      <c r="J2" s="4"/>
      <c r="K2" s="1"/>
      <c r="L2" s="1"/>
      <c r="M2" s="1"/>
      <c r="N2" s="1"/>
      <c r="P2" s="244" t="s">
        <v>124</v>
      </c>
    </row>
    <row r="3" spans="1:17" ht="18.75">
      <c r="B3" s="5" t="s">
        <v>40</v>
      </c>
      <c r="C3" s="68" t="s">
        <v>41</v>
      </c>
      <c r="D3" s="2"/>
      <c r="E3" s="1"/>
      <c r="F3" s="1"/>
      <c r="G3" s="1"/>
      <c r="H3" s="3"/>
      <c r="I3" s="3"/>
      <c r="J3" s="111"/>
      <c r="K3" s="3"/>
      <c r="L3" s="3"/>
      <c r="M3" s="3"/>
      <c r="N3" s="3"/>
      <c r="O3" s="1"/>
      <c r="P3" s="240">
        <v>1</v>
      </c>
    </row>
    <row r="4" spans="1:17" ht="15.75" thickBot="1">
      <c r="C4" s="67"/>
      <c r="D4" s="2"/>
      <c r="E4" s="1"/>
      <c r="F4" s="1"/>
      <c r="G4" s="1"/>
      <c r="H4" s="3"/>
      <c r="I4" s="3"/>
      <c r="J4" s="111"/>
      <c r="K4" s="3"/>
      <c r="L4" s="3"/>
      <c r="M4" s="3"/>
      <c r="N4" s="3"/>
      <c r="O4" s="1"/>
      <c r="P4" s="1"/>
    </row>
    <row r="5" spans="1:17" ht="15">
      <c r="C5" s="112" t="s">
        <v>42</v>
      </c>
      <c r="D5" s="2"/>
      <c r="E5" s="1"/>
      <c r="F5" s="1"/>
      <c r="G5" s="113"/>
      <c r="H5" s="1" t="s">
        <v>43</v>
      </c>
      <c r="I5" s="1"/>
      <c r="J5" s="4"/>
      <c r="K5" s="268" t="s">
        <v>152</v>
      </c>
      <c r="L5" s="114"/>
      <c r="M5" s="115"/>
      <c r="N5" s="116">
        <f>VLOOKUP(I10,C17:I72,5)</f>
        <v>707805.11517162854</v>
      </c>
      <c r="P5" s="1"/>
    </row>
    <row r="6" spans="1:17" ht="15.75">
      <c r="C6" s="8"/>
      <c r="D6" s="2"/>
      <c r="E6" s="1"/>
      <c r="F6" s="1"/>
      <c r="G6" s="1"/>
      <c r="H6" s="117"/>
      <c r="I6" s="117"/>
      <c r="J6" s="118"/>
      <c r="K6" s="269" t="s">
        <v>153</v>
      </c>
      <c r="L6" s="119"/>
      <c r="M6" s="4"/>
      <c r="N6" s="120">
        <f>VLOOKUP(I10,C17:I72,6)</f>
        <v>707805.11517162854</v>
      </c>
      <c r="O6" s="1"/>
      <c r="P6" s="1"/>
    </row>
    <row r="7" spans="1:17" ht="13.5" thickBot="1">
      <c r="C7" s="121" t="s">
        <v>44</v>
      </c>
      <c r="D7" s="223" t="s">
        <v>288</v>
      </c>
      <c r="E7" s="379"/>
      <c r="F7" s="1"/>
      <c r="G7" s="1"/>
      <c r="H7" s="3"/>
      <c r="I7" s="3"/>
      <c r="J7" s="111"/>
      <c r="K7" s="122" t="s">
        <v>45</v>
      </c>
      <c r="L7" s="123"/>
      <c r="M7" s="123"/>
      <c r="N7" s="124">
        <f>+N6-N5</f>
        <v>0</v>
      </c>
      <c r="O7" s="1"/>
      <c r="P7" s="1"/>
    </row>
    <row r="8" spans="1:17" ht="13.5" thickBot="1">
      <c r="C8" s="125"/>
      <c r="D8" s="352" t="str">
        <f>IF(D10&lt;100000,"DOES NOT MEET SPP $100,000 MINIMUM INVESTMENT FOR REGIONAL BPU SHARING.","")</f>
        <v/>
      </c>
      <c r="E8" s="126"/>
      <c r="F8" s="126"/>
      <c r="G8" s="126"/>
      <c r="H8" s="126"/>
      <c r="I8" s="126"/>
      <c r="J8" s="101"/>
      <c r="K8" s="126"/>
      <c r="L8" s="126"/>
      <c r="M8" s="126"/>
      <c r="N8" s="126"/>
      <c r="O8" s="101"/>
      <c r="P8" s="21"/>
    </row>
    <row r="9" spans="1:17" ht="13.5" thickBot="1">
      <c r="C9" s="127" t="s">
        <v>46</v>
      </c>
      <c r="D9" s="225" t="s">
        <v>252</v>
      </c>
      <c r="E9" s="401" t="s">
        <v>427</v>
      </c>
      <c r="F9" s="128"/>
      <c r="G9" s="128"/>
      <c r="H9" s="128"/>
      <c r="I9" s="129"/>
      <c r="J9" s="130"/>
      <c r="O9" s="131"/>
      <c r="P9" s="4"/>
    </row>
    <row r="10" spans="1:17">
      <c r="C10" s="132" t="s">
        <v>47</v>
      </c>
      <c r="D10" s="133">
        <v>6389739</v>
      </c>
      <c r="E10" s="61" t="s">
        <v>459</v>
      </c>
      <c r="F10" s="131"/>
      <c r="G10" s="134"/>
      <c r="H10" s="134"/>
      <c r="I10" s="135">
        <f>+SWE.WS.F.BPU.ATRR.Projected!K17</f>
        <v>2019</v>
      </c>
      <c r="J10" s="130"/>
      <c r="K10" s="111" t="s">
        <v>48</v>
      </c>
      <c r="O10" s="4"/>
      <c r="P10" s="4"/>
    </row>
    <row r="11" spans="1:17">
      <c r="C11" s="136" t="s">
        <v>49</v>
      </c>
      <c r="D11" s="137">
        <v>2013</v>
      </c>
      <c r="E11" s="136" t="s">
        <v>50</v>
      </c>
      <c r="F11" s="134"/>
      <c r="G11" s="7"/>
      <c r="H11" s="7"/>
      <c r="I11" s="138">
        <f>IF(G5="",0,SWE.WS.F.BPU.ATRR.Projected!F$11)</f>
        <v>0</v>
      </c>
      <c r="J11" s="139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4"/>
      <c r="P11" s="4"/>
    </row>
    <row r="12" spans="1:17">
      <c r="C12" s="136" t="s">
        <v>51</v>
      </c>
      <c r="D12" s="133">
        <v>9</v>
      </c>
      <c r="E12" s="136" t="s">
        <v>52</v>
      </c>
      <c r="F12" s="134"/>
      <c r="G12" s="7"/>
      <c r="H12" s="7"/>
      <c r="I12" s="140">
        <f>SWE.WS.F.BPU.ATRR.Projected!$F$76</f>
        <v>9.9555672459071778E-2</v>
      </c>
      <c r="J12" s="141"/>
      <c r="K12" t="s">
        <v>53</v>
      </c>
      <c r="O12" s="4"/>
      <c r="P12" s="4"/>
    </row>
    <row r="13" spans="1:17">
      <c r="C13" s="136" t="s">
        <v>54</v>
      </c>
      <c r="D13" s="138">
        <f>+SWE.WS.F.BPU.ATRR.Projected!F$87</f>
        <v>43</v>
      </c>
      <c r="E13" s="136" t="s">
        <v>55</v>
      </c>
      <c r="F13" s="134"/>
      <c r="G13" s="7"/>
      <c r="H13" s="7"/>
      <c r="I13" s="140">
        <f>IF(G5="",I12,SWE.WS.F.BPU.ATRR.Projected!$F$75)</f>
        <v>9.9555672459071778E-2</v>
      </c>
      <c r="J13" s="141"/>
      <c r="K13" s="111" t="s">
        <v>56</v>
      </c>
      <c r="L13" s="58"/>
      <c r="M13" s="58"/>
      <c r="N13" s="58"/>
      <c r="O13" s="4"/>
      <c r="P13" s="4"/>
    </row>
    <row r="14" spans="1:17" ht="13.5" thickBot="1">
      <c r="C14" s="136" t="s">
        <v>57</v>
      </c>
      <c r="D14" s="137" t="s">
        <v>58</v>
      </c>
      <c r="E14" s="4" t="s">
        <v>59</v>
      </c>
      <c r="F14" s="134"/>
      <c r="G14" s="7"/>
      <c r="H14" s="7"/>
      <c r="I14" s="142">
        <f>IF(D10=0,0,D10/D13)</f>
        <v>148598.58139534883</v>
      </c>
      <c r="J14" s="111"/>
      <c r="K14" s="111"/>
      <c r="L14" s="111"/>
      <c r="M14" s="111"/>
      <c r="N14" s="111"/>
      <c r="O14" s="4"/>
      <c r="P14" s="4"/>
    </row>
    <row r="15" spans="1:17" ht="38.25">
      <c r="C15" s="143" t="s">
        <v>47</v>
      </c>
      <c r="D15" s="144" t="s">
        <v>60</v>
      </c>
      <c r="E15" s="144" t="s">
        <v>61</v>
      </c>
      <c r="F15" s="144" t="s">
        <v>62</v>
      </c>
      <c r="G15" s="434" t="s">
        <v>378</v>
      </c>
      <c r="H15" s="435" t="s">
        <v>379</v>
      </c>
      <c r="I15" s="143" t="s">
        <v>63</v>
      </c>
      <c r="J15" s="145"/>
      <c r="K15" s="271" t="s">
        <v>219</v>
      </c>
      <c r="L15" s="146" t="s">
        <v>64</v>
      </c>
      <c r="M15" s="271" t="s">
        <v>219</v>
      </c>
      <c r="N15" s="146" t="s">
        <v>64</v>
      </c>
      <c r="O15" s="146" t="s">
        <v>65</v>
      </c>
      <c r="P15" s="4"/>
    </row>
    <row r="16" spans="1:17" ht="13.5" thickBot="1">
      <c r="C16" s="147" t="s">
        <v>66</v>
      </c>
      <c r="D16" s="147" t="s">
        <v>67</v>
      </c>
      <c r="E16" s="147" t="s">
        <v>68</v>
      </c>
      <c r="F16" s="147" t="s">
        <v>67</v>
      </c>
      <c r="G16" s="408" t="s">
        <v>69</v>
      </c>
      <c r="H16" s="148" t="s">
        <v>70</v>
      </c>
      <c r="I16" s="149" t="s">
        <v>89</v>
      </c>
      <c r="J16" s="150" t="s">
        <v>71</v>
      </c>
      <c r="K16" s="151" t="s">
        <v>72</v>
      </c>
      <c r="L16" s="151" t="s">
        <v>72</v>
      </c>
      <c r="M16" s="151" t="s">
        <v>90</v>
      </c>
      <c r="N16" s="152" t="s">
        <v>90</v>
      </c>
      <c r="O16" s="151" t="s">
        <v>90</v>
      </c>
      <c r="P16" s="4"/>
    </row>
    <row r="17" spans="2:16">
      <c r="C17" s="153">
        <f>IF(D11= "","-",D11)</f>
        <v>2013</v>
      </c>
      <c r="D17" s="393">
        <v>1750000</v>
      </c>
      <c r="E17" s="394">
        <v>17361.111111111109</v>
      </c>
      <c r="F17" s="393">
        <v>1732638.888888889</v>
      </c>
      <c r="G17" s="394">
        <v>259908.17345772672</v>
      </c>
      <c r="H17" s="395">
        <v>259908.17345772672</v>
      </c>
      <c r="I17" s="404">
        <v>0</v>
      </c>
      <c r="J17" s="156"/>
      <c r="K17" s="256">
        <f t="shared" ref="K17:K22" si="0">G17</f>
        <v>259908.17345772672</v>
      </c>
      <c r="L17" s="172">
        <f t="shared" ref="L17:L22" si="1">IF(K17&lt;&gt;0,+G17-K17,0)</f>
        <v>0</v>
      </c>
      <c r="M17" s="256">
        <f t="shared" ref="M17:M22" si="2">H17</f>
        <v>259908.17345772672</v>
      </c>
      <c r="N17" s="157">
        <f t="shared" ref="N17:N22" si="3">IF(M17&lt;&gt;0,+H17-M17,0)</f>
        <v>0</v>
      </c>
      <c r="O17" s="158">
        <f t="shared" ref="O17:O22" si="4">+N17-L17</f>
        <v>0</v>
      </c>
      <c r="P17" s="4"/>
    </row>
    <row r="18" spans="2:16">
      <c r="B18" s="9" t="str">
        <f>IF(D18=F17,"","IU")</f>
        <v/>
      </c>
      <c r="C18" s="153">
        <f>IF(D11="","-",+C17+1)</f>
        <v>2014</v>
      </c>
      <c r="D18" s="393">
        <v>1732638.888888889</v>
      </c>
      <c r="E18" s="397">
        <v>72336.119047619053</v>
      </c>
      <c r="F18" s="393">
        <v>1660302.7698412701</v>
      </c>
      <c r="G18" s="397">
        <v>296328.40957577864</v>
      </c>
      <c r="H18" s="395">
        <v>296328.40957577864</v>
      </c>
      <c r="I18" s="404">
        <v>0</v>
      </c>
      <c r="J18" s="156"/>
      <c r="K18" s="258">
        <f t="shared" si="0"/>
        <v>296328.40957577864</v>
      </c>
      <c r="L18" s="257">
        <f t="shared" si="1"/>
        <v>0</v>
      </c>
      <c r="M18" s="258">
        <f t="shared" si="2"/>
        <v>296328.40957577864</v>
      </c>
      <c r="N18" s="158">
        <f t="shared" si="3"/>
        <v>0</v>
      </c>
      <c r="O18" s="158">
        <f t="shared" si="4"/>
        <v>0</v>
      </c>
      <c r="P18" s="4"/>
    </row>
    <row r="19" spans="2:16">
      <c r="B19" s="9" t="str">
        <f>IF(D19=F18,"","IU")</f>
        <v/>
      </c>
      <c r="C19" s="153">
        <f>IF(D11="","-",+C18+1)</f>
        <v>2015</v>
      </c>
      <c r="D19" s="393">
        <v>1660302.7698412701</v>
      </c>
      <c r="E19" s="397">
        <v>152136.64285714287</v>
      </c>
      <c r="F19" s="393">
        <v>1508166.1269841271</v>
      </c>
      <c r="G19" s="397">
        <v>350769.36244899174</v>
      </c>
      <c r="H19" s="395">
        <v>350769.36244899174</v>
      </c>
      <c r="I19" s="156">
        <v>0</v>
      </c>
      <c r="J19" s="156"/>
      <c r="K19" s="258">
        <f t="shared" si="0"/>
        <v>350769.36244899174</v>
      </c>
      <c r="L19" s="257">
        <f t="shared" si="1"/>
        <v>0</v>
      </c>
      <c r="M19" s="258">
        <f t="shared" si="2"/>
        <v>350769.36244899174</v>
      </c>
      <c r="N19" s="158">
        <f t="shared" si="3"/>
        <v>0</v>
      </c>
      <c r="O19" s="158">
        <f t="shared" si="4"/>
        <v>0</v>
      </c>
      <c r="P19" s="4"/>
    </row>
    <row r="20" spans="2:16">
      <c r="B20" s="9" t="str">
        <f t="shared" ref="B20:B72" si="5">IF(D20=F19,"","IU")</f>
        <v>IU</v>
      </c>
      <c r="C20" s="153">
        <f>IF(D11="","-",+C19+1)</f>
        <v>2016</v>
      </c>
      <c r="D20" s="393">
        <v>6147905.1269841269</v>
      </c>
      <c r="E20" s="397">
        <v>152136.64285714287</v>
      </c>
      <c r="F20" s="393">
        <v>5995768.4841269841</v>
      </c>
      <c r="G20" s="397">
        <v>932066.05749159923</v>
      </c>
      <c r="H20" s="395">
        <v>932066.05749159923</v>
      </c>
      <c r="I20" s="156">
        <f>H20-G20</f>
        <v>0</v>
      </c>
      <c r="J20" s="156"/>
      <c r="K20" s="258">
        <f t="shared" si="0"/>
        <v>932066.05749159923</v>
      </c>
      <c r="L20" s="257">
        <f t="shared" si="1"/>
        <v>0</v>
      </c>
      <c r="M20" s="258">
        <f t="shared" si="2"/>
        <v>932066.05749159923</v>
      </c>
      <c r="N20" s="158">
        <f t="shared" si="3"/>
        <v>0</v>
      </c>
      <c r="O20" s="158">
        <f t="shared" si="4"/>
        <v>0</v>
      </c>
      <c r="P20" s="4"/>
    </row>
    <row r="21" spans="2:16">
      <c r="B21" s="9" t="str">
        <f t="shared" si="5"/>
        <v/>
      </c>
      <c r="C21" s="153">
        <f>IF(D11="","-",+C20+1)</f>
        <v>2017</v>
      </c>
      <c r="D21" s="393">
        <v>5995768.4841269841</v>
      </c>
      <c r="E21" s="397">
        <v>148598.58139534883</v>
      </c>
      <c r="F21" s="393">
        <v>5847169.9027316356</v>
      </c>
      <c r="G21" s="397">
        <v>882224.40250085481</v>
      </c>
      <c r="H21" s="395">
        <v>882224.40250085481</v>
      </c>
      <c r="I21" s="156">
        <v>0</v>
      </c>
      <c r="J21" s="156"/>
      <c r="K21" s="258">
        <f t="shared" si="0"/>
        <v>882224.40250085481</v>
      </c>
      <c r="L21" s="257">
        <f t="shared" si="1"/>
        <v>0</v>
      </c>
      <c r="M21" s="258">
        <f t="shared" si="2"/>
        <v>882224.40250085481</v>
      </c>
      <c r="N21" s="158">
        <f t="shared" si="3"/>
        <v>0</v>
      </c>
      <c r="O21" s="158">
        <f t="shared" si="4"/>
        <v>0</v>
      </c>
      <c r="P21" s="4"/>
    </row>
    <row r="22" spans="2:16">
      <c r="B22" s="9" t="str">
        <f t="shared" si="5"/>
        <v/>
      </c>
      <c r="C22" s="153">
        <f>IF(D11="","-",+C21+1)</f>
        <v>2018</v>
      </c>
      <c r="D22" s="393">
        <v>5847169.9027316356</v>
      </c>
      <c r="E22" s="397">
        <v>155847.29268292684</v>
      </c>
      <c r="F22" s="393">
        <v>5691322.6100487085</v>
      </c>
      <c r="G22" s="397">
        <v>801334.85259778833</v>
      </c>
      <c r="H22" s="395">
        <v>801334.85259778833</v>
      </c>
      <c r="I22" s="156">
        <f t="shared" ref="I22:I72" si="6">H22-G22</f>
        <v>0</v>
      </c>
      <c r="J22" s="156"/>
      <c r="K22" s="258">
        <f t="shared" si="0"/>
        <v>801334.85259778833</v>
      </c>
      <c r="L22" s="257">
        <f t="shared" si="1"/>
        <v>0</v>
      </c>
      <c r="M22" s="258">
        <f t="shared" si="2"/>
        <v>801334.85259778833</v>
      </c>
      <c r="N22" s="158">
        <f t="shared" si="3"/>
        <v>0</v>
      </c>
      <c r="O22" s="158">
        <f t="shared" si="4"/>
        <v>0</v>
      </c>
      <c r="P22" s="4"/>
    </row>
    <row r="23" spans="2:16">
      <c r="B23" s="9" t="str">
        <f t="shared" si="5"/>
        <v/>
      </c>
      <c r="C23" s="153">
        <f>IF(D11="","-",+C22+1)</f>
        <v>2019</v>
      </c>
      <c r="D23" s="159">
        <f>IF(F22+SUM(E$17:E22)=D$10,F22,D$10-SUM(E$17:E22))</f>
        <v>5691322.6100487085</v>
      </c>
      <c r="E23" s="160">
        <f t="shared" ref="E23:E72" si="7">IF(+$I$14&lt;F22,$I$14,D23)</f>
        <v>148598.58139534883</v>
      </c>
      <c r="F23" s="159">
        <f t="shared" ref="F23:F72" si="8">+D23-E23</f>
        <v>5542724.02865336</v>
      </c>
      <c r="G23" s="161">
        <f t="shared" ref="G23:G52" si="9">+I$12*((D23+F23)/2)+E23</f>
        <v>707805.11517162854</v>
      </c>
      <c r="H23" s="142">
        <f t="shared" ref="H23:H52" si="10">+I$13*((D23+F23)/2)+E23</f>
        <v>707805.11517162854</v>
      </c>
      <c r="I23" s="156">
        <f t="shared" si="6"/>
        <v>0</v>
      </c>
      <c r="J23" s="156"/>
      <c r="K23" s="334"/>
      <c r="L23" s="158">
        <f t="shared" ref="L23:L72" si="11">IF(K23&lt;&gt;0,+G23-K23,0)</f>
        <v>0</v>
      </c>
      <c r="M23" s="334"/>
      <c r="N23" s="158">
        <f t="shared" ref="N23:N72" si="12">IF(M23&lt;&gt;0,+H23-M23,0)</f>
        <v>0</v>
      </c>
      <c r="O23" s="158">
        <f t="shared" ref="O23:O72" si="13">+N23-L23</f>
        <v>0</v>
      </c>
      <c r="P23" s="4"/>
    </row>
    <row r="24" spans="2:16">
      <c r="B24" s="9" t="str">
        <f t="shared" si="5"/>
        <v/>
      </c>
      <c r="C24" s="153">
        <f>IF(D11="","-",+C23+1)</f>
        <v>2020</v>
      </c>
      <c r="D24" s="159">
        <f>IF(F23+SUM(E$17:E23)=D$10,F23,D$10-SUM(E$17:E23))</f>
        <v>5542724.02865336</v>
      </c>
      <c r="E24" s="160">
        <f t="shared" si="7"/>
        <v>148598.58139534883</v>
      </c>
      <c r="F24" s="159">
        <f t="shared" si="8"/>
        <v>5394125.4472580114</v>
      </c>
      <c r="G24" s="161">
        <f t="shared" si="9"/>
        <v>693011.28347435058</v>
      </c>
      <c r="H24" s="142">
        <f t="shared" si="10"/>
        <v>693011.28347435058</v>
      </c>
      <c r="I24" s="156">
        <f t="shared" si="6"/>
        <v>0</v>
      </c>
      <c r="J24" s="156"/>
      <c r="K24" s="334"/>
      <c r="L24" s="158">
        <f t="shared" si="11"/>
        <v>0</v>
      </c>
      <c r="M24" s="334"/>
      <c r="N24" s="158">
        <f t="shared" si="12"/>
        <v>0</v>
      </c>
      <c r="O24" s="158">
        <f t="shared" si="13"/>
        <v>0</v>
      </c>
      <c r="P24" s="4"/>
    </row>
    <row r="25" spans="2:16">
      <c r="B25" s="9" t="str">
        <f t="shared" si="5"/>
        <v/>
      </c>
      <c r="C25" s="153">
        <f>IF(D11="","-",+C24+1)</f>
        <v>2021</v>
      </c>
      <c r="D25" s="159">
        <f>IF(F24+SUM(E$17:E24)=D$10,F24,D$10-SUM(E$17:E24))</f>
        <v>5394125.4472580114</v>
      </c>
      <c r="E25" s="160">
        <f t="shared" si="7"/>
        <v>148598.58139534883</v>
      </c>
      <c r="F25" s="159">
        <f t="shared" si="8"/>
        <v>5245526.8658626629</v>
      </c>
      <c r="G25" s="161">
        <f t="shared" si="9"/>
        <v>678217.45177707239</v>
      </c>
      <c r="H25" s="142">
        <f t="shared" si="10"/>
        <v>678217.45177707239</v>
      </c>
      <c r="I25" s="156">
        <f t="shared" si="6"/>
        <v>0</v>
      </c>
      <c r="J25" s="156"/>
      <c r="K25" s="334"/>
      <c r="L25" s="158">
        <f t="shared" si="11"/>
        <v>0</v>
      </c>
      <c r="M25" s="334"/>
      <c r="N25" s="158">
        <f t="shared" si="12"/>
        <v>0</v>
      </c>
      <c r="O25" s="158">
        <f t="shared" si="13"/>
        <v>0</v>
      </c>
      <c r="P25" s="4"/>
    </row>
    <row r="26" spans="2:16">
      <c r="B26" s="9" t="str">
        <f t="shared" si="5"/>
        <v/>
      </c>
      <c r="C26" s="153">
        <f>IF(D11="","-",+C25+1)</f>
        <v>2022</v>
      </c>
      <c r="D26" s="159">
        <f>IF(F25+SUM(E$17:E25)=D$10,F25,D$10-SUM(E$17:E25))</f>
        <v>5245526.8658626629</v>
      </c>
      <c r="E26" s="160">
        <f t="shared" si="7"/>
        <v>148598.58139534883</v>
      </c>
      <c r="F26" s="159">
        <f t="shared" si="8"/>
        <v>5096928.2844673144</v>
      </c>
      <c r="G26" s="161">
        <f t="shared" si="9"/>
        <v>663423.62007979443</v>
      </c>
      <c r="H26" s="142">
        <f t="shared" si="10"/>
        <v>663423.62007979443</v>
      </c>
      <c r="I26" s="156">
        <f t="shared" si="6"/>
        <v>0</v>
      </c>
      <c r="J26" s="156"/>
      <c r="K26" s="334"/>
      <c r="L26" s="158">
        <f t="shared" si="11"/>
        <v>0</v>
      </c>
      <c r="M26" s="334"/>
      <c r="N26" s="158">
        <f t="shared" si="12"/>
        <v>0</v>
      </c>
      <c r="O26" s="158">
        <f t="shared" si="13"/>
        <v>0</v>
      </c>
      <c r="P26" s="4"/>
    </row>
    <row r="27" spans="2:16">
      <c r="B27" s="9" t="str">
        <f t="shared" si="5"/>
        <v/>
      </c>
      <c r="C27" s="153">
        <f>IF(D11="","-",+C26+1)</f>
        <v>2023</v>
      </c>
      <c r="D27" s="159">
        <f>IF(F26+SUM(E$17:E26)=D$10,F26,D$10-SUM(E$17:E26))</f>
        <v>5096928.2844673144</v>
      </c>
      <c r="E27" s="160">
        <f t="shared" si="7"/>
        <v>148598.58139534883</v>
      </c>
      <c r="F27" s="159">
        <f t="shared" si="8"/>
        <v>4948329.7030719658</v>
      </c>
      <c r="G27" s="161">
        <f t="shared" si="9"/>
        <v>648629.78838251636</v>
      </c>
      <c r="H27" s="142">
        <f t="shared" si="10"/>
        <v>648629.78838251636</v>
      </c>
      <c r="I27" s="156">
        <f t="shared" si="6"/>
        <v>0</v>
      </c>
      <c r="J27" s="156"/>
      <c r="K27" s="334"/>
      <c r="L27" s="158">
        <f t="shared" si="11"/>
        <v>0</v>
      </c>
      <c r="M27" s="334"/>
      <c r="N27" s="158">
        <f t="shared" si="12"/>
        <v>0</v>
      </c>
      <c r="O27" s="158">
        <f t="shared" si="13"/>
        <v>0</v>
      </c>
      <c r="P27" s="4"/>
    </row>
    <row r="28" spans="2:16">
      <c r="B28" s="9" t="str">
        <f t="shared" si="5"/>
        <v/>
      </c>
      <c r="C28" s="153">
        <f>IF(D11="","-",+C27+1)</f>
        <v>2024</v>
      </c>
      <c r="D28" s="159">
        <f>IF(F27+SUM(E$17:E27)=D$10,F27,D$10-SUM(E$17:E27))</f>
        <v>4948329.7030719658</v>
      </c>
      <c r="E28" s="160">
        <f t="shared" si="7"/>
        <v>148598.58139534883</v>
      </c>
      <c r="F28" s="159">
        <f t="shared" si="8"/>
        <v>4799731.1216766173</v>
      </c>
      <c r="G28" s="161">
        <f t="shared" si="9"/>
        <v>633835.95668523828</v>
      </c>
      <c r="H28" s="142">
        <f t="shared" si="10"/>
        <v>633835.95668523828</v>
      </c>
      <c r="I28" s="156">
        <f t="shared" si="6"/>
        <v>0</v>
      </c>
      <c r="J28" s="156"/>
      <c r="K28" s="334"/>
      <c r="L28" s="158">
        <f t="shared" si="11"/>
        <v>0</v>
      </c>
      <c r="M28" s="334"/>
      <c r="N28" s="158">
        <f t="shared" si="12"/>
        <v>0</v>
      </c>
      <c r="O28" s="158">
        <f t="shared" si="13"/>
        <v>0</v>
      </c>
      <c r="P28" s="4"/>
    </row>
    <row r="29" spans="2:16">
      <c r="B29" s="9" t="str">
        <f t="shared" si="5"/>
        <v/>
      </c>
      <c r="C29" s="153">
        <f>IF(D11="","-",+C28+1)</f>
        <v>2025</v>
      </c>
      <c r="D29" s="159">
        <f>IF(F28+SUM(E$17:E28)=D$10,F28,D$10-SUM(E$17:E28))</f>
        <v>4799731.1216766173</v>
      </c>
      <c r="E29" s="160">
        <f t="shared" si="7"/>
        <v>148598.58139534883</v>
      </c>
      <c r="F29" s="159">
        <f t="shared" si="8"/>
        <v>4651132.5402812688</v>
      </c>
      <c r="G29" s="161">
        <f t="shared" si="9"/>
        <v>619042.12498796033</v>
      </c>
      <c r="H29" s="142">
        <f t="shared" si="10"/>
        <v>619042.12498796033</v>
      </c>
      <c r="I29" s="156">
        <f t="shared" si="6"/>
        <v>0</v>
      </c>
      <c r="J29" s="156"/>
      <c r="K29" s="334"/>
      <c r="L29" s="158">
        <f t="shared" si="11"/>
        <v>0</v>
      </c>
      <c r="M29" s="334"/>
      <c r="N29" s="158">
        <f t="shared" si="12"/>
        <v>0</v>
      </c>
      <c r="O29" s="158">
        <f t="shared" si="13"/>
        <v>0</v>
      </c>
      <c r="P29" s="4"/>
    </row>
    <row r="30" spans="2:16">
      <c r="B30" s="9" t="str">
        <f t="shared" si="5"/>
        <v/>
      </c>
      <c r="C30" s="153">
        <f>IF(D11="","-",+C29+1)</f>
        <v>2026</v>
      </c>
      <c r="D30" s="159">
        <f>IF(F29+SUM(E$17:E29)=D$10,F29,D$10-SUM(E$17:E29))</f>
        <v>4651132.5402812688</v>
      </c>
      <c r="E30" s="160">
        <f t="shared" si="7"/>
        <v>148598.58139534883</v>
      </c>
      <c r="F30" s="159">
        <f t="shared" si="8"/>
        <v>4502533.9588859202</v>
      </c>
      <c r="G30" s="161">
        <f t="shared" si="9"/>
        <v>604248.29329068225</v>
      </c>
      <c r="H30" s="142">
        <f t="shared" si="10"/>
        <v>604248.29329068225</v>
      </c>
      <c r="I30" s="156">
        <f t="shared" si="6"/>
        <v>0</v>
      </c>
      <c r="J30" s="156"/>
      <c r="K30" s="334"/>
      <c r="L30" s="158">
        <f t="shared" si="11"/>
        <v>0</v>
      </c>
      <c r="M30" s="334"/>
      <c r="N30" s="158">
        <f t="shared" si="12"/>
        <v>0</v>
      </c>
      <c r="O30" s="158">
        <f t="shared" si="13"/>
        <v>0</v>
      </c>
      <c r="P30" s="4"/>
    </row>
    <row r="31" spans="2:16">
      <c r="B31" s="9" t="str">
        <f t="shared" si="5"/>
        <v/>
      </c>
      <c r="C31" s="153">
        <f>IF(D11="","-",+C30+1)</f>
        <v>2027</v>
      </c>
      <c r="D31" s="159">
        <f>IF(F30+SUM(E$17:E30)=D$10,F30,D$10-SUM(E$17:E30))</f>
        <v>4502533.9588859202</v>
      </c>
      <c r="E31" s="160">
        <f t="shared" si="7"/>
        <v>148598.58139534883</v>
      </c>
      <c r="F31" s="159">
        <f t="shared" si="8"/>
        <v>4353935.3774905717</v>
      </c>
      <c r="G31" s="161">
        <f t="shared" si="9"/>
        <v>589454.46159340418</v>
      </c>
      <c r="H31" s="142">
        <f t="shared" si="10"/>
        <v>589454.46159340418</v>
      </c>
      <c r="I31" s="156">
        <f t="shared" si="6"/>
        <v>0</v>
      </c>
      <c r="J31" s="156"/>
      <c r="K31" s="334"/>
      <c r="L31" s="158">
        <f t="shared" si="11"/>
        <v>0</v>
      </c>
      <c r="M31" s="334"/>
      <c r="N31" s="158">
        <f t="shared" si="12"/>
        <v>0</v>
      </c>
      <c r="O31" s="158">
        <f t="shared" si="13"/>
        <v>0</v>
      </c>
      <c r="P31" s="4"/>
    </row>
    <row r="32" spans="2:16">
      <c r="B32" s="9" t="str">
        <f t="shared" si="5"/>
        <v/>
      </c>
      <c r="C32" s="153">
        <f>IF(D11="","-",+C31+1)</f>
        <v>2028</v>
      </c>
      <c r="D32" s="159">
        <f>IF(F31+SUM(E$17:E31)=D$10,F31,D$10-SUM(E$17:E31))</f>
        <v>4353935.3774905717</v>
      </c>
      <c r="E32" s="160">
        <f t="shared" si="7"/>
        <v>148598.58139534883</v>
      </c>
      <c r="F32" s="159">
        <f t="shared" si="8"/>
        <v>4205336.7960952232</v>
      </c>
      <c r="G32" s="161">
        <f t="shared" si="9"/>
        <v>574660.62989612622</v>
      </c>
      <c r="H32" s="142">
        <f t="shared" si="10"/>
        <v>574660.62989612622</v>
      </c>
      <c r="I32" s="156">
        <f t="shared" si="6"/>
        <v>0</v>
      </c>
      <c r="J32" s="156"/>
      <c r="K32" s="334"/>
      <c r="L32" s="158">
        <f t="shared" si="11"/>
        <v>0</v>
      </c>
      <c r="M32" s="334"/>
      <c r="N32" s="158">
        <f t="shared" si="12"/>
        <v>0</v>
      </c>
      <c r="O32" s="158">
        <f t="shared" si="13"/>
        <v>0</v>
      </c>
      <c r="P32" s="4"/>
    </row>
    <row r="33" spans="2:16">
      <c r="B33" s="9" t="str">
        <f t="shared" si="5"/>
        <v/>
      </c>
      <c r="C33" s="153">
        <f>IF(D11="","-",+C32+1)</f>
        <v>2029</v>
      </c>
      <c r="D33" s="159">
        <f>IF(F32+SUM(E$17:E32)=D$10,F32,D$10-SUM(E$17:E32))</f>
        <v>4205336.7960952232</v>
      </c>
      <c r="E33" s="160">
        <f t="shared" si="7"/>
        <v>148598.58139534883</v>
      </c>
      <c r="F33" s="159">
        <f t="shared" si="8"/>
        <v>4056738.2146998742</v>
      </c>
      <c r="G33" s="161">
        <f t="shared" si="9"/>
        <v>559866.79819884815</v>
      </c>
      <c r="H33" s="142">
        <f t="shared" si="10"/>
        <v>559866.79819884815</v>
      </c>
      <c r="I33" s="156">
        <f t="shared" si="6"/>
        <v>0</v>
      </c>
      <c r="J33" s="156"/>
      <c r="K33" s="334"/>
      <c r="L33" s="158">
        <f t="shared" si="11"/>
        <v>0</v>
      </c>
      <c r="M33" s="334"/>
      <c r="N33" s="158">
        <f t="shared" si="12"/>
        <v>0</v>
      </c>
      <c r="O33" s="158">
        <f t="shared" si="13"/>
        <v>0</v>
      </c>
      <c r="P33" s="4"/>
    </row>
    <row r="34" spans="2:16">
      <c r="B34" s="9" t="str">
        <f t="shared" si="5"/>
        <v/>
      </c>
      <c r="C34" s="153">
        <f>IF(D11="","-",+C33+1)</f>
        <v>2030</v>
      </c>
      <c r="D34" s="159">
        <f>IF(F33+SUM(E$17:E33)=D$10,F33,D$10-SUM(E$17:E33))</f>
        <v>4056738.2146998742</v>
      </c>
      <c r="E34" s="160">
        <f t="shared" si="7"/>
        <v>148598.58139534883</v>
      </c>
      <c r="F34" s="159">
        <f t="shared" si="8"/>
        <v>3908139.6333045252</v>
      </c>
      <c r="G34" s="161">
        <f t="shared" si="9"/>
        <v>545072.96650157007</v>
      </c>
      <c r="H34" s="142">
        <f t="shared" si="10"/>
        <v>545072.96650157007</v>
      </c>
      <c r="I34" s="156">
        <f t="shared" si="6"/>
        <v>0</v>
      </c>
      <c r="J34" s="156"/>
      <c r="K34" s="334"/>
      <c r="L34" s="158">
        <f t="shared" si="11"/>
        <v>0</v>
      </c>
      <c r="M34" s="334"/>
      <c r="N34" s="158">
        <f t="shared" si="12"/>
        <v>0</v>
      </c>
      <c r="O34" s="158">
        <f t="shared" si="13"/>
        <v>0</v>
      </c>
      <c r="P34" s="4"/>
    </row>
    <row r="35" spans="2:16">
      <c r="B35" s="9" t="str">
        <f t="shared" si="5"/>
        <v/>
      </c>
      <c r="C35" s="153">
        <f>IF(D11="","-",+C34+1)</f>
        <v>2031</v>
      </c>
      <c r="D35" s="159">
        <f>IF(F34+SUM(E$17:E34)=D$10,F34,D$10-SUM(E$17:E34))</f>
        <v>3908139.6333045252</v>
      </c>
      <c r="E35" s="160">
        <f t="shared" si="7"/>
        <v>148598.58139534883</v>
      </c>
      <c r="F35" s="159">
        <f t="shared" si="8"/>
        <v>3759541.0519091762</v>
      </c>
      <c r="G35" s="161">
        <f t="shared" si="9"/>
        <v>530279.134804292</v>
      </c>
      <c r="H35" s="142">
        <f t="shared" si="10"/>
        <v>530279.134804292</v>
      </c>
      <c r="I35" s="156">
        <f t="shared" si="6"/>
        <v>0</v>
      </c>
      <c r="J35" s="156"/>
      <c r="K35" s="334"/>
      <c r="L35" s="158">
        <f t="shared" si="11"/>
        <v>0</v>
      </c>
      <c r="M35" s="334"/>
      <c r="N35" s="158">
        <f t="shared" si="12"/>
        <v>0</v>
      </c>
      <c r="O35" s="158">
        <f t="shared" si="13"/>
        <v>0</v>
      </c>
      <c r="P35" s="4"/>
    </row>
    <row r="36" spans="2:16">
      <c r="B36" s="9" t="str">
        <f t="shared" si="5"/>
        <v/>
      </c>
      <c r="C36" s="153">
        <f>IF(D11="","-",+C35+1)</f>
        <v>2032</v>
      </c>
      <c r="D36" s="159">
        <f>IF(F35+SUM(E$17:E35)=D$10,F35,D$10-SUM(E$17:E35))</f>
        <v>3759541.0519091762</v>
      </c>
      <c r="E36" s="160">
        <f t="shared" si="7"/>
        <v>148598.58139534883</v>
      </c>
      <c r="F36" s="159">
        <f t="shared" si="8"/>
        <v>3610942.4705138272</v>
      </c>
      <c r="G36" s="161">
        <f t="shared" si="9"/>
        <v>515485.30310701387</v>
      </c>
      <c r="H36" s="142">
        <f t="shared" si="10"/>
        <v>515485.30310701387</v>
      </c>
      <c r="I36" s="156">
        <f t="shared" si="6"/>
        <v>0</v>
      </c>
      <c r="J36" s="156"/>
      <c r="K36" s="334"/>
      <c r="L36" s="158">
        <f t="shared" si="11"/>
        <v>0</v>
      </c>
      <c r="M36" s="334"/>
      <c r="N36" s="158">
        <f t="shared" si="12"/>
        <v>0</v>
      </c>
      <c r="O36" s="158">
        <f t="shared" si="13"/>
        <v>0</v>
      </c>
      <c r="P36" s="4"/>
    </row>
    <row r="37" spans="2:16">
      <c r="B37" s="9" t="str">
        <f t="shared" si="5"/>
        <v/>
      </c>
      <c r="C37" s="153">
        <f>IF(D11="","-",+C36+1)</f>
        <v>2033</v>
      </c>
      <c r="D37" s="159">
        <f>IF(F36+SUM(E$17:E36)=D$10,F36,D$10-SUM(E$17:E36))</f>
        <v>3610942.4705138272</v>
      </c>
      <c r="E37" s="160">
        <f t="shared" si="7"/>
        <v>148598.58139534883</v>
      </c>
      <c r="F37" s="159">
        <f t="shared" si="8"/>
        <v>3462343.8891184782</v>
      </c>
      <c r="G37" s="161">
        <f t="shared" si="9"/>
        <v>500691.47140973585</v>
      </c>
      <c r="H37" s="142">
        <f t="shared" si="10"/>
        <v>500691.47140973585</v>
      </c>
      <c r="I37" s="156">
        <f t="shared" si="6"/>
        <v>0</v>
      </c>
      <c r="J37" s="156"/>
      <c r="K37" s="334"/>
      <c r="L37" s="158">
        <f t="shared" si="11"/>
        <v>0</v>
      </c>
      <c r="M37" s="334"/>
      <c r="N37" s="158">
        <f t="shared" si="12"/>
        <v>0</v>
      </c>
      <c r="O37" s="158">
        <f t="shared" si="13"/>
        <v>0</v>
      </c>
      <c r="P37" s="4"/>
    </row>
    <row r="38" spans="2:16">
      <c r="B38" s="9" t="str">
        <f t="shared" si="5"/>
        <v/>
      </c>
      <c r="C38" s="153">
        <f>IF(D11="","-",+C37+1)</f>
        <v>2034</v>
      </c>
      <c r="D38" s="159">
        <f>IF(F37+SUM(E$17:E37)=D$10,F37,D$10-SUM(E$17:E37))</f>
        <v>3462343.8891184782</v>
      </c>
      <c r="E38" s="160">
        <f t="shared" si="7"/>
        <v>148598.58139534883</v>
      </c>
      <c r="F38" s="159">
        <f t="shared" si="8"/>
        <v>3313745.3077231292</v>
      </c>
      <c r="G38" s="161">
        <f t="shared" si="9"/>
        <v>485897.63971245772</v>
      </c>
      <c r="H38" s="142">
        <f t="shared" si="10"/>
        <v>485897.63971245772</v>
      </c>
      <c r="I38" s="156">
        <f t="shared" si="6"/>
        <v>0</v>
      </c>
      <c r="J38" s="156"/>
      <c r="K38" s="334"/>
      <c r="L38" s="158">
        <f t="shared" si="11"/>
        <v>0</v>
      </c>
      <c r="M38" s="334"/>
      <c r="N38" s="158">
        <f t="shared" si="12"/>
        <v>0</v>
      </c>
      <c r="O38" s="158">
        <f t="shared" si="13"/>
        <v>0</v>
      </c>
      <c r="P38" s="4"/>
    </row>
    <row r="39" spans="2:16">
      <c r="B39" s="9" t="str">
        <f t="shared" si="5"/>
        <v/>
      </c>
      <c r="C39" s="153">
        <f>IF(D11="","-",+C38+1)</f>
        <v>2035</v>
      </c>
      <c r="D39" s="159">
        <f>IF(F38+SUM(E$17:E38)=D$10,F38,D$10-SUM(E$17:E38))</f>
        <v>3313745.3077231292</v>
      </c>
      <c r="E39" s="160">
        <f t="shared" si="7"/>
        <v>148598.58139534883</v>
      </c>
      <c r="F39" s="159">
        <f t="shared" si="8"/>
        <v>3165146.7263277802</v>
      </c>
      <c r="G39" s="161">
        <f t="shared" si="9"/>
        <v>471103.80801517965</v>
      </c>
      <c r="H39" s="142">
        <f t="shared" si="10"/>
        <v>471103.80801517965</v>
      </c>
      <c r="I39" s="156">
        <f t="shared" si="6"/>
        <v>0</v>
      </c>
      <c r="J39" s="156"/>
      <c r="K39" s="334"/>
      <c r="L39" s="158">
        <f t="shared" si="11"/>
        <v>0</v>
      </c>
      <c r="M39" s="334"/>
      <c r="N39" s="158">
        <f t="shared" si="12"/>
        <v>0</v>
      </c>
      <c r="O39" s="158">
        <f t="shared" si="13"/>
        <v>0</v>
      </c>
      <c r="P39" s="4"/>
    </row>
    <row r="40" spans="2:16">
      <c r="B40" s="9" t="str">
        <f t="shared" si="5"/>
        <v/>
      </c>
      <c r="C40" s="153">
        <f>IF(D11="","-",+C39+1)</f>
        <v>2036</v>
      </c>
      <c r="D40" s="159">
        <f>IF(F39+SUM(E$17:E39)=D$10,F39,D$10-SUM(E$17:E39))</f>
        <v>3165146.7263277802</v>
      </c>
      <c r="E40" s="160">
        <f t="shared" si="7"/>
        <v>148598.58139534883</v>
      </c>
      <c r="F40" s="159">
        <f t="shared" si="8"/>
        <v>3016548.1449324312</v>
      </c>
      <c r="G40" s="161">
        <f t="shared" si="9"/>
        <v>456309.97631790157</v>
      </c>
      <c r="H40" s="142">
        <f t="shared" si="10"/>
        <v>456309.97631790157</v>
      </c>
      <c r="I40" s="156">
        <f t="shared" si="6"/>
        <v>0</v>
      </c>
      <c r="J40" s="156"/>
      <c r="K40" s="334"/>
      <c r="L40" s="158">
        <f t="shared" si="11"/>
        <v>0</v>
      </c>
      <c r="M40" s="334"/>
      <c r="N40" s="158">
        <f t="shared" si="12"/>
        <v>0</v>
      </c>
      <c r="O40" s="158">
        <f t="shared" si="13"/>
        <v>0</v>
      </c>
      <c r="P40" s="4"/>
    </row>
    <row r="41" spans="2:16">
      <c r="B41" s="9" t="str">
        <f t="shared" si="5"/>
        <v/>
      </c>
      <c r="C41" s="153">
        <f>IF(D11="","-",+C40+1)</f>
        <v>2037</v>
      </c>
      <c r="D41" s="159">
        <f>IF(F40+SUM(E$17:E40)=D$10,F40,D$10-SUM(E$17:E40))</f>
        <v>3016548.1449324312</v>
      </c>
      <c r="E41" s="160">
        <f t="shared" si="7"/>
        <v>148598.58139534883</v>
      </c>
      <c r="F41" s="159">
        <f t="shared" si="8"/>
        <v>2867949.5635370822</v>
      </c>
      <c r="G41" s="161">
        <f t="shared" si="9"/>
        <v>441516.1446206235</v>
      </c>
      <c r="H41" s="142">
        <f t="shared" si="10"/>
        <v>441516.1446206235</v>
      </c>
      <c r="I41" s="156">
        <f t="shared" si="6"/>
        <v>0</v>
      </c>
      <c r="J41" s="156"/>
      <c r="K41" s="334"/>
      <c r="L41" s="158">
        <f t="shared" si="11"/>
        <v>0</v>
      </c>
      <c r="M41" s="334"/>
      <c r="N41" s="158">
        <f t="shared" si="12"/>
        <v>0</v>
      </c>
      <c r="O41" s="158">
        <f t="shared" si="13"/>
        <v>0</v>
      </c>
      <c r="P41" s="4"/>
    </row>
    <row r="42" spans="2:16">
      <c r="B42" s="9" t="str">
        <f t="shared" si="5"/>
        <v/>
      </c>
      <c r="C42" s="153">
        <f>IF(D11="","-",+C41+1)</f>
        <v>2038</v>
      </c>
      <c r="D42" s="159">
        <f>IF(F41+SUM(E$17:E41)=D$10,F41,D$10-SUM(E$17:E41))</f>
        <v>2867949.5635370822</v>
      </c>
      <c r="E42" s="160">
        <f t="shared" si="7"/>
        <v>148598.58139534883</v>
      </c>
      <c r="F42" s="159">
        <f t="shared" si="8"/>
        <v>2719350.9821417332</v>
      </c>
      <c r="G42" s="161">
        <f t="shared" si="9"/>
        <v>426722.31292334537</v>
      </c>
      <c r="H42" s="142">
        <f t="shared" si="10"/>
        <v>426722.31292334537</v>
      </c>
      <c r="I42" s="156">
        <f t="shared" si="6"/>
        <v>0</v>
      </c>
      <c r="J42" s="156"/>
      <c r="K42" s="334"/>
      <c r="L42" s="158">
        <f t="shared" si="11"/>
        <v>0</v>
      </c>
      <c r="M42" s="334"/>
      <c r="N42" s="158">
        <f t="shared" si="12"/>
        <v>0</v>
      </c>
      <c r="O42" s="158">
        <f t="shared" si="13"/>
        <v>0</v>
      </c>
      <c r="P42" s="4"/>
    </row>
    <row r="43" spans="2:16">
      <c r="B43" s="9" t="str">
        <f t="shared" si="5"/>
        <v/>
      </c>
      <c r="C43" s="153">
        <f>IF(D11="","-",+C42+1)</f>
        <v>2039</v>
      </c>
      <c r="D43" s="159">
        <f>IF(F42+SUM(E$17:E42)=D$10,F42,D$10-SUM(E$17:E42))</f>
        <v>2719350.9821417332</v>
      </c>
      <c r="E43" s="160">
        <f t="shared" si="7"/>
        <v>148598.58139534883</v>
      </c>
      <c r="F43" s="159">
        <f t="shared" si="8"/>
        <v>2570752.4007463842</v>
      </c>
      <c r="G43" s="161">
        <f t="shared" si="9"/>
        <v>411928.48122606735</v>
      </c>
      <c r="H43" s="142">
        <f t="shared" si="10"/>
        <v>411928.48122606735</v>
      </c>
      <c r="I43" s="156">
        <f t="shared" si="6"/>
        <v>0</v>
      </c>
      <c r="J43" s="156"/>
      <c r="K43" s="334"/>
      <c r="L43" s="158">
        <f t="shared" si="11"/>
        <v>0</v>
      </c>
      <c r="M43" s="334"/>
      <c r="N43" s="158">
        <f t="shared" si="12"/>
        <v>0</v>
      </c>
      <c r="O43" s="158">
        <f t="shared" si="13"/>
        <v>0</v>
      </c>
      <c r="P43" s="4"/>
    </row>
    <row r="44" spans="2:16">
      <c r="B44" s="9" t="str">
        <f t="shared" si="5"/>
        <v/>
      </c>
      <c r="C44" s="153">
        <f>IF(D11="","-",+C43+1)</f>
        <v>2040</v>
      </c>
      <c r="D44" s="159">
        <f>IF(F43+SUM(E$17:E43)=D$10,F43,D$10-SUM(E$17:E43))</f>
        <v>2570752.4007463842</v>
      </c>
      <c r="E44" s="160">
        <f t="shared" si="7"/>
        <v>148598.58139534883</v>
      </c>
      <c r="F44" s="159">
        <f t="shared" si="8"/>
        <v>2422153.8193510352</v>
      </c>
      <c r="G44" s="161">
        <f t="shared" si="9"/>
        <v>397134.64952878922</v>
      </c>
      <c r="H44" s="142">
        <f t="shared" si="10"/>
        <v>397134.64952878922</v>
      </c>
      <c r="I44" s="156">
        <f t="shared" si="6"/>
        <v>0</v>
      </c>
      <c r="J44" s="156"/>
      <c r="K44" s="334"/>
      <c r="L44" s="158">
        <f t="shared" si="11"/>
        <v>0</v>
      </c>
      <c r="M44" s="334"/>
      <c r="N44" s="158">
        <f t="shared" si="12"/>
        <v>0</v>
      </c>
      <c r="O44" s="158">
        <f t="shared" si="13"/>
        <v>0</v>
      </c>
      <c r="P44" s="4"/>
    </row>
    <row r="45" spans="2:16">
      <c r="B45" s="9" t="str">
        <f t="shared" si="5"/>
        <v/>
      </c>
      <c r="C45" s="153">
        <f>IF(D11="","-",+C44+1)</f>
        <v>2041</v>
      </c>
      <c r="D45" s="159">
        <f>IF(F44+SUM(E$17:E44)=D$10,F44,D$10-SUM(E$17:E44))</f>
        <v>2422153.8193510352</v>
      </c>
      <c r="E45" s="160">
        <f t="shared" si="7"/>
        <v>148598.58139534883</v>
      </c>
      <c r="F45" s="159">
        <f t="shared" si="8"/>
        <v>2273555.2379556862</v>
      </c>
      <c r="G45" s="161">
        <f t="shared" si="9"/>
        <v>382340.81783151114</v>
      </c>
      <c r="H45" s="142">
        <f t="shared" si="10"/>
        <v>382340.81783151114</v>
      </c>
      <c r="I45" s="156">
        <f t="shared" si="6"/>
        <v>0</v>
      </c>
      <c r="J45" s="156"/>
      <c r="K45" s="334"/>
      <c r="L45" s="158">
        <f t="shared" si="11"/>
        <v>0</v>
      </c>
      <c r="M45" s="334"/>
      <c r="N45" s="158">
        <f t="shared" si="12"/>
        <v>0</v>
      </c>
      <c r="O45" s="158">
        <f t="shared" si="13"/>
        <v>0</v>
      </c>
      <c r="P45" s="4"/>
    </row>
    <row r="46" spans="2:16">
      <c r="B46" s="9" t="str">
        <f t="shared" si="5"/>
        <v/>
      </c>
      <c r="C46" s="153">
        <f>IF(D11="","-",+C45+1)</f>
        <v>2042</v>
      </c>
      <c r="D46" s="159">
        <f>IF(F45+SUM(E$17:E45)=D$10,F45,D$10-SUM(E$17:E45))</f>
        <v>2273555.2379556862</v>
      </c>
      <c r="E46" s="160">
        <f t="shared" si="7"/>
        <v>148598.58139534883</v>
      </c>
      <c r="F46" s="159">
        <f t="shared" si="8"/>
        <v>2124956.6565603372</v>
      </c>
      <c r="G46" s="161">
        <f t="shared" si="9"/>
        <v>367546.98613423307</v>
      </c>
      <c r="H46" s="142">
        <f t="shared" si="10"/>
        <v>367546.98613423307</v>
      </c>
      <c r="I46" s="156">
        <f t="shared" si="6"/>
        <v>0</v>
      </c>
      <c r="J46" s="156"/>
      <c r="K46" s="334"/>
      <c r="L46" s="158">
        <f t="shared" si="11"/>
        <v>0</v>
      </c>
      <c r="M46" s="334"/>
      <c r="N46" s="158">
        <f t="shared" si="12"/>
        <v>0</v>
      </c>
      <c r="O46" s="158">
        <f t="shared" si="13"/>
        <v>0</v>
      </c>
      <c r="P46" s="4"/>
    </row>
    <row r="47" spans="2:16">
      <c r="B47" s="9" t="str">
        <f t="shared" si="5"/>
        <v/>
      </c>
      <c r="C47" s="153">
        <f>IF(D11="","-",+C46+1)</f>
        <v>2043</v>
      </c>
      <c r="D47" s="159">
        <f>IF(F46+SUM(E$17:E46)=D$10,F46,D$10-SUM(E$17:E46))</f>
        <v>2124956.6565603372</v>
      </c>
      <c r="E47" s="160">
        <f t="shared" si="7"/>
        <v>148598.58139534883</v>
      </c>
      <c r="F47" s="159">
        <f t="shared" si="8"/>
        <v>1976358.0751649884</v>
      </c>
      <c r="G47" s="161">
        <f t="shared" si="9"/>
        <v>352753.154436955</v>
      </c>
      <c r="H47" s="142">
        <f t="shared" si="10"/>
        <v>352753.154436955</v>
      </c>
      <c r="I47" s="156">
        <f t="shared" si="6"/>
        <v>0</v>
      </c>
      <c r="J47" s="156"/>
      <c r="K47" s="334"/>
      <c r="L47" s="158">
        <f t="shared" si="11"/>
        <v>0</v>
      </c>
      <c r="M47" s="334"/>
      <c r="N47" s="158">
        <f t="shared" si="12"/>
        <v>0</v>
      </c>
      <c r="O47" s="158">
        <f t="shared" si="13"/>
        <v>0</v>
      </c>
      <c r="P47" s="4"/>
    </row>
    <row r="48" spans="2:16">
      <c r="B48" s="9" t="str">
        <f t="shared" si="5"/>
        <v/>
      </c>
      <c r="C48" s="153">
        <f>IF(D11="","-",+C47+1)</f>
        <v>2044</v>
      </c>
      <c r="D48" s="159">
        <f>IF(F47+SUM(E$17:E47)=D$10,F47,D$10-SUM(E$17:E47))</f>
        <v>1976358.0751649884</v>
      </c>
      <c r="E48" s="160">
        <f t="shared" si="7"/>
        <v>148598.58139534883</v>
      </c>
      <c r="F48" s="159">
        <f t="shared" si="8"/>
        <v>1827759.4937696396</v>
      </c>
      <c r="G48" s="161">
        <f t="shared" si="9"/>
        <v>337959.32273967692</v>
      </c>
      <c r="H48" s="142">
        <f t="shared" si="10"/>
        <v>337959.32273967692</v>
      </c>
      <c r="I48" s="156">
        <f t="shared" si="6"/>
        <v>0</v>
      </c>
      <c r="J48" s="156"/>
      <c r="K48" s="334"/>
      <c r="L48" s="158">
        <f t="shared" si="11"/>
        <v>0</v>
      </c>
      <c r="M48" s="334"/>
      <c r="N48" s="158">
        <f t="shared" si="12"/>
        <v>0</v>
      </c>
      <c r="O48" s="158">
        <f t="shared" si="13"/>
        <v>0</v>
      </c>
      <c r="P48" s="4"/>
    </row>
    <row r="49" spans="2:17">
      <c r="B49" s="9" t="str">
        <f t="shared" si="5"/>
        <v/>
      </c>
      <c r="C49" s="153">
        <f>IF(D11="","-",+C48+1)</f>
        <v>2045</v>
      </c>
      <c r="D49" s="159">
        <f>IF(F48+SUM(E$17:E48)=D$10,F48,D$10-SUM(E$17:E48))</f>
        <v>1827759.4937696396</v>
      </c>
      <c r="E49" s="160">
        <f t="shared" si="7"/>
        <v>148598.58139534883</v>
      </c>
      <c r="F49" s="159">
        <f t="shared" si="8"/>
        <v>1679160.9123742909</v>
      </c>
      <c r="G49" s="161">
        <f t="shared" si="9"/>
        <v>323165.49104239891</v>
      </c>
      <c r="H49" s="142">
        <f t="shared" si="10"/>
        <v>323165.49104239891</v>
      </c>
      <c r="I49" s="156">
        <f t="shared" si="6"/>
        <v>0</v>
      </c>
      <c r="J49" s="156"/>
      <c r="K49" s="334"/>
      <c r="L49" s="158">
        <f t="shared" si="11"/>
        <v>0</v>
      </c>
      <c r="M49" s="334"/>
      <c r="N49" s="158">
        <f t="shared" si="12"/>
        <v>0</v>
      </c>
      <c r="O49" s="158">
        <f t="shared" si="13"/>
        <v>0</v>
      </c>
      <c r="P49" s="4"/>
    </row>
    <row r="50" spans="2:17">
      <c r="B50" s="9" t="str">
        <f t="shared" si="5"/>
        <v/>
      </c>
      <c r="C50" s="153">
        <f>IF(D11="","-",+C49+1)</f>
        <v>2046</v>
      </c>
      <c r="D50" s="159">
        <f>IF(F49+SUM(E$17:E49)=D$10,F49,D$10-SUM(E$17:E49))</f>
        <v>1679160.9123742909</v>
      </c>
      <c r="E50" s="160">
        <f t="shared" si="7"/>
        <v>148598.58139534883</v>
      </c>
      <c r="F50" s="159">
        <f t="shared" si="8"/>
        <v>1530562.3309789421</v>
      </c>
      <c r="G50" s="161">
        <f t="shared" si="9"/>
        <v>308371.65934512077</v>
      </c>
      <c r="H50" s="142">
        <f t="shared" si="10"/>
        <v>308371.65934512077</v>
      </c>
      <c r="I50" s="156">
        <f t="shared" si="6"/>
        <v>0</v>
      </c>
      <c r="J50" s="156"/>
      <c r="K50" s="334"/>
      <c r="L50" s="158">
        <f t="shared" si="11"/>
        <v>0</v>
      </c>
      <c r="M50" s="334"/>
      <c r="N50" s="158">
        <f t="shared" si="12"/>
        <v>0</v>
      </c>
      <c r="O50" s="158">
        <f t="shared" si="13"/>
        <v>0</v>
      </c>
      <c r="P50" s="4"/>
    </row>
    <row r="51" spans="2:17">
      <c r="B51" s="9" t="str">
        <f t="shared" si="5"/>
        <v/>
      </c>
      <c r="C51" s="153">
        <f>IF(D11="","-",+C50+1)</f>
        <v>2047</v>
      </c>
      <c r="D51" s="159">
        <f>IF(F50+SUM(E$17:E50)=D$10,F50,D$10-SUM(E$17:E50))</f>
        <v>1530562.3309789421</v>
      </c>
      <c r="E51" s="160">
        <f t="shared" si="7"/>
        <v>148598.58139534883</v>
      </c>
      <c r="F51" s="159">
        <f t="shared" si="8"/>
        <v>1381963.7495835933</v>
      </c>
      <c r="G51" s="161">
        <f t="shared" si="9"/>
        <v>293577.82764784282</v>
      </c>
      <c r="H51" s="142">
        <f t="shared" si="10"/>
        <v>293577.82764784282</v>
      </c>
      <c r="I51" s="156">
        <f t="shared" si="6"/>
        <v>0</v>
      </c>
      <c r="J51" s="156"/>
      <c r="K51" s="334"/>
      <c r="L51" s="158">
        <f t="shared" si="11"/>
        <v>0</v>
      </c>
      <c r="M51" s="334"/>
      <c r="N51" s="158">
        <f t="shared" si="12"/>
        <v>0</v>
      </c>
      <c r="O51" s="158">
        <f t="shared" si="13"/>
        <v>0</v>
      </c>
      <c r="P51" s="4"/>
    </row>
    <row r="52" spans="2:17">
      <c r="B52" s="9" t="str">
        <f t="shared" si="5"/>
        <v/>
      </c>
      <c r="C52" s="153">
        <f>IF(D11="","-",+C51+1)</f>
        <v>2048</v>
      </c>
      <c r="D52" s="159">
        <f>IF(F51+SUM(E$17:E51)=D$10,F51,D$10-SUM(E$17:E51))</f>
        <v>1381963.7495835933</v>
      </c>
      <c r="E52" s="160">
        <f t="shared" si="7"/>
        <v>148598.58139534883</v>
      </c>
      <c r="F52" s="159">
        <f t="shared" si="8"/>
        <v>1233365.1681882446</v>
      </c>
      <c r="G52" s="161">
        <f t="shared" si="9"/>
        <v>278783.99595056468</v>
      </c>
      <c r="H52" s="142">
        <f t="shared" si="10"/>
        <v>278783.99595056468</v>
      </c>
      <c r="I52" s="156">
        <f t="shared" si="6"/>
        <v>0</v>
      </c>
      <c r="J52" s="156"/>
      <c r="K52" s="334"/>
      <c r="L52" s="158">
        <f t="shared" si="11"/>
        <v>0</v>
      </c>
      <c r="M52" s="334"/>
      <c r="N52" s="158">
        <f t="shared" si="12"/>
        <v>0</v>
      </c>
      <c r="O52" s="158">
        <f t="shared" si="13"/>
        <v>0</v>
      </c>
      <c r="P52" s="4"/>
    </row>
    <row r="53" spans="2:17">
      <c r="B53" s="9" t="str">
        <f t="shared" si="5"/>
        <v/>
      </c>
      <c r="C53" s="153">
        <f>IF(D11="","-",+C52+1)</f>
        <v>2049</v>
      </c>
      <c r="D53" s="159">
        <f>IF(F52+SUM(E$17:E52)=D$10,F52,D$10-SUM(E$17:E52))</f>
        <v>1233365.1681882446</v>
      </c>
      <c r="E53" s="160">
        <f t="shared" si="7"/>
        <v>148598.58139534883</v>
      </c>
      <c r="F53" s="159">
        <f t="shared" si="8"/>
        <v>1084766.5867928958</v>
      </c>
      <c r="G53" s="161">
        <f t="shared" ref="G53:G72" si="14">+I$12*((D53+F53)/2)+E53</f>
        <v>263990.16425328667</v>
      </c>
      <c r="H53" s="142">
        <f t="shared" ref="H53:H72" si="15">+I$13*((D53+F53)/2)+E53</f>
        <v>263990.16425328667</v>
      </c>
      <c r="I53" s="156">
        <f t="shared" si="6"/>
        <v>0</v>
      </c>
      <c r="J53" s="156"/>
      <c r="K53" s="334"/>
      <c r="L53" s="158">
        <f t="shared" si="11"/>
        <v>0</v>
      </c>
      <c r="M53" s="334"/>
      <c r="N53" s="158">
        <f t="shared" si="12"/>
        <v>0</v>
      </c>
      <c r="O53" s="158">
        <f t="shared" si="13"/>
        <v>0</v>
      </c>
      <c r="P53" s="4"/>
    </row>
    <row r="54" spans="2:17">
      <c r="B54" s="9" t="str">
        <f t="shared" si="5"/>
        <v/>
      </c>
      <c r="C54" s="153">
        <f>IF(D11="","-",+C53+1)</f>
        <v>2050</v>
      </c>
      <c r="D54" s="159">
        <f>IF(F53+SUM(E$17:E53)=D$10,F53,D$10-SUM(E$17:E53))</f>
        <v>1084766.5867928958</v>
      </c>
      <c r="E54" s="160">
        <f t="shared" si="7"/>
        <v>148598.58139534883</v>
      </c>
      <c r="F54" s="159">
        <f t="shared" si="8"/>
        <v>936168.00539754704</v>
      </c>
      <c r="G54" s="161">
        <f t="shared" si="14"/>
        <v>249196.33255600859</v>
      </c>
      <c r="H54" s="142">
        <f t="shared" si="15"/>
        <v>249196.33255600859</v>
      </c>
      <c r="I54" s="156">
        <f t="shared" si="6"/>
        <v>0</v>
      </c>
      <c r="J54" s="156"/>
      <c r="K54" s="334"/>
      <c r="L54" s="158">
        <f t="shared" si="11"/>
        <v>0</v>
      </c>
      <c r="M54" s="334"/>
      <c r="N54" s="158">
        <f t="shared" si="12"/>
        <v>0</v>
      </c>
      <c r="O54" s="158">
        <f t="shared" si="13"/>
        <v>0</v>
      </c>
      <c r="P54" s="4"/>
    </row>
    <row r="55" spans="2:17">
      <c r="B55" s="9" t="str">
        <f t="shared" si="5"/>
        <v/>
      </c>
      <c r="C55" s="153">
        <f>IF(D11="","-",+C54+1)</f>
        <v>2051</v>
      </c>
      <c r="D55" s="159">
        <f>IF(F54+SUM(E$17:E54)=D$10,F54,D$10-SUM(E$17:E54))</f>
        <v>936168.00539754704</v>
      </c>
      <c r="E55" s="160">
        <f t="shared" si="7"/>
        <v>148598.58139534883</v>
      </c>
      <c r="F55" s="159">
        <f t="shared" si="8"/>
        <v>787569.42400219827</v>
      </c>
      <c r="G55" s="161">
        <f t="shared" si="14"/>
        <v>234402.50085873052</v>
      </c>
      <c r="H55" s="142">
        <f t="shared" si="15"/>
        <v>234402.50085873052</v>
      </c>
      <c r="I55" s="156">
        <f t="shared" si="6"/>
        <v>0</v>
      </c>
      <c r="J55" s="156"/>
      <c r="K55" s="334"/>
      <c r="L55" s="158">
        <f t="shared" si="11"/>
        <v>0</v>
      </c>
      <c r="M55" s="334"/>
      <c r="N55" s="158">
        <f t="shared" si="12"/>
        <v>0</v>
      </c>
      <c r="O55" s="158">
        <f t="shared" si="13"/>
        <v>0</v>
      </c>
      <c r="P55" s="4"/>
    </row>
    <row r="56" spans="2:17">
      <c r="B56" s="9" t="str">
        <f t="shared" si="5"/>
        <v/>
      </c>
      <c r="C56" s="153">
        <f>IF(D11="","-",+C55+1)</f>
        <v>2052</v>
      </c>
      <c r="D56" s="159">
        <f>IF(F55+SUM(E$17:E55)=D$10,F55,D$10-SUM(E$17:E55))</f>
        <v>787569.42400219827</v>
      </c>
      <c r="E56" s="160">
        <f t="shared" si="7"/>
        <v>148598.58139534883</v>
      </c>
      <c r="F56" s="159">
        <f t="shared" si="8"/>
        <v>638970.8426068495</v>
      </c>
      <c r="G56" s="161">
        <f t="shared" si="14"/>
        <v>219608.66916145248</v>
      </c>
      <c r="H56" s="142">
        <f t="shared" si="15"/>
        <v>219608.66916145248</v>
      </c>
      <c r="I56" s="156">
        <f t="shared" si="6"/>
        <v>0</v>
      </c>
      <c r="J56" s="156"/>
      <c r="K56" s="334"/>
      <c r="L56" s="158">
        <f t="shared" si="11"/>
        <v>0</v>
      </c>
      <c r="M56" s="334"/>
      <c r="N56" s="158">
        <f t="shared" si="12"/>
        <v>0</v>
      </c>
      <c r="O56" s="158">
        <f t="shared" si="13"/>
        <v>0</v>
      </c>
      <c r="P56" s="4"/>
    </row>
    <row r="57" spans="2:17">
      <c r="B57" s="9" t="str">
        <f t="shared" si="5"/>
        <v/>
      </c>
      <c r="C57" s="153">
        <f>IF(D11="","-",+C56+1)</f>
        <v>2053</v>
      </c>
      <c r="D57" s="159">
        <f>IF(F56+SUM(E$17:E56)=D$10,F56,D$10-SUM(E$17:E56))</f>
        <v>638970.8426068495</v>
      </c>
      <c r="E57" s="160">
        <f t="shared" si="7"/>
        <v>148598.58139534883</v>
      </c>
      <c r="F57" s="159">
        <f t="shared" si="8"/>
        <v>490372.26121150068</v>
      </c>
      <c r="G57" s="161">
        <f t="shared" si="14"/>
        <v>204814.8374641744</v>
      </c>
      <c r="H57" s="142">
        <f t="shared" si="15"/>
        <v>204814.8374641744</v>
      </c>
      <c r="I57" s="156">
        <f t="shared" si="6"/>
        <v>0</v>
      </c>
      <c r="J57" s="156"/>
      <c r="K57" s="334"/>
      <c r="L57" s="158">
        <f t="shared" si="11"/>
        <v>0</v>
      </c>
      <c r="M57" s="334"/>
      <c r="N57" s="158">
        <f t="shared" si="12"/>
        <v>0</v>
      </c>
      <c r="O57" s="158">
        <f t="shared" si="13"/>
        <v>0</v>
      </c>
      <c r="P57" s="4"/>
    </row>
    <row r="58" spans="2:17">
      <c r="B58" s="9" t="str">
        <f t="shared" si="5"/>
        <v/>
      </c>
      <c r="C58" s="153">
        <f>IF(D11="","-",+C57+1)</f>
        <v>2054</v>
      </c>
      <c r="D58" s="159">
        <f>IF(F57+SUM(E$17:E57)=D$10,F57,D$10-SUM(E$17:E57))</f>
        <v>490372.26121150068</v>
      </c>
      <c r="E58" s="160">
        <f t="shared" si="7"/>
        <v>148598.58139534883</v>
      </c>
      <c r="F58" s="159">
        <f t="shared" si="8"/>
        <v>341773.67981615185</v>
      </c>
      <c r="G58" s="161">
        <f t="shared" si="14"/>
        <v>190021.00576689636</v>
      </c>
      <c r="H58" s="142">
        <f t="shared" si="15"/>
        <v>190021.00576689636</v>
      </c>
      <c r="I58" s="156">
        <f t="shared" si="6"/>
        <v>0</v>
      </c>
      <c r="J58" s="156"/>
      <c r="K58" s="334"/>
      <c r="L58" s="158">
        <f t="shared" si="11"/>
        <v>0</v>
      </c>
      <c r="M58" s="334"/>
      <c r="N58" s="158">
        <f t="shared" si="12"/>
        <v>0</v>
      </c>
      <c r="O58" s="158">
        <f t="shared" si="13"/>
        <v>0</v>
      </c>
      <c r="P58" s="4"/>
      <c r="Q58" t="str">
        <f>IF(ROUND(Q57,0)=ROUND(SUM(Q18:Q56),0),"","Error -- check allocations above).")</f>
        <v/>
      </c>
    </row>
    <row r="59" spans="2:17">
      <c r="B59" s="9" t="str">
        <f t="shared" si="5"/>
        <v/>
      </c>
      <c r="C59" s="153">
        <f>IF(D11="","-",+C58+1)</f>
        <v>2055</v>
      </c>
      <c r="D59" s="159">
        <f>IF(F58+SUM(E$17:E58)=D$10,F58,D$10-SUM(E$17:E58))</f>
        <v>341773.67981615185</v>
      </c>
      <c r="E59" s="160">
        <f t="shared" si="7"/>
        <v>148598.58139534883</v>
      </c>
      <c r="F59" s="159">
        <f t="shared" si="8"/>
        <v>193175.09842080303</v>
      </c>
      <c r="G59" s="161">
        <f t="shared" si="14"/>
        <v>175227.17406961828</v>
      </c>
      <c r="H59" s="142">
        <f t="shared" si="15"/>
        <v>175227.17406961828</v>
      </c>
      <c r="I59" s="156">
        <f t="shared" si="6"/>
        <v>0</v>
      </c>
      <c r="J59" s="156"/>
      <c r="K59" s="334"/>
      <c r="L59" s="158">
        <f t="shared" si="11"/>
        <v>0</v>
      </c>
      <c r="M59" s="334"/>
      <c r="N59" s="158">
        <f t="shared" si="12"/>
        <v>0</v>
      </c>
      <c r="O59" s="158">
        <f t="shared" si="13"/>
        <v>0</v>
      </c>
      <c r="P59" s="4"/>
    </row>
    <row r="60" spans="2:17">
      <c r="B60" s="9" t="str">
        <f t="shared" si="5"/>
        <v/>
      </c>
      <c r="C60" s="153">
        <f>IF(D11="","-",+C59+1)</f>
        <v>2056</v>
      </c>
      <c r="D60" s="159">
        <f>IF(F59+SUM(E$17:E59)=D$10,F59,D$10-SUM(E$17:E59))</f>
        <v>193175.09842080303</v>
      </c>
      <c r="E60" s="160">
        <f t="shared" si="7"/>
        <v>148598.58139534883</v>
      </c>
      <c r="F60" s="159">
        <f t="shared" si="8"/>
        <v>44576.517025454203</v>
      </c>
      <c r="G60" s="161">
        <f t="shared" si="14"/>
        <v>160433.34237234021</v>
      </c>
      <c r="H60" s="142">
        <f t="shared" si="15"/>
        <v>160433.34237234021</v>
      </c>
      <c r="I60" s="156">
        <f t="shared" si="6"/>
        <v>0</v>
      </c>
      <c r="J60" s="156"/>
      <c r="K60" s="334"/>
      <c r="L60" s="158">
        <f t="shared" si="11"/>
        <v>0</v>
      </c>
      <c r="M60" s="334"/>
      <c r="N60" s="158">
        <f t="shared" si="12"/>
        <v>0</v>
      </c>
      <c r="O60" s="158">
        <f t="shared" si="13"/>
        <v>0</v>
      </c>
      <c r="P60" s="4"/>
    </row>
    <row r="61" spans="2:17">
      <c r="B61" s="9" t="str">
        <f t="shared" si="5"/>
        <v/>
      </c>
      <c r="C61" s="153">
        <f>IF(D11="","-",+C60+1)</f>
        <v>2057</v>
      </c>
      <c r="D61" s="159">
        <f>IF(F60+SUM(E$17:E60)=D$10,F60,D$10-SUM(E$17:E60))</f>
        <v>44576.517025454203</v>
      </c>
      <c r="E61" s="160">
        <f t="shared" si="7"/>
        <v>44576.517025454203</v>
      </c>
      <c r="F61" s="159">
        <f t="shared" si="8"/>
        <v>0</v>
      </c>
      <c r="G61" s="161">
        <f t="shared" si="14"/>
        <v>46795.439589630383</v>
      </c>
      <c r="H61" s="142">
        <f t="shared" si="15"/>
        <v>46795.439589630383</v>
      </c>
      <c r="I61" s="156">
        <f t="shared" si="6"/>
        <v>0</v>
      </c>
      <c r="J61" s="156"/>
      <c r="K61" s="334"/>
      <c r="L61" s="158">
        <f t="shared" si="11"/>
        <v>0</v>
      </c>
      <c r="M61" s="334"/>
      <c r="N61" s="158">
        <f t="shared" si="12"/>
        <v>0</v>
      </c>
      <c r="O61" s="158">
        <f t="shared" si="13"/>
        <v>0</v>
      </c>
      <c r="P61" s="4"/>
    </row>
    <row r="62" spans="2:17">
      <c r="B62" s="9" t="str">
        <f t="shared" si="5"/>
        <v/>
      </c>
      <c r="C62" s="153">
        <f>IF(D11="","-",+C61+1)</f>
        <v>2058</v>
      </c>
      <c r="D62" s="159">
        <f>IF(F61+SUM(E$17:E61)=D$10,F61,D$10-SUM(E$17:E61))</f>
        <v>0</v>
      </c>
      <c r="E62" s="160">
        <f t="shared" si="7"/>
        <v>0</v>
      </c>
      <c r="F62" s="159">
        <f t="shared" si="8"/>
        <v>0</v>
      </c>
      <c r="G62" s="161">
        <f t="shared" si="14"/>
        <v>0</v>
      </c>
      <c r="H62" s="142">
        <f t="shared" si="15"/>
        <v>0</v>
      </c>
      <c r="I62" s="156">
        <f t="shared" si="6"/>
        <v>0</v>
      </c>
      <c r="J62" s="156"/>
      <c r="K62" s="334"/>
      <c r="L62" s="158">
        <f t="shared" si="11"/>
        <v>0</v>
      </c>
      <c r="M62" s="334"/>
      <c r="N62" s="158">
        <f t="shared" si="12"/>
        <v>0</v>
      </c>
      <c r="O62" s="158">
        <f t="shared" si="13"/>
        <v>0</v>
      </c>
      <c r="P62" s="4"/>
    </row>
    <row r="63" spans="2:17">
      <c r="B63" s="9" t="str">
        <f t="shared" si="5"/>
        <v/>
      </c>
      <c r="C63" s="153">
        <f>IF(D11="","-",+C62+1)</f>
        <v>2059</v>
      </c>
      <c r="D63" s="159">
        <f>IF(F62+SUM(E$17:E62)=D$10,F62,D$10-SUM(E$17:E62))</f>
        <v>0</v>
      </c>
      <c r="E63" s="160">
        <f t="shared" si="7"/>
        <v>0</v>
      </c>
      <c r="F63" s="159">
        <f t="shared" si="8"/>
        <v>0</v>
      </c>
      <c r="G63" s="161">
        <f t="shared" si="14"/>
        <v>0</v>
      </c>
      <c r="H63" s="142">
        <f t="shared" si="15"/>
        <v>0</v>
      </c>
      <c r="I63" s="156">
        <f t="shared" si="6"/>
        <v>0</v>
      </c>
      <c r="J63" s="156"/>
      <c r="K63" s="334"/>
      <c r="L63" s="158">
        <f t="shared" si="11"/>
        <v>0</v>
      </c>
      <c r="M63" s="334"/>
      <c r="N63" s="158">
        <f t="shared" si="12"/>
        <v>0</v>
      </c>
      <c r="O63" s="158">
        <f t="shared" si="13"/>
        <v>0</v>
      </c>
      <c r="P63" s="4"/>
    </row>
    <row r="64" spans="2:17">
      <c r="B64" s="9" t="str">
        <f t="shared" si="5"/>
        <v/>
      </c>
      <c r="C64" s="153">
        <f>IF(D11="","-",+C63+1)</f>
        <v>2060</v>
      </c>
      <c r="D64" s="159">
        <f>IF(F63+SUM(E$17:E63)=D$10,F63,D$10-SUM(E$17:E63))</f>
        <v>0</v>
      </c>
      <c r="E64" s="160">
        <f t="shared" si="7"/>
        <v>0</v>
      </c>
      <c r="F64" s="159">
        <f t="shared" si="8"/>
        <v>0</v>
      </c>
      <c r="G64" s="161">
        <f t="shared" si="14"/>
        <v>0</v>
      </c>
      <c r="H64" s="142">
        <f t="shared" si="15"/>
        <v>0</v>
      </c>
      <c r="I64" s="156">
        <f t="shared" si="6"/>
        <v>0</v>
      </c>
      <c r="J64" s="156"/>
      <c r="K64" s="334"/>
      <c r="L64" s="158">
        <f t="shared" si="11"/>
        <v>0</v>
      </c>
      <c r="M64" s="334"/>
      <c r="N64" s="158">
        <f t="shared" si="12"/>
        <v>0</v>
      </c>
      <c r="O64" s="158">
        <f t="shared" si="13"/>
        <v>0</v>
      </c>
      <c r="P64" s="4"/>
    </row>
    <row r="65" spans="2:16">
      <c r="B65" s="9" t="str">
        <f t="shared" si="5"/>
        <v/>
      </c>
      <c r="C65" s="153">
        <f>IF(D11="","-",+C64+1)</f>
        <v>2061</v>
      </c>
      <c r="D65" s="159">
        <f>IF(F64+SUM(E$17:E64)=D$10,F64,D$10-SUM(E$17:E64))</f>
        <v>0</v>
      </c>
      <c r="E65" s="160">
        <f t="shared" si="7"/>
        <v>0</v>
      </c>
      <c r="F65" s="159">
        <f t="shared" si="8"/>
        <v>0</v>
      </c>
      <c r="G65" s="161">
        <f t="shared" si="14"/>
        <v>0</v>
      </c>
      <c r="H65" s="142">
        <f t="shared" si="15"/>
        <v>0</v>
      </c>
      <c r="I65" s="156">
        <f t="shared" si="6"/>
        <v>0</v>
      </c>
      <c r="J65" s="156"/>
      <c r="K65" s="334"/>
      <c r="L65" s="158">
        <f t="shared" si="11"/>
        <v>0</v>
      </c>
      <c r="M65" s="334"/>
      <c r="N65" s="158">
        <f t="shared" si="12"/>
        <v>0</v>
      </c>
      <c r="O65" s="158">
        <f t="shared" si="13"/>
        <v>0</v>
      </c>
      <c r="P65" s="4"/>
    </row>
    <row r="66" spans="2:16">
      <c r="B66" s="9" t="str">
        <f t="shared" si="5"/>
        <v/>
      </c>
      <c r="C66" s="153">
        <f>IF(D11="","-",+C65+1)</f>
        <v>2062</v>
      </c>
      <c r="D66" s="159">
        <f>IF(F65+SUM(E$17:E65)=D$10,F65,D$10-SUM(E$17:E65))</f>
        <v>0</v>
      </c>
      <c r="E66" s="160">
        <f t="shared" si="7"/>
        <v>0</v>
      </c>
      <c r="F66" s="159">
        <f t="shared" si="8"/>
        <v>0</v>
      </c>
      <c r="G66" s="161">
        <f t="shared" si="14"/>
        <v>0</v>
      </c>
      <c r="H66" s="142">
        <f t="shared" si="15"/>
        <v>0</v>
      </c>
      <c r="I66" s="156">
        <f t="shared" si="6"/>
        <v>0</v>
      </c>
      <c r="J66" s="156"/>
      <c r="K66" s="334"/>
      <c r="L66" s="158">
        <f t="shared" si="11"/>
        <v>0</v>
      </c>
      <c r="M66" s="334"/>
      <c r="N66" s="158">
        <f t="shared" si="12"/>
        <v>0</v>
      </c>
      <c r="O66" s="158">
        <f t="shared" si="13"/>
        <v>0</v>
      </c>
      <c r="P66" s="4"/>
    </row>
    <row r="67" spans="2:16">
      <c r="B67" s="9" t="str">
        <f t="shared" si="5"/>
        <v/>
      </c>
      <c r="C67" s="153">
        <f>IF(D11="","-",+C66+1)</f>
        <v>2063</v>
      </c>
      <c r="D67" s="159">
        <f>IF(F66+SUM(E$17:E66)=D$10,F66,D$10-SUM(E$17:E66))</f>
        <v>0</v>
      </c>
      <c r="E67" s="160">
        <f t="shared" si="7"/>
        <v>0</v>
      </c>
      <c r="F67" s="159">
        <f t="shared" si="8"/>
        <v>0</v>
      </c>
      <c r="G67" s="161">
        <f t="shared" si="14"/>
        <v>0</v>
      </c>
      <c r="H67" s="142">
        <f t="shared" si="15"/>
        <v>0</v>
      </c>
      <c r="I67" s="156">
        <f t="shared" si="6"/>
        <v>0</v>
      </c>
      <c r="J67" s="156"/>
      <c r="K67" s="334"/>
      <c r="L67" s="158">
        <f t="shared" si="11"/>
        <v>0</v>
      </c>
      <c r="M67" s="334"/>
      <c r="N67" s="158">
        <f t="shared" si="12"/>
        <v>0</v>
      </c>
      <c r="O67" s="158">
        <f t="shared" si="13"/>
        <v>0</v>
      </c>
      <c r="P67" s="4"/>
    </row>
    <row r="68" spans="2:16">
      <c r="B68" s="9" t="str">
        <f t="shared" si="5"/>
        <v/>
      </c>
      <c r="C68" s="153">
        <f>IF(D11="","-",+C67+1)</f>
        <v>2064</v>
      </c>
      <c r="D68" s="159">
        <f>IF(F67+SUM(E$17:E67)=D$10,F67,D$10-SUM(E$17:E67))</f>
        <v>0</v>
      </c>
      <c r="E68" s="160">
        <f t="shared" si="7"/>
        <v>0</v>
      </c>
      <c r="F68" s="159">
        <f t="shared" si="8"/>
        <v>0</v>
      </c>
      <c r="G68" s="161">
        <f t="shared" si="14"/>
        <v>0</v>
      </c>
      <c r="H68" s="142">
        <f t="shared" si="15"/>
        <v>0</v>
      </c>
      <c r="I68" s="156">
        <f t="shared" si="6"/>
        <v>0</v>
      </c>
      <c r="J68" s="156"/>
      <c r="K68" s="334"/>
      <c r="L68" s="158">
        <f t="shared" si="11"/>
        <v>0</v>
      </c>
      <c r="M68" s="334"/>
      <c r="N68" s="158">
        <f t="shared" si="12"/>
        <v>0</v>
      </c>
      <c r="O68" s="158">
        <f t="shared" si="13"/>
        <v>0</v>
      </c>
      <c r="P68" s="4"/>
    </row>
    <row r="69" spans="2:16">
      <c r="B69" s="9" t="str">
        <f t="shared" si="5"/>
        <v/>
      </c>
      <c r="C69" s="153">
        <f>IF(D11="","-",+C68+1)</f>
        <v>2065</v>
      </c>
      <c r="D69" s="159">
        <f>IF(F68+SUM(E$17:E68)=D$10,F68,D$10-SUM(E$17:E68))</f>
        <v>0</v>
      </c>
      <c r="E69" s="160">
        <f t="shared" si="7"/>
        <v>0</v>
      </c>
      <c r="F69" s="159">
        <f t="shared" si="8"/>
        <v>0</v>
      </c>
      <c r="G69" s="161">
        <f t="shared" si="14"/>
        <v>0</v>
      </c>
      <c r="H69" s="142">
        <f t="shared" si="15"/>
        <v>0</v>
      </c>
      <c r="I69" s="156">
        <f t="shared" si="6"/>
        <v>0</v>
      </c>
      <c r="J69" s="156"/>
      <c r="K69" s="334"/>
      <c r="L69" s="158">
        <f t="shared" si="11"/>
        <v>0</v>
      </c>
      <c r="M69" s="334"/>
      <c r="N69" s="158">
        <f t="shared" si="12"/>
        <v>0</v>
      </c>
      <c r="O69" s="158">
        <f t="shared" si="13"/>
        <v>0</v>
      </c>
      <c r="P69" s="4"/>
    </row>
    <row r="70" spans="2:16">
      <c r="B70" s="9" t="str">
        <f t="shared" si="5"/>
        <v/>
      </c>
      <c r="C70" s="153">
        <f>IF(D11="","-",+C69+1)</f>
        <v>2066</v>
      </c>
      <c r="D70" s="159">
        <f>IF(F69+SUM(E$17:E69)=D$10,F69,D$10-SUM(E$17:E69))</f>
        <v>0</v>
      </c>
      <c r="E70" s="160">
        <f t="shared" si="7"/>
        <v>0</v>
      </c>
      <c r="F70" s="159">
        <f t="shared" si="8"/>
        <v>0</v>
      </c>
      <c r="G70" s="161">
        <f t="shared" si="14"/>
        <v>0</v>
      </c>
      <c r="H70" s="142">
        <f t="shared" si="15"/>
        <v>0</v>
      </c>
      <c r="I70" s="156">
        <f t="shared" si="6"/>
        <v>0</v>
      </c>
      <c r="J70" s="156"/>
      <c r="K70" s="334"/>
      <c r="L70" s="158">
        <f t="shared" si="11"/>
        <v>0</v>
      </c>
      <c r="M70" s="334"/>
      <c r="N70" s="158">
        <f t="shared" si="12"/>
        <v>0</v>
      </c>
      <c r="O70" s="158">
        <f t="shared" si="13"/>
        <v>0</v>
      </c>
      <c r="P70" s="4"/>
    </row>
    <row r="71" spans="2:16">
      <c r="B71" s="9" t="str">
        <f t="shared" si="5"/>
        <v/>
      </c>
      <c r="C71" s="153">
        <f>IF(D11="","-",+C70+1)</f>
        <v>2067</v>
      </c>
      <c r="D71" s="159">
        <f>IF(F70+SUM(E$17:E70)=D$10,F70,D$10-SUM(E$17:E70))</f>
        <v>0</v>
      </c>
      <c r="E71" s="160">
        <f t="shared" si="7"/>
        <v>0</v>
      </c>
      <c r="F71" s="159">
        <f t="shared" si="8"/>
        <v>0</v>
      </c>
      <c r="G71" s="161">
        <f t="shared" si="14"/>
        <v>0</v>
      </c>
      <c r="H71" s="142">
        <f t="shared" si="15"/>
        <v>0</v>
      </c>
      <c r="I71" s="156">
        <f t="shared" si="6"/>
        <v>0</v>
      </c>
      <c r="J71" s="156"/>
      <c r="K71" s="334"/>
      <c r="L71" s="158">
        <f t="shared" si="11"/>
        <v>0</v>
      </c>
      <c r="M71" s="334"/>
      <c r="N71" s="158">
        <f t="shared" si="12"/>
        <v>0</v>
      </c>
      <c r="O71" s="158">
        <f t="shared" si="13"/>
        <v>0</v>
      </c>
      <c r="P71" s="4"/>
    </row>
    <row r="72" spans="2:16" ht="13.5" thickBot="1">
      <c r="B72" s="9" t="str">
        <f t="shared" si="5"/>
        <v/>
      </c>
      <c r="C72" s="164">
        <f>IF(D11="","-",+C71+1)</f>
        <v>2068</v>
      </c>
      <c r="D72" s="159">
        <f>IF(F71+SUM(E$17:E71)=D$10,F71,D$10-SUM(E$17:E71))</f>
        <v>0</v>
      </c>
      <c r="E72" s="160">
        <f t="shared" si="7"/>
        <v>0</v>
      </c>
      <c r="F72" s="159">
        <f t="shared" si="8"/>
        <v>0</v>
      </c>
      <c r="G72" s="161">
        <f t="shared" si="14"/>
        <v>0</v>
      </c>
      <c r="H72" s="142">
        <f t="shared" si="15"/>
        <v>0</v>
      </c>
      <c r="I72" s="156">
        <f t="shared" si="6"/>
        <v>0</v>
      </c>
      <c r="J72" s="156"/>
      <c r="K72" s="335"/>
      <c r="L72" s="169">
        <f t="shared" si="11"/>
        <v>0</v>
      </c>
      <c r="M72" s="335"/>
      <c r="N72" s="169">
        <f t="shared" si="12"/>
        <v>0</v>
      </c>
      <c r="O72" s="169">
        <f t="shared" si="13"/>
        <v>0</v>
      </c>
      <c r="P72" s="4"/>
    </row>
    <row r="73" spans="2:16">
      <c r="C73" s="154" t="s">
        <v>73</v>
      </c>
      <c r="D73" s="111"/>
      <c r="E73" s="111">
        <f>SUM(E17:E72)</f>
        <v>6389738.9999999981</v>
      </c>
      <c r="F73" s="111"/>
      <c r="G73" s="111">
        <f>SUM(G17:G72)</f>
        <v>20065957.390997775</v>
      </c>
      <c r="H73" s="111">
        <f>SUM(H17:H72)</f>
        <v>20065957.390997775</v>
      </c>
      <c r="I73" s="111">
        <f>SUM(I17:I72)</f>
        <v>0</v>
      </c>
      <c r="J73" s="111"/>
      <c r="K73" s="111"/>
      <c r="L73" s="111"/>
      <c r="M73" s="111"/>
      <c r="N73" s="111"/>
      <c r="O73" s="4"/>
      <c r="P73" s="4"/>
    </row>
    <row r="74" spans="2:16">
      <c r="D74" s="2"/>
      <c r="E74" s="1"/>
      <c r="F74" s="1"/>
      <c r="G74" s="1"/>
      <c r="H74" s="3"/>
      <c r="I74" s="3"/>
      <c r="J74" s="111"/>
      <c r="K74" s="3"/>
      <c r="L74" s="3"/>
      <c r="M74" s="3"/>
      <c r="N74" s="3"/>
      <c r="O74" s="1"/>
      <c r="P74" s="1"/>
    </row>
    <row r="75" spans="2:16">
      <c r="C75" s="170" t="s">
        <v>91</v>
      </c>
      <c r="D75" s="2"/>
      <c r="E75" s="1"/>
      <c r="F75" s="1"/>
      <c r="G75" s="1"/>
      <c r="H75" s="3"/>
      <c r="I75" s="3"/>
      <c r="J75" s="111"/>
      <c r="K75" s="3"/>
      <c r="L75" s="3"/>
      <c r="M75" s="3"/>
      <c r="N75" s="3"/>
      <c r="O75" s="1"/>
      <c r="P75" s="1"/>
    </row>
    <row r="76" spans="2:16">
      <c r="C76" s="121" t="s">
        <v>74</v>
      </c>
      <c r="D76" s="2"/>
      <c r="E76" s="1"/>
      <c r="F76" s="1"/>
      <c r="G76" s="1"/>
      <c r="H76" s="3"/>
      <c r="I76" s="3"/>
      <c r="J76" s="111"/>
      <c r="K76" s="3"/>
      <c r="L76" s="3"/>
      <c r="M76" s="3"/>
      <c r="N76" s="3"/>
      <c r="O76" s="4"/>
      <c r="P76" s="4"/>
    </row>
    <row r="77" spans="2:16">
      <c r="C77" s="121" t="s">
        <v>75</v>
      </c>
      <c r="D77" s="154"/>
      <c r="E77" s="154"/>
      <c r="F77" s="154"/>
      <c r="G77" s="111"/>
      <c r="H77" s="111"/>
      <c r="I77" s="171"/>
      <c r="J77" s="171"/>
      <c r="K77" s="171"/>
      <c r="L77" s="171"/>
      <c r="M77" s="171"/>
      <c r="N77" s="171"/>
      <c r="O77" s="4"/>
      <c r="P77" s="4"/>
    </row>
    <row r="78" spans="2:16">
      <c r="C78" s="121"/>
      <c r="D78" s="154"/>
      <c r="E78" s="154"/>
      <c r="F78" s="154"/>
      <c r="G78" s="111"/>
      <c r="H78" s="111"/>
      <c r="I78" s="171"/>
      <c r="J78" s="171"/>
      <c r="K78" s="171"/>
      <c r="L78" s="171"/>
      <c r="M78" s="171"/>
      <c r="N78" s="171"/>
      <c r="O78" s="4"/>
      <c r="P78" s="1"/>
    </row>
    <row r="79" spans="2:16">
      <c r="B79" s="1"/>
      <c r="C79" s="21"/>
      <c r="D79" s="2"/>
      <c r="E79" s="1"/>
      <c r="F79" s="107"/>
      <c r="G79" s="1"/>
      <c r="H79" s="3"/>
      <c r="I79" s="1"/>
      <c r="J79" s="4"/>
      <c r="K79" s="1"/>
      <c r="L79" s="1"/>
      <c r="M79" s="1"/>
      <c r="N79" s="1"/>
      <c r="O79" s="1"/>
      <c r="P79" s="1"/>
    </row>
    <row r="80" spans="2:16" ht="18">
      <c r="B80" s="1"/>
      <c r="C80" s="242"/>
      <c r="D80" s="2"/>
      <c r="E80" s="1"/>
      <c r="F80" s="107"/>
      <c r="G80" s="1"/>
      <c r="H80" s="3"/>
      <c r="I80" s="1"/>
      <c r="J80" s="4"/>
      <c r="K80" s="1"/>
      <c r="L80" s="1"/>
      <c r="M80" s="1"/>
      <c r="N80" s="1"/>
      <c r="P80" s="244" t="s">
        <v>125</v>
      </c>
    </row>
    <row r="81" spans="1:17">
      <c r="B81" s="1"/>
      <c r="C81" s="21"/>
      <c r="D81" s="2"/>
      <c r="E81" s="1"/>
      <c r="F81" s="107"/>
      <c r="G81" s="1"/>
      <c r="H81" s="3"/>
      <c r="I81" s="1"/>
      <c r="J81" s="4"/>
      <c r="K81" s="1"/>
      <c r="L81" s="1"/>
      <c r="M81" s="1"/>
      <c r="N81" s="1"/>
      <c r="O81" s="1"/>
      <c r="P81" s="1"/>
    </row>
    <row r="82" spans="1:17">
      <c r="B82" s="1"/>
      <c r="C82" s="21"/>
      <c r="D82" s="2"/>
      <c r="E82" s="1"/>
      <c r="F82" s="107"/>
      <c r="G82" s="1"/>
      <c r="H82" s="3"/>
      <c r="I82" s="1"/>
      <c r="J82" s="4"/>
      <c r="K82" s="1"/>
      <c r="L82" s="1"/>
      <c r="M82" s="1"/>
      <c r="N82" s="1"/>
      <c r="O82" s="1"/>
      <c r="P82" s="1"/>
      <c r="Q82" s="1"/>
    </row>
    <row r="83" spans="1:17" ht="20.25">
      <c r="A83" s="243" t="s">
        <v>129</v>
      </c>
      <c r="B83" s="1"/>
      <c r="C83" s="21"/>
      <c r="D83" s="2"/>
      <c r="E83" s="1"/>
      <c r="F83" s="99"/>
      <c r="G83" s="99"/>
      <c r="H83" s="1"/>
      <c r="I83" s="3"/>
      <c r="K83" s="7"/>
      <c r="L83" s="109"/>
      <c r="M83" s="109"/>
      <c r="P83" s="109" t="str">
        <f ca="1">P1</f>
        <v>SWEPCO Project 36 of 73</v>
      </c>
      <c r="Q83" s="1"/>
    </row>
    <row r="84" spans="1:17" ht="18">
      <c r="B84" s="1"/>
      <c r="C84" s="1"/>
      <c r="D84" s="2"/>
      <c r="E84" s="1"/>
      <c r="F84" s="1"/>
      <c r="G84" s="1"/>
      <c r="H84" s="1"/>
      <c r="I84" s="3"/>
      <c r="J84" s="1"/>
      <c r="K84" s="4"/>
      <c r="L84" s="1"/>
      <c r="M84" s="1"/>
      <c r="P84" s="244" t="s">
        <v>123</v>
      </c>
      <c r="Q84" s="1"/>
    </row>
    <row r="85" spans="1:17" ht="18.75" thickBot="1">
      <c r="B85" s="5" t="s">
        <v>40</v>
      </c>
      <c r="C85" s="197" t="s">
        <v>78</v>
      </c>
      <c r="D85" s="2"/>
      <c r="E85" s="1"/>
      <c r="F85" s="1"/>
      <c r="G85" s="1"/>
      <c r="H85" s="1"/>
      <c r="I85" s="3"/>
      <c r="J85" s="3"/>
      <c r="K85" s="111"/>
      <c r="L85" s="3"/>
      <c r="M85" s="3"/>
      <c r="N85" s="3"/>
      <c r="O85" s="111"/>
      <c r="P85" s="1"/>
      <c r="Q85" s="1"/>
    </row>
    <row r="86" spans="1:17" ht="15.75" thickBot="1">
      <c r="C86" s="67"/>
      <c r="D86" s="2"/>
      <c r="E86" s="1"/>
      <c r="F86" s="1"/>
      <c r="G86" s="1"/>
      <c r="H86" s="1"/>
      <c r="I86" s="3"/>
      <c r="J86" s="3"/>
      <c r="K86" s="111"/>
      <c r="L86" s="265">
        <f>+J92</f>
        <v>2017</v>
      </c>
      <c r="M86" s="266" t="s">
        <v>7</v>
      </c>
      <c r="N86" s="270" t="s">
        <v>154</v>
      </c>
      <c r="O86" s="267" t="s">
        <v>9</v>
      </c>
      <c r="P86" s="1"/>
      <c r="Q86" s="1"/>
    </row>
    <row r="87" spans="1:17" ht="15">
      <c r="C87" s="235" t="s">
        <v>42</v>
      </c>
      <c r="D87" s="2"/>
      <c r="E87" s="1"/>
      <c r="F87" s="1"/>
      <c r="G87" s="1"/>
      <c r="H87" s="113"/>
      <c r="I87" s="1" t="s">
        <v>43</v>
      </c>
      <c r="J87" s="1"/>
      <c r="K87" s="261"/>
      <c r="L87" s="259" t="s">
        <v>381</v>
      </c>
      <c r="M87" s="198">
        <f>IF(J92&lt;D11,0,VLOOKUP(J92,C17:O72,9))</f>
        <v>882224.40250085481</v>
      </c>
      <c r="N87" s="198">
        <f>IF(J92&lt;D11,0,VLOOKUP(J92,C17:O72,11))</f>
        <v>882224.40250085481</v>
      </c>
      <c r="O87" s="199">
        <f>+N87-M87</f>
        <v>0</v>
      </c>
      <c r="P87" s="1"/>
      <c r="Q87" s="1"/>
    </row>
    <row r="88" spans="1:17" ht="15.75">
      <c r="C88" s="8"/>
      <c r="D88" s="2"/>
      <c r="E88" s="1"/>
      <c r="F88" s="1"/>
      <c r="G88" s="1"/>
      <c r="H88" s="1"/>
      <c r="I88" s="117"/>
      <c r="J88" s="117"/>
      <c r="K88" s="263"/>
      <c r="L88" s="264" t="s">
        <v>382</v>
      </c>
      <c r="M88" s="200">
        <f>IF(J92&lt;D11,0,VLOOKUP(J92,C99:P154,6))</f>
        <v>860395.26191799133</v>
      </c>
      <c r="N88" s="200">
        <f>IF(J92&lt;D11,0,VLOOKUP(J92,C99:P154,7))</f>
        <v>860395.26191799133</v>
      </c>
      <c r="O88" s="201">
        <f>+N88-M88</f>
        <v>0</v>
      </c>
      <c r="P88" s="1"/>
      <c r="Q88" s="1"/>
    </row>
    <row r="89" spans="1:17" ht="13.5" thickBot="1">
      <c r="C89" s="121" t="s">
        <v>79</v>
      </c>
      <c r="D89" s="246" t="str">
        <f>+D7</f>
        <v>Osburn 161 kV Line Work</v>
      </c>
      <c r="E89" s="1"/>
      <c r="F89" s="1"/>
      <c r="G89" s="1"/>
      <c r="H89" s="1"/>
      <c r="I89" s="3"/>
      <c r="J89" s="3"/>
      <c r="K89" s="262"/>
      <c r="L89" s="260" t="s">
        <v>151</v>
      </c>
      <c r="M89" s="203">
        <f>+M88-M87</f>
        <v>-21829.140582863474</v>
      </c>
      <c r="N89" s="203">
        <f>+N88-N87</f>
        <v>-21829.140582863474</v>
      </c>
      <c r="O89" s="204">
        <f>+O88-O87</f>
        <v>0</v>
      </c>
      <c r="P89" s="1"/>
      <c r="Q89" s="1"/>
    </row>
    <row r="90" spans="1:17" ht="13.5" thickBot="1">
      <c r="C90" s="170"/>
      <c r="D90" s="173" t="str">
        <f>D8</f>
        <v/>
      </c>
      <c r="E90" s="107"/>
      <c r="F90" s="107"/>
      <c r="G90" s="107"/>
      <c r="H90" s="126"/>
      <c r="I90" s="3"/>
      <c r="J90" s="3"/>
      <c r="K90" s="111"/>
      <c r="L90" s="3"/>
      <c r="M90" s="3"/>
      <c r="N90" s="3"/>
      <c r="O90" s="111"/>
      <c r="P90" s="1"/>
      <c r="Q90" s="1"/>
    </row>
    <row r="91" spans="1:17" ht="13.5" thickBot="1">
      <c r="A91" s="103"/>
      <c r="C91" s="205" t="s">
        <v>80</v>
      </c>
      <c r="D91" s="224" t="str">
        <f>+D9</f>
        <v>TP______</v>
      </c>
      <c r="E91" s="206"/>
      <c r="F91" s="206"/>
      <c r="G91" s="206"/>
      <c r="H91" s="206"/>
      <c r="I91" s="206"/>
      <c r="J91" s="206"/>
      <c r="K91" s="207"/>
      <c r="P91" s="131"/>
      <c r="Q91" s="1"/>
    </row>
    <row r="92" spans="1:17">
      <c r="C92" s="136" t="s">
        <v>47</v>
      </c>
      <c r="D92" s="417">
        <f>D10</f>
        <v>6389739</v>
      </c>
      <c r="E92" s="21" t="s">
        <v>81</v>
      </c>
      <c r="H92" s="134"/>
      <c r="I92" s="134"/>
      <c r="J92" s="135">
        <f>+'SWE.WS.G.BPU.ATRR.True-up'!M15</f>
        <v>2017</v>
      </c>
      <c r="K92" s="130"/>
      <c r="L92" s="111" t="s">
        <v>82</v>
      </c>
      <c r="P92" s="4"/>
      <c r="Q92" s="1"/>
    </row>
    <row r="93" spans="1:17">
      <c r="C93" s="136" t="s">
        <v>49</v>
      </c>
      <c r="D93" s="428" t="s">
        <v>359</v>
      </c>
      <c r="E93" s="136" t="s">
        <v>50</v>
      </c>
      <c r="F93" s="134"/>
      <c r="G93" s="134"/>
      <c r="J93" s="138">
        <f>IF(H87="",0,'SWE.WS.G.BPU.ATRR.True-up'!$F$12)</f>
        <v>0</v>
      </c>
      <c r="K93" s="139"/>
      <c r="L93" t="str">
        <f>"          INPUT TRUE-UP ARR (WITH &amp; WITHOUT INCENTIVES) FROM EACH PRIOR YEAR"</f>
        <v xml:space="preserve">          INPUT TRUE-UP ARR (WITH &amp; WITHOUT INCENTIVES) FROM EACH PRIOR YEAR</v>
      </c>
      <c r="P93" s="4"/>
      <c r="Q93" s="1"/>
    </row>
    <row r="94" spans="1:17">
      <c r="C94" s="136" t="s">
        <v>51</v>
      </c>
      <c r="D94" s="218">
        <f>D12</f>
        <v>9</v>
      </c>
      <c r="E94" s="136" t="s">
        <v>52</v>
      </c>
      <c r="F94" s="134"/>
      <c r="G94" s="134"/>
      <c r="J94" s="140">
        <f>'SWE.WS.G.BPU.ATRR.True-up'!$F$80</f>
        <v>0.12147145768398206</v>
      </c>
      <c r="K94" s="141"/>
      <c r="L94" t="s">
        <v>83</v>
      </c>
      <c r="P94" s="4"/>
      <c r="Q94" s="1"/>
    </row>
    <row r="95" spans="1:17">
      <c r="C95" s="136" t="s">
        <v>54</v>
      </c>
      <c r="D95" s="138">
        <f>'SWE.WS.G.BPU.ATRR.True-up'!F$92</f>
        <v>42</v>
      </c>
      <c r="E95" s="136" t="s">
        <v>55</v>
      </c>
      <c r="F95" s="134"/>
      <c r="G95" s="134"/>
      <c r="J95" s="140">
        <f>IF(H87="",J94,'SWE.WS.G.BPU.ATRR.True-up'!$F$79)</f>
        <v>0.12147145768398206</v>
      </c>
      <c r="K95" s="58"/>
      <c r="L95" s="111" t="s">
        <v>56</v>
      </c>
      <c r="M95" s="58"/>
      <c r="N95" s="58"/>
      <c r="O95" s="58"/>
      <c r="P95" s="4"/>
      <c r="Q95" s="1"/>
    </row>
    <row r="96" spans="1:17" ht="13.5" thickBot="1">
      <c r="C96" s="136" t="s">
        <v>57</v>
      </c>
      <c r="D96" s="220" t="str">
        <f>+D14</f>
        <v>No</v>
      </c>
      <c r="E96" s="202" t="s">
        <v>59</v>
      </c>
      <c r="F96" s="208"/>
      <c r="G96" s="208"/>
      <c r="H96" s="209"/>
      <c r="I96" s="209"/>
      <c r="J96" s="124">
        <f>IF(D92=0,0,D92/D95)</f>
        <v>152136.64285714287</v>
      </c>
      <c r="K96" s="111"/>
      <c r="L96" s="111"/>
      <c r="M96" s="111"/>
      <c r="N96" s="111"/>
      <c r="O96" s="111"/>
      <c r="P96" s="4"/>
      <c r="Q96" s="1"/>
    </row>
    <row r="97" spans="1:17" ht="38.25">
      <c r="A97" s="6"/>
      <c r="B97" s="6"/>
      <c r="C97" s="210" t="s">
        <v>47</v>
      </c>
      <c r="D97" s="211" t="s">
        <v>60</v>
      </c>
      <c r="E97" s="146" t="s">
        <v>61</v>
      </c>
      <c r="F97" s="146" t="s">
        <v>62</v>
      </c>
      <c r="G97" s="144" t="s">
        <v>84</v>
      </c>
      <c r="H97" s="434" t="s">
        <v>378</v>
      </c>
      <c r="I97" s="435" t="s">
        <v>379</v>
      </c>
      <c r="J97" s="210" t="s">
        <v>85</v>
      </c>
      <c r="K97" s="212"/>
      <c r="L97" s="271" t="s">
        <v>220</v>
      </c>
      <c r="M97" s="146" t="s">
        <v>86</v>
      </c>
      <c r="N97" s="271" t="s">
        <v>220</v>
      </c>
      <c r="O97" s="146" t="s">
        <v>86</v>
      </c>
      <c r="P97" s="146" t="s">
        <v>65</v>
      </c>
      <c r="Q97" s="1"/>
    </row>
    <row r="98" spans="1:17" ht="13.5" thickBot="1">
      <c r="C98" s="147" t="s">
        <v>66</v>
      </c>
      <c r="D98" s="213" t="s">
        <v>67</v>
      </c>
      <c r="E98" s="147" t="s">
        <v>68</v>
      </c>
      <c r="F98" s="147" t="s">
        <v>67</v>
      </c>
      <c r="G98" s="147" t="s">
        <v>67</v>
      </c>
      <c r="H98" s="407" t="s">
        <v>69</v>
      </c>
      <c r="I98" s="148" t="s">
        <v>70</v>
      </c>
      <c r="J98" s="149" t="s">
        <v>89</v>
      </c>
      <c r="K98" s="150"/>
      <c r="L98" s="151" t="s">
        <v>72</v>
      </c>
      <c r="M98" s="151" t="s">
        <v>72</v>
      </c>
      <c r="N98" s="151" t="s">
        <v>90</v>
      </c>
      <c r="O98" s="151" t="s">
        <v>90</v>
      </c>
      <c r="P98" s="151" t="s">
        <v>90</v>
      </c>
      <c r="Q98" s="1"/>
    </row>
    <row r="99" spans="1:17">
      <c r="C99" s="153" t="str">
        <f>IF(D93= "","-",D93)</f>
        <v>2013</v>
      </c>
      <c r="D99" s="409">
        <v>0</v>
      </c>
      <c r="E99" s="410">
        <v>30140.049603174608</v>
      </c>
      <c r="F99" s="411">
        <v>3007976.9503968256</v>
      </c>
      <c r="G99" s="412">
        <v>1503988.4751984128</v>
      </c>
      <c r="H99" s="413">
        <v>233617.21066655827</v>
      </c>
      <c r="I99" s="414">
        <v>233617.21066655827</v>
      </c>
      <c r="J99" s="403">
        <v>0</v>
      </c>
      <c r="K99" s="158"/>
      <c r="L99" s="258">
        <f>H99</f>
        <v>233617.21066655827</v>
      </c>
      <c r="M99" s="257">
        <f>IF(L99&lt;&gt;0,+H99-L99,0)</f>
        <v>0</v>
      </c>
      <c r="N99" s="258">
        <f>I99</f>
        <v>233617.21066655827</v>
      </c>
      <c r="O99" s="158">
        <f>IF(N99&lt;&gt;0,+I99-N99,0)</f>
        <v>0</v>
      </c>
      <c r="P99" s="158">
        <f>+O99-M99</f>
        <v>0</v>
      </c>
      <c r="Q99" s="1"/>
    </row>
    <row r="100" spans="1:17">
      <c r="B100" s="9" t="str">
        <f>IF(D100=F99,"","IU")</f>
        <v/>
      </c>
      <c r="C100" s="153">
        <f>IF(D93="","-",+C99+1)</f>
        <v>2014</v>
      </c>
      <c r="D100" s="409">
        <v>3007976.9503968256</v>
      </c>
      <c r="E100" s="410">
        <v>152136.64285714287</v>
      </c>
      <c r="F100" s="411">
        <v>2855840.3075396828</v>
      </c>
      <c r="G100" s="411">
        <v>2931908.6289682542</v>
      </c>
      <c r="H100" s="413">
        <v>550651.80741983175</v>
      </c>
      <c r="I100" s="414">
        <v>550651.80741983175</v>
      </c>
      <c r="J100" s="158">
        <v>0</v>
      </c>
      <c r="K100" s="158"/>
      <c r="L100" s="258">
        <f>H100</f>
        <v>550651.80741983175</v>
      </c>
      <c r="M100" s="257">
        <f>IF(L100&lt;&gt;0,+H100-L100,0)</f>
        <v>0</v>
      </c>
      <c r="N100" s="258">
        <f>I100</f>
        <v>550651.80741983175</v>
      </c>
      <c r="O100" s="158">
        <f>IF(N100&lt;&gt;0,+I100-N100,0)</f>
        <v>0</v>
      </c>
      <c r="P100" s="158">
        <f>+O100-M100</f>
        <v>0</v>
      </c>
      <c r="Q100" s="1"/>
    </row>
    <row r="101" spans="1:17">
      <c r="B101" s="9" t="str">
        <f t="shared" ref="B101:B154" si="16">IF(D101=F100,"","IU")</f>
        <v>IU</v>
      </c>
      <c r="C101" s="153">
        <f>IF(D93="","-",+C100+1)</f>
        <v>2015</v>
      </c>
      <c r="D101" s="409">
        <v>6207462.3075396828</v>
      </c>
      <c r="E101" s="410">
        <v>152136.64285714287</v>
      </c>
      <c r="F101" s="411">
        <v>6055325.6646825401</v>
      </c>
      <c r="G101" s="411">
        <v>6131393.9861111119</v>
      </c>
      <c r="H101" s="413">
        <v>960063.54821647424</v>
      </c>
      <c r="I101" s="414">
        <v>960063.54821647424</v>
      </c>
      <c r="J101" s="158">
        <f>+I101-H101</f>
        <v>0</v>
      </c>
      <c r="K101" s="158"/>
      <c r="L101" s="258">
        <f>H101</f>
        <v>960063.54821647424</v>
      </c>
      <c r="M101" s="257">
        <f>IF(L101&lt;&gt;0,+H101-L101,0)</f>
        <v>0</v>
      </c>
      <c r="N101" s="258">
        <f>I101</f>
        <v>960063.54821647424</v>
      </c>
      <c r="O101" s="158">
        <f>IF(N101&lt;&gt;0,+I101-N101,0)</f>
        <v>0</v>
      </c>
      <c r="P101" s="158">
        <f>+O101-M101</f>
        <v>0</v>
      </c>
      <c r="Q101" s="1"/>
    </row>
    <row r="102" spans="1:17">
      <c r="B102" s="9" t="str">
        <f t="shared" si="16"/>
        <v/>
      </c>
      <c r="C102" s="153">
        <f>IF(D93="","-",+C101+1)</f>
        <v>2016</v>
      </c>
      <c r="D102" s="409">
        <v>6055325.6646825401</v>
      </c>
      <c r="E102" s="410">
        <v>148598.58139534883</v>
      </c>
      <c r="F102" s="411">
        <v>5906727.0832871916</v>
      </c>
      <c r="G102" s="411">
        <v>5981026.3739848658</v>
      </c>
      <c r="H102" s="413">
        <v>907889.80952511146</v>
      </c>
      <c r="I102" s="414">
        <v>907889.80952511146</v>
      </c>
      <c r="J102" s="158">
        <v>0</v>
      </c>
      <c r="K102" s="158"/>
      <c r="L102" s="258">
        <f>H102</f>
        <v>907889.80952511146</v>
      </c>
      <c r="M102" s="257">
        <f>IF(L102&lt;&gt;0,+H102-L102,0)</f>
        <v>0</v>
      </c>
      <c r="N102" s="258">
        <f>I102</f>
        <v>907889.80952511146</v>
      </c>
      <c r="O102" s="158">
        <f>IF(N102&lt;&gt;0,+I102-N102,0)</f>
        <v>0</v>
      </c>
      <c r="P102" s="158">
        <f>+O102-M102</f>
        <v>0</v>
      </c>
      <c r="Q102" s="1"/>
    </row>
    <row r="103" spans="1:17">
      <c r="B103" s="9" t="str">
        <f t="shared" si="16"/>
        <v/>
      </c>
      <c r="C103" s="153">
        <f>IF(D93="","-",+C102+1)</f>
        <v>2017</v>
      </c>
      <c r="D103" s="154">
        <f>IF(F102+SUM(E$99:E102)=D$92,F102,D$92-SUM(E$99:E102))</f>
        <v>5906727.0832871916</v>
      </c>
      <c r="E103" s="160">
        <f t="shared" ref="E103:E154" si="17">IF(+$J$96&lt;F102,$J$96,D103)</f>
        <v>152136.64285714287</v>
      </c>
      <c r="F103" s="159">
        <f t="shared" ref="F103:F154" si="18">+D103-E103</f>
        <v>5754590.4404300489</v>
      </c>
      <c r="G103" s="159">
        <f t="shared" ref="G103:G154" si="19">+(F103+D103)/2</f>
        <v>5830658.7618586197</v>
      </c>
      <c r="H103" s="163">
        <f t="shared" ref="H103:H154" si="20">+J$94*G103+E103</f>
        <v>860395.26191799133</v>
      </c>
      <c r="I103" s="253">
        <f t="shared" ref="I103:I154" si="21">+J$95*G103+E103</f>
        <v>860395.26191799133</v>
      </c>
      <c r="J103" s="158">
        <f t="shared" ref="J103:J154" si="22">+I103-H103</f>
        <v>0</v>
      </c>
      <c r="K103" s="158"/>
      <c r="L103" s="334"/>
      <c r="M103" s="158">
        <f t="shared" ref="M103:M130" si="23">IF(L103&lt;&gt;0,+H103-L103,0)</f>
        <v>0</v>
      </c>
      <c r="N103" s="334"/>
      <c r="O103" s="158">
        <f t="shared" ref="O103:O130" si="24">IF(N103&lt;&gt;0,+I103-N103,0)</f>
        <v>0</v>
      </c>
      <c r="P103" s="158">
        <f t="shared" ref="P103:P130" si="25">+O103-M103</f>
        <v>0</v>
      </c>
      <c r="Q103" s="1"/>
    </row>
    <row r="104" spans="1:17">
      <c r="B104" s="9" t="str">
        <f t="shared" si="16"/>
        <v/>
      </c>
      <c r="C104" s="153">
        <f>IF(D93="","-",+C103+1)</f>
        <v>2018</v>
      </c>
      <c r="D104" s="154">
        <f>IF(F103+SUM(E$99:E103)=D$92,F103,D$92-SUM(E$99:E103))</f>
        <v>5754590.4404300489</v>
      </c>
      <c r="E104" s="160">
        <f t="shared" si="17"/>
        <v>152136.64285714287</v>
      </c>
      <c r="F104" s="159">
        <f t="shared" si="18"/>
        <v>5602453.7975729061</v>
      </c>
      <c r="G104" s="159">
        <f t="shared" si="19"/>
        <v>5678522.119001478</v>
      </c>
      <c r="H104" s="163">
        <f t="shared" si="20"/>
        <v>841915.00214298698</v>
      </c>
      <c r="I104" s="253">
        <f t="shared" si="21"/>
        <v>841915.00214298698</v>
      </c>
      <c r="J104" s="158">
        <f t="shared" si="22"/>
        <v>0</v>
      </c>
      <c r="K104" s="158"/>
      <c r="L104" s="334"/>
      <c r="M104" s="158">
        <f t="shared" si="23"/>
        <v>0</v>
      </c>
      <c r="N104" s="334"/>
      <c r="O104" s="158">
        <f t="shared" si="24"/>
        <v>0</v>
      </c>
      <c r="P104" s="158">
        <f t="shared" si="25"/>
        <v>0</v>
      </c>
      <c r="Q104" s="1"/>
    </row>
    <row r="105" spans="1:17">
      <c r="B105" s="9" t="str">
        <f t="shared" si="16"/>
        <v/>
      </c>
      <c r="C105" s="153">
        <f>IF(D93="","-",+C104+1)</f>
        <v>2019</v>
      </c>
      <c r="D105" s="154">
        <f>IF(F104+SUM(E$99:E104)=D$92,F104,D$92-SUM(E$99:E104))</f>
        <v>5602453.7975729061</v>
      </c>
      <c r="E105" s="160">
        <f t="shared" si="17"/>
        <v>152136.64285714287</v>
      </c>
      <c r="F105" s="159">
        <f t="shared" si="18"/>
        <v>5450317.1547157634</v>
      </c>
      <c r="G105" s="159">
        <f t="shared" si="19"/>
        <v>5526385.4761443343</v>
      </c>
      <c r="H105" s="163">
        <f t="shared" si="20"/>
        <v>823434.7423679824</v>
      </c>
      <c r="I105" s="253">
        <f t="shared" si="21"/>
        <v>823434.7423679824</v>
      </c>
      <c r="J105" s="158">
        <f t="shared" si="22"/>
        <v>0</v>
      </c>
      <c r="K105" s="158"/>
      <c r="L105" s="334"/>
      <c r="M105" s="158">
        <f t="shared" si="23"/>
        <v>0</v>
      </c>
      <c r="N105" s="334"/>
      <c r="O105" s="158">
        <f t="shared" si="24"/>
        <v>0</v>
      </c>
      <c r="P105" s="158">
        <f t="shared" si="25"/>
        <v>0</v>
      </c>
      <c r="Q105" s="1"/>
    </row>
    <row r="106" spans="1:17">
      <c r="B106" s="9" t="str">
        <f t="shared" si="16"/>
        <v/>
      </c>
      <c r="C106" s="153">
        <f>IF(D93="","-",+C105+1)</f>
        <v>2020</v>
      </c>
      <c r="D106" s="154">
        <f>IF(F105+SUM(E$99:E105)=D$92,F105,D$92-SUM(E$99:E105))</f>
        <v>5450317.1547157634</v>
      </c>
      <c r="E106" s="160">
        <f t="shared" si="17"/>
        <v>152136.64285714287</v>
      </c>
      <c r="F106" s="159">
        <f t="shared" si="18"/>
        <v>5298180.5118586207</v>
      </c>
      <c r="G106" s="159">
        <f t="shared" si="19"/>
        <v>5374248.8332871925</v>
      </c>
      <c r="H106" s="163">
        <f t="shared" si="20"/>
        <v>804954.48259297793</v>
      </c>
      <c r="I106" s="253">
        <f t="shared" si="21"/>
        <v>804954.48259297793</v>
      </c>
      <c r="J106" s="158">
        <f t="shared" si="22"/>
        <v>0</v>
      </c>
      <c r="K106" s="158"/>
      <c r="L106" s="334"/>
      <c r="M106" s="158">
        <f t="shared" si="23"/>
        <v>0</v>
      </c>
      <c r="N106" s="334"/>
      <c r="O106" s="158">
        <f t="shared" si="24"/>
        <v>0</v>
      </c>
      <c r="P106" s="158">
        <f t="shared" si="25"/>
        <v>0</v>
      </c>
      <c r="Q106" s="1"/>
    </row>
    <row r="107" spans="1:17">
      <c r="B107" s="9" t="str">
        <f t="shared" si="16"/>
        <v/>
      </c>
      <c r="C107" s="153">
        <f>IF(D93="","-",+C106+1)</f>
        <v>2021</v>
      </c>
      <c r="D107" s="154">
        <f>IF(F106+SUM(E$99:E106)=D$92,F106,D$92-SUM(E$99:E106))</f>
        <v>5298180.5118586207</v>
      </c>
      <c r="E107" s="160">
        <f t="shared" si="17"/>
        <v>152136.64285714287</v>
      </c>
      <c r="F107" s="159">
        <f t="shared" si="18"/>
        <v>5146043.869001478</v>
      </c>
      <c r="G107" s="159">
        <f t="shared" si="19"/>
        <v>5222112.1904300489</v>
      </c>
      <c r="H107" s="163">
        <f t="shared" si="20"/>
        <v>786474.22281797335</v>
      </c>
      <c r="I107" s="253">
        <f t="shared" si="21"/>
        <v>786474.22281797335</v>
      </c>
      <c r="J107" s="158">
        <f t="shared" si="22"/>
        <v>0</v>
      </c>
      <c r="K107" s="158"/>
      <c r="L107" s="334"/>
      <c r="M107" s="158">
        <f t="shared" si="23"/>
        <v>0</v>
      </c>
      <c r="N107" s="334"/>
      <c r="O107" s="158">
        <f t="shared" si="24"/>
        <v>0</v>
      </c>
      <c r="P107" s="158">
        <f t="shared" si="25"/>
        <v>0</v>
      </c>
      <c r="Q107" s="1"/>
    </row>
    <row r="108" spans="1:17">
      <c r="B108" s="9" t="str">
        <f t="shared" si="16"/>
        <v/>
      </c>
      <c r="C108" s="153">
        <f>IF(D93="","-",+C107+1)</f>
        <v>2022</v>
      </c>
      <c r="D108" s="154">
        <f>IF(F107+SUM(E$99:E107)=D$92,F107,D$92-SUM(E$99:E107))</f>
        <v>5146043.869001478</v>
      </c>
      <c r="E108" s="160">
        <f t="shared" si="17"/>
        <v>152136.64285714287</v>
      </c>
      <c r="F108" s="159">
        <f t="shared" si="18"/>
        <v>4993907.2261443352</v>
      </c>
      <c r="G108" s="159">
        <f t="shared" si="19"/>
        <v>5069975.5475729071</v>
      </c>
      <c r="H108" s="163">
        <f t="shared" si="20"/>
        <v>767993.963042969</v>
      </c>
      <c r="I108" s="253">
        <f t="shared" si="21"/>
        <v>767993.963042969</v>
      </c>
      <c r="J108" s="158">
        <f t="shared" si="22"/>
        <v>0</v>
      </c>
      <c r="K108" s="158"/>
      <c r="L108" s="334"/>
      <c r="M108" s="158">
        <f t="shared" si="23"/>
        <v>0</v>
      </c>
      <c r="N108" s="334"/>
      <c r="O108" s="158">
        <f t="shared" si="24"/>
        <v>0</v>
      </c>
      <c r="P108" s="158">
        <f t="shared" si="25"/>
        <v>0</v>
      </c>
      <c r="Q108" s="1"/>
    </row>
    <row r="109" spans="1:17">
      <c r="B109" s="9" t="str">
        <f t="shared" si="16"/>
        <v/>
      </c>
      <c r="C109" s="153">
        <f>IF(D93="","-",+C108+1)</f>
        <v>2023</v>
      </c>
      <c r="D109" s="154">
        <f>IF(F108+SUM(E$99:E108)=D$92,F108,D$92-SUM(E$99:E108))</f>
        <v>4993907.2261443352</v>
      </c>
      <c r="E109" s="160">
        <f t="shared" si="17"/>
        <v>152136.64285714287</v>
      </c>
      <c r="F109" s="159">
        <f t="shared" si="18"/>
        <v>4841770.5832871925</v>
      </c>
      <c r="G109" s="159">
        <f t="shared" si="19"/>
        <v>4917838.9047157634</v>
      </c>
      <c r="H109" s="163">
        <f t="shared" si="20"/>
        <v>749513.7032679643</v>
      </c>
      <c r="I109" s="253">
        <f t="shared" si="21"/>
        <v>749513.7032679643</v>
      </c>
      <c r="J109" s="158">
        <f t="shared" si="22"/>
        <v>0</v>
      </c>
      <c r="K109" s="158"/>
      <c r="L109" s="334"/>
      <c r="M109" s="158">
        <f t="shared" si="23"/>
        <v>0</v>
      </c>
      <c r="N109" s="334"/>
      <c r="O109" s="158">
        <f t="shared" si="24"/>
        <v>0</v>
      </c>
      <c r="P109" s="158">
        <f t="shared" si="25"/>
        <v>0</v>
      </c>
      <c r="Q109" s="1"/>
    </row>
    <row r="110" spans="1:17">
      <c r="B110" s="9" t="str">
        <f t="shared" si="16"/>
        <v/>
      </c>
      <c r="C110" s="153">
        <f>IF(D93="","-",+C109+1)</f>
        <v>2024</v>
      </c>
      <c r="D110" s="154">
        <f>IF(F109+SUM(E$99:E109)=D$92,F109,D$92-SUM(E$99:E109))</f>
        <v>4841770.5832871925</v>
      </c>
      <c r="E110" s="160">
        <f t="shared" si="17"/>
        <v>152136.64285714287</v>
      </c>
      <c r="F110" s="159">
        <f t="shared" si="18"/>
        <v>4689633.9404300498</v>
      </c>
      <c r="G110" s="159">
        <f t="shared" si="19"/>
        <v>4765702.2618586216</v>
      </c>
      <c r="H110" s="163">
        <f t="shared" si="20"/>
        <v>731033.44349295995</v>
      </c>
      <c r="I110" s="253">
        <f t="shared" si="21"/>
        <v>731033.44349295995</v>
      </c>
      <c r="J110" s="158">
        <f t="shared" si="22"/>
        <v>0</v>
      </c>
      <c r="K110" s="158"/>
      <c r="L110" s="334"/>
      <c r="M110" s="158">
        <f t="shared" si="23"/>
        <v>0</v>
      </c>
      <c r="N110" s="334"/>
      <c r="O110" s="158">
        <f t="shared" si="24"/>
        <v>0</v>
      </c>
      <c r="P110" s="158">
        <f t="shared" si="25"/>
        <v>0</v>
      </c>
      <c r="Q110" s="1"/>
    </row>
    <row r="111" spans="1:17">
      <c r="B111" s="9" t="str">
        <f t="shared" si="16"/>
        <v/>
      </c>
      <c r="C111" s="153">
        <f>IF(D93="","-",+C110+1)</f>
        <v>2025</v>
      </c>
      <c r="D111" s="154">
        <f>IF(F110+SUM(E$99:E110)=D$92,F110,D$92-SUM(E$99:E110))</f>
        <v>4689633.9404300498</v>
      </c>
      <c r="E111" s="160">
        <f t="shared" si="17"/>
        <v>152136.64285714287</v>
      </c>
      <c r="F111" s="159">
        <f t="shared" si="18"/>
        <v>4537497.2975729071</v>
      </c>
      <c r="G111" s="159">
        <f t="shared" si="19"/>
        <v>4613565.619001478</v>
      </c>
      <c r="H111" s="163">
        <f t="shared" si="20"/>
        <v>712553.18371795537</v>
      </c>
      <c r="I111" s="253">
        <f t="shared" si="21"/>
        <v>712553.18371795537</v>
      </c>
      <c r="J111" s="158">
        <f t="shared" si="22"/>
        <v>0</v>
      </c>
      <c r="K111" s="158"/>
      <c r="L111" s="334"/>
      <c r="M111" s="158">
        <f t="shared" si="23"/>
        <v>0</v>
      </c>
      <c r="N111" s="334"/>
      <c r="O111" s="158">
        <f t="shared" si="24"/>
        <v>0</v>
      </c>
      <c r="P111" s="158">
        <f t="shared" si="25"/>
        <v>0</v>
      </c>
      <c r="Q111" s="1"/>
    </row>
    <row r="112" spans="1:17">
      <c r="B112" s="9" t="str">
        <f t="shared" si="16"/>
        <v/>
      </c>
      <c r="C112" s="153">
        <f>IF(D93="","-",+C111+1)</f>
        <v>2026</v>
      </c>
      <c r="D112" s="154">
        <f>IF(F111+SUM(E$99:E111)=D$92,F111,D$92-SUM(E$99:E111))</f>
        <v>4537497.2975729071</v>
      </c>
      <c r="E112" s="160">
        <f t="shared" si="17"/>
        <v>152136.64285714287</v>
      </c>
      <c r="F112" s="159">
        <f t="shared" si="18"/>
        <v>4385360.6547157643</v>
      </c>
      <c r="G112" s="159">
        <f t="shared" si="19"/>
        <v>4461428.9761443362</v>
      </c>
      <c r="H112" s="163">
        <f t="shared" si="20"/>
        <v>694072.92394295102</v>
      </c>
      <c r="I112" s="253">
        <f t="shared" si="21"/>
        <v>694072.92394295102</v>
      </c>
      <c r="J112" s="158">
        <f t="shared" si="22"/>
        <v>0</v>
      </c>
      <c r="K112" s="158"/>
      <c r="L112" s="334"/>
      <c r="M112" s="158">
        <f t="shared" si="23"/>
        <v>0</v>
      </c>
      <c r="N112" s="334"/>
      <c r="O112" s="158">
        <f t="shared" si="24"/>
        <v>0</v>
      </c>
      <c r="P112" s="158">
        <f t="shared" si="25"/>
        <v>0</v>
      </c>
      <c r="Q112" s="1"/>
    </row>
    <row r="113" spans="2:17">
      <c r="B113" s="9" t="str">
        <f t="shared" si="16"/>
        <v/>
      </c>
      <c r="C113" s="153">
        <f>IF(D93="","-",+C112+1)</f>
        <v>2027</v>
      </c>
      <c r="D113" s="154">
        <f>IF(F112+SUM(E$99:E112)=D$92,F112,D$92-SUM(E$99:E112))</f>
        <v>4385360.6547157643</v>
      </c>
      <c r="E113" s="160">
        <f t="shared" si="17"/>
        <v>152136.64285714287</v>
      </c>
      <c r="F113" s="159">
        <f t="shared" si="18"/>
        <v>4233224.0118586216</v>
      </c>
      <c r="G113" s="159">
        <f t="shared" si="19"/>
        <v>4309292.3332871925</v>
      </c>
      <c r="H113" s="163">
        <f t="shared" si="20"/>
        <v>675592.66416794632</v>
      </c>
      <c r="I113" s="253">
        <f t="shared" si="21"/>
        <v>675592.66416794632</v>
      </c>
      <c r="J113" s="158">
        <f t="shared" si="22"/>
        <v>0</v>
      </c>
      <c r="K113" s="158"/>
      <c r="L113" s="334"/>
      <c r="M113" s="158">
        <f t="shared" si="23"/>
        <v>0</v>
      </c>
      <c r="N113" s="334"/>
      <c r="O113" s="158">
        <f t="shared" si="24"/>
        <v>0</v>
      </c>
      <c r="P113" s="158">
        <f t="shared" si="25"/>
        <v>0</v>
      </c>
      <c r="Q113" s="1"/>
    </row>
    <row r="114" spans="2:17">
      <c r="B114" s="9" t="str">
        <f t="shared" si="16"/>
        <v/>
      </c>
      <c r="C114" s="153">
        <f>IF(D93="","-",+C113+1)</f>
        <v>2028</v>
      </c>
      <c r="D114" s="154">
        <f>IF(F113+SUM(E$99:E113)=D$92,F113,D$92-SUM(E$99:E113))</f>
        <v>4233224.0118586216</v>
      </c>
      <c r="E114" s="160">
        <f t="shared" si="17"/>
        <v>152136.64285714287</v>
      </c>
      <c r="F114" s="159">
        <f t="shared" si="18"/>
        <v>4081087.3690014789</v>
      </c>
      <c r="G114" s="159">
        <f t="shared" si="19"/>
        <v>4157155.6904300503</v>
      </c>
      <c r="H114" s="163">
        <f t="shared" si="20"/>
        <v>657112.40439294197</v>
      </c>
      <c r="I114" s="253">
        <f t="shared" si="21"/>
        <v>657112.40439294197</v>
      </c>
      <c r="J114" s="158">
        <f t="shared" si="22"/>
        <v>0</v>
      </c>
      <c r="K114" s="158"/>
      <c r="L114" s="334"/>
      <c r="M114" s="158">
        <f t="shared" si="23"/>
        <v>0</v>
      </c>
      <c r="N114" s="334"/>
      <c r="O114" s="158">
        <f t="shared" si="24"/>
        <v>0</v>
      </c>
      <c r="P114" s="158">
        <f t="shared" si="25"/>
        <v>0</v>
      </c>
      <c r="Q114" s="1"/>
    </row>
    <row r="115" spans="2:17">
      <c r="B115" s="9" t="str">
        <f t="shared" si="16"/>
        <v/>
      </c>
      <c r="C115" s="153">
        <f>IF(D93="","-",+C114+1)</f>
        <v>2029</v>
      </c>
      <c r="D115" s="154">
        <f>IF(F114+SUM(E$99:E114)=D$92,F114,D$92-SUM(E$99:E114))</f>
        <v>4081087.3690014789</v>
      </c>
      <c r="E115" s="160">
        <f t="shared" si="17"/>
        <v>152136.64285714287</v>
      </c>
      <c r="F115" s="159">
        <f t="shared" si="18"/>
        <v>3928950.7261443362</v>
      </c>
      <c r="G115" s="159">
        <f t="shared" si="19"/>
        <v>4005019.0475729075</v>
      </c>
      <c r="H115" s="163">
        <f t="shared" si="20"/>
        <v>638632.14461793739</v>
      </c>
      <c r="I115" s="253">
        <f t="shared" si="21"/>
        <v>638632.14461793739</v>
      </c>
      <c r="J115" s="158">
        <f t="shared" si="22"/>
        <v>0</v>
      </c>
      <c r="K115" s="158"/>
      <c r="L115" s="334"/>
      <c r="M115" s="158">
        <f t="shared" si="23"/>
        <v>0</v>
      </c>
      <c r="N115" s="334"/>
      <c r="O115" s="158">
        <f t="shared" si="24"/>
        <v>0</v>
      </c>
      <c r="P115" s="158">
        <f t="shared" si="25"/>
        <v>0</v>
      </c>
      <c r="Q115" s="1"/>
    </row>
    <row r="116" spans="2:17">
      <c r="B116" s="9" t="str">
        <f t="shared" si="16"/>
        <v/>
      </c>
      <c r="C116" s="153">
        <f>IF(D93="","-",+C115+1)</f>
        <v>2030</v>
      </c>
      <c r="D116" s="154">
        <f>IF(F115+SUM(E$99:E115)=D$92,F115,D$92-SUM(E$99:E115))</f>
        <v>3928950.7261443362</v>
      </c>
      <c r="E116" s="160">
        <f t="shared" si="17"/>
        <v>152136.64285714287</v>
      </c>
      <c r="F116" s="159">
        <f t="shared" si="18"/>
        <v>3776814.0832871934</v>
      </c>
      <c r="G116" s="159">
        <f t="shared" si="19"/>
        <v>3852882.4047157648</v>
      </c>
      <c r="H116" s="163">
        <f t="shared" si="20"/>
        <v>620151.88484293292</v>
      </c>
      <c r="I116" s="253">
        <f t="shared" si="21"/>
        <v>620151.88484293292</v>
      </c>
      <c r="J116" s="158">
        <f t="shared" si="22"/>
        <v>0</v>
      </c>
      <c r="K116" s="158"/>
      <c r="L116" s="334"/>
      <c r="M116" s="158">
        <f t="shared" si="23"/>
        <v>0</v>
      </c>
      <c r="N116" s="334"/>
      <c r="O116" s="158">
        <f t="shared" si="24"/>
        <v>0</v>
      </c>
      <c r="P116" s="158">
        <f t="shared" si="25"/>
        <v>0</v>
      </c>
      <c r="Q116" s="1"/>
    </row>
    <row r="117" spans="2:17">
      <c r="B117" s="9" t="str">
        <f t="shared" si="16"/>
        <v/>
      </c>
      <c r="C117" s="153">
        <f>IF(D93="","-",+C116+1)</f>
        <v>2031</v>
      </c>
      <c r="D117" s="154">
        <f>IF(F116+SUM(E$99:E116)=D$92,F116,D$92-SUM(E$99:E116))</f>
        <v>3776814.0832871934</v>
      </c>
      <c r="E117" s="160">
        <f t="shared" si="17"/>
        <v>152136.64285714287</v>
      </c>
      <c r="F117" s="159">
        <f t="shared" si="18"/>
        <v>3624677.4404300507</v>
      </c>
      <c r="G117" s="159">
        <f t="shared" si="19"/>
        <v>3700745.7618586221</v>
      </c>
      <c r="H117" s="163">
        <f t="shared" si="20"/>
        <v>601671.62506792846</v>
      </c>
      <c r="I117" s="253">
        <f t="shared" si="21"/>
        <v>601671.62506792846</v>
      </c>
      <c r="J117" s="158">
        <f t="shared" si="22"/>
        <v>0</v>
      </c>
      <c r="K117" s="158"/>
      <c r="L117" s="334"/>
      <c r="M117" s="158">
        <f t="shared" si="23"/>
        <v>0</v>
      </c>
      <c r="N117" s="334"/>
      <c r="O117" s="158">
        <f t="shared" si="24"/>
        <v>0</v>
      </c>
      <c r="P117" s="158">
        <f t="shared" si="25"/>
        <v>0</v>
      </c>
      <c r="Q117" s="1"/>
    </row>
    <row r="118" spans="2:17">
      <c r="B118" s="9" t="str">
        <f t="shared" si="16"/>
        <v/>
      </c>
      <c r="C118" s="153">
        <f>IF(D93="","-",+C117+1)</f>
        <v>2032</v>
      </c>
      <c r="D118" s="154">
        <f>IF(F117+SUM(E$99:E117)=D$92,F117,D$92-SUM(E$99:E117))</f>
        <v>3624677.4404300507</v>
      </c>
      <c r="E118" s="160">
        <f t="shared" si="17"/>
        <v>152136.64285714287</v>
      </c>
      <c r="F118" s="159">
        <f t="shared" si="18"/>
        <v>3472540.797572908</v>
      </c>
      <c r="G118" s="159">
        <f t="shared" si="19"/>
        <v>3548609.1190014794</v>
      </c>
      <c r="H118" s="163">
        <f t="shared" si="20"/>
        <v>583191.36529292387</v>
      </c>
      <c r="I118" s="253">
        <f t="shared" si="21"/>
        <v>583191.36529292387</v>
      </c>
      <c r="J118" s="158">
        <f t="shared" si="22"/>
        <v>0</v>
      </c>
      <c r="K118" s="158"/>
      <c r="L118" s="334"/>
      <c r="M118" s="158">
        <f t="shared" si="23"/>
        <v>0</v>
      </c>
      <c r="N118" s="334"/>
      <c r="O118" s="158">
        <f t="shared" si="24"/>
        <v>0</v>
      </c>
      <c r="P118" s="158">
        <f t="shared" si="25"/>
        <v>0</v>
      </c>
      <c r="Q118" s="1"/>
    </row>
    <row r="119" spans="2:17">
      <c r="B119" s="9" t="str">
        <f t="shared" si="16"/>
        <v/>
      </c>
      <c r="C119" s="153">
        <f>IF(D93="","-",+C118+1)</f>
        <v>2033</v>
      </c>
      <c r="D119" s="154">
        <f>IF(F118+SUM(E$99:E118)=D$92,F118,D$92-SUM(E$99:E118))</f>
        <v>3472540.797572908</v>
      </c>
      <c r="E119" s="160">
        <f t="shared" si="17"/>
        <v>152136.64285714287</v>
      </c>
      <c r="F119" s="159">
        <f t="shared" si="18"/>
        <v>3320404.1547157653</v>
      </c>
      <c r="G119" s="159">
        <f t="shared" si="19"/>
        <v>3396472.4761443366</v>
      </c>
      <c r="H119" s="163">
        <f t="shared" si="20"/>
        <v>564711.10551791941</v>
      </c>
      <c r="I119" s="253">
        <f t="shared" si="21"/>
        <v>564711.10551791941</v>
      </c>
      <c r="J119" s="158">
        <f t="shared" si="22"/>
        <v>0</v>
      </c>
      <c r="K119" s="158"/>
      <c r="L119" s="334"/>
      <c r="M119" s="158">
        <f t="shared" si="23"/>
        <v>0</v>
      </c>
      <c r="N119" s="334"/>
      <c r="O119" s="158">
        <f t="shared" si="24"/>
        <v>0</v>
      </c>
      <c r="P119" s="158">
        <f t="shared" si="25"/>
        <v>0</v>
      </c>
      <c r="Q119" s="1"/>
    </row>
    <row r="120" spans="2:17">
      <c r="B120" s="9" t="str">
        <f t="shared" si="16"/>
        <v/>
      </c>
      <c r="C120" s="153">
        <f>IF(D93="","-",+C119+1)</f>
        <v>2034</v>
      </c>
      <c r="D120" s="154">
        <f>IF(F119+SUM(E$99:E119)=D$92,F119,D$92-SUM(E$99:E119))</f>
        <v>3320404.1547157653</v>
      </c>
      <c r="E120" s="160">
        <f t="shared" si="17"/>
        <v>152136.64285714287</v>
      </c>
      <c r="F120" s="159">
        <f t="shared" si="18"/>
        <v>3168267.5118586225</v>
      </c>
      <c r="G120" s="159">
        <f t="shared" si="19"/>
        <v>3244335.8332871939</v>
      </c>
      <c r="H120" s="163">
        <f t="shared" si="20"/>
        <v>546230.84574291494</v>
      </c>
      <c r="I120" s="253">
        <f t="shared" si="21"/>
        <v>546230.84574291494</v>
      </c>
      <c r="J120" s="158">
        <f t="shared" si="22"/>
        <v>0</v>
      </c>
      <c r="K120" s="158"/>
      <c r="L120" s="334"/>
      <c r="M120" s="158">
        <f t="shared" si="23"/>
        <v>0</v>
      </c>
      <c r="N120" s="334"/>
      <c r="O120" s="158">
        <f t="shared" si="24"/>
        <v>0</v>
      </c>
      <c r="P120" s="158">
        <f t="shared" si="25"/>
        <v>0</v>
      </c>
      <c r="Q120" s="1"/>
    </row>
    <row r="121" spans="2:17">
      <c r="B121" s="9" t="str">
        <f t="shared" si="16"/>
        <v/>
      </c>
      <c r="C121" s="153">
        <f>IF(D93="","-",+C120+1)</f>
        <v>2035</v>
      </c>
      <c r="D121" s="154">
        <f>IF(F120+SUM(E$99:E120)=D$92,F120,D$92-SUM(E$99:E120))</f>
        <v>3168267.5118586225</v>
      </c>
      <c r="E121" s="160">
        <f t="shared" si="17"/>
        <v>152136.64285714287</v>
      </c>
      <c r="F121" s="159">
        <f t="shared" si="18"/>
        <v>3016130.8690014798</v>
      </c>
      <c r="G121" s="159">
        <f t="shared" si="19"/>
        <v>3092199.1904300512</v>
      </c>
      <c r="H121" s="163">
        <f t="shared" si="20"/>
        <v>527750.58596791036</v>
      </c>
      <c r="I121" s="253">
        <f t="shared" si="21"/>
        <v>527750.58596791036</v>
      </c>
      <c r="J121" s="158">
        <f t="shared" si="22"/>
        <v>0</v>
      </c>
      <c r="K121" s="158"/>
      <c r="L121" s="334"/>
      <c r="M121" s="158">
        <f t="shared" si="23"/>
        <v>0</v>
      </c>
      <c r="N121" s="334"/>
      <c r="O121" s="158">
        <f t="shared" si="24"/>
        <v>0</v>
      </c>
      <c r="P121" s="158">
        <f t="shared" si="25"/>
        <v>0</v>
      </c>
      <c r="Q121" s="1"/>
    </row>
    <row r="122" spans="2:17">
      <c r="B122" s="9" t="str">
        <f t="shared" si="16"/>
        <v/>
      </c>
      <c r="C122" s="153">
        <f>IF(D93="","-",+C121+1)</f>
        <v>2036</v>
      </c>
      <c r="D122" s="154">
        <f>IF(F121+SUM(E$99:E121)=D$92,F121,D$92-SUM(E$99:E121))</f>
        <v>3016130.8690014798</v>
      </c>
      <c r="E122" s="160">
        <f t="shared" si="17"/>
        <v>152136.64285714287</v>
      </c>
      <c r="F122" s="159">
        <f t="shared" si="18"/>
        <v>2863994.2261443371</v>
      </c>
      <c r="G122" s="159">
        <f t="shared" si="19"/>
        <v>2940062.5475729085</v>
      </c>
      <c r="H122" s="163">
        <f t="shared" si="20"/>
        <v>509270.32619290589</v>
      </c>
      <c r="I122" s="253">
        <f t="shared" si="21"/>
        <v>509270.32619290589</v>
      </c>
      <c r="J122" s="158">
        <f t="shared" si="22"/>
        <v>0</v>
      </c>
      <c r="K122" s="158"/>
      <c r="L122" s="334"/>
      <c r="M122" s="158">
        <f t="shared" si="23"/>
        <v>0</v>
      </c>
      <c r="N122" s="334"/>
      <c r="O122" s="158">
        <f t="shared" si="24"/>
        <v>0</v>
      </c>
      <c r="P122" s="158">
        <f t="shared" si="25"/>
        <v>0</v>
      </c>
      <c r="Q122" s="1"/>
    </row>
    <row r="123" spans="2:17">
      <c r="B123" s="9" t="str">
        <f t="shared" si="16"/>
        <v/>
      </c>
      <c r="C123" s="153">
        <f>IF(D93="","-",+C122+1)</f>
        <v>2037</v>
      </c>
      <c r="D123" s="154">
        <f>IF(F122+SUM(E$99:E122)=D$92,F122,D$92-SUM(E$99:E122))</f>
        <v>2863994.2261443371</v>
      </c>
      <c r="E123" s="160">
        <f t="shared" si="17"/>
        <v>152136.64285714287</v>
      </c>
      <c r="F123" s="159">
        <f t="shared" si="18"/>
        <v>2711857.5832871944</v>
      </c>
      <c r="G123" s="159">
        <f t="shared" si="19"/>
        <v>2787925.9047157657</v>
      </c>
      <c r="H123" s="163">
        <f t="shared" si="20"/>
        <v>490790.06641790143</v>
      </c>
      <c r="I123" s="253">
        <f t="shared" si="21"/>
        <v>490790.06641790143</v>
      </c>
      <c r="J123" s="158">
        <f t="shared" si="22"/>
        <v>0</v>
      </c>
      <c r="K123" s="158"/>
      <c r="L123" s="334"/>
      <c r="M123" s="158">
        <f t="shared" si="23"/>
        <v>0</v>
      </c>
      <c r="N123" s="334"/>
      <c r="O123" s="158">
        <f t="shared" si="24"/>
        <v>0</v>
      </c>
      <c r="P123" s="158">
        <f t="shared" si="25"/>
        <v>0</v>
      </c>
      <c r="Q123" s="1"/>
    </row>
    <row r="124" spans="2:17">
      <c r="B124" s="9" t="str">
        <f t="shared" si="16"/>
        <v/>
      </c>
      <c r="C124" s="153">
        <f>IF(D93="","-",+C123+1)</f>
        <v>2038</v>
      </c>
      <c r="D124" s="154">
        <f>IF(F123+SUM(E$99:E123)=D$92,F123,D$92-SUM(E$99:E123))</f>
        <v>2711857.5832871944</v>
      </c>
      <c r="E124" s="160">
        <f t="shared" si="17"/>
        <v>152136.64285714287</v>
      </c>
      <c r="F124" s="159">
        <f t="shared" si="18"/>
        <v>2559720.9404300516</v>
      </c>
      <c r="G124" s="159">
        <f t="shared" si="19"/>
        <v>2635789.261858623</v>
      </c>
      <c r="H124" s="163">
        <f t="shared" si="20"/>
        <v>472309.80664289685</v>
      </c>
      <c r="I124" s="253">
        <f t="shared" si="21"/>
        <v>472309.80664289685</v>
      </c>
      <c r="J124" s="158">
        <f t="shared" si="22"/>
        <v>0</v>
      </c>
      <c r="K124" s="158"/>
      <c r="L124" s="334"/>
      <c r="M124" s="158">
        <f t="shared" si="23"/>
        <v>0</v>
      </c>
      <c r="N124" s="334"/>
      <c r="O124" s="158">
        <f t="shared" si="24"/>
        <v>0</v>
      </c>
      <c r="P124" s="158">
        <f t="shared" si="25"/>
        <v>0</v>
      </c>
      <c r="Q124" s="1"/>
    </row>
    <row r="125" spans="2:17">
      <c r="B125" s="9" t="str">
        <f t="shared" si="16"/>
        <v/>
      </c>
      <c r="C125" s="153">
        <f>IF(D93="","-",+C124+1)</f>
        <v>2039</v>
      </c>
      <c r="D125" s="154">
        <f>IF(F124+SUM(E$99:E124)=D$92,F124,D$92-SUM(E$99:E124))</f>
        <v>2559720.9404300516</v>
      </c>
      <c r="E125" s="160">
        <f t="shared" si="17"/>
        <v>152136.64285714287</v>
      </c>
      <c r="F125" s="159">
        <f t="shared" si="18"/>
        <v>2407584.2975729089</v>
      </c>
      <c r="G125" s="159">
        <f t="shared" si="19"/>
        <v>2483652.6190014803</v>
      </c>
      <c r="H125" s="163">
        <f t="shared" si="20"/>
        <v>453829.54686789238</v>
      </c>
      <c r="I125" s="253">
        <f t="shared" si="21"/>
        <v>453829.54686789238</v>
      </c>
      <c r="J125" s="158">
        <f t="shared" si="22"/>
        <v>0</v>
      </c>
      <c r="K125" s="158"/>
      <c r="L125" s="334"/>
      <c r="M125" s="158">
        <f t="shared" si="23"/>
        <v>0</v>
      </c>
      <c r="N125" s="334"/>
      <c r="O125" s="158">
        <f t="shared" si="24"/>
        <v>0</v>
      </c>
      <c r="P125" s="158">
        <f t="shared" si="25"/>
        <v>0</v>
      </c>
      <c r="Q125" s="1"/>
    </row>
    <row r="126" spans="2:17">
      <c r="B126" s="9" t="str">
        <f t="shared" si="16"/>
        <v/>
      </c>
      <c r="C126" s="153">
        <f>IF(D93="","-",+C125+1)</f>
        <v>2040</v>
      </c>
      <c r="D126" s="154">
        <f>IF(F125+SUM(E$99:E125)=D$92,F125,D$92-SUM(E$99:E125))</f>
        <v>2407584.2975729089</v>
      </c>
      <c r="E126" s="160">
        <f t="shared" si="17"/>
        <v>152136.64285714287</v>
      </c>
      <c r="F126" s="159">
        <f t="shared" si="18"/>
        <v>2255447.6547157662</v>
      </c>
      <c r="G126" s="159">
        <f t="shared" si="19"/>
        <v>2331515.9761443376</v>
      </c>
      <c r="H126" s="163">
        <f t="shared" si="20"/>
        <v>435349.28709288791</v>
      </c>
      <c r="I126" s="253">
        <f t="shared" si="21"/>
        <v>435349.28709288791</v>
      </c>
      <c r="J126" s="158">
        <f t="shared" si="22"/>
        <v>0</v>
      </c>
      <c r="K126" s="158"/>
      <c r="L126" s="334"/>
      <c r="M126" s="158">
        <f t="shared" si="23"/>
        <v>0</v>
      </c>
      <c r="N126" s="334"/>
      <c r="O126" s="158">
        <f t="shared" si="24"/>
        <v>0</v>
      </c>
      <c r="P126" s="158">
        <f t="shared" si="25"/>
        <v>0</v>
      </c>
      <c r="Q126" s="1"/>
    </row>
    <row r="127" spans="2:17">
      <c r="B127" s="9" t="str">
        <f t="shared" si="16"/>
        <v/>
      </c>
      <c r="C127" s="153">
        <f>IF(D93="","-",+C126+1)</f>
        <v>2041</v>
      </c>
      <c r="D127" s="154">
        <f>IF(F126+SUM(E$99:E126)=D$92,F126,D$92-SUM(E$99:E126))</f>
        <v>2255447.6547157662</v>
      </c>
      <c r="E127" s="160">
        <f t="shared" si="17"/>
        <v>152136.64285714287</v>
      </c>
      <c r="F127" s="159">
        <f t="shared" si="18"/>
        <v>2103311.0118586235</v>
      </c>
      <c r="G127" s="159">
        <f t="shared" si="19"/>
        <v>2179379.3332871948</v>
      </c>
      <c r="H127" s="163">
        <f t="shared" si="20"/>
        <v>416869.02731788333</v>
      </c>
      <c r="I127" s="253">
        <f t="shared" si="21"/>
        <v>416869.02731788333</v>
      </c>
      <c r="J127" s="158">
        <f t="shared" si="22"/>
        <v>0</v>
      </c>
      <c r="K127" s="158"/>
      <c r="L127" s="334"/>
      <c r="M127" s="158">
        <f t="shared" si="23"/>
        <v>0</v>
      </c>
      <c r="N127" s="334"/>
      <c r="O127" s="158">
        <f t="shared" si="24"/>
        <v>0</v>
      </c>
      <c r="P127" s="158">
        <f t="shared" si="25"/>
        <v>0</v>
      </c>
      <c r="Q127" s="1"/>
    </row>
    <row r="128" spans="2:17">
      <c r="B128" s="9" t="str">
        <f t="shared" si="16"/>
        <v/>
      </c>
      <c r="C128" s="153">
        <f>IF(D93="","-",+C127+1)</f>
        <v>2042</v>
      </c>
      <c r="D128" s="154">
        <f>IF(F127+SUM(E$99:E127)=D$92,F127,D$92-SUM(E$99:E127))</f>
        <v>2103311.0118586235</v>
      </c>
      <c r="E128" s="160">
        <f t="shared" si="17"/>
        <v>152136.64285714287</v>
      </c>
      <c r="F128" s="159">
        <f t="shared" si="18"/>
        <v>1951174.3690014805</v>
      </c>
      <c r="G128" s="159">
        <f t="shared" si="19"/>
        <v>2027242.6904300521</v>
      </c>
      <c r="H128" s="163">
        <f t="shared" si="20"/>
        <v>398388.76754287886</v>
      </c>
      <c r="I128" s="253">
        <f t="shared" si="21"/>
        <v>398388.76754287886</v>
      </c>
      <c r="J128" s="158">
        <f t="shared" si="22"/>
        <v>0</v>
      </c>
      <c r="K128" s="158"/>
      <c r="L128" s="334"/>
      <c r="M128" s="158">
        <f t="shared" si="23"/>
        <v>0</v>
      </c>
      <c r="N128" s="334"/>
      <c r="O128" s="158">
        <f t="shared" si="24"/>
        <v>0</v>
      </c>
      <c r="P128" s="158">
        <f t="shared" si="25"/>
        <v>0</v>
      </c>
      <c r="Q128" s="1"/>
    </row>
    <row r="129" spans="2:17">
      <c r="B129" s="9" t="str">
        <f t="shared" si="16"/>
        <v/>
      </c>
      <c r="C129" s="153">
        <f>IF(D93="","-",+C128+1)</f>
        <v>2043</v>
      </c>
      <c r="D129" s="154">
        <f>IF(F128+SUM(E$99:E128)=D$92,F128,D$92-SUM(E$99:E128))</f>
        <v>1951174.3690014805</v>
      </c>
      <c r="E129" s="160">
        <f t="shared" si="17"/>
        <v>152136.64285714287</v>
      </c>
      <c r="F129" s="159">
        <f t="shared" si="18"/>
        <v>1799037.7261443376</v>
      </c>
      <c r="G129" s="159">
        <f t="shared" si="19"/>
        <v>1875106.0475729089</v>
      </c>
      <c r="H129" s="163">
        <f t="shared" si="20"/>
        <v>379908.50776787428</v>
      </c>
      <c r="I129" s="253">
        <f t="shared" si="21"/>
        <v>379908.50776787428</v>
      </c>
      <c r="J129" s="158">
        <f t="shared" si="22"/>
        <v>0</v>
      </c>
      <c r="K129" s="158"/>
      <c r="L129" s="334"/>
      <c r="M129" s="158">
        <f t="shared" si="23"/>
        <v>0</v>
      </c>
      <c r="N129" s="334"/>
      <c r="O129" s="158">
        <f t="shared" si="24"/>
        <v>0</v>
      </c>
      <c r="P129" s="158">
        <f t="shared" si="25"/>
        <v>0</v>
      </c>
      <c r="Q129" s="1"/>
    </row>
    <row r="130" spans="2:17">
      <c r="B130" s="9" t="str">
        <f t="shared" si="16"/>
        <v/>
      </c>
      <c r="C130" s="153">
        <f>IF(D93="","-",+C129+1)</f>
        <v>2044</v>
      </c>
      <c r="D130" s="154">
        <f>IF(F129+SUM(E$99:E129)=D$92,F129,D$92-SUM(E$99:E129))</f>
        <v>1799037.7261443376</v>
      </c>
      <c r="E130" s="160">
        <f t="shared" si="17"/>
        <v>152136.64285714287</v>
      </c>
      <c r="F130" s="159">
        <f t="shared" si="18"/>
        <v>1646901.0832871946</v>
      </c>
      <c r="G130" s="159">
        <f t="shared" si="19"/>
        <v>1722969.4047157662</v>
      </c>
      <c r="H130" s="163">
        <f t="shared" si="20"/>
        <v>361428.24799286982</v>
      </c>
      <c r="I130" s="253">
        <f t="shared" si="21"/>
        <v>361428.24799286982</v>
      </c>
      <c r="J130" s="158">
        <f t="shared" si="22"/>
        <v>0</v>
      </c>
      <c r="K130" s="158"/>
      <c r="L130" s="334"/>
      <c r="M130" s="158">
        <f t="shared" si="23"/>
        <v>0</v>
      </c>
      <c r="N130" s="334"/>
      <c r="O130" s="158">
        <f t="shared" si="24"/>
        <v>0</v>
      </c>
      <c r="P130" s="158">
        <f t="shared" si="25"/>
        <v>0</v>
      </c>
      <c r="Q130" s="1"/>
    </row>
    <row r="131" spans="2:17">
      <c r="B131" s="9" t="str">
        <f t="shared" si="16"/>
        <v/>
      </c>
      <c r="C131" s="153">
        <f>IF(D93="","-",+C130+1)</f>
        <v>2045</v>
      </c>
      <c r="D131" s="154">
        <f>IF(F130+SUM(E$99:E130)=D$92,F130,D$92-SUM(E$99:E130))</f>
        <v>1646901.0832871946</v>
      </c>
      <c r="E131" s="160">
        <f t="shared" si="17"/>
        <v>152136.64285714287</v>
      </c>
      <c r="F131" s="159">
        <f t="shared" si="18"/>
        <v>1494764.4404300516</v>
      </c>
      <c r="G131" s="159">
        <f t="shared" si="19"/>
        <v>1570832.761858623</v>
      </c>
      <c r="H131" s="163">
        <f t="shared" si="20"/>
        <v>342947.98821786523</v>
      </c>
      <c r="I131" s="253">
        <f t="shared" si="21"/>
        <v>342947.98821786523</v>
      </c>
      <c r="J131" s="158">
        <f t="shared" si="22"/>
        <v>0</v>
      </c>
      <c r="K131" s="158"/>
      <c r="L131" s="334"/>
      <c r="M131" s="158">
        <f t="shared" ref="M131:M154" si="26">IF(L541&lt;&gt;0,+H541-L541,0)</f>
        <v>0</v>
      </c>
      <c r="N131" s="334"/>
      <c r="O131" s="158">
        <f t="shared" ref="O131:O154" si="27">IF(N541&lt;&gt;0,+I541-N541,0)</f>
        <v>0</v>
      </c>
      <c r="P131" s="158">
        <f t="shared" ref="P131:P154" si="28">+O541-M541</f>
        <v>0</v>
      </c>
      <c r="Q131" s="1"/>
    </row>
    <row r="132" spans="2:17">
      <c r="B132" s="9" t="str">
        <f t="shared" si="16"/>
        <v/>
      </c>
      <c r="C132" s="153">
        <f>IF(D93="","-",+C131+1)</f>
        <v>2046</v>
      </c>
      <c r="D132" s="154">
        <f>IF(F131+SUM(E$99:E131)=D$92,F131,D$92-SUM(E$99:E131))</f>
        <v>1494764.4404300516</v>
      </c>
      <c r="E132" s="160">
        <f t="shared" si="17"/>
        <v>152136.64285714287</v>
      </c>
      <c r="F132" s="159">
        <f t="shared" si="18"/>
        <v>1342627.7975729087</v>
      </c>
      <c r="G132" s="159">
        <f t="shared" si="19"/>
        <v>1418696.1190014803</v>
      </c>
      <c r="H132" s="163">
        <f t="shared" si="20"/>
        <v>324467.72844286077</v>
      </c>
      <c r="I132" s="253">
        <f t="shared" si="21"/>
        <v>324467.72844286077</v>
      </c>
      <c r="J132" s="158">
        <f t="shared" si="22"/>
        <v>0</v>
      </c>
      <c r="K132" s="158"/>
      <c r="L132" s="334"/>
      <c r="M132" s="158">
        <f t="shared" si="26"/>
        <v>0</v>
      </c>
      <c r="N132" s="334"/>
      <c r="O132" s="158">
        <f t="shared" si="27"/>
        <v>0</v>
      </c>
      <c r="P132" s="158">
        <f t="shared" si="28"/>
        <v>0</v>
      </c>
      <c r="Q132" s="1"/>
    </row>
    <row r="133" spans="2:17">
      <c r="B133" s="9" t="str">
        <f t="shared" si="16"/>
        <v/>
      </c>
      <c r="C133" s="153">
        <f>IF(D93="","-",+C132+1)</f>
        <v>2047</v>
      </c>
      <c r="D133" s="154">
        <f>IF(F132+SUM(E$99:E132)=D$92,F132,D$92-SUM(E$99:E132))</f>
        <v>1342627.7975729087</v>
      </c>
      <c r="E133" s="160">
        <f t="shared" si="17"/>
        <v>152136.64285714287</v>
      </c>
      <c r="F133" s="159">
        <f t="shared" si="18"/>
        <v>1190491.1547157657</v>
      </c>
      <c r="G133" s="159">
        <f t="shared" si="19"/>
        <v>1266559.4761443371</v>
      </c>
      <c r="H133" s="163">
        <f t="shared" si="20"/>
        <v>305987.46866785618</v>
      </c>
      <c r="I133" s="253">
        <f t="shared" si="21"/>
        <v>305987.46866785618</v>
      </c>
      <c r="J133" s="158">
        <f t="shared" si="22"/>
        <v>0</v>
      </c>
      <c r="K133" s="158"/>
      <c r="L133" s="334"/>
      <c r="M133" s="158">
        <f t="shared" si="26"/>
        <v>0</v>
      </c>
      <c r="N133" s="334"/>
      <c r="O133" s="158">
        <f t="shared" si="27"/>
        <v>0</v>
      </c>
      <c r="P133" s="158">
        <f t="shared" si="28"/>
        <v>0</v>
      </c>
      <c r="Q133" s="1"/>
    </row>
    <row r="134" spans="2:17">
      <c r="B134" s="9" t="str">
        <f t="shared" si="16"/>
        <v/>
      </c>
      <c r="C134" s="153">
        <f>IF(D93="","-",+C133+1)</f>
        <v>2048</v>
      </c>
      <c r="D134" s="154">
        <f>IF(F133+SUM(E$99:E133)=D$92,F133,D$92-SUM(E$99:E133))</f>
        <v>1190491.1547157657</v>
      </c>
      <c r="E134" s="160">
        <f t="shared" si="17"/>
        <v>152136.64285714287</v>
      </c>
      <c r="F134" s="159">
        <f t="shared" si="18"/>
        <v>1038354.5118586229</v>
      </c>
      <c r="G134" s="159">
        <f t="shared" si="19"/>
        <v>1114422.8332871944</v>
      </c>
      <c r="H134" s="163">
        <f t="shared" si="20"/>
        <v>287507.20889285172</v>
      </c>
      <c r="I134" s="253">
        <f t="shared" si="21"/>
        <v>287507.20889285172</v>
      </c>
      <c r="J134" s="158">
        <f t="shared" si="22"/>
        <v>0</v>
      </c>
      <c r="K134" s="158"/>
      <c r="L134" s="334"/>
      <c r="M134" s="158">
        <f t="shared" si="26"/>
        <v>0</v>
      </c>
      <c r="N134" s="334"/>
      <c r="O134" s="158">
        <f t="shared" si="27"/>
        <v>0</v>
      </c>
      <c r="P134" s="158">
        <f t="shared" si="28"/>
        <v>0</v>
      </c>
      <c r="Q134" s="1"/>
    </row>
    <row r="135" spans="2:17">
      <c r="B135" s="9" t="str">
        <f t="shared" si="16"/>
        <v/>
      </c>
      <c r="C135" s="153">
        <f>IF(D93="","-",+C134+1)</f>
        <v>2049</v>
      </c>
      <c r="D135" s="154">
        <f>IF(F134+SUM(E$99:E134)=D$92,F134,D$92-SUM(E$99:E134))</f>
        <v>1038354.5118586229</v>
      </c>
      <c r="E135" s="160">
        <f t="shared" si="17"/>
        <v>152136.64285714287</v>
      </c>
      <c r="F135" s="159">
        <f t="shared" si="18"/>
        <v>886217.86900148005</v>
      </c>
      <c r="G135" s="159">
        <f t="shared" si="19"/>
        <v>962286.19043005141</v>
      </c>
      <c r="H135" s="163">
        <f t="shared" si="20"/>
        <v>269026.94911784714</v>
      </c>
      <c r="I135" s="253">
        <f t="shared" si="21"/>
        <v>269026.94911784714</v>
      </c>
      <c r="J135" s="158">
        <f t="shared" si="22"/>
        <v>0</v>
      </c>
      <c r="K135" s="158"/>
      <c r="L135" s="334"/>
      <c r="M135" s="158">
        <f t="shared" si="26"/>
        <v>0</v>
      </c>
      <c r="N135" s="334"/>
      <c r="O135" s="158">
        <f t="shared" si="27"/>
        <v>0</v>
      </c>
      <c r="P135" s="158">
        <f t="shared" si="28"/>
        <v>0</v>
      </c>
      <c r="Q135" s="1"/>
    </row>
    <row r="136" spans="2:17">
      <c r="B136" s="9" t="str">
        <f t="shared" si="16"/>
        <v/>
      </c>
      <c r="C136" s="153">
        <f>IF(D93="","-",+C135+1)</f>
        <v>2050</v>
      </c>
      <c r="D136" s="154">
        <f>IF(F135+SUM(E$99:E135)=D$92,F135,D$92-SUM(E$99:E135))</f>
        <v>886217.86900148005</v>
      </c>
      <c r="E136" s="160">
        <f t="shared" si="17"/>
        <v>152136.64285714287</v>
      </c>
      <c r="F136" s="159">
        <f t="shared" si="18"/>
        <v>734081.22614433721</v>
      </c>
      <c r="G136" s="159">
        <f t="shared" si="19"/>
        <v>810149.54757290869</v>
      </c>
      <c r="H136" s="163">
        <f t="shared" si="20"/>
        <v>250546.68934284267</v>
      </c>
      <c r="I136" s="253">
        <f t="shared" si="21"/>
        <v>250546.68934284267</v>
      </c>
      <c r="J136" s="158">
        <f t="shared" si="22"/>
        <v>0</v>
      </c>
      <c r="K136" s="158"/>
      <c r="L136" s="334"/>
      <c r="M136" s="158">
        <f t="shared" si="26"/>
        <v>0</v>
      </c>
      <c r="N136" s="334"/>
      <c r="O136" s="158">
        <f t="shared" si="27"/>
        <v>0</v>
      </c>
      <c r="P136" s="158">
        <f t="shared" si="28"/>
        <v>0</v>
      </c>
      <c r="Q136" s="1"/>
    </row>
    <row r="137" spans="2:17">
      <c r="B137" s="9" t="str">
        <f t="shared" si="16"/>
        <v/>
      </c>
      <c r="C137" s="153">
        <f>IF(D93="","-",+C136+1)</f>
        <v>2051</v>
      </c>
      <c r="D137" s="154">
        <f>IF(F136+SUM(E$99:E136)=D$92,F136,D$92-SUM(E$99:E136))</f>
        <v>734081.22614433721</v>
      </c>
      <c r="E137" s="160">
        <f t="shared" si="17"/>
        <v>152136.64285714287</v>
      </c>
      <c r="F137" s="159">
        <f t="shared" si="18"/>
        <v>581944.58328719437</v>
      </c>
      <c r="G137" s="159">
        <f t="shared" si="19"/>
        <v>658012.90471576573</v>
      </c>
      <c r="H137" s="163">
        <f t="shared" si="20"/>
        <v>232066.42956783812</v>
      </c>
      <c r="I137" s="253">
        <f t="shared" si="21"/>
        <v>232066.42956783812</v>
      </c>
      <c r="J137" s="158">
        <f t="shared" si="22"/>
        <v>0</v>
      </c>
      <c r="K137" s="158"/>
      <c r="L137" s="334"/>
      <c r="M137" s="158">
        <f t="shared" si="26"/>
        <v>0</v>
      </c>
      <c r="N137" s="334"/>
      <c r="O137" s="158">
        <f t="shared" si="27"/>
        <v>0</v>
      </c>
      <c r="P137" s="158">
        <f t="shared" si="28"/>
        <v>0</v>
      </c>
      <c r="Q137" s="1"/>
    </row>
    <row r="138" spans="2:17">
      <c r="B138" s="9" t="str">
        <f t="shared" si="16"/>
        <v/>
      </c>
      <c r="C138" s="153">
        <f>IF(D93="","-",+C137+1)</f>
        <v>2052</v>
      </c>
      <c r="D138" s="154">
        <f>IF(F137+SUM(E$99:E137)=D$92,F137,D$92-SUM(E$99:E137))</f>
        <v>581944.58328719437</v>
      </c>
      <c r="E138" s="160">
        <f t="shared" si="17"/>
        <v>152136.64285714287</v>
      </c>
      <c r="F138" s="159">
        <f t="shared" si="18"/>
        <v>429807.94043005153</v>
      </c>
      <c r="G138" s="159">
        <f t="shared" si="19"/>
        <v>505876.26185862295</v>
      </c>
      <c r="H138" s="163">
        <f t="shared" si="20"/>
        <v>213586.16979283362</v>
      </c>
      <c r="I138" s="253">
        <f t="shared" si="21"/>
        <v>213586.16979283362</v>
      </c>
      <c r="J138" s="158">
        <f t="shared" si="22"/>
        <v>0</v>
      </c>
      <c r="K138" s="158"/>
      <c r="L138" s="334"/>
      <c r="M138" s="158">
        <f t="shared" si="26"/>
        <v>0</v>
      </c>
      <c r="N138" s="334"/>
      <c r="O138" s="158">
        <f t="shared" si="27"/>
        <v>0</v>
      </c>
      <c r="P138" s="158">
        <f t="shared" si="28"/>
        <v>0</v>
      </c>
      <c r="Q138" s="1"/>
    </row>
    <row r="139" spans="2:17">
      <c r="B139" s="9" t="str">
        <f t="shared" si="16"/>
        <v/>
      </c>
      <c r="C139" s="153">
        <f>IF(D93="","-",+C138+1)</f>
        <v>2053</v>
      </c>
      <c r="D139" s="154">
        <f>IF(F138+SUM(E$99:E138)=D$92,F138,D$92-SUM(E$99:E138))</f>
        <v>429807.94043005153</v>
      </c>
      <c r="E139" s="160">
        <f t="shared" si="17"/>
        <v>152136.64285714287</v>
      </c>
      <c r="F139" s="159">
        <f t="shared" si="18"/>
        <v>277671.29757290869</v>
      </c>
      <c r="G139" s="159">
        <f t="shared" si="19"/>
        <v>353739.61900148011</v>
      </c>
      <c r="H139" s="163">
        <f t="shared" si="20"/>
        <v>195105.9100178291</v>
      </c>
      <c r="I139" s="253">
        <f t="shared" si="21"/>
        <v>195105.9100178291</v>
      </c>
      <c r="J139" s="158">
        <f t="shared" si="22"/>
        <v>0</v>
      </c>
      <c r="K139" s="158"/>
      <c r="L139" s="334"/>
      <c r="M139" s="158">
        <f t="shared" si="26"/>
        <v>0</v>
      </c>
      <c r="N139" s="334"/>
      <c r="O139" s="158">
        <f t="shared" si="27"/>
        <v>0</v>
      </c>
      <c r="P139" s="158">
        <f t="shared" si="28"/>
        <v>0</v>
      </c>
      <c r="Q139" s="1"/>
    </row>
    <row r="140" spans="2:17">
      <c r="B140" s="9" t="str">
        <f t="shared" si="16"/>
        <v/>
      </c>
      <c r="C140" s="153">
        <f>IF(D93="","-",+C139+1)</f>
        <v>2054</v>
      </c>
      <c r="D140" s="154">
        <f>IF(F139+SUM(E$99:E139)=D$92,F139,D$92-SUM(E$99:E139))</f>
        <v>277671.29757290869</v>
      </c>
      <c r="E140" s="160">
        <f t="shared" si="17"/>
        <v>152136.64285714287</v>
      </c>
      <c r="F140" s="159">
        <f t="shared" si="18"/>
        <v>125534.65471576582</v>
      </c>
      <c r="G140" s="159">
        <f t="shared" si="19"/>
        <v>201602.97614433727</v>
      </c>
      <c r="H140" s="163">
        <f t="shared" si="20"/>
        <v>176625.65024282457</v>
      </c>
      <c r="I140" s="253">
        <f t="shared" si="21"/>
        <v>176625.65024282457</v>
      </c>
      <c r="J140" s="158">
        <f t="shared" si="22"/>
        <v>0</v>
      </c>
      <c r="K140" s="158"/>
      <c r="L140" s="334"/>
      <c r="M140" s="158">
        <f t="shared" si="26"/>
        <v>0</v>
      </c>
      <c r="N140" s="334"/>
      <c r="O140" s="158">
        <f t="shared" si="27"/>
        <v>0</v>
      </c>
      <c r="P140" s="158">
        <f t="shared" si="28"/>
        <v>0</v>
      </c>
      <c r="Q140" s="1"/>
    </row>
    <row r="141" spans="2:17">
      <c r="B141" s="9" t="str">
        <f t="shared" si="16"/>
        <v/>
      </c>
      <c r="C141" s="153">
        <f>IF(D93="","-",+C140+1)</f>
        <v>2055</v>
      </c>
      <c r="D141" s="154">
        <f>IF(F140+SUM(E$99:E140)=D$92,F140,D$92-SUM(E$99:E140))</f>
        <v>125534.65471576582</v>
      </c>
      <c r="E141" s="160">
        <f t="shared" si="17"/>
        <v>125534.65471576582</v>
      </c>
      <c r="F141" s="159">
        <f t="shared" si="18"/>
        <v>0</v>
      </c>
      <c r="G141" s="159">
        <f t="shared" si="19"/>
        <v>62767.32735788291</v>
      </c>
      <c r="H141" s="163">
        <f t="shared" si="20"/>
        <v>133159.09346485554</v>
      </c>
      <c r="I141" s="253">
        <f t="shared" si="21"/>
        <v>133159.09346485554</v>
      </c>
      <c r="J141" s="158">
        <f t="shared" si="22"/>
        <v>0</v>
      </c>
      <c r="K141" s="158"/>
      <c r="L141" s="334"/>
      <c r="M141" s="158">
        <f t="shared" si="26"/>
        <v>0</v>
      </c>
      <c r="N141" s="334"/>
      <c r="O141" s="158">
        <f t="shared" si="27"/>
        <v>0</v>
      </c>
      <c r="P141" s="158">
        <f t="shared" si="28"/>
        <v>0</v>
      </c>
      <c r="Q141" s="1"/>
    </row>
    <row r="142" spans="2:17">
      <c r="B142" s="9" t="str">
        <f t="shared" si="16"/>
        <v/>
      </c>
      <c r="C142" s="153">
        <f>IF(D93="","-",+C141+1)</f>
        <v>2056</v>
      </c>
      <c r="D142" s="154">
        <f>IF(F141+SUM(E$99:E141)=D$92,F141,D$92-SUM(E$99:E141))</f>
        <v>0</v>
      </c>
      <c r="E142" s="160">
        <f t="shared" si="17"/>
        <v>0</v>
      </c>
      <c r="F142" s="159">
        <f t="shared" si="18"/>
        <v>0</v>
      </c>
      <c r="G142" s="159">
        <f t="shared" si="19"/>
        <v>0</v>
      </c>
      <c r="H142" s="163">
        <f t="shared" si="20"/>
        <v>0</v>
      </c>
      <c r="I142" s="253">
        <f t="shared" si="21"/>
        <v>0</v>
      </c>
      <c r="J142" s="158">
        <f t="shared" si="22"/>
        <v>0</v>
      </c>
      <c r="K142" s="158"/>
      <c r="L142" s="334"/>
      <c r="M142" s="158">
        <f t="shared" si="26"/>
        <v>0</v>
      </c>
      <c r="N142" s="334"/>
      <c r="O142" s="158">
        <f t="shared" si="27"/>
        <v>0</v>
      </c>
      <c r="P142" s="158">
        <f t="shared" si="28"/>
        <v>0</v>
      </c>
      <c r="Q142" s="1"/>
    </row>
    <row r="143" spans="2:17">
      <c r="B143" s="9" t="str">
        <f t="shared" si="16"/>
        <v/>
      </c>
      <c r="C143" s="153">
        <f>IF(D93="","-",+C142+1)</f>
        <v>2057</v>
      </c>
      <c r="D143" s="154">
        <f>IF(F142+SUM(E$99:E142)=D$92,F142,D$92-SUM(E$99:E142))</f>
        <v>0</v>
      </c>
      <c r="E143" s="160">
        <f t="shared" si="17"/>
        <v>0</v>
      </c>
      <c r="F143" s="159">
        <f t="shared" si="18"/>
        <v>0</v>
      </c>
      <c r="G143" s="159">
        <f t="shared" si="19"/>
        <v>0</v>
      </c>
      <c r="H143" s="163">
        <f t="shared" si="20"/>
        <v>0</v>
      </c>
      <c r="I143" s="253">
        <f t="shared" si="21"/>
        <v>0</v>
      </c>
      <c r="J143" s="158">
        <f t="shared" si="22"/>
        <v>0</v>
      </c>
      <c r="K143" s="158"/>
      <c r="L143" s="334"/>
      <c r="M143" s="158">
        <f t="shared" si="26"/>
        <v>0</v>
      </c>
      <c r="N143" s="334"/>
      <c r="O143" s="158">
        <f t="shared" si="27"/>
        <v>0</v>
      </c>
      <c r="P143" s="158">
        <f t="shared" si="28"/>
        <v>0</v>
      </c>
      <c r="Q143" s="1"/>
    </row>
    <row r="144" spans="2:17">
      <c r="B144" s="9" t="str">
        <f t="shared" si="16"/>
        <v/>
      </c>
      <c r="C144" s="153">
        <f>IF(D93="","-",+C143+1)</f>
        <v>2058</v>
      </c>
      <c r="D144" s="154">
        <f>IF(F143+SUM(E$99:E143)=D$92,F143,D$92-SUM(E$99:E143))</f>
        <v>0</v>
      </c>
      <c r="E144" s="160">
        <f t="shared" si="17"/>
        <v>0</v>
      </c>
      <c r="F144" s="159">
        <f t="shared" si="18"/>
        <v>0</v>
      </c>
      <c r="G144" s="159">
        <f t="shared" si="19"/>
        <v>0</v>
      </c>
      <c r="H144" s="163">
        <f t="shared" si="20"/>
        <v>0</v>
      </c>
      <c r="I144" s="253">
        <f t="shared" si="21"/>
        <v>0</v>
      </c>
      <c r="J144" s="158">
        <f t="shared" si="22"/>
        <v>0</v>
      </c>
      <c r="K144" s="158"/>
      <c r="L144" s="334"/>
      <c r="M144" s="158">
        <f t="shared" si="26"/>
        <v>0</v>
      </c>
      <c r="N144" s="334"/>
      <c r="O144" s="158">
        <f t="shared" si="27"/>
        <v>0</v>
      </c>
      <c r="P144" s="158">
        <f t="shared" si="28"/>
        <v>0</v>
      </c>
      <c r="Q144" s="1"/>
    </row>
    <row r="145" spans="2:17">
      <c r="B145" s="9" t="str">
        <f t="shared" si="16"/>
        <v/>
      </c>
      <c r="C145" s="153">
        <f>IF(D93="","-",+C144+1)</f>
        <v>2059</v>
      </c>
      <c r="D145" s="154">
        <f>IF(F144+SUM(E$99:E144)=D$92,F144,D$92-SUM(E$99:E144))</f>
        <v>0</v>
      </c>
      <c r="E145" s="160">
        <f t="shared" si="17"/>
        <v>0</v>
      </c>
      <c r="F145" s="159">
        <f t="shared" si="18"/>
        <v>0</v>
      </c>
      <c r="G145" s="159">
        <f t="shared" si="19"/>
        <v>0</v>
      </c>
      <c r="H145" s="163">
        <f t="shared" si="20"/>
        <v>0</v>
      </c>
      <c r="I145" s="253">
        <f t="shared" si="21"/>
        <v>0</v>
      </c>
      <c r="J145" s="158">
        <f t="shared" si="22"/>
        <v>0</v>
      </c>
      <c r="K145" s="158"/>
      <c r="L145" s="334"/>
      <c r="M145" s="158">
        <f t="shared" si="26"/>
        <v>0</v>
      </c>
      <c r="N145" s="334"/>
      <c r="O145" s="158">
        <f t="shared" si="27"/>
        <v>0</v>
      </c>
      <c r="P145" s="158">
        <f t="shared" si="28"/>
        <v>0</v>
      </c>
      <c r="Q145" s="1"/>
    </row>
    <row r="146" spans="2:17">
      <c r="B146" s="9" t="str">
        <f t="shared" si="16"/>
        <v/>
      </c>
      <c r="C146" s="153">
        <f>IF(D93="","-",+C145+1)</f>
        <v>2060</v>
      </c>
      <c r="D146" s="154">
        <f>IF(F145+SUM(E$99:E145)=D$92,F145,D$92-SUM(E$99:E145))</f>
        <v>0</v>
      </c>
      <c r="E146" s="160">
        <f t="shared" si="17"/>
        <v>0</v>
      </c>
      <c r="F146" s="159">
        <f t="shared" si="18"/>
        <v>0</v>
      </c>
      <c r="G146" s="159">
        <f t="shared" si="19"/>
        <v>0</v>
      </c>
      <c r="H146" s="163">
        <f t="shared" si="20"/>
        <v>0</v>
      </c>
      <c r="I146" s="253">
        <f t="shared" si="21"/>
        <v>0</v>
      </c>
      <c r="J146" s="158">
        <f t="shared" si="22"/>
        <v>0</v>
      </c>
      <c r="K146" s="158"/>
      <c r="L146" s="334"/>
      <c r="M146" s="158">
        <f t="shared" si="26"/>
        <v>0</v>
      </c>
      <c r="N146" s="334"/>
      <c r="O146" s="158">
        <f t="shared" si="27"/>
        <v>0</v>
      </c>
      <c r="P146" s="158">
        <f t="shared" si="28"/>
        <v>0</v>
      </c>
      <c r="Q146" s="1"/>
    </row>
    <row r="147" spans="2:17">
      <c r="B147" s="9" t="str">
        <f t="shared" si="16"/>
        <v/>
      </c>
      <c r="C147" s="153">
        <f>IF(D93="","-",+C146+1)</f>
        <v>2061</v>
      </c>
      <c r="D147" s="154">
        <f>IF(F146+SUM(E$99:E146)=D$92,F146,D$92-SUM(E$99:E146))</f>
        <v>0</v>
      </c>
      <c r="E147" s="160">
        <f t="shared" si="17"/>
        <v>0</v>
      </c>
      <c r="F147" s="159">
        <f t="shared" si="18"/>
        <v>0</v>
      </c>
      <c r="G147" s="159">
        <f t="shared" si="19"/>
        <v>0</v>
      </c>
      <c r="H147" s="163">
        <f t="shared" si="20"/>
        <v>0</v>
      </c>
      <c r="I147" s="253">
        <f t="shared" si="21"/>
        <v>0</v>
      </c>
      <c r="J147" s="158">
        <f t="shared" si="22"/>
        <v>0</v>
      </c>
      <c r="K147" s="158"/>
      <c r="L147" s="334"/>
      <c r="M147" s="158">
        <f t="shared" si="26"/>
        <v>0</v>
      </c>
      <c r="N147" s="334"/>
      <c r="O147" s="158">
        <f t="shared" si="27"/>
        <v>0</v>
      </c>
      <c r="P147" s="158">
        <f t="shared" si="28"/>
        <v>0</v>
      </c>
      <c r="Q147" s="1"/>
    </row>
    <row r="148" spans="2:17">
      <c r="B148" s="9" t="str">
        <f t="shared" si="16"/>
        <v/>
      </c>
      <c r="C148" s="153">
        <f>IF(D93="","-",+C147+1)</f>
        <v>2062</v>
      </c>
      <c r="D148" s="154">
        <f>IF(F147+SUM(E$99:E147)=D$92,F147,D$92-SUM(E$99:E147))</f>
        <v>0</v>
      </c>
      <c r="E148" s="160">
        <f t="shared" si="17"/>
        <v>0</v>
      </c>
      <c r="F148" s="159">
        <f t="shared" si="18"/>
        <v>0</v>
      </c>
      <c r="G148" s="159">
        <f t="shared" si="19"/>
        <v>0</v>
      </c>
      <c r="H148" s="163">
        <f t="shared" si="20"/>
        <v>0</v>
      </c>
      <c r="I148" s="253">
        <f t="shared" si="21"/>
        <v>0</v>
      </c>
      <c r="J148" s="158">
        <f t="shared" si="22"/>
        <v>0</v>
      </c>
      <c r="K148" s="158"/>
      <c r="L148" s="334"/>
      <c r="M148" s="158">
        <f t="shared" si="26"/>
        <v>0</v>
      </c>
      <c r="N148" s="334"/>
      <c r="O148" s="158">
        <f t="shared" si="27"/>
        <v>0</v>
      </c>
      <c r="P148" s="158">
        <f t="shared" si="28"/>
        <v>0</v>
      </c>
      <c r="Q148" s="1"/>
    </row>
    <row r="149" spans="2:17">
      <c r="B149" s="9" t="str">
        <f t="shared" si="16"/>
        <v/>
      </c>
      <c r="C149" s="153">
        <f>IF(D93="","-",+C148+1)</f>
        <v>2063</v>
      </c>
      <c r="D149" s="154">
        <f>IF(F148+SUM(E$99:E148)=D$92,F148,D$92-SUM(E$99:E148))</f>
        <v>0</v>
      </c>
      <c r="E149" s="160">
        <f t="shared" si="17"/>
        <v>0</v>
      </c>
      <c r="F149" s="159">
        <f t="shared" si="18"/>
        <v>0</v>
      </c>
      <c r="G149" s="159">
        <f t="shared" si="19"/>
        <v>0</v>
      </c>
      <c r="H149" s="163">
        <f t="shared" si="20"/>
        <v>0</v>
      </c>
      <c r="I149" s="253">
        <f t="shared" si="21"/>
        <v>0</v>
      </c>
      <c r="J149" s="158">
        <f t="shared" si="22"/>
        <v>0</v>
      </c>
      <c r="K149" s="158"/>
      <c r="L149" s="334"/>
      <c r="M149" s="158">
        <f t="shared" si="26"/>
        <v>0</v>
      </c>
      <c r="N149" s="334"/>
      <c r="O149" s="158">
        <f t="shared" si="27"/>
        <v>0</v>
      </c>
      <c r="P149" s="158">
        <f t="shared" si="28"/>
        <v>0</v>
      </c>
      <c r="Q149" s="1"/>
    </row>
    <row r="150" spans="2:17">
      <c r="B150" s="9" t="str">
        <f t="shared" si="16"/>
        <v/>
      </c>
      <c r="C150" s="153">
        <f>IF(D93="","-",+C149+1)</f>
        <v>2064</v>
      </c>
      <c r="D150" s="154">
        <f>IF(F149+SUM(E$99:E149)=D$92,F149,D$92-SUM(E$99:E149))</f>
        <v>0</v>
      </c>
      <c r="E150" s="160">
        <f t="shared" si="17"/>
        <v>0</v>
      </c>
      <c r="F150" s="159">
        <f t="shared" si="18"/>
        <v>0</v>
      </c>
      <c r="G150" s="159">
        <f t="shared" si="19"/>
        <v>0</v>
      </c>
      <c r="H150" s="163">
        <f t="shared" si="20"/>
        <v>0</v>
      </c>
      <c r="I150" s="253">
        <f t="shared" si="21"/>
        <v>0</v>
      </c>
      <c r="J150" s="158">
        <f t="shared" si="22"/>
        <v>0</v>
      </c>
      <c r="K150" s="158"/>
      <c r="L150" s="334"/>
      <c r="M150" s="158">
        <f t="shared" si="26"/>
        <v>0</v>
      </c>
      <c r="N150" s="334"/>
      <c r="O150" s="158">
        <f t="shared" si="27"/>
        <v>0</v>
      </c>
      <c r="P150" s="158">
        <f t="shared" si="28"/>
        <v>0</v>
      </c>
      <c r="Q150" s="1"/>
    </row>
    <row r="151" spans="2:17">
      <c r="B151" s="9" t="str">
        <f t="shared" si="16"/>
        <v/>
      </c>
      <c r="C151" s="153">
        <f>IF(D93="","-",+C150+1)</f>
        <v>2065</v>
      </c>
      <c r="D151" s="154">
        <f>IF(F150+SUM(E$99:E150)=D$92,F150,D$92-SUM(E$99:E150))</f>
        <v>0</v>
      </c>
      <c r="E151" s="160">
        <f t="shared" si="17"/>
        <v>0</v>
      </c>
      <c r="F151" s="159">
        <f t="shared" si="18"/>
        <v>0</v>
      </c>
      <c r="G151" s="159">
        <f t="shared" si="19"/>
        <v>0</v>
      </c>
      <c r="H151" s="163">
        <f t="shared" si="20"/>
        <v>0</v>
      </c>
      <c r="I151" s="253">
        <f t="shared" si="21"/>
        <v>0</v>
      </c>
      <c r="J151" s="158">
        <f t="shared" si="22"/>
        <v>0</v>
      </c>
      <c r="K151" s="158"/>
      <c r="L151" s="334"/>
      <c r="M151" s="158">
        <f t="shared" si="26"/>
        <v>0</v>
      </c>
      <c r="N151" s="334"/>
      <c r="O151" s="158">
        <f t="shared" si="27"/>
        <v>0</v>
      </c>
      <c r="P151" s="158">
        <f t="shared" si="28"/>
        <v>0</v>
      </c>
      <c r="Q151" s="1"/>
    </row>
    <row r="152" spans="2:17">
      <c r="B152" s="9" t="str">
        <f t="shared" si="16"/>
        <v/>
      </c>
      <c r="C152" s="153">
        <f>IF(D93="","-",+C151+1)</f>
        <v>2066</v>
      </c>
      <c r="D152" s="154">
        <f>IF(F151+SUM(E$99:E151)=D$92,F151,D$92-SUM(E$99:E151))</f>
        <v>0</v>
      </c>
      <c r="E152" s="160">
        <f t="shared" si="17"/>
        <v>0</v>
      </c>
      <c r="F152" s="159">
        <f t="shared" si="18"/>
        <v>0</v>
      </c>
      <c r="G152" s="159">
        <f t="shared" si="19"/>
        <v>0</v>
      </c>
      <c r="H152" s="163">
        <f t="shared" si="20"/>
        <v>0</v>
      </c>
      <c r="I152" s="253">
        <f t="shared" si="21"/>
        <v>0</v>
      </c>
      <c r="J152" s="158">
        <f t="shared" si="22"/>
        <v>0</v>
      </c>
      <c r="K152" s="158"/>
      <c r="L152" s="334"/>
      <c r="M152" s="158">
        <f t="shared" si="26"/>
        <v>0</v>
      </c>
      <c r="N152" s="334"/>
      <c r="O152" s="158">
        <f t="shared" si="27"/>
        <v>0</v>
      </c>
      <c r="P152" s="158">
        <f t="shared" si="28"/>
        <v>0</v>
      </c>
      <c r="Q152" s="1"/>
    </row>
    <row r="153" spans="2:17">
      <c r="B153" s="9" t="str">
        <f t="shared" si="16"/>
        <v/>
      </c>
      <c r="C153" s="153">
        <f>IF(D93="","-",+C152+1)</f>
        <v>2067</v>
      </c>
      <c r="D153" s="154">
        <f>IF(F152+SUM(E$99:E152)=D$92,F152,D$92-SUM(E$99:E152))</f>
        <v>0</v>
      </c>
      <c r="E153" s="160">
        <f t="shared" si="17"/>
        <v>0</v>
      </c>
      <c r="F153" s="159">
        <f t="shared" si="18"/>
        <v>0</v>
      </c>
      <c r="G153" s="159">
        <f t="shared" si="19"/>
        <v>0</v>
      </c>
      <c r="H153" s="163">
        <f t="shared" si="20"/>
        <v>0</v>
      </c>
      <c r="I153" s="253">
        <f t="shared" si="21"/>
        <v>0</v>
      </c>
      <c r="J153" s="158">
        <f t="shared" si="22"/>
        <v>0</v>
      </c>
      <c r="K153" s="158"/>
      <c r="L153" s="334"/>
      <c r="M153" s="158">
        <f t="shared" si="26"/>
        <v>0</v>
      </c>
      <c r="N153" s="334"/>
      <c r="O153" s="158">
        <f t="shared" si="27"/>
        <v>0</v>
      </c>
      <c r="P153" s="158">
        <f t="shared" si="28"/>
        <v>0</v>
      </c>
      <c r="Q153" s="1"/>
    </row>
    <row r="154" spans="2:17" ht="13.5" thickBot="1">
      <c r="B154" s="9" t="str">
        <f t="shared" si="16"/>
        <v/>
      </c>
      <c r="C154" s="164">
        <f>IF(D93="","-",+C153+1)</f>
        <v>2068</v>
      </c>
      <c r="D154" s="154">
        <f>IF(F153+SUM(E$99:E153)=D$92,F153,D$92-SUM(E$99:E153))</f>
        <v>0</v>
      </c>
      <c r="E154" s="160">
        <f t="shared" si="17"/>
        <v>0</v>
      </c>
      <c r="F154" s="159">
        <f t="shared" si="18"/>
        <v>0</v>
      </c>
      <c r="G154" s="159">
        <f t="shared" si="19"/>
        <v>0</v>
      </c>
      <c r="H154" s="163">
        <f t="shared" si="20"/>
        <v>0</v>
      </c>
      <c r="I154" s="253">
        <f t="shared" si="21"/>
        <v>0</v>
      </c>
      <c r="J154" s="158">
        <f t="shared" si="22"/>
        <v>0</v>
      </c>
      <c r="K154" s="158"/>
      <c r="L154" s="335"/>
      <c r="M154" s="169">
        <f t="shared" si="26"/>
        <v>0</v>
      </c>
      <c r="N154" s="335"/>
      <c r="O154" s="169">
        <f t="shared" si="27"/>
        <v>0</v>
      </c>
      <c r="P154" s="169">
        <f t="shared" si="28"/>
        <v>0</v>
      </c>
      <c r="Q154" s="1"/>
    </row>
    <row r="155" spans="2:17">
      <c r="C155" s="154" t="s">
        <v>73</v>
      </c>
      <c r="D155" s="111"/>
      <c r="E155" s="111">
        <f>SUM(E99:E154)</f>
        <v>6389739.0000000009</v>
      </c>
      <c r="F155" s="111"/>
      <c r="G155" s="111"/>
      <c r="H155" s="111">
        <f>SUM(H99:H154)</f>
        <v>22488778.800348338</v>
      </c>
      <c r="I155" s="111">
        <f>SUM(I99:I154)</f>
        <v>22488778.800348338</v>
      </c>
      <c r="J155" s="111">
        <f>SUM(J99:J154)</f>
        <v>0</v>
      </c>
      <c r="K155" s="111"/>
      <c r="L155" s="111"/>
      <c r="M155" s="111"/>
      <c r="N155" s="111"/>
      <c r="O155" s="111"/>
      <c r="P155" s="1"/>
      <c r="Q155" s="1"/>
    </row>
    <row r="156" spans="2:17">
      <c r="C156" t="s">
        <v>87</v>
      </c>
      <c r="D156" s="2"/>
      <c r="E156" s="1"/>
      <c r="F156" s="1"/>
      <c r="G156" s="1"/>
      <c r="H156" s="1"/>
      <c r="I156" s="3"/>
      <c r="J156" s="3"/>
      <c r="K156" s="111"/>
      <c r="L156" s="3"/>
      <c r="M156" s="3"/>
      <c r="N156" s="3"/>
      <c r="O156" s="3"/>
      <c r="P156" s="1"/>
      <c r="Q156" s="1"/>
    </row>
    <row r="157" spans="2:17">
      <c r="C157" s="216"/>
      <c r="D157" s="2"/>
      <c r="E157" s="1"/>
      <c r="F157" s="1"/>
      <c r="G157" s="1"/>
      <c r="H157" s="1"/>
      <c r="I157" s="3"/>
      <c r="J157" s="3"/>
      <c r="K157" s="111"/>
      <c r="L157" s="3"/>
      <c r="M157" s="3"/>
      <c r="N157" s="3"/>
      <c r="O157" s="3"/>
      <c r="P157" s="1"/>
      <c r="Q157" s="1"/>
    </row>
    <row r="158" spans="2:17">
      <c r="C158" s="248" t="s">
        <v>127</v>
      </c>
      <c r="D158" s="2"/>
      <c r="E158" s="1"/>
      <c r="F158" s="1"/>
      <c r="G158" s="1"/>
      <c r="H158" s="1"/>
      <c r="I158" s="3"/>
      <c r="J158" s="3"/>
      <c r="K158" s="111"/>
      <c r="L158" s="3"/>
      <c r="M158" s="3"/>
      <c r="N158" s="3"/>
      <c r="O158" s="3"/>
      <c r="P158" s="1"/>
      <c r="Q158" s="1"/>
    </row>
    <row r="159" spans="2:17">
      <c r="C159" s="121" t="s">
        <v>74</v>
      </c>
      <c r="D159" s="154"/>
      <c r="E159" s="154"/>
      <c r="F159" s="154"/>
      <c r="G159" s="154"/>
      <c r="H159" s="111"/>
      <c r="I159" s="111"/>
      <c r="J159" s="171"/>
      <c r="K159" s="171"/>
      <c r="L159" s="171"/>
      <c r="M159" s="171"/>
      <c r="N159" s="171"/>
      <c r="O159" s="171"/>
      <c r="P159" s="1"/>
      <c r="Q159" s="1"/>
    </row>
    <row r="160" spans="2:17">
      <c r="C160" s="217" t="s">
        <v>75</v>
      </c>
      <c r="D160" s="154"/>
      <c r="E160" s="154"/>
      <c r="F160" s="154"/>
      <c r="G160" s="154"/>
      <c r="H160" s="111"/>
      <c r="I160" s="111"/>
      <c r="J160" s="171"/>
      <c r="K160" s="171"/>
      <c r="L160" s="171"/>
      <c r="M160" s="171"/>
      <c r="N160" s="171"/>
      <c r="O160" s="171"/>
      <c r="P160" s="1"/>
      <c r="Q160" s="1"/>
    </row>
    <row r="161" spans="3:17">
      <c r="C161" s="217"/>
      <c r="D161" s="154"/>
      <c r="E161" s="154"/>
      <c r="F161" s="154"/>
      <c r="G161" s="154"/>
      <c r="H161" s="111"/>
      <c r="I161" s="111"/>
      <c r="J161" s="171"/>
      <c r="K161" s="171"/>
      <c r="L161" s="171"/>
      <c r="M161" s="171"/>
      <c r="N161" s="171"/>
      <c r="O161" s="171"/>
      <c r="P161" s="1"/>
      <c r="Q161" s="1"/>
    </row>
    <row r="162" spans="3:17" ht="18">
      <c r="C162" s="217"/>
      <c r="D162" s="154"/>
      <c r="E162" s="154"/>
      <c r="F162" s="154"/>
      <c r="G162" s="154"/>
      <c r="H162" s="111"/>
      <c r="I162" s="111"/>
      <c r="J162" s="171"/>
      <c r="K162" s="171"/>
      <c r="L162" s="171"/>
      <c r="M162" s="171"/>
      <c r="N162" s="171"/>
      <c r="P162" s="245" t="s">
        <v>126</v>
      </c>
      <c r="Q162" s="1"/>
    </row>
  </sheetData>
  <conditionalFormatting sqref="C17:C72">
    <cfRule type="cellIs" dxfId="92" priority="1" stopIfTrue="1" operator="equal">
      <formula>$I$10</formula>
    </cfRule>
  </conditionalFormatting>
  <conditionalFormatting sqref="C99:C154">
    <cfRule type="cellIs" dxfId="91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A1:Q162"/>
  <sheetViews>
    <sheetView view="pageBreakPreview" zoomScale="82" zoomScaleNormal="100" zoomScaleSheetLayoutView="82" workbookViewId="0">
      <selection activeCell="C19" sqref="C19"/>
    </sheetView>
  </sheetViews>
  <sheetFormatPr defaultRowHeight="12.75" customHeight="1"/>
  <cols>
    <col min="1" max="1" width="4.7109375" customWidth="1"/>
    <col min="2" max="2" width="6.7109375" customWidth="1"/>
    <col min="3" max="3" width="23.28515625" customWidth="1"/>
    <col min="4" max="8" width="17.7109375" customWidth="1"/>
    <col min="9" max="9" width="20.42578125" customWidth="1"/>
    <col min="10" max="10" width="16.42578125" customWidth="1"/>
    <col min="11" max="11" width="17.7109375" customWidth="1"/>
    <col min="12" max="12" width="16.140625" customWidth="1"/>
    <col min="13" max="13" width="17.7109375" customWidth="1"/>
    <col min="14" max="14" width="16.140625" customWidth="1"/>
    <col min="15" max="15" width="16.85546875" customWidth="1"/>
    <col min="16" max="16" width="24.42578125" customWidth="1"/>
    <col min="17" max="17" width="4.7109375" customWidth="1"/>
    <col min="23" max="23" width="9.140625" customWidth="1"/>
  </cols>
  <sheetData>
    <row r="1" spans="1:17" ht="20.25">
      <c r="A1" s="243" t="s">
        <v>128</v>
      </c>
      <c r="B1" s="1"/>
      <c r="C1" s="21"/>
      <c r="D1" s="2"/>
      <c r="E1" s="1"/>
      <c r="F1" s="99"/>
      <c r="G1" s="1"/>
      <c r="H1" s="3"/>
      <c r="J1" s="7"/>
      <c r="K1" s="109"/>
      <c r="L1" s="109"/>
      <c r="M1" s="109"/>
      <c r="P1" s="249" t="str">
        <f ca="1">"SWEPCO Project "&amp;RIGHT(MID(CELL("filename",$A$1),FIND("]",CELL("filename",$A$1))+1,256),1)&amp;" of "&amp;COUNT('S.001:S.xyz - blank'!$P$3)-1</f>
        <v>SWEPCO Project 1 of 73</v>
      </c>
      <c r="Q1" s="108"/>
    </row>
    <row r="2" spans="1:17" ht="18">
      <c r="B2" s="1"/>
      <c r="C2" s="1"/>
      <c r="D2" s="2"/>
      <c r="E2" s="1"/>
      <c r="F2" s="1"/>
      <c r="G2" s="1"/>
      <c r="H2" s="3"/>
      <c r="I2" s="1"/>
      <c r="J2" s="4"/>
      <c r="K2" s="1"/>
      <c r="L2" s="1"/>
      <c r="M2" s="1"/>
      <c r="N2" s="1"/>
      <c r="P2" s="237" t="s">
        <v>124</v>
      </c>
    </row>
    <row r="3" spans="1:17" ht="18.75">
      <c r="B3" s="5" t="s">
        <v>40</v>
      </c>
      <c r="C3" s="68" t="s">
        <v>41</v>
      </c>
      <c r="D3" s="2"/>
      <c r="E3" s="1"/>
      <c r="F3" s="1"/>
      <c r="G3" s="1"/>
      <c r="H3" s="3"/>
      <c r="I3" s="3"/>
      <c r="J3" s="111"/>
      <c r="K3" s="3"/>
      <c r="L3" s="3"/>
      <c r="M3" s="3"/>
      <c r="N3" s="3"/>
      <c r="O3" s="1" t="str">
        <f>RIGHT(N3,3)</f>
        <v/>
      </c>
      <c r="P3" s="239">
        <v>1</v>
      </c>
    </row>
    <row r="4" spans="1:17" ht="15.75" thickBot="1">
      <c r="C4" s="67"/>
      <c r="D4" s="2"/>
      <c r="E4" s="1"/>
      <c r="F4" s="1"/>
      <c r="G4" s="1"/>
      <c r="H4" s="3"/>
      <c r="I4" s="3"/>
      <c r="J4" s="111"/>
      <c r="K4" s="3"/>
      <c r="L4" s="3"/>
      <c r="M4" s="3"/>
      <c r="N4" s="3"/>
      <c r="O4" s="1"/>
      <c r="P4" s="1"/>
    </row>
    <row r="5" spans="1:17" ht="15">
      <c r="C5" s="112" t="s">
        <v>42</v>
      </c>
      <c r="D5" s="2"/>
      <c r="E5" s="1"/>
      <c r="F5" s="1"/>
      <c r="G5" s="113"/>
      <c r="H5" s="1" t="s">
        <v>43</v>
      </c>
      <c r="I5" s="1"/>
      <c r="J5" s="4"/>
      <c r="K5" s="268" t="s">
        <v>152</v>
      </c>
      <c r="L5" s="114"/>
      <c r="M5" s="115"/>
      <c r="N5" s="116">
        <f>VLOOKUP(I10,C17:I72,5)</f>
        <v>1767151.5501136736</v>
      </c>
      <c r="P5" s="1"/>
    </row>
    <row r="6" spans="1:17" ht="15.75">
      <c r="C6" s="8"/>
      <c r="D6" s="2"/>
      <c r="E6" s="1"/>
      <c r="F6" s="1"/>
      <c r="G6" s="1"/>
      <c r="H6" s="117"/>
      <c r="I6" s="117"/>
      <c r="J6" s="118"/>
      <c r="K6" s="269" t="s">
        <v>153</v>
      </c>
      <c r="L6" s="119"/>
      <c r="M6" s="4"/>
      <c r="N6" s="120">
        <f>VLOOKUP(I10,C17:I72,6)</f>
        <v>1767151.5501136736</v>
      </c>
      <c r="O6" s="1"/>
      <c r="P6" s="1"/>
    </row>
    <row r="7" spans="1:17" ht="13.5" thickBot="1">
      <c r="C7" s="121" t="s">
        <v>44</v>
      </c>
      <c r="D7" s="273" t="s">
        <v>217</v>
      </c>
      <c r="E7" s="1"/>
      <c r="F7" s="1"/>
      <c r="G7" s="1"/>
      <c r="H7" s="3"/>
      <c r="I7" s="3"/>
      <c r="J7" s="111"/>
      <c r="K7" s="122" t="s">
        <v>45</v>
      </c>
      <c r="L7" s="123"/>
      <c r="M7" s="123"/>
      <c r="N7" s="124">
        <f>+N6-N5</f>
        <v>0</v>
      </c>
      <c r="O7" s="1"/>
      <c r="P7" s="1"/>
    </row>
    <row r="8" spans="1:17" ht="13.5" thickBot="1">
      <c r="C8" s="125"/>
      <c r="D8" s="247" t="str">
        <f>IF(D10&lt;100000,"DOES NOT MEET SPP $100,000 MINIMUM INVESTMENT FOR REGIONAL BPU SHARING.","")</f>
        <v/>
      </c>
      <c r="E8" s="126"/>
      <c r="F8" s="126"/>
      <c r="G8" s="126"/>
      <c r="H8" s="126"/>
      <c r="I8" s="126"/>
      <c r="J8" s="101"/>
      <c r="K8" s="126"/>
      <c r="L8" s="126"/>
      <c r="M8" s="126"/>
      <c r="N8" s="126"/>
      <c r="O8" s="101"/>
      <c r="P8" s="21"/>
    </row>
    <row r="9" spans="1:17" ht="13.5" thickBot="1">
      <c r="A9" s="103"/>
      <c r="C9" s="127" t="s">
        <v>46</v>
      </c>
      <c r="D9" s="225" t="s">
        <v>135</v>
      </c>
      <c r="E9" s="401" t="s">
        <v>395</v>
      </c>
      <c r="F9" s="128"/>
      <c r="G9" s="128"/>
      <c r="H9" s="128"/>
      <c r="I9" s="129"/>
      <c r="J9" s="130"/>
      <c r="O9" s="131"/>
      <c r="P9" s="4"/>
    </row>
    <row r="10" spans="1:17">
      <c r="C10" s="132" t="s">
        <v>47</v>
      </c>
      <c r="D10" s="133">
        <v>17671482</v>
      </c>
      <c r="E10" s="61" t="s">
        <v>459</v>
      </c>
      <c r="F10" s="131"/>
      <c r="G10" s="134"/>
      <c r="H10" s="134"/>
      <c r="I10" s="135">
        <f>+SWE.WS.F.BPU.ATRR.Projected!K17</f>
        <v>2019</v>
      </c>
      <c r="J10" s="130"/>
      <c r="K10" s="111" t="s">
        <v>48</v>
      </c>
      <c r="O10" s="4"/>
      <c r="P10" s="4"/>
    </row>
    <row r="11" spans="1:17">
      <c r="C11" s="136" t="s">
        <v>49</v>
      </c>
      <c r="D11" s="137">
        <v>2009</v>
      </c>
      <c r="E11" s="136" t="s">
        <v>50</v>
      </c>
      <c r="F11" s="134"/>
      <c r="G11" s="7"/>
      <c r="H11" s="7"/>
      <c r="I11" s="138">
        <v>0</v>
      </c>
      <c r="J11" s="139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4"/>
      <c r="P11" s="4"/>
    </row>
    <row r="12" spans="1:17">
      <c r="C12" s="136" t="s">
        <v>51</v>
      </c>
      <c r="D12" s="133">
        <v>12</v>
      </c>
      <c r="E12" s="136" t="s">
        <v>52</v>
      </c>
      <c r="F12" s="134"/>
      <c r="G12" s="7"/>
      <c r="H12" s="7"/>
      <c r="I12" s="140">
        <f>SWE.WS.F.BPU.ATRR.Projected!$F$76</f>
        <v>9.9555672459071778E-2</v>
      </c>
      <c r="J12" s="141"/>
      <c r="K12" t="s">
        <v>53</v>
      </c>
      <c r="O12" s="4"/>
      <c r="P12" s="4"/>
    </row>
    <row r="13" spans="1:17">
      <c r="C13" s="136" t="s">
        <v>54</v>
      </c>
      <c r="D13" s="138">
        <f>+SWE.WS.F.BPU.ATRR.Projected!F$87</f>
        <v>43</v>
      </c>
      <c r="E13" s="136" t="s">
        <v>55</v>
      </c>
      <c r="F13" s="134"/>
      <c r="G13" s="7"/>
      <c r="H13" s="7"/>
      <c r="I13" s="140">
        <f>IF(G5="",I12,SWE.WS.F.BPU.ATRR.Projected!$F$75)</f>
        <v>9.9555672459071778E-2</v>
      </c>
      <c r="J13" s="141"/>
      <c r="K13" s="111" t="s">
        <v>56</v>
      </c>
      <c r="L13" s="58"/>
      <c r="M13" s="58"/>
      <c r="N13" s="58"/>
      <c r="O13" s="4"/>
      <c r="P13" s="4"/>
    </row>
    <row r="14" spans="1:17" ht="13.5" thickBot="1">
      <c r="C14" s="136" t="s">
        <v>57</v>
      </c>
      <c r="D14" s="137" t="s">
        <v>58</v>
      </c>
      <c r="E14" s="4" t="s">
        <v>59</v>
      </c>
      <c r="F14" s="134"/>
      <c r="G14" s="7"/>
      <c r="H14" s="7"/>
      <c r="I14" s="142">
        <f>IF(D10=0,0,D10/D13)</f>
        <v>410964.69767441862</v>
      </c>
      <c r="J14" s="111"/>
      <c r="K14" s="111"/>
      <c r="L14" s="111"/>
      <c r="M14" s="111"/>
      <c r="N14" s="111"/>
      <c r="O14" s="4"/>
      <c r="P14" s="4"/>
    </row>
    <row r="15" spans="1:17" ht="38.25">
      <c r="C15" s="143" t="s">
        <v>47</v>
      </c>
      <c r="D15" s="144" t="s">
        <v>60</v>
      </c>
      <c r="E15" s="144" t="s">
        <v>61</v>
      </c>
      <c r="F15" s="144" t="s">
        <v>62</v>
      </c>
      <c r="G15" s="434" t="s">
        <v>378</v>
      </c>
      <c r="H15" s="435" t="s">
        <v>379</v>
      </c>
      <c r="I15" s="351" t="s">
        <v>249</v>
      </c>
      <c r="J15" s="145"/>
      <c r="K15" s="271" t="s">
        <v>219</v>
      </c>
      <c r="L15" s="146" t="s">
        <v>64</v>
      </c>
      <c r="M15" s="271" t="s">
        <v>219</v>
      </c>
      <c r="N15" s="146" t="s">
        <v>64</v>
      </c>
      <c r="O15" s="146" t="s">
        <v>65</v>
      </c>
      <c r="P15" s="4"/>
    </row>
    <row r="16" spans="1:17" ht="13.5" thickBot="1">
      <c r="C16" s="147" t="s">
        <v>66</v>
      </c>
      <c r="D16" s="147" t="s">
        <v>67</v>
      </c>
      <c r="E16" s="147" t="s">
        <v>68</v>
      </c>
      <c r="F16" s="147" t="s">
        <v>67</v>
      </c>
      <c r="G16" s="408" t="s">
        <v>69</v>
      </c>
      <c r="H16" s="148" t="s">
        <v>70</v>
      </c>
      <c r="I16" s="149" t="s">
        <v>89</v>
      </c>
      <c r="J16" s="150" t="s">
        <v>71</v>
      </c>
      <c r="K16" s="151" t="s">
        <v>72</v>
      </c>
      <c r="L16" s="151" t="s">
        <v>72</v>
      </c>
      <c r="M16" s="151" t="s">
        <v>90</v>
      </c>
      <c r="N16" s="152" t="s">
        <v>90</v>
      </c>
      <c r="O16" s="151" t="s">
        <v>90</v>
      </c>
      <c r="P16" s="4"/>
    </row>
    <row r="17" spans="2:16">
      <c r="C17" s="153">
        <f>IF(D11= "","-",D11)</f>
        <v>2009</v>
      </c>
      <c r="D17" s="357">
        <v>9057179</v>
      </c>
      <c r="E17" s="358">
        <v>0</v>
      </c>
      <c r="F17" s="357">
        <v>9057179</v>
      </c>
      <c r="G17" s="358">
        <v>115677</v>
      </c>
      <c r="H17" s="359">
        <v>115677</v>
      </c>
      <c r="I17" s="156">
        <f t="shared" ref="I17:I48" si="0">H17-G17</f>
        <v>0</v>
      </c>
      <c r="J17" s="156"/>
      <c r="K17" s="256">
        <v>115677</v>
      </c>
      <c r="L17" s="157">
        <f t="shared" ref="L17:L48" si="1">IF(K17&lt;&gt;0,+G17-K17,0)</f>
        <v>0</v>
      </c>
      <c r="M17" s="256">
        <v>115677</v>
      </c>
      <c r="N17" s="157">
        <f t="shared" ref="N17:N48" si="2">IF(M17&lt;&gt;0,+H17-M17,0)</f>
        <v>0</v>
      </c>
      <c r="O17" s="158">
        <f t="shared" ref="O17:O48" si="3">+N17-L17</f>
        <v>0</v>
      </c>
      <c r="P17" s="4"/>
    </row>
    <row r="18" spans="2:16">
      <c r="B18" s="9" t="str">
        <f>IF(D18=F17,"","IU")</f>
        <v>IU</v>
      </c>
      <c r="C18" s="153">
        <f>IF(D11="","-",+C17+1)</f>
        <v>2010</v>
      </c>
      <c r="D18" s="361">
        <v>17740954</v>
      </c>
      <c r="E18" s="360">
        <v>466867</v>
      </c>
      <c r="F18" s="361">
        <v>17274087</v>
      </c>
      <c r="G18" s="360">
        <v>2950276</v>
      </c>
      <c r="H18" s="359">
        <v>2950276</v>
      </c>
      <c r="I18" s="368">
        <v>0</v>
      </c>
      <c r="J18" s="156"/>
      <c r="K18" s="258">
        <f t="shared" ref="K18:K23" si="4">G18</f>
        <v>2950276</v>
      </c>
      <c r="L18" s="257">
        <f t="shared" si="1"/>
        <v>0</v>
      </c>
      <c r="M18" s="258">
        <f t="shared" ref="M18:M23" si="5">H18</f>
        <v>2950276</v>
      </c>
      <c r="N18" s="158">
        <f t="shared" si="2"/>
        <v>0</v>
      </c>
      <c r="O18" s="158">
        <f t="shared" si="3"/>
        <v>0</v>
      </c>
      <c r="P18" s="4"/>
    </row>
    <row r="19" spans="2:16">
      <c r="B19" s="9" t="str">
        <f>IF(D19=F18,"","IU")</f>
        <v>IU</v>
      </c>
      <c r="C19" s="153">
        <f>IF(D11="","-",+C18+1)</f>
        <v>2011</v>
      </c>
      <c r="D19" s="361">
        <v>17204615</v>
      </c>
      <c r="E19" s="360">
        <v>431011.75609756098</v>
      </c>
      <c r="F19" s="361">
        <v>16773603.243902439</v>
      </c>
      <c r="G19" s="360">
        <v>3050917.4869010281</v>
      </c>
      <c r="H19" s="359">
        <v>3050917.4869010281</v>
      </c>
      <c r="I19" s="368">
        <v>0</v>
      </c>
      <c r="J19" s="156"/>
      <c r="K19" s="258">
        <f t="shared" si="4"/>
        <v>3050917.4869010281</v>
      </c>
      <c r="L19" s="257">
        <f t="shared" si="1"/>
        <v>0</v>
      </c>
      <c r="M19" s="258">
        <f t="shared" si="5"/>
        <v>3050917.4869010281</v>
      </c>
      <c r="N19" s="158">
        <f t="shared" si="2"/>
        <v>0</v>
      </c>
      <c r="O19" s="158">
        <f t="shared" si="3"/>
        <v>0</v>
      </c>
      <c r="P19" s="4"/>
    </row>
    <row r="20" spans="2:16">
      <c r="B20" s="9" t="str">
        <f t="shared" ref="B20:B72" si="6">IF(D20=F19,"","IU")</f>
        <v/>
      </c>
      <c r="C20" s="153">
        <f>IF(D11="","-",+C19+1)</f>
        <v>2012</v>
      </c>
      <c r="D20" s="361">
        <v>16773603.243902439</v>
      </c>
      <c r="E20" s="377">
        <v>420749.57142857142</v>
      </c>
      <c r="F20" s="361">
        <v>16352853.672473868</v>
      </c>
      <c r="G20" s="360">
        <v>2852748.2601002851</v>
      </c>
      <c r="H20" s="359">
        <v>2852748.2601002851</v>
      </c>
      <c r="I20" s="368">
        <v>0</v>
      </c>
      <c r="J20" s="156"/>
      <c r="K20" s="258">
        <f t="shared" si="4"/>
        <v>2852748.2601002851</v>
      </c>
      <c r="L20" s="257">
        <f t="shared" si="1"/>
        <v>0</v>
      </c>
      <c r="M20" s="258">
        <f t="shared" si="5"/>
        <v>2852748.2601002851</v>
      </c>
      <c r="N20" s="158">
        <f t="shared" si="2"/>
        <v>0</v>
      </c>
      <c r="O20" s="158">
        <f t="shared" si="3"/>
        <v>0</v>
      </c>
      <c r="P20" s="4"/>
    </row>
    <row r="21" spans="2:16">
      <c r="B21" s="9" t="str">
        <f t="shared" si="6"/>
        <v/>
      </c>
      <c r="C21" s="153">
        <f>IF(D12="","-",+C20+1)</f>
        <v>2013</v>
      </c>
      <c r="D21" s="361">
        <v>16352853.672473868</v>
      </c>
      <c r="E21" s="377">
        <v>420749.57142857142</v>
      </c>
      <c r="F21" s="361">
        <v>15932104.101045297</v>
      </c>
      <c r="G21" s="360">
        <v>2651038.335861824</v>
      </c>
      <c r="H21" s="359">
        <v>2651038.335861824</v>
      </c>
      <c r="I21" s="156">
        <v>0</v>
      </c>
      <c r="J21" s="156"/>
      <c r="K21" s="258">
        <f t="shared" si="4"/>
        <v>2651038.335861824</v>
      </c>
      <c r="L21" s="257">
        <f t="shared" ref="L21:L26" si="7">IF(K21&lt;&gt;0,+G21-K21,0)</f>
        <v>0</v>
      </c>
      <c r="M21" s="258">
        <f t="shared" si="5"/>
        <v>2651038.335861824</v>
      </c>
      <c r="N21" s="158">
        <f t="shared" ref="N21:N26" si="8">IF(M21&lt;&gt;0,+H21-M21,0)</f>
        <v>0</v>
      </c>
      <c r="O21" s="158">
        <f t="shared" ref="O21:O26" si="9">+N21-L21</f>
        <v>0</v>
      </c>
      <c r="P21" s="4"/>
    </row>
    <row r="22" spans="2:16">
      <c r="B22" s="9" t="str">
        <f t="shared" si="6"/>
        <v/>
      </c>
      <c r="C22" s="153">
        <f>IF(D11="","-",+C21+1)</f>
        <v>2014</v>
      </c>
      <c r="D22" s="361">
        <v>15932104.101045297</v>
      </c>
      <c r="E22" s="377">
        <v>420749.57142857142</v>
      </c>
      <c r="F22" s="361">
        <v>15511354.529616727</v>
      </c>
      <c r="G22" s="360">
        <v>2513394.2946650204</v>
      </c>
      <c r="H22" s="359">
        <v>2513394.2946650204</v>
      </c>
      <c r="I22" s="156">
        <v>0</v>
      </c>
      <c r="J22" s="156"/>
      <c r="K22" s="258">
        <f t="shared" si="4"/>
        <v>2513394.2946650204</v>
      </c>
      <c r="L22" s="257">
        <f t="shared" si="7"/>
        <v>0</v>
      </c>
      <c r="M22" s="258">
        <f t="shared" si="5"/>
        <v>2513394.2946650204</v>
      </c>
      <c r="N22" s="158">
        <f t="shared" si="8"/>
        <v>0</v>
      </c>
      <c r="O22" s="158">
        <f t="shared" si="9"/>
        <v>0</v>
      </c>
      <c r="P22" s="4"/>
    </row>
    <row r="23" spans="2:16">
      <c r="B23" s="9" t="str">
        <f t="shared" si="6"/>
        <v/>
      </c>
      <c r="C23" s="153">
        <f>IF(D11="","-",+C22+1)</f>
        <v>2015</v>
      </c>
      <c r="D23" s="361">
        <v>15511354.529616727</v>
      </c>
      <c r="E23" s="377">
        <v>420749.57142857142</v>
      </c>
      <c r="F23" s="361">
        <v>15090604.958188156</v>
      </c>
      <c r="G23" s="360">
        <v>2408254.6940407706</v>
      </c>
      <c r="H23" s="359">
        <v>2408254.6940407706</v>
      </c>
      <c r="I23" s="156">
        <v>0</v>
      </c>
      <c r="J23" s="156"/>
      <c r="K23" s="258">
        <f t="shared" si="4"/>
        <v>2408254.6940407706</v>
      </c>
      <c r="L23" s="257">
        <f t="shared" si="7"/>
        <v>0</v>
      </c>
      <c r="M23" s="258">
        <f t="shared" si="5"/>
        <v>2408254.6940407706</v>
      </c>
      <c r="N23" s="158">
        <f t="shared" si="8"/>
        <v>0</v>
      </c>
      <c r="O23" s="158">
        <f t="shared" si="9"/>
        <v>0</v>
      </c>
      <c r="P23" s="4"/>
    </row>
    <row r="24" spans="2:16">
      <c r="B24" s="9" t="str">
        <f t="shared" si="6"/>
        <v/>
      </c>
      <c r="C24" s="153">
        <f>IF(D11="","-",+C23+1)</f>
        <v>2016</v>
      </c>
      <c r="D24" s="361">
        <v>15090604.958188156</v>
      </c>
      <c r="E24" s="377">
        <v>420749.57142857142</v>
      </c>
      <c r="F24" s="361">
        <v>14669855.386759585</v>
      </c>
      <c r="G24" s="360">
        <v>2329003.9936694037</v>
      </c>
      <c r="H24" s="359">
        <v>2329003.9936694037</v>
      </c>
      <c r="I24" s="156">
        <f t="shared" si="0"/>
        <v>0</v>
      </c>
      <c r="J24" s="156"/>
      <c r="K24" s="258">
        <f>G24</f>
        <v>2329003.9936694037</v>
      </c>
      <c r="L24" s="257">
        <f t="shared" si="7"/>
        <v>0</v>
      </c>
      <c r="M24" s="258">
        <f>H24</f>
        <v>2329003.9936694037</v>
      </c>
      <c r="N24" s="158">
        <f t="shared" si="8"/>
        <v>0</v>
      </c>
      <c r="O24" s="158">
        <f t="shared" si="9"/>
        <v>0</v>
      </c>
      <c r="P24" s="4"/>
    </row>
    <row r="25" spans="2:16">
      <c r="B25" s="9" t="str">
        <f t="shared" si="6"/>
        <v/>
      </c>
      <c r="C25" s="153">
        <f>IF(D11="","-",+C24+1)</f>
        <v>2017</v>
      </c>
      <c r="D25" s="361">
        <v>14669855.386759585</v>
      </c>
      <c r="E25" s="377">
        <v>410964.69767441862</v>
      </c>
      <c r="F25" s="361">
        <v>14258890.689085167</v>
      </c>
      <c r="G25" s="360">
        <v>2202992.5205155816</v>
      </c>
      <c r="H25" s="359">
        <v>2202992.5205155816</v>
      </c>
      <c r="I25" s="156">
        <f t="shared" si="0"/>
        <v>0</v>
      </c>
      <c r="J25" s="156"/>
      <c r="K25" s="258">
        <f>G25</f>
        <v>2202992.5205155816</v>
      </c>
      <c r="L25" s="257">
        <f t="shared" si="7"/>
        <v>0</v>
      </c>
      <c r="M25" s="258">
        <f>H25</f>
        <v>2202992.5205155816</v>
      </c>
      <c r="N25" s="158">
        <f t="shared" si="8"/>
        <v>0</v>
      </c>
      <c r="O25" s="158">
        <f t="shared" si="9"/>
        <v>0</v>
      </c>
      <c r="P25" s="4"/>
    </row>
    <row r="26" spans="2:16">
      <c r="B26" s="9" t="str">
        <f t="shared" si="6"/>
        <v/>
      </c>
      <c r="C26" s="153">
        <f>IF(D11="","-",+C25+1)</f>
        <v>2018</v>
      </c>
      <c r="D26" s="361">
        <v>14258890.689085167</v>
      </c>
      <c r="E26" s="377">
        <v>431011.75609756098</v>
      </c>
      <c r="F26" s="361">
        <v>13827878.932987606</v>
      </c>
      <c r="G26" s="360">
        <v>2002244.77194965</v>
      </c>
      <c r="H26" s="359">
        <v>2002244.77194965</v>
      </c>
      <c r="I26" s="156">
        <f t="shared" si="0"/>
        <v>0</v>
      </c>
      <c r="J26" s="156"/>
      <c r="K26" s="258">
        <f>G26</f>
        <v>2002244.77194965</v>
      </c>
      <c r="L26" s="257">
        <f t="shared" si="7"/>
        <v>0</v>
      </c>
      <c r="M26" s="258">
        <f>H26</f>
        <v>2002244.77194965</v>
      </c>
      <c r="N26" s="158">
        <f t="shared" si="8"/>
        <v>0</v>
      </c>
      <c r="O26" s="158">
        <f t="shared" si="9"/>
        <v>0</v>
      </c>
      <c r="P26" s="4"/>
    </row>
    <row r="27" spans="2:16">
      <c r="B27" s="9" t="str">
        <f t="shared" si="6"/>
        <v/>
      </c>
      <c r="C27" s="153">
        <f>IF(D11="","-",+C26+1)</f>
        <v>2019</v>
      </c>
      <c r="D27" s="162">
        <f>IF(F26+SUM(E$17:E26)=D$10,F26,D$10-SUM(E$17:E26))</f>
        <v>13827878.932987606</v>
      </c>
      <c r="E27" s="160">
        <f>IF(+I14&lt;F26,I14,D27)</f>
        <v>410964.69767441862</v>
      </c>
      <c r="F27" s="159">
        <f t="shared" ref="F27:F48" si="10">+D27-E27</f>
        <v>13416914.235313188</v>
      </c>
      <c r="G27" s="161">
        <f>+I$12*((D27+F27)/2)+E27</f>
        <v>1767151.5501136736</v>
      </c>
      <c r="H27" s="142">
        <f>+I$13*((D27+F27)/2)+E27</f>
        <v>1767151.5501136736</v>
      </c>
      <c r="I27" s="156">
        <f t="shared" si="0"/>
        <v>0</v>
      </c>
      <c r="J27" s="156"/>
      <c r="K27" s="334"/>
      <c r="L27" s="158">
        <f t="shared" si="1"/>
        <v>0</v>
      </c>
      <c r="M27" s="334"/>
      <c r="N27" s="158">
        <f t="shared" si="2"/>
        <v>0</v>
      </c>
      <c r="O27" s="158">
        <f t="shared" si="3"/>
        <v>0</v>
      </c>
      <c r="P27" s="4"/>
    </row>
    <row r="28" spans="2:16">
      <c r="B28" s="9" t="str">
        <f t="shared" si="6"/>
        <v/>
      </c>
      <c r="C28" s="153">
        <f>IF(D11="","-",+C27+1)</f>
        <v>2020</v>
      </c>
      <c r="D28" s="159">
        <f>IF(F27+SUM(E$17:E27)=D$10,F27,D$10-SUM(E$17:E27))</f>
        <v>13416914.235313188</v>
      </c>
      <c r="E28" s="160">
        <f>IF(+I14&lt;F27,I14,D28)</f>
        <v>410964.69767441862</v>
      </c>
      <c r="F28" s="159">
        <f t="shared" si="10"/>
        <v>13005949.53763877</v>
      </c>
      <c r="G28" s="161">
        <f t="shared" ref="G28:G72" si="11">+I$12*((D28+F28)/2)+E28</f>
        <v>1726237.6832797581</v>
      </c>
      <c r="H28" s="142">
        <f t="shared" ref="H28:H72" si="12">+I$13*((D28+F28)/2)+E28</f>
        <v>1726237.6832797581</v>
      </c>
      <c r="I28" s="156">
        <f t="shared" si="0"/>
        <v>0</v>
      </c>
      <c r="J28" s="156"/>
      <c r="K28" s="334"/>
      <c r="L28" s="158">
        <f t="shared" si="1"/>
        <v>0</v>
      </c>
      <c r="M28" s="334"/>
      <c r="N28" s="158">
        <f t="shared" si="2"/>
        <v>0</v>
      </c>
      <c r="O28" s="158">
        <f t="shared" si="3"/>
        <v>0</v>
      </c>
      <c r="P28" s="4"/>
    </row>
    <row r="29" spans="2:16">
      <c r="B29" s="9" t="str">
        <f t="shared" si="6"/>
        <v/>
      </c>
      <c r="C29" s="153">
        <f>IF(D11="","-",+C28+1)</f>
        <v>2021</v>
      </c>
      <c r="D29" s="159">
        <f>IF(F28+SUM(E$17:E28)=D$10,F28,D$10-SUM(E$17:E28))</f>
        <v>13005949.53763877</v>
      </c>
      <c r="E29" s="160">
        <f>IF(+I14&lt;F28,I14,D29)</f>
        <v>410964.69767441862</v>
      </c>
      <c r="F29" s="159">
        <f t="shared" si="10"/>
        <v>12594984.839964353</v>
      </c>
      <c r="G29" s="161">
        <f t="shared" si="11"/>
        <v>1685323.8164458422</v>
      </c>
      <c r="H29" s="142">
        <f t="shared" si="12"/>
        <v>1685323.8164458422</v>
      </c>
      <c r="I29" s="156">
        <f t="shared" si="0"/>
        <v>0</v>
      </c>
      <c r="J29" s="156"/>
      <c r="K29" s="334"/>
      <c r="L29" s="158">
        <f t="shared" si="1"/>
        <v>0</v>
      </c>
      <c r="M29" s="334"/>
      <c r="N29" s="158">
        <f t="shared" si="2"/>
        <v>0</v>
      </c>
      <c r="O29" s="158">
        <f t="shared" si="3"/>
        <v>0</v>
      </c>
      <c r="P29" s="4"/>
    </row>
    <row r="30" spans="2:16">
      <c r="B30" s="9" t="str">
        <f t="shared" si="6"/>
        <v/>
      </c>
      <c r="C30" s="153">
        <f>IF(D11="","-",+C29+1)</f>
        <v>2022</v>
      </c>
      <c r="D30" s="159">
        <f>IF(F29+SUM(E$17:E29)=D$10,F29,D$10-SUM(E$17:E29))</f>
        <v>12594984.839964353</v>
      </c>
      <c r="E30" s="160">
        <f>IF(+I14&lt;F29,I14,D30)</f>
        <v>410964.69767441862</v>
      </c>
      <c r="F30" s="159">
        <f t="shared" si="10"/>
        <v>12184020.142289935</v>
      </c>
      <c r="G30" s="161">
        <f t="shared" si="11"/>
        <v>1644409.9496119265</v>
      </c>
      <c r="H30" s="142">
        <f t="shared" si="12"/>
        <v>1644409.9496119265</v>
      </c>
      <c r="I30" s="156">
        <f t="shared" si="0"/>
        <v>0</v>
      </c>
      <c r="J30" s="156"/>
      <c r="K30" s="334"/>
      <c r="L30" s="158">
        <f t="shared" si="1"/>
        <v>0</v>
      </c>
      <c r="M30" s="334"/>
      <c r="N30" s="158">
        <f t="shared" si="2"/>
        <v>0</v>
      </c>
      <c r="O30" s="158">
        <f t="shared" si="3"/>
        <v>0</v>
      </c>
      <c r="P30" s="4"/>
    </row>
    <row r="31" spans="2:16">
      <c r="B31" s="9" t="str">
        <f t="shared" si="6"/>
        <v/>
      </c>
      <c r="C31" s="153">
        <f>IF(D11="","-",+C30+1)</f>
        <v>2023</v>
      </c>
      <c r="D31" s="159">
        <f>IF(F30+SUM(E$17:E30)=D$10,F30,D$10-SUM(E$17:E30))</f>
        <v>12184020.142289935</v>
      </c>
      <c r="E31" s="160">
        <f>IF(+I14&lt;F30,I14,D31)</f>
        <v>410964.69767441862</v>
      </c>
      <c r="F31" s="159">
        <f t="shared" si="10"/>
        <v>11773055.444615517</v>
      </c>
      <c r="G31" s="161">
        <f t="shared" si="11"/>
        <v>1603496.0827780105</v>
      </c>
      <c r="H31" s="142">
        <f t="shared" si="12"/>
        <v>1603496.0827780105</v>
      </c>
      <c r="I31" s="156">
        <f t="shared" si="0"/>
        <v>0</v>
      </c>
      <c r="J31" s="156"/>
      <c r="K31" s="334"/>
      <c r="L31" s="158">
        <f t="shared" si="1"/>
        <v>0</v>
      </c>
      <c r="M31" s="334"/>
      <c r="N31" s="158">
        <f t="shared" si="2"/>
        <v>0</v>
      </c>
      <c r="O31" s="158">
        <f t="shared" si="3"/>
        <v>0</v>
      </c>
      <c r="P31" s="4"/>
    </row>
    <row r="32" spans="2:16">
      <c r="B32" s="9" t="str">
        <f t="shared" si="6"/>
        <v/>
      </c>
      <c r="C32" s="153">
        <f>IF(D11="","-",+C31+1)</f>
        <v>2024</v>
      </c>
      <c r="D32" s="159">
        <f>IF(F31+SUM(E$17:E31)=D$10,F31,D$10-SUM(E$17:E31))</f>
        <v>11773055.444615517</v>
      </c>
      <c r="E32" s="160">
        <f>IF(+I14&lt;F31,I14,D32)</f>
        <v>410964.69767441862</v>
      </c>
      <c r="F32" s="159">
        <f t="shared" si="10"/>
        <v>11362090.746941099</v>
      </c>
      <c r="G32" s="161">
        <f t="shared" si="11"/>
        <v>1562582.2159440948</v>
      </c>
      <c r="H32" s="142">
        <f t="shared" si="12"/>
        <v>1562582.2159440948</v>
      </c>
      <c r="I32" s="156">
        <f t="shared" si="0"/>
        <v>0</v>
      </c>
      <c r="J32" s="156"/>
      <c r="K32" s="334"/>
      <c r="L32" s="158">
        <f t="shared" si="1"/>
        <v>0</v>
      </c>
      <c r="M32" s="334"/>
      <c r="N32" s="158">
        <f t="shared" si="2"/>
        <v>0</v>
      </c>
      <c r="O32" s="158">
        <f t="shared" si="3"/>
        <v>0</v>
      </c>
      <c r="P32" s="4"/>
    </row>
    <row r="33" spans="2:16">
      <c r="B33" s="9" t="str">
        <f t="shared" si="6"/>
        <v/>
      </c>
      <c r="C33" s="153">
        <f>IF(D11="","-",+C32+1)</f>
        <v>2025</v>
      </c>
      <c r="D33" s="159">
        <f>IF(F32+SUM(E$17:E32)=D$10,F32,D$10-SUM(E$17:E32))</f>
        <v>11362090.746941099</v>
      </c>
      <c r="E33" s="160">
        <f>IF(+I14&lt;F32,I14,D33)</f>
        <v>410964.69767441862</v>
      </c>
      <c r="F33" s="159">
        <f t="shared" si="10"/>
        <v>10951126.049266681</v>
      </c>
      <c r="G33" s="161">
        <f t="shared" si="11"/>
        <v>1521668.3491101789</v>
      </c>
      <c r="H33" s="142">
        <f t="shared" si="12"/>
        <v>1521668.3491101789</v>
      </c>
      <c r="I33" s="156">
        <f t="shared" si="0"/>
        <v>0</v>
      </c>
      <c r="J33" s="156"/>
      <c r="K33" s="334"/>
      <c r="L33" s="158">
        <f t="shared" si="1"/>
        <v>0</v>
      </c>
      <c r="M33" s="334"/>
      <c r="N33" s="158">
        <f t="shared" si="2"/>
        <v>0</v>
      </c>
      <c r="O33" s="158">
        <f t="shared" si="3"/>
        <v>0</v>
      </c>
      <c r="P33" s="4"/>
    </row>
    <row r="34" spans="2:16">
      <c r="B34" s="9" t="str">
        <f t="shared" si="6"/>
        <v/>
      </c>
      <c r="C34" s="153">
        <f>IF(D11="","-",+C33+1)</f>
        <v>2026</v>
      </c>
      <c r="D34" s="159">
        <f>IF(F33+SUM(E$17:E33)=D$10,F33,D$10-SUM(E$17:E33))</f>
        <v>10951126.049266681</v>
      </c>
      <c r="E34" s="160">
        <f>IF(+I14&lt;F33,I14,D34)</f>
        <v>410964.69767441862</v>
      </c>
      <c r="F34" s="159">
        <f t="shared" si="10"/>
        <v>10540161.351592263</v>
      </c>
      <c r="G34" s="161">
        <f t="shared" si="11"/>
        <v>1480754.4822762632</v>
      </c>
      <c r="H34" s="142">
        <f t="shared" si="12"/>
        <v>1480754.4822762632</v>
      </c>
      <c r="I34" s="156">
        <f t="shared" si="0"/>
        <v>0</v>
      </c>
      <c r="J34" s="156"/>
      <c r="K34" s="334"/>
      <c r="L34" s="158">
        <f t="shared" si="1"/>
        <v>0</v>
      </c>
      <c r="M34" s="334"/>
      <c r="N34" s="158">
        <f t="shared" si="2"/>
        <v>0</v>
      </c>
      <c r="O34" s="158">
        <f t="shared" si="3"/>
        <v>0</v>
      </c>
      <c r="P34" s="4"/>
    </row>
    <row r="35" spans="2:16">
      <c r="B35" s="9" t="str">
        <f t="shared" si="6"/>
        <v/>
      </c>
      <c r="C35" s="153">
        <f>IF(D11="","-",+C34+1)</f>
        <v>2027</v>
      </c>
      <c r="D35" s="159">
        <f>IF(F34+SUM(E$17:E34)=D$10,F34,D$10-SUM(E$17:E34))</f>
        <v>10540161.351592263</v>
      </c>
      <c r="E35" s="160">
        <f>IF(+I14&lt;F34,I14,D35)</f>
        <v>410964.69767441862</v>
      </c>
      <c r="F35" s="159">
        <f t="shared" si="10"/>
        <v>10129196.653917845</v>
      </c>
      <c r="G35" s="161">
        <f t="shared" si="11"/>
        <v>1439840.6154423472</v>
      </c>
      <c r="H35" s="142">
        <f t="shared" si="12"/>
        <v>1439840.6154423472</v>
      </c>
      <c r="I35" s="156">
        <f t="shared" si="0"/>
        <v>0</v>
      </c>
      <c r="J35" s="156"/>
      <c r="K35" s="334"/>
      <c r="L35" s="158">
        <f t="shared" si="1"/>
        <v>0</v>
      </c>
      <c r="M35" s="334"/>
      <c r="N35" s="158">
        <f t="shared" si="2"/>
        <v>0</v>
      </c>
      <c r="O35" s="158">
        <f t="shared" si="3"/>
        <v>0</v>
      </c>
      <c r="P35" s="4"/>
    </row>
    <row r="36" spans="2:16">
      <c r="B36" s="9" t="str">
        <f t="shared" si="6"/>
        <v/>
      </c>
      <c r="C36" s="153">
        <f>IF(D11="","-",+C35+1)</f>
        <v>2028</v>
      </c>
      <c r="D36" s="159">
        <f>IF(F35+SUM(E$17:E35)=D$10,F35,D$10-SUM(E$17:E35))</f>
        <v>10129196.653917845</v>
      </c>
      <c r="E36" s="160">
        <f>IF(+I14&lt;F35,I14,D36)</f>
        <v>410964.69767441862</v>
      </c>
      <c r="F36" s="159">
        <f t="shared" si="10"/>
        <v>9718231.9562434275</v>
      </c>
      <c r="G36" s="161">
        <f t="shared" si="11"/>
        <v>1398926.7486084318</v>
      </c>
      <c r="H36" s="142">
        <f t="shared" si="12"/>
        <v>1398926.7486084318</v>
      </c>
      <c r="I36" s="156">
        <f t="shared" si="0"/>
        <v>0</v>
      </c>
      <c r="J36" s="156"/>
      <c r="K36" s="334"/>
      <c r="L36" s="158">
        <f t="shared" si="1"/>
        <v>0</v>
      </c>
      <c r="M36" s="334"/>
      <c r="N36" s="158">
        <f t="shared" si="2"/>
        <v>0</v>
      </c>
      <c r="O36" s="158">
        <f t="shared" si="3"/>
        <v>0</v>
      </c>
      <c r="P36" s="4"/>
    </row>
    <row r="37" spans="2:16">
      <c r="B37" s="9" t="str">
        <f t="shared" si="6"/>
        <v/>
      </c>
      <c r="C37" s="153">
        <f>IF(D11="","-",+C36+1)</f>
        <v>2029</v>
      </c>
      <c r="D37" s="159">
        <f>IF(F36+SUM(E$17:E36)=D$10,F36,D$10-SUM(E$17:E36))</f>
        <v>9718231.9562434275</v>
      </c>
      <c r="E37" s="160">
        <f>IF(+I14&lt;F36,I14,D37)</f>
        <v>410964.69767441862</v>
      </c>
      <c r="F37" s="159">
        <f t="shared" si="10"/>
        <v>9307267.2585690096</v>
      </c>
      <c r="G37" s="161">
        <f t="shared" si="11"/>
        <v>1358012.8817745156</v>
      </c>
      <c r="H37" s="142">
        <f t="shared" si="12"/>
        <v>1358012.8817745156</v>
      </c>
      <c r="I37" s="156">
        <f t="shared" si="0"/>
        <v>0</v>
      </c>
      <c r="J37" s="156"/>
      <c r="K37" s="334"/>
      <c r="L37" s="158">
        <f t="shared" si="1"/>
        <v>0</v>
      </c>
      <c r="M37" s="334"/>
      <c r="N37" s="158">
        <f t="shared" si="2"/>
        <v>0</v>
      </c>
      <c r="O37" s="158">
        <f t="shared" si="3"/>
        <v>0</v>
      </c>
      <c r="P37" s="4"/>
    </row>
    <row r="38" spans="2:16">
      <c r="B38" s="9" t="str">
        <f t="shared" si="6"/>
        <v/>
      </c>
      <c r="C38" s="153">
        <f>IF(D11="","-",+C37+1)</f>
        <v>2030</v>
      </c>
      <c r="D38" s="159">
        <f>IF(F37+SUM(E$17:E37)=D$10,F37,D$10-SUM(E$17:E37))</f>
        <v>9307267.2585690096</v>
      </c>
      <c r="E38" s="160">
        <f>IF(+I14&lt;F37,I14,D38)</f>
        <v>410964.69767441862</v>
      </c>
      <c r="F38" s="159">
        <f t="shared" si="10"/>
        <v>8896302.5608945917</v>
      </c>
      <c r="G38" s="161">
        <f t="shared" si="11"/>
        <v>1317099.0149406001</v>
      </c>
      <c r="H38" s="142">
        <f t="shared" si="12"/>
        <v>1317099.0149406001</v>
      </c>
      <c r="I38" s="156">
        <f t="shared" si="0"/>
        <v>0</v>
      </c>
      <c r="J38" s="156"/>
      <c r="K38" s="334"/>
      <c r="L38" s="158">
        <f t="shared" si="1"/>
        <v>0</v>
      </c>
      <c r="M38" s="334"/>
      <c r="N38" s="158">
        <f t="shared" si="2"/>
        <v>0</v>
      </c>
      <c r="O38" s="158">
        <f t="shared" si="3"/>
        <v>0</v>
      </c>
      <c r="P38" s="4"/>
    </row>
    <row r="39" spans="2:16">
      <c r="B39" s="9" t="str">
        <f t="shared" si="6"/>
        <v/>
      </c>
      <c r="C39" s="153">
        <f>IF(D11="","-",+C38+1)</f>
        <v>2031</v>
      </c>
      <c r="D39" s="159">
        <f>IF(F38+SUM(E$17:E38)=D$10,F38,D$10-SUM(E$17:E38))</f>
        <v>8896302.5608945917</v>
      </c>
      <c r="E39" s="160">
        <f>IF(+I14&lt;F38,I14,D39)</f>
        <v>410964.69767441862</v>
      </c>
      <c r="F39" s="159">
        <f t="shared" si="10"/>
        <v>8485337.8632201739</v>
      </c>
      <c r="G39" s="161">
        <f t="shared" si="11"/>
        <v>1276185.148106684</v>
      </c>
      <c r="H39" s="142">
        <f t="shared" si="12"/>
        <v>1276185.148106684</v>
      </c>
      <c r="I39" s="156">
        <f t="shared" si="0"/>
        <v>0</v>
      </c>
      <c r="J39" s="156"/>
      <c r="K39" s="334"/>
      <c r="L39" s="158">
        <f t="shared" si="1"/>
        <v>0</v>
      </c>
      <c r="M39" s="334"/>
      <c r="N39" s="158">
        <f t="shared" si="2"/>
        <v>0</v>
      </c>
      <c r="O39" s="158">
        <f t="shared" si="3"/>
        <v>0</v>
      </c>
      <c r="P39" s="4"/>
    </row>
    <row r="40" spans="2:16">
      <c r="B40" s="9" t="str">
        <f t="shared" si="6"/>
        <v/>
      </c>
      <c r="C40" s="153">
        <f>IF(D11="","-",+C39+1)</f>
        <v>2032</v>
      </c>
      <c r="D40" s="159">
        <f>IF(F39+SUM(E$17:E39)=D$10,F39,D$10-SUM(E$17:E39))</f>
        <v>8485337.8632201739</v>
      </c>
      <c r="E40" s="160">
        <f>IF(+I14&lt;F39,I14,D40)</f>
        <v>410964.69767441862</v>
      </c>
      <c r="F40" s="159">
        <f t="shared" si="10"/>
        <v>8074373.1655457551</v>
      </c>
      <c r="G40" s="161">
        <f t="shared" si="11"/>
        <v>1235271.2812727683</v>
      </c>
      <c r="H40" s="142">
        <f t="shared" si="12"/>
        <v>1235271.2812727683</v>
      </c>
      <c r="I40" s="156">
        <f t="shared" si="0"/>
        <v>0</v>
      </c>
      <c r="J40" s="156"/>
      <c r="K40" s="334"/>
      <c r="L40" s="158">
        <f t="shared" si="1"/>
        <v>0</v>
      </c>
      <c r="M40" s="334"/>
      <c r="N40" s="158">
        <f t="shared" si="2"/>
        <v>0</v>
      </c>
      <c r="O40" s="158">
        <f t="shared" si="3"/>
        <v>0</v>
      </c>
      <c r="P40" s="4"/>
    </row>
    <row r="41" spans="2:16">
      <c r="B41" s="9" t="str">
        <f t="shared" si="6"/>
        <v/>
      </c>
      <c r="C41" s="153">
        <f>IF(D11="","-",+C40+1)</f>
        <v>2033</v>
      </c>
      <c r="D41" s="159">
        <f>IF(F40+SUM(E$17:E40)=D$10,F40,D$10-SUM(E$17:E40))</f>
        <v>8074373.1655457551</v>
      </c>
      <c r="E41" s="160">
        <f>IF(+I14&lt;F40,I14,D41)</f>
        <v>410964.69767441862</v>
      </c>
      <c r="F41" s="159">
        <f t="shared" si="10"/>
        <v>7663408.4678713363</v>
      </c>
      <c r="G41" s="161">
        <f t="shared" si="11"/>
        <v>1194357.4144388526</v>
      </c>
      <c r="H41" s="142">
        <f t="shared" si="12"/>
        <v>1194357.4144388526</v>
      </c>
      <c r="I41" s="156">
        <f t="shared" si="0"/>
        <v>0</v>
      </c>
      <c r="J41" s="156"/>
      <c r="K41" s="334"/>
      <c r="L41" s="158">
        <f t="shared" si="1"/>
        <v>0</v>
      </c>
      <c r="M41" s="334"/>
      <c r="N41" s="158">
        <f t="shared" si="2"/>
        <v>0</v>
      </c>
      <c r="O41" s="158">
        <f t="shared" si="3"/>
        <v>0</v>
      </c>
      <c r="P41" s="4"/>
    </row>
    <row r="42" spans="2:16">
      <c r="B42" s="9" t="str">
        <f t="shared" si="6"/>
        <v/>
      </c>
      <c r="C42" s="153">
        <f>IF(D11="","-",+C41+1)</f>
        <v>2034</v>
      </c>
      <c r="D42" s="159">
        <f>IF(F41+SUM(E$17:E41)=D$10,F41,D$10-SUM(E$17:E41))</f>
        <v>7663408.4678713363</v>
      </c>
      <c r="E42" s="160">
        <f>IF(+I14&lt;F41,I14,D42)</f>
        <v>410964.69767441862</v>
      </c>
      <c r="F42" s="159">
        <f t="shared" si="10"/>
        <v>7252443.7701969175</v>
      </c>
      <c r="G42" s="161">
        <f t="shared" si="11"/>
        <v>1153443.5476049364</v>
      </c>
      <c r="H42" s="142">
        <f t="shared" si="12"/>
        <v>1153443.5476049364</v>
      </c>
      <c r="I42" s="156">
        <f t="shared" si="0"/>
        <v>0</v>
      </c>
      <c r="J42" s="156"/>
      <c r="K42" s="334"/>
      <c r="L42" s="158">
        <f t="shared" si="1"/>
        <v>0</v>
      </c>
      <c r="M42" s="334"/>
      <c r="N42" s="158">
        <f t="shared" si="2"/>
        <v>0</v>
      </c>
      <c r="O42" s="158">
        <f t="shared" si="3"/>
        <v>0</v>
      </c>
      <c r="P42" s="4"/>
    </row>
    <row r="43" spans="2:16">
      <c r="B43" s="9" t="str">
        <f t="shared" si="6"/>
        <v/>
      </c>
      <c r="C43" s="153">
        <f>IF(D11="","-",+C42+1)</f>
        <v>2035</v>
      </c>
      <c r="D43" s="159">
        <f>IF(F42+SUM(E$17:E42)=D$10,F42,D$10-SUM(E$17:E42))</f>
        <v>7252443.7701969175</v>
      </c>
      <c r="E43" s="160">
        <f>IF(+I14&lt;F42,I14,D43)</f>
        <v>410964.69767441862</v>
      </c>
      <c r="F43" s="159">
        <f t="shared" si="10"/>
        <v>6841479.0725224987</v>
      </c>
      <c r="G43" s="161">
        <f t="shared" si="11"/>
        <v>1112529.6807710207</v>
      </c>
      <c r="H43" s="142">
        <f t="shared" si="12"/>
        <v>1112529.6807710207</v>
      </c>
      <c r="I43" s="156">
        <f t="shared" si="0"/>
        <v>0</v>
      </c>
      <c r="J43" s="156"/>
      <c r="K43" s="334"/>
      <c r="L43" s="158">
        <f t="shared" si="1"/>
        <v>0</v>
      </c>
      <c r="M43" s="334"/>
      <c r="N43" s="158">
        <f t="shared" si="2"/>
        <v>0</v>
      </c>
      <c r="O43" s="158">
        <f t="shared" si="3"/>
        <v>0</v>
      </c>
      <c r="P43" s="4"/>
    </row>
    <row r="44" spans="2:16">
      <c r="B44" s="9" t="str">
        <f t="shared" si="6"/>
        <v/>
      </c>
      <c r="C44" s="153">
        <f>IF(D11="","-",+C43+1)</f>
        <v>2036</v>
      </c>
      <c r="D44" s="159">
        <f>IF(F43+SUM(E$17:E43)=D$10,F43,D$10-SUM(E$17:E43))</f>
        <v>6841479.0725224987</v>
      </c>
      <c r="E44" s="160">
        <f>IF(+I14&lt;F43,I14,D44)</f>
        <v>410964.69767441862</v>
      </c>
      <c r="F44" s="159">
        <f t="shared" si="10"/>
        <v>6430514.3748480799</v>
      </c>
      <c r="G44" s="161">
        <f t="shared" si="11"/>
        <v>1071615.8139371048</v>
      </c>
      <c r="H44" s="142">
        <f t="shared" si="12"/>
        <v>1071615.8139371048</v>
      </c>
      <c r="I44" s="156">
        <f t="shared" si="0"/>
        <v>0</v>
      </c>
      <c r="J44" s="156"/>
      <c r="K44" s="334"/>
      <c r="L44" s="158">
        <f t="shared" si="1"/>
        <v>0</v>
      </c>
      <c r="M44" s="334"/>
      <c r="N44" s="158">
        <f t="shared" si="2"/>
        <v>0</v>
      </c>
      <c r="O44" s="158">
        <f t="shared" si="3"/>
        <v>0</v>
      </c>
      <c r="P44" s="4"/>
    </row>
    <row r="45" spans="2:16">
      <c r="B45" s="9" t="str">
        <f t="shared" si="6"/>
        <v/>
      </c>
      <c r="C45" s="153">
        <f>IF(D11="","-",+C44+1)</f>
        <v>2037</v>
      </c>
      <c r="D45" s="159">
        <f>IF(F44+SUM(E$17:E44)=D$10,F44,D$10-SUM(E$17:E44))</f>
        <v>6430514.3748480799</v>
      </c>
      <c r="E45" s="160">
        <f>IF(+I14&lt;F44,I14,D45)</f>
        <v>410964.69767441862</v>
      </c>
      <c r="F45" s="159">
        <f t="shared" si="10"/>
        <v>6019549.6771736611</v>
      </c>
      <c r="G45" s="161">
        <f t="shared" si="11"/>
        <v>1030701.9471031888</v>
      </c>
      <c r="H45" s="142">
        <f t="shared" si="12"/>
        <v>1030701.9471031888</v>
      </c>
      <c r="I45" s="156">
        <f t="shared" si="0"/>
        <v>0</v>
      </c>
      <c r="J45" s="156"/>
      <c r="K45" s="334"/>
      <c r="L45" s="158">
        <f t="shared" si="1"/>
        <v>0</v>
      </c>
      <c r="M45" s="334"/>
      <c r="N45" s="158">
        <f t="shared" si="2"/>
        <v>0</v>
      </c>
      <c r="O45" s="158">
        <f t="shared" si="3"/>
        <v>0</v>
      </c>
      <c r="P45" s="4"/>
    </row>
    <row r="46" spans="2:16">
      <c r="B46" s="9" t="str">
        <f t="shared" si="6"/>
        <v/>
      </c>
      <c r="C46" s="153">
        <f>IF(D11="","-",+C45+1)</f>
        <v>2038</v>
      </c>
      <c r="D46" s="159">
        <f>IF(F45+SUM(E$17:E45)=D$10,F45,D$10-SUM(E$17:E45))</f>
        <v>6019549.6771736611</v>
      </c>
      <c r="E46" s="160">
        <f>IF(+I14&lt;F45,I14,D46)</f>
        <v>410964.69767441862</v>
      </c>
      <c r="F46" s="159">
        <f t="shared" si="10"/>
        <v>5608584.9794992423</v>
      </c>
      <c r="G46" s="161">
        <f t="shared" si="11"/>
        <v>989788.0802692729</v>
      </c>
      <c r="H46" s="142">
        <f t="shared" si="12"/>
        <v>989788.0802692729</v>
      </c>
      <c r="I46" s="156">
        <f t="shared" si="0"/>
        <v>0</v>
      </c>
      <c r="J46" s="156"/>
      <c r="K46" s="334"/>
      <c r="L46" s="158">
        <f t="shared" si="1"/>
        <v>0</v>
      </c>
      <c r="M46" s="334"/>
      <c r="N46" s="158">
        <f t="shared" si="2"/>
        <v>0</v>
      </c>
      <c r="O46" s="158">
        <f t="shared" si="3"/>
        <v>0</v>
      </c>
      <c r="P46" s="4"/>
    </row>
    <row r="47" spans="2:16">
      <c r="B47" s="9" t="str">
        <f t="shared" si="6"/>
        <v/>
      </c>
      <c r="C47" s="153">
        <f>IF(D11="","-",+C46+1)</f>
        <v>2039</v>
      </c>
      <c r="D47" s="159">
        <f>IF(F46+SUM(E$17:E46)=D$10,F46,D$10-SUM(E$17:E46))</f>
        <v>5608584.9794992423</v>
      </c>
      <c r="E47" s="160">
        <f>IF(+I14&lt;F46,I14,D47)</f>
        <v>410964.69767441862</v>
      </c>
      <c r="F47" s="159">
        <f t="shared" si="10"/>
        <v>5197620.2818248235</v>
      </c>
      <c r="G47" s="161">
        <f t="shared" si="11"/>
        <v>948874.2134353572</v>
      </c>
      <c r="H47" s="142">
        <f t="shared" si="12"/>
        <v>948874.2134353572</v>
      </c>
      <c r="I47" s="156">
        <f t="shared" si="0"/>
        <v>0</v>
      </c>
      <c r="J47" s="156"/>
      <c r="K47" s="334"/>
      <c r="L47" s="158">
        <f t="shared" si="1"/>
        <v>0</v>
      </c>
      <c r="M47" s="334"/>
      <c r="N47" s="158">
        <f t="shared" si="2"/>
        <v>0</v>
      </c>
      <c r="O47" s="158">
        <f t="shared" si="3"/>
        <v>0</v>
      </c>
      <c r="P47" s="4"/>
    </row>
    <row r="48" spans="2:16">
      <c r="B48" s="9" t="str">
        <f t="shared" si="6"/>
        <v/>
      </c>
      <c r="C48" s="153">
        <f>IF(D11="","-",+C47+1)</f>
        <v>2040</v>
      </c>
      <c r="D48" s="159">
        <f>IF(F47+SUM(E$17:E47)=D$10,F47,D$10-SUM(E$17:E47))</f>
        <v>5197620.2818248235</v>
      </c>
      <c r="E48" s="160">
        <f>IF(+I14&lt;F47,I14,D48)</f>
        <v>410964.69767441862</v>
      </c>
      <c r="F48" s="159">
        <f t="shared" si="10"/>
        <v>4786655.5841504047</v>
      </c>
      <c r="G48" s="161">
        <f t="shared" si="11"/>
        <v>907960.34660144104</v>
      </c>
      <c r="H48" s="142">
        <f t="shared" si="12"/>
        <v>907960.34660144104</v>
      </c>
      <c r="I48" s="156">
        <f t="shared" si="0"/>
        <v>0</v>
      </c>
      <c r="J48" s="156"/>
      <c r="K48" s="334"/>
      <c r="L48" s="158">
        <f t="shared" si="1"/>
        <v>0</v>
      </c>
      <c r="M48" s="334"/>
      <c r="N48" s="158">
        <f t="shared" si="2"/>
        <v>0</v>
      </c>
      <c r="O48" s="158">
        <f t="shared" si="3"/>
        <v>0</v>
      </c>
      <c r="P48" s="4"/>
    </row>
    <row r="49" spans="2:17">
      <c r="B49" s="9" t="str">
        <f t="shared" si="6"/>
        <v/>
      </c>
      <c r="C49" s="153">
        <f>IF(D11="","-",+C48+1)</f>
        <v>2041</v>
      </c>
      <c r="D49" s="159">
        <f>IF(F48+SUM(E$17:E48)=D$10,F48,D$10-SUM(E$17:E48))</f>
        <v>4786655.5841504047</v>
      </c>
      <c r="E49" s="160">
        <f>IF(+I14&lt;F48,I14,D49)</f>
        <v>410964.69767441862</v>
      </c>
      <c r="F49" s="159">
        <f t="shared" ref="F49:F72" si="13">+D49-E49</f>
        <v>4375690.8864759859</v>
      </c>
      <c r="G49" s="161">
        <f t="shared" si="11"/>
        <v>867046.47976752534</v>
      </c>
      <c r="H49" s="142">
        <f t="shared" si="12"/>
        <v>867046.47976752534</v>
      </c>
      <c r="I49" s="156">
        <f t="shared" ref="I49:I72" si="14">H49-G49</f>
        <v>0</v>
      </c>
      <c r="J49" s="156"/>
      <c r="K49" s="334"/>
      <c r="L49" s="158">
        <f t="shared" ref="L49:L72" si="15">IF(K49&lt;&gt;0,+G49-K49,0)</f>
        <v>0</v>
      </c>
      <c r="M49" s="334"/>
      <c r="N49" s="158">
        <f t="shared" ref="N49:N72" si="16">IF(M49&lt;&gt;0,+H49-M49,0)</f>
        <v>0</v>
      </c>
      <c r="O49" s="158">
        <f t="shared" ref="O49:O72" si="17">+N49-L49</f>
        <v>0</v>
      </c>
      <c r="P49" s="4"/>
    </row>
    <row r="50" spans="2:17">
      <c r="B50" s="9" t="str">
        <f t="shared" si="6"/>
        <v/>
      </c>
      <c r="C50" s="153">
        <f>IF(D11="","-",+C49+1)</f>
        <v>2042</v>
      </c>
      <c r="D50" s="159">
        <f>IF(F49+SUM(E$17:E49)=D$10,F49,D$10-SUM(E$17:E49))</f>
        <v>4375690.8864759859</v>
      </c>
      <c r="E50" s="160">
        <f>IF(+I14&lt;F49,I14,D50)</f>
        <v>410964.69767441862</v>
      </c>
      <c r="F50" s="159">
        <f t="shared" si="13"/>
        <v>3964726.1888015671</v>
      </c>
      <c r="G50" s="161">
        <f t="shared" si="11"/>
        <v>826132.6129336094</v>
      </c>
      <c r="H50" s="142">
        <f t="shared" si="12"/>
        <v>826132.6129336094</v>
      </c>
      <c r="I50" s="156">
        <f t="shared" si="14"/>
        <v>0</v>
      </c>
      <c r="J50" s="156"/>
      <c r="K50" s="334"/>
      <c r="L50" s="158">
        <f t="shared" si="15"/>
        <v>0</v>
      </c>
      <c r="M50" s="334"/>
      <c r="N50" s="158">
        <f t="shared" si="16"/>
        <v>0</v>
      </c>
      <c r="O50" s="158">
        <f t="shared" si="17"/>
        <v>0</v>
      </c>
      <c r="P50" s="4"/>
    </row>
    <row r="51" spans="2:17">
      <c r="B51" s="9" t="str">
        <f t="shared" si="6"/>
        <v/>
      </c>
      <c r="C51" s="153">
        <f>IF(D11="","-",+C50+1)</f>
        <v>2043</v>
      </c>
      <c r="D51" s="159">
        <f>IF(F50+SUM(E$17:E50)=D$10,F50,D$10-SUM(E$17:E50))</f>
        <v>3964726.1888015671</v>
      </c>
      <c r="E51" s="160">
        <f>IF(+I14&lt;F50,I14,D51)</f>
        <v>410964.69767441862</v>
      </c>
      <c r="F51" s="159">
        <f t="shared" si="13"/>
        <v>3553761.4911271483</v>
      </c>
      <c r="G51" s="161">
        <f t="shared" si="11"/>
        <v>785218.74609969347</v>
      </c>
      <c r="H51" s="142">
        <f t="shared" si="12"/>
        <v>785218.74609969347</v>
      </c>
      <c r="I51" s="156">
        <f t="shared" si="14"/>
        <v>0</v>
      </c>
      <c r="J51" s="156"/>
      <c r="K51" s="334"/>
      <c r="L51" s="158">
        <f t="shared" si="15"/>
        <v>0</v>
      </c>
      <c r="M51" s="334"/>
      <c r="N51" s="158">
        <f t="shared" si="16"/>
        <v>0</v>
      </c>
      <c r="O51" s="158">
        <f t="shared" si="17"/>
        <v>0</v>
      </c>
      <c r="P51" s="4"/>
    </row>
    <row r="52" spans="2:17">
      <c r="B52" s="9" t="str">
        <f t="shared" si="6"/>
        <v/>
      </c>
      <c r="C52" s="153">
        <f>IF(D11="","-",+C51+1)</f>
        <v>2044</v>
      </c>
      <c r="D52" s="159">
        <f>IF(F51+SUM(E$17:E51)=D$10,F51,D$10-SUM(E$17:E51))</f>
        <v>3553761.4911271483</v>
      </c>
      <c r="E52" s="160">
        <f>IF(+I14&lt;F51,I14,D52)</f>
        <v>410964.69767441862</v>
      </c>
      <c r="F52" s="159">
        <f t="shared" si="13"/>
        <v>3142796.7934527295</v>
      </c>
      <c r="G52" s="161">
        <f t="shared" si="11"/>
        <v>744304.87926577753</v>
      </c>
      <c r="H52" s="142">
        <f t="shared" si="12"/>
        <v>744304.87926577753</v>
      </c>
      <c r="I52" s="156">
        <f t="shared" si="14"/>
        <v>0</v>
      </c>
      <c r="J52" s="156"/>
      <c r="K52" s="334"/>
      <c r="L52" s="158">
        <f t="shared" si="15"/>
        <v>0</v>
      </c>
      <c r="M52" s="334"/>
      <c r="N52" s="158">
        <f t="shared" si="16"/>
        <v>0</v>
      </c>
      <c r="O52" s="158">
        <f t="shared" si="17"/>
        <v>0</v>
      </c>
      <c r="P52" s="4"/>
    </row>
    <row r="53" spans="2:17">
      <c r="B53" s="9" t="str">
        <f t="shared" si="6"/>
        <v/>
      </c>
      <c r="C53" s="153">
        <f>IF(D11="","-",+C52+1)</f>
        <v>2045</v>
      </c>
      <c r="D53" s="159">
        <f>IF(F52+SUM(E$17:E52)=D$10,F52,D$10-SUM(E$17:E52))</f>
        <v>3142796.7934527295</v>
      </c>
      <c r="E53" s="160">
        <f>IF(+I14&lt;F52,I14,D53)</f>
        <v>410964.69767441862</v>
      </c>
      <c r="F53" s="159">
        <f t="shared" si="13"/>
        <v>2731832.0957783107</v>
      </c>
      <c r="G53" s="161">
        <f t="shared" si="11"/>
        <v>703391.0124318616</v>
      </c>
      <c r="H53" s="142">
        <f t="shared" si="12"/>
        <v>703391.0124318616</v>
      </c>
      <c r="I53" s="156">
        <f t="shared" si="14"/>
        <v>0</v>
      </c>
      <c r="J53" s="156"/>
      <c r="K53" s="334"/>
      <c r="L53" s="158">
        <f t="shared" si="15"/>
        <v>0</v>
      </c>
      <c r="M53" s="334"/>
      <c r="N53" s="158">
        <f t="shared" si="16"/>
        <v>0</v>
      </c>
      <c r="O53" s="158">
        <f t="shared" si="17"/>
        <v>0</v>
      </c>
      <c r="P53" s="4"/>
    </row>
    <row r="54" spans="2:17">
      <c r="B54" s="9" t="str">
        <f t="shared" si="6"/>
        <v/>
      </c>
      <c r="C54" s="153">
        <f>IF(D11="","-",+C53+1)</f>
        <v>2046</v>
      </c>
      <c r="D54" s="159">
        <f>IF(F53+SUM(E$17:E53)=D$10,F53,D$10-SUM(E$17:E53))</f>
        <v>2731832.0957783107</v>
      </c>
      <c r="E54" s="160">
        <f>IF(+I14&lt;F53,I14,D54)</f>
        <v>410964.69767441862</v>
      </c>
      <c r="F54" s="159">
        <f t="shared" si="13"/>
        <v>2320867.3981038919</v>
      </c>
      <c r="G54" s="161">
        <f t="shared" si="11"/>
        <v>662477.14559794578</v>
      </c>
      <c r="H54" s="142">
        <f t="shared" si="12"/>
        <v>662477.14559794578</v>
      </c>
      <c r="I54" s="156">
        <f t="shared" si="14"/>
        <v>0</v>
      </c>
      <c r="J54" s="156"/>
      <c r="K54" s="334"/>
      <c r="L54" s="158">
        <f t="shared" si="15"/>
        <v>0</v>
      </c>
      <c r="M54" s="334"/>
      <c r="N54" s="158">
        <f t="shared" si="16"/>
        <v>0</v>
      </c>
      <c r="O54" s="158">
        <f t="shared" si="17"/>
        <v>0</v>
      </c>
      <c r="P54" s="4"/>
    </row>
    <row r="55" spans="2:17">
      <c r="B55" s="9" t="str">
        <f t="shared" si="6"/>
        <v/>
      </c>
      <c r="C55" s="153">
        <f>IF(D11="","-",+C54+1)</f>
        <v>2047</v>
      </c>
      <c r="D55" s="159">
        <f>IF(F54+SUM(E$17:E54)=D$10,F54,D$10-SUM(E$17:E54))</f>
        <v>2320867.3981038919</v>
      </c>
      <c r="E55" s="160">
        <f>IF(+I14&lt;F54,I14,D55)</f>
        <v>410964.69767441862</v>
      </c>
      <c r="F55" s="159">
        <f t="shared" si="13"/>
        <v>1909902.7004294733</v>
      </c>
      <c r="G55" s="161">
        <f t="shared" si="11"/>
        <v>621563.27876402985</v>
      </c>
      <c r="H55" s="142">
        <f t="shared" si="12"/>
        <v>621563.27876402985</v>
      </c>
      <c r="I55" s="156">
        <f t="shared" si="14"/>
        <v>0</v>
      </c>
      <c r="J55" s="156"/>
      <c r="K55" s="334"/>
      <c r="L55" s="158">
        <f t="shared" si="15"/>
        <v>0</v>
      </c>
      <c r="M55" s="334"/>
      <c r="N55" s="158">
        <f t="shared" si="16"/>
        <v>0</v>
      </c>
      <c r="O55" s="158">
        <f t="shared" si="17"/>
        <v>0</v>
      </c>
      <c r="P55" s="4"/>
    </row>
    <row r="56" spans="2:17">
      <c r="B56" s="9" t="str">
        <f t="shared" si="6"/>
        <v/>
      </c>
      <c r="C56" s="153">
        <f>IF(D11="","-",+C55+1)</f>
        <v>2048</v>
      </c>
      <c r="D56" s="159">
        <f>IF(F55+SUM(E$17:E55)=D$10,F55,D$10-SUM(E$17:E55))</f>
        <v>1909902.7004294733</v>
      </c>
      <c r="E56" s="160">
        <f>IF(+I14&lt;F55,I14,D56)</f>
        <v>410964.69767441862</v>
      </c>
      <c r="F56" s="159">
        <f t="shared" si="13"/>
        <v>1498938.0027550547</v>
      </c>
      <c r="G56" s="161">
        <f t="shared" si="11"/>
        <v>580649.41193011403</v>
      </c>
      <c r="H56" s="142">
        <f t="shared" si="12"/>
        <v>580649.41193011403</v>
      </c>
      <c r="I56" s="156">
        <f t="shared" si="14"/>
        <v>0</v>
      </c>
      <c r="J56" s="156"/>
      <c r="K56" s="334"/>
      <c r="L56" s="158">
        <f t="shared" si="15"/>
        <v>0</v>
      </c>
      <c r="M56" s="334"/>
      <c r="N56" s="158">
        <f t="shared" si="16"/>
        <v>0</v>
      </c>
      <c r="O56" s="158">
        <f t="shared" si="17"/>
        <v>0</v>
      </c>
      <c r="P56" s="4"/>
    </row>
    <row r="57" spans="2:17">
      <c r="B57" s="9" t="str">
        <f t="shared" si="6"/>
        <v/>
      </c>
      <c r="C57" s="153">
        <f>IF(D11="","-",+C56+1)</f>
        <v>2049</v>
      </c>
      <c r="D57" s="159">
        <f>IF(F56+SUM(E$17:E56)=D$10,F56,D$10-SUM(E$17:E56))</f>
        <v>1498938.0027550547</v>
      </c>
      <c r="E57" s="160">
        <f>IF(+I14&lt;F56,I14,D57)</f>
        <v>410964.69767441862</v>
      </c>
      <c r="F57" s="159">
        <f t="shared" si="13"/>
        <v>1087973.3050806362</v>
      </c>
      <c r="G57" s="161">
        <f t="shared" si="11"/>
        <v>539735.5450961981</v>
      </c>
      <c r="H57" s="142">
        <f t="shared" si="12"/>
        <v>539735.5450961981</v>
      </c>
      <c r="I57" s="156">
        <f t="shared" si="14"/>
        <v>0</v>
      </c>
      <c r="J57" s="156"/>
      <c r="K57" s="334"/>
      <c r="L57" s="158">
        <f t="shared" si="15"/>
        <v>0</v>
      </c>
      <c r="M57" s="334"/>
      <c r="N57" s="158">
        <f t="shared" si="16"/>
        <v>0</v>
      </c>
      <c r="O57" s="158">
        <f t="shared" si="17"/>
        <v>0</v>
      </c>
      <c r="P57" s="4"/>
    </row>
    <row r="58" spans="2:17">
      <c r="B58" s="9" t="str">
        <f t="shared" si="6"/>
        <v/>
      </c>
      <c r="C58" s="153">
        <f>IF(D11="","-",+C57+1)</f>
        <v>2050</v>
      </c>
      <c r="D58" s="159">
        <f>IF(F57+SUM(E$17:E57)=D$10,F57,D$10-SUM(E$17:E57))</f>
        <v>1087973.3050806362</v>
      </c>
      <c r="E58" s="160">
        <f>IF(+I14&lt;F57,I14,D58)</f>
        <v>410964.69767441862</v>
      </c>
      <c r="F58" s="159">
        <f t="shared" si="13"/>
        <v>677008.6074062176</v>
      </c>
      <c r="G58" s="161">
        <f t="shared" si="11"/>
        <v>498821.67826228228</v>
      </c>
      <c r="H58" s="142">
        <f t="shared" si="12"/>
        <v>498821.67826228228</v>
      </c>
      <c r="I58" s="156">
        <f t="shared" si="14"/>
        <v>0</v>
      </c>
      <c r="J58" s="156"/>
      <c r="K58" s="334"/>
      <c r="L58" s="158">
        <f t="shared" si="15"/>
        <v>0</v>
      </c>
      <c r="M58" s="334"/>
      <c r="N58" s="158">
        <f t="shared" si="16"/>
        <v>0</v>
      </c>
      <c r="O58" s="158">
        <f t="shared" si="17"/>
        <v>0</v>
      </c>
      <c r="P58" s="4"/>
      <c r="Q58" t="str">
        <f>IF(ROUND(Q57,0)=ROUND(SUM(Q18:Q56),0),"","Error -- check allocations above).")</f>
        <v/>
      </c>
    </row>
    <row r="59" spans="2:17">
      <c r="B59" s="9" t="str">
        <f t="shared" si="6"/>
        <v/>
      </c>
      <c r="C59" s="153">
        <f>IF(D11="","-",+C58+1)</f>
        <v>2051</v>
      </c>
      <c r="D59" s="159">
        <f>IF(F58+SUM(E$17:E58)=D$10,F58,D$10-SUM(E$17:E58))</f>
        <v>677008.6074062176</v>
      </c>
      <c r="E59" s="160">
        <f>IF(+I14&lt;F58,I14,D59)</f>
        <v>410964.69767441862</v>
      </c>
      <c r="F59" s="159">
        <f t="shared" si="13"/>
        <v>266043.90973179898</v>
      </c>
      <c r="G59" s="161">
        <f t="shared" si="11"/>
        <v>457907.8114283664</v>
      </c>
      <c r="H59" s="142">
        <f t="shared" si="12"/>
        <v>457907.8114283664</v>
      </c>
      <c r="I59" s="156">
        <f t="shared" si="14"/>
        <v>0</v>
      </c>
      <c r="J59" s="156"/>
      <c r="K59" s="334"/>
      <c r="L59" s="158">
        <f t="shared" si="15"/>
        <v>0</v>
      </c>
      <c r="M59" s="334"/>
      <c r="N59" s="158">
        <f t="shared" si="16"/>
        <v>0</v>
      </c>
      <c r="O59" s="158">
        <f t="shared" si="17"/>
        <v>0</v>
      </c>
      <c r="P59" s="4"/>
    </row>
    <row r="60" spans="2:17">
      <c r="B60" s="9" t="str">
        <f t="shared" si="6"/>
        <v/>
      </c>
      <c r="C60" s="153">
        <f>IF(D11="","-",+C59+1)</f>
        <v>2052</v>
      </c>
      <c r="D60" s="159">
        <f>IF(F59+SUM(E$17:E59)=D$10,F59,D$10-SUM(E$17:E59))</f>
        <v>266043.90973179898</v>
      </c>
      <c r="E60" s="160">
        <f>IF(+I14&lt;F59,I14,D60)</f>
        <v>266043.90973179898</v>
      </c>
      <c r="F60" s="159">
        <f t="shared" si="13"/>
        <v>0</v>
      </c>
      <c r="G60" s="161">
        <f t="shared" si="11"/>
        <v>279286.99990029389</v>
      </c>
      <c r="H60" s="142">
        <f t="shared" si="12"/>
        <v>279286.99990029389</v>
      </c>
      <c r="I60" s="156">
        <f t="shared" si="14"/>
        <v>0</v>
      </c>
      <c r="J60" s="156"/>
      <c r="K60" s="334"/>
      <c r="L60" s="158">
        <f t="shared" si="15"/>
        <v>0</v>
      </c>
      <c r="M60" s="334"/>
      <c r="N60" s="158">
        <f t="shared" si="16"/>
        <v>0</v>
      </c>
      <c r="O60" s="158">
        <f t="shared" si="17"/>
        <v>0</v>
      </c>
      <c r="P60" s="4"/>
    </row>
    <row r="61" spans="2:17">
      <c r="B61" s="9" t="str">
        <f t="shared" si="6"/>
        <v/>
      </c>
      <c r="C61" s="153">
        <f>IF(D11="","-",+C60+1)</f>
        <v>2053</v>
      </c>
      <c r="D61" s="159">
        <f>IF(F60+SUM(E$17:E60)=D$10,F60,D$10-SUM(E$17:E60))</f>
        <v>0</v>
      </c>
      <c r="E61" s="160">
        <f>IF(+I14&lt;F60,I14,D61)</f>
        <v>0</v>
      </c>
      <c r="F61" s="159">
        <f t="shared" si="13"/>
        <v>0</v>
      </c>
      <c r="G61" s="163">
        <f t="shared" si="11"/>
        <v>0</v>
      </c>
      <c r="H61" s="142">
        <f t="shared" si="12"/>
        <v>0</v>
      </c>
      <c r="I61" s="156">
        <f t="shared" si="14"/>
        <v>0</v>
      </c>
      <c r="J61" s="156"/>
      <c r="K61" s="334"/>
      <c r="L61" s="158">
        <f t="shared" si="15"/>
        <v>0</v>
      </c>
      <c r="M61" s="334"/>
      <c r="N61" s="158">
        <f t="shared" si="16"/>
        <v>0</v>
      </c>
      <c r="O61" s="158">
        <f t="shared" si="17"/>
        <v>0</v>
      </c>
      <c r="P61" s="4"/>
    </row>
    <row r="62" spans="2:17">
      <c r="B62" s="9" t="str">
        <f t="shared" si="6"/>
        <v/>
      </c>
      <c r="C62" s="153">
        <f>IF(D11="","-",+C61+1)</f>
        <v>2054</v>
      </c>
      <c r="D62" s="159">
        <f>IF(F61+SUM(E$17:E61)=D$10,F61,D$10-SUM(E$17:E61))</f>
        <v>0</v>
      </c>
      <c r="E62" s="160">
        <f>IF(+I14&lt;F61,I14,D62)</f>
        <v>0</v>
      </c>
      <c r="F62" s="159">
        <f t="shared" si="13"/>
        <v>0</v>
      </c>
      <c r="G62" s="163">
        <f t="shared" si="11"/>
        <v>0</v>
      </c>
      <c r="H62" s="142">
        <f t="shared" si="12"/>
        <v>0</v>
      </c>
      <c r="I62" s="156">
        <f t="shared" si="14"/>
        <v>0</v>
      </c>
      <c r="J62" s="156"/>
      <c r="K62" s="334"/>
      <c r="L62" s="158">
        <f t="shared" si="15"/>
        <v>0</v>
      </c>
      <c r="M62" s="334"/>
      <c r="N62" s="158">
        <f t="shared" si="16"/>
        <v>0</v>
      </c>
      <c r="O62" s="158">
        <f t="shared" si="17"/>
        <v>0</v>
      </c>
      <c r="P62" s="4"/>
    </row>
    <row r="63" spans="2:17">
      <c r="B63" s="9" t="str">
        <f t="shared" si="6"/>
        <v/>
      </c>
      <c r="C63" s="153">
        <f>IF(D11="","-",+C62+1)</f>
        <v>2055</v>
      </c>
      <c r="D63" s="159">
        <f>IF(F62+SUM(E$17:E62)=D$10,F62,D$10-SUM(E$17:E62))</f>
        <v>0</v>
      </c>
      <c r="E63" s="160">
        <f>IF(+I14&lt;F62,I14,D63)</f>
        <v>0</v>
      </c>
      <c r="F63" s="159">
        <f t="shared" si="13"/>
        <v>0</v>
      </c>
      <c r="G63" s="163">
        <f t="shared" si="11"/>
        <v>0</v>
      </c>
      <c r="H63" s="142">
        <f t="shared" si="12"/>
        <v>0</v>
      </c>
      <c r="I63" s="156">
        <f t="shared" si="14"/>
        <v>0</v>
      </c>
      <c r="J63" s="156"/>
      <c r="K63" s="334"/>
      <c r="L63" s="158">
        <f t="shared" si="15"/>
        <v>0</v>
      </c>
      <c r="M63" s="334"/>
      <c r="N63" s="158">
        <f t="shared" si="16"/>
        <v>0</v>
      </c>
      <c r="O63" s="158">
        <f t="shared" si="17"/>
        <v>0</v>
      </c>
      <c r="P63" s="4"/>
    </row>
    <row r="64" spans="2:17">
      <c r="B64" s="9" t="str">
        <f t="shared" si="6"/>
        <v/>
      </c>
      <c r="C64" s="153">
        <f>IF(D11="","-",+C63+1)</f>
        <v>2056</v>
      </c>
      <c r="D64" s="159">
        <f>IF(F63+SUM(E$17:E63)=D$10,F63,D$10-SUM(E$17:E63))</f>
        <v>0</v>
      </c>
      <c r="E64" s="160">
        <f>IF(+I14&lt;F63,I14,D64)</f>
        <v>0</v>
      </c>
      <c r="F64" s="159">
        <f t="shared" si="13"/>
        <v>0</v>
      </c>
      <c r="G64" s="163">
        <f t="shared" si="11"/>
        <v>0</v>
      </c>
      <c r="H64" s="142">
        <f t="shared" si="12"/>
        <v>0</v>
      </c>
      <c r="I64" s="156">
        <f t="shared" si="14"/>
        <v>0</v>
      </c>
      <c r="J64" s="156"/>
      <c r="K64" s="334"/>
      <c r="L64" s="158">
        <f t="shared" si="15"/>
        <v>0</v>
      </c>
      <c r="M64" s="334"/>
      <c r="N64" s="158">
        <f t="shared" si="16"/>
        <v>0</v>
      </c>
      <c r="O64" s="158">
        <f t="shared" si="17"/>
        <v>0</v>
      </c>
      <c r="P64" s="4"/>
    </row>
    <row r="65" spans="1:16">
      <c r="B65" s="9" t="str">
        <f t="shared" si="6"/>
        <v/>
      </c>
      <c r="C65" s="153">
        <f>IF(D11="","-",+C64+1)</f>
        <v>2057</v>
      </c>
      <c r="D65" s="159">
        <f>IF(F64+SUM(E$17:E64)=D$10,F64,D$10-SUM(E$17:E64))</f>
        <v>0</v>
      </c>
      <c r="E65" s="160">
        <f>IF(+I14&lt;F64,I14,D65)</f>
        <v>0</v>
      </c>
      <c r="F65" s="159">
        <f t="shared" si="13"/>
        <v>0</v>
      </c>
      <c r="G65" s="163">
        <f t="shared" si="11"/>
        <v>0</v>
      </c>
      <c r="H65" s="142">
        <f t="shared" si="12"/>
        <v>0</v>
      </c>
      <c r="I65" s="156">
        <f t="shared" si="14"/>
        <v>0</v>
      </c>
      <c r="J65" s="156"/>
      <c r="K65" s="334"/>
      <c r="L65" s="158">
        <f t="shared" si="15"/>
        <v>0</v>
      </c>
      <c r="M65" s="334"/>
      <c r="N65" s="158">
        <f t="shared" si="16"/>
        <v>0</v>
      </c>
      <c r="O65" s="158">
        <f t="shared" si="17"/>
        <v>0</v>
      </c>
      <c r="P65" s="4"/>
    </row>
    <row r="66" spans="1:16">
      <c r="B66" s="9" t="str">
        <f t="shared" si="6"/>
        <v/>
      </c>
      <c r="C66" s="153">
        <f>IF(D11="","-",+C65+1)</f>
        <v>2058</v>
      </c>
      <c r="D66" s="159">
        <f>IF(F65+SUM(E$17:E65)=D$10,F65,D$10-SUM(E$17:E65))</f>
        <v>0</v>
      </c>
      <c r="E66" s="160">
        <f>IF(+I14&lt;F65,I14,D66)</f>
        <v>0</v>
      </c>
      <c r="F66" s="159">
        <f t="shared" si="13"/>
        <v>0</v>
      </c>
      <c r="G66" s="163">
        <f t="shared" si="11"/>
        <v>0</v>
      </c>
      <c r="H66" s="142">
        <f t="shared" si="12"/>
        <v>0</v>
      </c>
      <c r="I66" s="156">
        <f t="shared" si="14"/>
        <v>0</v>
      </c>
      <c r="J66" s="156"/>
      <c r="K66" s="334"/>
      <c r="L66" s="158">
        <f t="shared" si="15"/>
        <v>0</v>
      </c>
      <c r="M66" s="334"/>
      <c r="N66" s="158">
        <f t="shared" si="16"/>
        <v>0</v>
      </c>
      <c r="O66" s="158">
        <f t="shared" si="17"/>
        <v>0</v>
      </c>
      <c r="P66" s="4"/>
    </row>
    <row r="67" spans="1:16">
      <c r="B67" s="9" t="str">
        <f t="shared" si="6"/>
        <v/>
      </c>
      <c r="C67" s="153">
        <f>IF(D11="","-",+C66+1)</f>
        <v>2059</v>
      </c>
      <c r="D67" s="159">
        <f>IF(F66+SUM(E$17:E66)=D$10,F66,D$10-SUM(E$17:E66))</f>
        <v>0</v>
      </c>
      <c r="E67" s="160">
        <f>IF(+I14&lt;F66,I14,D67)</f>
        <v>0</v>
      </c>
      <c r="F67" s="159">
        <f t="shared" si="13"/>
        <v>0</v>
      </c>
      <c r="G67" s="163">
        <f t="shared" si="11"/>
        <v>0</v>
      </c>
      <c r="H67" s="142">
        <f t="shared" si="12"/>
        <v>0</v>
      </c>
      <c r="I67" s="156">
        <f t="shared" si="14"/>
        <v>0</v>
      </c>
      <c r="J67" s="156"/>
      <c r="K67" s="334"/>
      <c r="L67" s="158">
        <f t="shared" si="15"/>
        <v>0</v>
      </c>
      <c r="M67" s="334"/>
      <c r="N67" s="158">
        <f t="shared" si="16"/>
        <v>0</v>
      </c>
      <c r="O67" s="158">
        <f t="shared" si="17"/>
        <v>0</v>
      </c>
      <c r="P67" s="4"/>
    </row>
    <row r="68" spans="1:16">
      <c r="B68" s="9" t="str">
        <f t="shared" si="6"/>
        <v/>
      </c>
      <c r="C68" s="153">
        <f>IF(D11="","-",+C67+1)</f>
        <v>2060</v>
      </c>
      <c r="D68" s="159">
        <f>IF(F67+SUM(E$17:E67)=D$10,F67,D$10-SUM(E$17:E67))</f>
        <v>0</v>
      </c>
      <c r="E68" s="160">
        <f>IF(+I14&lt;F67,I14,D68)</f>
        <v>0</v>
      </c>
      <c r="F68" s="159">
        <f t="shared" si="13"/>
        <v>0</v>
      </c>
      <c r="G68" s="163">
        <f t="shared" si="11"/>
        <v>0</v>
      </c>
      <c r="H68" s="142">
        <f t="shared" si="12"/>
        <v>0</v>
      </c>
      <c r="I68" s="156">
        <f t="shared" si="14"/>
        <v>0</v>
      </c>
      <c r="J68" s="156"/>
      <c r="K68" s="334"/>
      <c r="L68" s="158">
        <f t="shared" si="15"/>
        <v>0</v>
      </c>
      <c r="M68" s="334"/>
      <c r="N68" s="158">
        <f t="shared" si="16"/>
        <v>0</v>
      </c>
      <c r="O68" s="158">
        <f t="shared" si="17"/>
        <v>0</v>
      </c>
      <c r="P68" s="4"/>
    </row>
    <row r="69" spans="1:16">
      <c r="B69" s="9" t="str">
        <f t="shared" si="6"/>
        <v/>
      </c>
      <c r="C69" s="153">
        <f>IF(D11="","-",+C68+1)</f>
        <v>2061</v>
      </c>
      <c r="D69" s="159">
        <f>IF(F68+SUM(E$17:E68)=D$10,F68,D$10-SUM(E$17:E68))</f>
        <v>0</v>
      </c>
      <c r="E69" s="160">
        <f>IF(+I14&lt;F68,I14,D69)</f>
        <v>0</v>
      </c>
      <c r="F69" s="159">
        <f t="shared" si="13"/>
        <v>0</v>
      </c>
      <c r="G69" s="163">
        <f t="shared" si="11"/>
        <v>0</v>
      </c>
      <c r="H69" s="142">
        <f t="shared" si="12"/>
        <v>0</v>
      </c>
      <c r="I69" s="156">
        <f t="shared" si="14"/>
        <v>0</v>
      </c>
      <c r="J69" s="156"/>
      <c r="K69" s="334"/>
      <c r="L69" s="158">
        <f t="shared" si="15"/>
        <v>0</v>
      </c>
      <c r="M69" s="334"/>
      <c r="N69" s="158">
        <f t="shared" si="16"/>
        <v>0</v>
      </c>
      <c r="O69" s="158">
        <f t="shared" si="17"/>
        <v>0</v>
      </c>
      <c r="P69" s="4"/>
    </row>
    <row r="70" spans="1:16">
      <c r="B70" s="9" t="str">
        <f t="shared" si="6"/>
        <v/>
      </c>
      <c r="C70" s="153">
        <f>IF(D11="","-",+C69+1)</f>
        <v>2062</v>
      </c>
      <c r="D70" s="159">
        <f>IF(F69+SUM(E$17:E69)=D$10,F69,D$10-SUM(E$17:E69))</f>
        <v>0</v>
      </c>
      <c r="E70" s="160">
        <f>IF(+I14&lt;F69,I14,D70)</f>
        <v>0</v>
      </c>
      <c r="F70" s="159">
        <f t="shared" si="13"/>
        <v>0</v>
      </c>
      <c r="G70" s="163">
        <f t="shared" si="11"/>
        <v>0</v>
      </c>
      <c r="H70" s="142">
        <f t="shared" si="12"/>
        <v>0</v>
      </c>
      <c r="I70" s="156">
        <f t="shared" si="14"/>
        <v>0</v>
      </c>
      <c r="J70" s="156"/>
      <c r="K70" s="334"/>
      <c r="L70" s="158">
        <f t="shared" si="15"/>
        <v>0</v>
      </c>
      <c r="M70" s="334"/>
      <c r="N70" s="158">
        <f t="shared" si="16"/>
        <v>0</v>
      </c>
      <c r="O70" s="158">
        <f t="shared" si="17"/>
        <v>0</v>
      </c>
      <c r="P70" s="4"/>
    </row>
    <row r="71" spans="1:16">
      <c r="B71" s="9" t="str">
        <f t="shared" si="6"/>
        <v/>
      </c>
      <c r="C71" s="153">
        <f>IF(D11="","-",+C70+1)</f>
        <v>2063</v>
      </c>
      <c r="D71" s="159">
        <f>IF(F70+SUM(E$17:E70)=D$10,F70,D$10-SUM(E$17:E70))</f>
        <v>0</v>
      </c>
      <c r="E71" s="160">
        <f>IF(+I14&lt;F70,I14,D71)</f>
        <v>0</v>
      </c>
      <c r="F71" s="159">
        <f t="shared" si="13"/>
        <v>0</v>
      </c>
      <c r="G71" s="163">
        <f t="shared" si="11"/>
        <v>0</v>
      </c>
      <c r="H71" s="142">
        <f t="shared" si="12"/>
        <v>0</v>
      </c>
      <c r="I71" s="156">
        <f t="shared" si="14"/>
        <v>0</v>
      </c>
      <c r="J71" s="156"/>
      <c r="K71" s="334"/>
      <c r="L71" s="158">
        <f t="shared" si="15"/>
        <v>0</v>
      </c>
      <c r="M71" s="334"/>
      <c r="N71" s="158">
        <f t="shared" si="16"/>
        <v>0</v>
      </c>
      <c r="O71" s="158">
        <f t="shared" si="17"/>
        <v>0</v>
      </c>
      <c r="P71" s="4"/>
    </row>
    <row r="72" spans="1:16" ht="13.5" thickBot="1">
      <c r="B72" s="9" t="str">
        <f t="shared" si="6"/>
        <v/>
      </c>
      <c r="C72" s="164">
        <f>IF(D11="","-",+C71+1)</f>
        <v>2064</v>
      </c>
      <c r="D72" s="165">
        <f>IF(F71+SUM(E$17:E71)=D$10,F71,D$10-SUM(E$17:E71))</f>
        <v>0</v>
      </c>
      <c r="E72" s="166">
        <f>IF(+I14&lt;F71,I14,D72)</f>
        <v>0</v>
      </c>
      <c r="F72" s="165">
        <f t="shared" si="13"/>
        <v>0</v>
      </c>
      <c r="G72" s="167">
        <f t="shared" si="11"/>
        <v>0</v>
      </c>
      <c r="H72" s="124">
        <f t="shared" si="12"/>
        <v>0</v>
      </c>
      <c r="I72" s="168">
        <f t="shared" si="14"/>
        <v>0</v>
      </c>
      <c r="J72" s="156"/>
      <c r="K72" s="335"/>
      <c r="L72" s="169">
        <f t="shared" si="15"/>
        <v>0</v>
      </c>
      <c r="M72" s="335"/>
      <c r="N72" s="169">
        <f t="shared" si="16"/>
        <v>0</v>
      </c>
      <c r="O72" s="169">
        <f t="shared" si="17"/>
        <v>0</v>
      </c>
      <c r="P72" s="4"/>
    </row>
    <row r="73" spans="1:16">
      <c r="C73" s="154" t="s">
        <v>73</v>
      </c>
      <c r="D73" s="111"/>
      <c r="E73" s="111">
        <f>SUM(E17:E72)</f>
        <v>17671482</v>
      </c>
      <c r="F73" s="111"/>
      <c r="G73" s="111">
        <f>SUM(G17:G72)</f>
        <v>60069313.823047534</v>
      </c>
      <c r="H73" s="111">
        <f>SUM(H17:H72)</f>
        <v>60069313.823047534</v>
      </c>
      <c r="I73" s="111">
        <f>SUM(I17:I72)</f>
        <v>0</v>
      </c>
      <c r="J73" s="111"/>
      <c r="K73" s="111"/>
      <c r="L73" s="111"/>
      <c r="M73" s="111"/>
      <c r="N73" s="111"/>
      <c r="O73" s="4"/>
      <c r="P73" s="4"/>
    </row>
    <row r="74" spans="1:16">
      <c r="D74" s="2"/>
      <c r="E74" s="1"/>
      <c r="F74" s="1"/>
      <c r="G74" s="1"/>
      <c r="H74" s="3"/>
      <c r="I74" s="3"/>
      <c r="J74" s="111"/>
      <c r="K74" s="3"/>
      <c r="L74" s="3"/>
      <c r="M74" s="3"/>
      <c r="N74" s="3"/>
      <c r="O74" s="1"/>
      <c r="P74" s="1"/>
    </row>
    <row r="75" spans="1:16">
      <c r="C75" s="170" t="s">
        <v>91</v>
      </c>
      <c r="D75" s="2"/>
      <c r="E75" s="1"/>
      <c r="F75" s="1"/>
      <c r="G75" s="1"/>
      <c r="H75" s="3"/>
      <c r="I75" s="3"/>
      <c r="J75" s="111"/>
      <c r="K75" s="3"/>
      <c r="L75" s="3"/>
      <c r="M75" s="3"/>
      <c r="N75" s="3"/>
      <c r="O75" s="1"/>
      <c r="P75" s="1"/>
    </row>
    <row r="76" spans="1:16">
      <c r="C76" s="121" t="s">
        <v>74</v>
      </c>
      <c r="D76" s="2"/>
      <c r="E76" s="1"/>
      <c r="F76" s="1"/>
      <c r="G76" s="1"/>
      <c r="H76" s="3"/>
      <c r="I76" s="3"/>
      <c r="J76" s="111"/>
      <c r="K76" s="3"/>
      <c r="L76" s="3"/>
      <c r="M76" s="3"/>
      <c r="N76" s="3"/>
      <c r="O76" s="4"/>
      <c r="P76" s="4"/>
    </row>
    <row r="77" spans="1:16" ht="18">
      <c r="C77" s="121" t="s">
        <v>75</v>
      </c>
      <c r="D77" s="154"/>
      <c r="E77" s="154"/>
      <c r="F77" s="154"/>
      <c r="G77" s="111"/>
      <c r="H77" s="111"/>
      <c r="I77" s="171"/>
      <c r="J77" s="171"/>
      <c r="K77" s="171"/>
      <c r="L77" s="171"/>
      <c r="M77" s="171"/>
      <c r="N77" s="171"/>
      <c r="O77" s="110"/>
      <c r="P77" s="4"/>
    </row>
    <row r="78" spans="1:16">
      <c r="C78" s="121"/>
      <c r="D78" s="154"/>
      <c r="E78" s="154"/>
      <c r="F78" s="154"/>
      <c r="G78" s="111"/>
      <c r="H78" s="111"/>
      <c r="I78" s="171"/>
      <c r="J78" s="171"/>
      <c r="K78" s="171"/>
      <c r="L78" s="171"/>
      <c r="M78" s="171"/>
      <c r="N78" s="171"/>
      <c r="O78" s="4"/>
      <c r="P78" s="1"/>
    </row>
    <row r="79" spans="1:16" ht="15">
      <c r="A79" s="241"/>
      <c r="B79" s="1"/>
      <c r="C79" s="21"/>
      <c r="D79" s="2"/>
      <c r="E79" s="1"/>
      <c r="F79" s="107"/>
      <c r="G79" s="1"/>
      <c r="H79" s="3"/>
      <c r="I79" s="1"/>
      <c r="J79" s="4"/>
      <c r="K79" s="1"/>
      <c r="L79" s="1"/>
      <c r="M79" s="1"/>
      <c r="N79" s="1"/>
    </row>
    <row r="80" spans="1:16" ht="18">
      <c r="B80" s="1"/>
      <c r="C80" s="242"/>
      <c r="D80" s="2"/>
      <c r="E80" s="1"/>
      <c r="F80" s="107"/>
      <c r="G80" s="1"/>
      <c r="H80" s="3"/>
      <c r="I80" s="1"/>
      <c r="J80" s="4"/>
      <c r="K80" s="1"/>
      <c r="L80" s="1"/>
      <c r="M80" s="1"/>
      <c r="N80" s="1"/>
      <c r="P80" s="244" t="s">
        <v>125</v>
      </c>
    </row>
    <row r="81" spans="1:17">
      <c r="B81" s="1"/>
      <c r="C81" s="242"/>
      <c r="D81" s="2"/>
      <c r="E81" s="1"/>
      <c r="F81" s="107"/>
      <c r="G81" s="1"/>
      <c r="H81" s="3"/>
      <c r="I81" s="1"/>
      <c r="J81" s="4"/>
      <c r="K81" s="1"/>
      <c r="L81" s="1"/>
      <c r="M81" s="1"/>
      <c r="N81" s="1"/>
      <c r="O81" s="1"/>
      <c r="P81" s="1"/>
    </row>
    <row r="82" spans="1:17">
      <c r="B82" s="1"/>
      <c r="C82" s="21"/>
      <c r="D82" s="2"/>
      <c r="E82" s="1"/>
      <c r="F82" s="107"/>
      <c r="G82" s="1"/>
      <c r="H82" s="3"/>
      <c r="I82" s="1"/>
      <c r="J82" s="4"/>
      <c r="K82" s="1"/>
      <c r="L82" s="1"/>
      <c r="M82" s="1"/>
      <c r="N82" s="1"/>
      <c r="O82" s="1"/>
      <c r="P82" s="1"/>
      <c r="Q82" s="1"/>
    </row>
    <row r="83" spans="1:17" ht="20.25">
      <c r="A83" s="243" t="s">
        <v>129</v>
      </c>
      <c r="B83" s="1"/>
      <c r="C83" s="21"/>
      <c r="D83" s="2"/>
      <c r="E83" s="1"/>
      <c r="F83" s="99"/>
      <c r="G83" s="99"/>
      <c r="H83" s="1"/>
      <c r="I83" s="3"/>
      <c r="K83" s="7"/>
      <c r="L83" s="109"/>
      <c r="M83" s="109"/>
      <c r="P83" s="110" t="str">
        <f ca="1">P1</f>
        <v>SWEPCO Project 1 of 73</v>
      </c>
      <c r="Q83" s="1"/>
    </row>
    <row r="84" spans="1:17" ht="18">
      <c r="B84" s="1"/>
      <c r="C84" s="1"/>
      <c r="D84" s="2"/>
      <c r="E84" s="1"/>
      <c r="F84" s="1"/>
      <c r="G84" s="1"/>
      <c r="H84" s="1"/>
      <c r="I84" s="3"/>
      <c r="J84" s="1"/>
      <c r="K84" s="4"/>
      <c r="L84" s="1"/>
      <c r="M84" s="1"/>
      <c r="P84" s="237" t="s">
        <v>123</v>
      </c>
      <c r="Q84" s="1"/>
    </row>
    <row r="85" spans="1:17" ht="18.75" thickBot="1">
      <c r="B85" s="5" t="s">
        <v>40</v>
      </c>
      <c r="C85" s="197" t="s">
        <v>78</v>
      </c>
      <c r="D85" s="2"/>
      <c r="E85" s="1"/>
      <c r="F85" s="1"/>
      <c r="G85" s="1"/>
      <c r="H85" s="1"/>
      <c r="I85" s="3"/>
      <c r="J85" s="3"/>
      <c r="K85" s="111"/>
      <c r="L85" s="3"/>
      <c r="M85" s="3"/>
      <c r="N85" s="3"/>
      <c r="O85" s="111"/>
      <c r="P85" s="1"/>
      <c r="Q85" s="1"/>
    </row>
    <row r="86" spans="1:17" ht="15.75" thickBot="1">
      <c r="C86" s="67"/>
      <c r="D86" s="2"/>
      <c r="E86" s="1"/>
      <c r="F86" s="1"/>
      <c r="G86" s="1"/>
      <c r="H86" s="1"/>
      <c r="I86" s="3"/>
      <c r="J86" s="3"/>
      <c r="K86" s="111"/>
      <c r="L86" s="265">
        <f>+J92</f>
        <v>2017</v>
      </c>
      <c r="M86" s="266" t="s">
        <v>7</v>
      </c>
      <c r="N86" s="270" t="s">
        <v>154</v>
      </c>
      <c r="O86" s="267" t="s">
        <v>9</v>
      </c>
      <c r="P86" s="1"/>
      <c r="Q86" s="1"/>
    </row>
    <row r="87" spans="1:17" ht="15">
      <c r="C87" s="235" t="s">
        <v>42</v>
      </c>
      <c r="D87" s="2"/>
      <c r="E87" s="1"/>
      <c r="F87" s="1"/>
      <c r="G87" s="1"/>
      <c r="H87" s="113"/>
      <c r="I87" s="1" t="s">
        <v>43</v>
      </c>
      <c r="J87" s="1"/>
      <c r="K87" s="261"/>
      <c r="L87" s="259" t="s">
        <v>381</v>
      </c>
      <c r="M87" s="198">
        <f>IF(J92&lt;D11,0,VLOOKUP(J92,C17:O72,9))</f>
        <v>2202992.5205155816</v>
      </c>
      <c r="N87" s="198">
        <f>IF(J92&lt;D11,0,VLOOKUP(J92,C17:O72,11))</f>
        <v>2202992.5205155816</v>
      </c>
      <c r="O87" s="199">
        <f>+N87-M87</f>
        <v>0</v>
      </c>
      <c r="P87" s="1"/>
      <c r="Q87" s="1"/>
    </row>
    <row r="88" spans="1:17" ht="15.75">
      <c r="C88" s="8"/>
      <c r="D88" s="2"/>
      <c r="E88" s="1"/>
      <c r="F88" s="1"/>
      <c r="G88" s="1"/>
      <c r="H88" s="1"/>
      <c r="I88" s="117"/>
      <c r="J88" s="117"/>
      <c r="K88" s="263"/>
      <c r="L88" s="264" t="s">
        <v>382</v>
      </c>
      <c r="M88" s="200">
        <f>IF(J92&lt;D11,0,VLOOKUP(J92,C99:P154,6))</f>
        <v>2183954.2915421841</v>
      </c>
      <c r="N88" s="200">
        <f>IF(J92&lt;D11,0,VLOOKUP(J92,C99:P154,7))</f>
        <v>2183954.2915421841</v>
      </c>
      <c r="O88" s="201">
        <f>+N88-M88</f>
        <v>0</v>
      </c>
      <c r="P88" s="1"/>
      <c r="Q88" s="1"/>
    </row>
    <row r="89" spans="1:17" ht="13.5" thickBot="1">
      <c r="C89" s="121" t="s">
        <v>79</v>
      </c>
      <c r="D89" s="246" t="str">
        <f>+D7</f>
        <v>Arsenal Hill Auto xfmr &amp; AH to Water Works line</v>
      </c>
      <c r="E89" s="1"/>
      <c r="F89" s="1"/>
      <c r="G89" s="1"/>
      <c r="H89" s="1"/>
      <c r="I89" s="3"/>
      <c r="J89" s="3"/>
      <c r="K89" s="262"/>
      <c r="L89" s="260" t="s">
        <v>151</v>
      </c>
      <c r="M89" s="203">
        <f>+M88-M87</f>
        <v>-19038.228973397519</v>
      </c>
      <c r="N89" s="203">
        <f>+N88-N87</f>
        <v>-19038.228973397519</v>
      </c>
      <c r="O89" s="204">
        <f>+O88-O87</f>
        <v>0</v>
      </c>
      <c r="P89" s="1"/>
      <c r="Q89" s="1"/>
    </row>
    <row r="90" spans="1:17" ht="13.5" thickBot="1">
      <c r="C90" s="170"/>
      <c r="D90" s="173" t="str">
        <f>D8</f>
        <v/>
      </c>
      <c r="E90" s="107"/>
      <c r="F90" s="107"/>
      <c r="G90" s="107"/>
      <c r="H90" s="126"/>
      <c r="I90" s="3"/>
      <c r="J90" s="3"/>
      <c r="K90" s="111"/>
      <c r="L90" s="3"/>
      <c r="M90" s="3"/>
      <c r="N90" s="3"/>
      <c r="O90" s="111"/>
      <c r="P90" s="1"/>
      <c r="Q90" s="1"/>
    </row>
    <row r="91" spans="1:17" ht="13.5" thickBot="1">
      <c r="A91" s="103"/>
      <c r="C91" s="205" t="s">
        <v>80</v>
      </c>
      <c r="D91" s="224" t="str">
        <f>+D9</f>
        <v>TP2007057</v>
      </c>
      <c r="E91" s="206"/>
      <c r="F91" s="206"/>
      <c r="G91" s="206"/>
      <c r="H91" s="206"/>
      <c r="I91" s="206"/>
      <c r="J91" s="238"/>
      <c r="K91" s="207"/>
      <c r="P91" s="131"/>
      <c r="Q91" s="1"/>
    </row>
    <row r="92" spans="1:17">
      <c r="C92" s="136" t="s">
        <v>47</v>
      </c>
      <c r="D92" s="133">
        <v>17671482</v>
      </c>
      <c r="E92" s="21" t="s">
        <v>81</v>
      </c>
      <c r="H92" s="134"/>
      <c r="I92" s="134"/>
      <c r="J92" s="135">
        <f>+'SWE.WS.G.BPU.ATRR.True-up'!M15</f>
        <v>2017</v>
      </c>
      <c r="K92" s="130"/>
      <c r="L92" s="111" t="s">
        <v>82</v>
      </c>
      <c r="P92" s="4"/>
      <c r="Q92" s="1"/>
    </row>
    <row r="93" spans="1:17">
      <c r="C93" s="136" t="s">
        <v>49</v>
      </c>
      <c r="D93" s="219">
        <f>IF(D11=I10,"",D11)</f>
        <v>2009</v>
      </c>
      <c r="E93" s="136" t="s">
        <v>50</v>
      </c>
      <c r="F93" s="134"/>
      <c r="G93" s="134"/>
      <c r="J93" s="138">
        <f>IF(H87="",0,'SWE.WS.G.BPU.ATRR.True-up'!$F$12)</f>
        <v>0</v>
      </c>
      <c r="K93" s="139"/>
      <c r="L93" t="str">
        <f>"          INPUT TRUE-UP ARR (WITH &amp; WITHOUT INCENTIVES) FROM EACH PRIOR YEAR"</f>
        <v xml:space="preserve">          INPUT TRUE-UP ARR (WITH &amp; WITHOUT INCENTIVES) FROM EACH PRIOR YEAR</v>
      </c>
      <c r="P93" s="4"/>
      <c r="Q93" s="1"/>
    </row>
    <row r="94" spans="1:17">
      <c r="C94" s="136" t="s">
        <v>51</v>
      </c>
      <c r="D94" s="218">
        <f>IF(D11=I10,"",D12)</f>
        <v>12</v>
      </c>
      <c r="E94" s="136" t="s">
        <v>52</v>
      </c>
      <c r="F94" s="134"/>
      <c r="G94" s="134"/>
      <c r="J94" s="140">
        <f>'SWE.WS.G.BPU.ATRR.True-up'!$F$80</f>
        <v>0.12147145768398206</v>
      </c>
      <c r="K94" s="141"/>
      <c r="L94" t="s">
        <v>83</v>
      </c>
      <c r="P94" s="4"/>
      <c r="Q94" s="1"/>
    </row>
    <row r="95" spans="1:17">
      <c r="C95" s="136" t="s">
        <v>54</v>
      </c>
      <c r="D95" s="138">
        <f>'SWE.WS.G.BPU.ATRR.True-up'!F$92</f>
        <v>42</v>
      </c>
      <c r="E95" s="136" t="s">
        <v>55</v>
      </c>
      <c r="F95" s="134"/>
      <c r="G95" s="134"/>
      <c r="J95" s="140">
        <f>IF(H87="",J94,'SWE.WS.G.BPU.ATRR.True-up'!$F$79)</f>
        <v>0.12147145768398206</v>
      </c>
      <c r="K95" s="58"/>
      <c r="L95" s="111" t="s">
        <v>56</v>
      </c>
      <c r="M95" s="58"/>
      <c r="N95" s="58"/>
      <c r="O95" s="58"/>
      <c r="P95" s="4"/>
      <c r="Q95" s="1"/>
    </row>
    <row r="96" spans="1:17" ht="13.5" thickBot="1">
      <c r="C96" s="136" t="s">
        <v>57</v>
      </c>
      <c r="D96" s="220" t="str">
        <f>+D14</f>
        <v>No</v>
      </c>
      <c r="E96" s="202" t="s">
        <v>59</v>
      </c>
      <c r="F96" s="208"/>
      <c r="G96" s="208"/>
      <c r="H96" s="209"/>
      <c r="I96" s="209"/>
      <c r="J96" s="124">
        <f>IF(D92=0,0,D92/D95)</f>
        <v>420749.57142857142</v>
      </c>
      <c r="K96" s="111"/>
      <c r="L96" s="111"/>
      <c r="M96" s="111"/>
      <c r="N96" s="111"/>
      <c r="O96" s="111"/>
      <c r="P96" s="4"/>
      <c r="Q96" s="1"/>
    </row>
    <row r="97" spans="1:17" ht="38.25">
      <c r="A97" s="6"/>
      <c r="B97" s="6"/>
      <c r="C97" s="210" t="s">
        <v>47</v>
      </c>
      <c r="D97" s="211" t="s">
        <v>60</v>
      </c>
      <c r="E97" s="146" t="s">
        <v>61</v>
      </c>
      <c r="F97" s="146" t="s">
        <v>62</v>
      </c>
      <c r="G97" s="144" t="s">
        <v>84</v>
      </c>
      <c r="H97" s="434" t="s">
        <v>378</v>
      </c>
      <c r="I97" s="435" t="s">
        <v>379</v>
      </c>
      <c r="J97" s="210" t="s">
        <v>85</v>
      </c>
      <c r="K97" s="212"/>
      <c r="L97" s="271" t="s">
        <v>220</v>
      </c>
      <c r="M97" s="146" t="s">
        <v>86</v>
      </c>
      <c r="N97" s="271" t="s">
        <v>220</v>
      </c>
      <c r="O97" s="146" t="s">
        <v>86</v>
      </c>
      <c r="P97" s="146" t="s">
        <v>65</v>
      </c>
      <c r="Q97" s="1"/>
    </row>
    <row r="98" spans="1:17" ht="13.5" thickBot="1">
      <c r="C98" s="147" t="s">
        <v>66</v>
      </c>
      <c r="D98" s="213" t="s">
        <v>67</v>
      </c>
      <c r="E98" s="147" t="s">
        <v>68</v>
      </c>
      <c r="F98" s="147" t="s">
        <v>67</v>
      </c>
      <c r="G98" s="147" t="s">
        <v>67</v>
      </c>
      <c r="H98" s="407" t="s">
        <v>69</v>
      </c>
      <c r="I98" s="148" t="s">
        <v>70</v>
      </c>
      <c r="J98" s="149" t="s">
        <v>89</v>
      </c>
      <c r="K98" s="150"/>
      <c r="L98" s="151" t="s">
        <v>72</v>
      </c>
      <c r="M98" s="151" t="s">
        <v>72</v>
      </c>
      <c r="N98" s="151" t="s">
        <v>90</v>
      </c>
      <c r="O98" s="151" t="s">
        <v>90</v>
      </c>
      <c r="P98" s="151" t="s">
        <v>90</v>
      </c>
      <c r="Q98" s="1"/>
    </row>
    <row r="99" spans="1:17">
      <c r="C99" s="153">
        <f>IF(D93= "","-",D93)</f>
        <v>2009</v>
      </c>
      <c r="D99" s="357">
        <v>0</v>
      </c>
      <c r="E99" s="360">
        <v>0</v>
      </c>
      <c r="F99" s="361">
        <v>12134740</v>
      </c>
      <c r="G99" s="365">
        <v>6067370</v>
      </c>
      <c r="H99" s="362">
        <v>878177</v>
      </c>
      <c r="I99" s="363">
        <v>878177</v>
      </c>
      <c r="J99" s="158">
        <f t="shared" ref="J99:J130" si="18">+I99-H99</f>
        <v>0</v>
      </c>
      <c r="K99" s="158"/>
      <c r="L99" s="256">
        <f t="shared" ref="L99:L104" si="19">H99</f>
        <v>878177</v>
      </c>
      <c r="M99" s="157">
        <f t="shared" ref="M99:M130" si="20">IF(L99&lt;&gt;0,+H99-L99,0)</f>
        <v>0</v>
      </c>
      <c r="N99" s="256">
        <f t="shared" ref="N99:N104" si="21">I99</f>
        <v>878177</v>
      </c>
      <c r="O99" s="157">
        <f t="shared" ref="O99:O130" si="22">IF(N99&lt;&gt;0,+I99-N99,0)</f>
        <v>0</v>
      </c>
      <c r="P99" s="157">
        <f t="shared" ref="P99:P130" si="23">+O99-M99</f>
        <v>0</v>
      </c>
      <c r="Q99" s="1"/>
    </row>
    <row r="100" spans="1:17">
      <c r="B100" s="9" t="str">
        <f>IF(D100=F99,"","IU")</f>
        <v>IU</v>
      </c>
      <c r="C100" s="153">
        <f>IF(D93="","-",+C99+1)</f>
        <v>2010</v>
      </c>
      <c r="D100" s="357">
        <v>17671482</v>
      </c>
      <c r="E100" s="360">
        <v>431011.75609756098</v>
      </c>
      <c r="F100" s="361">
        <v>17240470.243902437</v>
      </c>
      <c r="G100" s="361">
        <v>17455976.121951219</v>
      </c>
      <c r="H100" s="360">
        <v>3312750.4635227108</v>
      </c>
      <c r="I100" s="359">
        <v>3312750.4635227108</v>
      </c>
      <c r="J100" s="158">
        <f t="shared" si="18"/>
        <v>0</v>
      </c>
      <c r="K100" s="158"/>
      <c r="L100" s="258">
        <f t="shared" si="19"/>
        <v>3312750.4635227108</v>
      </c>
      <c r="M100" s="257">
        <f t="shared" si="20"/>
        <v>0</v>
      </c>
      <c r="N100" s="258">
        <f t="shared" si="21"/>
        <v>3312750.4635227108</v>
      </c>
      <c r="O100" s="158">
        <f t="shared" si="22"/>
        <v>0</v>
      </c>
      <c r="P100" s="158">
        <f t="shared" si="23"/>
        <v>0</v>
      </c>
      <c r="Q100" s="1"/>
    </row>
    <row r="101" spans="1:17">
      <c r="B101" s="9" t="str">
        <f t="shared" ref="B101:B154" si="24">IF(D101=F100,"","IU")</f>
        <v/>
      </c>
      <c r="C101" s="153">
        <f>IF(D93="","-",+C100+1)</f>
        <v>2011</v>
      </c>
      <c r="D101" s="357">
        <v>17240470.243902437</v>
      </c>
      <c r="E101" s="377">
        <v>420749.57142857142</v>
      </c>
      <c r="F101" s="361">
        <v>16819720.672473866</v>
      </c>
      <c r="G101" s="361">
        <v>17030095.458188154</v>
      </c>
      <c r="H101" s="360">
        <v>2981733.6450111624</v>
      </c>
      <c r="I101" s="359">
        <v>2981733.6450111624</v>
      </c>
      <c r="J101" s="158">
        <f t="shared" si="18"/>
        <v>0</v>
      </c>
      <c r="K101" s="158"/>
      <c r="L101" s="258">
        <f t="shared" si="19"/>
        <v>2981733.6450111624</v>
      </c>
      <c r="M101" s="257">
        <f t="shared" si="20"/>
        <v>0</v>
      </c>
      <c r="N101" s="258">
        <f t="shared" si="21"/>
        <v>2981733.6450111624</v>
      </c>
      <c r="O101" s="158">
        <f t="shared" si="22"/>
        <v>0</v>
      </c>
      <c r="P101" s="158">
        <f t="shared" si="23"/>
        <v>0</v>
      </c>
      <c r="Q101" s="1"/>
    </row>
    <row r="102" spans="1:17">
      <c r="B102" s="9" t="str">
        <f t="shared" si="24"/>
        <v/>
      </c>
      <c r="C102" s="153">
        <f>IF(D93="","-",+C101+1)</f>
        <v>2012</v>
      </c>
      <c r="D102" s="357">
        <v>16819720.672473866</v>
      </c>
      <c r="E102" s="377">
        <v>420749.57142857142</v>
      </c>
      <c r="F102" s="361">
        <v>16398971.101045296</v>
      </c>
      <c r="G102" s="361">
        <v>16609345.886759581</v>
      </c>
      <c r="H102" s="360">
        <v>2864880.1232274803</v>
      </c>
      <c r="I102" s="359">
        <v>2864880.1232274803</v>
      </c>
      <c r="J102" s="158">
        <v>0</v>
      </c>
      <c r="K102" s="158"/>
      <c r="L102" s="258">
        <f t="shared" si="19"/>
        <v>2864880.1232274803</v>
      </c>
      <c r="M102" s="257">
        <f>IF(L102&lt;&gt;0,+H102-L102,0)</f>
        <v>0</v>
      </c>
      <c r="N102" s="258">
        <f t="shared" si="21"/>
        <v>2864880.1232274803</v>
      </c>
      <c r="O102" s="158">
        <f>IF(N102&lt;&gt;0,+I102-N102,0)</f>
        <v>0</v>
      </c>
      <c r="P102" s="158">
        <f>+O102-M102</f>
        <v>0</v>
      </c>
      <c r="Q102" s="1"/>
    </row>
    <row r="103" spans="1:17">
      <c r="B103" s="9" t="str">
        <f t="shared" si="24"/>
        <v/>
      </c>
      <c r="C103" s="153">
        <f>IF(D93="","-",+C102+1)</f>
        <v>2013</v>
      </c>
      <c r="D103" s="357">
        <v>16398971.101045296</v>
      </c>
      <c r="E103" s="377">
        <v>420749.57142857142</v>
      </c>
      <c r="F103" s="361">
        <v>15978221.529616725</v>
      </c>
      <c r="G103" s="361">
        <v>16188596.31533101</v>
      </c>
      <c r="H103" s="360">
        <v>2610932.3249301547</v>
      </c>
      <c r="I103" s="359">
        <v>2610932.3249301547</v>
      </c>
      <c r="J103" s="158">
        <v>0</v>
      </c>
      <c r="K103" s="158"/>
      <c r="L103" s="258">
        <f t="shared" si="19"/>
        <v>2610932.3249301547</v>
      </c>
      <c r="M103" s="257">
        <f>IF(L103&lt;&gt;0,+H103-L103,0)</f>
        <v>0</v>
      </c>
      <c r="N103" s="258">
        <f t="shared" si="21"/>
        <v>2610932.3249301547</v>
      </c>
      <c r="O103" s="158">
        <f>IF(N103&lt;&gt;0,+I103-N103,0)</f>
        <v>0</v>
      </c>
      <c r="P103" s="158">
        <f>+O103-M103</f>
        <v>0</v>
      </c>
      <c r="Q103" s="1"/>
    </row>
    <row r="104" spans="1:17">
      <c r="B104" s="9" t="str">
        <f t="shared" si="24"/>
        <v/>
      </c>
      <c r="C104" s="153">
        <f>IF(D93="","-",+C103+1)</f>
        <v>2014</v>
      </c>
      <c r="D104" s="357">
        <v>15978221.529616725</v>
      </c>
      <c r="E104" s="377">
        <v>420749.57142857142</v>
      </c>
      <c r="F104" s="361">
        <v>15557471.958188154</v>
      </c>
      <c r="G104" s="361">
        <v>15767846.743902439</v>
      </c>
      <c r="H104" s="360">
        <v>2563969.8538958314</v>
      </c>
      <c r="I104" s="359">
        <v>2563969.8538958314</v>
      </c>
      <c r="J104" s="158">
        <v>0</v>
      </c>
      <c r="K104" s="158"/>
      <c r="L104" s="258">
        <f t="shared" si="19"/>
        <v>2563969.8538958314</v>
      </c>
      <c r="M104" s="257">
        <f>IF(L104&lt;&gt;0,+H104-L104,0)</f>
        <v>0</v>
      </c>
      <c r="N104" s="258">
        <f t="shared" si="21"/>
        <v>2563969.8538958314</v>
      </c>
      <c r="O104" s="158">
        <f>IF(N104&lt;&gt;0,+I104-N104,0)</f>
        <v>0</v>
      </c>
      <c r="P104" s="158">
        <f>+O104-M104</f>
        <v>0</v>
      </c>
      <c r="Q104" s="1"/>
    </row>
    <row r="105" spans="1:17">
      <c r="B105" s="9" t="str">
        <f t="shared" si="24"/>
        <v/>
      </c>
      <c r="C105" s="153">
        <f>IF(D93="","-",+C104+1)</f>
        <v>2015</v>
      </c>
      <c r="D105" s="357">
        <v>15557471.958188154</v>
      </c>
      <c r="E105" s="377">
        <v>420749.57142857142</v>
      </c>
      <c r="F105" s="361">
        <v>15136722.386759583</v>
      </c>
      <c r="G105" s="361">
        <v>15347097.172473868</v>
      </c>
      <c r="H105" s="360">
        <v>2443019.3444839055</v>
      </c>
      <c r="I105" s="359">
        <v>2443019.3444839055</v>
      </c>
      <c r="J105" s="158">
        <f t="shared" si="18"/>
        <v>0</v>
      </c>
      <c r="K105" s="158"/>
      <c r="L105" s="258">
        <f>H105</f>
        <v>2443019.3444839055</v>
      </c>
      <c r="M105" s="257">
        <f>IF(L105&lt;&gt;0,+H105-L105,0)</f>
        <v>0</v>
      </c>
      <c r="N105" s="258">
        <f>I105</f>
        <v>2443019.3444839055</v>
      </c>
      <c r="O105" s="158">
        <f>IF(N105&lt;&gt;0,+I105-N105,0)</f>
        <v>0</v>
      </c>
      <c r="P105" s="158">
        <f>+O105-M105</f>
        <v>0</v>
      </c>
      <c r="Q105" s="1"/>
    </row>
    <row r="106" spans="1:17">
      <c r="B106" s="9" t="str">
        <f t="shared" si="24"/>
        <v/>
      </c>
      <c r="C106" s="153">
        <f>IF(D93="","-",+C105+1)</f>
        <v>2016</v>
      </c>
      <c r="D106" s="357">
        <v>15136722.386759583</v>
      </c>
      <c r="E106" s="377">
        <v>410964.69767441862</v>
      </c>
      <c r="F106" s="361">
        <v>14725757.689085165</v>
      </c>
      <c r="G106" s="361">
        <v>14931240.037922375</v>
      </c>
      <c r="H106" s="360">
        <v>2306485.4456193848</v>
      </c>
      <c r="I106" s="359">
        <v>2306485.4456193848</v>
      </c>
      <c r="J106" s="158">
        <f t="shared" si="18"/>
        <v>0</v>
      </c>
      <c r="K106" s="158"/>
      <c r="L106" s="258">
        <f>H106</f>
        <v>2306485.4456193848</v>
      </c>
      <c r="M106" s="257">
        <f>IF(L106&lt;&gt;0,+H106-L106,0)</f>
        <v>0</v>
      </c>
      <c r="N106" s="258">
        <f>I106</f>
        <v>2306485.4456193848</v>
      </c>
      <c r="O106" s="158">
        <f>IF(N106&lt;&gt;0,+I106-N106,0)</f>
        <v>0</v>
      </c>
      <c r="P106" s="158">
        <f>+O106-M106</f>
        <v>0</v>
      </c>
      <c r="Q106" s="1"/>
    </row>
    <row r="107" spans="1:17">
      <c r="B107" s="9" t="str">
        <f t="shared" si="24"/>
        <v/>
      </c>
      <c r="C107" s="153">
        <f>IF(D93="","-",+C106+1)</f>
        <v>2017</v>
      </c>
      <c r="D107" s="154">
        <f>IF(F106+SUM(E$99:E106)=D$92,F106,D$92-SUM(E$99:E106))</f>
        <v>14725757.689085165</v>
      </c>
      <c r="E107" s="160">
        <f>IF(+J96&lt;F106,J96,D107)</f>
        <v>420749.57142857142</v>
      </c>
      <c r="F107" s="159">
        <f t="shared" ref="F107:F130" si="25">+D107-E107</f>
        <v>14305008.117656594</v>
      </c>
      <c r="G107" s="159">
        <f t="shared" ref="G107:G130" si="26">+(F107+D107)/2</f>
        <v>14515382.90337088</v>
      </c>
      <c r="H107" s="163">
        <f t="shared" ref="H107:H112" si="27">+J$94*G107+E107</f>
        <v>2183954.2915421841</v>
      </c>
      <c r="I107" s="253">
        <f t="shared" ref="I107:I112" si="28">+J$95*G107+E107</f>
        <v>2183954.2915421841</v>
      </c>
      <c r="J107" s="158">
        <f t="shared" si="18"/>
        <v>0</v>
      </c>
      <c r="K107" s="158"/>
      <c r="L107" s="334"/>
      <c r="M107" s="158">
        <f t="shared" si="20"/>
        <v>0</v>
      </c>
      <c r="N107" s="334"/>
      <c r="O107" s="158">
        <f t="shared" si="22"/>
        <v>0</v>
      </c>
      <c r="P107" s="158">
        <f t="shared" si="23"/>
        <v>0</v>
      </c>
      <c r="Q107" s="1"/>
    </row>
    <row r="108" spans="1:17">
      <c r="B108" s="9" t="str">
        <f t="shared" si="24"/>
        <v/>
      </c>
      <c r="C108" s="153">
        <f>IF(D93="","-",+C107+1)</f>
        <v>2018</v>
      </c>
      <c r="D108" s="154">
        <f>IF(F107+SUM(E$99:E107)=D$92,F107,D$92-SUM(E$99:E107))</f>
        <v>14305008.117656594</v>
      </c>
      <c r="E108" s="160">
        <f>IF(+J96&lt;F107,J96,D108)</f>
        <v>420749.57142857142</v>
      </c>
      <c r="F108" s="159">
        <f t="shared" si="25"/>
        <v>13884258.546228023</v>
      </c>
      <c r="G108" s="159">
        <f t="shared" si="26"/>
        <v>14094633.331942309</v>
      </c>
      <c r="H108" s="163">
        <f t="shared" si="27"/>
        <v>2132845.2277808446</v>
      </c>
      <c r="I108" s="253">
        <f t="shared" si="28"/>
        <v>2132845.2277808446</v>
      </c>
      <c r="J108" s="158">
        <f t="shared" si="18"/>
        <v>0</v>
      </c>
      <c r="K108" s="158"/>
      <c r="L108" s="334"/>
      <c r="M108" s="158">
        <f t="shared" si="20"/>
        <v>0</v>
      </c>
      <c r="N108" s="334"/>
      <c r="O108" s="158">
        <f t="shared" si="22"/>
        <v>0</v>
      </c>
      <c r="P108" s="158">
        <f t="shared" si="23"/>
        <v>0</v>
      </c>
      <c r="Q108" s="1"/>
    </row>
    <row r="109" spans="1:17">
      <c r="B109" s="9" t="str">
        <f t="shared" si="24"/>
        <v/>
      </c>
      <c r="C109" s="153">
        <f>IF(D93="","-",+C108+1)</f>
        <v>2019</v>
      </c>
      <c r="D109" s="154">
        <f>IF(F108+SUM(E$99:E108)=D$92,F108,D$92-SUM(E$99:E108))</f>
        <v>13884258.546228023</v>
      </c>
      <c r="E109" s="160">
        <f>IF(+J96&lt;F108,J96,D109)</f>
        <v>420749.57142857142</v>
      </c>
      <c r="F109" s="159">
        <f t="shared" si="25"/>
        <v>13463508.974799452</v>
      </c>
      <c r="G109" s="159">
        <f t="shared" si="26"/>
        <v>13673883.760513738</v>
      </c>
      <c r="H109" s="163">
        <f t="shared" si="27"/>
        <v>2081736.1640195053</v>
      </c>
      <c r="I109" s="253">
        <f t="shared" si="28"/>
        <v>2081736.1640195053</v>
      </c>
      <c r="J109" s="158">
        <f t="shared" si="18"/>
        <v>0</v>
      </c>
      <c r="K109" s="158"/>
      <c r="L109" s="334"/>
      <c r="M109" s="158">
        <f t="shared" si="20"/>
        <v>0</v>
      </c>
      <c r="N109" s="334"/>
      <c r="O109" s="158">
        <f t="shared" si="22"/>
        <v>0</v>
      </c>
      <c r="P109" s="158">
        <f t="shared" si="23"/>
        <v>0</v>
      </c>
      <c r="Q109" s="1"/>
    </row>
    <row r="110" spans="1:17">
      <c r="B110" s="9" t="str">
        <f t="shared" si="24"/>
        <v/>
      </c>
      <c r="C110" s="153">
        <f>IF(D93="","-",+C109+1)</f>
        <v>2020</v>
      </c>
      <c r="D110" s="154">
        <f>IF(F109+SUM(E$99:E109)=D$92,F109,D$92-SUM(E$99:E109))</f>
        <v>13463508.974799452</v>
      </c>
      <c r="E110" s="160">
        <f>IF(+J96&lt;F109,J96,D110)</f>
        <v>420749.57142857142</v>
      </c>
      <c r="F110" s="159">
        <f t="shared" si="25"/>
        <v>13042759.403370881</v>
      </c>
      <c r="G110" s="159">
        <f t="shared" si="26"/>
        <v>13253134.189085167</v>
      </c>
      <c r="H110" s="163">
        <f t="shared" si="27"/>
        <v>2030627.100258166</v>
      </c>
      <c r="I110" s="253">
        <f t="shared" si="28"/>
        <v>2030627.100258166</v>
      </c>
      <c r="J110" s="158">
        <f t="shared" si="18"/>
        <v>0</v>
      </c>
      <c r="K110" s="158"/>
      <c r="L110" s="334"/>
      <c r="M110" s="158">
        <f t="shared" si="20"/>
        <v>0</v>
      </c>
      <c r="N110" s="334"/>
      <c r="O110" s="158">
        <f t="shared" si="22"/>
        <v>0</v>
      </c>
      <c r="P110" s="158">
        <f t="shared" si="23"/>
        <v>0</v>
      </c>
      <c r="Q110" s="1"/>
    </row>
    <row r="111" spans="1:17">
      <c r="B111" s="9" t="str">
        <f t="shared" si="24"/>
        <v/>
      </c>
      <c r="C111" s="153">
        <f>IF(D93="","-",+C110+1)</f>
        <v>2021</v>
      </c>
      <c r="D111" s="154">
        <f>IF(F110+SUM(E$99:E110)=D$92,F110,D$92-SUM(E$99:E110))</f>
        <v>13042759.403370881</v>
      </c>
      <c r="E111" s="160">
        <f>IF(+J96&lt;F110,J96,D111)</f>
        <v>420749.57142857142</v>
      </c>
      <c r="F111" s="159">
        <f t="shared" si="25"/>
        <v>12622009.831942311</v>
      </c>
      <c r="G111" s="159">
        <f t="shared" si="26"/>
        <v>12832384.617656596</v>
      </c>
      <c r="H111" s="163">
        <f t="shared" si="27"/>
        <v>1979518.0364968269</v>
      </c>
      <c r="I111" s="253">
        <f t="shared" si="28"/>
        <v>1979518.0364968269</v>
      </c>
      <c r="J111" s="158">
        <f t="shared" si="18"/>
        <v>0</v>
      </c>
      <c r="K111" s="158"/>
      <c r="L111" s="334"/>
      <c r="M111" s="158">
        <f t="shared" si="20"/>
        <v>0</v>
      </c>
      <c r="N111" s="334"/>
      <c r="O111" s="158">
        <f t="shared" si="22"/>
        <v>0</v>
      </c>
      <c r="P111" s="158">
        <f t="shared" si="23"/>
        <v>0</v>
      </c>
      <c r="Q111" s="1"/>
    </row>
    <row r="112" spans="1:17">
      <c r="B112" s="9" t="str">
        <f t="shared" si="24"/>
        <v/>
      </c>
      <c r="C112" s="153">
        <f>IF(D93="","-",+C111+1)</f>
        <v>2022</v>
      </c>
      <c r="D112" s="154">
        <f>IF(F111+SUM(E$99:E111)=D$92,F111,D$92-SUM(E$99:E111))</f>
        <v>12622009.831942311</v>
      </c>
      <c r="E112" s="160">
        <f>IF(+J96&lt;F111,J96,D112)</f>
        <v>420749.57142857142</v>
      </c>
      <c r="F112" s="159">
        <f t="shared" si="25"/>
        <v>12201260.26051374</v>
      </c>
      <c r="G112" s="159">
        <f t="shared" si="26"/>
        <v>12411635.046228025</v>
      </c>
      <c r="H112" s="163">
        <f t="shared" si="27"/>
        <v>1928408.9727354876</v>
      </c>
      <c r="I112" s="253">
        <f t="shared" si="28"/>
        <v>1928408.9727354876</v>
      </c>
      <c r="J112" s="158">
        <f t="shared" si="18"/>
        <v>0</v>
      </c>
      <c r="K112" s="158"/>
      <c r="L112" s="334"/>
      <c r="M112" s="158">
        <f t="shared" si="20"/>
        <v>0</v>
      </c>
      <c r="N112" s="334"/>
      <c r="O112" s="158">
        <f t="shared" si="22"/>
        <v>0</v>
      </c>
      <c r="P112" s="158">
        <f t="shared" si="23"/>
        <v>0</v>
      </c>
      <c r="Q112" s="1"/>
    </row>
    <row r="113" spans="2:17">
      <c r="B113" s="9" t="str">
        <f t="shared" si="24"/>
        <v/>
      </c>
      <c r="C113" s="153">
        <f>IF(D93="","-",+C112+1)</f>
        <v>2023</v>
      </c>
      <c r="D113" s="154">
        <f>IF(F112+SUM(E$99:E112)=D$92,F112,D$92-SUM(E$99:E112))</f>
        <v>12201260.26051374</v>
      </c>
      <c r="E113" s="160">
        <f>IF(+J96&lt;F112,J96,D113)</f>
        <v>420749.57142857142</v>
      </c>
      <c r="F113" s="159">
        <f t="shared" si="25"/>
        <v>11780510.689085169</v>
      </c>
      <c r="G113" s="159">
        <f t="shared" si="26"/>
        <v>11990885.474799454</v>
      </c>
      <c r="H113" s="163">
        <f t="shared" ref="H113:H154" si="29">+J$94*G113+E113</f>
        <v>1877299.9089741483</v>
      </c>
      <c r="I113" s="253">
        <f t="shared" ref="I113:I154" si="30">+J$95*G113+E113</f>
        <v>1877299.9089741483</v>
      </c>
      <c r="J113" s="158">
        <f t="shared" si="18"/>
        <v>0</v>
      </c>
      <c r="K113" s="158"/>
      <c r="L113" s="334"/>
      <c r="M113" s="158">
        <f t="shared" si="20"/>
        <v>0</v>
      </c>
      <c r="N113" s="334"/>
      <c r="O113" s="158">
        <f t="shared" si="22"/>
        <v>0</v>
      </c>
      <c r="P113" s="158">
        <f t="shared" si="23"/>
        <v>0</v>
      </c>
      <c r="Q113" s="1"/>
    </row>
    <row r="114" spans="2:17">
      <c r="B114" s="9" t="str">
        <f t="shared" si="24"/>
        <v/>
      </c>
      <c r="C114" s="153">
        <f>IF(D93="","-",+C113+1)</f>
        <v>2024</v>
      </c>
      <c r="D114" s="154">
        <f>IF(F113+SUM(E$99:E113)=D$92,F113,D$92-SUM(E$99:E113))</f>
        <v>11780510.689085169</v>
      </c>
      <c r="E114" s="160">
        <f>IF(+J96&lt;F113,J96,D114)</f>
        <v>420749.57142857142</v>
      </c>
      <c r="F114" s="159">
        <f t="shared" si="25"/>
        <v>11359761.117656598</v>
      </c>
      <c r="G114" s="159">
        <f t="shared" si="26"/>
        <v>11570135.903370883</v>
      </c>
      <c r="H114" s="163">
        <f t="shared" si="29"/>
        <v>1826190.845212809</v>
      </c>
      <c r="I114" s="253">
        <f t="shared" si="30"/>
        <v>1826190.845212809</v>
      </c>
      <c r="J114" s="158">
        <f t="shared" si="18"/>
        <v>0</v>
      </c>
      <c r="K114" s="158"/>
      <c r="L114" s="334"/>
      <c r="M114" s="158">
        <f t="shared" si="20"/>
        <v>0</v>
      </c>
      <c r="N114" s="334"/>
      <c r="O114" s="158">
        <f t="shared" si="22"/>
        <v>0</v>
      </c>
      <c r="P114" s="158">
        <f t="shared" si="23"/>
        <v>0</v>
      </c>
      <c r="Q114" s="1"/>
    </row>
    <row r="115" spans="2:17">
      <c r="B115" s="9" t="str">
        <f t="shared" si="24"/>
        <v/>
      </c>
      <c r="C115" s="153">
        <f>IF(D93="","-",+C114+1)</f>
        <v>2025</v>
      </c>
      <c r="D115" s="154">
        <f>IF(F114+SUM(E$99:E114)=D$92,F114,D$92-SUM(E$99:E114))</f>
        <v>11359761.117656598</v>
      </c>
      <c r="E115" s="160">
        <f>IF(+J96&lt;F114,J96,D115)</f>
        <v>420749.57142857142</v>
      </c>
      <c r="F115" s="159">
        <f t="shared" si="25"/>
        <v>10939011.546228027</v>
      </c>
      <c r="G115" s="159">
        <f t="shared" si="26"/>
        <v>11149386.331942312</v>
      </c>
      <c r="H115" s="163">
        <f t="shared" si="29"/>
        <v>1775081.78145147</v>
      </c>
      <c r="I115" s="253">
        <f t="shared" si="30"/>
        <v>1775081.78145147</v>
      </c>
      <c r="J115" s="158">
        <f t="shared" si="18"/>
        <v>0</v>
      </c>
      <c r="K115" s="158"/>
      <c r="L115" s="334"/>
      <c r="M115" s="158">
        <f t="shared" si="20"/>
        <v>0</v>
      </c>
      <c r="N115" s="334"/>
      <c r="O115" s="158">
        <f t="shared" si="22"/>
        <v>0</v>
      </c>
      <c r="P115" s="158">
        <f t="shared" si="23"/>
        <v>0</v>
      </c>
      <c r="Q115" s="1"/>
    </row>
    <row r="116" spans="2:17">
      <c r="B116" s="9" t="str">
        <f t="shared" si="24"/>
        <v/>
      </c>
      <c r="C116" s="153">
        <f>IF(D93="","-",+C115+1)</f>
        <v>2026</v>
      </c>
      <c r="D116" s="154">
        <f>IF(F115+SUM(E$99:E115)=D$92,F115,D$92-SUM(E$99:E115))</f>
        <v>10939011.546228027</v>
      </c>
      <c r="E116" s="160">
        <f>IF(+J96&lt;F115,J96,D116)</f>
        <v>420749.57142857142</v>
      </c>
      <c r="F116" s="159">
        <f t="shared" si="25"/>
        <v>10518261.974799456</v>
      </c>
      <c r="G116" s="159">
        <f t="shared" si="26"/>
        <v>10728636.760513742</v>
      </c>
      <c r="H116" s="163">
        <f t="shared" si="29"/>
        <v>1723972.7176901307</v>
      </c>
      <c r="I116" s="253">
        <f t="shared" si="30"/>
        <v>1723972.7176901307</v>
      </c>
      <c r="J116" s="158">
        <f t="shared" si="18"/>
        <v>0</v>
      </c>
      <c r="K116" s="158"/>
      <c r="L116" s="334"/>
      <c r="M116" s="158">
        <f t="shared" si="20"/>
        <v>0</v>
      </c>
      <c r="N116" s="334"/>
      <c r="O116" s="158">
        <f t="shared" si="22"/>
        <v>0</v>
      </c>
      <c r="P116" s="158">
        <f t="shared" si="23"/>
        <v>0</v>
      </c>
      <c r="Q116" s="1"/>
    </row>
    <row r="117" spans="2:17">
      <c r="B117" s="9" t="str">
        <f t="shared" si="24"/>
        <v/>
      </c>
      <c r="C117" s="153">
        <f>IF(D93="","-",+C116+1)</f>
        <v>2027</v>
      </c>
      <c r="D117" s="154">
        <f>IF(F116+SUM(E$99:E116)=D$92,F116,D$92-SUM(E$99:E116))</f>
        <v>10518261.974799456</v>
      </c>
      <c r="E117" s="160">
        <f>IF(+J96&lt;F116,J96,D117)</f>
        <v>420749.57142857142</v>
      </c>
      <c r="F117" s="159">
        <f t="shared" si="25"/>
        <v>10097512.403370885</v>
      </c>
      <c r="G117" s="159">
        <f t="shared" si="26"/>
        <v>10307887.189085171</v>
      </c>
      <c r="H117" s="163">
        <f t="shared" si="29"/>
        <v>1672863.6539287914</v>
      </c>
      <c r="I117" s="253">
        <f t="shared" si="30"/>
        <v>1672863.6539287914</v>
      </c>
      <c r="J117" s="158">
        <f t="shared" si="18"/>
        <v>0</v>
      </c>
      <c r="K117" s="158"/>
      <c r="L117" s="334"/>
      <c r="M117" s="158">
        <f t="shared" si="20"/>
        <v>0</v>
      </c>
      <c r="N117" s="334"/>
      <c r="O117" s="158">
        <f t="shared" si="22"/>
        <v>0</v>
      </c>
      <c r="P117" s="158">
        <f t="shared" si="23"/>
        <v>0</v>
      </c>
      <c r="Q117" s="1"/>
    </row>
    <row r="118" spans="2:17">
      <c r="B118" s="9" t="str">
        <f t="shared" si="24"/>
        <v/>
      </c>
      <c r="C118" s="153">
        <f>IF(D93="","-",+C117+1)</f>
        <v>2028</v>
      </c>
      <c r="D118" s="154">
        <f>IF(F117+SUM(E$99:E117)=D$92,F117,D$92-SUM(E$99:E117))</f>
        <v>10097512.403370885</v>
      </c>
      <c r="E118" s="160">
        <f>IF(+J96&lt;F117,J96,D118)</f>
        <v>420749.57142857142</v>
      </c>
      <c r="F118" s="159">
        <f t="shared" si="25"/>
        <v>9676762.8319423143</v>
      </c>
      <c r="G118" s="159">
        <f t="shared" si="26"/>
        <v>9887137.6176565997</v>
      </c>
      <c r="H118" s="163">
        <f t="shared" si="29"/>
        <v>1621754.5901674521</v>
      </c>
      <c r="I118" s="253">
        <f t="shared" si="30"/>
        <v>1621754.5901674521</v>
      </c>
      <c r="J118" s="158">
        <f t="shared" si="18"/>
        <v>0</v>
      </c>
      <c r="K118" s="158"/>
      <c r="L118" s="334"/>
      <c r="M118" s="158">
        <f t="shared" si="20"/>
        <v>0</v>
      </c>
      <c r="N118" s="334"/>
      <c r="O118" s="158">
        <f t="shared" si="22"/>
        <v>0</v>
      </c>
      <c r="P118" s="158">
        <f t="shared" si="23"/>
        <v>0</v>
      </c>
      <c r="Q118" s="1"/>
    </row>
    <row r="119" spans="2:17">
      <c r="B119" s="9" t="str">
        <f t="shared" si="24"/>
        <v/>
      </c>
      <c r="C119" s="153">
        <f>IF(D93="","-",+C118+1)</f>
        <v>2029</v>
      </c>
      <c r="D119" s="154">
        <f>IF(F118+SUM(E$99:E118)=D$92,F118,D$92-SUM(E$99:E118))</f>
        <v>9676762.8319423143</v>
      </c>
      <c r="E119" s="160">
        <f>IF(+J96&lt;F118,J96,D119)</f>
        <v>420749.57142857142</v>
      </c>
      <c r="F119" s="159">
        <f t="shared" si="25"/>
        <v>9256013.2605137434</v>
      </c>
      <c r="G119" s="159">
        <f t="shared" si="26"/>
        <v>9466388.0462280288</v>
      </c>
      <c r="H119" s="163">
        <f t="shared" si="29"/>
        <v>1570645.5264061128</v>
      </c>
      <c r="I119" s="253">
        <f t="shared" si="30"/>
        <v>1570645.5264061128</v>
      </c>
      <c r="J119" s="158">
        <f t="shared" si="18"/>
        <v>0</v>
      </c>
      <c r="K119" s="158"/>
      <c r="L119" s="334"/>
      <c r="M119" s="158">
        <f t="shared" si="20"/>
        <v>0</v>
      </c>
      <c r="N119" s="334"/>
      <c r="O119" s="158">
        <f t="shared" si="22"/>
        <v>0</v>
      </c>
      <c r="P119" s="158">
        <f t="shared" si="23"/>
        <v>0</v>
      </c>
      <c r="Q119" s="1"/>
    </row>
    <row r="120" spans="2:17">
      <c r="B120" s="9" t="str">
        <f t="shared" si="24"/>
        <v/>
      </c>
      <c r="C120" s="153">
        <f>IF(D93="","-",+C119+1)</f>
        <v>2030</v>
      </c>
      <c r="D120" s="154">
        <f>IF(F119+SUM(E$99:E119)=D$92,F119,D$92-SUM(E$99:E119))</f>
        <v>9256013.2605137434</v>
      </c>
      <c r="E120" s="160">
        <f>IF(+J96&lt;F119,J96,D120)</f>
        <v>420749.57142857142</v>
      </c>
      <c r="F120" s="159">
        <f t="shared" si="25"/>
        <v>8835263.6890851725</v>
      </c>
      <c r="G120" s="159">
        <f t="shared" si="26"/>
        <v>9045638.4747994579</v>
      </c>
      <c r="H120" s="163">
        <f t="shared" si="29"/>
        <v>1519536.4626447738</v>
      </c>
      <c r="I120" s="253">
        <f t="shared" si="30"/>
        <v>1519536.4626447738</v>
      </c>
      <c r="J120" s="158">
        <f t="shared" si="18"/>
        <v>0</v>
      </c>
      <c r="K120" s="158"/>
      <c r="L120" s="334"/>
      <c r="M120" s="158">
        <f t="shared" si="20"/>
        <v>0</v>
      </c>
      <c r="N120" s="334"/>
      <c r="O120" s="158">
        <f t="shared" si="22"/>
        <v>0</v>
      </c>
      <c r="P120" s="158">
        <f t="shared" si="23"/>
        <v>0</v>
      </c>
      <c r="Q120" s="1"/>
    </row>
    <row r="121" spans="2:17">
      <c r="B121" s="9" t="str">
        <f t="shared" si="24"/>
        <v/>
      </c>
      <c r="C121" s="153">
        <f>IF(D93="","-",+C120+1)</f>
        <v>2031</v>
      </c>
      <c r="D121" s="154">
        <f>IF(F120+SUM(E$99:E120)=D$92,F120,D$92-SUM(E$99:E120))</f>
        <v>8835263.6890851725</v>
      </c>
      <c r="E121" s="160">
        <f>IF(+J96&lt;F120,J96,D121)</f>
        <v>420749.57142857142</v>
      </c>
      <c r="F121" s="159">
        <f t="shared" si="25"/>
        <v>8414514.1176566016</v>
      </c>
      <c r="G121" s="159">
        <f t="shared" si="26"/>
        <v>8624888.903370887</v>
      </c>
      <c r="H121" s="163">
        <f t="shared" si="29"/>
        <v>1468427.3988834345</v>
      </c>
      <c r="I121" s="253">
        <f t="shared" si="30"/>
        <v>1468427.3988834345</v>
      </c>
      <c r="J121" s="158">
        <f t="shared" si="18"/>
        <v>0</v>
      </c>
      <c r="K121" s="158"/>
      <c r="L121" s="334"/>
      <c r="M121" s="158">
        <f t="shared" si="20"/>
        <v>0</v>
      </c>
      <c r="N121" s="334"/>
      <c r="O121" s="158">
        <f t="shared" si="22"/>
        <v>0</v>
      </c>
      <c r="P121" s="158">
        <f t="shared" si="23"/>
        <v>0</v>
      </c>
      <c r="Q121" s="1"/>
    </row>
    <row r="122" spans="2:17">
      <c r="B122" s="9" t="str">
        <f t="shared" si="24"/>
        <v/>
      </c>
      <c r="C122" s="153">
        <f>IF(D93="","-",+C121+1)</f>
        <v>2032</v>
      </c>
      <c r="D122" s="154">
        <f>IF(F121+SUM(E$99:E121)=D$92,F121,D$92-SUM(E$99:E121))</f>
        <v>8414514.1176566016</v>
      </c>
      <c r="E122" s="160">
        <f>IF(+J96&lt;F121,J96,D122)</f>
        <v>420749.57142857142</v>
      </c>
      <c r="F122" s="159">
        <f t="shared" si="25"/>
        <v>7993764.5462280298</v>
      </c>
      <c r="G122" s="159">
        <f t="shared" si="26"/>
        <v>8204139.3319423161</v>
      </c>
      <c r="H122" s="163">
        <f t="shared" si="29"/>
        <v>1417318.3351220952</v>
      </c>
      <c r="I122" s="253">
        <f t="shared" si="30"/>
        <v>1417318.3351220952</v>
      </c>
      <c r="J122" s="158">
        <f t="shared" si="18"/>
        <v>0</v>
      </c>
      <c r="K122" s="158"/>
      <c r="L122" s="334"/>
      <c r="M122" s="158">
        <f t="shared" si="20"/>
        <v>0</v>
      </c>
      <c r="N122" s="334"/>
      <c r="O122" s="158">
        <f t="shared" si="22"/>
        <v>0</v>
      </c>
      <c r="P122" s="158">
        <f t="shared" si="23"/>
        <v>0</v>
      </c>
      <c r="Q122" s="1"/>
    </row>
    <row r="123" spans="2:17">
      <c r="B123" s="9" t="str">
        <f t="shared" si="24"/>
        <v/>
      </c>
      <c r="C123" s="153">
        <f>IF(D93="","-",+C122+1)</f>
        <v>2033</v>
      </c>
      <c r="D123" s="154">
        <f>IF(F122+SUM(E$99:E122)=D$92,F122,D$92-SUM(E$99:E122))</f>
        <v>7993764.5462280298</v>
      </c>
      <c r="E123" s="160">
        <f>IF(+J96&lt;F122,J96,D123)</f>
        <v>420749.57142857142</v>
      </c>
      <c r="F123" s="159">
        <f t="shared" si="25"/>
        <v>7573014.9747994579</v>
      </c>
      <c r="G123" s="159">
        <f t="shared" si="26"/>
        <v>7783389.7605137434</v>
      </c>
      <c r="H123" s="163">
        <f t="shared" si="29"/>
        <v>1366209.2713607559</v>
      </c>
      <c r="I123" s="253">
        <f t="shared" si="30"/>
        <v>1366209.2713607559</v>
      </c>
      <c r="J123" s="158">
        <f t="shared" si="18"/>
        <v>0</v>
      </c>
      <c r="K123" s="158"/>
      <c r="L123" s="334"/>
      <c r="M123" s="158">
        <f t="shared" si="20"/>
        <v>0</v>
      </c>
      <c r="N123" s="334"/>
      <c r="O123" s="158">
        <f t="shared" si="22"/>
        <v>0</v>
      </c>
      <c r="P123" s="158">
        <f t="shared" si="23"/>
        <v>0</v>
      </c>
      <c r="Q123" s="1"/>
    </row>
    <row r="124" spans="2:17">
      <c r="B124" s="9" t="str">
        <f t="shared" si="24"/>
        <v/>
      </c>
      <c r="C124" s="153">
        <f>IF(D93="","-",+C123+1)</f>
        <v>2034</v>
      </c>
      <c r="D124" s="154">
        <f>IF(F123+SUM(E$99:E123)=D$92,F123,D$92-SUM(E$99:E123))</f>
        <v>7573014.9747994579</v>
      </c>
      <c r="E124" s="160">
        <f>IF(+J96&lt;F123,J96,D124)</f>
        <v>420749.57142857142</v>
      </c>
      <c r="F124" s="159">
        <f t="shared" si="25"/>
        <v>7152265.4033708861</v>
      </c>
      <c r="G124" s="159">
        <f t="shared" si="26"/>
        <v>7362640.1890851725</v>
      </c>
      <c r="H124" s="163">
        <f t="shared" si="29"/>
        <v>1315100.2075994166</v>
      </c>
      <c r="I124" s="253">
        <f t="shared" si="30"/>
        <v>1315100.2075994166</v>
      </c>
      <c r="J124" s="158">
        <f t="shared" si="18"/>
        <v>0</v>
      </c>
      <c r="K124" s="158"/>
      <c r="L124" s="334"/>
      <c r="M124" s="158">
        <f t="shared" si="20"/>
        <v>0</v>
      </c>
      <c r="N124" s="334"/>
      <c r="O124" s="158">
        <f t="shared" si="22"/>
        <v>0</v>
      </c>
      <c r="P124" s="158">
        <f t="shared" si="23"/>
        <v>0</v>
      </c>
      <c r="Q124" s="1"/>
    </row>
    <row r="125" spans="2:17">
      <c r="B125" s="9" t="str">
        <f t="shared" si="24"/>
        <v/>
      </c>
      <c r="C125" s="153">
        <f>IF(D93="","-",+C124+1)</f>
        <v>2035</v>
      </c>
      <c r="D125" s="154">
        <f>IF(F124+SUM(E$99:E124)=D$92,F124,D$92-SUM(E$99:E124))</f>
        <v>7152265.4033708861</v>
      </c>
      <c r="E125" s="160">
        <f>IF(+J96&lt;F124,J96,D125)</f>
        <v>420749.57142857142</v>
      </c>
      <c r="F125" s="159">
        <f t="shared" si="25"/>
        <v>6731515.8319423143</v>
      </c>
      <c r="G125" s="159">
        <f t="shared" si="26"/>
        <v>6941890.6176565997</v>
      </c>
      <c r="H125" s="163">
        <f t="shared" si="29"/>
        <v>1263991.1438380771</v>
      </c>
      <c r="I125" s="253">
        <f t="shared" si="30"/>
        <v>1263991.1438380771</v>
      </c>
      <c r="J125" s="158">
        <f t="shared" si="18"/>
        <v>0</v>
      </c>
      <c r="K125" s="158"/>
      <c r="L125" s="334"/>
      <c r="M125" s="158">
        <f t="shared" si="20"/>
        <v>0</v>
      </c>
      <c r="N125" s="334"/>
      <c r="O125" s="158">
        <f t="shared" si="22"/>
        <v>0</v>
      </c>
      <c r="P125" s="158">
        <f t="shared" si="23"/>
        <v>0</v>
      </c>
      <c r="Q125" s="1"/>
    </row>
    <row r="126" spans="2:17">
      <c r="B126" s="9" t="str">
        <f t="shared" si="24"/>
        <v/>
      </c>
      <c r="C126" s="153">
        <f>IF(D93="","-",+C125+1)</f>
        <v>2036</v>
      </c>
      <c r="D126" s="154">
        <f>IF(F125+SUM(E$99:E125)=D$92,F125,D$92-SUM(E$99:E125))</f>
        <v>6731515.8319423143</v>
      </c>
      <c r="E126" s="160">
        <f>IF(+J96&lt;F125,J96,D126)</f>
        <v>420749.57142857142</v>
      </c>
      <c r="F126" s="159">
        <f t="shared" si="25"/>
        <v>6310766.2605137425</v>
      </c>
      <c r="G126" s="159">
        <f t="shared" si="26"/>
        <v>6521141.0462280288</v>
      </c>
      <c r="H126" s="163">
        <f t="shared" si="29"/>
        <v>1212882.0800767378</v>
      </c>
      <c r="I126" s="253">
        <f t="shared" si="30"/>
        <v>1212882.0800767378</v>
      </c>
      <c r="J126" s="158">
        <f t="shared" si="18"/>
        <v>0</v>
      </c>
      <c r="K126" s="158"/>
      <c r="L126" s="334"/>
      <c r="M126" s="158">
        <f t="shared" si="20"/>
        <v>0</v>
      </c>
      <c r="N126" s="334"/>
      <c r="O126" s="158">
        <f t="shared" si="22"/>
        <v>0</v>
      </c>
      <c r="P126" s="158">
        <f t="shared" si="23"/>
        <v>0</v>
      </c>
      <c r="Q126" s="1"/>
    </row>
    <row r="127" spans="2:17">
      <c r="B127" s="9" t="str">
        <f t="shared" si="24"/>
        <v/>
      </c>
      <c r="C127" s="153">
        <f>IF(D93="","-",+C126+1)</f>
        <v>2037</v>
      </c>
      <c r="D127" s="154">
        <f>IF(F126+SUM(E$99:E126)=D$92,F126,D$92-SUM(E$99:E126))</f>
        <v>6310766.2605137425</v>
      </c>
      <c r="E127" s="160">
        <f>IF(+J96&lt;F126,J96,D127)</f>
        <v>420749.57142857142</v>
      </c>
      <c r="F127" s="159">
        <f t="shared" si="25"/>
        <v>5890016.6890851706</v>
      </c>
      <c r="G127" s="159">
        <f t="shared" si="26"/>
        <v>6100391.4747994561</v>
      </c>
      <c r="H127" s="163">
        <f t="shared" si="29"/>
        <v>1161773.0163153985</v>
      </c>
      <c r="I127" s="253">
        <f t="shared" si="30"/>
        <v>1161773.0163153985</v>
      </c>
      <c r="J127" s="158">
        <f t="shared" si="18"/>
        <v>0</v>
      </c>
      <c r="K127" s="158"/>
      <c r="L127" s="334"/>
      <c r="M127" s="158">
        <f t="shared" si="20"/>
        <v>0</v>
      </c>
      <c r="N127" s="334"/>
      <c r="O127" s="158">
        <f t="shared" si="22"/>
        <v>0</v>
      </c>
      <c r="P127" s="158">
        <f t="shared" si="23"/>
        <v>0</v>
      </c>
      <c r="Q127" s="1"/>
    </row>
    <row r="128" spans="2:17">
      <c r="B128" s="9" t="str">
        <f t="shared" si="24"/>
        <v/>
      </c>
      <c r="C128" s="153">
        <f>IF(D93="","-",+C127+1)</f>
        <v>2038</v>
      </c>
      <c r="D128" s="154">
        <f>IF(F127+SUM(E$99:E127)=D$92,F127,D$92-SUM(E$99:E127))</f>
        <v>5890016.6890851706</v>
      </c>
      <c r="E128" s="160">
        <f>IF(+J96&lt;F127,J96,D128)</f>
        <v>420749.57142857142</v>
      </c>
      <c r="F128" s="159">
        <f t="shared" si="25"/>
        <v>5469267.1176565988</v>
      </c>
      <c r="G128" s="159">
        <f t="shared" si="26"/>
        <v>5679641.9033708852</v>
      </c>
      <c r="H128" s="163">
        <f t="shared" si="29"/>
        <v>1110663.9525540592</v>
      </c>
      <c r="I128" s="253">
        <f t="shared" si="30"/>
        <v>1110663.9525540592</v>
      </c>
      <c r="J128" s="158">
        <f t="shared" si="18"/>
        <v>0</v>
      </c>
      <c r="K128" s="158"/>
      <c r="L128" s="334"/>
      <c r="M128" s="158">
        <f t="shared" si="20"/>
        <v>0</v>
      </c>
      <c r="N128" s="334"/>
      <c r="O128" s="158">
        <f t="shared" si="22"/>
        <v>0</v>
      </c>
      <c r="P128" s="158">
        <f t="shared" si="23"/>
        <v>0</v>
      </c>
      <c r="Q128" s="1"/>
    </row>
    <row r="129" spans="2:17">
      <c r="B129" s="9" t="str">
        <f t="shared" si="24"/>
        <v/>
      </c>
      <c r="C129" s="153">
        <f>IF(D93="","-",+C128+1)</f>
        <v>2039</v>
      </c>
      <c r="D129" s="154">
        <f>IF(F128+SUM(E$99:E128)=D$92,F128,D$92-SUM(E$99:E128))</f>
        <v>5469267.1176565988</v>
      </c>
      <c r="E129" s="160">
        <f>IF(+J96&lt;F128,J96,D129)</f>
        <v>420749.57142857142</v>
      </c>
      <c r="F129" s="159">
        <f t="shared" si="25"/>
        <v>5048517.546228027</v>
      </c>
      <c r="G129" s="159">
        <f t="shared" si="26"/>
        <v>5258892.3319423124</v>
      </c>
      <c r="H129" s="163">
        <f t="shared" si="29"/>
        <v>1059554.8887927197</v>
      </c>
      <c r="I129" s="253">
        <f t="shared" si="30"/>
        <v>1059554.8887927197</v>
      </c>
      <c r="J129" s="158">
        <f t="shared" si="18"/>
        <v>0</v>
      </c>
      <c r="K129" s="158"/>
      <c r="L129" s="334"/>
      <c r="M129" s="158">
        <f t="shared" si="20"/>
        <v>0</v>
      </c>
      <c r="N129" s="334"/>
      <c r="O129" s="158">
        <f t="shared" si="22"/>
        <v>0</v>
      </c>
      <c r="P129" s="158">
        <f t="shared" si="23"/>
        <v>0</v>
      </c>
      <c r="Q129" s="1"/>
    </row>
    <row r="130" spans="2:17">
      <c r="B130" s="9" t="str">
        <f t="shared" si="24"/>
        <v/>
      </c>
      <c r="C130" s="153">
        <f>IF(D93="","-",+C129+1)</f>
        <v>2040</v>
      </c>
      <c r="D130" s="154">
        <f>IF(F129+SUM(E$99:E129)=D$92,F129,D$92-SUM(E$99:E129))</f>
        <v>5048517.546228027</v>
      </c>
      <c r="E130" s="160">
        <f>IF(+J96&lt;F129,J96,D130)</f>
        <v>420749.57142857142</v>
      </c>
      <c r="F130" s="159">
        <f t="shared" si="25"/>
        <v>4627767.9747994551</v>
      </c>
      <c r="G130" s="159">
        <f t="shared" si="26"/>
        <v>4838142.7605137415</v>
      </c>
      <c r="H130" s="163">
        <f t="shared" si="29"/>
        <v>1008445.8250313804</v>
      </c>
      <c r="I130" s="253">
        <f t="shared" si="30"/>
        <v>1008445.8250313804</v>
      </c>
      <c r="J130" s="158">
        <f t="shared" si="18"/>
        <v>0</v>
      </c>
      <c r="K130" s="158"/>
      <c r="L130" s="334"/>
      <c r="M130" s="158">
        <f t="shared" si="20"/>
        <v>0</v>
      </c>
      <c r="N130" s="334"/>
      <c r="O130" s="158">
        <f t="shared" si="22"/>
        <v>0</v>
      </c>
      <c r="P130" s="158">
        <f t="shared" si="23"/>
        <v>0</v>
      </c>
      <c r="Q130" s="1"/>
    </row>
    <row r="131" spans="2:17">
      <c r="B131" s="9" t="str">
        <f t="shared" si="24"/>
        <v/>
      </c>
      <c r="C131" s="153">
        <f>IF(D93="","-",+C130+1)</f>
        <v>2041</v>
      </c>
      <c r="D131" s="154">
        <f>IF(F130+SUM(E$99:E130)=D$92,F130,D$92-SUM(E$99:E130))</f>
        <v>4627767.9747994551</v>
      </c>
      <c r="E131" s="160">
        <f>IF(+J96&lt;F130,J96,D131)</f>
        <v>420749.57142857142</v>
      </c>
      <c r="F131" s="159">
        <f t="shared" ref="F131:F154" si="31">+D131-E131</f>
        <v>4207018.4033708833</v>
      </c>
      <c r="G131" s="159">
        <f t="shared" ref="G131:G154" si="32">+(F131+D131)/2</f>
        <v>4417393.1890851688</v>
      </c>
      <c r="H131" s="163">
        <f t="shared" si="29"/>
        <v>957336.76127004111</v>
      </c>
      <c r="I131" s="253">
        <f t="shared" si="30"/>
        <v>957336.76127004111</v>
      </c>
      <c r="J131" s="158">
        <f t="shared" ref="J131:J154" si="33">+I131-H131</f>
        <v>0</v>
      </c>
      <c r="K131" s="158"/>
      <c r="L131" s="334"/>
      <c r="M131" s="158">
        <f t="shared" ref="M131:M154" si="34">IF(L131&lt;&gt;0,+H131-L131,0)</f>
        <v>0</v>
      </c>
      <c r="N131" s="334"/>
      <c r="O131" s="158">
        <f t="shared" ref="O131:O154" si="35">IF(N131&lt;&gt;0,+I131-N131,0)</f>
        <v>0</v>
      </c>
      <c r="P131" s="158">
        <f t="shared" ref="P131:P154" si="36">+O131-M131</f>
        <v>0</v>
      </c>
      <c r="Q131" s="1"/>
    </row>
    <row r="132" spans="2:17">
      <c r="B132" s="9" t="str">
        <f t="shared" si="24"/>
        <v/>
      </c>
      <c r="C132" s="153">
        <f>IF(D93="","-",+C131+1)</f>
        <v>2042</v>
      </c>
      <c r="D132" s="154">
        <f>IF(F131+SUM(E$99:E131)=D$92,F131,D$92-SUM(E$99:E131))</f>
        <v>4207018.4033708833</v>
      </c>
      <c r="E132" s="160">
        <f>IF(+J96&lt;F131,J96,D132)</f>
        <v>420749.57142857142</v>
      </c>
      <c r="F132" s="159">
        <f t="shared" si="31"/>
        <v>3786268.831942312</v>
      </c>
      <c r="G132" s="159">
        <f t="shared" si="32"/>
        <v>3996643.6176565979</v>
      </c>
      <c r="H132" s="163">
        <f t="shared" si="29"/>
        <v>906227.69750870182</v>
      </c>
      <c r="I132" s="253">
        <f t="shared" si="30"/>
        <v>906227.69750870182</v>
      </c>
      <c r="J132" s="158">
        <f t="shared" si="33"/>
        <v>0</v>
      </c>
      <c r="K132" s="158"/>
      <c r="L132" s="334"/>
      <c r="M132" s="158">
        <f t="shared" si="34"/>
        <v>0</v>
      </c>
      <c r="N132" s="334"/>
      <c r="O132" s="158">
        <f t="shared" si="35"/>
        <v>0</v>
      </c>
      <c r="P132" s="158">
        <f t="shared" si="36"/>
        <v>0</v>
      </c>
      <c r="Q132" s="1"/>
    </row>
    <row r="133" spans="2:17">
      <c r="B133" s="9" t="str">
        <f t="shared" si="24"/>
        <v/>
      </c>
      <c r="C133" s="153">
        <f>IF(D93="","-",+C132+1)</f>
        <v>2043</v>
      </c>
      <c r="D133" s="154">
        <f>IF(F132+SUM(E$99:E132)=D$92,F132,D$92-SUM(E$99:E132))</f>
        <v>3786268.831942312</v>
      </c>
      <c r="E133" s="160">
        <f>IF(+J96&lt;F132,J96,D133)</f>
        <v>420749.57142857142</v>
      </c>
      <c r="F133" s="159">
        <f t="shared" si="31"/>
        <v>3365519.2605137406</v>
      </c>
      <c r="G133" s="159">
        <f t="shared" si="32"/>
        <v>3575894.046228026</v>
      </c>
      <c r="H133" s="163">
        <f t="shared" si="29"/>
        <v>855118.63374736253</v>
      </c>
      <c r="I133" s="253">
        <f t="shared" si="30"/>
        <v>855118.63374736253</v>
      </c>
      <c r="J133" s="158">
        <f t="shared" si="33"/>
        <v>0</v>
      </c>
      <c r="K133" s="158"/>
      <c r="L133" s="334"/>
      <c r="M133" s="158">
        <f t="shared" si="34"/>
        <v>0</v>
      </c>
      <c r="N133" s="334"/>
      <c r="O133" s="158">
        <f t="shared" si="35"/>
        <v>0</v>
      </c>
      <c r="P133" s="158">
        <f t="shared" si="36"/>
        <v>0</v>
      </c>
      <c r="Q133" s="1"/>
    </row>
    <row r="134" spans="2:17">
      <c r="B134" s="9" t="str">
        <f t="shared" si="24"/>
        <v/>
      </c>
      <c r="C134" s="153">
        <f>IF(D93="","-",+C133+1)</f>
        <v>2044</v>
      </c>
      <c r="D134" s="154">
        <f>IF(F133+SUM(E$99:E133)=D$92,F133,D$92-SUM(E$99:E133))</f>
        <v>3365519.2605137406</v>
      </c>
      <c r="E134" s="160">
        <f>IF(+J96&lt;F133,J96,D134)</f>
        <v>420749.57142857142</v>
      </c>
      <c r="F134" s="159">
        <f t="shared" si="31"/>
        <v>2944769.6890851692</v>
      </c>
      <c r="G134" s="159">
        <f t="shared" si="32"/>
        <v>3155144.4747994551</v>
      </c>
      <c r="H134" s="163">
        <f t="shared" si="29"/>
        <v>804009.56998602324</v>
      </c>
      <c r="I134" s="253">
        <f t="shared" si="30"/>
        <v>804009.56998602324</v>
      </c>
      <c r="J134" s="158">
        <f t="shared" si="33"/>
        <v>0</v>
      </c>
      <c r="K134" s="158"/>
      <c r="L134" s="334"/>
      <c r="M134" s="158">
        <f t="shared" si="34"/>
        <v>0</v>
      </c>
      <c r="N134" s="334"/>
      <c r="O134" s="158">
        <f t="shared" si="35"/>
        <v>0</v>
      </c>
      <c r="P134" s="158">
        <f t="shared" si="36"/>
        <v>0</v>
      </c>
      <c r="Q134" s="1"/>
    </row>
    <row r="135" spans="2:17">
      <c r="B135" s="9" t="str">
        <f t="shared" si="24"/>
        <v/>
      </c>
      <c r="C135" s="153">
        <f>IF(D93="","-",+C134+1)</f>
        <v>2045</v>
      </c>
      <c r="D135" s="154">
        <f>IF(F134+SUM(E$99:E134)=D$92,F134,D$92-SUM(E$99:E134))</f>
        <v>2944769.6890851692</v>
      </c>
      <c r="E135" s="160">
        <f>IF(+J96&lt;F134,J96,D135)</f>
        <v>420749.57142857142</v>
      </c>
      <c r="F135" s="159">
        <f t="shared" si="31"/>
        <v>2524020.1176565979</v>
      </c>
      <c r="G135" s="159">
        <f t="shared" si="32"/>
        <v>2734394.9033708833</v>
      </c>
      <c r="H135" s="163">
        <f t="shared" si="29"/>
        <v>752900.50622468395</v>
      </c>
      <c r="I135" s="253">
        <f t="shared" si="30"/>
        <v>752900.50622468395</v>
      </c>
      <c r="J135" s="158">
        <f t="shared" si="33"/>
        <v>0</v>
      </c>
      <c r="K135" s="158"/>
      <c r="L135" s="334"/>
      <c r="M135" s="158">
        <f t="shared" si="34"/>
        <v>0</v>
      </c>
      <c r="N135" s="334"/>
      <c r="O135" s="158">
        <f t="shared" si="35"/>
        <v>0</v>
      </c>
      <c r="P135" s="158">
        <f t="shared" si="36"/>
        <v>0</v>
      </c>
      <c r="Q135" s="1"/>
    </row>
    <row r="136" spans="2:17">
      <c r="B136" s="9" t="str">
        <f t="shared" si="24"/>
        <v/>
      </c>
      <c r="C136" s="153">
        <f>IF(D93="","-",+C135+1)</f>
        <v>2046</v>
      </c>
      <c r="D136" s="154">
        <f>IF(F135+SUM(E$99:E135)=D$92,F135,D$92-SUM(E$99:E135))</f>
        <v>2524020.1176565979</v>
      </c>
      <c r="E136" s="160">
        <f>IF(+J96&lt;F135,J96,D136)</f>
        <v>420749.57142857142</v>
      </c>
      <c r="F136" s="159">
        <f t="shared" si="31"/>
        <v>2103270.5462280265</v>
      </c>
      <c r="G136" s="159">
        <f t="shared" si="32"/>
        <v>2313645.3319423124</v>
      </c>
      <c r="H136" s="163">
        <f t="shared" si="29"/>
        <v>701791.44246334466</v>
      </c>
      <c r="I136" s="253">
        <f t="shared" si="30"/>
        <v>701791.44246334466</v>
      </c>
      <c r="J136" s="158">
        <f t="shared" si="33"/>
        <v>0</v>
      </c>
      <c r="K136" s="158"/>
      <c r="L136" s="334"/>
      <c r="M136" s="158">
        <f t="shared" si="34"/>
        <v>0</v>
      </c>
      <c r="N136" s="334"/>
      <c r="O136" s="158">
        <f t="shared" si="35"/>
        <v>0</v>
      </c>
      <c r="P136" s="158">
        <f t="shared" si="36"/>
        <v>0</v>
      </c>
      <c r="Q136" s="1"/>
    </row>
    <row r="137" spans="2:17">
      <c r="B137" s="9" t="str">
        <f t="shared" si="24"/>
        <v/>
      </c>
      <c r="C137" s="153">
        <f>IF(D93="","-",+C136+1)</f>
        <v>2047</v>
      </c>
      <c r="D137" s="154">
        <f>IF(F136+SUM(E$99:E136)=D$92,F136,D$92-SUM(E$99:E136))</f>
        <v>2103270.5462280265</v>
      </c>
      <c r="E137" s="160">
        <f>IF(+J96&lt;F136,J96,D137)</f>
        <v>420749.57142857142</v>
      </c>
      <c r="F137" s="159">
        <f t="shared" si="31"/>
        <v>1682520.9747994551</v>
      </c>
      <c r="G137" s="159">
        <f t="shared" si="32"/>
        <v>1892895.7605137408</v>
      </c>
      <c r="H137" s="163">
        <f t="shared" si="29"/>
        <v>650682.37870200537</v>
      </c>
      <c r="I137" s="253">
        <f t="shared" si="30"/>
        <v>650682.37870200537</v>
      </c>
      <c r="J137" s="158">
        <f t="shared" si="33"/>
        <v>0</v>
      </c>
      <c r="K137" s="158"/>
      <c r="L137" s="334"/>
      <c r="M137" s="158">
        <f t="shared" si="34"/>
        <v>0</v>
      </c>
      <c r="N137" s="334"/>
      <c r="O137" s="158">
        <f t="shared" si="35"/>
        <v>0</v>
      </c>
      <c r="P137" s="158">
        <f t="shared" si="36"/>
        <v>0</v>
      </c>
      <c r="Q137" s="1"/>
    </row>
    <row r="138" spans="2:17">
      <c r="B138" s="9" t="str">
        <f t="shared" si="24"/>
        <v/>
      </c>
      <c r="C138" s="153">
        <f>IF(D93="","-",+C137+1)</f>
        <v>2048</v>
      </c>
      <c r="D138" s="154">
        <f>IF(F137+SUM(E$99:E137)=D$92,F137,D$92-SUM(E$99:E137))</f>
        <v>1682520.9747994551</v>
      </c>
      <c r="E138" s="160">
        <f>IF(+J96&lt;F137,J96,D138)</f>
        <v>420749.57142857142</v>
      </c>
      <c r="F138" s="159">
        <f t="shared" si="31"/>
        <v>1261771.4033708838</v>
      </c>
      <c r="G138" s="159">
        <f t="shared" si="32"/>
        <v>1472146.1890851695</v>
      </c>
      <c r="H138" s="163">
        <f t="shared" si="29"/>
        <v>599573.31494066608</v>
      </c>
      <c r="I138" s="253">
        <f t="shared" si="30"/>
        <v>599573.31494066608</v>
      </c>
      <c r="J138" s="158">
        <f t="shared" si="33"/>
        <v>0</v>
      </c>
      <c r="K138" s="158"/>
      <c r="L138" s="334"/>
      <c r="M138" s="158">
        <f t="shared" si="34"/>
        <v>0</v>
      </c>
      <c r="N138" s="334"/>
      <c r="O138" s="158">
        <f t="shared" si="35"/>
        <v>0</v>
      </c>
      <c r="P138" s="158">
        <f t="shared" si="36"/>
        <v>0</v>
      </c>
      <c r="Q138" s="1"/>
    </row>
    <row r="139" spans="2:17">
      <c r="B139" s="9" t="str">
        <f t="shared" si="24"/>
        <v/>
      </c>
      <c r="C139" s="153">
        <f>IF(D93="","-",+C138+1)</f>
        <v>2049</v>
      </c>
      <c r="D139" s="154">
        <f>IF(F138+SUM(E$99:E138)=D$92,F138,D$92-SUM(E$99:E138))</f>
        <v>1261771.4033708838</v>
      </c>
      <c r="E139" s="160">
        <f>IF(+J96&lt;F138,J96,D139)</f>
        <v>420749.57142857142</v>
      </c>
      <c r="F139" s="159">
        <f t="shared" si="31"/>
        <v>841021.83194231242</v>
      </c>
      <c r="G139" s="159">
        <f t="shared" si="32"/>
        <v>1051396.6176565981</v>
      </c>
      <c r="H139" s="163">
        <f t="shared" si="29"/>
        <v>548464.25117932679</v>
      </c>
      <c r="I139" s="253">
        <f t="shared" si="30"/>
        <v>548464.25117932679</v>
      </c>
      <c r="J139" s="158">
        <f t="shared" si="33"/>
        <v>0</v>
      </c>
      <c r="K139" s="158"/>
      <c r="L139" s="334"/>
      <c r="M139" s="158">
        <f t="shared" si="34"/>
        <v>0</v>
      </c>
      <c r="N139" s="334"/>
      <c r="O139" s="158">
        <f t="shared" si="35"/>
        <v>0</v>
      </c>
      <c r="P139" s="158">
        <f t="shared" si="36"/>
        <v>0</v>
      </c>
      <c r="Q139" s="1"/>
    </row>
    <row r="140" spans="2:17">
      <c r="B140" s="9" t="str">
        <f t="shared" si="24"/>
        <v/>
      </c>
      <c r="C140" s="153">
        <f>IF(D93="","-",+C139+1)</f>
        <v>2050</v>
      </c>
      <c r="D140" s="154">
        <f>IF(F139+SUM(E$99:E139)=D$92,F139,D$92-SUM(E$99:E139))</f>
        <v>841021.83194231242</v>
      </c>
      <c r="E140" s="160">
        <f>IF(+J96&lt;F139,J96,D140)</f>
        <v>420749.57142857142</v>
      </c>
      <c r="F140" s="159">
        <f t="shared" si="31"/>
        <v>420272.260513741</v>
      </c>
      <c r="G140" s="159">
        <f t="shared" si="32"/>
        <v>630647.04622802674</v>
      </c>
      <c r="H140" s="163">
        <f t="shared" si="29"/>
        <v>497355.18741798744</v>
      </c>
      <c r="I140" s="253">
        <f t="shared" si="30"/>
        <v>497355.18741798744</v>
      </c>
      <c r="J140" s="158">
        <f t="shared" si="33"/>
        <v>0</v>
      </c>
      <c r="K140" s="158"/>
      <c r="L140" s="334"/>
      <c r="M140" s="158">
        <f t="shared" si="34"/>
        <v>0</v>
      </c>
      <c r="N140" s="334"/>
      <c r="O140" s="158">
        <f t="shared" si="35"/>
        <v>0</v>
      </c>
      <c r="P140" s="158">
        <f t="shared" si="36"/>
        <v>0</v>
      </c>
      <c r="Q140" s="1"/>
    </row>
    <row r="141" spans="2:17">
      <c r="B141" s="9" t="str">
        <f t="shared" si="24"/>
        <v/>
      </c>
      <c r="C141" s="153">
        <f>IF(D93="","-",+C140+1)</f>
        <v>2051</v>
      </c>
      <c r="D141" s="154">
        <f>IF(F140+SUM(E$99:E140)=D$92,F140,D$92-SUM(E$99:E140))</f>
        <v>420272.260513741</v>
      </c>
      <c r="E141" s="160">
        <f>IF(+J96&lt;F140,J96,D141)</f>
        <v>420272.260513741</v>
      </c>
      <c r="F141" s="159">
        <f t="shared" si="31"/>
        <v>0</v>
      </c>
      <c r="G141" s="159">
        <f t="shared" si="32"/>
        <v>210136.1302568705</v>
      </c>
      <c r="H141" s="163">
        <f t="shared" si="29"/>
        <v>445797.80256811419</v>
      </c>
      <c r="I141" s="253">
        <f t="shared" si="30"/>
        <v>445797.80256811419</v>
      </c>
      <c r="J141" s="158">
        <f t="shared" si="33"/>
        <v>0</v>
      </c>
      <c r="K141" s="158"/>
      <c r="L141" s="334"/>
      <c r="M141" s="158">
        <f t="shared" si="34"/>
        <v>0</v>
      </c>
      <c r="N141" s="334"/>
      <c r="O141" s="158">
        <f t="shared" si="35"/>
        <v>0</v>
      </c>
      <c r="P141" s="158">
        <f t="shared" si="36"/>
        <v>0</v>
      </c>
      <c r="Q141" s="1"/>
    </row>
    <row r="142" spans="2:17">
      <c r="B142" s="9" t="str">
        <f t="shared" si="24"/>
        <v/>
      </c>
      <c r="C142" s="153">
        <f>IF(D93="","-",+C141+1)</f>
        <v>2052</v>
      </c>
      <c r="D142" s="154">
        <f>IF(F141+SUM(E$99:E141)=D$92,F141,D$92-SUM(E$99:E141))</f>
        <v>0</v>
      </c>
      <c r="E142" s="160">
        <f>IF(+J96&lt;F141,J96,D142)</f>
        <v>0</v>
      </c>
      <c r="F142" s="159">
        <f t="shared" si="31"/>
        <v>0</v>
      </c>
      <c r="G142" s="159">
        <f t="shared" si="32"/>
        <v>0</v>
      </c>
      <c r="H142" s="163">
        <f t="shared" si="29"/>
        <v>0</v>
      </c>
      <c r="I142" s="253">
        <f t="shared" si="30"/>
        <v>0</v>
      </c>
      <c r="J142" s="158">
        <f t="shared" si="33"/>
        <v>0</v>
      </c>
      <c r="K142" s="158"/>
      <c r="L142" s="334"/>
      <c r="M142" s="158">
        <f t="shared" si="34"/>
        <v>0</v>
      </c>
      <c r="N142" s="334"/>
      <c r="O142" s="158">
        <f t="shared" si="35"/>
        <v>0</v>
      </c>
      <c r="P142" s="158">
        <f t="shared" si="36"/>
        <v>0</v>
      </c>
      <c r="Q142" s="1"/>
    </row>
    <row r="143" spans="2:17">
      <c r="B143" s="9" t="str">
        <f t="shared" si="24"/>
        <v/>
      </c>
      <c r="C143" s="153">
        <f>IF(D93="","-",+C142+1)</f>
        <v>2053</v>
      </c>
      <c r="D143" s="154">
        <f>IF(F142+SUM(E$99:E142)=D$92,F142,D$92-SUM(E$99:E142))</f>
        <v>0</v>
      </c>
      <c r="E143" s="160">
        <f>IF(+J96&lt;F142,J96,D143)</f>
        <v>0</v>
      </c>
      <c r="F143" s="159">
        <f t="shared" si="31"/>
        <v>0</v>
      </c>
      <c r="G143" s="159">
        <f t="shared" si="32"/>
        <v>0</v>
      </c>
      <c r="H143" s="163">
        <f t="shared" si="29"/>
        <v>0</v>
      </c>
      <c r="I143" s="253">
        <f t="shared" si="30"/>
        <v>0</v>
      </c>
      <c r="J143" s="158">
        <f t="shared" si="33"/>
        <v>0</v>
      </c>
      <c r="K143" s="158"/>
      <c r="L143" s="334"/>
      <c r="M143" s="158">
        <f t="shared" si="34"/>
        <v>0</v>
      </c>
      <c r="N143" s="334"/>
      <c r="O143" s="158">
        <f t="shared" si="35"/>
        <v>0</v>
      </c>
      <c r="P143" s="158">
        <f t="shared" si="36"/>
        <v>0</v>
      </c>
      <c r="Q143" s="1"/>
    </row>
    <row r="144" spans="2:17">
      <c r="B144" s="9" t="str">
        <f t="shared" si="24"/>
        <v/>
      </c>
      <c r="C144" s="153">
        <f>IF(D93="","-",+C143+1)</f>
        <v>2054</v>
      </c>
      <c r="D144" s="154">
        <f>IF(F143+SUM(E$99:E143)=D$92,F143,D$92-SUM(E$99:E143))</f>
        <v>0</v>
      </c>
      <c r="E144" s="160">
        <f>IF(+J96&lt;F143,J96,D144)</f>
        <v>0</v>
      </c>
      <c r="F144" s="159">
        <f t="shared" si="31"/>
        <v>0</v>
      </c>
      <c r="G144" s="159">
        <f t="shared" si="32"/>
        <v>0</v>
      </c>
      <c r="H144" s="163">
        <f t="shared" si="29"/>
        <v>0</v>
      </c>
      <c r="I144" s="253">
        <f t="shared" si="30"/>
        <v>0</v>
      </c>
      <c r="J144" s="158">
        <f t="shared" si="33"/>
        <v>0</v>
      </c>
      <c r="K144" s="158"/>
      <c r="L144" s="334"/>
      <c r="M144" s="158">
        <f t="shared" si="34"/>
        <v>0</v>
      </c>
      <c r="N144" s="334"/>
      <c r="O144" s="158">
        <f t="shared" si="35"/>
        <v>0</v>
      </c>
      <c r="P144" s="158">
        <f t="shared" si="36"/>
        <v>0</v>
      </c>
      <c r="Q144" s="1"/>
    </row>
    <row r="145" spans="2:17">
      <c r="B145" s="9" t="str">
        <f t="shared" si="24"/>
        <v/>
      </c>
      <c r="C145" s="153">
        <f>IF(D93="","-",+C144+1)</f>
        <v>2055</v>
      </c>
      <c r="D145" s="154">
        <f>IF(F144+SUM(E$99:E144)=D$92,F144,D$92-SUM(E$99:E144))</f>
        <v>0</v>
      </c>
      <c r="E145" s="160">
        <f>IF(+J96&lt;F144,J96,D145)</f>
        <v>0</v>
      </c>
      <c r="F145" s="159">
        <f t="shared" si="31"/>
        <v>0</v>
      </c>
      <c r="G145" s="159">
        <f t="shared" si="32"/>
        <v>0</v>
      </c>
      <c r="H145" s="163">
        <f t="shared" si="29"/>
        <v>0</v>
      </c>
      <c r="I145" s="253">
        <f t="shared" si="30"/>
        <v>0</v>
      </c>
      <c r="J145" s="158">
        <f t="shared" si="33"/>
        <v>0</v>
      </c>
      <c r="K145" s="158"/>
      <c r="L145" s="334"/>
      <c r="M145" s="158">
        <f t="shared" si="34"/>
        <v>0</v>
      </c>
      <c r="N145" s="334"/>
      <c r="O145" s="158">
        <f t="shared" si="35"/>
        <v>0</v>
      </c>
      <c r="P145" s="158">
        <f t="shared" si="36"/>
        <v>0</v>
      </c>
      <c r="Q145" s="1"/>
    </row>
    <row r="146" spans="2:17">
      <c r="B146" s="9" t="str">
        <f t="shared" si="24"/>
        <v/>
      </c>
      <c r="C146" s="153">
        <f>IF(D93="","-",+C145+1)</f>
        <v>2056</v>
      </c>
      <c r="D146" s="154">
        <f>IF(F145+SUM(E$99:E145)=D$92,F145,D$92-SUM(E$99:E145))</f>
        <v>0</v>
      </c>
      <c r="E146" s="160">
        <f>IF(+J96&lt;F145,J96,D146)</f>
        <v>0</v>
      </c>
      <c r="F146" s="159">
        <f t="shared" si="31"/>
        <v>0</v>
      </c>
      <c r="G146" s="159">
        <f t="shared" si="32"/>
        <v>0</v>
      </c>
      <c r="H146" s="163">
        <f t="shared" si="29"/>
        <v>0</v>
      </c>
      <c r="I146" s="253">
        <f t="shared" si="30"/>
        <v>0</v>
      </c>
      <c r="J146" s="158">
        <f t="shared" si="33"/>
        <v>0</v>
      </c>
      <c r="K146" s="158"/>
      <c r="L146" s="334"/>
      <c r="M146" s="158">
        <f t="shared" si="34"/>
        <v>0</v>
      </c>
      <c r="N146" s="334"/>
      <c r="O146" s="158">
        <f t="shared" si="35"/>
        <v>0</v>
      </c>
      <c r="P146" s="158">
        <f t="shared" si="36"/>
        <v>0</v>
      </c>
      <c r="Q146" s="1"/>
    </row>
    <row r="147" spans="2:17">
      <c r="B147" s="9" t="str">
        <f t="shared" si="24"/>
        <v/>
      </c>
      <c r="C147" s="153">
        <f>IF(D93="","-",+C146+1)</f>
        <v>2057</v>
      </c>
      <c r="D147" s="154">
        <f>IF(F146+SUM(E$99:E146)=D$92,F146,D$92-SUM(E$99:E146))</f>
        <v>0</v>
      </c>
      <c r="E147" s="160">
        <f>IF(+J96&lt;F146,J96,D147)</f>
        <v>0</v>
      </c>
      <c r="F147" s="159">
        <f t="shared" si="31"/>
        <v>0</v>
      </c>
      <c r="G147" s="159">
        <f t="shared" si="32"/>
        <v>0</v>
      </c>
      <c r="H147" s="163">
        <f t="shared" si="29"/>
        <v>0</v>
      </c>
      <c r="I147" s="253">
        <f t="shared" si="30"/>
        <v>0</v>
      </c>
      <c r="J147" s="158">
        <f t="shared" si="33"/>
        <v>0</v>
      </c>
      <c r="K147" s="158"/>
      <c r="L147" s="334"/>
      <c r="M147" s="158">
        <f t="shared" si="34"/>
        <v>0</v>
      </c>
      <c r="N147" s="334"/>
      <c r="O147" s="158">
        <f t="shared" si="35"/>
        <v>0</v>
      </c>
      <c r="P147" s="158">
        <f t="shared" si="36"/>
        <v>0</v>
      </c>
      <c r="Q147" s="1"/>
    </row>
    <row r="148" spans="2:17">
      <c r="B148" s="9" t="str">
        <f t="shared" si="24"/>
        <v/>
      </c>
      <c r="C148" s="153">
        <f>IF(D93="","-",+C147+1)</f>
        <v>2058</v>
      </c>
      <c r="D148" s="154">
        <f>IF(F147+SUM(E$99:E147)=D$92,F147,D$92-SUM(E$99:E147))</f>
        <v>0</v>
      </c>
      <c r="E148" s="160">
        <f>IF(+J96&lt;F147,J96,D148)</f>
        <v>0</v>
      </c>
      <c r="F148" s="159">
        <f t="shared" si="31"/>
        <v>0</v>
      </c>
      <c r="G148" s="159">
        <f t="shared" si="32"/>
        <v>0</v>
      </c>
      <c r="H148" s="163">
        <f t="shared" si="29"/>
        <v>0</v>
      </c>
      <c r="I148" s="253">
        <f t="shared" si="30"/>
        <v>0</v>
      </c>
      <c r="J148" s="158">
        <f t="shared" si="33"/>
        <v>0</v>
      </c>
      <c r="K148" s="158"/>
      <c r="L148" s="334"/>
      <c r="M148" s="158">
        <f t="shared" si="34"/>
        <v>0</v>
      </c>
      <c r="N148" s="334"/>
      <c r="O148" s="158">
        <f t="shared" si="35"/>
        <v>0</v>
      </c>
      <c r="P148" s="158">
        <f t="shared" si="36"/>
        <v>0</v>
      </c>
      <c r="Q148" s="1"/>
    </row>
    <row r="149" spans="2:17">
      <c r="B149" s="9" t="str">
        <f t="shared" si="24"/>
        <v/>
      </c>
      <c r="C149" s="153">
        <f>IF(D93="","-",+C148+1)</f>
        <v>2059</v>
      </c>
      <c r="D149" s="154">
        <f>IF(F148+SUM(E$99:E148)=D$92,F148,D$92-SUM(E$99:E148))</f>
        <v>0</v>
      </c>
      <c r="E149" s="160">
        <f>IF(+J96&lt;F148,J96,D149)</f>
        <v>0</v>
      </c>
      <c r="F149" s="159">
        <f t="shared" si="31"/>
        <v>0</v>
      </c>
      <c r="G149" s="159">
        <f t="shared" si="32"/>
        <v>0</v>
      </c>
      <c r="H149" s="163">
        <f t="shared" si="29"/>
        <v>0</v>
      </c>
      <c r="I149" s="253">
        <f t="shared" si="30"/>
        <v>0</v>
      </c>
      <c r="J149" s="158">
        <f t="shared" si="33"/>
        <v>0</v>
      </c>
      <c r="K149" s="158"/>
      <c r="L149" s="334"/>
      <c r="M149" s="158">
        <f t="shared" si="34"/>
        <v>0</v>
      </c>
      <c r="N149" s="334"/>
      <c r="O149" s="158">
        <f t="shared" si="35"/>
        <v>0</v>
      </c>
      <c r="P149" s="158">
        <f t="shared" si="36"/>
        <v>0</v>
      </c>
      <c r="Q149" s="1"/>
    </row>
    <row r="150" spans="2:17">
      <c r="B150" s="9" t="str">
        <f t="shared" si="24"/>
        <v/>
      </c>
      <c r="C150" s="153">
        <f>IF(D93="","-",+C149+1)</f>
        <v>2060</v>
      </c>
      <c r="D150" s="154">
        <f>IF(F149+SUM(E$99:E149)=D$92,F149,D$92-SUM(E$99:E149))</f>
        <v>0</v>
      </c>
      <c r="E150" s="160">
        <f>IF(+J96&lt;F149,J96,D150)</f>
        <v>0</v>
      </c>
      <c r="F150" s="159">
        <f t="shared" si="31"/>
        <v>0</v>
      </c>
      <c r="G150" s="159">
        <f t="shared" si="32"/>
        <v>0</v>
      </c>
      <c r="H150" s="163">
        <f t="shared" si="29"/>
        <v>0</v>
      </c>
      <c r="I150" s="253">
        <f t="shared" si="30"/>
        <v>0</v>
      </c>
      <c r="J150" s="158">
        <f t="shared" si="33"/>
        <v>0</v>
      </c>
      <c r="K150" s="158"/>
      <c r="L150" s="334"/>
      <c r="M150" s="158">
        <f t="shared" si="34"/>
        <v>0</v>
      </c>
      <c r="N150" s="334"/>
      <c r="O150" s="158">
        <f t="shared" si="35"/>
        <v>0</v>
      </c>
      <c r="P150" s="158">
        <f t="shared" si="36"/>
        <v>0</v>
      </c>
      <c r="Q150" s="1"/>
    </row>
    <row r="151" spans="2:17">
      <c r="B151" s="9" t="str">
        <f t="shared" si="24"/>
        <v/>
      </c>
      <c r="C151" s="153">
        <f>IF(D93="","-",+C150+1)</f>
        <v>2061</v>
      </c>
      <c r="D151" s="154">
        <f>IF(F150+SUM(E$99:E150)=D$92,F150,D$92-SUM(E$99:E150))</f>
        <v>0</v>
      </c>
      <c r="E151" s="160">
        <f>IF(+J96&lt;F150,J96,D151)</f>
        <v>0</v>
      </c>
      <c r="F151" s="159">
        <f t="shared" si="31"/>
        <v>0</v>
      </c>
      <c r="G151" s="159">
        <f t="shared" si="32"/>
        <v>0</v>
      </c>
      <c r="H151" s="163">
        <f t="shared" si="29"/>
        <v>0</v>
      </c>
      <c r="I151" s="253">
        <f t="shared" si="30"/>
        <v>0</v>
      </c>
      <c r="J151" s="158">
        <f t="shared" si="33"/>
        <v>0</v>
      </c>
      <c r="K151" s="158"/>
      <c r="L151" s="334"/>
      <c r="M151" s="158">
        <f t="shared" si="34"/>
        <v>0</v>
      </c>
      <c r="N151" s="334"/>
      <c r="O151" s="158">
        <f t="shared" si="35"/>
        <v>0</v>
      </c>
      <c r="P151" s="158">
        <f t="shared" si="36"/>
        <v>0</v>
      </c>
      <c r="Q151" s="1"/>
    </row>
    <row r="152" spans="2:17">
      <c r="B152" s="9" t="str">
        <f t="shared" si="24"/>
        <v/>
      </c>
      <c r="C152" s="153">
        <f>IF(D93="","-",+C151+1)</f>
        <v>2062</v>
      </c>
      <c r="D152" s="154">
        <f>IF(F151+SUM(E$99:E151)=D$92,F151,D$92-SUM(E$99:E151))</f>
        <v>0</v>
      </c>
      <c r="E152" s="160">
        <f>IF(+J96&lt;F151,J96,D152)</f>
        <v>0</v>
      </c>
      <c r="F152" s="159">
        <f t="shared" si="31"/>
        <v>0</v>
      </c>
      <c r="G152" s="159">
        <f t="shared" si="32"/>
        <v>0</v>
      </c>
      <c r="H152" s="163">
        <f t="shared" si="29"/>
        <v>0</v>
      </c>
      <c r="I152" s="253">
        <f t="shared" si="30"/>
        <v>0</v>
      </c>
      <c r="J152" s="158">
        <f t="shared" si="33"/>
        <v>0</v>
      </c>
      <c r="K152" s="158"/>
      <c r="L152" s="334"/>
      <c r="M152" s="158">
        <f t="shared" si="34"/>
        <v>0</v>
      </c>
      <c r="N152" s="334"/>
      <c r="O152" s="158">
        <f t="shared" si="35"/>
        <v>0</v>
      </c>
      <c r="P152" s="158">
        <f t="shared" si="36"/>
        <v>0</v>
      </c>
      <c r="Q152" s="1"/>
    </row>
    <row r="153" spans="2:17">
      <c r="B153" s="9" t="str">
        <f t="shared" si="24"/>
        <v/>
      </c>
      <c r="C153" s="153">
        <f>IF(D93="","-",+C152+1)</f>
        <v>2063</v>
      </c>
      <c r="D153" s="154">
        <f>IF(F152+SUM(E$99:E152)=D$92,F152,D$92-SUM(E$99:E152))</f>
        <v>0</v>
      </c>
      <c r="E153" s="160">
        <f>IF(+J96&lt;F152,J96,D153)</f>
        <v>0</v>
      </c>
      <c r="F153" s="159">
        <f t="shared" si="31"/>
        <v>0</v>
      </c>
      <c r="G153" s="159">
        <f t="shared" si="32"/>
        <v>0</v>
      </c>
      <c r="H153" s="163">
        <f t="shared" si="29"/>
        <v>0</v>
      </c>
      <c r="I153" s="253">
        <f t="shared" si="30"/>
        <v>0</v>
      </c>
      <c r="J153" s="158">
        <f t="shared" si="33"/>
        <v>0</v>
      </c>
      <c r="K153" s="158"/>
      <c r="L153" s="334"/>
      <c r="M153" s="158">
        <f t="shared" si="34"/>
        <v>0</v>
      </c>
      <c r="N153" s="334"/>
      <c r="O153" s="158">
        <f t="shared" si="35"/>
        <v>0</v>
      </c>
      <c r="P153" s="158">
        <f t="shared" si="36"/>
        <v>0</v>
      </c>
      <c r="Q153" s="1"/>
    </row>
    <row r="154" spans="2:17" ht="13.5" thickBot="1">
      <c r="B154" s="9" t="str">
        <f t="shared" si="24"/>
        <v/>
      </c>
      <c r="C154" s="164">
        <f>IF(D93="","-",+C153+1)</f>
        <v>2064</v>
      </c>
      <c r="D154" s="215">
        <f>IF(F153+SUM(E$99:E153)=D$92,F153,D$92-SUM(E$99:E153))</f>
        <v>0</v>
      </c>
      <c r="E154" s="166">
        <f>IF(+J96&lt;F153,J96,D154)</f>
        <v>0</v>
      </c>
      <c r="F154" s="165">
        <f t="shared" si="31"/>
        <v>0</v>
      </c>
      <c r="G154" s="165">
        <f t="shared" si="32"/>
        <v>0</v>
      </c>
      <c r="H154" s="167">
        <f t="shared" si="29"/>
        <v>0</v>
      </c>
      <c r="I154" s="254">
        <f t="shared" si="30"/>
        <v>0</v>
      </c>
      <c r="J154" s="169">
        <f t="shared" si="33"/>
        <v>0</v>
      </c>
      <c r="K154" s="158"/>
      <c r="L154" s="335"/>
      <c r="M154" s="169">
        <f t="shared" si="34"/>
        <v>0</v>
      </c>
      <c r="N154" s="335"/>
      <c r="O154" s="169">
        <f t="shared" si="35"/>
        <v>0</v>
      </c>
      <c r="P154" s="169">
        <f t="shared" si="36"/>
        <v>0</v>
      </c>
      <c r="Q154" s="1"/>
    </row>
    <row r="155" spans="2:17">
      <c r="C155" s="154" t="s">
        <v>73</v>
      </c>
      <c r="D155" s="111"/>
      <c r="E155" s="111">
        <f>SUM(E99:E154)</f>
        <v>17671482</v>
      </c>
      <c r="F155" s="111"/>
      <c r="G155" s="111"/>
      <c r="H155" s="111">
        <f>SUM(H99:H154)</f>
        <v>65990007.14558167</v>
      </c>
      <c r="I155" s="111">
        <f>SUM(I99:I154)</f>
        <v>65990007.14558167</v>
      </c>
      <c r="J155" s="111">
        <f>SUM(J99:J154)</f>
        <v>0</v>
      </c>
      <c r="K155" s="111"/>
      <c r="L155" s="111"/>
      <c r="M155" s="111"/>
      <c r="N155" s="111"/>
      <c r="O155" s="111"/>
      <c r="P155" s="1"/>
      <c r="Q155" s="1"/>
    </row>
    <row r="156" spans="2:17">
      <c r="D156" s="2"/>
      <c r="E156" s="1"/>
      <c r="F156" s="1"/>
      <c r="G156" s="1"/>
      <c r="H156" s="1"/>
      <c r="I156" s="3"/>
      <c r="J156" s="3"/>
      <c r="K156" s="111"/>
      <c r="L156" s="3"/>
      <c r="M156" s="3"/>
      <c r="N156" s="3"/>
      <c r="O156" s="3"/>
      <c r="P156" s="1"/>
      <c r="Q156" s="1"/>
    </row>
    <row r="157" spans="2:17">
      <c r="C157" s="216" t="s">
        <v>87</v>
      </c>
      <c r="D157" s="2"/>
      <c r="E157" s="1"/>
      <c r="F157" s="1"/>
      <c r="G157" s="1"/>
      <c r="H157" s="1"/>
      <c r="I157" s="3"/>
      <c r="J157" s="3"/>
      <c r="K157" s="111"/>
      <c r="L157" s="3"/>
      <c r="M157" s="3"/>
      <c r="N157" s="3"/>
      <c r="O157" s="3"/>
      <c r="P157" s="1"/>
      <c r="Q157" s="1"/>
    </row>
    <row r="158" spans="2:17">
      <c r="D158" s="2"/>
      <c r="E158" s="1"/>
      <c r="F158" s="1"/>
      <c r="G158" s="1"/>
      <c r="H158" s="1"/>
      <c r="I158" s="3"/>
      <c r="J158" s="3"/>
      <c r="K158" s="111"/>
      <c r="L158" s="3"/>
      <c r="M158" s="3"/>
      <c r="N158" s="3"/>
      <c r="O158" s="3"/>
      <c r="P158" s="1"/>
      <c r="Q158" s="1"/>
    </row>
    <row r="159" spans="2:17">
      <c r="C159" s="170" t="s">
        <v>92</v>
      </c>
      <c r="D159" s="154"/>
      <c r="E159" s="154"/>
      <c r="F159" s="154"/>
      <c r="G159" s="154"/>
      <c r="H159" s="111"/>
      <c r="I159" s="111"/>
      <c r="J159" s="171"/>
      <c r="K159" s="171"/>
      <c r="L159" s="171"/>
      <c r="M159" s="171"/>
      <c r="N159" s="171"/>
      <c r="O159" s="171"/>
      <c r="P159" s="1"/>
      <c r="Q159" s="1"/>
    </row>
    <row r="160" spans="2:17">
      <c r="C160" s="217" t="s">
        <v>74</v>
      </c>
      <c r="D160" s="154"/>
      <c r="E160" s="154"/>
      <c r="F160" s="154"/>
      <c r="G160" s="154"/>
      <c r="H160" s="111"/>
      <c r="I160" s="111"/>
      <c r="J160" s="171"/>
      <c r="K160" s="171"/>
      <c r="L160" s="171"/>
      <c r="M160" s="171"/>
      <c r="N160" s="171"/>
      <c r="O160" s="171"/>
      <c r="P160" s="1"/>
      <c r="Q160" s="1"/>
    </row>
    <row r="161" spans="3:17">
      <c r="C161" s="217" t="s">
        <v>75</v>
      </c>
      <c r="D161" s="154"/>
      <c r="E161" s="154"/>
      <c r="F161" s="154"/>
      <c r="G161" s="154"/>
      <c r="H161" s="111"/>
      <c r="I161" s="111"/>
      <c r="J161" s="171"/>
      <c r="K161" s="171"/>
      <c r="L161" s="171"/>
      <c r="M161" s="171"/>
      <c r="N161" s="171"/>
      <c r="O161" s="171"/>
      <c r="P161" s="1"/>
      <c r="Q161" s="1"/>
    </row>
    <row r="162" spans="3:17" ht="18">
      <c r="C162" s="217"/>
      <c r="D162" s="154"/>
      <c r="E162" s="154"/>
      <c r="F162" s="154"/>
      <c r="G162" s="154"/>
      <c r="H162" s="111"/>
      <c r="I162" s="111"/>
      <c r="J162" s="171"/>
      <c r="K162" s="171"/>
      <c r="L162" s="171"/>
      <c r="M162" s="171"/>
      <c r="N162" s="171"/>
      <c r="P162" s="237" t="s">
        <v>126</v>
      </c>
      <c r="Q162" s="1"/>
    </row>
  </sheetData>
  <phoneticPr fontId="0" type="noConversion"/>
  <conditionalFormatting sqref="C17:C72">
    <cfRule type="cellIs" dxfId="163" priority="1" stopIfTrue="1" operator="equal">
      <formula>$I$10</formula>
    </cfRule>
  </conditionalFormatting>
  <conditionalFormatting sqref="C99:C154">
    <cfRule type="cellIs" dxfId="162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6"/>
  <dimension ref="A1:Q162"/>
  <sheetViews>
    <sheetView view="pageBreakPreview" zoomScale="75" zoomScaleNormal="100" zoomScaleSheetLayoutView="75" workbookViewId="0">
      <selection activeCell="C19" sqref="C19"/>
    </sheetView>
  </sheetViews>
  <sheetFormatPr defaultRowHeight="12.75" customHeight="1"/>
  <cols>
    <col min="1" max="1" width="4.7109375" customWidth="1"/>
    <col min="2" max="2" width="6.7109375" customWidth="1"/>
    <col min="3" max="3" width="23.28515625" customWidth="1"/>
    <col min="4" max="8" width="17.7109375" customWidth="1"/>
    <col min="9" max="9" width="20.42578125" customWidth="1"/>
    <col min="10" max="10" width="16.42578125" customWidth="1"/>
    <col min="11" max="11" width="17.7109375" customWidth="1"/>
    <col min="12" max="12" width="16.140625" customWidth="1"/>
    <col min="13" max="13" width="17.7109375" customWidth="1"/>
    <col min="14" max="14" width="16.7109375" customWidth="1"/>
    <col min="15" max="15" width="16.85546875" customWidth="1"/>
    <col min="16" max="16" width="24.42578125" customWidth="1"/>
    <col min="17" max="17" width="4.7109375" customWidth="1"/>
    <col min="23" max="23" width="9.140625" customWidth="1"/>
  </cols>
  <sheetData>
    <row r="1" spans="1:17" ht="20.25">
      <c r="A1" s="243" t="s">
        <v>128</v>
      </c>
      <c r="B1" s="1"/>
      <c r="C1" s="21"/>
      <c r="D1" s="2"/>
      <c r="E1" s="1"/>
      <c r="F1" s="99"/>
      <c r="G1" s="1"/>
      <c r="H1" s="3"/>
      <c r="J1" s="7"/>
      <c r="K1" s="109"/>
      <c r="L1" s="109"/>
      <c r="M1" s="109"/>
      <c r="P1" s="249" t="str">
        <f ca="1">"SWEPCO Project "&amp;RIGHT(MID(CELL("filename",$A$1),FIND("]",CELL("filename",$A$1))+1,256),2)&amp;" of "&amp;COUNT('S.001:S.xyz - blank'!$P$3)-1</f>
        <v>SWEPCO Project 37 of 73</v>
      </c>
      <c r="Q1" s="108"/>
    </row>
    <row r="2" spans="1:17" ht="18">
      <c r="B2" s="1"/>
      <c r="C2" s="1"/>
      <c r="D2" s="2"/>
      <c r="E2" s="1"/>
      <c r="F2" s="1"/>
      <c r="G2" s="1"/>
      <c r="H2" s="3"/>
      <c r="I2" s="1"/>
      <c r="J2" s="4"/>
      <c r="K2" s="1"/>
      <c r="L2" s="1"/>
      <c r="M2" s="1"/>
      <c r="N2" s="1"/>
      <c r="P2" s="244" t="s">
        <v>124</v>
      </c>
    </row>
    <row r="3" spans="1:17" ht="18.75">
      <c r="B3" s="5" t="s">
        <v>40</v>
      </c>
      <c r="C3" s="68" t="s">
        <v>41</v>
      </c>
      <c r="D3" s="2"/>
      <c r="E3" s="1"/>
      <c r="F3" s="1"/>
      <c r="G3" s="1"/>
      <c r="H3" s="3"/>
      <c r="I3" s="3"/>
      <c r="J3" s="111"/>
      <c r="K3" s="3"/>
      <c r="L3" s="3"/>
      <c r="M3" s="3"/>
      <c r="N3" s="3"/>
      <c r="O3" s="1"/>
      <c r="P3" s="240">
        <v>1</v>
      </c>
    </row>
    <row r="4" spans="1:17" ht="15.75" thickBot="1">
      <c r="C4" s="67"/>
      <c r="D4" s="2"/>
      <c r="E4" s="1"/>
      <c r="F4" s="1"/>
      <c r="G4" s="1"/>
      <c r="H4" s="3"/>
      <c r="I4" s="3"/>
      <c r="J4" s="111"/>
      <c r="K4" s="3"/>
      <c r="L4" s="3"/>
      <c r="M4" s="3"/>
      <c r="N4" s="3"/>
      <c r="O4" s="1"/>
      <c r="P4" s="1"/>
    </row>
    <row r="5" spans="1:17" ht="15">
      <c r="C5" s="112" t="s">
        <v>42</v>
      </c>
      <c r="D5" s="2"/>
      <c r="E5" s="1"/>
      <c r="F5" s="1"/>
      <c r="G5" s="113"/>
      <c r="H5" s="1" t="s">
        <v>43</v>
      </c>
      <c r="I5" s="1"/>
      <c r="J5" s="4"/>
      <c r="K5" s="268" t="s">
        <v>152</v>
      </c>
      <c r="L5" s="114"/>
      <c r="M5" s="115"/>
      <c r="N5" s="116">
        <f>VLOOKUP(I10,C17:I72,5)</f>
        <v>548891.14961656136</v>
      </c>
      <c r="P5" s="1"/>
    </row>
    <row r="6" spans="1:17" ht="15.75">
      <c r="C6" s="8"/>
      <c r="D6" s="2"/>
      <c r="E6" s="1"/>
      <c r="F6" s="1"/>
      <c r="G6" s="1"/>
      <c r="H6" s="117"/>
      <c r="I6" s="117"/>
      <c r="J6" s="118"/>
      <c r="K6" s="269" t="s">
        <v>153</v>
      </c>
      <c r="L6" s="119"/>
      <c r="M6" s="4"/>
      <c r="N6" s="120">
        <f>VLOOKUP(I10,C17:I72,6)</f>
        <v>548891.14961656136</v>
      </c>
      <c r="O6" s="1"/>
      <c r="P6" s="1"/>
    </row>
    <row r="7" spans="1:17" ht="13.5" thickBot="1">
      <c r="C7" s="121" t="s">
        <v>44</v>
      </c>
      <c r="D7" s="386" t="s">
        <v>290</v>
      </c>
      <c r="E7" s="379"/>
      <c r="F7" s="379"/>
      <c r="G7" s="379"/>
      <c r="H7" s="3"/>
      <c r="I7" s="3"/>
      <c r="J7" s="111"/>
      <c r="K7" s="122" t="s">
        <v>45</v>
      </c>
      <c r="L7" s="123"/>
      <c r="M7" s="123"/>
      <c r="N7" s="124">
        <f>+N6-N5</f>
        <v>0</v>
      </c>
      <c r="O7" s="1"/>
      <c r="P7" s="1"/>
    </row>
    <row r="8" spans="1:17" ht="13.5" thickBot="1">
      <c r="C8" s="125"/>
      <c r="D8" s="352" t="str">
        <f>IF(D10&lt;100000,"DOES NOT MEET SPP $100,000 MINIMUM INVESTMENT FOR REGIONAL BPU SHARING.","")</f>
        <v/>
      </c>
      <c r="E8" s="126"/>
      <c r="F8" s="126"/>
      <c r="G8" s="126"/>
      <c r="H8" s="126"/>
      <c r="I8" s="126"/>
      <c r="J8" s="101"/>
      <c r="K8" s="126"/>
      <c r="L8" s="126"/>
      <c r="M8" s="126"/>
      <c r="N8" s="126"/>
      <c r="O8" s="101"/>
      <c r="P8" s="21"/>
    </row>
    <row r="9" spans="1:17" ht="13.5" thickBot="1">
      <c r="C9" s="127" t="s">
        <v>46</v>
      </c>
      <c r="D9" s="225" t="s">
        <v>289</v>
      </c>
      <c r="E9" s="401" t="s">
        <v>428</v>
      </c>
      <c r="F9" s="128"/>
      <c r="G9" s="128"/>
      <c r="H9" s="128"/>
      <c r="I9" s="129"/>
      <c r="J9" s="130"/>
      <c r="O9" s="131"/>
      <c r="P9" s="4"/>
    </row>
    <row r="10" spans="1:17">
      <c r="C10" s="132" t="s">
        <v>47</v>
      </c>
      <c r="D10" s="133">
        <v>5048526</v>
      </c>
      <c r="E10" s="61" t="s">
        <v>459</v>
      </c>
      <c r="F10" s="131"/>
      <c r="G10" s="134"/>
      <c r="H10" s="134"/>
      <c r="I10" s="135">
        <f>+SWE.WS.F.BPU.ATRR.Projected!K17</f>
        <v>2019</v>
      </c>
      <c r="J10" s="130"/>
      <c r="K10" s="111" t="s">
        <v>48</v>
      </c>
      <c r="O10" s="4"/>
      <c r="P10" s="4"/>
    </row>
    <row r="11" spans="1:17">
      <c r="C11" s="136" t="s">
        <v>49</v>
      </c>
      <c r="D11" s="137">
        <v>2013</v>
      </c>
      <c r="E11" s="136" t="s">
        <v>50</v>
      </c>
      <c r="F11" s="134"/>
      <c r="G11" s="7"/>
      <c r="H11" s="7"/>
      <c r="I11" s="138">
        <f>IF(G5="",0,SWE.WS.F.BPU.ATRR.Projected!F$11)</f>
        <v>0</v>
      </c>
      <c r="J11" s="139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4"/>
      <c r="P11" s="4"/>
    </row>
    <row r="12" spans="1:17">
      <c r="C12" s="136" t="s">
        <v>51</v>
      </c>
      <c r="D12" s="133">
        <v>6</v>
      </c>
      <c r="E12" s="136" t="s">
        <v>52</v>
      </c>
      <c r="F12" s="134"/>
      <c r="G12" s="7"/>
      <c r="H12" s="7"/>
      <c r="I12" s="140">
        <f>SWE.WS.F.BPU.ATRR.Projected!$F$76</f>
        <v>9.9555672459071778E-2</v>
      </c>
      <c r="J12" s="141"/>
      <c r="K12" t="s">
        <v>53</v>
      </c>
      <c r="O12" s="4"/>
      <c r="P12" s="4"/>
    </row>
    <row r="13" spans="1:17">
      <c r="C13" s="136" t="s">
        <v>54</v>
      </c>
      <c r="D13" s="138">
        <f>+SWE.WS.F.BPU.ATRR.Projected!F$87</f>
        <v>43</v>
      </c>
      <c r="E13" s="136" t="s">
        <v>55</v>
      </c>
      <c r="F13" s="134"/>
      <c r="G13" s="7"/>
      <c r="H13" s="7"/>
      <c r="I13" s="140">
        <f>IF(G5="",I12,SWE.WS.F.BPU.ATRR.Projected!$F$75)</f>
        <v>9.9555672459071778E-2</v>
      </c>
      <c r="J13" s="141"/>
      <c r="K13" s="111" t="s">
        <v>56</v>
      </c>
      <c r="L13" s="58"/>
      <c r="M13" s="58"/>
      <c r="N13" s="58"/>
      <c r="O13" s="4"/>
      <c r="P13" s="4"/>
    </row>
    <row r="14" spans="1:17" ht="13.5" thickBot="1">
      <c r="C14" s="136" t="s">
        <v>57</v>
      </c>
      <c r="D14" s="137" t="s">
        <v>58</v>
      </c>
      <c r="E14" s="4" t="s">
        <v>59</v>
      </c>
      <c r="F14" s="134"/>
      <c r="G14" s="7"/>
      <c r="H14" s="7"/>
      <c r="I14" s="142">
        <f>IF(D10=0,0,D10/D13)</f>
        <v>117407.58139534884</v>
      </c>
      <c r="J14" s="111"/>
      <c r="K14" s="111"/>
      <c r="L14" s="111"/>
      <c r="M14" s="111"/>
      <c r="N14" s="111"/>
      <c r="O14" s="4"/>
      <c r="P14" s="4"/>
    </row>
    <row r="15" spans="1:17" ht="38.25">
      <c r="C15" s="143" t="s">
        <v>47</v>
      </c>
      <c r="D15" s="144" t="s">
        <v>60</v>
      </c>
      <c r="E15" s="144" t="s">
        <v>61</v>
      </c>
      <c r="F15" s="144" t="s">
        <v>62</v>
      </c>
      <c r="G15" s="434" t="s">
        <v>378</v>
      </c>
      <c r="H15" s="435" t="s">
        <v>379</v>
      </c>
      <c r="I15" s="143" t="s">
        <v>63</v>
      </c>
      <c r="J15" s="145"/>
      <c r="K15" s="271" t="s">
        <v>219</v>
      </c>
      <c r="L15" s="146" t="s">
        <v>64</v>
      </c>
      <c r="M15" s="271" t="s">
        <v>219</v>
      </c>
      <c r="N15" s="146" t="s">
        <v>64</v>
      </c>
      <c r="O15" s="146" t="s">
        <v>65</v>
      </c>
      <c r="P15" s="4"/>
    </row>
    <row r="16" spans="1:17" ht="13.5" thickBot="1">
      <c r="C16" s="147" t="s">
        <v>66</v>
      </c>
      <c r="D16" s="147" t="s">
        <v>67</v>
      </c>
      <c r="E16" s="147" t="s">
        <v>68</v>
      </c>
      <c r="F16" s="147" t="s">
        <v>67</v>
      </c>
      <c r="G16" s="408" t="s">
        <v>69</v>
      </c>
      <c r="H16" s="148" t="s">
        <v>70</v>
      </c>
      <c r="I16" s="149" t="s">
        <v>89</v>
      </c>
      <c r="J16" s="150" t="s">
        <v>71</v>
      </c>
      <c r="K16" s="151" t="s">
        <v>72</v>
      </c>
      <c r="L16" s="151" t="s">
        <v>72</v>
      </c>
      <c r="M16" s="151" t="s">
        <v>90</v>
      </c>
      <c r="N16" s="152" t="s">
        <v>90</v>
      </c>
      <c r="O16" s="151" t="s">
        <v>90</v>
      </c>
      <c r="P16" s="4"/>
    </row>
    <row r="17" spans="2:16">
      <c r="C17" s="153">
        <f>IF(D11= "","-",D11)</f>
        <v>2013</v>
      </c>
      <c r="D17" s="393">
        <v>4585200</v>
      </c>
      <c r="E17" s="394">
        <v>54585.71428571429</v>
      </c>
      <c r="F17" s="393">
        <v>4530614.2857142854</v>
      </c>
      <c r="G17" s="394">
        <v>688813.18815380184</v>
      </c>
      <c r="H17" s="395">
        <v>688813.18815380184</v>
      </c>
      <c r="I17" s="404">
        <v>0</v>
      </c>
      <c r="J17" s="156"/>
      <c r="K17" s="256">
        <f t="shared" ref="K17:K22" si="0">G17</f>
        <v>688813.18815380184</v>
      </c>
      <c r="L17" s="172">
        <f t="shared" ref="L17:L22" si="1">IF(K17&lt;&gt;0,+G17-K17,0)</f>
        <v>0</v>
      </c>
      <c r="M17" s="256">
        <f t="shared" ref="M17:M22" si="2">H17</f>
        <v>688813.18815380184</v>
      </c>
      <c r="N17" s="157">
        <f t="shared" ref="N17:N22" si="3">IF(M17&lt;&gt;0,+H17-M17,0)</f>
        <v>0</v>
      </c>
      <c r="O17" s="158">
        <f t="shared" ref="O17:O22" si="4">+N17-L17</f>
        <v>0</v>
      </c>
      <c r="P17" s="4"/>
    </row>
    <row r="18" spans="2:16">
      <c r="B18" s="9" t="str">
        <f>IF(D18=F17,"","IU")</f>
        <v/>
      </c>
      <c r="C18" s="153">
        <f>IF(D11="","-",+C17+1)</f>
        <v>2014</v>
      </c>
      <c r="D18" s="393">
        <v>4530614.2857142854</v>
      </c>
      <c r="E18" s="397">
        <v>120194.88095238095</v>
      </c>
      <c r="F18" s="393">
        <v>4410419.4047619049</v>
      </c>
      <c r="G18" s="397">
        <v>715206.80444444832</v>
      </c>
      <c r="H18" s="395">
        <v>715206.80444444832</v>
      </c>
      <c r="I18" s="404">
        <v>0</v>
      </c>
      <c r="J18" s="156"/>
      <c r="K18" s="258">
        <f t="shared" si="0"/>
        <v>715206.80444444832</v>
      </c>
      <c r="L18" s="257">
        <f t="shared" si="1"/>
        <v>0</v>
      </c>
      <c r="M18" s="258">
        <f t="shared" si="2"/>
        <v>715206.80444444832</v>
      </c>
      <c r="N18" s="158">
        <f t="shared" si="3"/>
        <v>0</v>
      </c>
      <c r="O18" s="158">
        <f t="shared" si="4"/>
        <v>0</v>
      </c>
      <c r="P18" s="4"/>
    </row>
    <row r="19" spans="2:16">
      <c r="B19" s="9" t="str">
        <f>IF(D19=F18,"","IU")</f>
        <v/>
      </c>
      <c r="C19" s="153">
        <f>IF(D11="","-",+C18+1)</f>
        <v>2015</v>
      </c>
      <c r="D19" s="393">
        <v>4410419.4047619049</v>
      </c>
      <c r="E19" s="397">
        <v>120203</v>
      </c>
      <c r="F19" s="393">
        <v>4290216.4047619049</v>
      </c>
      <c r="G19" s="397">
        <v>685245.09772932425</v>
      </c>
      <c r="H19" s="395">
        <v>685245.09772932425</v>
      </c>
      <c r="I19" s="156">
        <v>0</v>
      </c>
      <c r="J19" s="156"/>
      <c r="K19" s="258">
        <f t="shared" si="0"/>
        <v>685245.09772932425</v>
      </c>
      <c r="L19" s="257">
        <f t="shared" si="1"/>
        <v>0</v>
      </c>
      <c r="M19" s="258">
        <f t="shared" si="2"/>
        <v>685245.09772932425</v>
      </c>
      <c r="N19" s="158">
        <f t="shared" si="3"/>
        <v>0</v>
      </c>
      <c r="O19" s="158">
        <f t="shared" si="4"/>
        <v>0</v>
      </c>
      <c r="P19" s="4"/>
    </row>
    <row r="20" spans="2:16">
      <c r="B20" s="9" t="str">
        <f t="shared" ref="B20:B72" si="5">IF(D20=F19,"","IU")</f>
        <v>IU</v>
      </c>
      <c r="C20" s="153">
        <f>IF(D11="","-",+C19+1)</f>
        <v>2016</v>
      </c>
      <c r="D20" s="393">
        <v>4753542.4047619049</v>
      </c>
      <c r="E20" s="397">
        <v>120203</v>
      </c>
      <c r="F20" s="393">
        <v>4633339.4047619049</v>
      </c>
      <c r="G20" s="397">
        <v>722907.67402559891</v>
      </c>
      <c r="H20" s="395">
        <v>722907.67402559891</v>
      </c>
      <c r="I20" s="156">
        <f>H20-G20</f>
        <v>0</v>
      </c>
      <c r="J20" s="156"/>
      <c r="K20" s="258">
        <f t="shared" si="0"/>
        <v>722907.67402559891</v>
      </c>
      <c r="L20" s="257">
        <f t="shared" si="1"/>
        <v>0</v>
      </c>
      <c r="M20" s="258">
        <f t="shared" si="2"/>
        <v>722907.67402559891</v>
      </c>
      <c r="N20" s="158">
        <f t="shared" si="3"/>
        <v>0</v>
      </c>
      <c r="O20" s="158">
        <f t="shared" si="4"/>
        <v>0</v>
      </c>
      <c r="P20" s="4"/>
    </row>
    <row r="21" spans="2:16">
      <c r="B21" s="9" t="str">
        <f t="shared" si="5"/>
        <v/>
      </c>
      <c r="C21" s="153">
        <f>IF(D11="","-",+C20+1)</f>
        <v>2017</v>
      </c>
      <c r="D21" s="393">
        <v>4633339.4047619049</v>
      </c>
      <c r="E21" s="397">
        <v>117407.58139534884</v>
      </c>
      <c r="F21" s="393">
        <v>4515931.8233665563</v>
      </c>
      <c r="G21" s="397">
        <v>684170.77799365029</v>
      </c>
      <c r="H21" s="395">
        <v>684170.77799365029</v>
      </c>
      <c r="I21" s="156">
        <v>0</v>
      </c>
      <c r="J21" s="156"/>
      <c r="K21" s="258">
        <f t="shared" si="0"/>
        <v>684170.77799365029</v>
      </c>
      <c r="L21" s="257">
        <f t="shared" si="1"/>
        <v>0</v>
      </c>
      <c r="M21" s="258">
        <f t="shared" si="2"/>
        <v>684170.77799365029</v>
      </c>
      <c r="N21" s="158">
        <f t="shared" si="3"/>
        <v>0</v>
      </c>
      <c r="O21" s="158">
        <f t="shared" si="4"/>
        <v>0</v>
      </c>
      <c r="P21" s="4"/>
    </row>
    <row r="22" spans="2:16">
      <c r="B22" s="9" t="str">
        <f t="shared" si="5"/>
        <v/>
      </c>
      <c r="C22" s="153">
        <f>IF(D11="","-",+C21+1)</f>
        <v>2018</v>
      </c>
      <c r="D22" s="393">
        <v>4515931.8233665563</v>
      </c>
      <c r="E22" s="397">
        <v>123134.78048780488</v>
      </c>
      <c r="F22" s="393">
        <v>4392797.0428787516</v>
      </c>
      <c r="G22" s="397">
        <v>621507.82631215279</v>
      </c>
      <c r="H22" s="395">
        <v>621507.82631215279</v>
      </c>
      <c r="I22" s="156">
        <f t="shared" ref="I22:I72" si="6">H22-G22</f>
        <v>0</v>
      </c>
      <c r="J22" s="156"/>
      <c r="K22" s="258">
        <f t="shared" si="0"/>
        <v>621507.82631215279</v>
      </c>
      <c r="L22" s="257">
        <f t="shared" si="1"/>
        <v>0</v>
      </c>
      <c r="M22" s="258">
        <f t="shared" si="2"/>
        <v>621507.82631215279</v>
      </c>
      <c r="N22" s="158">
        <f t="shared" si="3"/>
        <v>0</v>
      </c>
      <c r="O22" s="158">
        <f t="shared" si="4"/>
        <v>0</v>
      </c>
      <c r="P22" s="4"/>
    </row>
    <row r="23" spans="2:16">
      <c r="B23" s="9" t="str">
        <f t="shared" si="5"/>
        <v/>
      </c>
      <c r="C23" s="153">
        <f>IF(D11="","-",+C22+1)</f>
        <v>2019</v>
      </c>
      <c r="D23" s="159">
        <f>IF(F22+SUM(E$17:E22)=D$10,F22,D$10-SUM(E$17:E22))</f>
        <v>4392797.0428787516</v>
      </c>
      <c r="E23" s="160">
        <f t="shared" ref="E23:E72" si="7">IF(+$I$14&lt;F22,$I$14,D23)</f>
        <v>117407.58139534884</v>
      </c>
      <c r="F23" s="159">
        <f t="shared" ref="F23:F72" si="8">+D23-E23</f>
        <v>4275389.4614834031</v>
      </c>
      <c r="G23" s="161">
        <f t="shared" ref="G23:G52" si="9">+I$12*((D23+F23)/2)+E23</f>
        <v>548891.14961656136</v>
      </c>
      <c r="H23" s="142">
        <f t="shared" ref="H23:H52" si="10">+I$13*((D23+F23)/2)+E23</f>
        <v>548891.14961656136</v>
      </c>
      <c r="I23" s="156">
        <f t="shared" si="6"/>
        <v>0</v>
      </c>
      <c r="J23" s="156"/>
      <c r="K23" s="334"/>
      <c r="L23" s="158">
        <f t="shared" ref="L23:L72" si="11">IF(K23&lt;&gt;0,+G23-K23,0)</f>
        <v>0</v>
      </c>
      <c r="M23" s="334"/>
      <c r="N23" s="158">
        <f t="shared" ref="N23:N72" si="12">IF(M23&lt;&gt;0,+H23-M23,0)</f>
        <v>0</v>
      </c>
      <c r="O23" s="158">
        <f t="shared" ref="O23:O72" si="13">+N23-L23</f>
        <v>0</v>
      </c>
      <c r="P23" s="4"/>
    </row>
    <row r="24" spans="2:16">
      <c r="B24" s="9" t="str">
        <f t="shared" si="5"/>
        <v/>
      </c>
      <c r="C24" s="153">
        <f>IF(D11="","-",+C23+1)</f>
        <v>2020</v>
      </c>
      <c r="D24" s="159">
        <f>IF(F23+SUM(E$17:E23)=D$10,F23,D$10-SUM(E$17:E23))</f>
        <v>4275389.4614834031</v>
      </c>
      <c r="E24" s="160">
        <f t="shared" si="7"/>
        <v>117407.58139534884</v>
      </c>
      <c r="F24" s="159">
        <f t="shared" si="8"/>
        <v>4157981.8800880541</v>
      </c>
      <c r="G24" s="161">
        <f t="shared" si="9"/>
        <v>537202.5588989543</v>
      </c>
      <c r="H24" s="142">
        <f t="shared" si="10"/>
        <v>537202.5588989543</v>
      </c>
      <c r="I24" s="156">
        <f t="shared" si="6"/>
        <v>0</v>
      </c>
      <c r="J24" s="156"/>
      <c r="K24" s="334"/>
      <c r="L24" s="158">
        <f t="shared" si="11"/>
        <v>0</v>
      </c>
      <c r="M24" s="334"/>
      <c r="N24" s="158">
        <f t="shared" si="12"/>
        <v>0</v>
      </c>
      <c r="O24" s="158">
        <f t="shared" si="13"/>
        <v>0</v>
      </c>
      <c r="P24" s="4"/>
    </row>
    <row r="25" spans="2:16">
      <c r="B25" s="9" t="str">
        <f t="shared" si="5"/>
        <v/>
      </c>
      <c r="C25" s="153">
        <f>IF(D11="","-",+C24+1)</f>
        <v>2021</v>
      </c>
      <c r="D25" s="159">
        <f>IF(F24+SUM(E$17:E24)=D$10,F24,D$10-SUM(E$17:E24))</f>
        <v>4157981.8800880541</v>
      </c>
      <c r="E25" s="160">
        <f t="shared" si="7"/>
        <v>117407.58139534884</v>
      </c>
      <c r="F25" s="159">
        <f t="shared" si="8"/>
        <v>4040574.2986927051</v>
      </c>
      <c r="G25" s="161">
        <f t="shared" si="9"/>
        <v>525513.96818134701</v>
      </c>
      <c r="H25" s="142">
        <f t="shared" si="10"/>
        <v>525513.96818134701</v>
      </c>
      <c r="I25" s="156">
        <f t="shared" si="6"/>
        <v>0</v>
      </c>
      <c r="J25" s="156"/>
      <c r="K25" s="334"/>
      <c r="L25" s="158">
        <f t="shared" si="11"/>
        <v>0</v>
      </c>
      <c r="M25" s="334"/>
      <c r="N25" s="158">
        <f t="shared" si="12"/>
        <v>0</v>
      </c>
      <c r="O25" s="158">
        <f t="shared" si="13"/>
        <v>0</v>
      </c>
      <c r="P25" s="4"/>
    </row>
    <row r="26" spans="2:16">
      <c r="B26" s="9" t="str">
        <f t="shared" si="5"/>
        <v/>
      </c>
      <c r="C26" s="153">
        <f>IF(D11="","-",+C25+1)</f>
        <v>2022</v>
      </c>
      <c r="D26" s="159">
        <f>IF(F25+SUM(E$17:E25)=D$10,F25,D$10-SUM(E$17:E25))</f>
        <v>4040574.2986927051</v>
      </c>
      <c r="E26" s="160">
        <f t="shared" si="7"/>
        <v>117407.58139534884</v>
      </c>
      <c r="F26" s="159">
        <f t="shared" si="8"/>
        <v>3923166.7172973561</v>
      </c>
      <c r="G26" s="161">
        <f t="shared" si="9"/>
        <v>513825.37746373989</v>
      </c>
      <c r="H26" s="142">
        <f t="shared" si="10"/>
        <v>513825.37746373989</v>
      </c>
      <c r="I26" s="156">
        <f t="shared" si="6"/>
        <v>0</v>
      </c>
      <c r="J26" s="156"/>
      <c r="K26" s="334"/>
      <c r="L26" s="158">
        <f t="shared" si="11"/>
        <v>0</v>
      </c>
      <c r="M26" s="334"/>
      <c r="N26" s="158">
        <f t="shared" si="12"/>
        <v>0</v>
      </c>
      <c r="O26" s="158">
        <f t="shared" si="13"/>
        <v>0</v>
      </c>
      <c r="P26" s="4"/>
    </row>
    <row r="27" spans="2:16">
      <c r="B27" s="9" t="str">
        <f t="shared" si="5"/>
        <v/>
      </c>
      <c r="C27" s="153">
        <f>IF(D11="","-",+C26+1)</f>
        <v>2023</v>
      </c>
      <c r="D27" s="159">
        <f>IF(F26+SUM(E$17:E26)=D$10,F26,D$10-SUM(E$17:E26))</f>
        <v>3923166.7172973561</v>
      </c>
      <c r="E27" s="160">
        <f t="shared" si="7"/>
        <v>117407.58139534884</v>
      </c>
      <c r="F27" s="159">
        <f t="shared" si="8"/>
        <v>3805759.1359020071</v>
      </c>
      <c r="G27" s="161">
        <f t="shared" si="9"/>
        <v>502136.78674613265</v>
      </c>
      <c r="H27" s="142">
        <f t="shared" si="10"/>
        <v>502136.78674613265</v>
      </c>
      <c r="I27" s="156">
        <f t="shared" si="6"/>
        <v>0</v>
      </c>
      <c r="J27" s="156"/>
      <c r="K27" s="334"/>
      <c r="L27" s="158">
        <f t="shared" si="11"/>
        <v>0</v>
      </c>
      <c r="M27" s="334"/>
      <c r="N27" s="158">
        <f t="shared" si="12"/>
        <v>0</v>
      </c>
      <c r="O27" s="158">
        <f t="shared" si="13"/>
        <v>0</v>
      </c>
      <c r="P27" s="4"/>
    </row>
    <row r="28" spans="2:16">
      <c r="B28" s="9" t="str">
        <f t="shared" si="5"/>
        <v/>
      </c>
      <c r="C28" s="153">
        <f>IF(D11="","-",+C27+1)</f>
        <v>2024</v>
      </c>
      <c r="D28" s="159">
        <f>IF(F27+SUM(E$17:E27)=D$10,F27,D$10-SUM(E$17:E27))</f>
        <v>3805759.1359020071</v>
      </c>
      <c r="E28" s="160">
        <f t="shared" si="7"/>
        <v>117407.58139534884</v>
      </c>
      <c r="F28" s="159">
        <f t="shared" si="8"/>
        <v>3688351.5545066581</v>
      </c>
      <c r="G28" s="161">
        <f t="shared" si="9"/>
        <v>490448.19602852553</v>
      </c>
      <c r="H28" s="142">
        <f t="shared" si="10"/>
        <v>490448.19602852553</v>
      </c>
      <c r="I28" s="156">
        <f t="shared" si="6"/>
        <v>0</v>
      </c>
      <c r="J28" s="156"/>
      <c r="K28" s="334"/>
      <c r="L28" s="158">
        <f t="shared" si="11"/>
        <v>0</v>
      </c>
      <c r="M28" s="334"/>
      <c r="N28" s="158">
        <f t="shared" si="12"/>
        <v>0</v>
      </c>
      <c r="O28" s="158">
        <f t="shared" si="13"/>
        <v>0</v>
      </c>
      <c r="P28" s="4"/>
    </row>
    <row r="29" spans="2:16">
      <c r="B29" s="9" t="str">
        <f t="shared" si="5"/>
        <v/>
      </c>
      <c r="C29" s="153">
        <f>IF(D11="","-",+C28+1)</f>
        <v>2025</v>
      </c>
      <c r="D29" s="159">
        <f>IF(F28+SUM(E$17:E28)=D$10,F28,D$10-SUM(E$17:E28))</f>
        <v>3688351.5545066581</v>
      </c>
      <c r="E29" s="160">
        <f t="shared" si="7"/>
        <v>117407.58139534884</v>
      </c>
      <c r="F29" s="159">
        <f t="shared" si="8"/>
        <v>3570943.9731113091</v>
      </c>
      <c r="G29" s="161">
        <f t="shared" si="9"/>
        <v>478759.6053109183</v>
      </c>
      <c r="H29" s="142">
        <f t="shared" si="10"/>
        <v>478759.6053109183</v>
      </c>
      <c r="I29" s="156">
        <f t="shared" si="6"/>
        <v>0</v>
      </c>
      <c r="J29" s="156"/>
      <c r="K29" s="334"/>
      <c r="L29" s="158">
        <f t="shared" si="11"/>
        <v>0</v>
      </c>
      <c r="M29" s="334"/>
      <c r="N29" s="158">
        <f t="shared" si="12"/>
        <v>0</v>
      </c>
      <c r="O29" s="158">
        <f t="shared" si="13"/>
        <v>0</v>
      </c>
      <c r="P29" s="4"/>
    </row>
    <row r="30" spans="2:16">
      <c r="B30" s="9" t="str">
        <f t="shared" si="5"/>
        <v/>
      </c>
      <c r="C30" s="153">
        <f>IF(D11="","-",+C29+1)</f>
        <v>2026</v>
      </c>
      <c r="D30" s="159">
        <f>IF(F29+SUM(E$17:E29)=D$10,F29,D$10-SUM(E$17:E29))</f>
        <v>3570943.9731113091</v>
      </c>
      <c r="E30" s="160">
        <f t="shared" si="7"/>
        <v>117407.58139534884</v>
      </c>
      <c r="F30" s="159">
        <f t="shared" si="8"/>
        <v>3453536.3917159601</v>
      </c>
      <c r="G30" s="161">
        <f t="shared" si="9"/>
        <v>467071.01459331118</v>
      </c>
      <c r="H30" s="142">
        <f t="shared" si="10"/>
        <v>467071.01459331118</v>
      </c>
      <c r="I30" s="156">
        <f t="shared" si="6"/>
        <v>0</v>
      </c>
      <c r="J30" s="156"/>
      <c r="K30" s="334"/>
      <c r="L30" s="158">
        <f t="shared" si="11"/>
        <v>0</v>
      </c>
      <c r="M30" s="334"/>
      <c r="N30" s="158">
        <f t="shared" si="12"/>
        <v>0</v>
      </c>
      <c r="O30" s="158">
        <f t="shared" si="13"/>
        <v>0</v>
      </c>
      <c r="P30" s="4"/>
    </row>
    <row r="31" spans="2:16">
      <c r="B31" s="9" t="str">
        <f t="shared" si="5"/>
        <v/>
      </c>
      <c r="C31" s="153">
        <f>IF(D11="","-",+C30+1)</f>
        <v>2027</v>
      </c>
      <c r="D31" s="159">
        <f>IF(F30+SUM(E$17:E30)=D$10,F30,D$10-SUM(E$17:E30))</f>
        <v>3453536.3917159601</v>
      </c>
      <c r="E31" s="160">
        <f t="shared" si="7"/>
        <v>117407.58139534884</v>
      </c>
      <c r="F31" s="159">
        <f t="shared" si="8"/>
        <v>3336128.8103206111</v>
      </c>
      <c r="G31" s="161">
        <f t="shared" si="9"/>
        <v>455382.42387570394</v>
      </c>
      <c r="H31" s="142">
        <f t="shared" si="10"/>
        <v>455382.42387570394</v>
      </c>
      <c r="I31" s="156">
        <f t="shared" si="6"/>
        <v>0</v>
      </c>
      <c r="J31" s="156"/>
      <c r="K31" s="334"/>
      <c r="L31" s="158">
        <f t="shared" si="11"/>
        <v>0</v>
      </c>
      <c r="M31" s="334"/>
      <c r="N31" s="158">
        <f t="shared" si="12"/>
        <v>0</v>
      </c>
      <c r="O31" s="158">
        <f t="shared" si="13"/>
        <v>0</v>
      </c>
      <c r="P31" s="4"/>
    </row>
    <row r="32" spans="2:16">
      <c r="B32" s="9" t="str">
        <f t="shared" si="5"/>
        <v/>
      </c>
      <c r="C32" s="153">
        <f>IF(D11="","-",+C31+1)</f>
        <v>2028</v>
      </c>
      <c r="D32" s="159">
        <f>IF(F31+SUM(E$17:E31)=D$10,F31,D$10-SUM(E$17:E31))</f>
        <v>3336128.8103206111</v>
      </c>
      <c r="E32" s="160">
        <f t="shared" si="7"/>
        <v>117407.58139534884</v>
      </c>
      <c r="F32" s="159">
        <f t="shared" si="8"/>
        <v>3218721.2289252621</v>
      </c>
      <c r="G32" s="161">
        <f t="shared" si="9"/>
        <v>443693.83315809682</v>
      </c>
      <c r="H32" s="142">
        <f t="shared" si="10"/>
        <v>443693.83315809682</v>
      </c>
      <c r="I32" s="156">
        <f t="shared" si="6"/>
        <v>0</v>
      </c>
      <c r="J32" s="156"/>
      <c r="K32" s="334"/>
      <c r="L32" s="158">
        <f t="shared" si="11"/>
        <v>0</v>
      </c>
      <c r="M32" s="334"/>
      <c r="N32" s="158">
        <f t="shared" si="12"/>
        <v>0</v>
      </c>
      <c r="O32" s="158">
        <f t="shared" si="13"/>
        <v>0</v>
      </c>
      <c r="P32" s="4"/>
    </row>
    <row r="33" spans="2:16">
      <c r="B33" s="9" t="str">
        <f t="shared" si="5"/>
        <v/>
      </c>
      <c r="C33" s="153">
        <f>IF(D11="","-",+C32+1)</f>
        <v>2029</v>
      </c>
      <c r="D33" s="159">
        <f>IF(F32+SUM(E$17:E32)=D$10,F32,D$10-SUM(E$17:E32))</f>
        <v>3218721.2289252621</v>
      </c>
      <c r="E33" s="160">
        <f t="shared" si="7"/>
        <v>117407.58139534884</v>
      </c>
      <c r="F33" s="159">
        <f t="shared" si="8"/>
        <v>3101313.6475299131</v>
      </c>
      <c r="G33" s="161">
        <f t="shared" si="9"/>
        <v>432005.24244048959</v>
      </c>
      <c r="H33" s="142">
        <f t="shared" si="10"/>
        <v>432005.24244048959</v>
      </c>
      <c r="I33" s="156">
        <f t="shared" si="6"/>
        <v>0</v>
      </c>
      <c r="J33" s="156"/>
      <c r="K33" s="334"/>
      <c r="L33" s="158">
        <f t="shared" si="11"/>
        <v>0</v>
      </c>
      <c r="M33" s="334"/>
      <c r="N33" s="158">
        <f t="shared" si="12"/>
        <v>0</v>
      </c>
      <c r="O33" s="158">
        <f t="shared" si="13"/>
        <v>0</v>
      </c>
      <c r="P33" s="4"/>
    </row>
    <row r="34" spans="2:16">
      <c r="B34" s="9" t="str">
        <f t="shared" si="5"/>
        <v/>
      </c>
      <c r="C34" s="153">
        <f>IF(D11="","-",+C33+1)</f>
        <v>2030</v>
      </c>
      <c r="D34" s="159">
        <f>IF(F33+SUM(E$17:E33)=D$10,F33,D$10-SUM(E$17:E33))</f>
        <v>3101313.6475299131</v>
      </c>
      <c r="E34" s="160">
        <f t="shared" si="7"/>
        <v>117407.58139534884</v>
      </c>
      <c r="F34" s="159">
        <f t="shared" si="8"/>
        <v>2983906.0661345641</v>
      </c>
      <c r="G34" s="161">
        <f t="shared" si="9"/>
        <v>420316.65172288247</v>
      </c>
      <c r="H34" s="142">
        <f t="shared" si="10"/>
        <v>420316.65172288247</v>
      </c>
      <c r="I34" s="156">
        <f t="shared" si="6"/>
        <v>0</v>
      </c>
      <c r="J34" s="156"/>
      <c r="K34" s="334"/>
      <c r="L34" s="158">
        <f t="shared" si="11"/>
        <v>0</v>
      </c>
      <c r="M34" s="334"/>
      <c r="N34" s="158">
        <f t="shared" si="12"/>
        <v>0</v>
      </c>
      <c r="O34" s="158">
        <f t="shared" si="13"/>
        <v>0</v>
      </c>
      <c r="P34" s="4"/>
    </row>
    <row r="35" spans="2:16">
      <c r="B35" s="9" t="str">
        <f t="shared" si="5"/>
        <v/>
      </c>
      <c r="C35" s="153">
        <f>IF(D11="","-",+C34+1)</f>
        <v>2031</v>
      </c>
      <c r="D35" s="159">
        <f>IF(F34+SUM(E$17:E34)=D$10,F34,D$10-SUM(E$17:E34))</f>
        <v>2983906.0661345641</v>
      </c>
      <c r="E35" s="160">
        <f t="shared" si="7"/>
        <v>117407.58139534884</v>
      </c>
      <c r="F35" s="159">
        <f t="shared" si="8"/>
        <v>2866498.4847392151</v>
      </c>
      <c r="G35" s="161">
        <f t="shared" si="9"/>
        <v>408628.06100527523</v>
      </c>
      <c r="H35" s="142">
        <f t="shared" si="10"/>
        <v>408628.06100527523</v>
      </c>
      <c r="I35" s="156">
        <f t="shared" si="6"/>
        <v>0</v>
      </c>
      <c r="J35" s="156"/>
      <c r="K35" s="334"/>
      <c r="L35" s="158">
        <f t="shared" si="11"/>
        <v>0</v>
      </c>
      <c r="M35" s="334"/>
      <c r="N35" s="158">
        <f t="shared" si="12"/>
        <v>0</v>
      </c>
      <c r="O35" s="158">
        <f t="shared" si="13"/>
        <v>0</v>
      </c>
      <c r="P35" s="4"/>
    </row>
    <row r="36" spans="2:16">
      <c r="B36" s="9" t="str">
        <f t="shared" si="5"/>
        <v/>
      </c>
      <c r="C36" s="153">
        <f>IF(D11="","-",+C35+1)</f>
        <v>2032</v>
      </c>
      <c r="D36" s="159">
        <f>IF(F35+SUM(E$17:E35)=D$10,F35,D$10-SUM(E$17:E35))</f>
        <v>2866498.4847392151</v>
      </c>
      <c r="E36" s="160">
        <f t="shared" si="7"/>
        <v>117407.58139534884</v>
      </c>
      <c r="F36" s="159">
        <f t="shared" si="8"/>
        <v>2749090.9033438661</v>
      </c>
      <c r="G36" s="161">
        <f t="shared" si="9"/>
        <v>396939.47028766811</v>
      </c>
      <c r="H36" s="142">
        <f t="shared" si="10"/>
        <v>396939.47028766811</v>
      </c>
      <c r="I36" s="156">
        <f t="shared" si="6"/>
        <v>0</v>
      </c>
      <c r="J36" s="156"/>
      <c r="K36" s="334"/>
      <c r="L36" s="158">
        <f t="shared" si="11"/>
        <v>0</v>
      </c>
      <c r="M36" s="334"/>
      <c r="N36" s="158">
        <f t="shared" si="12"/>
        <v>0</v>
      </c>
      <c r="O36" s="158">
        <f t="shared" si="13"/>
        <v>0</v>
      </c>
      <c r="P36" s="4"/>
    </row>
    <row r="37" spans="2:16">
      <c r="B37" s="9" t="str">
        <f t="shared" si="5"/>
        <v/>
      </c>
      <c r="C37" s="153">
        <f>IF(D11="","-",+C36+1)</f>
        <v>2033</v>
      </c>
      <c r="D37" s="159">
        <f>IF(F36+SUM(E$17:E36)=D$10,F36,D$10-SUM(E$17:E36))</f>
        <v>2749090.9033438661</v>
      </c>
      <c r="E37" s="160">
        <f t="shared" si="7"/>
        <v>117407.58139534884</v>
      </c>
      <c r="F37" s="159">
        <f t="shared" si="8"/>
        <v>2631683.3219485171</v>
      </c>
      <c r="G37" s="161">
        <f t="shared" si="9"/>
        <v>385250.87957006088</v>
      </c>
      <c r="H37" s="142">
        <f t="shared" si="10"/>
        <v>385250.87957006088</v>
      </c>
      <c r="I37" s="156">
        <f t="shared" si="6"/>
        <v>0</v>
      </c>
      <c r="J37" s="156"/>
      <c r="K37" s="334"/>
      <c r="L37" s="158">
        <f t="shared" si="11"/>
        <v>0</v>
      </c>
      <c r="M37" s="334"/>
      <c r="N37" s="158">
        <f t="shared" si="12"/>
        <v>0</v>
      </c>
      <c r="O37" s="158">
        <f t="shared" si="13"/>
        <v>0</v>
      </c>
      <c r="P37" s="4"/>
    </row>
    <row r="38" spans="2:16">
      <c r="B38" s="9" t="str">
        <f t="shared" si="5"/>
        <v/>
      </c>
      <c r="C38" s="153">
        <f>IF(D11="","-",+C37+1)</f>
        <v>2034</v>
      </c>
      <c r="D38" s="159">
        <f>IF(F37+SUM(E$17:E37)=D$10,F37,D$10-SUM(E$17:E37))</f>
        <v>2631683.3219485171</v>
      </c>
      <c r="E38" s="160">
        <f t="shared" si="7"/>
        <v>117407.58139534884</v>
      </c>
      <c r="F38" s="159">
        <f t="shared" si="8"/>
        <v>2514275.7405531681</v>
      </c>
      <c r="G38" s="161">
        <f t="shared" si="9"/>
        <v>373562.28885245381</v>
      </c>
      <c r="H38" s="142">
        <f t="shared" si="10"/>
        <v>373562.28885245381</v>
      </c>
      <c r="I38" s="156">
        <f t="shared" si="6"/>
        <v>0</v>
      </c>
      <c r="J38" s="156"/>
      <c r="K38" s="334"/>
      <c r="L38" s="158">
        <f t="shared" si="11"/>
        <v>0</v>
      </c>
      <c r="M38" s="334"/>
      <c r="N38" s="158">
        <f t="shared" si="12"/>
        <v>0</v>
      </c>
      <c r="O38" s="158">
        <f t="shared" si="13"/>
        <v>0</v>
      </c>
      <c r="P38" s="4"/>
    </row>
    <row r="39" spans="2:16">
      <c r="B39" s="9" t="str">
        <f t="shared" si="5"/>
        <v/>
      </c>
      <c r="C39" s="153">
        <f>IF(D11="","-",+C38+1)</f>
        <v>2035</v>
      </c>
      <c r="D39" s="159">
        <f>IF(F38+SUM(E$17:E38)=D$10,F38,D$10-SUM(E$17:E38))</f>
        <v>2514275.7405531681</v>
      </c>
      <c r="E39" s="160">
        <f t="shared" si="7"/>
        <v>117407.58139534884</v>
      </c>
      <c r="F39" s="159">
        <f t="shared" si="8"/>
        <v>2396868.1591578191</v>
      </c>
      <c r="G39" s="161">
        <f t="shared" si="9"/>
        <v>361873.69813484658</v>
      </c>
      <c r="H39" s="142">
        <f t="shared" si="10"/>
        <v>361873.69813484658</v>
      </c>
      <c r="I39" s="156">
        <f t="shared" si="6"/>
        <v>0</v>
      </c>
      <c r="J39" s="156"/>
      <c r="K39" s="334"/>
      <c r="L39" s="158">
        <f t="shared" si="11"/>
        <v>0</v>
      </c>
      <c r="M39" s="334"/>
      <c r="N39" s="158">
        <f t="shared" si="12"/>
        <v>0</v>
      </c>
      <c r="O39" s="158">
        <f t="shared" si="13"/>
        <v>0</v>
      </c>
      <c r="P39" s="4"/>
    </row>
    <row r="40" spans="2:16">
      <c r="B40" s="9" t="str">
        <f t="shared" si="5"/>
        <v/>
      </c>
      <c r="C40" s="153">
        <f>IF(D11="","-",+C39+1)</f>
        <v>2036</v>
      </c>
      <c r="D40" s="159">
        <f>IF(F39+SUM(E$17:E39)=D$10,F39,D$10-SUM(E$17:E39))</f>
        <v>2396868.1591578191</v>
      </c>
      <c r="E40" s="160">
        <f t="shared" si="7"/>
        <v>117407.58139534884</v>
      </c>
      <c r="F40" s="159">
        <f t="shared" si="8"/>
        <v>2279460.5777624701</v>
      </c>
      <c r="G40" s="161">
        <f t="shared" si="9"/>
        <v>350185.10741723946</v>
      </c>
      <c r="H40" s="142">
        <f t="shared" si="10"/>
        <v>350185.10741723946</v>
      </c>
      <c r="I40" s="156">
        <f t="shared" si="6"/>
        <v>0</v>
      </c>
      <c r="J40" s="156"/>
      <c r="K40" s="334"/>
      <c r="L40" s="158">
        <f t="shared" si="11"/>
        <v>0</v>
      </c>
      <c r="M40" s="334"/>
      <c r="N40" s="158">
        <f t="shared" si="12"/>
        <v>0</v>
      </c>
      <c r="O40" s="158">
        <f t="shared" si="13"/>
        <v>0</v>
      </c>
      <c r="P40" s="4"/>
    </row>
    <row r="41" spans="2:16">
      <c r="B41" s="9" t="str">
        <f t="shared" si="5"/>
        <v/>
      </c>
      <c r="C41" s="153">
        <f>IF(D11="","-",+C40+1)</f>
        <v>2037</v>
      </c>
      <c r="D41" s="159">
        <f>IF(F40+SUM(E$17:E40)=D$10,F40,D$10-SUM(E$17:E40))</f>
        <v>2279460.5777624701</v>
      </c>
      <c r="E41" s="160">
        <f t="shared" si="7"/>
        <v>117407.58139534884</v>
      </c>
      <c r="F41" s="159">
        <f t="shared" si="8"/>
        <v>2162052.9963671211</v>
      </c>
      <c r="G41" s="161">
        <f t="shared" si="9"/>
        <v>338496.51669963222</v>
      </c>
      <c r="H41" s="142">
        <f t="shared" si="10"/>
        <v>338496.51669963222</v>
      </c>
      <c r="I41" s="156">
        <f t="shared" si="6"/>
        <v>0</v>
      </c>
      <c r="J41" s="156"/>
      <c r="K41" s="334"/>
      <c r="L41" s="158">
        <f t="shared" si="11"/>
        <v>0</v>
      </c>
      <c r="M41" s="334"/>
      <c r="N41" s="158">
        <f t="shared" si="12"/>
        <v>0</v>
      </c>
      <c r="O41" s="158">
        <f t="shared" si="13"/>
        <v>0</v>
      </c>
      <c r="P41" s="4"/>
    </row>
    <row r="42" spans="2:16">
      <c r="B42" s="9" t="str">
        <f t="shared" si="5"/>
        <v/>
      </c>
      <c r="C42" s="153">
        <f>IF(D11="","-",+C41+1)</f>
        <v>2038</v>
      </c>
      <c r="D42" s="159">
        <f>IF(F41+SUM(E$17:E41)=D$10,F41,D$10-SUM(E$17:E41))</f>
        <v>2162052.9963671211</v>
      </c>
      <c r="E42" s="160">
        <f t="shared" si="7"/>
        <v>117407.58139534884</v>
      </c>
      <c r="F42" s="159">
        <f t="shared" si="8"/>
        <v>2044645.4149717723</v>
      </c>
      <c r="G42" s="161">
        <f t="shared" si="9"/>
        <v>326807.9259820251</v>
      </c>
      <c r="H42" s="142">
        <f t="shared" si="10"/>
        <v>326807.9259820251</v>
      </c>
      <c r="I42" s="156">
        <f t="shared" si="6"/>
        <v>0</v>
      </c>
      <c r="J42" s="156"/>
      <c r="K42" s="334"/>
      <c r="L42" s="158">
        <f t="shared" si="11"/>
        <v>0</v>
      </c>
      <c r="M42" s="334"/>
      <c r="N42" s="158">
        <f t="shared" si="12"/>
        <v>0</v>
      </c>
      <c r="O42" s="158">
        <f t="shared" si="13"/>
        <v>0</v>
      </c>
      <c r="P42" s="4"/>
    </row>
    <row r="43" spans="2:16">
      <c r="B43" s="9" t="str">
        <f t="shared" si="5"/>
        <v/>
      </c>
      <c r="C43" s="153">
        <f>IF(D11="","-",+C42+1)</f>
        <v>2039</v>
      </c>
      <c r="D43" s="159">
        <f>IF(F42+SUM(E$17:E42)=D$10,F42,D$10-SUM(E$17:E42))</f>
        <v>2044645.4149717723</v>
      </c>
      <c r="E43" s="160">
        <f t="shared" si="7"/>
        <v>117407.58139534884</v>
      </c>
      <c r="F43" s="159">
        <f t="shared" si="8"/>
        <v>1927237.8335764236</v>
      </c>
      <c r="G43" s="161">
        <f t="shared" si="9"/>
        <v>315119.33526441792</v>
      </c>
      <c r="H43" s="142">
        <f t="shared" si="10"/>
        <v>315119.33526441792</v>
      </c>
      <c r="I43" s="156">
        <f t="shared" si="6"/>
        <v>0</v>
      </c>
      <c r="J43" s="156"/>
      <c r="K43" s="334"/>
      <c r="L43" s="158">
        <f t="shared" si="11"/>
        <v>0</v>
      </c>
      <c r="M43" s="334"/>
      <c r="N43" s="158">
        <f t="shared" si="12"/>
        <v>0</v>
      </c>
      <c r="O43" s="158">
        <f t="shared" si="13"/>
        <v>0</v>
      </c>
      <c r="P43" s="4"/>
    </row>
    <row r="44" spans="2:16">
      <c r="B44" s="9" t="str">
        <f t="shared" si="5"/>
        <v/>
      </c>
      <c r="C44" s="153">
        <f>IF(D11="","-",+C43+1)</f>
        <v>2040</v>
      </c>
      <c r="D44" s="159">
        <f>IF(F43+SUM(E$17:E43)=D$10,F43,D$10-SUM(E$17:E43))</f>
        <v>1927237.8335764236</v>
      </c>
      <c r="E44" s="160">
        <f t="shared" si="7"/>
        <v>117407.58139534884</v>
      </c>
      <c r="F44" s="159">
        <f t="shared" si="8"/>
        <v>1809830.2521810748</v>
      </c>
      <c r="G44" s="161">
        <f t="shared" si="9"/>
        <v>303430.74454681081</v>
      </c>
      <c r="H44" s="142">
        <f t="shared" si="10"/>
        <v>303430.74454681081</v>
      </c>
      <c r="I44" s="156">
        <f t="shared" si="6"/>
        <v>0</v>
      </c>
      <c r="J44" s="156"/>
      <c r="K44" s="334"/>
      <c r="L44" s="158">
        <f t="shared" si="11"/>
        <v>0</v>
      </c>
      <c r="M44" s="334"/>
      <c r="N44" s="158">
        <f t="shared" si="12"/>
        <v>0</v>
      </c>
      <c r="O44" s="158">
        <f t="shared" si="13"/>
        <v>0</v>
      </c>
      <c r="P44" s="4"/>
    </row>
    <row r="45" spans="2:16">
      <c r="B45" s="9" t="str">
        <f t="shared" si="5"/>
        <v/>
      </c>
      <c r="C45" s="153">
        <f>IF(D11="","-",+C44+1)</f>
        <v>2041</v>
      </c>
      <c r="D45" s="159">
        <f>IF(F44+SUM(E$17:E44)=D$10,F44,D$10-SUM(E$17:E44))</f>
        <v>1809830.2521810748</v>
      </c>
      <c r="E45" s="160">
        <f t="shared" si="7"/>
        <v>117407.58139534884</v>
      </c>
      <c r="F45" s="159">
        <f t="shared" si="8"/>
        <v>1692422.670785726</v>
      </c>
      <c r="G45" s="161">
        <f t="shared" si="9"/>
        <v>291742.15382920363</v>
      </c>
      <c r="H45" s="142">
        <f t="shared" si="10"/>
        <v>291742.15382920363</v>
      </c>
      <c r="I45" s="156">
        <f t="shared" si="6"/>
        <v>0</v>
      </c>
      <c r="J45" s="156"/>
      <c r="K45" s="334"/>
      <c r="L45" s="158">
        <f t="shared" si="11"/>
        <v>0</v>
      </c>
      <c r="M45" s="334"/>
      <c r="N45" s="158">
        <f t="shared" si="12"/>
        <v>0</v>
      </c>
      <c r="O45" s="158">
        <f t="shared" si="13"/>
        <v>0</v>
      </c>
      <c r="P45" s="4"/>
    </row>
    <row r="46" spans="2:16">
      <c r="B46" s="9" t="str">
        <f t="shared" si="5"/>
        <v/>
      </c>
      <c r="C46" s="153">
        <f>IF(D11="","-",+C45+1)</f>
        <v>2042</v>
      </c>
      <c r="D46" s="159">
        <f>IF(F45+SUM(E$17:E45)=D$10,F45,D$10-SUM(E$17:E45))</f>
        <v>1692422.670785726</v>
      </c>
      <c r="E46" s="160">
        <f t="shared" si="7"/>
        <v>117407.58139534884</v>
      </c>
      <c r="F46" s="159">
        <f t="shared" si="8"/>
        <v>1575015.0893903773</v>
      </c>
      <c r="G46" s="161">
        <f t="shared" si="9"/>
        <v>280053.56311159651</v>
      </c>
      <c r="H46" s="142">
        <f t="shared" si="10"/>
        <v>280053.56311159651</v>
      </c>
      <c r="I46" s="156">
        <f t="shared" si="6"/>
        <v>0</v>
      </c>
      <c r="J46" s="156"/>
      <c r="K46" s="334"/>
      <c r="L46" s="158">
        <f t="shared" si="11"/>
        <v>0</v>
      </c>
      <c r="M46" s="334"/>
      <c r="N46" s="158">
        <f t="shared" si="12"/>
        <v>0</v>
      </c>
      <c r="O46" s="158">
        <f t="shared" si="13"/>
        <v>0</v>
      </c>
      <c r="P46" s="4"/>
    </row>
    <row r="47" spans="2:16">
      <c r="B47" s="9" t="str">
        <f t="shared" si="5"/>
        <v/>
      </c>
      <c r="C47" s="153">
        <f>IF(D11="","-",+C46+1)</f>
        <v>2043</v>
      </c>
      <c r="D47" s="159">
        <f>IF(F46+SUM(E$17:E46)=D$10,F46,D$10-SUM(E$17:E46))</f>
        <v>1575015.0893903773</v>
      </c>
      <c r="E47" s="160">
        <f t="shared" si="7"/>
        <v>117407.58139534884</v>
      </c>
      <c r="F47" s="159">
        <f t="shared" si="8"/>
        <v>1457607.5079950285</v>
      </c>
      <c r="G47" s="161">
        <f t="shared" si="9"/>
        <v>268364.97239398933</v>
      </c>
      <c r="H47" s="142">
        <f t="shared" si="10"/>
        <v>268364.97239398933</v>
      </c>
      <c r="I47" s="156">
        <f t="shared" si="6"/>
        <v>0</v>
      </c>
      <c r="J47" s="156"/>
      <c r="K47" s="334"/>
      <c r="L47" s="158">
        <f t="shared" si="11"/>
        <v>0</v>
      </c>
      <c r="M47" s="334"/>
      <c r="N47" s="158">
        <f t="shared" si="12"/>
        <v>0</v>
      </c>
      <c r="O47" s="158">
        <f t="shared" si="13"/>
        <v>0</v>
      </c>
      <c r="P47" s="4"/>
    </row>
    <row r="48" spans="2:16">
      <c r="B48" s="9" t="str">
        <f t="shared" si="5"/>
        <v/>
      </c>
      <c r="C48" s="153">
        <f>IF(D11="","-",+C47+1)</f>
        <v>2044</v>
      </c>
      <c r="D48" s="159">
        <f>IF(F47+SUM(E$17:E47)=D$10,F47,D$10-SUM(E$17:E47))</f>
        <v>1457607.5079950285</v>
      </c>
      <c r="E48" s="160">
        <f t="shared" si="7"/>
        <v>117407.58139534884</v>
      </c>
      <c r="F48" s="159">
        <f t="shared" si="8"/>
        <v>1340199.9265996797</v>
      </c>
      <c r="G48" s="161">
        <f t="shared" si="9"/>
        <v>256676.38167638221</v>
      </c>
      <c r="H48" s="142">
        <f t="shared" si="10"/>
        <v>256676.38167638221</v>
      </c>
      <c r="I48" s="156">
        <f t="shared" si="6"/>
        <v>0</v>
      </c>
      <c r="J48" s="156"/>
      <c r="K48" s="334"/>
      <c r="L48" s="158">
        <f t="shared" si="11"/>
        <v>0</v>
      </c>
      <c r="M48" s="334"/>
      <c r="N48" s="158">
        <f t="shared" si="12"/>
        <v>0</v>
      </c>
      <c r="O48" s="158">
        <f t="shared" si="13"/>
        <v>0</v>
      </c>
      <c r="P48" s="4"/>
    </row>
    <row r="49" spans="2:17">
      <c r="B49" s="9" t="str">
        <f t="shared" si="5"/>
        <v/>
      </c>
      <c r="C49" s="153">
        <f>IF(D11="","-",+C48+1)</f>
        <v>2045</v>
      </c>
      <c r="D49" s="159">
        <f>IF(F48+SUM(E$17:E48)=D$10,F48,D$10-SUM(E$17:E48))</f>
        <v>1340199.9265996797</v>
      </c>
      <c r="E49" s="160">
        <f t="shared" si="7"/>
        <v>117407.58139534884</v>
      </c>
      <c r="F49" s="159">
        <f t="shared" si="8"/>
        <v>1222792.345204331</v>
      </c>
      <c r="G49" s="161">
        <f t="shared" si="9"/>
        <v>244987.790958775</v>
      </c>
      <c r="H49" s="142">
        <f t="shared" si="10"/>
        <v>244987.790958775</v>
      </c>
      <c r="I49" s="156">
        <f t="shared" si="6"/>
        <v>0</v>
      </c>
      <c r="J49" s="156"/>
      <c r="K49" s="334"/>
      <c r="L49" s="158">
        <f t="shared" si="11"/>
        <v>0</v>
      </c>
      <c r="M49" s="334"/>
      <c r="N49" s="158">
        <f t="shared" si="12"/>
        <v>0</v>
      </c>
      <c r="O49" s="158">
        <f t="shared" si="13"/>
        <v>0</v>
      </c>
      <c r="P49" s="4"/>
    </row>
    <row r="50" spans="2:17">
      <c r="B50" s="9" t="str">
        <f t="shared" si="5"/>
        <v/>
      </c>
      <c r="C50" s="153">
        <f>IF(D11="","-",+C49+1)</f>
        <v>2046</v>
      </c>
      <c r="D50" s="159">
        <f>IF(F49+SUM(E$17:E49)=D$10,F49,D$10-SUM(E$17:E49))</f>
        <v>1222792.345204331</v>
      </c>
      <c r="E50" s="160">
        <f t="shared" si="7"/>
        <v>117407.58139534884</v>
      </c>
      <c r="F50" s="159">
        <f t="shared" si="8"/>
        <v>1105384.7638089822</v>
      </c>
      <c r="G50" s="161">
        <f t="shared" si="9"/>
        <v>233299.20024116788</v>
      </c>
      <c r="H50" s="142">
        <f t="shared" si="10"/>
        <v>233299.20024116788</v>
      </c>
      <c r="I50" s="156">
        <f t="shared" si="6"/>
        <v>0</v>
      </c>
      <c r="J50" s="156"/>
      <c r="K50" s="334"/>
      <c r="L50" s="158">
        <f t="shared" si="11"/>
        <v>0</v>
      </c>
      <c r="M50" s="334"/>
      <c r="N50" s="158">
        <f t="shared" si="12"/>
        <v>0</v>
      </c>
      <c r="O50" s="158">
        <f t="shared" si="13"/>
        <v>0</v>
      </c>
      <c r="P50" s="4"/>
    </row>
    <row r="51" spans="2:17">
      <c r="B51" s="9" t="str">
        <f t="shared" si="5"/>
        <v/>
      </c>
      <c r="C51" s="153">
        <f>IF(D11="","-",+C50+1)</f>
        <v>2047</v>
      </c>
      <c r="D51" s="159">
        <f>IF(F50+SUM(E$17:E50)=D$10,F50,D$10-SUM(E$17:E50))</f>
        <v>1105384.7638089822</v>
      </c>
      <c r="E51" s="160">
        <f t="shared" si="7"/>
        <v>117407.58139534884</v>
      </c>
      <c r="F51" s="159">
        <f t="shared" si="8"/>
        <v>987977.18241363333</v>
      </c>
      <c r="G51" s="161">
        <f t="shared" si="9"/>
        <v>221610.60952356071</v>
      </c>
      <c r="H51" s="142">
        <f t="shared" si="10"/>
        <v>221610.60952356071</v>
      </c>
      <c r="I51" s="156">
        <f t="shared" si="6"/>
        <v>0</v>
      </c>
      <c r="J51" s="156"/>
      <c r="K51" s="334"/>
      <c r="L51" s="158">
        <f t="shared" si="11"/>
        <v>0</v>
      </c>
      <c r="M51" s="334"/>
      <c r="N51" s="158">
        <f t="shared" si="12"/>
        <v>0</v>
      </c>
      <c r="O51" s="158">
        <f t="shared" si="13"/>
        <v>0</v>
      </c>
      <c r="P51" s="4"/>
    </row>
    <row r="52" spans="2:17">
      <c r="B52" s="9" t="str">
        <f t="shared" si="5"/>
        <v/>
      </c>
      <c r="C52" s="153">
        <f>IF(D11="","-",+C51+1)</f>
        <v>2048</v>
      </c>
      <c r="D52" s="159">
        <f>IF(F51+SUM(E$17:E51)=D$10,F51,D$10-SUM(E$17:E51))</f>
        <v>987977.18241363333</v>
      </c>
      <c r="E52" s="160">
        <f t="shared" si="7"/>
        <v>117407.58139534884</v>
      </c>
      <c r="F52" s="159">
        <f t="shared" si="8"/>
        <v>870569.60101828445</v>
      </c>
      <c r="G52" s="161">
        <f t="shared" si="9"/>
        <v>209922.01880595356</v>
      </c>
      <c r="H52" s="142">
        <f t="shared" si="10"/>
        <v>209922.01880595356</v>
      </c>
      <c r="I52" s="156">
        <f t="shared" si="6"/>
        <v>0</v>
      </c>
      <c r="J52" s="156"/>
      <c r="K52" s="334"/>
      <c r="L52" s="158">
        <f t="shared" si="11"/>
        <v>0</v>
      </c>
      <c r="M52" s="334"/>
      <c r="N52" s="158">
        <f t="shared" si="12"/>
        <v>0</v>
      </c>
      <c r="O52" s="158">
        <f t="shared" si="13"/>
        <v>0</v>
      </c>
      <c r="P52" s="4"/>
    </row>
    <row r="53" spans="2:17">
      <c r="B53" s="9" t="str">
        <f t="shared" si="5"/>
        <v/>
      </c>
      <c r="C53" s="153">
        <f>IF(D11="","-",+C52+1)</f>
        <v>2049</v>
      </c>
      <c r="D53" s="159">
        <f>IF(F52+SUM(E$17:E52)=D$10,F52,D$10-SUM(E$17:E52))</f>
        <v>870569.60101828445</v>
      </c>
      <c r="E53" s="160">
        <f t="shared" si="7"/>
        <v>117407.58139534884</v>
      </c>
      <c r="F53" s="159">
        <f t="shared" si="8"/>
        <v>753162.01962293556</v>
      </c>
      <c r="G53" s="161">
        <f t="shared" ref="G53:G72" si="14">+I$12*((D53+F53)/2)+E53</f>
        <v>198233.42808834638</v>
      </c>
      <c r="H53" s="142">
        <f t="shared" ref="H53:H72" si="15">+I$13*((D53+F53)/2)+E53</f>
        <v>198233.42808834638</v>
      </c>
      <c r="I53" s="156">
        <f t="shared" si="6"/>
        <v>0</v>
      </c>
      <c r="J53" s="156"/>
      <c r="K53" s="334"/>
      <c r="L53" s="158">
        <f t="shared" si="11"/>
        <v>0</v>
      </c>
      <c r="M53" s="334"/>
      <c r="N53" s="158">
        <f t="shared" si="12"/>
        <v>0</v>
      </c>
      <c r="O53" s="158">
        <f t="shared" si="13"/>
        <v>0</v>
      </c>
      <c r="P53" s="4"/>
    </row>
    <row r="54" spans="2:17">
      <c r="B54" s="9" t="str">
        <f t="shared" si="5"/>
        <v/>
      </c>
      <c r="C54" s="153">
        <f>IF(D11="","-",+C53+1)</f>
        <v>2050</v>
      </c>
      <c r="D54" s="159">
        <f>IF(F53+SUM(E$17:E53)=D$10,F53,D$10-SUM(E$17:E53))</f>
        <v>753162.01962293556</v>
      </c>
      <c r="E54" s="160">
        <f t="shared" si="7"/>
        <v>117407.58139534884</v>
      </c>
      <c r="F54" s="159">
        <f t="shared" si="8"/>
        <v>635754.43822758668</v>
      </c>
      <c r="G54" s="161">
        <f t="shared" si="14"/>
        <v>186544.83737073923</v>
      </c>
      <c r="H54" s="142">
        <f t="shared" si="15"/>
        <v>186544.83737073923</v>
      </c>
      <c r="I54" s="156">
        <f t="shared" si="6"/>
        <v>0</v>
      </c>
      <c r="J54" s="156"/>
      <c r="K54" s="334"/>
      <c r="L54" s="158">
        <f t="shared" si="11"/>
        <v>0</v>
      </c>
      <c r="M54" s="334"/>
      <c r="N54" s="158">
        <f t="shared" si="12"/>
        <v>0</v>
      </c>
      <c r="O54" s="158">
        <f t="shared" si="13"/>
        <v>0</v>
      </c>
      <c r="P54" s="4"/>
    </row>
    <row r="55" spans="2:17">
      <c r="B55" s="9" t="str">
        <f t="shared" si="5"/>
        <v/>
      </c>
      <c r="C55" s="153">
        <f>IF(D11="","-",+C54+1)</f>
        <v>2051</v>
      </c>
      <c r="D55" s="159">
        <f>IF(F54+SUM(E$17:E54)=D$10,F54,D$10-SUM(E$17:E54))</f>
        <v>635754.43822758668</v>
      </c>
      <c r="E55" s="160">
        <f t="shared" si="7"/>
        <v>117407.58139534884</v>
      </c>
      <c r="F55" s="159">
        <f t="shared" si="8"/>
        <v>518346.85683223786</v>
      </c>
      <c r="G55" s="161">
        <f t="shared" si="14"/>
        <v>174856.24665313208</v>
      </c>
      <c r="H55" s="142">
        <f t="shared" si="15"/>
        <v>174856.24665313208</v>
      </c>
      <c r="I55" s="156">
        <f t="shared" si="6"/>
        <v>0</v>
      </c>
      <c r="J55" s="156"/>
      <c r="K55" s="334"/>
      <c r="L55" s="158">
        <f t="shared" si="11"/>
        <v>0</v>
      </c>
      <c r="M55" s="334"/>
      <c r="N55" s="158">
        <f t="shared" si="12"/>
        <v>0</v>
      </c>
      <c r="O55" s="158">
        <f t="shared" si="13"/>
        <v>0</v>
      </c>
      <c r="P55" s="4"/>
    </row>
    <row r="56" spans="2:17">
      <c r="B56" s="9" t="str">
        <f t="shared" si="5"/>
        <v/>
      </c>
      <c r="C56" s="153">
        <f>IF(D11="","-",+C55+1)</f>
        <v>2052</v>
      </c>
      <c r="D56" s="159">
        <f>IF(F55+SUM(E$17:E55)=D$10,F55,D$10-SUM(E$17:E55))</f>
        <v>518346.85683223786</v>
      </c>
      <c r="E56" s="160">
        <f t="shared" si="7"/>
        <v>117407.58139534884</v>
      </c>
      <c r="F56" s="159">
        <f t="shared" si="8"/>
        <v>400939.27543688903</v>
      </c>
      <c r="G56" s="161">
        <f t="shared" si="14"/>
        <v>163167.6559355249</v>
      </c>
      <c r="H56" s="142">
        <f t="shared" si="15"/>
        <v>163167.6559355249</v>
      </c>
      <c r="I56" s="156">
        <f t="shared" si="6"/>
        <v>0</v>
      </c>
      <c r="J56" s="156"/>
      <c r="K56" s="334"/>
      <c r="L56" s="158">
        <f t="shared" si="11"/>
        <v>0</v>
      </c>
      <c r="M56" s="334"/>
      <c r="N56" s="158">
        <f t="shared" si="12"/>
        <v>0</v>
      </c>
      <c r="O56" s="158">
        <f t="shared" si="13"/>
        <v>0</v>
      </c>
      <c r="P56" s="4"/>
    </row>
    <row r="57" spans="2:17">
      <c r="B57" s="9" t="str">
        <f t="shared" si="5"/>
        <v/>
      </c>
      <c r="C57" s="153">
        <f>IF(D11="","-",+C56+1)</f>
        <v>2053</v>
      </c>
      <c r="D57" s="159">
        <f>IF(F56+SUM(E$17:E56)=D$10,F56,D$10-SUM(E$17:E56))</f>
        <v>400939.27543688903</v>
      </c>
      <c r="E57" s="160">
        <f t="shared" si="7"/>
        <v>117407.58139534884</v>
      </c>
      <c r="F57" s="159">
        <f t="shared" si="8"/>
        <v>283531.69404154021</v>
      </c>
      <c r="G57" s="161">
        <f t="shared" si="14"/>
        <v>151479.06521791776</v>
      </c>
      <c r="H57" s="142">
        <f t="shared" si="15"/>
        <v>151479.06521791776</v>
      </c>
      <c r="I57" s="156">
        <f t="shared" si="6"/>
        <v>0</v>
      </c>
      <c r="J57" s="156"/>
      <c r="K57" s="334"/>
      <c r="L57" s="158">
        <f t="shared" si="11"/>
        <v>0</v>
      </c>
      <c r="M57" s="334"/>
      <c r="N57" s="158">
        <f t="shared" si="12"/>
        <v>0</v>
      </c>
      <c r="O57" s="158">
        <f t="shared" si="13"/>
        <v>0</v>
      </c>
      <c r="P57" s="4"/>
    </row>
    <row r="58" spans="2:17">
      <c r="B58" s="9" t="str">
        <f t="shared" si="5"/>
        <v/>
      </c>
      <c r="C58" s="153">
        <f>IF(D11="","-",+C57+1)</f>
        <v>2054</v>
      </c>
      <c r="D58" s="159">
        <f>IF(F57+SUM(E$17:E57)=D$10,F57,D$10-SUM(E$17:E57))</f>
        <v>283531.69404154021</v>
      </c>
      <c r="E58" s="160">
        <f t="shared" si="7"/>
        <v>117407.58139534884</v>
      </c>
      <c r="F58" s="159">
        <f t="shared" si="8"/>
        <v>166124.11264619138</v>
      </c>
      <c r="G58" s="161">
        <f t="shared" si="14"/>
        <v>139790.47450031061</v>
      </c>
      <c r="H58" s="142">
        <f t="shared" si="15"/>
        <v>139790.47450031061</v>
      </c>
      <c r="I58" s="156">
        <f t="shared" si="6"/>
        <v>0</v>
      </c>
      <c r="J58" s="156"/>
      <c r="K58" s="334"/>
      <c r="L58" s="158">
        <f t="shared" si="11"/>
        <v>0</v>
      </c>
      <c r="M58" s="334"/>
      <c r="N58" s="158">
        <f t="shared" si="12"/>
        <v>0</v>
      </c>
      <c r="O58" s="158">
        <f t="shared" si="13"/>
        <v>0</v>
      </c>
      <c r="P58" s="4"/>
      <c r="Q58" t="str">
        <f>IF(ROUND(Q57,0)=ROUND(SUM(Q18:Q56),0),"","Error -- check allocations above).")</f>
        <v/>
      </c>
    </row>
    <row r="59" spans="2:17">
      <c r="B59" s="9" t="str">
        <f t="shared" si="5"/>
        <v/>
      </c>
      <c r="C59" s="153">
        <f>IF(D11="","-",+C58+1)</f>
        <v>2055</v>
      </c>
      <c r="D59" s="159">
        <f>IF(F58+SUM(E$17:E58)=D$10,F58,D$10-SUM(E$17:E58))</f>
        <v>166124.11264619138</v>
      </c>
      <c r="E59" s="160">
        <f t="shared" si="7"/>
        <v>117407.58139534884</v>
      </c>
      <c r="F59" s="159">
        <f t="shared" si="8"/>
        <v>48716.531250842541</v>
      </c>
      <c r="G59" s="161">
        <f t="shared" si="14"/>
        <v>128101.88378270343</v>
      </c>
      <c r="H59" s="142">
        <f t="shared" si="15"/>
        <v>128101.88378270343</v>
      </c>
      <c r="I59" s="156">
        <f t="shared" si="6"/>
        <v>0</v>
      </c>
      <c r="J59" s="156"/>
      <c r="K59" s="334"/>
      <c r="L59" s="158">
        <f t="shared" si="11"/>
        <v>0</v>
      </c>
      <c r="M59" s="334"/>
      <c r="N59" s="158">
        <f t="shared" si="12"/>
        <v>0</v>
      </c>
      <c r="O59" s="158">
        <f t="shared" si="13"/>
        <v>0</v>
      </c>
      <c r="P59" s="4"/>
    </row>
    <row r="60" spans="2:17">
      <c r="B60" s="9" t="str">
        <f t="shared" si="5"/>
        <v/>
      </c>
      <c r="C60" s="153">
        <f>IF(D11="","-",+C59+1)</f>
        <v>2056</v>
      </c>
      <c r="D60" s="159">
        <f>IF(F59+SUM(E$17:E59)=D$10,F59,D$10-SUM(E$17:E59))</f>
        <v>48716.531250842541</v>
      </c>
      <c r="E60" s="160">
        <f t="shared" si="7"/>
        <v>48716.531250842541</v>
      </c>
      <c r="F60" s="159">
        <f t="shared" si="8"/>
        <v>0</v>
      </c>
      <c r="G60" s="161">
        <f t="shared" si="14"/>
        <v>51141.534765118049</v>
      </c>
      <c r="H60" s="142">
        <f t="shared" si="15"/>
        <v>51141.534765118049</v>
      </c>
      <c r="I60" s="156">
        <f t="shared" si="6"/>
        <v>0</v>
      </c>
      <c r="J60" s="156"/>
      <c r="K60" s="334"/>
      <c r="L60" s="158">
        <f t="shared" si="11"/>
        <v>0</v>
      </c>
      <c r="M60" s="334"/>
      <c r="N60" s="158">
        <f t="shared" si="12"/>
        <v>0</v>
      </c>
      <c r="O60" s="158">
        <f t="shared" si="13"/>
        <v>0</v>
      </c>
      <c r="P60" s="4"/>
    </row>
    <row r="61" spans="2:17">
      <c r="B61" s="9" t="str">
        <f t="shared" si="5"/>
        <v/>
      </c>
      <c r="C61" s="153">
        <f>IF(D11="","-",+C60+1)</f>
        <v>2057</v>
      </c>
      <c r="D61" s="159">
        <f>IF(F60+SUM(E$17:E60)=D$10,F60,D$10-SUM(E$17:E60))</f>
        <v>0</v>
      </c>
      <c r="E61" s="160">
        <f t="shared" si="7"/>
        <v>0</v>
      </c>
      <c r="F61" s="159">
        <f t="shared" si="8"/>
        <v>0</v>
      </c>
      <c r="G61" s="161">
        <f t="shared" si="14"/>
        <v>0</v>
      </c>
      <c r="H61" s="142">
        <f t="shared" si="15"/>
        <v>0</v>
      </c>
      <c r="I61" s="156">
        <f t="shared" si="6"/>
        <v>0</v>
      </c>
      <c r="J61" s="156"/>
      <c r="K61" s="334"/>
      <c r="L61" s="158">
        <f t="shared" si="11"/>
        <v>0</v>
      </c>
      <c r="M61" s="334"/>
      <c r="N61" s="158">
        <f t="shared" si="12"/>
        <v>0</v>
      </c>
      <c r="O61" s="158">
        <f t="shared" si="13"/>
        <v>0</v>
      </c>
      <c r="P61" s="4"/>
    </row>
    <row r="62" spans="2:17">
      <c r="B62" s="9" t="str">
        <f t="shared" si="5"/>
        <v/>
      </c>
      <c r="C62" s="153">
        <f>IF(D11="","-",+C61+1)</f>
        <v>2058</v>
      </c>
      <c r="D62" s="159">
        <f>IF(F61+SUM(E$17:E61)=D$10,F61,D$10-SUM(E$17:E61))</f>
        <v>0</v>
      </c>
      <c r="E62" s="160">
        <f t="shared" si="7"/>
        <v>0</v>
      </c>
      <c r="F62" s="159">
        <f t="shared" si="8"/>
        <v>0</v>
      </c>
      <c r="G62" s="161">
        <f t="shared" si="14"/>
        <v>0</v>
      </c>
      <c r="H62" s="142">
        <f t="shared" si="15"/>
        <v>0</v>
      </c>
      <c r="I62" s="156">
        <f t="shared" si="6"/>
        <v>0</v>
      </c>
      <c r="J62" s="156"/>
      <c r="K62" s="334"/>
      <c r="L62" s="158">
        <f t="shared" si="11"/>
        <v>0</v>
      </c>
      <c r="M62" s="334"/>
      <c r="N62" s="158">
        <f t="shared" si="12"/>
        <v>0</v>
      </c>
      <c r="O62" s="158">
        <f t="shared" si="13"/>
        <v>0</v>
      </c>
      <c r="P62" s="4"/>
    </row>
    <row r="63" spans="2:17">
      <c r="B63" s="9" t="str">
        <f t="shared" si="5"/>
        <v/>
      </c>
      <c r="C63" s="153">
        <f>IF(D11="","-",+C62+1)</f>
        <v>2059</v>
      </c>
      <c r="D63" s="159">
        <f>IF(F62+SUM(E$17:E62)=D$10,F62,D$10-SUM(E$17:E62))</f>
        <v>0</v>
      </c>
      <c r="E63" s="160">
        <f t="shared" si="7"/>
        <v>0</v>
      </c>
      <c r="F63" s="159">
        <f t="shared" si="8"/>
        <v>0</v>
      </c>
      <c r="G63" s="161">
        <f t="shared" si="14"/>
        <v>0</v>
      </c>
      <c r="H63" s="142">
        <f t="shared" si="15"/>
        <v>0</v>
      </c>
      <c r="I63" s="156">
        <f t="shared" si="6"/>
        <v>0</v>
      </c>
      <c r="J63" s="156"/>
      <c r="K63" s="334"/>
      <c r="L63" s="158">
        <f t="shared" si="11"/>
        <v>0</v>
      </c>
      <c r="M63" s="334"/>
      <c r="N63" s="158">
        <f t="shared" si="12"/>
        <v>0</v>
      </c>
      <c r="O63" s="158">
        <f t="shared" si="13"/>
        <v>0</v>
      </c>
      <c r="P63" s="4"/>
    </row>
    <row r="64" spans="2:17">
      <c r="B64" s="9" t="str">
        <f t="shared" si="5"/>
        <v/>
      </c>
      <c r="C64" s="153">
        <f>IF(D11="","-",+C63+1)</f>
        <v>2060</v>
      </c>
      <c r="D64" s="159">
        <f>IF(F63+SUM(E$17:E63)=D$10,F63,D$10-SUM(E$17:E63))</f>
        <v>0</v>
      </c>
      <c r="E64" s="160">
        <f t="shared" si="7"/>
        <v>0</v>
      </c>
      <c r="F64" s="159">
        <f t="shared" si="8"/>
        <v>0</v>
      </c>
      <c r="G64" s="161">
        <f t="shared" si="14"/>
        <v>0</v>
      </c>
      <c r="H64" s="142">
        <f t="shared" si="15"/>
        <v>0</v>
      </c>
      <c r="I64" s="156">
        <f t="shared" si="6"/>
        <v>0</v>
      </c>
      <c r="J64" s="156"/>
      <c r="K64" s="334"/>
      <c r="L64" s="158">
        <f t="shared" si="11"/>
        <v>0</v>
      </c>
      <c r="M64" s="334"/>
      <c r="N64" s="158">
        <f t="shared" si="12"/>
        <v>0</v>
      </c>
      <c r="O64" s="158">
        <f t="shared" si="13"/>
        <v>0</v>
      </c>
      <c r="P64" s="4"/>
    </row>
    <row r="65" spans="2:16">
      <c r="B65" s="9" t="str">
        <f t="shared" si="5"/>
        <v/>
      </c>
      <c r="C65" s="153">
        <f>IF(D11="","-",+C64+1)</f>
        <v>2061</v>
      </c>
      <c r="D65" s="159">
        <f>IF(F64+SUM(E$17:E64)=D$10,F64,D$10-SUM(E$17:E64))</f>
        <v>0</v>
      </c>
      <c r="E65" s="160">
        <f t="shared" si="7"/>
        <v>0</v>
      </c>
      <c r="F65" s="159">
        <f t="shared" si="8"/>
        <v>0</v>
      </c>
      <c r="G65" s="161">
        <f t="shared" si="14"/>
        <v>0</v>
      </c>
      <c r="H65" s="142">
        <f t="shared" si="15"/>
        <v>0</v>
      </c>
      <c r="I65" s="156">
        <f t="shared" si="6"/>
        <v>0</v>
      </c>
      <c r="J65" s="156"/>
      <c r="K65" s="334"/>
      <c r="L65" s="158">
        <f t="shared" si="11"/>
        <v>0</v>
      </c>
      <c r="M65" s="334"/>
      <c r="N65" s="158">
        <f t="shared" si="12"/>
        <v>0</v>
      </c>
      <c r="O65" s="158">
        <f t="shared" si="13"/>
        <v>0</v>
      </c>
      <c r="P65" s="4"/>
    </row>
    <row r="66" spans="2:16">
      <c r="B66" s="9" t="str">
        <f t="shared" si="5"/>
        <v/>
      </c>
      <c r="C66" s="153">
        <f>IF(D11="","-",+C65+1)</f>
        <v>2062</v>
      </c>
      <c r="D66" s="159">
        <f>IF(F65+SUM(E$17:E65)=D$10,F65,D$10-SUM(E$17:E65))</f>
        <v>0</v>
      </c>
      <c r="E66" s="160">
        <f t="shared" si="7"/>
        <v>0</v>
      </c>
      <c r="F66" s="159">
        <f t="shared" si="8"/>
        <v>0</v>
      </c>
      <c r="G66" s="161">
        <f t="shared" si="14"/>
        <v>0</v>
      </c>
      <c r="H66" s="142">
        <f t="shared" si="15"/>
        <v>0</v>
      </c>
      <c r="I66" s="156">
        <f t="shared" si="6"/>
        <v>0</v>
      </c>
      <c r="J66" s="156"/>
      <c r="K66" s="334"/>
      <c r="L66" s="158">
        <f t="shared" si="11"/>
        <v>0</v>
      </c>
      <c r="M66" s="334"/>
      <c r="N66" s="158">
        <f t="shared" si="12"/>
        <v>0</v>
      </c>
      <c r="O66" s="158">
        <f t="shared" si="13"/>
        <v>0</v>
      </c>
      <c r="P66" s="4"/>
    </row>
    <row r="67" spans="2:16">
      <c r="B67" s="9" t="str">
        <f t="shared" si="5"/>
        <v/>
      </c>
      <c r="C67" s="153">
        <f>IF(D11="","-",+C66+1)</f>
        <v>2063</v>
      </c>
      <c r="D67" s="159">
        <f>IF(F66+SUM(E$17:E66)=D$10,F66,D$10-SUM(E$17:E66))</f>
        <v>0</v>
      </c>
      <c r="E67" s="160">
        <f t="shared" si="7"/>
        <v>0</v>
      </c>
      <c r="F67" s="159">
        <f t="shared" si="8"/>
        <v>0</v>
      </c>
      <c r="G67" s="161">
        <f t="shared" si="14"/>
        <v>0</v>
      </c>
      <c r="H67" s="142">
        <f t="shared" si="15"/>
        <v>0</v>
      </c>
      <c r="I67" s="156">
        <f t="shared" si="6"/>
        <v>0</v>
      </c>
      <c r="J67" s="156"/>
      <c r="K67" s="334"/>
      <c r="L67" s="158">
        <f t="shared" si="11"/>
        <v>0</v>
      </c>
      <c r="M67" s="334"/>
      <c r="N67" s="158">
        <f t="shared" si="12"/>
        <v>0</v>
      </c>
      <c r="O67" s="158">
        <f t="shared" si="13"/>
        <v>0</v>
      </c>
      <c r="P67" s="4"/>
    </row>
    <row r="68" spans="2:16">
      <c r="B68" s="9" t="str">
        <f t="shared" si="5"/>
        <v/>
      </c>
      <c r="C68" s="153">
        <f>IF(D11="","-",+C67+1)</f>
        <v>2064</v>
      </c>
      <c r="D68" s="159">
        <f>IF(F67+SUM(E$17:E67)=D$10,F67,D$10-SUM(E$17:E67))</f>
        <v>0</v>
      </c>
      <c r="E68" s="160">
        <f t="shared" si="7"/>
        <v>0</v>
      </c>
      <c r="F68" s="159">
        <f t="shared" si="8"/>
        <v>0</v>
      </c>
      <c r="G68" s="161">
        <f t="shared" si="14"/>
        <v>0</v>
      </c>
      <c r="H68" s="142">
        <f t="shared" si="15"/>
        <v>0</v>
      </c>
      <c r="I68" s="156">
        <f t="shared" si="6"/>
        <v>0</v>
      </c>
      <c r="J68" s="156"/>
      <c r="K68" s="334"/>
      <c r="L68" s="158">
        <f t="shared" si="11"/>
        <v>0</v>
      </c>
      <c r="M68" s="334"/>
      <c r="N68" s="158">
        <f t="shared" si="12"/>
        <v>0</v>
      </c>
      <c r="O68" s="158">
        <f t="shared" si="13"/>
        <v>0</v>
      </c>
      <c r="P68" s="4"/>
    </row>
    <row r="69" spans="2:16">
      <c r="B69" s="9" t="str">
        <f t="shared" si="5"/>
        <v/>
      </c>
      <c r="C69" s="153">
        <f>IF(D11="","-",+C68+1)</f>
        <v>2065</v>
      </c>
      <c r="D69" s="159">
        <f>IF(F68+SUM(E$17:E68)=D$10,F68,D$10-SUM(E$17:E68))</f>
        <v>0</v>
      </c>
      <c r="E69" s="160">
        <f t="shared" si="7"/>
        <v>0</v>
      </c>
      <c r="F69" s="159">
        <f t="shared" si="8"/>
        <v>0</v>
      </c>
      <c r="G69" s="161">
        <f t="shared" si="14"/>
        <v>0</v>
      </c>
      <c r="H69" s="142">
        <f t="shared" si="15"/>
        <v>0</v>
      </c>
      <c r="I69" s="156">
        <f t="shared" si="6"/>
        <v>0</v>
      </c>
      <c r="J69" s="156"/>
      <c r="K69" s="334"/>
      <c r="L69" s="158">
        <f t="shared" si="11"/>
        <v>0</v>
      </c>
      <c r="M69" s="334"/>
      <c r="N69" s="158">
        <f t="shared" si="12"/>
        <v>0</v>
      </c>
      <c r="O69" s="158">
        <f t="shared" si="13"/>
        <v>0</v>
      </c>
      <c r="P69" s="4"/>
    </row>
    <row r="70" spans="2:16">
      <c r="B70" s="9" t="str">
        <f t="shared" si="5"/>
        <v/>
      </c>
      <c r="C70" s="153">
        <f>IF(D11="","-",+C69+1)</f>
        <v>2066</v>
      </c>
      <c r="D70" s="159">
        <f>IF(F69+SUM(E$17:E69)=D$10,F69,D$10-SUM(E$17:E69))</f>
        <v>0</v>
      </c>
      <c r="E70" s="160">
        <f t="shared" si="7"/>
        <v>0</v>
      </c>
      <c r="F70" s="159">
        <f t="shared" si="8"/>
        <v>0</v>
      </c>
      <c r="G70" s="161">
        <f t="shared" si="14"/>
        <v>0</v>
      </c>
      <c r="H70" s="142">
        <f t="shared" si="15"/>
        <v>0</v>
      </c>
      <c r="I70" s="156">
        <f t="shared" si="6"/>
        <v>0</v>
      </c>
      <c r="J70" s="156"/>
      <c r="K70" s="334"/>
      <c r="L70" s="158">
        <f t="shared" si="11"/>
        <v>0</v>
      </c>
      <c r="M70" s="334"/>
      <c r="N70" s="158">
        <f t="shared" si="12"/>
        <v>0</v>
      </c>
      <c r="O70" s="158">
        <f t="shared" si="13"/>
        <v>0</v>
      </c>
      <c r="P70" s="4"/>
    </row>
    <row r="71" spans="2:16">
      <c r="B71" s="9" t="str">
        <f t="shared" si="5"/>
        <v/>
      </c>
      <c r="C71" s="153">
        <f>IF(D11="","-",+C70+1)</f>
        <v>2067</v>
      </c>
      <c r="D71" s="159">
        <f>IF(F70+SUM(E$17:E70)=D$10,F70,D$10-SUM(E$17:E70))</f>
        <v>0</v>
      </c>
      <c r="E71" s="160">
        <f t="shared" si="7"/>
        <v>0</v>
      </c>
      <c r="F71" s="159">
        <f t="shared" si="8"/>
        <v>0</v>
      </c>
      <c r="G71" s="161">
        <f t="shared" si="14"/>
        <v>0</v>
      </c>
      <c r="H71" s="142">
        <f t="shared" si="15"/>
        <v>0</v>
      </c>
      <c r="I71" s="156">
        <f t="shared" si="6"/>
        <v>0</v>
      </c>
      <c r="J71" s="156"/>
      <c r="K71" s="334"/>
      <c r="L71" s="158">
        <f t="shared" si="11"/>
        <v>0</v>
      </c>
      <c r="M71" s="334"/>
      <c r="N71" s="158">
        <f t="shared" si="12"/>
        <v>0</v>
      </c>
      <c r="O71" s="158">
        <f t="shared" si="13"/>
        <v>0</v>
      </c>
      <c r="P71" s="4"/>
    </row>
    <row r="72" spans="2:16" ht="13.5" thickBot="1">
      <c r="B72" s="9" t="str">
        <f t="shared" si="5"/>
        <v/>
      </c>
      <c r="C72" s="164">
        <f>IF(D11="","-",+C71+1)</f>
        <v>2068</v>
      </c>
      <c r="D72" s="159">
        <f>IF(F71+SUM(E$17:E71)=D$10,F71,D$10-SUM(E$17:E71))</f>
        <v>0</v>
      </c>
      <c r="E72" s="160">
        <f t="shared" si="7"/>
        <v>0</v>
      </c>
      <c r="F72" s="159">
        <f t="shared" si="8"/>
        <v>0</v>
      </c>
      <c r="G72" s="161">
        <f t="shared" si="14"/>
        <v>0</v>
      </c>
      <c r="H72" s="142">
        <f t="shared" si="15"/>
        <v>0</v>
      </c>
      <c r="I72" s="156">
        <f t="shared" si="6"/>
        <v>0</v>
      </c>
      <c r="J72" s="156"/>
      <c r="K72" s="335"/>
      <c r="L72" s="169">
        <f t="shared" si="11"/>
        <v>0</v>
      </c>
      <c r="M72" s="335"/>
      <c r="N72" s="169">
        <f t="shared" si="12"/>
        <v>0</v>
      </c>
      <c r="O72" s="169">
        <f t="shared" si="13"/>
        <v>0</v>
      </c>
      <c r="P72" s="4"/>
    </row>
    <row r="73" spans="2:16">
      <c r="C73" s="154" t="s">
        <v>73</v>
      </c>
      <c r="D73" s="111"/>
      <c r="E73" s="111">
        <f>SUM(E17:E72)</f>
        <v>5048525.9999999991</v>
      </c>
      <c r="F73" s="111"/>
      <c r="G73" s="111">
        <f>SUM(G17:G72)</f>
        <v>16693364.021310488</v>
      </c>
      <c r="H73" s="111">
        <f>SUM(H17:H72)</f>
        <v>16693364.021310488</v>
      </c>
      <c r="I73" s="111">
        <f>SUM(I17:I72)</f>
        <v>0</v>
      </c>
      <c r="J73" s="111"/>
      <c r="K73" s="111"/>
      <c r="L73" s="111"/>
      <c r="M73" s="111"/>
      <c r="N73" s="111"/>
      <c r="O73" s="4"/>
      <c r="P73" s="4"/>
    </row>
    <row r="74" spans="2:16">
      <c r="D74" s="2"/>
      <c r="E74" s="1"/>
      <c r="F74" s="1"/>
      <c r="G74" s="1"/>
      <c r="H74" s="3"/>
      <c r="I74" s="3"/>
      <c r="J74" s="111"/>
      <c r="K74" s="3"/>
      <c r="L74" s="3"/>
      <c r="M74" s="3"/>
      <c r="N74" s="3"/>
      <c r="O74" s="1"/>
      <c r="P74" s="1"/>
    </row>
    <row r="75" spans="2:16">
      <c r="C75" s="170" t="s">
        <v>91</v>
      </c>
      <c r="D75" s="2"/>
      <c r="E75" s="1"/>
      <c r="F75" s="1"/>
      <c r="G75" s="1"/>
      <c r="H75" s="3"/>
      <c r="I75" s="3"/>
      <c r="J75" s="111"/>
      <c r="K75" s="3"/>
      <c r="L75" s="3"/>
      <c r="M75" s="3"/>
      <c r="N75" s="3"/>
      <c r="O75" s="1"/>
      <c r="P75" s="1"/>
    </row>
    <row r="76" spans="2:16">
      <c r="C76" s="121" t="s">
        <v>74</v>
      </c>
      <c r="D76" s="2"/>
      <c r="E76" s="1"/>
      <c r="F76" s="1"/>
      <c r="G76" s="1"/>
      <c r="H76" s="3"/>
      <c r="I76" s="3"/>
      <c r="J76" s="111"/>
      <c r="K76" s="3"/>
      <c r="L76" s="3"/>
      <c r="M76" s="3"/>
      <c r="N76" s="3"/>
      <c r="O76" s="4"/>
      <c r="P76" s="4"/>
    </row>
    <row r="77" spans="2:16">
      <c r="C77" s="121" t="s">
        <v>75</v>
      </c>
      <c r="D77" s="154"/>
      <c r="E77" s="154"/>
      <c r="F77" s="154"/>
      <c r="G77" s="111"/>
      <c r="H77" s="111"/>
      <c r="I77" s="171"/>
      <c r="J77" s="171"/>
      <c r="K77" s="171"/>
      <c r="L77" s="171"/>
      <c r="M77" s="171"/>
      <c r="N77" s="171"/>
      <c r="O77" s="4"/>
      <c r="P77" s="4"/>
    </row>
    <row r="78" spans="2:16">
      <c r="C78" s="121"/>
      <c r="D78" s="154"/>
      <c r="E78" s="154"/>
      <c r="F78" s="154"/>
      <c r="G78" s="111"/>
      <c r="H78" s="111"/>
      <c r="I78" s="171"/>
      <c r="J78" s="171"/>
      <c r="K78" s="171"/>
      <c r="L78" s="171"/>
      <c r="M78" s="171"/>
      <c r="N78" s="171"/>
      <c r="O78" s="4"/>
      <c r="P78" s="1"/>
    </row>
    <row r="79" spans="2:16">
      <c r="B79" s="1"/>
      <c r="C79" s="21"/>
      <c r="D79" s="2"/>
      <c r="E79" s="1"/>
      <c r="F79" s="107"/>
      <c r="G79" s="1"/>
      <c r="H79" s="3"/>
      <c r="I79" s="1"/>
      <c r="J79" s="4"/>
      <c r="K79" s="1"/>
      <c r="L79" s="1"/>
      <c r="M79" s="1"/>
      <c r="N79" s="1"/>
      <c r="O79" s="1"/>
      <c r="P79" s="1"/>
    </row>
    <row r="80" spans="2:16" ht="18">
      <c r="B80" s="1"/>
      <c r="C80" s="242"/>
      <c r="D80" s="2"/>
      <c r="E80" s="1"/>
      <c r="F80" s="107"/>
      <c r="G80" s="1"/>
      <c r="H80" s="3"/>
      <c r="I80" s="1"/>
      <c r="J80" s="4"/>
      <c r="K80" s="1"/>
      <c r="L80" s="1"/>
      <c r="M80" s="1"/>
      <c r="N80" s="1"/>
      <c r="P80" s="244" t="s">
        <v>125</v>
      </c>
    </row>
    <row r="81" spans="1:17">
      <c r="B81" s="1"/>
      <c r="C81" s="21"/>
      <c r="D81" s="2"/>
      <c r="E81" s="1"/>
      <c r="F81" s="107"/>
      <c r="G81" s="1"/>
      <c r="H81" s="3"/>
      <c r="I81" s="1"/>
      <c r="J81" s="4"/>
      <c r="K81" s="1"/>
      <c r="L81" s="1"/>
      <c r="M81" s="1"/>
      <c r="N81" s="1"/>
      <c r="O81" s="1"/>
      <c r="P81" s="1"/>
    </row>
    <row r="82" spans="1:17">
      <c r="B82" s="1"/>
      <c r="C82" s="21"/>
      <c r="D82" s="2"/>
      <c r="E82" s="1"/>
      <c r="F82" s="107"/>
      <c r="G82" s="1"/>
      <c r="H82" s="3"/>
      <c r="I82" s="1"/>
      <c r="J82" s="4"/>
      <c r="K82" s="1"/>
      <c r="L82" s="1"/>
      <c r="M82" s="1"/>
      <c r="N82" s="1"/>
      <c r="O82" s="1"/>
      <c r="P82" s="1"/>
      <c r="Q82" s="1"/>
    </row>
    <row r="83" spans="1:17" ht="20.25">
      <c r="A83" s="243" t="s">
        <v>129</v>
      </c>
      <c r="B83" s="1"/>
      <c r="C83" s="21"/>
      <c r="D83" s="2"/>
      <c r="E83" s="1"/>
      <c r="F83" s="99"/>
      <c r="G83" s="99"/>
      <c r="H83" s="1"/>
      <c r="I83" s="3"/>
      <c r="K83" s="7"/>
      <c r="L83" s="109"/>
      <c r="M83" s="109"/>
      <c r="P83" s="109" t="str">
        <f ca="1">P1</f>
        <v>SWEPCO Project 37 of 73</v>
      </c>
      <c r="Q83" s="1"/>
    </row>
    <row r="84" spans="1:17" ht="18">
      <c r="B84" s="1"/>
      <c r="C84" s="1"/>
      <c r="D84" s="2"/>
      <c r="E84" s="1"/>
      <c r="F84" s="1"/>
      <c r="G84" s="1"/>
      <c r="H84" s="1"/>
      <c r="I84" s="3"/>
      <c r="J84" s="1"/>
      <c r="K84" s="4"/>
      <c r="L84" s="1"/>
      <c r="M84" s="1"/>
      <c r="P84" s="244" t="s">
        <v>123</v>
      </c>
      <c r="Q84" s="1"/>
    </row>
    <row r="85" spans="1:17" ht="18.75" thickBot="1">
      <c r="B85" s="5" t="s">
        <v>40</v>
      </c>
      <c r="C85" s="197" t="s">
        <v>78</v>
      </c>
      <c r="D85" s="2"/>
      <c r="E85" s="1"/>
      <c r="F85" s="1"/>
      <c r="G85" s="1"/>
      <c r="H85" s="1"/>
      <c r="I85" s="3"/>
      <c r="J85" s="3"/>
      <c r="K85" s="111"/>
      <c r="L85" s="3"/>
      <c r="M85" s="3"/>
      <c r="N85" s="3"/>
      <c r="O85" s="111"/>
      <c r="P85" s="1"/>
      <c r="Q85" s="1"/>
    </row>
    <row r="86" spans="1:17" ht="15.75" thickBot="1">
      <c r="C86" s="67"/>
      <c r="D86" s="2"/>
      <c r="E86" s="1"/>
      <c r="F86" s="1"/>
      <c r="G86" s="1"/>
      <c r="H86" s="1"/>
      <c r="I86" s="3"/>
      <c r="J86" s="3"/>
      <c r="K86" s="111"/>
      <c r="L86" s="265">
        <f>+J92</f>
        <v>2017</v>
      </c>
      <c r="M86" s="266" t="s">
        <v>7</v>
      </c>
      <c r="N86" s="270" t="s">
        <v>154</v>
      </c>
      <c r="O86" s="267" t="s">
        <v>9</v>
      </c>
      <c r="P86" s="1"/>
      <c r="Q86" s="1"/>
    </row>
    <row r="87" spans="1:17" ht="15">
      <c r="C87" s="235" t="s">
        <v>42</v>
      </c>
      <c r="D87" s="2"/>
      <c r="E87" s="1"/>
      <c r="F87" s="1"/>
      <c r="G87" s="1"/>
      <c r="H87" s="113"/>
      <c r="I87" s="1" t="s">
        <v>43</v>
      </c>
      <c r="J87" s="1"/>
      <c r="K87" s="261"/>
      <c r="L87" s="259" t="s">
        <v>381</v>
      </c>
      <c r="M87" s="198">
        <f>IF(J92&lt;D11,0,VLOOKUP(J92,C17:O72,9))</f>
        <v>684170.77799365029</v>
      </c>
      <c r="N87" s="198">
        <f>IF(J92&lt;D11,0,VLOOKUP(J92,C17:O72,11))</f>
        <v>684170.77799365029</v>
      </c>
      <c r="O87" s="199">
        <f>+N87-M87</f>
        <v>0</v>
      </c>
      <c r="P87" s="1"/>
      <c r="Q87" s="1"/>
    </row>
    <row r="88" spans="1:17" ht="15.75">
      <c r="C88" s="8"/>
      <c r="D88" s="2"/>
      <c r="E88" s="1"/>
      <c r="F88" s="1"/>
      <c r="G88" s="1"/>
      <c r="H88" s="1"/>
      <c r="I88" s="117"/>
      <c r="J88" s="117"/>
      <c r="K88" s="263"/>
      <c r="L88" s="264" t="s">
        <v>382</v>
      </c>
      <c r="M88" s="200">
        <f>IF(J92&lt;D11,0,VLOOKUP(J92,C99:P154,6))</f>
        <v>675389.93455255101</v>
      </c>
      <c r="N88" s="200">
        <f>IF(J92&lt;D11,0,VLOOKUP(J92,C99:P154,7))</f>
        <v>675389.93455255101</v>
      </c>
      <c r="O88" s="201">
        <f>+N88-M88</f>
        <v>0</v>
      </c>
      <c r="P88" s="1"/>
      <c r="Q88" s="1"/>
    </row>
    <row r="89" spans="1:17" ht="13.5" thickBot="1">
      <c r="C89" s="121" t="s">
        <v>79</v>
      </c>
      <c r="D89" s="246" t="str">
        <f>+D7</f>
        <v>SW Shreveport to Spring Ridge REC 138 kV Line Rebuild</v>
      </c>
      <c r="E89" s="1"/>
      <c r="F89" s="1"/>
      <c r="G89" s="1"/>
      <c r="H89" s="1"/>
      <c r="I89" s="3"/>
      <c r="J89" s="3"/>
      <c r="K89" s="262"/>
      <c r="L89" s="260" t="s">
        <v>151</v>
      </c>
      <c r="M89" s="203">
        <f>+M88-M87</f>
        <v>-8780.8434410992777</v>
      </c>
      <c r="N89" s="203">
        <f>+N88-N87</f>
        <v>-8780.8434410992777</v>
      </c>
      <c r="O89" s="204">
        <f>+O88-O87</f>
        <v>0</v>
      </c>
      <c r="P89" s="1"/>
      <c r="Q89" s="1"/>
    </row>
    <row r="90" spans="1:17" ht="13.5" thickBot="1">
      <c r="C90" s="170"/>
      <c r="D90" s="173" t="str">
        <f>D8</f>
        <v/>
      </c>
      <c r="E90" s="107"/>
      <c r="F90" s="107"/>
      <c r="G90" s="107"/>
      <c r="H90" s="126"/>
      <c r="I90" s="3"/>
      <c r="J90" s="3"/>
      <c r="K90" s="111"/>
      <c r="L90" s="3"/>
      <c r="M90" s="3"/>
      <c r="N90" s="3"/>
      <c r="O90" s="111"/>
      <c r="P90" s="1"/>
      <c r="Q90" s="1"/>
    </row>
    <row r="91" spans="1:17" ht="13.5" thickBot="1">
      <c r="A91" s="103"/>
      <c r="C91" s="205" t="s">
        <v>80</v>
      </c>
      <c r="D91" s="224" t="str">
        <f>+D9</f>
        <v>TP2010066</v>
      </c>
      <c r="E91" s="206"/>
      <c r="F91" s="206"/>
      <c r="G91" s="206"/>
      <c r="H91" s="206"/>
      <c r="I91" s="206"/>
      <c r="J91" s="206"/>
      <c r="K91" s="207"/>
      <c r="P91" s="131"/>
      <c r="Q91" s="1"/>
    </row>
    <row r="92" spans="1:17">
      <c r="C92" s="136" t="s">
        <v>47</v>
      </c>
      <c r="D92" s="417">
        <f>D10</f>
        <v>5048526</v>
      </c>
      <c r="E92" s="21" t="s">
        <v>81</v>
      </c>
      <c r="H92" s="134"/>
      <c r="I92" s="134"/>
      <c r="J92" s="135">
        <f>+'SWE.WS.G.BPU.ATRR.True-up'!M15</f>
        <v>2017</v>
      </c>
      <c r="K92" s="130"/>
      <c r="L92" s="111" t="s">
        <v>82</v>
      </c>
      <c r="P92" s="4"/>
      <c r="Q92" s="1"/>
    </row>
    <row r="93" spans="1:17">
      <c r="C93" s="136" t="s">
        <v>49</v>
      </c>
      <c r="D93" s="428" t="s">
        <v>359</v>
      </c>
      <c r="E93" s="136" t="s">
        <v>50</v>
      </c>
      <c r="F93" s="134"/>
      <c r="G93" s="134"/>
      <c r="J93" s="138">
        <f>IF(H87="",0,'SWE.WS.G.BPU.ATRR.True-up'!$F$12)</f>
        <v>0</v>
      </c>
      <c r="K93" s="139"/>
      <c r="L93" t="str">
        <f>"          INPUT TRUE-UP ARR (WITH &amp; WITHOUT INCENTIVES) FROM EACH PRIOR YEAR"</f>
        <v xml:space="preserve">          INPUT TRUE-UP ARR (WITH &amp; WITHOUT INCENTIVES) FROM EACH PRIOR YEAR</v>
      </c>
      <c r="P93" s="4"/>
      <c r="Q93" s="1"/>
    </row>
    <row r="94" spans="1:17">
      <c r="C94" s="136" t="s">
        <v>51</v>
      </c>
      <c r="D94" s="218">
        <f>D12</f>
        <v>6</v>
      </c>
      <c r="E94" s="136" t="s">
        <v>52</v>
      </c>
      <c r="F94" s="134"/>
      <c r="G94" s="134"/>
      <c r="J94" s="140">
        <f>'SWE.WS.G.BPU.ATRR.True-up'!$F$80</f>
        <v>0.12147145768398206</v>
      </c>
      <c r="K94" s="141"/>
      <c r="L94" t="s">
        <v>83</v>
      </c>
      <c r="P94" s="4"/>
      <c r="Q94" s="1"/>
    </row>
    <row r="95" spans="1:17">
      <c r="C95" s="136" t="s">
        <v>54</v>
      </c>
      <c r="D95" s="138">
        <f>'SWE.WS.G.BPU.ATRR.True-up'!F$92</f>
        <v>42</v>
      </c>
      <c r="E95" s="136" t="s">
        <v>55</v>
      </c>
      <c r="F95" s="134"/>
      <c r="G95" s="134"/>
      <c r="J95" s="140">
        <f>IF(H87="",J94,'SWE.WS.G.BPU.ATRR.True-up'!$F$79)</f>
        <v>0.12147145768398206</v>
      </c>
      <c r="K95" s="58"/>
      <c r="L95" s="111" t="s">
        <v>56</v>
      </c>
      <c r="M95" s="58"/>
      <c r="N95" s="58"/>
      <c r="O95" s="58"/>
      <c r="P95" s="4"/>
      <c r="Q95" s="1"/>
    </row>
    <row r="96" spans="1:17" ht="13.5" thickBot="1">
      <c r="C96" s="136" t="s">
        <v>57</v>
      </c>
      <c r="D96" s="220" t="str">
        <f>+D14</f>
        <v>No</v>
      </c>
      <c r="E96" s="202" t="s">
        <v>59</v>
      </c>
      <c r="F96" s="208"/>
      <c r="G96" s="208"/>
      <c r="H96" s="209"/>
      <c r="I96" s="209"/>
      <c r="J96" s="124">
        <f>IF(D92=0,0,D92/D95)</f>
        <v>120203</v>
      </c>
      <c r="K96" s="111"/>
      <c r="L96" s="111"/>
      <c r="M96" s="111"/>
      <c r="N96" s="111"/>
      <c r="O96" s="111"/>
      <c r="P96" s="4"/>
      <c r="Q96" s="1"/>
    </row>
    <row r="97" spans="1:17" ht="38.25">
      <c r="A97" s="6"/>
      <c r="B97" s="6"/>
      <c r="C97" s="210" t="s">
        <v>47</v>
      </c>
      <c r="D97" s="211" t="s">
        <v>60</v>
      </c>
      <c r="E97" s="146" t="s">
        <v>61</v>
      </c>
      <c r="F97" s="146" t="s">
        <v>62</v>
      </c>
      <c r="G97" s="144" t="s">
        <v>84</v>
      </c>
      <c r="H97" s="434" t="s">
        <v>378</v>
      </c>
      <c r="I97" s="435" t="s">
        <v>379</v>
      </c>
      <c r="J97" s="210" t="s">
        <v>85</v>
      </c>
      <c r="K97" s="212"/>
      <c r="L97" s="271" t="s">
        <v>220</v>
      </c>
      <c r="M97" s="146" t="s">
        <v>86</v>
      </c>
      <c r="N97" s="271" t="s">
        <v>220</v>
      </c>
      <c r="O97" s="146" t="s">
        <v>86</v>
      </c>
      <c r="P97" s="146" t="s">
        <v>65</v>
      </c>
      <c r="Q97" s="1"/>
    </row>
    <row r="98" spans="1:17" ht="13.5" thickBot="1">
      <c r="C98" s="147" t="s">
        <v>66</v>
      </c>
      <c r="D98" s="213" t="s">
        <v>67</v>
      </c>
      <c r="E98" s="147" t="s">
        <v>68</v>
      </c>
      <c r="F98" s="147" t="s">
        <v>67</v>
      </c>
      <c r="G98" s="147" t="s">
        <v>67</v>
      </c>
      <c r="H98" s="407" t="s">
        <v>69</v>
      </c>
      <c r="I98" s="148" t="s">
        <v>70</v>
      </c>
      <c r="J98" s="149" t="s">
        <v>89</v>
      </c>
      <c r="K98" s="150"/>
      <c r="L98" s="151" t="s">
        <v>72</v>
      </c>
      <c r="M98" s="151" t="s">
        <v>72</v>
      </c>
      <c r="N98" s="151" t="s">
        <v>90</v>
      </c>
      <c r="O98" s="151" t="s">
        <v>90</v>
      </c>
      <c r="P98" s="151" t="s">
        <v>90</v>
      </c>
      <c r="Q98" s="1"/>
    </row>
    <row r="99" spans="1:17">
      <c r="C99" s="153" t="str">
        <f>IF(D93= "","-",D93)</f>
        <v>2013</v>
      </c>
      <c r="D99" s="409">
        <v>0</v>
      </c>
      <c r="E99" s="410">
        <v>60097.440476190473</v>
      </c>
      <c r="F99" s="411">
        <v>4988087.5595238097</v>
      </c>
      <c r="G99" s="412">
        <v>2494043.7797619049</v>
      </c>
      <c r="H99" s="413">
        <v>397520.86907446757</v>
      </c>
      <c r="I99" s="414">
        <v>397520.86907446757</v>
      </c>
      <c r="J99" s="403">
        <v>0</v>
      </c>
      <c r="K99" s="158"/>
      <c r="L99" s="258">
        <f>H99</f>
        <v>397520.86907446757</v>
      </c>
      <c r="M99" s="257">
        <f>IF(L99&lt;&gt;0,+H99-L99,0)</f>
        <v>0</v>
      </c>
      <c r="N99" s="258">
        <f>I99</f>
        <v>397520.86907446757</v>
      </c>
      <c r="O99" s="158">
        <f>IF(N99&lt;&gt;0,+I99-N99,0)</f>
        <v>0</v>
      </c>
      <c r="P99" s="158">
        <f>+O99-M99</f>
        <v>0</v>
      </c>
      <c r="Q99" s="1"/>
    </row>
    <row r="100" spans="1:17">
      <c r="B100" s="9" t="str">
        <f>IF(D100=F99,"","IU")</f>
        <v/>
      </c>
      <c r="C100" s="153">
        <f>IF(D93="","-",+C99+1)</f>
        <v>2014</v>
      </c>
      <c r="D100" s="409">
        <v>4988087.5595238097</v>
      </c>
      <c r="E100" s="410">
        <v>120203</v>
      </c>
      <c r="F100" s="411">
        <v>4867884.5595238097</v>
      </c>
      <c r="G100" s="411">
        <v>4927986.0595238097</v>
      </c>
      <c r="H100" s="413">
        <v>790031.91488158714</v>
      </c>
      <c r="I100" s="414">
        <v>790031.91488158714</v>
      </c>
      <c r="J100" s="158">
        <v>0</v>
      </c>
      <c r="K100" s="158"/>
      <c r="L100" s="258">
        <f>H100</f>
        <v>790031.91488158714</v>
      </c>
      <c r="M100" s="257">
        <f>IF(L100&lt;&gt;0,+H100-L100,0)</f>
        <v>0</v>
      </c>
      <c r="N100" s="258">
        <f>I100</f>
        <v>790031.91488158714</v>
      </c>
      <c r="O100" s="158">
        <f>IF(N100&lt;&gt;0,+I100-N100,0)</f>
        <v>0</v>
      </c>
      <c r="P100" s="158">
        <f>+O100-M100</f>
        <v>0</v>
      </c>
      <c r="Q100" s="1"/>
    </row>
    <row r="101" spans="1:17">
      <c r="B101" s="9" t="str">
        <f t="shared" ref="B101:B154" si="16">IF(D101=F100,"","IU")</f>
        <v>IU</v>
      </c>
      <c r="C101" s="153">
        <f>IF(D93="","-",+C100+1)</f>
        <v>2015</v>
      </c>
      <c r="D101" s="409">
        <v>4868225.5595238097</v>
      </c>
      <c r="E101" s="410">
        <v>120203</v>
      </c>
      <c r="F101" s="411">
        <v>4748022.5595238097</v>
      </c>
      <c r="G101" s="411">
        <v>4808124.0595238097</v>
      </c>
      <c r="H101" s="413">
        <v>753764.11200720049</v>
      </c>
      <c r="I101" s="414">
        <v>753764.11200720049</v>
      </c>
      <c r="J101" s="158">
        <f>+I101-H101</f>
        <v>0</v>
      </c>
      <c r="K101" s="158"/>
      <c r="L101" s="258">
        <f>H101</f>
        <v>753764.11200720049</v>
      </c>
      <c r="M101" s="257">
        <f>IF(L101&lt;&gt;0,+H101-L101,0)</f>
        <v>0</v>
      </c>
      <c r="N101" s="258">
        <f>I101</f>
        <v>753764.11200720049</v>
      </c>
      <c r="O101" s="158">
        <f>IF(N101&lt;&gt;0,+I101-N101,0)</f>
        <v>0</v>
      </c>
      <c r="P101" s="158">
        <f>+O101-M101</f>
        <v>0</v>
      </c>
      <c r="Q101" s="1"/>
    </row>
    <row r="102" spans="1:17">
      <c r="B102" s="9" t="str">
        <f t="shared" si="16"/>
        <v/>
      </c>
      <c r="C102" s="153">
        <f>IF(D93="","-",+C101+1)</f>
        <v>2016</v>
      </c>
      <c r="D102" s="409">
        <v>4748022.5595238097</v>
      </c>
      <c r="E102" s="410">
        <v>117407.58139534884</v>
      </c>
      <c r="F102" s="411">
        <v>4630614.9781284612</v>
      </c>
      <c r="G102" s="411">
        <v>4689318.7688261354</v>
      </c>
      <c r="H102" s="413">
        <v>712716.54417822254</v>
      </c>
      <c r="I102" s="414">
        <v>712716.54417822254</v>
      </c>
      <c r="J102" s="158">
        <v>0</v>
      </c>
      <c r="K102" s="158"/>
      <c r="L102" s="258">
        <f>H102</f>
        <v>712716.54417822254</v>
      </c>
      <c r="M102" s="257">
        <f>IF(L102&lt;&gt;0,+H102-L102,0)</f>
        <v>0</v>
      </c>
      <c r="N102" s="258">
        <f>I102</f>
        <v>712716.54417822254</v>
      </c>
      <c r="O102" s="158">
        <f>IF(N102&lt;&gt;0,+I102-N102,0)</f>
        <v>0</v>
      </c>
      <c r="P102" s="158">
        <f>+O102-M102</f>
        <v>0</v>
      </c>
      <c r="Q102" s="1"/>
    </row>
    <row r="103" spans="1:17">
      <c r="B103" s="9" t="str">
        <f t="shared" si="16"/>
        <v/>
      </c>
      <c r="C103" s="153">
        <f>IF(D93="","-",+C102+1)</f>
        <v>2017</v>
      </c>
      <c r="D103" s="154">
        <f>IF(F102+SUM(E$99:E102)=D$92,F102,D$92-SUM(E$99:E102))</f>
        <v>4630614.9781284612</v>
      </c>
      <c r="E103" s="160">
        <f t="shared" ref="E103:E154" si="17">IF(+$J$96&lt;F102,$J$96,D103)</f>
        <v>120203</v>
      </c>
      <c r="F103" s="159">
        <f t="shared" ref="F103:F154" si="18">+D103-E103</f>
        <v>4510411.9781284612</v>
      </c>
      <c r="G103" s="159">
        <f t="shared" ref="G103:G154" si="19">+(F103+D103)/2</f>
        <v>4570513.4781284612</v>
      </c>
      <c r="H103" s="163">
        <f t="shared" ref="H103:H154" si="20">+J$94*G103+E103</f>
        <v>675389.93455255101</v>
      </c>
      <c r="I103" s="253">
        <f t="shared" ref="I103:I154" si="21">+J$95*G103+E103</f>
        <v>675389.93455255101</v>
      </c>
      <c r="J103" s="158">
        <f t="shared" ref="J103:J154" si="22">+I103-H103</f>
        <v>0</v>
      </c>
      <c r="K103" s="158"/>
      <c r="L103" s="334"/>
      <c r="M103" s="158">
        <f t="shared" ref="M103:M130" si="23">IF(L103&lt;&gt;0,+H103-L103,0)</f>
        <v>0</v>
      </c>
      <c r="N103" s="334"/>
      <c r="O103" s="158">
        <f t="shared" ref="O103:O130" si="24">IF(N103&lt;&gt;0,+I103-N103,0)</f>
        <v>0</v>
      </c>
      <c r="P103" s="158">
        <f t="shared" ref="P103:P130" si="25">+O103-M103</f>
        <v>0</v>
      </c>
      <c r="Q103" s="1"/>
    </row>
    <row r="104" spans="1:17">
      <c r="B104" s="9" t="str">
        <f t="shared" si="16"/>
        <v/>
      </c>
      <c r="C104" s="153">
        <f>IF(D93="","-",+C103+1)</f>
        <v>2018</v>
      </c>
      <c r="D104" s="154">
        <f>IF(F103+SUM(E$99:E103)=D$92,F103,D$92-SUM(E$99:E103))</f>
        <v>4510411.9781284612</v>
      </c>
      <c r="E104" s="160">
        <f t="shared" si="17"/>
        <v>120203</v>
      </c>
      <c r="F104" s="159">
        <f t="shared" si="18"/>
        <v>4390208.9781284612</v>
      </c>
      <c r="G104" s="159">
        <f t="shared" si="19"/>
        <v>4450310.4781284612</v>
      </c>
      <c r="H104" s="163">
        <f t="shared" si="20"/>
        <v>660788.70092456334</v>
      </c>
      <c r="I104" s="253">
        <f t="shared" si="21"/>
        <v>660788.70092456334</v>
      </c>
      <c r="J104" s="158">
        <f t="shared" si="22"/>
        <v>0</v>
      </c>
      <c r="K104" s="158"/>
      <c r="L104" s="334"/>
      <c r="M104" s="158">
        <f t="shared" si="23"/>
        <v>0</v>
      </c>
      <c r="N104" s="334"/>
      <c r="O104" s="158">
        <f t="shared" si="24"/>
        <v>0</v>
      </c>
      <c r="P104" s="158">
        <f t="shared" si="25"/>
        <v>0</v>
      </c>
      <c r="Q104" s="1"/>
    </row>
    <row r="105" spans="1:17">
      <c r="B105" s="9" t="str">
        <f t="shared" si="16"/>
        <v/>
      </c>
      <c r="C105" s="153">
        <f>IF(D93="","-",+C104+1)</f>
        <v>2019</v>
      </c>
      <c r="D105" s="154">
        <f>IF(F104+SUM(E$99:E104)=D$92,F104,D$92-SUM(E$99:E104))</f>
        <v>4390208.9781284612</v>
      </c>
      <c r="E105" s="160">
        <f t="shared" si="17"/>
        <v>120203</v>
      </c>
      <c r="F105" s="159">
        <f t="shared" si="18"/>
        <v>4270005.9781284612</v>
      </c>
      <c r="G105" s="159">
        <f t="shared" si="19"/>
        <v>4330107.4781284612</v>
      </c>
      <c r="H105" s="163">
        <f t="shared" si="20"/>
        <v>646187.46729657566</v>
      </c>
      <c r="I105" s="253">
        <f t="shared" si="21"/>
        <v>646187.46729657566</v>
      </c>
      <c r="J105" s="158">
        <f t="shared" si="22"/>
        <v>0</v>
      </c>
      <c r="K105" s="158"/>
      <c r="L105" s="334"/>
      <c r="M105" s="158">
        <f t="shared" si="23"/>
        <v>0</v>
      </c>
      <c r="N105" s="334"/>
      <c r="O105" s="158">
        <f t="shared" si="24"/>
        <v>0</v>
      </c>
      <c r="P105" s="158">
        <f t="shared" si="25"/>
        <v>0</v>
      </c>
      <c r="Q105" s="1"/>
    </row>
    <row r="106" spans="1:17">
      <c r="B106" s="9" t="str">
        <f t="shared" si="16"/>
        <v/>
      </c>
      <c r="C106" s="153">
        <f>IF(D93="","-",+C105+1)</f>
        <v>2020</v>
      </c>
      <c r="D106" s="154">
        <f>IF(F105+SUM(E$99:E105)=D$92,F105,D$92-SUM(E$99:E105))</f>
        <v>4270005.9781284612</v>
      </c>
      <c r="E106" s="160">
        <f t="shared" si="17"/>
        <v>120203</v>
      </c>
      <c r="F106" s="159">
        <f t="shared" si="18"/>
        <v>4149802.9781284612</v>
      </c>
      <c r="G106" s="159">
        <f t="shared" si="19"/>
        <v>4209904.4781284612</v>
      </c>
      <c r="H106" s="163">
        <f t="shared" si="20"/>
        <v>631586.23366858787</v>
      </c>
      <c r="I106" s="253">
        <f t="shared" si="21"/>
        <v>631586.23366858787</v>
      </c>
      <c r="J106" s="158">
        <f t="shared" si="22"/>
        <v>0</v>
      </c>
      <c r="K106" s="158"/>
      <c r="L106" s="334"/>
      <c r="M106" s="158">
        <f t="shared" si="23"/>
        <v>0</v>
      </c>
      <c r="N106" s="334"/>
      <c r="O106" s="158">
        <f t="shared" si="24"/>
        <v>0</v>
      </c>
      <c r="P106" s="158">
        <f t="shared" si="25"/>
        <v>0</v>
      </c>
      <c r="Q106" s="1"/>
    </row>
    <row r="107" spans="1:17">
      <c r="B107" s="9" t="str">
        <f t="shared" si="16"/>
        <v/>
      </c>
      <c r="C107" s="153">
        <f>IF(D93="","-",+C106+1)</f>
        <v>2021</v>
      </c>
      <c r="D107" s="154">
        <f>IF(F106+SUM(E$99:E106)=D$92,F106,D$92-SUM(E$99:E106))</f>
        <v>4149802.9781284612</v>
      </c>
      <c r="E107" s="160">
        <f t="shared" si="17"/>
        <v>120203</v>
      </c>
      <c r="F107" s="159">
        <f t="shared" si="18"/>
        <v>4029599.9781284612</v>
      </c>
      <c r="G107" s="159">
        <f t="shared" si="19"/>
        <v>4089701.4781284612</v>
      </c>
      <c r="H107" s="163">
        <f t="shared" si="20"/>
        <v>616985.00004060031</v>
      </c>
      <c r="I107" s="253">
        <f t="shared" si="21"/>
        <v>616985.00004060031</v>
      </c>
      <c r="J107" s="158">
        <f t="shared" si="22"/>
        <v>0</v>
      </c>
      <c r="K107" s="158"/>
      <c r="L107" s="334"/>
      <c r="M107" s="158">
        <f t="shared" si="23"/>
        <v>0</v>
      </c>
      <c r="N107" s="334"/>
      <c r="O107" s="158">
        <f t="shared" si="24"/>
        <v>0</v>
      </c>
      <c r="P107" s="158">
        <f t="shared" si="25"/>
        <v>0</v>
      </c>
      <c r="Q107" s="1"/>
    </row>
    <row r="108" spans="1:17">
      <c r="B108" s="9" t="str">
        <f t="shared" si="16"/>
        <v/>
      </c>
      <c r="C108" s="153">
        <f>IF(D93="","-",+C107+1)</f>
        <v>2022</v>
      </c>
      <c r="D108" s="154">
        <f>IF(F107+SUM(E$99:E107)=D$92,F107,D$92-SUM(E$99:E107))</f>
        <v>4029599.9781284612</v>
      </c>
      <c r="E108" s="160">
        <f t="shared" si="17"/>
        <v>120203</v>
      </c>
      <c r="F108" s="159">
        <f t="shared" si="18"/>
        <v>3909396.9781284612</v>
      </c>
      <c r="G108" s="159">
        <f t="shared" si="19"/>
        <v>3969498.4781284612</v>
      </c>
      <c r="H108" s="163">
        <f t="shared" si="20"/>
        <v>602383.76641261252</v>
      </c>
      <c r="I108" s="253">
        <f t="shared" si="21"/>
        <v>602383.76641261252</v>
      </c>
      <c r="J108" s="158">
        <f t="shared" si="22"/>
        <v>0</v>
      </c>
      <c r="K108" s="158"/>
      <c r="L108" s="334"/>
      <c r="M108" s="158">
        <f t="shared" si="23"/>
        <v>0</v>
      </c>
      <c r="N108" s="334"/>
      <c r="O108" s="158">
        <f t="shared" si="24"/>
        <v>0</v>
      </c>
      <c r="P108" s="158">
        <f t="shared" si="25"/>
        <v>0</v>
      </c>
      <c r="Q108" s="1"/>
    </row>
    <row r="109" spans="1:17">
      <c r="B109" s="9" t="str">
        <f t="shared" si="16"/>
        <v/>
      </c>
      <c r="C109" s="153">
        <f>IF(D93="","-",+C108+1)</f>
        <v>2023</v>
      </c>
      <c r="D109" s="154">
        <f>IF(F108+SUM(E$99:E108)=D$92,F108,D$92-SUM(E$99:E108))</f>
        <v>3909396.9781284612</v>
      </c>
      <c r="E109" s="160">
        <f t="shared" si="17"/>
        <v>120203</v>
      </c>
      <c r="F109" s="159">
        <f t="shared" si="18"/>
        <v>3789193.9781284612</v>
      </c>
      <c r="G109" s="159">
        <f t="shared" si="19"/>
        <v>3849295.4781284612</v>
      </c>
      <c r="H109" s="163">
        <f t="shared" si="20"/>
        <v>587782.53278462484</v>
      </c>
      <c r="I109" s="253">
        <f t="shared" si="21"/>
        <v>587782.53278462484</v>
      </c>
      <c r="J109" s="158">
        <f t="shared" si="22"/>
        <v>0</v>
      </c>
      <c r="K109" s="158"/>
      <c r="L109" s="334"/>
      <c r="M109" s="158">
        <f t="shared" si="23"/>
        <v>0</v>
      </c>
      <c r="N109" s="334"/>
      <c r="O109" s="158">
        <f t="shared" si="24"/>
        <v>0</v>
      </c>
      <c r="P109" s="158">
        <f t="shared" si="25"/>
        <v>0</v>
      </c>
      <c r="Q109" s="1"/>
    </row>
    <row r="110" spans="1:17">
      <c r="B110" s="9" t="str">
        <f t="shared" si="16"/>
        <v/>
      </c>
      <c r="C110" s="153">
        <f>IF(D93="","-",+C109+1)</f>
        <v>2024</v>
      </c>
      <c r="D110" s="154">
        <f>IF(F109+SUM(E$99:E109)=D$92,F109,D$92-SUM(E$99:E109))</f>
        <v>3789193.9781284612</v>
      </c>
      <c r="E110" s="160">
        <f t="shared" si="17"/>
        <v>120203</v>
      </c>
      <c r="F110" s="159">
        <f t="shared" si="18"/>
        <v>3668990.9781284612</v>
      </c>
      <c r="G110" s="159">
        <f t="shared" si="19"/>
        <v>3729092.4781284612</v>
      </c>
      <c r="H110" s="163">
        <f t="shared" si="20"/>
        <v>573181.29915663716</v>
      </c>
      <c r="I110" s="253">
        <f t="shared" si="21"/>
        <v>573181.29915663716</v>
      </c>
      <c r="J110" s="158">
        <f t="shared" si="22"/>
        <v>0</v>
      </c>
      <c r="K110" s="158"/>
      <c r="L110" s="334"/>
      <c r="M110" s="158">
        <f t="shared" si="23"/>
        <v>0</v>
      </c>
      <c r="N110" s="334"/>
      <c r="O110" s="158">
        <f t="shared" si="24"/>
        <v>0</v>
      </c>
      <c r="P110" s="158">
        <f t="shared" si="25"/>
        <v>0</v>
      </c>
      <c r="Q110" s="1"/>
    </row>
    <row r="111" spans="1:17">
      <c r="B111" s="9" t="str">
        <f t="shared" si="16"/>
        <v/>
      </c>
      <c r="C111" s="153">
        <f>IF(D93="","-",+C110+1)</f>
        <v>2025</v>
      </c>
      <c r="D111" s="154">
        <f>IF(F110+SUM(E$99:E110)=D$92,F110,D$92-SUM(E$99:E110))</f>
        <v>3668990.9781284612</v>
      </c>
      <c r="E111" s="160">
        <f t="shared" si="17"/>
        <v>120203</v>
      </c>
      <c r="F111" s="159">
        <f t="shared" si="18"/>
        <v>3548787.9781284612</v>
      </c>
      <c r="G111" s="159">
        <f t="shared" si="19"/>
        <v>3608889.4781284612</v>
      </c>
      <c r="H111" s="163">
        <f t="shared" si="20"/>
        <v>558580.06552864937</v>
      </c>
      <c r="I111" s="253">
        <f t="shared" si="21"/>
        <v>558580.06552864937</v>
      </c>
      <c r="J111" s="158">
        <f t="shared" si="22"/>
        <v>0</v>
      </c>
      <c r="K111" s="158"/>
      <c r="L111" s="334"/>
      <c r="M111" s="158">
        <f t="shared" si="23"/>
        <v>0</v>
      </c>
      <c r="N111" s="334"/>
      <c r="O111" s="158">
        <f t="shared" si="24"/>
        <v>0</v>
      </c>
      <c r="P111" s="158">
        <f t="shared" si="25"/>
        <v>0</v>
      </c>
      <c r="Q111" s="1"/>
    </row>
    <row r="112" spans="1:17">
      <c r="B112" s="9" t="str">
        <f t="shared" si="16"/>
        <v/>
      </c>
      <c r="C112" s="153">
        <f>IF(D93="","-",+C111+1)</f>
        <v>2026</v>
      </c>
      <c r="D112" s="154">
        <f>IF(F111+SUM(E$99:E111)=D$92,F111,D$92-SUM(E$99:E111))</f>
        <v>3548787.9781284612</v>
      </c>
      <c r="E112" s="160">
        <f t="shared" si="17"/>
        <v>120203</v>
      </c>
      <c r="F112" s="159">
        <f t="shared" si="18"/>
        <v>3428584.9781284612</v>
      </c>
      <c r="G112" s="159">
        <f t="shared" si="19"/>
        <v>3488686.4781284612</v>
      </c>
      <c r="H112" s="163">
        <f t="shared" si="20"/>
        <v>543978.83190066181</v>
      </c>
      <c r="I112" s="253">
        <f t="shared" si="21"/>
        <v>543978.83190066181</v>
      </c>
      <c r="J112" s="158">
        <f t="shared" si="22"/>
        <v>0</v>
      </c>
      <c r="K112" s="158"/>
      <c r="L112" s="334"/>
      <c r="M112" s="158">
        <f t="shared" si="23"/>
        <v>0</v>
      </c>
      <c r="N112" s="334"/>
      <c r="O112" s="158">
        <f t="shared" si="24"/>
        <v>0</v>
      </c>
      <c r="P112" s="158">
        <f t="shared" si="25"/>
        <v>0</v>
      </c>
      <c r="Q112" s="1"/>
    </row>
    <row r="113" spans="2:17">
      <c r="B113" s="9" t="str">
        <f t="shared" si="16"/>
        <v/>
      </c>
      <c r="C113" s="153">
        <f>IF(D93="","-",+C112+1)</f>
        <v>2027</v>
      </c>
      <c r="D113" s="154">
        <f>IF(F112+SUM(E$99:E112)=D$92,F112,D$92-SUM(E$99:E112))</f>
        <v>3428584.9781284612</v>
      </c>
      <c r="E113" s="160">
        <f t="shared" si="17"/>
        <v>120203</v>
      </c>
      <c r="F113" s="159">
        <f t="shared" si="18"/>
        <v>3308381.9781284612</v>
      </c>
      <c r="G113" s="159">
        <f t="shared" si="19"/>
        <v>3368483.4781284612</v>
      </c>
      <c r="H113" s="163">
        <f t="shared" si="20"/>
        <v>529377.59827267402</v>
      </c>
      <c r="I113" s="253">
        <f t="shared" si="21"/>
        <v>529377.59827267402</v>
      </c>
      <c r="J113" s="158">
        <f t="shared" si="22"/>
        <v>0</v>
      </c>
      <c r="K113" s="158"/>
      <c r="L113" s="334"/>
      <c r="M113" s="158">
        <f t="shared" si="23"/>
        <v>0</v>
      </c>
      <c r="N113" s="334"/>
      <c r="O113" s="158">
        <f t="shared" si="24"/>
        <v>0</v>
      </c>
      <c r="P113" s="158">
        <f t="shared" si="25"/>
        <v>0</v>
      </c>
      <c r="Q113" s="1"/>
    </row>
    <row r="114" spans="2:17">
      <c r="B114" s="9" t="str">
        <f t="shared" si="16"/>
        <v/>
      </c>
      <c r="C114" s="153">
        <f>IF(D93="","-",+C113+1)</f>
        <v>2028</v>
      </c>
      <c r="D114" s="154">
        <f>IF(F113+SUM(E$99:E113)=D$92,F113,D$92-SUM(E$99:E113))</f>
        <v>3308381.9781284612</v>
      </c>
      <c r="E114" s="160">
        <f t="shared" si="17"/>
        <v>120203</v>
      </c>
      <c r="F114" s="159">
        <f t="shared" si="18"/>
        <v>3188178.9781284612</v>
      </c>
      <c r="G114" s="159">
        <f t="shared" si="19"/>
        <v>3248280.4781284612</v>
      </c>
      <c r="H114" s="163">
        <f t="shared" si="20"/>
        <v>514776.3646446864</v>
      </c>
      <c r="I114" s="253">
        <f t="shared" si="21"/>
        <v>514776.3646446864</v>
      </c>
      <c r="J114" s="158">
        <f t="shared" si="22"/>
        <v>0</v>
      </c>
      <c r="K114" s="158"/>
      <c r="L114" s="334"/>
      <c r="M114" s="158">
        <f t="shared" si="23"/>
        <v>0</v>
      </c>
      <c r="N114" s="334"/>
      <c r="O114" s="158">
        <f t="shared" si="24"/>
        <v>0</v>
      </c>
      <c r="P114" s="158">
        <f t="shared" si="25"/>
        <v>0</v>
      </c>
      <c r="Q114" s="1"/>
    </row>
    <row r="115" spans="2:17">
      <c r="B115" s="9" t="str">
        <f t="shared" si="16"/>
        <v/>
      </c>
      <c r="C115" s="153">
        <f>IF(D93="","-",+C114+1)</f>
        <v>2029</v>
      </c>
      <c r="D115" s="154">
        <f>IF(F114+SUM(E$99:E114)=D$92,F114,D$92-SUM(E$99:E114))</f>
        <v>3188178.9781284612</v>
      </c>
      <c r="E115" s="160">
        <f t="shared" si="17"/>
        <v>120203</v>
      </c>
      <c r="F115" s="159">
        <f t="shared" si="18"/>
        <v>3067975.9781284612</v>
      </c>
      <c r="G115" s="159">
        <f t="shared" si="19"/>
        <v>3128077.4781284612</v>
      </c>
      <c r="H115" s="163">
        <f t="shared" si="20"/>
        <v>500175.13101669867</v>
      </c>
      <c r="I115" s="253">
        <f t="shared" si="21"/>
        <v>500175.13101669867</v>
      </c>
      <c r="J115" s="158">
        <f t="shared" si="22"/>
        <v>0</v>
      </c>
      <c r="K115" s="158"/>
      <c r="L115" s="334"/>
      <c r="M115" s="158">
        <f t="shared" si="23"/>
        <v>0</v>
      </c>
      <c r="N115" s="334"/>
      <c r="O115" s="158">
        <f t="shared" si="24"/>
        <v>0</v>
      </c>
      <c r="P115" s="158">
        <f t="shared" si="25"/>
        <v>0</v>
      </c>
      <c r="Q115" s="1"/>
    </row>
    <row r="116" spans="2:17">
      <c r="B116" s="9" t="str">
        <f t="shared" si="16"/>
        <v/>
      </c>
      <c r="C116" s="153">
        <f>IF(D93="","-",+C115+1)</f>
        <v>2030</v>
      </c>
      <c r="D116" s="154">
        <f>IF(F115+SUM(E$99:E115)=D$92,F115,D$92-SUM(E$99:E115))</f>
        <v>3067975.9781284612</v>
      </c>
      <c r="E116" s="160">
        <f t="shared" si="17"/>
        <v>120203</v>
      </c>
      <c r="F116" s="159">
        <f t="shared" si="18"/>
        <v>2947772.9781284612</v>
      </c>
      <c r="G116" s="159">
        <f t="shared" si="19"/>
        <v>3007874.4781284612</v>
      </c>
      <c r="H116" s="163">
        <f t="shared" si="20"/>
        <v>485573.89738871099</v>
      </c>
      <c r="I116" s="253">
        <f t="shared" si="21"/>
        <v>485573.89738871099</v>
      </c>
      <c r="J116" s="158">
        <f t="shared" si="22"/>
        <v>0</v>
      </c>
      <c r="K116" s="158"/>
      <c r="L116" s="334"/>
      <c r="M116" s="158">
        <f t="shared" si="23"/>
        <v>0</v>
      </c>
      <c r="N116" s="334"/>
      <c r="O116" s="158">
        <f t="shared" si="24"/>
        <v>0</v>
      </c>
      <c r="P116" s="158">
        <f t="shared" si="25"/>
        <v>0</v>
      </c>
      <c r="Q116" s="1"/>
    </row>
    <row r="117" spans="2:17">
      <c r="B117" s="9" t="str">
        <f t="shared" si="16"/>
        <v/>
      </c>
      <c r="C117" s="153">
        <f>IF(D93="","-",+C116+1)</f>
        <v>2031</v>
      </c>
      <c r="D117" s="154">
        <f>IF(F116+SUM(E$99:E116)=D$92,F116,D$92-SUM(E$99:E116))</f>
        <v>2947772.9781284612</v>
      </c>
      <c r="E117" s="160">
        <f t="shared" si="17"/>
        <v>120203</v>
      </c>
      <c r="F117" s="159">
        <f t="shared" si="18"/>
        <v>2827569.9781284612</v>
      </c>
      <c r="G117" s="159">
        <f t="shared" si="19"/>
        <v>2887671.4781284612</v>
      </c>
      <c r="H117" s="163">
        <f t="shared" si="20"/>
        <v>470972.66376072331</v>
      </c>
      <c r="I117" s="253">
        <f t="shared" si="21"/>
        <v>470972.66376072331</v>
      </c>
      <c r="J117" s="158">
        <f t="shared" si="22"/>
        <v>0</v>
      </c>
      <c r="K117" s="158"/>
      <c r="L117" s="334"/>
      <c r="M117" s="158">
        <f t="shared" si="23"/>
        <v>0</v>
      </c>
      <c r="N117" s="334"/>
      <c r="O117" s="158">
        <f t="shared" si="24"/>
        <v>0</v>
      </c>
      <c r="P117" s="158">
        <f t="shared" si="25"/>
        <v>0</v>
      </c>
      <c r="Q117" s="1"/>
    </row>
    <row r="118" spans="2:17">
      <c r="B118" s="9" t="str">
        <f t="shared" si="16"/>
        <v/>
      </c>
      <c r="C118" s="153">
        <f>IF(D93="","-",+C117+1)</f>
        <v>2032</v>
      </c>
      <c r="D118" s="154">
        <f>IF(F117+SUM(E$99:E117)=D$92,F117,D$92-SUM(E$99:E117))</f>
        <v>2827569.9781284612</v>
      </c>
      <c r="E118" s="160">
        <f t="shared" si="17"/>
        <v>120203</v>
      </c>
      <c r="F118" s="159">
        <f t="shared" si="18"/>
        <v>2707366.9781284612</v>
      </c>
      <c r="G118" s="159">
        <f t="shared" si="19"/>
        <v>2767468.4781284612</v>
      </c>
      <c r="H118" s="163">
        <f t="shared" si="20"/>
        <v>456371.43013273558</v>
      </c>
      <c r="I118" s="253">
        <f t="shared" si="21"/>
        <v>456371.43013273558</v>
      </c>
      <c r="J118" s="158">
        <f t="shared" si="22"/>
        <v>0</v>
      </c>
      <c r="K118" s="158"/>
      <c r="L118" s="334"/>
      <c r="M118" s="158">
        <f t="shared" si="23"/>
        <v>0</v>
      </c>
      <c r="N118" s="334"/>
      <c r="O118" s="158">
        <f t="shared" si="24"/>
        <v>0</v>
      </c>
      <c r="P118" s="158">
        <f t="shared" si="25"/>
        <v>0</v>
      </c>
      <c r="Q118" s="1"/>
    </row>
    <row r="119" spans="2:17">
      <c r="B119" s="9" t="str">
        <f t="shared" si="16"/>
        <v/>
      </c>
      <c r="C119" s="153">
        <f>IF(D93="","-",+C118+1)</f>
        <v>2033</v>
      </c>
      <c r="D119" s="154">
        <f>IF(F118+SUM(E$99:E118)=D$92,F118,D$92-SUM(E$99:E118))</f>
        <v>2707366.9781284612</v>
      </c>
      <c r="E119" s="160">
        <f t="shared" si="17"/>
        <v>120203</v>
      </c>
      <c r="F119" s="159">
        <f t="shared" si="18"/>
        <v>2587163.9781284612</v>
      </c>
      <c r="G119" s="159">
        <f t="shared" si="19"/>
        <v>2647265.4781284612</v>
      </c>
      <c r="H119" s="163">
        <f t="shared" si="20"/>
        <v>441770.1965047479</v>
      </c>
      <c r="I119" s="253">
        <f t="shared" si="21"/>
        <v>441770.1965047479</v>
      </c>
      <c r="J119" s="158">
        <f t="shared" si="22"/>
        <v>0</v>
      </c>
      <c r="K119" s="158"/>
      <c r="L119" s="334"/>
      <c r="M119" s="158">
        <f t="shared" si="23"/>
        <v>0</v>
      </c>
      <c r="N119" s="334"/>
      <c r="O119" s="158">
        <f t="shared" si="24"/>
        <v>0</v>
      </c>
      <c r="P119" s="158">
        <f t="shared" si="25"/>
        <v>0</v>
      </c>
      <c r="Q119" s="1"/>
    </row>
    <row r="120" spans="2:17">
      <c r="B120" s="9" t="str">
        <f t="shared" si="16"/>
        <v/>
      </c>
      <c r="C120" s="153">
        <f>IF(D93="","-",+C119+1)</f>
        <v>2034</v>
      </c>
      <c r="D120" s="154">
        <f>IF(F119+SUM(E$99:E119)=D$92,F119,D$92-SUM(E$99:E119))</f>
        <v>2587163.9781284612</v>
      </c>
      <c r="E120" s="160">
        <f t="shared" si="17"/>
        <v>120203</v>
      </c>
      <c r="F120" s="159">
        <f t="shared" si="18"/>
        <v>2466960.9781284612</v>
      </c>
      <c r="G120" s="159">
        <f t="shared" si="19"/>
        <v>2527062.4781284612</v>
      </c>
      <c r="H120" s="163">
        <f t="shared" si="20"/>
        <v>427168.96287676023</v>
      </c>
      <c r="I120" s="253">
        <f t="shared" si="21"/>
        <v>427168.96287676023</v>
      </c>
      <c r="J120" s="158">
        <f t="shared" si="22"/>
        <v>0</v>
      </c>
      <c r="K120" s="158"/>
      <c r="L120" s="334"/>
      <c r="M120" s="158">
        <f t="shared" si="23"/>
        <v>0</v>
      </c>
      <c r="N120" s="334"/>
      <c r="O120" s="158">
        <f t="shared" si="24"/>
        <v>0</v>
      </c>
      <c r="P120" s="158">
        <f t="shared" si="25"/>
        <v>0</v>
      </c>
      <c r="Q120" s="1"/>
    </row>
    <row r="121" spans="2:17">
      <c r="B121" s="9" t="str">
        <f t="shared" si="16"/>
        <v/>
      </c>
      <c r="C121" s="153">
        <f>IF(D93="","-",+C120+1)</f>
        <v>2035</v>
      </c>
      <c r="D121" s="154">
        <f>IF(F120+SUM(E$99:E120)=D$92,F120,D$92-SUM(E$99:E120))</f>
        <v>2466960.9781284612</v>
      </c>
      <c r="E121" s="160">
        <f t="shared" si="17"/>
        <v>120203</v>
      </c>
      <c r="F121" s="159">
        <f t="shared" si="18"/>
        <v>2346757.9781284612</v>
      </c>
      <c r="G121" s="159">
        <f t="shared" si="19"/>
        <v>2406859.4781284612</v>
      </c>
      <c r="H121" s="163">
        <f t="shared" si="20"/>
        <v>412567.72924877249</v>
      </c>
      <c r="I121" s="253">
        <f t="shared" si="21"/>
        <v>412567.72924877249</v>
      </c>
      <c r="J121" s="158">
        <f t="shared" si="22"/>
        <v>0</v>
      </c>
      <c r="K121" s="158"/>
      <c r="L121" s="334"/>
      <c r="M121" s="158">
        <f t="shared" si="23"/>
        <v>0</v>
      </c>
      <c r="N121" s="334"/>
      <c r="O121" s="158">
        <f t="shared" si="24"/>
        <v>0</v>
      </c>
      <c r="P121" s="158">
        <f t="shared" si="25"/>
        <v>0</v>
      </c>
      <c r="Q121" s="1"/>
    </row>
    <row r="122" spans="2:17">
      <c r="B122" s="9" t="str">
        <f t="shared" si="16"/>
        <v/>
      </c>
      <c r="C122" s="153">
        <f>IF(D93="","-",+C121+1)</f>
        <v>2036</v>
      </c>
      <c r="D122" s="154">
        <f>IF(F121+SUM(E$99:E121)=D$92,F121,D$92-SUM(E$99:E121))</f>
        <v>2346757.9781284612</v>
      </c>
      <c r="E122" s="160">
        <f t="shared" si="17"/>
        <v>120203</v>
      </c>
      <c r="F122" s="159">
        <f t="shared" si="18"/>
        <v>2226554.9781284612</v>
      </c>
      <c r="G122" s="159">
        <f t="shared" si="19"/>
        <v>2286656.4781284612</v>
      </c>
      <c r="H122" s="163">
        <f t="shared" si="20"/>
        <v>397966.49562078482</v>
      </c>
      <c r="I122" s="253">
        <f t="shared" si="21"/>
        <v>397966.49562078482</v>
      </c>
      <c r="J122" s="158">
        <f t="shared" si="22"/>
        <v>0</v>
      </c>
      <c r="K122" s="158"/>
      <c r="L122" s="334"/>
      <c r="M122" s="158">
        <f t="shared" si="23"/>
        <v>0</v>
      </c>
      <c r="N122" s="334"/>
      <c r="O122" s="158">
        <f t="shared" si="24"/>
        <v>0</v>
      </c>
      <c r="P122" s="158">
        <f t="shared" si="25"/>
        <v>0</v>
      </c>
      <c r="Q122" s="1"/>
    </row>
    <row r="123" spans="2:17">
      <c r="B123" s="9" t="str">
        <f t="shared" si="16"/>
        <v/>
      </c>
      <c r="C123" s="153">
        <f>IF(D93="","-",+C122+1)</f>
        <v>2037</v>
      </c>
      <c r="D123" s="154">
        <f>IF(F122+SUM(E$99:E122)=D$92,F122,D$92-SUM(E$99:E122))</f>
        <v>2226554.9781284612</v>
      </c>
      <c r="E123" s="160">
        <f t="shared" si="17"/>
        <v>120203</v>
      </c>
      <c r="F123" s="159">
        <f t="shared" si="18"/>
        <v>2106351.9781284612</v>
      </c>
      <c r="G123" s="159">
        <f t="shared" si="19"/>
        <v>2166453.4781284612</v>
      </c>
      <c r="H123" s="163">
        <f t="shared" si="20"/>
        <v>383365.26199279714</v>
      </c>
      <c r="I123" s="253">
        <f t="shared" si="21"/>
        <v>383365.26199279714</v>
      </c>
      <c r="J123" s="158">
        <f t="shared" si="22"/>
        <v>0</v>
      </c>
      <c r="K123" s="158"/>
      <c r="L123" s="334"/>
      <c r="M123" s="158">
        <f t="shared" si="23"/>
        <v>0</v>
      </c>
      <c r="N123" s="334"/>
      <c r="O123" s="158">
        <f t="shared" si="24"/>
        <v>0</v>
      </c>
      <c r="P123" s="158">
        <f t="shared" si="25"/>
        <v>0</v>
      </c>
      <c r="Q123" s="1"/>
    </row>
    <row r="124" spans="2:17">
      <c r="B124" s="9" t="str">
        <f t="shared" si="16"/>
        <v/>
      </c>
      <c r="C124" s="153">
        <f>IF(D93="","-",+C123+1)</f>
        <v>2038</v>
      </c>
      <c r="D124" s="154">
        <f>IF(F123+SUM(E$99:E123)=D$92,F123,D$92-SUM(E$99:E123))</f>
        <v>2106351.9781284612</v>
      </c>
      <c r="E124" s="160">
        <f t="shared" si="17"/>
        <v>120203</v>
      </c>
      <c r="F124" s="159">
        <f t="shared" si="18"/>
        <v>1986148.9781284612</v>
      </c>
      <c r="G124" s="159">
        <f t="shared" si="19"/>
        <v>2046250.4781284612</v>
      </c>
      <c r="H124" s="163">
        <f t="shared" si="20"/>
        <v>368764.02836480946</v>
      </c>
      <c r="I124" s="253">
        <f t="shared" si="21"/>
        <v>368764.02836480946</v>
      </c>
      <c r="J124" s="158">
        <f t="shared" si="22"/>
        <v>0</v>
      </c>
      <c r="K124" s="158"/>
      <c r="L124" s="334"/>
      <c r="M124" s="158">
        <f t="shared" si="23"/>
        <v>0</v>
      </c>
      <c r="N124" s="334"/>
      <c r="O124" s="158">
        <f t="shared" si="24"/>
        <v>0</v>
      </c>
      <c r="P124" s="158">
        <f t="shared" si="25"/>
        <v>0</v>
      </c>
      <c r="Q124" s="1"/>
    </row>
    <row r="125" spans="2:17">
      <c r="B125" s="9" t="str">
        <f t="shared" si="16"/>
        <v/>
      </c>
      <c r="C125" s="153">
        <f>IF(D93="","-",+C124+1)</f>
        <v>2039</v>
      </c>
      <c r="D125" s="154">
        <f>IF(F124+SUM(E$99:E124)=D$92,F124,D$92-SUM(E$99:E124))</f>
        <v>1986148.9781284612</v>
      </c>
      <c r="E125" s="160">
        <f t="shared" si="17"/>
        <v>120203</v>
      </c>
      <c r="F125" s="159">
        <f t="shared" si="18"/>
        <v>1865945.9781284612</v>
      </c>
      <c r="G125" s="159">
        <f t="shared" si="19"/>
        <v>1926047.4781284612</v>
      </c>
      <c r="H125" s="163">
        <f t="shared" si="20"/>
        <v>354162.79473682173</v>
      </c>
      <c r="I125" s="253">
        <f t="shared" si="21"/>
        <v>354162.79473682173</v>
      </c>
      <c r="J125" s="158">
        <f t="shared" si="22"/>
        <v>0</v>
      </c>
      <c r="K125" s="158"/>
      <c r="L125" s="334"/>
      <c r="M125" s="158">
        <f t="shared" si="23"/>
        <v>0</v>
      </c>
      <c r="N125" s="334"/>
      <c r="O125" s="158">
        <f t="shared" si="24"/>
        <v>0</v>
      </c>
      <c r="P125" s="158">
        <f t="shared" si="25"/>
        <v>0</v>
      </c>
      <c r="Q125" s="1"/>
    </row>
    <row r="126" spans="2:17">
      <c r="B126" s="9" t="str">
        <f t="shared" si="16"/>
        <v/>
      </c>
      <c r="C126" s="153">
        <f>IF(D93="","-",+C125+1)</f>
        <v>2040</v>
      </c>
      <c r="D126" s="154">
        <f>IF(F125+SUM(E$99:E125)=D$92,F125,D$92-SUM(E$99:E125))</f>
        <v>1865945.9781284612</v>
      </c>
      <c r="E126" s="160">
        <f t="shared" si="17"/>
        <v>120203</v>
      </c>
      <c r="F126" s="159">
        <f t="shared" si="18"/>
        <v>1745742.9781284612</v>
      </c>
      <c r="G126" s="159">
        <f t="shared" si="19"/>
        <v>1805844.4781284612</v>
      </c>
      <c r="H126" s="163">
        <f t="shared" si="20"/>
        <v>339561.56110883399</v>
      </c>
      <c r="I126" s="253">
        <f t="shared" si="21"/>
        <v>339561.56110883399</v>
      </c>
      <c r="J126" s="158">
        <f t="shared" si="22"/>
        <v>0</v>
      </c>
      <c r="K126" s="158"/>
      <c r="L126" s="334"/>
      <c r="M126" s="158">
        <f t="shared" si="23"/>
        <v>0</v>
      </c>
      <c r="N126" s="334"/>
      <c r="O126" s="158">
        <f t="shared" si="24"/>
        <v>0</v>
      </c>
      <c r="P126" s="158">
        <f t="shared" si="25"/>
        <v>0</v>
      </c>
      <c r="Q126" s="1"/>
    </row>
    <row r="127" spans="2:17">
      <c r="B127" s="9" t="str">
        <f t="shared" si="16"/>
        <v/>
      </c>
      <c r="C127" s="153">
        <f>IF(D93="","-",+C126+1)</f>
        <v>2041</v>
      </c>
      <c r="D127" s="154">
        <f>IF(F126+SUM(E$99:E126)=D$92,F126,D$92-SUM(E$99:E126))</f>
        <v>1745742.9781284612</v>
      </c>
      <c r="E127" s="160">
        <f t="shared" si="17"/>
        <v>120203</v>
      </c>
      <c r="F127" s="159">
        <f t="shared" si="18"/>
        <v>1625539.9781284612</v>
      </c>
      <c r="G127" s="159">
        <f t="shared" si="19"/>
        <v>1685641.4781284612</v>
      </c>
      <c r="H127" s="163">
        <f t="shared" si="20"/>
        <v>324960.32748084632</v>
      </c>
      <c r="I127" s="253">
        <f t="shared" si="21"/>
        <v>324960.32748084632</v>
      </c>
      <c r="J127" s="158">
        <f t="shared" si="22"/>
        <v>0</v>
      </c>
      <c r="K127" s="158"/>
      <c r="L127" s="334"/>
      <c r="M127" s="158">
        <f t="shared" si="23"/>
        <v>0</v>
      </c>
      <c r="N127" s="334"/>
      <c r="O127" s="158">
        <f t="shared" si="24"/>
        <v>0</v>
      </c>
      <c r="P127" s="158">
        <f t="shared" si="25"/>
        <v>0</v>
      </c>
      <c r="Q127" s="1"/>
    </row>
    <row r="128" spans="2:17">
      <c r="B128" s="9" t="str">
        <f t="shared" si="16"/>
        <v/>
      </c>
      <c r="C128" s="153">
        <f>IF(D93="","-",+C127+1)</f>
        <v>2042</v>
      </c>
      <c r="D128" s="154">
        <f>IF(F127+SUM(E$99:E127)=D$92,F127,D$92-SUM(E$99:E127))</f>
        <v>1625539.9781284612</v>
      </c>
      <c r="E128" s="160">
        <f t="shared" si="17"/>
        <v>120203</v>
      </c>
      <c r="F128" s="159">
        <f t="shared" si="18"/>
        <v>1505336.9781284612</v>
      </c>
      <c r="G128" s="159">
        <f t="shared" si="19"/>
        <v>1565438.4781284612</v>
      </c>
      <c r="H128" s="163">
        <f t="shared" si="20"/>
        <v>310359.09385285864</v>
      </c>
      <c r="I128" s="253">
        <f t="shared" si="21"/>
        <v>310359.09385285864</v>
      </c>
      <c r="J128" s="158">
        <f t="shared" si="22"/>
        <v>0</v>
      </c>
      <c r="K128" s="158"/>
      <c r="L128" s="334"/>
      <c r="M128" s="158">
        <f t="shared" si="23"/>
        <v>0</v>
      </c>
      <c r="N128" s="334"/>
      <c r="O128" s="158">
        <f t="shared" si="24"/>
        <v>0</v>
      </c>
      <c r="P128" s="158">
        <f t="shared" si="25"/>
        <v>0</v>
      </c>
      <c r="Q128" s="1"/>
    </row>
    <row r="129" spans="2:17">
      <c r="B129" s="9" t="str">
        <f t="shared" si="16"/>
        <v/>
      </c>
      <c r="C129" s="153">
        <f>IF(D93="","-",+C128+1)</f>
        <v>2043</v>
      </c>
      <c r="D129" s="154">
        <f>IF(F128+SUM(E$99:E128)=D$92,F128,D$92-SUM(E$99:E128))</f>
        <v>1505336.9781284612</v>
      </c>
      <c r="E129" s="160">
        <f t="shared" si="17"/>
        <v>120203</v>
      </c>
      <c r="F129" s="159">
        <f t="shared" si="18"/>
        <v>1385133.9781284612</v>
      </c>
      <c r="G129" s="159">
        <f t="shared" si="19"/>
        <v>1445235.4781284612</v>
      </c>
      <c r="H129" s="163">
        <f t="shared" si="20"/>
        <v>295757.86022487096</v>
      </c>
      <c r="I129" s="253">
        <f t="shared" si="21"/>
        <v>295757.86022487096</v>
      </c>
      <c r="J129" s="158">
        <f t="shared" si="22"/>
        <v>0</v>
      </c>
      <c r="K129" s="158"/>
      <c r="L129" s="334"/>
      <c r="M129" s="158">
        <f t="shared" si="23"/>
        <v>0</v>
      </c>
      <c r="N129" s="334"/>
      <c r="O129" s="158">
        <f t="shared" si="24"/>
        <v>0</v>
      </c>
      <c r="P129" s="158">
        <f t="shared" si="25"/>
        <v>0</v>
      </c>
      <c r="Q129" s="1"/>
    </row>
    <row r="130" spans="2:17">
      <c r="B130" s="9" t="str">
        <f t="shared" si="16"/>
        <v/>
      </c>
      <c r="C130" s="153">
        <f>IF(D93="","-",+C129+1)</f>
        <v>2044</v>
      </c>
      <c r="D130" s="154">
        <f>IF(F129+SUM(E$99:E129)=D$92,F129,D$92-SUM(E$99:E129))</f>
        <v>1385133.9781284612</v>
      </c>
      <c r="E130" s="160">
        <f t="shared" si="17"/>
        <v>120203</v>
      </c>
      <c r="F130" s="159">
        <f t="shared" si="18"/>
        <v>1264930.9781284612</v>
      </c>
      <c r="G130" s="159">
        <f t="shared" si="19"/>
        <v>1325032.4781284612</v>
      </c>
      <c r="H130" s="163">
        <f t="shared" si="20"/>
        <v>281156.62659688329</v>
      </c>
      <c r="I130" s="253">
        <f t="shared" si="21"/>
        <v>281156.62659688329</v>
      </c>
      <c r="J130" s="158">
        <f t="shared" si="22"/>
        <v>0</v>
      </c>
      <c r="K130" s="158"/>
      <c r="L130" s="334"/>
      <c r="M130" s="158">
        <f t="shared" si="23"/>
        <v>0</v>
      </c>
      <c r="N130" s="334"/>
      <c r="O130" s="158">
        <f t="shared" si="24"/>
        <v>0</v>
      </c>
      <c r="P130" s="158">
        <f t="shared" si="25"/>
        <v>0</v>
      </c>
      <c r="Q130" s="1"/>
    </row>
    <row r="131" spans="2:17">
      <c r="B131" s="9" t="str">
        <f t="shared" si="16"/>
        <v/>
      </c>
      <c r="C131" s="153">
        <f>IF(D93="","-",+C130+1)</f>
        <v>2045</v>
      </c>
      <c r="D131" s="154">
        <f>IF(F130+SUM(E$99:E130)=D$92,F130,D$92-SUM(E$99:E130))</f>
        <v>1264930.9781284612</v>
      </c>
      <c r="E131" s="160">
        <f t="shared" si="17"/>
        <v>120203</v>
      </c>
      <c r="F131" s="159">
        <f t="shared" si="18"/>
        <v>1144727.9781284612</v>
      </c>
      <c r="G131" s="159">
        <f t="shared" si="19"/>
        <v>1204829.4781284612</v>
      </c>
      <c r="H131" s="163">
        <f t="shared" si="20"/>
        <v>266555.39296889555</v>
      </c>
      <c r="I131" s="253">
        <f t="shared" si="21"/>
        <v>266555.39296889555</v>
      </c>
      <c r="J131" s="158">
        <f t="shared" si="22"/>
        <v>0</v>
      </c>
      <c r="K131" s="158"/>
      <c r="L131" s="334"/>
      <c r="M131" s="158">
        <f t="shared" ref="M131:M154" si="26">IF(L541&lt;&gt;0,+H541-L541,0)</f>
        <v>0</v>
      </c>
      <c r="N131" s="334"/>
      <c r="O131" s="158">
        <f t="shared" ref="O131:O154" si="27">IF(N541&lt;&gt;0,+I541-N541,0)</f>
        <v>0</v>
      </c>
      <c r="P131" s="158">
        <f t="shared" ref="P131:P154" si="28">+O541-M541</f>
        <v>0</v>
      </c>
      <c r="Q131" s="1"/>
    </row>
    <row r="132" spans="2:17">
      <c r="B132" s="9" t="str">
        <f t="shared" si="16"/>
        <v/>
      </c>
      <c r="C132" s="153">
        <f>IF(D93="","-",+C131+1)</f>
        <v>2046</v>
      </c>
      <c r="D132" s="154">
        <f>IF(F131+SUM(E$99:E131)=D$92,F131,D$92-SUM(E$99:E131))</f>
        <v>1144727.9781284612</v>
      </c>
      <c r="E132" s="160">
        <f t="shared" si="17"/>
        <v>120203</v>
      </c>
      <c r="F132" s="159">
        <f t="shared" si="18"/>
        <v>1024524.9781284612</v>
      </c>
      <c r="G132" s="159">
        <f t="shared" si="19"/>
        <v>1084626.4781284612</v>
      </c>
      <c r="H132" s="163">
        <f t="shared" si="20"/>
        <v>251954.15934090785</v>
      </c>
      <c r="I132" s="253">
        <f t="shared" si="21"/>
        <v>251954.15934090785</v>
      </c>
      <c r="J132" s="158">
        <f t="shared" si="22"/>
        <v>0</v>
      </c>
      <c r="K132" s="158"/>
      <c r="L132" s="334"/>
      <c r="M132" s="158">
        <f t="shared" si="26"/>
        <v>0</v>
      </c>
      <c r="N132" s="334"/>
      <c r="O132" s="158">
        <f t="shared" si="27"/>
        <v>0</v>
      </c>
      <c r="P132" s="158">
        <f t="shared" si="28"/>
        <v>0</v>
      </c>
      <c r="Q132" s="1"/>
    </row>
    <row r="133" spans="2:17">
      <c r="B133" s="9" t="str">
        <f t="shared" si="16"/>
        <v/>
      </c>
      <c r="C133" s="153">
        <f>IF(D93="","-",+C132+1)</f>
        <v>2047</v>
      </c>
      <c r="D133" s="154">
        <f>IF(F132+SUM(E$99:E132)=D$92,F132,D$92-SUM(E$99:E132))</f>
        <v>1024524.9781284612</v>
      </c>
      <c r="E133" s="160">
        <f t="shared" si="17"/>
        <v>120203</v>
      </c>
      <c r="F133" s="159">
        <f t="shared" si="18"/>
        <v>904321.97812846117</v>
      </c>
      <c r="G133" s="159">
        <f t="shared" si="19"/>
        <v>964423.47812846117</v>
      </c>
      <c r="H133" s="163">
        <f t="shared" si="20"/>
        <v>237352.92571292014</v>
      </c>
      <c r="I133" s="253">
        <f t="shared" si="21"/>
        <v>237352.92571292014</v>
      </c>
      <c r="J133" s="158">
        <f t="shared" si="22"/>
        <v>0</v>
      </c>
      <c r="K133" s="158"/>
      <c r="L133" s="334"/>
      <c r="M133" s="158">
        <f t="shared" si="26"/>
        <v>0</v>
      </c>
      <c r="N133" s="334"/>
      <c r="O133" s="158">
        <f t="shared" si="27"/>
        <v>0</v>
      </c>
      <c r="P133" s="158">
        <f t="shared" si="28"/>
        <v>0</v>
      </c>
      <c r="Q133" s="1"/>
    </row>
    <row r="134" spans="2:17">
      <c r="B134" s="9" t="str">
        <f t="shared" si="16"/>
        <v/>
      </c>
      <c r="C134" s="153">
        <f>IF(D93="","-",+C133+1)</f>
        <v>2048</v>
      </c>
      <c r="D134" s="154">
        <f>IF(F133+SUM(E$99:E133)=D$92,F133,D$92-SUM(E$99:E133))</f>
        <v>904321.97812846117</v>
      </c>
      <c r="E134" s="160">
        <f t="shared" si="17"/>
        <v>120203</v>
      </c>
      <c r="F134" s="159">
        <f t="shared" si="18"/>
        <v>784118.97812846117</v>
      </c>
      <c r="G134" s="159">
        <f t="shared" si="19"/>
        <v>844220.47812846117</v>
      </c>
      <c r="H134" s="163">
        <f t="shared" si="20"/>
        <v>222751.69208493247</v>
      </c>
      <c r="I134" s="253">
        <f t="shared" si="21"/>
        <v>222751.69208493247</v>
      </c>
      <c r="J134" s="158">
        <f t="shared" si="22"/>
        <v>0</v>
      </c>
      <c r="K134" s="158"/>
      <c r="L134" s="334"/>
      <c r="M134" s="158">
        <f t="shared" si="26"/>
        <v>0</v>
      </c>
      <c r="N134" s="334"/>
      <c r="O134" s="158">
        <f t="shared" si="27"/>
        <v>0</v>
      </c>
      <c r="P134" s="158">
        <f t="shared" si="28"/>
        <v>0</v>
      </c>
      <c r="Q134" s="1"/>
    </row>
    <row r="135" spans="2:17">
      <c r="B135" s="9" t="str">
        <f t="shared" si="16"/>
        <v/>
      </c>
      <c r="C135" s="153">
        <f>IF(D93="","-",+C134+1)</f>
        <v>2049</v>
      </c>
      <c r="D135" s="154">
        <f>IF(F134+SUM(E$99:E134)=D$92,F134,D$92-SUM(E$99:E134))</f>
        <v>784118.97812846117</v>
      </c>
      <c r="E135" s="160">
        <f t="shared" si="17"/>
        <v>120203</v>
      </c>
      <c r="F135" s="159">
        <f t="shared" si="18"/>
        <v>663915.97812846117</v>
      </c>
      <c r="G135" s="159">
        <f t="shared" si="19"/>
        <v>724017.47812846117</v>
      </c>
      <c r="H135" s="163">
        <f t="shared" si="20"/>
        <v>208150.45845694479</v>
      </c>
      <c r="I135" s="253">
        <f t="shared" si="21"/>
        <v>208150.45845694479</v>
      </c>
      <c r="J135" s="158">
        <f t="shared" si="22"/>
        <v>0</v>
      </c>
      <c r="K135" s="158"/>
      <c r="L135" s="334"/>
      <c r="M135" s="158">
        <f t="shared" si="26"/>
        <v>0</v>
      </c>
      <c r="N135" s="334"/>
      <c r="O135" s="158">
        <f t="shared" si="27"/>
        <v>0</v>
      </c>
      <c r="P135" s="158">
        <f t="shared" si="28"/>
        <v>0</v>
      </c>
      <c r="Q135" s="1"/>
    </row>
    <row r="136" spans="2:17">
      <c r="B136" s="9" t="str">
        <f t="shared" si="16"/>
        <v/>
      </c>
      <c r="C136" s="153">
        <f>IF(D93="","-",+C135+1)</f>
        <v>2050</v>
      </c>
      <c r="D136" s="154">
        <f>IF(F135+SUM(E$99:E135)=D$92,F135,D$92-SUM(E$99:E135))</f>
        <v>663915.97812846117</v>
      </c>
      <c r="E136" s="160">
        <f t="shared" si="17"/>
        <v>120203</v>
      </c>
      <c r="F136" s="159">
        <f t="shared" si="18"/>
        <v>543712.97812846117</v>
      </c>
      <c r="G136" s="159">
        <f t="shared" si="19"/>
        <v>603814.47812846117</v>
      </c>
      <c r="H136" s="163">
        <f t="shared" si="20"/>
        <v>193549.22482895709</v>
      </c>
      <c r="I136" s="253">
        <f t="shared" si="21"/>
        <v>193549.22482895709</v>
      </c>
      <c r="J136" s="158">
        <f t="shared" si="22"/>
        <v>0</v>
      </c>
      <c r="K136" s="158"/>
      <c r="L136" s="334"/>
      <c r="M136" s="158">
        <f t="shared" si="26"/>
        <v>0</v>
      </c>
      <c r="N136" s="334"/>
      <c r="O136" s="158">
        <f t="shared" si="27"/>
        <v>0</v>
      </c>
      <c r="P136" s="158">
        <f t="shared" si="28"/>
        <v>0</v>
      </c>
      <c r="Q136" s="1"/>
    </row>
    <row r="137" spans="2:17">
      <c r="B137" s="9" t="str">
        <f t="shared" si="16"/>
        <v/>
      </c>
      <c r="C137" s="153">
        <f>IF(D93="","-",+C136+1)</f>
        <v>2051</v>
      </c>
      <c r="D137" s="154">
        <f>IF(F136+SUM(E$99:E136)=D$92,F136,D$92-SUM(E$99:E136))</f>
        <v>543712.97812846117</v>
      </c>
      <c r="E137" s="160">
        <f t="shared" si="17"/>
        <v>120203</v>
      </c>
      <c r="F137" s="159">
        <f t="shared" si="18"/>
        <v>423509.97812846117</v>
      </c>
      <c r="G137" s="159">
        <f t="shared" si="19"/>
        <v>483611.47812846117</v>
      </c>
      <c r="H137" s="163">
        <f t="shared" si="20"/>
        <v>178947.99120096938</v>
      </c>
      <c r="I137" s="253">
        <f t="shared" si="21"/>
        <v>178947.99120096938</v>
      </c>
      <c r="J137" s="158">
        <f t="shared" si="22"/>
        <v>0</v>
      </c>
      <c r="K137" s="158"/>
      <c r="L137" s="334"/>
      <c r="M137" s="158">
        <f t="shared" si="26"/>
        <v>0</v>
      </c>
      <c r="N137" s="334"/>
      <c r="O137" s="158">
        <f t="shared" si="27"/>
        <v>0</v>
      </c>
      <c r="P137" s="158">
        <f t="shared" si="28"/>
        <v>0</v>
      </c>
      <c r="Q137" s="1"/>
    </row>
    <row r="138" spans="2:17">
      <c r="B138" s="9" t="str">
        <f t="shared" si="16"/>
        <v/>
      </c>
      <c r="C138" s="153">
        <f>IF(D93="","-",+C137+1)</f>
        <v>2052</v>
      </c>
      <c r="D138" s="154">
        <f>IF(F137+SUM(E$99:E137)=D$92,F137,D$92-SUM(E$99:E137))</f>
        <v>423509.97812846117</v>
      </c>
      <c r="E138" s="160">
        <f t="shared" si="17"/>
        <v>120203</v>
      </c>
      <c r="F138" s="159">
        <f t="shared" si="18"/>
        <v>303306.97812846117</v>
      </c>
      <c r="G138" s="159">
        <f t="shared" si="19"/>
        <v>363408.47812846117</v>
      </c>
      <c r="H138" s="163">
        <f t="shared" si="20"/>
        <v>164346.7575729817</v>
      </c>
      <c r="I138" s="253">
        <f t="shared" si="21"/>
        <v>164346.7575729817</v>
      </c>
      <c r="J138" s="158">
        <f t="shared" si="22"/>
        <v>0</v>
      </c>
      <c r="K138" s="158"/>
      <c r="L138" s="334"/>
      <c r="M138" s="158">
        <f t="shared" si="26"/>
        <v>0</v>
      </c>
      <c r="N138" s="334"/>
      <c r="O138" s="158">
        <f t="shared" si="27"/>
        <v>0</v>
      </c>
      <c r="P138" s="158">
        <f t="shared" si="28"/>
        <v>0</v>
      </c>
      <c r="Q138" s="1"/>
    </row>
    <row r="139" spans="2:17">
      <c r="B139" s="9" t="str">
        <f t="shared" si="16"/>
        <v/>
      </c>
      <c r="C139" s="153">
        <f>IF(D93="","-",+C138+1)</f>
        <v>2053</v>
      </c>
      <c r="D139" s="154">
        <f>IF(F138+SUM(E$99:E138)=D$92,F138,D$92-SUM(E$99:E138))</f>
        <v>303306.97812846117</v>
      </c>
      <c r="E139" s="160">
        <f t="shared" si="17"/>
        <v>120203</v>
      </c>
      <c r="F139" s="159">
        <f t="shared" si="18"/>
        <v>183103.97812846117</v>
      </c>
      <c r="G139" s="159">
        <f t="shared" si="19"/>
        <v>243205.47812846117</v>
      </c>
      <c r="H139" s="163">
        <f t="shared" si="20"/>
        <v>149745.523944994</v>
      </c>
      <c r="I139" s="253">
        <f t="shared" si="21"/>
        <v>149745.523944994</v>
      </c>
      <c r="J139" s="158">
        <f t="shared" si="22"/>
        <v>0</v>
      </c>
      <c r="K139" s="158"/>
      <c r="L139" s="334"/>
      <c r="M139" s="158">
        <f t="shared" si="26"/>
        <v>0</v>
      </c>
      <c r="N139" s="334"/>
      <c r="O139" s="158">
        <f t="shared" si="27"/>
        <v>0</v>
      </c>
      <c r="P139" s="158">
        <f t="shared" si="28"/>
        <v>0</v>
      </c>
      <c r="Q139" s="1"/>
    </row>
    <row r="140" spans="2:17">
      <c r="B140" s="9" t="str">
        <f t="shared" si="16"/>
        <v/>
      </c>
      <c r="C140" s="153">
        <f>IF(D93="","-",+C139+1)</f>
        <v>2054</v>
      </c>
      <c r="D140" s="154">
        <f>IF(F139+SUM(E$99:E139)=D$92,F139,D$92-SUM(E$99:E139))</f>
        <v>183103.97812846117</v>
      </c>
      <c r="E140" s="160">
        <f t="shared" si="17"/>
        <v>120203</v>
      </c>
      <c r="F140" s="159">
        <f t="shared" si="18"/>
        <v>62900.978128461167</v>
      </c>
      <c r="G140" s="159">
        <f t="shared" si="19"/>
        <v>123002.47812846117</v>
      </c>
      <c r="H140" s="163">
        <f t="shared" si="20"/>
        <v>135144.29031700629</v>
      </c>
      <c r="I140" s="253">
        <f t="shared" si="21"/>
        <v>135144.29031700629</v>
      </c>
      <c r="J140" s="158">
        <f t="shared" si="22"/>
        <v>0</v>
      </c>
      <c r="K140" s="158"/>
      <c r="L140" s="334"/>
      <c r="M140" s="158">
        <f t="shared" si="26"/>
        <v>0</v>
      </c>
      <c r="N140" s="334"/>
      <c r="O140" s="158">
        <f t="shared" si="27"/>
        <v>0</v>
      </c>
      <c r="P140" s="158">
        <f t="shared" si="28"/>
        <v>0</v>
      </c>
      <c r="Q140" s="1"/>
    </row>
    <row r="141" spans="2:17">
      <c r="B141" s="9" t="str">
        <f t="shared" si="16"/>
        <v/>
      </c>
      <c r="C141" s="153">
        <f>IF(D93="","-",+C140+1)</f>
        <v>2055</v>
      </c>
      <c r="D141" s="154">
        <f>IF(F140+SUM(E$99:E140)=D$92,F140,D$92-SUM(E$99:E140))</f>
        <v>62900.978128461167</v>
      </c>
      <c r="E141" s="160">
        <f t="shared" si="17"/>
        <v>62900.978128461167</v>
      </c>
      <c r="F141" s="159">
        <f t="shared" si="18"/>
        <v>0</v>
      </c>
      <c r="G141" s="159">
        <f t="shared" si="19"/>
        <v>31450.489064230584</v>
      </c>
      <c r="H141" s="163">
        <f t="shared" si="20"/>
        <v>66721.314879967395</v>
      </c>
      <c r="I141" s="253">
        <f t="shared" si="21"/>
        <v>66721.314879967395</v>
      </c>
      <c r="J141" s="158">
        <f t="shared" si="22"/>
        <v>0</v>
      </c>
      <c r="K141" s="158"/>
      <c r="L141" s="334"/>
      <c r="M141" s="158">
        <f t="shared" si="26"/>
        <v>0</v>
      </c>
      <c r="N141" s="334"/>
      <c r="O141" s="158">
        <f t="shared" si="27"/>
        <v>0</v>
      </c>
      <c r="P141" s="158">
        <f t="shared" si="28"/>
        <v>0</v>
      </c>
      <c r="Q141" s="1"/>
    </row>
    <row r="142" spans="2:17">
      <c r="B142" s="9" t="str">
        <f t="shared" si="16"/>
        <v/>
      </c>
      <c r="C142" s="153">
        <f>IF(D93="","-",+C141+1)</f>
        <v>2056</v>
      </c>
      <c r="D142" s="154">
        <f>IF(F141+SUM(E$99:E141)=D$92,F141,D$92-SUM(E$99:E141))</f>
        <v>0</v>
      </c>
      <c r="E142" s="160">
        <f t="shared" si="17"/>
        <v>0</v>
      </c>
      <c r="F142" s="159">
        <f t="shared" si="18"/>
        <v>0</v>
      </c>
      <c r="G142" s="159">
        <f t="shared" si="19"/>
        <v>0</v>
      </c>
      <c r="H142" s="163">
        <f t="shared" si="20"/>
        <v>0</v>
      </c>
      <c r="I142" s="253">
        <f t="shared" si="21"/>
        <v>0</v>
      </c>
      <c r="J142" s="158">
        <f t="shared" si="22"/>
        <v>0</v>
      </c>
      <c r="K142" s="158"/>
      <c r="L142" s="334"/>
      <c r="M142" s="158">
        <f t="shared" si="26"/>
        <v>0</v>
      </c>
      <c r="N142" s="334"/>
      <c r="O142" s="158">
        <f t="shared" si="27"/>
        <v>0</v>
      </c>
      <c r="P142" s="158">
        <f t="shared" si="28"/>
        <v>0</v>
      </c>
      <c r="Q142" s="1"/>
    </row>
    <row r="143" spans="2:17">
      <c r="B143" s="9" t="str">
        <f t="shared" si="16"/>
        <v/>
      </c>
      <c r="C143" s="153">
        <f>IF(D93="","-",+C142+1)</f>
        <v>2057</v>
      </c>
      <c r="D143" s="154">
        <f>IF(F142+SUM(E$99:E142)=D$92,F142,D$92-SUM(E$99:E142))</f>
        <v>0</v>
      </c>
      <c r="E143" s="160">
        <f t="shared" si="17"/>
        <v>0</v>
      </c>
      <c r="F143" s="159">
        <f t="shared" si="18"/>
        <v>0</v>
      </c>
      <c r="G143" s="159">
        <f t="shared" si="19"/>
        <v>0</v>
      </c>
      <c r="H143" s="163">
        <f t="shared" si="20"/>
        <v>0</v>
      </c>
      <c r="I143" s="253">
        <f t="shared" si="21"/>
        <v>0</v>
      </c>
      <c r="J143" s="158">
        <f t="shared" si="22"/>
        <v>0</v>
      </c>
      <c r="K143" s="158"/>
      <c r="L143" s="334"/>
      <c r="M143" s="158">
        <f t="shared" si="26"/>
        <v>0</v>
      </c>
      <c r="N143" s="334"/>
      <c r="O143" s="158">
        <f t="shared" si="27"/>
        <v>0</v>
      </c>
      <c r="P143" s="158">
        <f t="shared" si="28"/>
        <v>0</v>
      </c>
      <c r="Q143" s="1"/>
    </row>
    <row r="144" spans="2:17">
      <c r="B144" s="9" t="str">
        <f t="shared" si="16"/>
        <v/>
      </c>
      <c r="C144" s="153">
        <f>IF(D93="","-",+C143+1)</f>
        <v>2058</v>
      </c>
      <c r="D144" s="154">
        <f>IF(F143+SUM(E$99:E143)=D$92,F143,D$92-SUM(E$99:E143))</f>
        <v>0</v>
      </c>
      <c r="E144" s="160">
        <f t="shared" si="17"/>
        <v>0</v>
      </c>
      <c r="F144" s="159">
        <f t="shared" si="18"/>
        <v>0</v>
      </c>
      <c r="G144" s="159">
        <f t="shared" si="19"/>
        <v>0</v>
      </c>
      <c r="H144" s="163">
        <f t="shared" si="20"/>
        <v>0</v>
      </c>
      <c r="I144" s="253">
        <f t="shared" si="21"/>
        <v>0</v>
      </c>
      <c r="J144" s="158">
        <f t="shared" si="22"/>
        <v>0</v>
      </c>
      <c r="K144" s="158"/>
      <c r="L144" s="334"/>
      <c r="M144" s="158">
        <f t="shared" si="26"/>
        <v>0</v>
      </c>
      <c r="N144" s="334"/>
      <c r="O144" s="158">
        <f t="shared" si="27"/>
        <v>0</v>
      </c>
      <c r="P144" s="158">
        <f t="shared" si="28"/>
        <v>0</v>
      </c>
      <c r="Q144" s="1"/>
    </row>
    <row r="145" spans="2:17">
      <c r="B145" s="9" t="str">
        <f t="shared" si="16"/>
        <v/>
      </c>
      <c r="C145" s="153">
        <f>IF(D93="","-",+C144+1)</f>
        <v>2059</v>
      </c>
      <c r="D145" s="154">
        <f>IF(F144+SUM(E$99:E144)=D$92,F144,D$92-SUM(E$99:E144))</f>
        <v>0</v>
      </c>
      <c r="E145" s="160">
        <f t="shared" si="17"/>
        <v>0</v>
      </c>
      <c r="F145" s="159">
        <f t="shared" si="18"/>
        <v>0</v>
      </c>
      <c r="G145" s="159">
        <f t="shared" si="19"/>
        <v>0</v>
      </c>
      <c r="H145" s="163">
        <f t="shared" si="20"/>
        <v>0</v>
      </c>
      <c r="I145" s="253">
        <f t="shared" si="21"/>
        <v>0</v>
      </c>
      <c r="J145" s="158">
        <f t="shared" si="22"/>
        <v>0</v>
      </c>
      <c r="K145" s="158"/>
      <c r="L145" s="334"/>
      <c r="M145" s="158">
        <f t="shared" si="26"/>
        <v>0</v>
      </c>
      <c r="N145" s="334"/>
      <c r="O145" s="158">
        <f t="shared" si="27"/>
        <v>0</v>
      </c>
      <c r="P145" s="158">
        <f t="shared" si="28"/>
        <v>0</v>
      </c>
      <c r="Q145" s="1"/>
    </row>
    <row r="146" spans="2:17">
      <c r="B146" s="9" t="str">
        <f t="shared" si="16"/>
        <v/>
      </c>
      <c r="C146" s="153">
        <f>IF(D93="","-",+C145+1)</f>
        <v>2060</v>
      </c>
      <c r="D146" s="154">
        <f>IF(F145+SUM(E$99:E145)=D$92,F145,D$92-SUM(E$99:E145))</f>
        <v>0</v>
      </c>
      <c r="E146" s="160">
        <f t="shared" si="17"/>
        <v>0</v>
      </c>
      <c r="F146" s="159">
        <f t="shared" si="18"/>
        <v>0</v>
      </c>
      <c r="G146" s="159">
        <f t="shared" si="19"/>
        <v>0</v>
      </c>
      <c r="H146" s="163">
        <f t="shared" si="20"/>
        <v>0</v>
      </c>
      <c r="I146" s="253">
        <f t="shared" si="21"/>
        <v>0</v>
      </c>
      <c r="J146" s="158">
        <f t="shared" si="22"/>
        <v>0</v>
      </c>
      <c r="K146" s="158"/>
      <c r="L146" s="334"/>
      <c r="M146" s="158">
        <f t="shared" si="26"/>
        <v>0</v>
      </c>
      <c r="N146" s="334"/>
      <c r="O146" s="158">
        <f t="shared" si="27"/>
        <v>0</v>
      </c>
      <c r="P146" s="158">
        <f t="shared" si="28"/>
        <v>0</v>
      </c>
      <c r="Q146" s="1"/>
    </row>
    <row r="147" spans="2:17">
      <c r="B147" s="9" t="str">
        <f t="shared" si="16"/>
        <v/>
      </c>
      <c r="C147" s="153">
        <f>IF(D93="","-",+C146+1)</f>
        <v>2061</v>
      </c>
      <c r="D147" s="154">
        <f>IF(F146+SUM(E$99:E146)=D$92,F146,D$92-SUM(E$99:E146))</f>
        <v>0</v>
      </c>
      <c r="E147" s="160">
        <f t="shared" si="17"/>
        <v>0</v>
      </c>
      <c r="F147" s="159">
        <f t="shared" si="18"/>
        <v>0</v>
      </c>
      <c r="G147" s="159">
        <f t="shared" si="19"/>
        <v>0</v>
      </c>
      <c r="H147" s="163">
        <f t="shared" si="20"/>
        <v>0</v>
      </c>
      <c r="I147" s="253">
        <f t="shared" si="21"/>
        <v>0</v>
      </c>
      <c r="J147" s="158">
        <f t="shared" si="22"/>
        <v>0</v>
      </c>
      <c r="K147" s="158"/>
      <c r="L147" s="334"/>
      <c r="M147" s="158">
        <f t="shared" si="26"/>
        <v>0</v>
      </c>
      <c r="N147" s="334"/>
      <c r="O147" s="158">
        <f t="shared" si="27"/>
        <v>0</v>
      </c>
      <c r="P147" s="158">
        <f t="shared" si="28"/>
        <v>0</v>
      </c>
      <c r="Q147" s="1"/>
    </row>
    <row r="148" spans="2:17">
      <c r="B148" s="9" t="str">
        <f t="shared" si="16"/>
        <v/>
      </c>
      <c r="C148" s="153">
        <f>IF(D93="","-",+C147+1)</f>
        <v>2062</v>
      </c>
      <c r="D148" s="154">
        <f>IF(F147+SUM(E$99:E147)=D$92,F147,D$92-SUM(E$99:E147))</f>
        <v>0</v>
      </c>
      <c r="E148" s="160">
        <f t="shared" si="17"/>
        <v>0</v>
      </c>
      <c r="F148" s="159">
        <f t="shared" si="18"/>
        <v>0</v>
      </c>
      <c r="G148" s="159">
        <f t="shared" si="19"/>
        <v>0</v>
      </c>
      <c r="H148" s="163">
        <f t="shared" si="20"/>
        <v>0</v>
      </c>
      <c r="I148" s="253">
        <f t="shared" si="21"/>
        <v>0</v>
      </c>
      <c r="J148" s="158">
        <f t="shared" si="22"/>
        <v>0</v>
      </c>
      <c r="K148" s="158"/>
      <c r="L148" s="334"/>
      <c r="M148" s="158">
        <f t="shared" si="26"/>
        <v>0</v>
      </c>
      <c r="N148" s="334"/>
      <c r="O148" s="158">
        <f t="shared" si="27"/>
        <v>0</v>
      </c>
      <c r="P148" s="158">
        <f t="shared" si="28"/>
        <v>0</v>
      </c>
      <c r="Q148" s="1"/>
    </row>
    <row r="149" spans="2:17">
      <c r="B149" s="9" t="str">
        <f t="shared" si="16"/>
        <v/>
      </c>
      <c r="C149" s="153">
        <f>IF(D93="","-",+C148+1)</f>
        <v>2063</v>
      </c>
      <c r="D149" s="154">
        <f>IF(F148+SUM(E$99:E148)=D$92,F148,D$92-SUM(E$99:E148))</f>
        <v>0</v>
      </c>
      <c r="E149" s="160">
        <f t="shared" si="17"/>
        <v>0</v>
      </c>
      <c r="F149" s="159">
        <f t="shared" si="18"/>
        <v>0</v>
      </c>
      <c r="G149" s="159">
        <f t="shared" si="19"/>
        <v>0</v>
      </c>
      <c r="H149" s="163">
        <f t="shared" si="20"/>
        <v>0</v>
      </c>
      <c r="I149" s="253">
        <f t="shared" si="21"/>
        <v>0</v>
      </c>
      <c r="J149" s="158">
        <f t="shared" si="22"/>
        <v>0</v>
      </c>
      <c r="K149" s="158"/>
      <c r="L149" s="334"/>
      <c r="M149" s="158">
        <f t="shared" si="26"/>
        <v>0</v>
      </c>
      <c r="N149" s="334"/>
      <c r="O149" s="158">
        <f t="shared" si="27"/>
        <v>0</v>
      </c>
      <c r="P149" s="158">
        <f t="shared" si="28"/>
        <v>0</v>
      </c>
      <c r="Q149" s="1"/>
    </row>
    <row r="150" spans="2:17">
      <c r="B150" s="9" t="str">
        <f t="shared" si="16"/>
        <v/>
      </c>
      <c r="C150" s="153">
        <f>IF(D93="","-",+C149+1)</f>
        <v>2064</v>
      </c>
      <c r="D150" s="154">
        <f>IF(F149+SUM(E$99:E149)=D$92,F149,D$92-SUM(E$99:E149))</f>
        <v>0</v>
      </c>
      <c r="E150" s="160">
        <f t="shared" si="17"/>
        <v>0</v>
      </c>
      <c r="F150" s="159">
        <f t="shared" si="18"/>
        <v>0</v>
      </c>
      <c r="G150" s="159">
        <f t="shared" si="19"/>
        <v>0</v>
      </c>
      <c r="H150" s="163">
        <f t="shared" si="20"/>
        <v>0</v>
      </c>
      <c r="I150" s="253">
        <f t="shared" si="21"/>
        <v>0</v>
      </c>
      <c r="J150" s="158">
        <f t="shared" si="22"/>
        <v>0</v>
      </c>
      <c r="K150" s="158"/>
      <c r="L150" s="334"/>
      <c r="M150" s="158">
        <f t="shared" si="26"/>
        <v>0</v>
      </c>
      <c r="N150" s="334"/>
      <c r="O150" s="158">
        <f t="shared" si="27"/>
        <v>0</v>
      </c>
      <c r="P150" s="158">
        <f t="shared" si="28"/>
        <v>0</v>
      </c>
      <c r="Q150" s="1"/>
    </row>
    <row r="151" spans="2:17">
      <c r="B151" s="9" t="str">
        <f t="shared" si="16"/>
        <v/>
      </c>
      <c r="C151" s="153">
        <f>IF(D93="","-",+C150+1)</f>
        <v>2065</v>
      </c>
      <c r="D151" s="154">
        <f>IF(F150+SUM(E$99:E150)=D$92,F150,D$92-SUM(E$99:E150))</f>
        <v>0</v>
      </c>
      <c r="E151" s="160">
        <f t="shared" si="17"/>
        <v>0</v>
      </c>
      <c r="F151" s="159">
        <f t="shared" si="18"/>
        <v>0</v>
      </c>
      <c r="G151" s="159">
        <f t="shared" si="19"/>
        <v>0</v>
      </c>
      <c r="H151" s="163">
        <f t="shared" si="20"/>
        <v>0</v>
      </c>
      <c r="I151" s="253">
        <f t="shared" si="21"/>
        <v>0</v>
      </c>
      <c r="J151" s="158">
        <f t="shared" si="22"/>
        <v>0</v>
      </c>
      <c r="K151" s="158"/>
      <c r="L151" s="334"/>
      <c r="M151" s="158">
        <f t="shared" si="26"/>
        <v>0</v>
      </c>
      <c r="N151" s="334"/>
      <c r="O151" s="158">
        <f t="shared" si="27"/>
        <v>0</v>
      </c>
      <c r="P151" s="158">
        <f t="shared" si="28"/>
        <v>0</v>
      </c>
      <c r="Q151" s="1"/>
    </row>
    <row r="152" spans="2:17">
      <c r="B152" s="9" t="str">
        <f t="shared" si="16"/>
        <v/>
      </c>
      <c r="C152" s="153">
        <f>IF(D93="","-",+C151+1)</f>
        <v>2066</v>
      </c>
      <c r="D152" s="154">
        <f>IF(F151+SUM(E$99:E151)=D$92,F151,D$92-SUM(E$99:E151))</f>
        <v>0</v>
      </c>
      <c r="E152" s="160">
        <f t="shared" si="17"/>
        <v>0</v>
      </c>
      <c r="F152" s="159">
        <f t="shared" si="18"/>
        <v>0</v>
      </c>
      <c r="G152" s="159">
        <f t="shared" si="19"/>
        <v>0</v>
      </c>
      <c r="H152" s="163">
        <f t="shared" si="20"/>
        <v>0</v>
      </c>
      <c r="I152" s="253">
        <f t="shared" si="21"/>
        <v>0</v>
      </c>
      <c r="J152" s="158">
        <f t="shared" si="22"/>
        <v>0</v>
      </c>
      <c r="K152" s="158"/>
      <c r="L152" s="334"/>
      <c r="M152" s="158">
        <f t="shared" si="26"/>
        <v>0</v>
      </c>
      <c r="N152" s="334"/>
      <c r="O152" s="158">
        <f t="shared" si="27"/>
        <v>0</v>
      </c>
      <c r="P152" s="158">
        <f t="shared" si="28"/>
        <v>0</v>
      </c>
      <c r="Q152" s="1"/>
    </row>
    <row r="153" spans="2:17">
      <c r="B153" s="9" t="str">
        <f t="shared" si="16"/>
        <v/>
      </c>
      <c r="C153" s="153">
        <f>IF(D93="","-",+C152+1)</f>
        <v>2067</v>
      </c>
      <c r="D153" s="154">
        <f>IF(F152+SUM(E$99:E152)=D$92,F152,D$92-SUM(E$99:E152))</f>
        <v>0</v>
      </c>
      <c r="E153" s="160">
        <f t="shared" si="17"/>
        <v>0</v>
      </c>
      <c r="F153" s="159">
        <f t="shared" si="18"/>
        <v>0</v>
      </c>
      <c r="G153" s="159">
        <f t="shared" si="19"/>
        <v>0</v>
      </c>
      <c r="H153" s="163">
        <f t="shared" si="20"/>
        <v>0</v>
      </c>
      <c r="I153" s="253">
        <f t="shared" si="21"/>
        <v>0</v>
      </c>
      <c r="J153" s="158">
        <f t="shared" si="22"/>
        <v>0</v>
      </c>
      <c r="K153" s="158"/>
      <c r="L153" s="334"/>
      <c r="M153" s="158">
        <f t="shared" si="26"/>
        <v>0</v>
      </c>
      <c r="N153" s="334"/>
      <c r="O153" s="158">
        <f t="shared" si="27"/>
        <v>0</v>
      </c>
      <c r="P153" s="158">
        <f t="shared" si="28"/>
        <v>0</v>
      </c>
      <c r="Q153" s="1"/>
    </row>
    <row r="154" spans="2:17" ht="13.5" thickBot="1">
      <c r="B154" s="9" t="str">
        <f t="shared" si="16"/>
        <v/>
      </c>
      <c r="C154" s="164">
        <f>IF(D93="","-",+C153+1)</f>
        <v>2068</v>
      </c>
      <c r="D154" s="154">
        <f>IF(F153+SUM(E$99:E153)=D$92,F153,D$92-SUM(E$99:E153))</f>
        <v>0</v>
      </c>
      <c r="E154" s="160">
        <f t="shared" si="17"/>
        <v>0</v>
      </c>
      <c r="F154" s="159">
        <f t="shared" si="18"/>
        <v>0</v>
      </c>
      <c r="G154" s="159">
        <f t="shared" si="19"/>
        <v>0</v>
      </c>
      <c r="H154" s="163">
        <f t="shared" si="20"/>
        <v>0</v>
      </c>
      <c r="I154" s="253">
        <f t="shared" si="21"/>
        <v>0</v>
      </c>
      <c r="J154" s="158">
        <f t="shared" si="22"/>
        <v>0</v>
      </c>
      <c r="K154" s="158"/>
      <c r="L154" s="335"/>
      <c r="M154" s="169">
        <f t="shared" si="26"/>
        <v>0</v>
      </c>
      <c r="N154" s="335"/>
      <c r="O154" s="169">
        <f t="shared" si="27"/>
        <v>0</v>
      </c>
      <c r="P154" s="169">
        <f t="shared" si="28"/>
        <v>0</v>
      </c>
      <c r="Q154" s="1"/>
    </row>
    <row r="155" spans="2:17">
      <c r="C155" s="154" t="s">
        <v>73</v>
      </c>
      <c r="D155" s="111"/>
      <c r="E155" s="111">
        <f>SUM(E99:E154)</f>
        <v>5048526</v>
      </c>
      <c r="F155" s="111"/>
      <c r="G155" s="111"/>
      <c r="H155" s="111">
        <f>SUM(H99:H154)</f>
        <v>18120905.027543031</v>
      </c>
      <c r="I155" s="111">
        <f>SUM(I99:I154)</f>
        <v>18120905.027543031</v>
      </c>
      <c r="J155" s="111">
        <f>SUM(J99:J154)</f>
        <v>0</v>
      </c>
      <c r="K155" s="111"/>
      <c r="L155" s="111"/>
      <c r="M155" s="111"/>
      <c r="N155" s="111"/>
      <c r="O155" s="111"/>
      <c r="P155" s="1"/>
      <c r="Q155" s="1"/>
    </row>
    <row r="156" spans="2:17">
      <c r="C156" t="s">
        <v>87</v>
      </c>
      <c r="D156" s="2"/>
      <c r="E156" s="1"/>
      <c r="F156" s="1"/>
      <c r="G156" s="1"/>
      <c r="H156" s="1"/>
      <c r="I156" s="3"/>
      <c r="J156" s="3"/>
      <c r="K156" s="111"/>
      <c r="L156" s="3"/>
      <c r="M156" s="3"/>
      <c r="N156" s="3"/>
      <c r="O156" s="3"/>
      <c r="P156" s="1"/>
      <c r="Q156" s="1"/>
    </row>
    <row r="157" spans="2:17">
      <c r="C157" s="216"/>
      <c r="D157" s="2"/>
      <c r="E157" s="1"/>
      <c r="F157" s="1"/>
      <c r="G157" s="1"/>
      <c r="H157" s="1"/>
      <c r="I157" s="3"/>
      <c r="J157" s="3"/>
      <c r="K157" s="111"/>
      <c r="L157" s="3"/>
      <c r="M157" s="3"/>
      <c r="N157" s="3"/>
      <c r="O157" s="3"/>
      <c r="P157" s="1"/>
      <c r="Q157" s="1"/>
    </row>
    <row r="158" spans="2:17">
      <c r="C158" s="248" t="s">
        <v>127</v>
      </c>
      <c r="D158" s="2"/>
      <c r="E158" s="1"/>
      <c r="F158" s="1"/>
      <c r="G158" s="1"/>
      <c r="H158" s="1"/>
      <c r="I158" s="3"/>
      <c r="J158" s="3"/>
      <c r="K158" s="111"/>
      <c r="L158" s="3"/>
      <c r="M158" s="3"/>
      <c r="N158" s="3"/>
      <c r="O158" s="3"/>
      <c r="P158" s="1"/>
      <c r="Q158" s="1"/>
    </row>
    <row r="159" spans="2:17">
      <c r="C159" s="121" t="s">
        <v>74</v>
      </c>
      <c r="D159" s="154"/>
      <c r="E159" s="154"/>
      <c r="F159" s="154"/>
      <c r="G159" s="154"/>
      <c r="H159" s="111"/>
      <c r="I159" s="111"/>
      <c r="J159" s="171"/>
      <c r="K159" s="171"/>
      <c r="L159" s="171"/>
      <c r="M159" s="171"/>
      <c r="N159" s="171"/>
      <c r="O159" s="171"/>
      <c r="P159" s="1"/>
      <c r="Q159" s="1"/>
    </row>
    <row r="160" spans="2:17">
      <c r="C160" s="217" t="s">
        <v>75</v>
      </c>
      <c r="D160" s="154"/>
      <c r="E160" s="154"/>
      <c r="F160" s="154"/>
      <c r="G160" s="154"/>
      <c r="H160" s="111"/>
      <c r="I160" s="111"/>
      <c r="J160" s="171"/>
      <c r="K160" s="171"/>
      <c r="L160" s="171"/>
      <c r="M160" s="171"/>
      <c r="N160" s="171"/>
      <c r="O160" s="171"/>
      <c r="P160" s="1"/>
      <c r="Q160" s="1"/>
    </row>
    <row r="161" spans="3:17">
      <c r="C161" s="217"/>
      <c r="D161" s="154"/>
      <c r="E161" s="154"/>
      <c r="F161" s="154"/>
      <c r="G161" s="154"/>
      <c r="H161" s="111"/>
      <c r="I161" s="111"/>
      <c r="J161" s="171"/>
      <c r="K161" s="171"/>
      <c r="L161" s="171"/>
      <c r="M161" s="171"/>
      <c r="N161" s="171"/>
      <c r="O161" s="171"/>
      <c r="P161" s="1"/>
      <c r="Q161" s="1"/>
    </row>
    <row r="162" spans="3:17" ht="18">
      <c r="C162" s="217"/>
      <c r="D162" s="154"/>
      <c r="E162" s="154"/>
      <c r="F162" s="154"/>
      <c r="G162" s="154"/>
      <c r="H162" s="111"/>
      <c r="I162" s="111"/>
      <c r="J162" s="171"/>
      <c r="K162" s="171"/>
      <c r="L162" s="171"/>
      <c r="M162" s="171"/>
      <c r="N162" s="171"/>
      <c r="P162" s="245" t="s">
        <v>126</v>
      </c>
      <c r="Q162" s="1"/>
    </row>
  </sheetData>
  <conditionalFormatting sqref="C17:C72">
    <cfRule type="cellIs" dxfId="90" priority="1" stopIfTrue="1" operator="equal">
      <formula>$I$10</formula>
    </cfRule>
  </conditionalFormatting>
  <conditionalFormatting sqref="C99:C154">
    <cfRule type="cellIs" dxfId="89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1"/>
  <dimension ref="A1:Q162"/>
  <sheetViews>
    <sheetView view="pageBreakPreview" zoomScale="75" zoomScaleNormal="100" zoomScaleSheetLayoutView="75" workbookViewId="0">
      <selection activeCell="C19" sqref="C19"/>
    </sheetView>
  </sheetViews>
  <sheetFormatPr defaultRowHeight="12.75" customHeight="1"/>
  <cols>
    <col min="1" max="1" width="4.7109375" customWidth="1"/>
    <col min="2" max="2" width="6.7109375" customWidth="1"/>
    <col min="3" max="3" width="23.28515625" customWidth="1"/>
    <col min="4" max="8" width="17.7109375" customWidth="1"/>
    <col min="9" max="9" width="20.42578125" customWidth="1"/>
    <col min="10" max="10" width="16.42578125" customWidth="1"/>
    <col min="11" max="11" width="17.7109375" customWidth="1"/>
    <col min="12" max="12" width="16.140625" customWidth="1"/>
    <col min="13" max="13" width="17.7109375" customWidth="1"/>
    <col min="14" max="14" width="16.7109375" customWidth="1"/>
    <col min="15" max="15" width="16.85546875" customWidth="1"/>
    <col min="16" max="16" width="24.42578125" customWidth="1"/>
    <col min="17" max="17" width="4.7109375" customWidth="1"/>
    <col min="23" max="23" width="9.140625" customWidth="1"/>
  </cols>
  <sheetData>
    <row r="1" spans="1:17" ht="20.25">
      <c r="A1" s="243" t="s">
        <v>128</v>
      </c>
      <c r="B1" s="1"/>
      <c r="C1" s="21"/>
      <c r="D1" s="2"/>
      <c r="E1" s="1"/>
      <c r="F1" s="99"/>
      <c r="G1" s="1"/>
      <c r="H1" s="3"/>
      <c r="J1" s="7"/>
      <c r="K1" s="109"/>
      <c r="L1" s="109"/>
      <c r="M1" s="109"/>
      <c r="P1" s="249" t="str">
        <f ca="1">"SWEPCO Project "&amp;RIGHT(MID(CELL("filename",$A$1),FIND("]",CELL("filename",$A$1))+1,256),2)&amp;" of "&amp;COUNT('S.001:S.xyz - blank'!$P$3)-1</f>
        <v>SWEPCO Project 38 of 73</v>
      </c>
      <c r="Q1" s="108"/>
    </row>
    <row r="2" spans="1:17" ht="18">
      <c r="B2" s="1"/>
      <c r="C2" s="1"/>
      <c r="D2" s="2"/>
      <c r="E2" s="1"/>
      <c r="F2" s="1"/>
      <c r="G2" s="1"/>
      <c r="H2" s="3"/>
      <c r="I2" s="1"/>
      <c r="J2" s="4"/>
      <c r="K2" s="1"/>
      <c r="L2" s="1"/>
      <c r="M2" s="1"/>
      <c r="N2" s="1"/>
      <c r="P2" s="244" t="s">
        <v>124</v>
      </c>
    </row>
    <row r="3" spans="1:17" ht="18.75">
      <c r="B3" s="5" t="s">
        <v>40</v>
      </c>
      <c r="C3" s="68" t="s">
        <v>41</v>
      </c>
      <c r="D3" s="2"/>
      <c r="E3" s="1"/>
      <c r="F3" s="1"/>
      <c r="G3" s="1"/>
      <c r="H3" s="3"/>
      <c r="I3" s="3"/>
      <c r="J3" s="111"/>
      <c r="K3" s="3"/>
      <c r="L3" s="3"/>
      <c r="M3" s="3"/>
      <c r="N3" s="3"/>
      <c r="O3" s="1"/>
      <c r="P3" s="240">
        <v>1</v>
      </c>
    </row>
    <row r="4" spans="1:17" ht="15.75" thickBot="1">
      <c r="C4" s="67"/>
      <c r="D4" s="2"/>
      <c r="E4" s="1"/>
      <c r="F4" s="1"/>
      <c r="G4" s="1"/>
      <c r="H4" s="3"/>
      <c r="I4" s="3"/>
      <c r="J4" s="111"/>
      <c r="K4" s="3"/>
      <c r="L4" s="3"/>
      <c r="M4" s="3"/>
      <c r="N4" s="3"/>
      <c r="O4" s="1"/>
      <c r="P4" s="1"/>
    </row>
    <row r="5" spans="1:17" ht="15">
      <c r="C5" s="112" t="s">
        <v>42</v>
      </c>
      <c r="D5" s="2"/>
      <c r="E5" s="1"/>
      <c r="F5" s="1"/>
      <c r="G5" s="113"/>
      <c r="H5" s="1" t="s">
        <v>43</v>
      </c>
      <c r="I5" s="1"/>
      <c r="J5" s="4"/>
      <c r="K5" s="268" t="s">
        <v>152</v>
      </c>
      <c r="L5" s="114"/>
      <c r="M5" s="115"/>
      <c r="N5" s="116">
        <f>VLOOKUP(I10,C17:I72,5)</f>
        <v>285789.06420955004</v>
      </c>
      <c r="P5" s="1"/>
    </row>
    <row r="6" spans="1:17" ht="15.75">
      <c r="C6" s="8"/>
      <c r="D6" s="2"/>
      <c r="E6" s="1"/>
      <c r="F6" s="1"/>
      <c r="G6" s="1"/>
      <c r="H6" s="117"/>
      <c r="I6" s="117"/>
      <c r="J6" s="118"/>
      <c r="K6" s="269" t="s">
        <v>153</v>
      </c>
      <c r="L6" s="119"/>
      <c r="M6" s="4"/>
      <c r="N6" s="120">
        <f>VLOOKUP(I10,C17:I72,6)</f>
        <v>285789.06420955004</v>
      </c>
      <c r="O6" s="1"/>
      <c r="P6" s="1"/>
    </row>
    <row r="7" spans="1:17" ht="13.5" thickBot="1">
      <c r="C7" s="121" t="s">
        <v>44</v>
      </c>
      <c r="D7" s="386" t="s">
        <v>292</v>
      </c>
      <c r="E7" s="379"/>
      <c r="F7" s="379"/>
      <c r="G7" s="379"/>
      <c r="H7" s="383"/>
      <c r="I7" s="3"/>
      <c r="J7" s="111"/>
      <c r="K7" s="122" t="s">
        <v>45</v>
      </c>
      <c r="L7" s="123"/>
      <c r="M7" s="123"/>
      <c r="N7" s="124">
        <f>+N6-N5</f>
        <v>0</v>
      </c>
      <c r="O7" s="1"/>
      <c r="P7" s="1"/>
    </row>
    <row r="8" spans="1:17" ht="13.5" thickBot="1">
      <c r="C8" s="125"/>
      <c r="D8" s="352" t="str">
        <f>IF(D10&lt;100000,"DOES NOT MEET SPP $100,000 MINIMUM INVESTMENT FOR REGIONAL BPU SHARING.","")</f>
        <v/>
      </c>
      <c r="E8" s="126"/>
      <c r="F8" s="126"/>
      <c r="G8" s="126"/>
      <c r="H8" s="126"/>
      <c r="I8" s="126"/>
      <c r="J8" s="101"/>
      <c r="K8" s="126"/>
      <c r="L8" s="126"/>
      <c r="M8" s="126"/>
      <c r="N8" s="126"/>
      <c r="O8" s="101"/>
      <c r="P8" s="21"/>
    </row>
    <row r="9" spans="1:17" ht="13.5" thickBot="1">
      <c r="C9" s="127" t="s">
        <v>46</v>
      </c>
      <c r="D9" s="225" t="s">
        <v>291</v>
      </c>
      <c r="E9" s="401" t="s">
        <v>429</v>
      </c>
      <c r="F9" s="128"/>
      <c r="G9" s="128"/>
      <c r="H9" s="128"/>
      <c r="I9" s="129"/>
      <c r="J9" s="130"/>
      <c r="O9" s="131"/>
      <c r="P9" s="4"/>
    </row>
    <row r="10" spans="1:17">
      <c r="C10" s="132" t="s">
        <v>47</v>
      </c>
      <c r="D10" s="133">
        <v>2636239</v>
      </c>
      <c r="E10" s="61" t="s">
        <v>459</v>
      </c>
      <c r="F10" s="131"/>
      <c r="G10" s="134"/>
      <c r="H10" s="134"/>
      <c r="I10" s="135">
        <f>+SWE.WS.F.BPU.ATRR.Projected!K17</f>
        <v>2019</v>
      </c>
      <c r="J10" s="130"/>
      <c r="K10" s="111" t="s">
        <v>48</v>
      </c>
      <c r="O10" s="4"/>
      <c r="P10" s="4"/>
    </row>
    <row r="11" spans="1:17">
      <c r="C11" s="136" t="s">
        <v>49</v>
      </c>
      <c r="D11" s="137">
        <v>2013</v>
      </c>
      <c r="E11" s="136" t="s">
        <v>50</v>
      </c>
      <c r="F11" s="134"/>
      <c r="G11" s="7"/>
      <c r="H11" s="7"/>
      <c r="I11" s="138">
        <f>IF(G5="",0,SWE.WS.F.BPU.ATRR.Projected!F$11)</f>
        <v>0</v>
      </c>
      <c r="J11" s="139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4"/>
      <c r="P11" s="4"/>
    </row>
    <row r="12" spans="1:17">
      <c r="C12" s="136" t="s">
        <v>51</v>
      </c>
      <c r="D12" s="133">
        <v>6</v>
      </c>
      <c r="E12" s="136" t="s">
        <v>52</v>
      </c>
      <c r="F12" s="134"/>
      <c r="G12" s="7"/>
      <c r="H12" s="7"/>
      <c r="I12" s="140">
        <f>SWE.WS.F.BPU.ATRR.Projected!$F$76</f>
        <v>9.9555672459071778E-2</v>
      </c>
      <c r="J12" s="141"/>
      <c r="K12" t="s">
        <v>53</v>
      </c>
      <c r="O12" s="4"/>
      <c r="P12" s="4"/>
    </row>
    <row r="13" spans="1:17">
      <c r="C13" s="136" t="s">
        <v>54</v>
      </c>
      <c r="D13" s="138">
        <f>+SWE.WS.F.BPU.ATRR.Projected!F$87</f>
        <v>43</v>
      </c>
      <c r="E13" s="136" t="s">
        <v>55</v>
      </c>
      <c r="F13" s="134"/>
      <c r="G13" s="7"/>
      <c r="H13" s="7"/>
      <c r="I13" s="140">
        <f>IF(G5="",I12,SWE.WS.F.BPU.ATRR.Projected!$F$75)</f>
        <v>9.9555672459071778E-2</v>
      </c>
      <c r="J13" s="141"/>
      <c r="K13" s="111" t="s">
        <v>56</v>
      </c>
      <c r="L13" s="58"/>
      <c r="M13" s="58"/>
      <c r="N13" s="58"/>
      <c r="O13" s="4"/>
      <c r="P13" s="4"/>
    </row>
    <row r="14" spans="1:17" ht="13.5" thickBot="1">
      <c r="C14" s="136" t="s">
        <v>57</v>
      </c>
      <c r="D14" s="137" t="s">
        <v>58</v>
      </c>
      <c r="E14" s="4" t="s">
        <v>59</v>
      </c>
      <c r="F14" s="134"/>
      <c r="G14" s="7"/>
      <c r="H14" s="7"/>
      <c r="I14" s="142">
        <f>IF(D10=0,0,D10/D13)</f>
        <v>61307.883720930229</v>
      </c>
      <c r="J14" s="111"/>
      <c r="K14" s="111"/>
      <c r="L14" s="111"/>
      <c r="M14" s="111"/>
      <c r="N14" s="111"/>
      <c r="O14" s="4"/>
      <c r="P14" s="4"/>
    </row>
    <row r="15" spans="1:17" ht="38.25">
      <c r="C15" s="143" t="s">
        <v>47</v>
      </c>
      <c r="D15" s="144" t="s">
        <v>60</v>
      </c>
      <c r="E15" s="144" t="s">
        <v>61</v>
      </c>
      <c r="F15" s="144" t="s">
        <v>62</v>
      </c>
      <c r="G15" s="434" t="s">
        <v>378</v>
      </c>
      <c r="H15" s="435" t="s">
        <v>379</v>
      </c>
      <c r="I15" s="143" t="s">
        <v>63</v>
      </c>
      <c r="J15" s="145"/>
      <c r="K15" s="271" t="s">
        <v>219</v>
      </c>
      <c r="L15" s="146" t="s">
        <v>64</v>
      </c>
      <c r="M15" s="271" t="s">
        <v>219</v>
      </c>
      <c r="N15" s="146" t="s">
        <v>64</v>
      </c>
      <c r="O15" s="146" t="s">
        <v>65</v>
      </c>
      <c r="P15" s="4"/>
    </row>
    <row r="16" spans="1:17" ht="13.5" thickBot="1">
      <c r="C16" s="147" t="s">
        <v>66</v>
      </c>
      <c r="D16" s="147" t="s">
        <v>67</v>
      </c>
      <c r="E16" s="147" t="s">
        <v>68</v>
      </c>
      <c r="F16" s="147" t="s">
        <v>67</v>
      </c>
      <c r="G16" s="408" t="s">
        <v>69</v>
      </c>
      <c r="H16" s="148" t="s">
        <v>70</v>
      </c>
      <c r="I16" s="149" t="s">
        <v>89</v>
      </c>
      <c r="J16" s="150" t="s">
        <v>71</v>
      </c>
      <c r="K16" s="151" t="s">
        <v>72</v>
      </c>
      <c r="L16" s="151" t="s">
        <v>72</v>
      </c>
      <c r="M16" s="151" t="s">
        <v>90</v>
      </c>
      <c r="N16" s="152" t="s">
        <v>90</v>
      </c>
      <c r="O16" s="151" t="s">
        <v>90</v>
      </c>
      <c r="P16" s="4"/>
    </row>
    <row r="17" spans="2:16">
      <c r="C17" s="153">
        <f>IF(D11= "","-",D11)</f>
        <v>2013</v>
      </c>
      <c r="D17" s="393">
        <v>3095000</v>
      </c>
      <c r="E17" s="394">
        <v>36845.238095238092</v>
      </c>
      <c r="F17" s="393">
        <v>3058154.7619047621</v>
      </c>
      <c r="G17" s="394">
        <v>464947.39975050534</v>
      </c>
      <c r="H17" s="395">
        <v>464947.39975050534</v>
      </c>
      <c r="I17" s="404">
        <v>0</v>
      </c>
      <c r="J17" s="156"/>
      <c r="K17" s="256">
        <f t="shared" ref="K17:K22" si="0">G17</f>
        <v>464947.39975050534</v>
      </c>
      <c r="L17" s="172">
        <f t="shared" ref="L17:L22" si="1">IF(K17&lt;&gt;0,+G17-K17,0)</f>
        <v>0</v>
      </c>
      <c r="M17" s="256">
        <f t="shared" ref="M17:M22" si="2">H17</f>
        <v>464947.39975050534</v>
      </c>
      <c r="N17" s="157">
        <f t="shared" ref="N17:N22" si="3">IF(M17&lt;&gt;0,+H17-M17,0)</f>
        <v>0</v>
      </c>
      <c r="O17" s="158">
        <f t="shared" ref="O17:O22" si="4">+N17-L17</f>
        <v>0</v>
      </c>
      <c r="P17" s="4"/>
    </row>
    <row r="18" spans="2:16">
      <c r="B18" s="9" t="str">
        <f>IF(D18=F17,"","IU")</f>
        <v/>
      </c>
      <c r="C18" s="153">
        <f>IF(D11="","-",+C17+1)</f>
        <v>2014</v>
      </c>
      <c r="D18" s="393">
        <v>3058154.7619047621</v>
      </c>
      <c r="E18" s="397">
        <v>62767.595238095237</v>
      </c>
      <c r="F18" s="393">
        <v>2995387.166666667</v>
      </c>
      <c r="G18" s="397">
        <v>466876.80029860663</v>
      </c>
      <c r="H18" s="395">
        <v>466876.80029860663</v>
      </c>
      <c r="I18" s="404">
        <v>0</v>
      </c>
      <c r="J18" s="156"/>
      <c r="K18" s="258">
        <f t="shared" si="0"/>
        <v>466876.80029860663</v>
      </c>
      <c r="L18" s="257">
        <f t="shared" si="1"/>
        <v>0</v>
      </c>
      <c r="M18" s="258">
        <f t="shared" si="2"/>
        <v>466876.80029860663</v>
      </c>
      <c r="N18" s="158">
        <f t="shared" si="3"/>
        <v>0</v>
      </c>
      <c r="O18" s="158">
        <f t="shared" si="4"/>
        <v>0</v>
      </c>
      <c r="P18" s="4"/>
    </row>
    <row r="19" spans="2:16">
      <c r="B19" s="9" t="str">
        <f>IF(D19=F18,"","IU")</f>
        <v/>
      </c>
      <c r="C19" s="153">
        <f>IF(D11="","-",+C18+1)</f>
        <v>2015</v>
      </c>
      <c r="D19" s="393">
        <v>2995387.166666667</v>
      </c>
      <c r="E19" s="397">
        <v>62767.595238095237</v>
      </c>
      <c r="F19" s="393">
        <v>2932619.5714285718</v>
      </c>
      <c r="G19" s="397">
        <v>449007.67222881154</v>
      </c>
      <c r="H19" s="395">
        <v>449007.67222881154</v>
      </c>
      <c r="I19" s="156">
        <v>0</v>
      </c>
      <c r="J19" s="156"/>
      <c r="K19" s="258">
        <f t="shared" si="0"/>
        <v>449007.67222881154</v>
      </c>
      <c r="L19" s="257">
        <f t="shared" si="1"/>
        <v>0</v>
      </c>
      <c r="M19" s="258">
        <f t="shared" si="2"/>
        <v>449007.67222881154</v>
      </c>
      <c r="N19" s="158">
        <f t="shared" si="3"/>
        <v>0</v>
      </c>
      <c r="O19" s="158">
        <f t="shared" si="4"/>
        <v>0</v>
      </c>
      <c r="P19" s="4"/>
    </row>
    <row r="20" spans="2:16">
      <c r="B20" s="9" t="str">
        <f t="shared" ref="B20:B72" si="5">IF(D20=F19,"","IU")</f>
        <v>IU</v>
      </c>
      <c r="C20" s="153">
        <f>IF(D11="","-",+C19+1)</f>
        <v>2016</v>
      </c>
      <c r="D20" s="393">
        <v>2473858.5714285714</v>
      </c>
      <c r="E20" s="397">
        <v>62767.595238095237</v>
      </c>
      <c r="F20" s="393">
        <v>2411090.9761904762</v>
      </c>
      <c r="G20" s="397">
        <v>376402.24918929196</v>
      </c>
      <c r="H20" s="395">
        <v>376402.24918929196</v>
      </c>
      <c r="I20" s="156">
        <f>H20-G20</f>
        <v>0</v>
      </c>
      <c r="J20" s="156"/>
      <c r="K20" s="258">
        <f t="shared" si="0"/>
        <v>376402.24918929196</v>
      </c>
      <c r="L20" s="257">
        <f t="shared" si="1"/>
        <v>0</v>
      </c>
      <c r="M20" s="258">
        <f t="shared" si="2"/>
        <v>376402.24918929196</v>
      </c>
      <c r="N20" s="158">
        <f t="shared" si="3"/>
        <v>0</v>
      </c>
      <c r="O20" s="158">
        <f t="shared" si="4"/>
        <v>0</v>
      </c>
      <c r="P20" s="4"/>
    </row>
    <row r="21" spans="2:16">
      <c r="B21" s="9" t="str">
        <f t="shared" si="5"/>
        <v/>
      </c>
      <c r="C21" s="153">
        <f>IF(D11="","-",+C20+1)</f>
        <v>2017</v>
      </c>
      <c r="D21" s="393">
        <v>2411090.9761904762</v>
      </c>
      <c r="E21" s="397">
        <v>61307.883720930229</v>
      </c>
      <c r="F21" s="393">
        <v>2349783.092469546</v>
      </c>
      <c r="G21" s="397">
        <v>356226.25901842013</v>
      </c>
      <c r="H21" s="395">
        <v>356226.25901842013</v>
      </c>
      <c r="I21" s="156">
        <v>0</v>
      </c>
      <c r="J21" s="156"/>
      <c r="K21" s="258">
        <f t="shared" si="0"/>
        <v>356226.25901842013</v>
      </c>
      <c r="L21" s="257">
        <f t="shared" si="1"/>
        <v>0</v>
      </c>
      <c r="M21" s="258">
        <f t="shared" si="2"/>
        <v>356226.25901842013</v>
      </c>
      <c r="N21" s="158">
        <f t="shared" si="3"/>
        <v>0</v>
      </c>
      <c r="O21" s="158">
        <f t="shared" si="4"/>
        <v>0</v>
      </c>
      <c r="P21" s="4"/>
    </row>
    <row r="22" spans="2:16">
      <c r="B22" s="9" t="str">
        <f t="shared" si="5"/>
        <v/>
      </c>
      <c r="C22" s="153">
        <f>IF(D11="","-",+C21+1)</f>
        <v>2018</v>
      </c>
      <c r="D22" s="393">
        <v>2349783.092469546</v>
      </c>
      <c r="E22" s="397">
        <v>64298.512195121948</v>
      </c>
      <c r="F22" s="393">
        <v>2285484.5802744241</v>
      </c>
      <c r="G22" s="397">
        <v>323605.143136531</v>
      </c>
      <c r="H22" s="395">
        <v>323605.143136531</v>
      </c>
      <c r="I22" s="156">
        <f t="shared" ref="I22:I72" si="6">H22-G22</f>
        <v>0</v>
      </c>
      <c r="J22" s="156"/>
      <c r="K22" s="258">
        <f t="shared" si="0"/>
        <v>323605.143136531</v>
      </c>
      <c r="L22" s="257">
        <f t="shared" si="1"/>
        <v>0</v>
      </c>
      <c r="M22" s="258">
        <f t="shared" si="2"/>
        <v>323605.143136531</v>
      </c>
      <c r="N22" s="158">
        <f t="shared" si="3"/>
        <v>0</v>
      </c>
      <c r="O22" s="158">
        <f t="shared" si="4"/>
        <v>0</v>
      </c>
      <c r="P22" s="4"/>
    </row>
    <row r="23" spans="2:16">
      <c r="B23" s="9" t="str">
        <f t="shared" si="5"/>
        <v/>
      </c>
      <c r="C23" s="153">
        <f>IF(D11="","-",+C22+1)</f>
        <v>2019</v>
      </c>
      <c r="D23" s="159">
        <f>IF(F22+SUM(E$17:E22)=D$10,F22,D$10-SUM(E$17:E22))</f>
        <v>2285484.5802744241</v>
      </c>
      <c r="E23" s="160">
        <f t="shared" ref="E23:E72" si="7">IF(+$I$14&lt;F22,$I$14,D23)</f>
        <v>61307.883720930229</v>
      </c>
      <c r="F23" s="159">
        <f t="shared" ref="F23:F72" si="8">+D23-E23</f>
        <v>2224176.6965534938</v>
      </c>
      <c r="G23" s="161">
        <f t="shared" ref="G23:G52" si="9">+I$12*((D23+F23)/2)+E23</f>
        <v>285789.06420955004</v>
      </c>
      <c r="H23" s="142">
        <f t="shared" ref="H23:H52" si="10">+I$13*((D23+F23)/2)+E23</f>
        <v>285789.06420955004</v>
      </c>
      <c r="I23" s="156">
        <f t="shared" si="6"/>
        <v>0</v>
      </c>
      <c r="J23" s="156"/>
      <c r="K23" s="334"/>
      <c r="L23" s="158">
        <f t="shared" ref="L23:L72" si="11">IF(K23&lt;&gt;0,+G23-K23,0)</f>
        <v>0</v>
      </c>
      <c r="M23" s="334"/>
      <c r="N23" s="158">
        <f t="shared" ref="N23:N72" si="12">IF(M23&lt;&gt;0,+H23-M23,0)</f>
        <v>0</v>
      </c>
      <c r="O23" s="158">
        <f t="shared" ref="O23:O72" si="13">+N23-L23</f>
        <v>0</v>
      </c>
      <c r="P23" s="4"/>
    </row>
    <row r="24" spans="2:16">
      <c r="B24" s="9" t="str">
        <f t="shared" si="5"/>
        <v/>
      </c>
      <c r="C24" s="153">
        <f>IF(D11="","-",+C23+1)</f>
        <v>2020</v>
      </c>
      <c r="D24" s="159">
        <f>IF(F23+SUM(E$17:E23)=D$10,F23,D$10-SUM(E$17:E23))</f>
        <v>2224176.6965534938</v>
      </c>
      <c r="E24" s="160">
        <f t="shared" si="7"/>
        <v>61307.883720930229</v>
      </c>
      <c r="F24" s="159">
        <f t="shared" si="8"/>
        <v>2162868.8128325636</v>
      </c>
      <c r="G24" s="161">
        <f t="shared" si="9"/>
        <v>279685.5166186702</v>
      </c>
      <c r="H24" s="142">
        <f t="shared" si="10"/>
        <v>279685.5166186702</v>
      </c>
      <c r="I24" s="156">
        <f t="shared" si="6"/>
        <v>0</v>
      </c>
      <c r="J24" s="156"/>
      <c r="K24" s="334"/>
      <c r="L24" s="158">
        <f t="shared" si="11"/>
        <v>0</v>
      </c>
      <c r="M24" s="334"/>
      <c r="N24" s="158">
        <f t="shared" si="12"/>
        <v>0</v>
      </c>
      <c r="O24" s="158">
        <f t="shared" si="13"/>
        <v>0</v>
      </c>
      <c r="P24" s="4"/>
    </row>
    <row r="25" spans="2:16">
      <c r="B25" s="9" t="str">
        <f t="shared" si="5"/>
        <v/>
      </c>
      <c r="C25" s="153">
        <f>IF(D11="","-",+C24+1)</f>
        <v>2021</v>
      </c>
      <c r="D25" s="159">
        <f>IF(F24+SUM(E$17:E24)=D$10,F24,D$10-SUM(E$17:E24))</f>
        <v>2162868.8128325636</v>
      </c>
      <c r="E25" s="160">
        <f t="shared" si="7"/>
        <v>61307.883720930229</v>
      </c>
      <c r="F25" s="159">
        <f t="shared" si="8"/>
        <v>2101560.9291116334</v>
      </c>
      <c r="G25" s="161">
        <f t="shared" si="9"/>
        <v>273581.96902779047</v>
      </c>
      <c r="H25" s="142">
        <f t="shared" si="10"/>
        <v>273581.96902779047</v>
      </c>
      <c r="I25" s="156">
        <f t="shared" si="6"/>
        <v>0</v>
      </c>
      <c r="J25" s="156"/>
      <c r="K25" s="334"/>
      <c r="L25" s="158">
        <f t="shared" si="11"/>
        <v>0</v>
      </c>
      <c r="M25" s="334"/>
      <c r="N25" s="158">
        <f t="shared" si="12"/>
        <v>0</v>
      </c>
      <c r="O25" s="158">
        <f t="shared" si="13"/>
        <v>0</v>
      </c>
      <c r="P25" s="4"/>
    </row>
    <row r="26" spans="2:16">
      <c r="B26" s="9" t="str">
        <f t="shared" si="5"/>
        <v/>
      </c>
      <c r="C26" s="153">
        <f>IF(D11="","-",+C25+1)</f>
        <v>2022</v>
      </c>
      <c r="D26" s="159">
        <f>IF(F25+SUM(E$17:E25)=D$10,F25,D$10-SUM(E$17:E25))</f>
        <v>2101560.9291116334</v>
      </c>
      <c r="E26" s="160">
        <f t="shared" si="7"/>
        <v>61307.883720930229</v>
      </c>
      <c r="F26" s="159">
        <f t="shared" si="8"/>
        <v>2040253.0453907032</v>
      </c>
      <c r="G26" s="161">
        <f t="shared" si="9"/>
        <v>267478.42143691069</v>
      </c>
      <c r="H26" s="142">
        <f t="shared" si="10"/>
        <v>267478.42143691069</v>
      </c>
      <c r="I26" s="156">
        <f t="shared" si="6"/>
        <v>0</v>
      </c>
      <c r="J26" s="156"/>
      <c r="K26" s="334"/>
      <c r="L26" s="158">
        <f t="shared" si="11"/>
        <v>0</v>
      </c>
      <c r="M26" s="334"/>
      <c r="N26" s="158">
        <f t="shared" si="12"/>
        <v>0</v>
      </c>
      <c r="O26" s="158">
        <f t="shared" si="13"/>
        <v>0</v>
      </c>
      <c r="P26" s="4"/>
    </row>
    <row r="27" spans="2:16">
      <c r="B27" s="9" t="str">
        <f t="shared" si="5"/>
        <v/>
      </c>
      <c r="C27" s="153">
        <f>IF(D11="","-",+C26+1)</f>
        <v>2023</v>
      </c>
      <c r="D27" s="159">
        <f>IF(F26+SUM(E$17:E26)=D$10,F26,D$10-SUM(E$17:E26))</f>
        <v>2040253.0453907032</v>
      </c>
      <c r="E27" s="160">
        <f t="shared" si="7"/>
        <v>61307.883720930229</v>
      </c>
      <c r="F27" s="159">
        <f t="shared" si="8"/>
        <v>1978945.161669773</v>
      </c>
      <c r="G27" s="161">
        <f t="shared" si="9"/>
        <v>261374.87384603088</v>
      </c>
      <c r="H27" s="142">
        <f t="shared" si="10"/>
        <v>261374.87384603088</v>
      </c>
      <c r="I27" s="156">
        <f t="shared" si="6"/>
        <v>0</v>
      </c>
      <c r="J27" s="156"/>
      <c r="K27" s="334"/>
      <c r="L27" s="158">
        <f t="shared" si="11"/>
        <v>0</v>
      </c>
      <c r="M27" s="334"/>
      <c r="N27" s="158">
        <f t="shared" si="12"/>
        <v>0</v>
      </c>
      <c r="O27" s="158">
        <f t="shared" si="13"/>
        <v>0</v>
      </c>
      <c r="P27" s="4"/>
    </row>
    <row r="28" spans="2:16">
      <c r="B28" s="9" t="str">
        <f t="shared" si="5"/>
        <v/>
      </c>
      <c r="C28" s="153">
        <f>IF(D11="","-",+C27+1)</f>
        <v>2024</v>
      </c>
      <c r="D28" s="159">
        <f>IF(F27+SUM(E$17:E27)=D$10,F27,D$10-SUM(E$17:E27))</f>
        <v>1978945.161669773</v>
      </c>
      <c r="E28" s="160">
        <f t="shared" si="7"/>
        <v>61307.883720930229</v>
      </c>
      <c r="F28" s="159">
        <f t="shared" si="8"/>
        <v>1917637.2779488428</v>
      </c>
      <c r="G28" s="161">
        <f t="shared" si="9"/>
        <v>255271.3262551511</v>
      </c>
      <c r="H28" s="142">
        <f t="shared" si="10"/>
        <v>255271.3262551511</v>
      </c>
      <c r="I28" s="156">
        <f t="shared" si="6"/>
        <v>0</v>
      </c>
      <c r="J28" s="156"/>
      <c r="K28" s="334"/>
      <c r="L28" s="158">
        <f t="shared" si="11"/>
        <v>0</v>
      </c>
      <c r="M28" s="334"/>
      <c r="N28" s="158">
        <f t="shared" si="12"/>
        <v>0</v>
      </c>
      <c r="O28" s="158">
        <f t="shared" si="13"/>
        <v>0</v>
      </c>
      <c r="P28" s="4"/>
    </row>
    <row r="29" spans="2:16">
      <c r="B29" s="9" t="str">
        <f t="shared" si="5"/>
        <v/>
      </c>
      <c r="C29" s="153">
        <f>IF(D11="","-",+C28+1)</f>
        <v>2025</v>
      </c>
      <c r="D29" s="159">
        <f>IF(F28+SUM(E$17:E28)=D$10,F28,D$10-SUM(E$17:E28))</f>
        <v>1917637.2779488428</v>
      </c>
      <c r="E29" s="160">
        <f t="shared" si="7"/>
        <v>61307.883720930229</v>
      </c>
      <c r="F29" s="159">
        <f t="shared" si="8"/>
        <v>1856329.3942279126</v>
      </c>
      <c r="G29" s="161">
        <f t="shared" si="9"/>
        <v>249167.77866427132</v>
      </c>
      <c r="H29" s="142">
        <f t="shared" si="10"/>
        <v>249167.77866427132</v>
      </c>
      <c r="I29" s="156">
        <f t="shared" si="6"/>
        <v>0</v>
      </c>
      <c r="J29" s="156"/>
      <c r="K29" s="334"/>
      <c r="L29" s="158">
        <f t="shared" si="11"/>
        <v>0</v>
      </c>
      <c r="M29" s="334"/>
      <c r="N29" s="158">
        <f t="shared" si="12"/>
        <v>0</v>
      </c>
      <c r="O29" s="158">
        <f t="shared" si="13"/>
        <v>0</v>
      </c>
      <c r="P29" s="4"/>
    </row>
    <row r="30" spans="2:16">
      <c r="B30" s="9" t="str">
        <f t="shared" si="5"/>
        <v/>
      </c>
      <c r="C30" s="153">
        <f>IF(D11="","-",+C29+1)</f>
        <v>2026</v>
      </c>
      <c r="D30" s="159">
        <f>IF(F29+SUM(E$17:E29)=D$10,F29,D$10-SUM(E$17:E29))</f>
        <v>1856329.3942279126</v>
      </c>
      <c r="E30" s="160">
        <f t="shared" si="7"/>
        <v>61307.883720930229</v>
      </c>
      <c r="F30" s="159">
        <f t="shared" si="8"/>
        <v>1795021.5105069824</v>
      </c>
      <c r="G30" s="161">
        <f t="shared" si="9"/>
        <v>243064.23107339154</v>
      </c>
      <c r="H30" s="142">
        <f t="shared" si="10"/>
        <v>243064.23107339154</v>
      </c>
      <c r="I30" s="156">
        <f t="shared" si="6"/>
        <v>0</v>
      </c>
      <c r="J30" s="156"/>
      <c r="K30" s="334"/>
      <c r="L30" s="158">
        <f t="shared" si="11"/>
        <v>0</v>
      </c>
      <c r="M30" s="334"/>
      <c r="N30" s="158">
        <f t="shared" si="12"/>
        <v>0</v>
      </c>
      <c r="O30" s="158">
        <f t="shared" si="13"/>
        <v>0</v>
      </c>
      <c r="P30" s="4"/>
    </row>
    <row r="31" spans="2:16">
      <c r="B31" s="9" t="str">
        <f t="shared" si="5"/>
        <v/>
      </c>
      <c r="C31" s="153">
        <f>IF(D11="","-",+C30+1)</f>
        <v>2027</v>
      </c>
      <c r="D31" s="159">
        <f>IF(F30+SUM(E$17:E30)=D$10,F30,D$10-SUM(E$17:E30))</f>
        <v>1795021.5105069824</v>
      </c>
      <c r="E31" s="160">
        <f t="shared" si="7"/>
        <v>61307.883720930229</v>
      </c>
      <c r="F31" s="159">
        <f t="shared" si="8"/>
        <v>1733713.6267860522</v>
      </c>
      <c r="G31" s="161">
        <f t="shared" si="9"/>
        <v>236960.68348251175</v>
      </c>
      <c r="H31" s="142">
        <f t="shared" si="10"/>
        <v>236960.68348251175</v>
      </c>
      <c r="I31" s="156">
        <f t="shared" si="6"/>
        <v>0</v>
      </c>
      <c r="J31" s="156"/>
      <c r="K31" s="334"/>
      <c r="L31" s="158">
        <f t="shared" si="11"/>
        <v>0</v>
      </c>
      <c r="M31" s="334"/>
      <c r="N31" s="158">
        <f t="shared" si="12"/>
        <v>0</v>
      </c>
      <c r="O31" s="158">
        <f t="shared" si="13"/>
        <v>0</v>
      </c>
      <c r="P31" s="4"/>
    </row>
    <row r="32" spans="2:16">
      <c r="B32" s="9" t="str">
        <f t="shared" si="5"/>
        <v/>
      </c>
      <c r="C32" s="153">
        <f>IF(D11="","-",+C31+1)</f>
        <v>2028</v>
      </c>
      <c r="D32" s="159">
        <f>IF(F31+SUM(E$17:E31)=D$10,F31,D$10-SUM(E$17:E31))</f>
        <v>1733713.6267860522</v>
      </c>
      <c r="E32" s="160">
        <f t="shared" si="7"/>
        <v>61307.883720930229</v>
      </c>
      <c r="F32" s="159">
        <f t="shared" si="8"/>
        <v>1672405.743065122</v>
      </c>
      <c r="G32" s="161">
        <f t="shared" si="9"/>
        <v>230857.13589163197</v>
      </c>
      <c r="H32" s="142">
        <f t="shared" si="10"/>
        <v>230857.13589163197</v>
      </c>
      <c r="I32" s="156">
        <f t="shared" si="6"/>
        <v>0</v>
      </c>
      <c r="J32" s="156"/>
      <c r="K32" s="334"/>
      <c r="L32" s="158">
        <f t="shared" si="11"/>
        <v>0</v>
      </c>
      <c r="M32" s="334"/>
      <c r="N32" s="158">
        <f t="shared" si="12"/>
        <v>0</v>
      </c>
      <c r="O32" s="158">
        <f t="shared" si="13"/>
        <v>0</v>
      </c>
      <c r="P32" s="4"/>
    </row>
    <row r="33" spans="2:16">
      <c r="B33" s="9" t="str">
        <f t="shared" si="5"/>
        <v/>
      </c>
      <c r="C33" s="153">
        <f>IF(D11="","-",+C32+1)</f>
        <v>2029</v>
      </c>
      <c r="D33" s="159">
        <f>IF(F32+SUM(E$17:E32)=D$10,F32,D$10-SUM(E$17:E32))</f>
        <v>1672405.743065122</v>
      </c>
      <c r="E33" s="160">
        <f t="shared" si="7"/>
        <v>61307.883720930229</v>
      </c>
      <c r="F33" s="159">
        <f t="shared" si="8"/>
        <v>1611097.8593441918</v>
      </c>
      <c r="G33" s="161">
        <f t="shared" si="9"/>
        <v>224753.58830075219</v>
      </c>
      <c r="H33" s="142">
        <f t="shared" si="10"/>
        <v>224753.58830075219</v>
      </c>
      <c r="I33" s="156">
        <f t="shared" si="6"/>
        <v>0</v>
      </c>
      <c r="J33" s="156"/>
      <c r="K33" s="334"/>
      <c r="L33" s="158">
        <f t="shared" si="11"/>
        <v>0</v>
      </c>
      <c r="M33" s="334"/>
      <c r="N33" s="158">
        <f t="shared" si="12"/>
        <v>0</v>
      </c>
      <c r="O33" s="158">
        <f t="shared" si="13"/>
        <v>0</v>
      </c>
      <c r="P33" s="4"/>
    </row>
    <row r="34" spans="2:16">
      <c r="B34" s="9" t="str">
        <f t="shared" si="5"/>
        <v/>
      </c>
      <c r="C34" s="153">
        <f>IF(D11="","-",+C33+1)</f>
        <v>2030</v>
      </c>
      <c r="D34" s="159">
        <f>IF(F33+SUM(E$17:E33)=D$10,F33,D$10-SUM(E$17:E33))</f>
        <v>1611097.8593441918</v>
      </c>
      <c r="E34" s="160">
        <f t="shared" si="7"/>
        <v>61307.883720930229</v>
      </c>
      <c r="F34" s="159">
        <f t="shared" si="8"/>
        <v>1549789.9756232616</v>
      </c>
      <c r="G34" s="161">
        <f t="shared" si="9"/>
        <v>218650.04070987238</v>
      </c>
      <c r="H34" s="142">
        <f t="shared" si="10"/>
        <v>218650.04070987238</v>
      </c>
      <c r="I34" s="156">
        <f t="shared" si="6"/>
        <v>0</v>
      </c>
      <c r="J34" s="156"/>
      <c r="K34" s="334"/>
      <c r="L34" s="158">
        <f t="shared" si="11"/>
        <v>0</v>
      </c>
      <c r="M34" s="334"/>
      <c r="N34" s="158">
        <f t="shared" si="12"/>
        <v>0</v>
      </c>
      <c r="O34" s="158">
        <f t="shared" si="13"/>
        <v>0</v>
      </c>
      <c r="P34" s="4"/>
    </row>
    <row r="35" spans="2:16">
      <c r="B35" s="9" t="str">
        <f t="shared" si="5"/>
        <v/>
      </c>
      <c r="C35" s="153">
        <f>IF(D11="","-",+C34+1)</f>
        <v>2031</v>
      </c>
      <c r="D35" s="159">
        <f>IF(F34+SUM(E$17:E34)=D$10,F34,D$10-SUM(E$17:E34))</f>
        <v>1549789.9756232616</v>
      </c>
      <c r="E35" s="160">
        <f t="shared" si="7"/>
        <v>61307.883720930229</v>
      </c>
      <c r="F35" s="159">
        <f t="shared" si="8"/>
        <v>1488482.0919023314</v>
      </c>
      <c r="G35" s="161">
        <f t="shared" si="9"/>
        <v>212546.4931189926</v>
      </c>
      <c r="H35" s="142">
        <f t="shared" si="10"/>
        <v>212546.4931189926</v>
      </c>
      <c r="I35" s="156">
        <f t="shared" si="6"/>
        <v>0</v>
      </c>
      <c r="J35" s="156"/>
      <c r="K35" s="334"/>
      <c r="L35" s="158">
        <f t="shared" si="11"/>
        <v>0</v>
      </c>
      <c r="M35" s="334"/>
      <c r="N35" s="158">
        <f t="shared" si="12"/>
        <v>0</v>
      </c>
      <c r="O35" s="158">
        <f t="shared" si="13"/>
        <v>0</v>
      </c>
      <c r="P35" s="4"/>
    </row>
    <row r="36" spans="2:16">
      <c r="B36" s="9" t="str">
        <f t="shared" si="5"/>
        <v/>
      </c>
      <c r="C36" s="153">
        <f>IF(D11="","-",+C35+1)</f>
        <v>2032</v>
      </c>
      <c r="D36" s="159">
        <f>IF(F35+SUM(E$17:E35)=D$10,F35,D$10-SUM(E$17:E35))</f>
        <v>1488482.0919023314</v>
      </c>
      <c r="E36" s="160">
        <f t="shared" si="7"/>
        <v>61307.883720930229</v>
      </c>
      <c r="F36" s="159">
        <f t="shared" si="8"/>
        <v>1427174.2081814012</v>
      </c>
      <c r="G36" s="161">
        <f t="shared" si="9"/>
        <v>206442.94552811282</v>
      </c>
      <c r="H36" s="142">
        <f t="shared" si="10"/>
        <v>206442.94552811282</v>
      </c>
      <c r="I36" s="156">
        <f t="shared" si="6"/>
        <v>0</v>
      </c>
      <c r="J36" s="156"/>
      <c r="K36" s="334"/>
      <c r="L36" s="158">
        <f t="shared" si="11"/>
        <v>0</v>
      </c>
      <c r="M36" s="334"/>
      <c r="N36" s="158">
        <f t="shared" si="12"/>
        <v>0</v>
      </c>
      <c r="O36" s="158">
        <f t="shared" si="13"/>
        <v>0</v>
      </c>
      <c r="P36" s="4"/>
    </row>
    <row r="37" spans="2:16">
      <c r="B37" s="9" t="str">
        <f t="shared" si="5"/>
        <v/>
      </c>
      <c r="C37" s="153">
        <f>IF(D11="","-",+C36+1)</f>
        <v>2033</v>
      </c>
      <c r="D37" s="159">
        <f>IF(F36+SUM(E$17:E36)=D$10,F36,D$10-SUM(E$17:E36))</f>
        <v>1427174.2081814012</v>
      </c>
      <c r="E37" s="160">
        <f t="shared" si="7"/>
        <v>61307.883720930229</v>
      </c>
      <c r="F37" s="159">
        <f t="shared" si="8"/>
        <v>1365866.324460471</v>
      </c>
      <c r="G37" s="161">
        <f t="shared" si="9"/>
        <v>200339.39793723304</v>
      </c>
      <c r="H37" s="142">
        <f t="shared" si="10"/>
        <v>200339.39793723304</v>
      </c>
      <c r="I37" s="156">
        <f t="shared" si="6"/>
        <v>0</v>
      </c>
      <c r="J37" s="156"/>
      <c r="K37" s="334"/>
      <c r="L37" s="158">
        <f t="shared" si="11"/>
        <v>0</v>
      </c>
      <c r="M37" s="334"/>
      <c r="N37" s="158">
        <f t="shared" si="12"/>
        <v>0</v>
      </c>
      <c r="O37" s="158">
        <f t="shared" si="13"/>
        <v>0</v>
      </c>
      <c r="P37" s="4"/>
    </row>
    <row r="38" spans="2:16">
      <c r="B38" s="9" t="str">
        <f t="shared" si="5"/>
        <v/>
      </c>
      <c r="C38" s="153">
        <f>IF(D11="","-",+C37+1)</f>
        <v>2034</v>
      </c>
      <c r="D38" s="159">
        <f>IF(F37+SUM(E$17:E37)=D$10,F37,D$10-SUM(E$17:E37))</f>
        <v>1365866.324460471</v>
      </c>
      <c r="E38" s="160">
        <f t="shared" si="7"/>
        <v>61307.883720930229</v>
      </c>
      <c r="F38" s="159">
        <f t="shared" si="8"/>
        <v>1304558.4407395408</v>
      </c>
      <c r="G38" s="161">
        <f t="shared" si="9"/>
        <v>194235.85034635325</v>
      </c>
      <c r="H38" s="142">
        <f t="shared" si="10"/>
        <v>194235.85034635325</v>
      </c>
      <c r="I38" s="156">
        <f t="shared" si="6"/>
        <v>0</v>
      </c>
      <c r="J38" s="156"/>
      <c r="K38" s="334"/>
      <c r="L38" s="158">
        <f t="shared" si="11"/>
        <v>0</v>
      </c>
      <c r="M38" s="334"/>
      <c r="N38" s="158">
        <f t="shared" si="12"/>
        <v>0</v>
      </c>
      <c r="O38" s="158">
        <f t="shared" si="13"/>
        <v>0</v>
      </c>
      <c r="P38" s="4"/>
    </row>
    <row r="39" spans="2:16">
      <c r="B39" s="9" t="str">
        <f t="shared" si="5"/>
        <v/>
      </c>
      <c r="C39" s="153">
        <f>IF(D11="","-",+C38+1)</f>
        <v>2035</v>
      </c>
      <c r="D39" s="159">
        <f>IF(F38+SUM(E$17:E38)=D$10,F38,D$10-SUM(E$17:E38))</f>
        <v>1304558.4407395408</v>
      </c>
      <c r="E39" s="160">
        <f t="shared" si="7"/>
        <v>61307.883720930229</v>
      </c>
      <c r="F39" s="159">
        <f t="shared" si="8"/>
        <v>1243250.5570186106</v>
      </c>
      <c r="G39" s="161">
        <f t="shared" si="9"/>
        <v>188132.30275547347</v>
      </c>
      <c r="H39" s="142">
        <f t="shared" si="10"/>
        <v>188132.30275547347</v>
      </c>
      <c r="I39" s="156">
        <f t="shared" si="6"/>
        <v>0</v>
      </c>
      <c r="J39" s="156"/>
      <c r="K39" s="334"/>
      <c r="L39" s="158">
        <f t="shared" si="11"/>
        <v>0</v>
      </c>
      <c r="M39" s="334"/>
      <c r="N39" s="158">
        <f t="shared" si="12"/>
        <v>0</v>
      </c>
      <c r="O39" s="158">
        <f t="shared" si="13"/>
        <v>0</v>
      </c>
      <c r="P39" s="4"/>
    </row>
    <row r="40" spans="2:16">
      <c r="B40" s="9" t="str">
        <f t="shared" si="5"/>
        <v/>
      </c>
      <c r="C40" s="153">
        <f>IF(D11="","-",+C39+1)</f>
        <v>2036</v>
      </c>
      <c r="D40" s="159">
        <f>IF(F39+SUM(E$17:E39)=D$10,F39,D$10-SUM(E$17:E39))</f>
        <v>1243250.5570186106</v>
      </c>
      <c r="E40" s="160">
        <f t="shared" si="7"/>
        <v>61307.883720930229</v>
      </c>
      <c r="F40" s="159">
        <f t="shared" si="8"/>
        <v>1181942.6732976804</v>
      </c>
      <c r="G40" s="161">
        <f t="shared" si="9"/>
        <v>182028.75516459369</v>
      </c>
      <c r="H40" s="142">
        <f t="shared" si="10"/>
        <v>182028.75516459369</v>
      </c>
      <c r="I40" s="156">
        <f t="shared" si="6"/>
        <v>0</v>
      </c>
      <c r="J40" s="156"/>
      <c r="K40" s="334"/>
      <c r="L40" s="158">
        <f t="shared" si="11"/>
        <v>0</v>
      </c>
      <c r="M40" s="334"/>
      <c r="N40" s="158">
        <f t="shared" si="12"/>
        <v>0</v>
      </c>
      <c r="O40" s="158">
        <f t="shared" si="13"/>
        <v>0</v>
      </c>
      <c r="P40" s="4"/>
    </row>
    <row r="41" spans="2:16">
      <c r="B41" s="9" t="str">
        <f t="shared" si="5"/>
        <v/>
      </c>
      <c r="C41" s="153">
        <f>IF(D11="","-",+C40+1)</f>
        <v>2037</v>
      </c>
      <c r="D41" s="159">
        <f>IF(F40+SUM(E$17:E40)=D$10,F40,D$10-SUM(E$17:E40))</f>
        <v>1181942.6732976804</v>
      </c>
      <c r="E41" s="160">
        <f t="shared" si="7"/>
        <v>61307.883720930229</v>
      </c>
      <c r="F41" s="159">
        <f t="shared" si="8"/>
        <v>1120634.7895767502</v>
      </c>
      <c r="G41" s="161">
        <f t="shared" si="9"/>
        <v>175925.20757371391</v>
      </c>
      <c r="H41" s="142">
        <f t="shared" si="10"/>
        <v>175925.20757371391</v>
      </c>
      <c r="I41" s="156">
        <f t="shared" si="6"/>
        <v>0</v>
      </c>
      <c r="J41" s="156"/>
      <c r="K41" s="334"/>
      <c r="L41" s="158">
        <f t="shared" si="11"/>
        <v>0</v>
      </c>
      <c r="M41" s="334"/>
      <c r="N41" s="158">
        <f t="shared" si="12"/>
        <v>0</v>
      </c>
      <c r="O41" s="158">
        <f t="shared" si="13"/>
        <v>0</v>
      </c>
      <c r="P41" s="4"/>
    </row>
    <row r="42" spans="2:16">
      <c r="B42" s="9" t="str">
        <f t="shared" si="5"/>
        <v/>
      </c>
      <c r="C42" s="153">
        <f>IF(D11="","-",+C41+1)</f>
        <v>2038</v>
      </c>
      <c r="D42" s="159">
        <f>IF(F41+SUM(E$17:E41)=D$10,F41,D$10-SUM(E$17:E41))</f>
        <v>1120634.7895767502</v>
      </c>
      <c r="E42" s="160">
        <f t="shared" si="7"/>
        <v>61307.883720930229</v>
      </c>
      <c r="F42" s="159">
        <f t="shared" si="8"/>
        <v>1059326.90585582</v>
      </c>
      <c r="G42" s="161">
        <f t="shared" si="9"/>
        <v>169821.65998283413</v>
      </c>
      <c r="H42" s="142">
        <f t="shared" si="10"/>
        <v>169821.65998283413</v>
      </c>
      <c r="I42" s="156">
        <f t="shared" si="6"/>
        <v>0</v>
      </c>
      <c r="J42" s="156"/>
      <c r="K42" s="334"/>
      <c r="L42" s="158">
        <f t="shared" si="11"/>
        <v>0</v>
      </c>
      <c r="M42" s="334"/>
      <c r="N42" s="158">
        <f t="shared" si="12"/>
        <v>0</v>
      </c>
      <c r="O42" s="158">
        <f t="shared" si="13"/>
        <v>0</v>
      </c>
      <c r="P42" s="4"/>
    </row>
    <row r="43" spans="2:16">
      <c r="B43" s="9" t="str">
        <f t="shared" si="5"/>
        <v/>
      </c>
      <c r="C43" s="153">
        <f>IF(D11="","-",+C42+1)</f>
        <v>2039</v>
      </c>
      <c r="D43" s="159">
        <f>IF(F42+SUM(E$17:E42)=D$10,F42,D$10-SUM(E$17:E42))</f>
        <v>1059326.90585582</v>
      </c>
      <c r="E43" s="160">
        <f t="shared" si="7"/>
        <v>61307.883720930229</v>
      </c>
      <c r="F43" s="159">
        <f t="shared" si="8"/>
        <v>998019.02213488985</v>
      </c>
      <c r="G43" s="161">
        <f t="shared" si="9"/>
        <v>163718.11239195432</v>
      </c>
      <c r="H43" s="142">
        <f t="shared" si="10"/>
        <v>163718.11239195432</v>
      </c>
      <c r="I43" s="156">
        <f t="shared" si="6"/>
        <v>0</v>
      </c>
      <c r="J43" s="156"/>
      <c r="K43" s="334"/>
      <c r="L43" s="158">
        <f t="shared" si="11"/>
        <v>0</v>
      </c>
      <c r="M43" s="334"/>
      <c r="N43" s="158">
        <f t="shared" si="12"/>
        <v>0</v>
      </c>
      <c r="O43" s="158">
        <f t="shared" si="13"/>
        <v>0</v>
      </c>
      <c r="P43" s="4"/>
    </row>
    <row r="44" spans="2:16">
      <c r="B44" s="9" t="str">
        <f t="shared" si="5"/>
        <v/>
      </c>
      <c r="C44" s="153">
        <f>IF(D11="","-",+C43+1)</f>
        <v>2040</v>
      </c>
      <c r="D44" s="159">
        <f>IF(F43+SUM(E$17:E43)=D$10,F43,D$10-SUM(E$17:E43))</f>
        <v>998019.02213488985</v>
      </c>
      <c r="E44" s="160">
        <f t="shared" si="7"/>
        <v>61307.883720930229</v>
      </c>
      <c r="F44" s="159">
        <f t="shared" si="8"/>
        <v>936711.13841395965</v>
      </c>
      <c r="G44" s="161">
        <f t="shared" si="9"/>
        <v>157614.56480107454</v>
      </c>
      <c r="H44" s="142">
        <f t="shared" si="10"/>
        <v>157614.56480107454</v>
      </c>
      <c r="I44" s="156">
        <f t="shared" si="6"/>
        <v>0</v>
      </c>
      <c r="J44" s="156"/>
      <c r="K44" s="334"/>
      <c r="L44" s="158">
        <f t="shared" si="11"/>
        <v>0</v>
      </c>
      <c r="M44" s="334"/>
      <c r="N44" s="158">
        <f t="shared" si="12"/>
        <v>0</v>
      </c>
      <c r="O44" s="158">
        <f t="shared" si="13"/>
        <v>0</v>
      </c>
      <c r="P44" s="4"/>
    </row>
    <row r="45" spans="2:16">
      <c r="B45" s="9" t="str">
        <f t="shared" si="5"/>
        <v/>
      </c>
      <c r="C45" s="153">
        <f>IF(D11="","-",+C44+1)</f>
        <v>2041</v>
      </c>
      <c r="D45" s="159">
        <f>IF(F44+SUM(E$17:E44)=D$10,F44,D$10-SUM(E$17:E44))</f>
        <v>936711.13841395965</v>
      </c>
      <c r="E45" s="160">
        <f t="shared" si="7"/>
        <v>61307.883720930229</v>
      </c>
      <c r="F45" s="159">
        <f t="shared" si="8"/>
        <v>875403.25469302945</v>
      </c>
      <c r="G45" s="161">
        <f t="shared" si="9"/>
        <v>151511.01721019475</v>
      </c>
      <c r="H45" s="142">
        <f t="shared" si="10"/>
        <v>151511.01721019475</v>
      </c>
      <c r="I45" s="156">
        <f t="shared" si="6"/>
        <v>0</v>
      </c>
      <c r="J45" s="156"/>
      <c r="K45" s="334"/>
      <c r="L45" s="158">
        <f t="shared" si="11"/>
        <v>0</v>
      </c>
      <c r="M45" s="334"/>
      <c r="N45" s="158">
        <f t="shared" si="12"/>
        <v>0</v>
      </c>
      <c r="O45" s="158">
        <f t="shared" si="13"/>
        <v>0</v>
      </c>
      <c r="P45" s="4"/>
    </row>
    <row r="46" spans="2:16">
      <c r="B46" s="9" t="str">
        <f t="shared" si="5"/>
        <v/>
      </c>
      <c r="C46" s="153">
        <f>IF(D11="","-",+C45+1)</f>
        <v>2042</v>
      </c>
      <c r="D46" s="159">
        <f>IF(F45+SUM(E$17:E45)=D$10,F45,D$10-SUM(E$17:E45))</f>
        <v>875403.25469302945</v>
      </c>
      <c r="E46" s="160">
        <f t="shared" si="7"/>
        <v>61307.883720930229</v>
      </c>
      <c r="F46" s="159">
        <f t="shared" si="8"/>
        <v>814095.37097209925</v>
      </c>
      <c r="G46" s="161">
        <f t="shared" si="9"/>
        <v>145407.46961931497</v>
      </c>
      <c r="H46" s="142">
        <f t="shared" si="10"/>
        <v>145407.46961931497</v>
      </c>
      <c r="I46" s="156">
        <f t="shared" si="6"/>
        <v>0</v>
      </c>
      <c r="J46" s="156"/>
      <c r="K46" s="334"/>
      <c r="L46" s="158">
        <f t="shared" si="11"/>
        <v>0</v>
      </c>
      <c r="M46" s="334"/>
      <c r="N46" s="158">
        <f t="shared" si="12"/>
        <v>0</v>
      </c>
      <c r="O46" s="158">
        <f t="shared" si="13"/>
        <v>0</v>
      </c>
      <c r="P46" s="4"/>
    </row>
    <row r="47" spans="2:16">
      <c r="B47" s="9" t="str">
        <f t="shared" si="5"/>
        <v/>
      </c>
      <c r="C47" s="153">
        <f>IF(D11="","-",+C46+1)</f>
        <v>2043</v>
      </c>
      <c r="D47" s="159">
        <f>IF(F46+SUM(E$17:E46)=D$10,F46,D$10-SUM(E$17:E46))</f>
        <v>814095.37097209925</v>
      </c>
      <c r="E47" s="160">
        <f t="shared" si="7"/>
        <v>61307.883720930229</v>
      </c>
      <c r="F47" s="159">
        <f t="shared" si="8"/>
        <v>752787.48725116905</v>
      </c>
      <c r="G47" s="161">
        <f t="shared" si="9"/>
        <v>139303.92202843516</v>
      </c>
      <c r="H47" s="142">
        <f t="shared" si="10"/>
        <v>139303.92202843516</v>
      </c>
      <c r="I47" s="156">
        <f t="shared" si="6"/>
        <v>0</v>
      </c>
      <c r="J47" s="156"/>
      <c r="K47" s="334"/>
      <c r="L47" s="158">
        <f t="shared" si="11"/>
        <v>0</v>
      </c>
      <c r="M47" s="334"/>
      <c r="N47" s="158">
        <f t="shared" si="12"/>
        <v>0</v>
      </c>
      <c r="O47" s="158">
        <f t="shared" si="13"/>
        <v>0</v>
      </c>
      <c r="P47" s="4"/>
    </row>
    <row r="48" spans="2:16">
      <c r="B48" s="9" t="str">
        <f t="shared" si="5"/>
        <v/>
      </c>
      <c r="C48" s="153">
        <f>IF(D11="","-",+C47+1)</f>
        <v>2044</v>
      </c>
      <c r="D48" s="159">
        <f>IF(F47+SUM(E$17:E47)=D$10,F47,D$10-SUM(E$17:E47))</f>
        <v>752787.48725116905</v>
      </c>
      <c r="E48" s="160">
        <f t="shared" si="7"/>
        <v>61307.883720930229</v>
      </c>
      <c r="F48" s="159">
        <f t="shared" si="8"/>
        <v>691479.60353023885</v>
      </c>
      <c r="G48" s="161">
        <f t="shared" si="9"/>
        <v>133200.37443755538</v>
      </c>
      <c r="H48" s="142">
        <f t="shared" si="10"/>
        <v>133200.37443755538</v>
      </c>
      <c r="I48" s="156">
        <f t="shared" si="6"/>
        <v>0</v>
      </c>
      <c r="J48" s="156"/>
      <c r="K48" s="334"/>
      <c r="L48" s="158">
        <f t="shared" si="11"/>
        <v>0</v>
      </c>
      <c r="M48" s="334"/>
      <c r="N48" s="158">
        <f t="shared" si="12"/>
        <v>0</v>
      </c>
      <c r="O48" s="158">
        <f t="shared" si="13"/>
        <v>0</v>
      </c>
      <c r="P48" s="4"/>
    </row>
    <row r="49" spans="2:17">
      <c r="B49" s="9" t="str">
        <f t="shared" si="5"/>
        <v/>
      </c>
      <c r="C49" s="153">
        <f>IF(D11="","-",+C48+1)</f>
        <v>2045</v>
      </c>
      <c r="D49" s="159">
        <f>IF(F48+SUM(E$17:E48)=D$10,F48,D$10-SUM(E$17:E48))</f>
        <v>691479.60353023885</v>
      </c>
      <c r="E49" s="160">
        <f t="shared" si="7"/>
        <v>61307.883720930229</v>
      </c>
      <c r="F49" s="159">
        <f t="shared" si="8"/>
        <v>630171.71980930865</v>
      </c>
      <c r="G49" s="161">
        <f t="shared" si="9"/>
        <v>127096.82684667561</v>
      </c>
      <c r="H49" s="142">
        <f t="shared" si="10"/>
        <v>127096.82684667561</v>
      </c>
      <c r="I49" s="156">
        <f t="shared" si="6"/>
        <v>0</v>
      </c>
      <c r="J49" s="156"/>
      <c r="K49" s="334"/>
      <c r="L49" s="158">
        <f t="shared" si="11"/>
        <v>0</v>
      </c>
      <c r="M49" s="334"/>
      <c r="N49" s="158">
        <f t="shared" si="12"/>
        <v>0</v>
      </c>
      <c r="O49" s="158">
        <f t="shared" si="13"/>
        <v>0</v>
      </c>
      <c r="P49" s="4"/>
    </row>
    <row r="50" spans="2:17">
      <c r="B50" s="9" t="str">
        <f t="shared" si="5"/>
        <v/>
      </c>
      <c r="C50" s="153">
        <f>IF(D11="","-",+C49+1)</f>
        <v>2046</v>
      </c>
      <c r="D50" s="159">
        <f>IF(F49+SUM(E$17:E49)=D$10,F49,D$10-SUM(E$17:E49))</f>
        <v>630171.71980930865</v>
      </c>
      <c r="E50" s="160">
        <f t="shared" si="7"/>
        <v>61307.883720930229</v>
      </c>
      <c r="F50" s="159">
        <f t="shared" si="8"/>
        <v>568863.83608837845</v>
      </c>
      <c r="G50" s="161">
        <f t="shared" si="9"/>
        <v>120993.27925579582</v>
      </c>
      <c r="H50" s="142">
        <f t="shared" si="10"/>
        <v>120993.27925579582</v>
      </c>
      <c r="I50" s="156">
        <f t="shared" si="6"/>
        <v>0</v>
      </c>
      <c r="J50" s="156"/>
      <c r="K50" s="334"/>
      <c r="L50" s="158">
        <f t="shared" si="11"/>
        <v>0</v>
      </c>
      <c r="M50" s="334"/>
      <c r="N50" s="158">
        <f t="shared" si="12"/>
        <v>0</v>
      </c>
      <c r="O50" s="158">
        <f t="shared" si="13"/>
        <v>0</v>
      </c>
      <c r="P50" s="4"/>
    </row>
    <row r="51" spans="2:17">
      <c r="B51" s="9" t="str">
        <f t="shared" si="5"/>
        <v/>
      </c>
      <c r="C51" s="153">
        <f>IF(D11="","-",+C50+1)</f>
        <v>2047</v>
      </c>
      <c r="D51" s="159">
        <f>IF(F50+SUM(E$17:E50)=D$10,F50,D$10-SUM(E$17:E50))</f>
        <v>568863.83608837845</v>
      </c>
      <c r="E51" s="160">
        <f t="shared" si="7"/>
        <v>61307.883720930229</v>
      </c>
      <c r="F51" s="159">
        <f t="shared" si="8"/>
        <v>507555.95236744825</v>
      </c>
      <c r="G51" s="161">
        <f t="shared" si="9"/>
        <v>114889.73166491603</v>
      </c>
      <c r="H51" s="142">
        <f t="shared" si="10"/>
        <v>114889.73166491603</v>
      </c>
      <c r="I51" s="156">
        <f t="shared" si="6"/>
        <v>0</v>
      </c>
      <c r="J51" s="156"/>
      <c r="K51" s="334"/>
      <c r="L51" s="158">
        <f t="shared" si="11"/>
        <v>0</v>
      </c>
      <c r="M51" s="334"/>
      <c r="N51" s="158">
        <f t="shared" si="12"/>
        <v>0</v>
      </c>
      <c r="O51" s="158">
        <f t="shared" si="13"/>
        <v>0</v>
      </c>
      <c r="P51" s="4"/>
    </row>
    <row r="52" spans="2:17">
      <c r="B52" s="9" t="str">
        <f t="shared" si="5"/>
        <v/>
      </c>
      <c r="C52" s="153">
        <f>IF(D11="","-",+C51+1)</f>
        <v>2048</v>
      </c>
      <c r="D52" s="159">
        <f>IF(F51+SUM(E$17:E51)=D$10,F51,D$10-SUM(E$17:E51))</f>
        <v>507555.95236744825</v>
      </c>
      <c r="E52" s="160">
        <f t="shared" si="7"/>
        <v>61307.883720930229</v>
      </c>
      <c r="F52" s="159">
        <f t="shared" si="8"/>
        <v>446248.06864651805</v>
      </c>
      <c r="G52" s="161">
        <f t="shared" si="9"/>
        <v>108786.18407403625</v>
      </c>
      <c r="H52" s="142">
        <f t="shared" si="10"/>
        <v>108786.18407403625</v>
      </c>
      <c r="I52" s="156">
        <f t="shared" si="6"/>
        <v>0</v>
      </c>
      <c r="J52" s="156"/>
      <c r="K52" s="334"/>
      <c r="L52" s="158">
        <f t="shared" si="11"/>
        <v>0</v>
      </c>
      <c r="M52" s="334"/>
      <c r="N52" s="158">
        <f t="shared" si="12"/>
        <v>0</v>
      </c>
      <c r="O52" s="158">
        <f t="shared" si="13"/>
        <v>0</v>
      </c>
      <c r="P52" s="4"/>
    </row>
    <row r="53" spans="2:17">
      <c r="B53" s="9" t="str">
        <f t="shared" si="5"/>
        <v/>
      </c>
      <c r="C53" s="153">
        <f>IF(D11="","-",+C52+1)</f>
        <v>2049</v>
      </c>
      <c r="D53" s="159">
        <f>IF(F52+SUM(E$17:E52)=D$10,F52,D$10-SUM(E$17:E52))</f>
        <v>446248.06864651805</v>
      </c>
      <c r="E53" s="160">
        <f t="shared" si="7"/>
        <v>61307.883720930229</v>
      </c>
      <c r="F53" s="159">
        <f t="shared" si="8"/>
        <v>384940.18492558785</v>
      </c>
      <c r="G53" s="161">
        <f t="shared" ref="G53:G72" si="14">+I$12*((D53+F53)/2)+E53</f>
        <v>102682.63648315647</v>
      </c>
      <c r="H53" s="142">
        <f t="shared" ref="H53:H72" si="15">+I$13*((D53+F53)/2)+E53</f>
        <v>102682.63648315647</v>
      </c>
      <c r="I53" s="156">
        <f t="shared" si="6"/>
        <v>0</v>
      </c>
      <c r="J53" s="156"/>
      <c r="K53" s="334"/>
      <c r="L53" s="158">
        <f t="shared" si="11"/>
        <v>0</v>
      </c>
      <c r="M53" s="334"/>
      <c r="N53" s="158">
        <f t="shared" si="12"/>
        <v>0</v>
      </c>
      <c r="O53" s="158">
        <f t="shared" si="13"/>
        <v>0</v>
      </c>
      <c r="P53" s="4"/>
    </row>
    <row r="54" spans="2:17">
      <c r="B54" s="9" t="str">
        <f t="shared" si="5"/>
        <v/>
      </c>
      <c r="C54" s="153">
        <f>IF(D11="","-",+C53+1)</f>
        <v>2050</v>
      </c>
      <c r="D54" s="159">
        <f>IF(F53+SUM(E$17:E53)=D$10,F53,D$10-SUM(E$17:E53))</f>
        <v>384940.18492558785</v>
      </c>
      <c r="E54" s="160">
        <f t="shared" si="7"/>
        <v>61307.883720930229</v>
      </c>
      <c r="F54" s="159">
        <f t="shared" si="8"/>
        <v>323632.30120465765</v>
      </c>
      <c r="G54" s="161">
        <f t="shared" si="14"/>
        <v>96579.08889227669</v>
      </c>
      <c r="H54" s="142">
        <f t="shared" si="15"/>
        <v>96579.08889227669</v>
      </c>
      <c r="I54" s="156">
        <f t="shared" si="6"/>
        <v>0</v>
      </c>
      <c r="J54" s="156"/>
      <c r="K54" s="334"/>
      <c r="L54" s="158">
        <f t="shared" si="11"/>
        <v>0</v>
      </c>
      <c r="M54" s="334"/>
      <c r="N54" s="158">
        <f t="shared" si="12"/>
        <v>0</v>
      </c>
      <c r="O54" s="158">
        <f t="shared" si="13"/>
        <v>0</v>
      </c>
      <c r="P54" s="4"/>
    </row>
    <row r="55" spans="2:17">
      <c r="B55" s="9" t="str">
        <f t="shared" si="5"/>
        <v/>
      </c>
      <c r="C55" s="153">
        <f>IF(D11="","-",+C54+1)</f>
        <v>2051</v>
      </c>
      <c r="D55" s="159">
        <f>IF(F54+SUM(E$17:E54)=D$10,F54,D$10-SUM(E$17:E54))</f>
        <v>323632.30120465765</v>
      </c>
      <c r="E55" s="160">
        <f t="shared" si="7"/>
        <v>61307.883720930229</v>
      </c>
      <c r="F55" s="159">
        <f t="shared" si="8"/>
        <v>262324.41748372745</v>
      </c>
      <c r="G55" s="161">
        <f t="shared" si="14"/>
        <v>90475.541301396894</v>
      </c>
      <c r="H55" s="142">
        <f t="shared" si="15"/>
        <v>90475.541301396894</v>
      </c>
      <c r="I55" s="156">
        <f t="shared" si="6"/>
        <v>0</v>
      </c>
      <c r="J55" s="156"/>
      <c r="K55" s="334"/>
      <c r="L55" s="158">
        <f t="shared" si="11"/>
        <v>0</v>
      </c>
      <c r="M55" s="334"/>
      <c r="N55" s="158">
        <f t="shared" si="12"/>
        <v>0</v>
      </c>
      <c r="O55" s="158">
        <f t="shared" si="13"/>
        <v>0</v>
      </c>
      <c r="P55" s="4"/>
    </row>
    <row r="56" spans="2:17">
      <c r="B56" s="9" t="str">
        <f t="shared" si="5"/>
        <v/>
      </c>
      <c r="C56" s="153">
        <f>IF(D11="","-",+C55+1)</f>
        <v>2052</v>
      </c>
      <c r="D56" s="159">
        <f>IF(F55+SUM(E$17:E55)=D$10,F55,D$10-SUM(E$17:E55))</f>
        <v>262324.41748372745</v>
      </c>
      <c r="E56" s="160">
        <f t="shared" si="7"/>
        <v>61307.883720930229</v>
      </c>
      <c r="F56" s="159">
        <f t="shared" si="8"/>
        <v>201016.53376279722</v>
      </c>
      <c r="G56" s="161">
        <f t="shared" si="14"/>
        <v>84371.993710517112</v>
      </c>
      <c r="H56" s="142">
        <f t="shared" si="15"/>
        <v>84371.993710517112</v>
      </c>
      <c r="I56" s="156">
        <f t="shared" si="6"/>
        <v>0</v>
      </c>
      <c r="J56" s="156"/>
      <c r="K56" s="334"/>
      <c r="L56" s="158">
        <f t="shared" si="11"/>
        <v>0</v>
      </c>
      <c r="M56" s="334"/>
      <c r="N56" s="158">
        <f t="shared" si="12"/>
        <v>0</v>
      </c>
      <c r="O56" s="158">
        <f t="shared" si="13"/>
        <v>0</v>
      </c>
      <c r="P56" s="4"/>
    </row>
    <row r="57" spans="2:17">
      <c r="B57" s="9" t="str">
        <f t="shared" si="5"/>
        <v/>
      </c>
      <c r="C57" s="153">
        <f>IF(D11="","-",+C56+1)</f>
        <v>2053</v>
      </c>
      <c r="D57" s="159">
        <f>IF(F56+SUM(E$17:E56)=D$10,F56,D$10-SUM(E$17:E56))</f>
        <v>201016.53376279722</v>
      </c>
      <c r="E57" s="160">
        <f t="shared" si="7"/>
        <v>61307.883720930229</v>
      </c>
      <c r="F57" s="159">
        <f t="shared" si="8"/>
        <v>139708.65004186699</v>
      </c>
      <c r="G57" s="161">
        <f t="shared" si="14"/>
        <v>78268.446119637316</v>
      </c>
      <c r="H57" s="142">
        <f t="shared" si="15"/>
        <v>78268.446119637316</v>
      </c>
      <c r="I57" s="156">
        <f t="shared" si="6"/>
        <v>0</v>
      </c>
      <c r="J57" s="156"/>
      <c r="K57" s="334"/>
      <c r="L57" s="158">
        <f t="shared" si="11"/>
        <v>0</v>
      </c>
      <c r="M57" s="334"/>
      <c r="N57" s="158">
        <f t="shared" si="12"/>
        <v>0</v>
      </c>
      <c r="O57" s="158">
        <f t="shared" si="13"/>
        <v>0</v>
      </c>
      <c r="P57" s="4"/>
    </row>
    <row r="58" spans="2:17">
      <c r="B58" s="9" t="str">
        <f t="shared" si="5"/>
        <v/>
      </c>
      <c r="C58" s="153">
        <f>IF(D11="","-",+C57+1)</f>
        <v>2054</v>
      </c>
      <c r="D58" s="159">
        <f>IF(F57+SUM(E$17:E57)=D$10,F57,D$10-SUM(E$17:E57))</f>
        <v>139708.65004186699</v>
      </c>
      <c r="E58" s="160">
        <f t="shared" si="7"/>
        <v>61307.883720930229</v>
      </c>
      <c r="F58" s="159">
        <f t="shared" si="8"/>
        <v>78400.76632093676</v>
      </c>
      <c r="G58" s="161">
        <f t="shared" si="14"/>
        <v>72164.898528757534</v>
      </c>
      <c r="H58" s="142">
        <f t="shared" si="15"/>
        <v>72164.898528757534</v>
      </c>
      <c r="I58" s="156">
        <f t="shared" si="6"/>
        <v>0</v>
      </c>
      <c r="J58" s="156"/>
      <c r="K58" s="334"/>
      <c r="L58" s="158">
        <f t="shared" si="11"/>
        <v>0</v>
      </c>
      <c r="M58" s="334"/>
      <c r="N58" s="158">
        <f t="shared" si="12"/>
        <v>0</v>
      </c>
      <c r="O58" s="158">
        <f t="shared" si="13"/>
        <v>0</v>
      </c>
      <c r="P58" s="4"/>
      <c r="Q58" t="str">
        <f>IF(ROUND(Q57,0)=ROUND(SUM(Q18:Q56),0),"","Error -- check allocations above).")</f>
        <v/>
      </c>
    </row>
    <row r="59" spans="2:17">
      <c r="B59" s="9" t="str">
        <f t="shared" si="5"/>
        <v/>
      </c>
      <c r="C59" s="153">
        <f>IF(D11="","-",+C58+1)</f>
        <v>2055</v>
      </c>
      <c r="D59" s="159">
        <f>IF(F58+SUM(E$17:E58)=D$10,F58,D$10-SUM(E$17:E58))</f>
        <v>78400.76632093676</v>
      </c>
      <c r="E59" s="160">
        <f t="shared" si="7"/>
        <v>61307.883720930229</v>
      </c>
      <c r="F59" s="159">
        <f t="shared" si="8"/>
        <v>17092.882600006531</v>
      </c>
      <c r="G59" s="161">
        <f t="shared" si="14"/>
        <v>66061.350937877738</v>
      </c>
      <c r="H59" s="142">
        <f t="shared" si="15"/>
        <v>66061.350937877738</v>
      </c>
      <c r="I59" s="156">
        <f t="shared" si="6"/>
        <v>0</v>
      </c>
      <c r="J59" s="156"/>
      <c r="K59" s="334"/>
      <c r="L59" s="158">
        <f t="shared" si="11"/>
        <v>0</v>
      </c>
      <c r="M59" s="334"/>
      <c r="N59" s="158">
        <f t="shared" si="12"/>
        <v>0</v>
      </c>
      <c r="O59" s="158">
        <f t="shared" si="13"/>
        <v>0</v>
      </c>
      <c r="P59" s="4"/>
    </row>
    <row r="60" spans="2:17">
      <c r="B60" s="9" t="str">
        <f t="shared" si="5"/>
        <v/>
      </c>
      <c r="C60" s="153">
        <f>IF(D11="","-",+C59+1)</f>
        <v>2056</v>
      </c>
      <c r="D60" s="159">
        <f>IF(F59+SUM(E$17:E59)=D$10,F59,D$10-SUM(E$17:E59))</f>
        <v>17092.882600006531</v>
      </c>
      <c r="E60" s="160">
        <f t="shared" si="7"/>
        <v>17092.882600006531</v>
      </c>
      <c r="F60" s="159">
        <f t="shared" si="8"/>
        <v>0</v>
      </c>
      <c r="G60" s="161">
        <f t="shared" si="14"/>
        <v>17943.72931076034</v>
      </c>
      <c r="H60" s="142">
        <f t="shared" si="15"/>
        <v>17943.72931076034</v>
      </c>
      <c r="I60" s="156">
        <f t="shared" si="6"/>
        <v>0</v>
      </c>
      <c r="J60" s="156"/>
      <c r="K60" s="334"/>
      <c r="L60" s="158">
        <f t="shared" si="11"/>
        <v>0</v>
      </c>
      <c r="M60" s="334"/>
      <c r="N60" s="158">
        <f t="shared" si="12"/>
        <v>0</v>
      </c>
      <c r="O60" s="158">
        <f t="shared" si="13"/>
        <v>0</v>
      </c>
      <c r="P60" s="4"/>
    </row>
    <row r="61" spans="2:17">
      <c r="B61" s="9" t="str">
        <f t="shared" si="5"/>
        <v/>
      </c>
      <c r="C61" s="153">
        <f>IF(D11="","-",+C60+1)</f>
        <v>2057</v>
      </c>
      <c r="D61" s="159">
        <f>IF(F60+SUM(E$17:E60)=D$10,F60,D$10-SUM(E$17:E60))</f>
        <v>0</v>
      </c>
      <c r="E61" s="160">
        <f t="shared" si="7"/>
        <v>0</v>
      </c>
      <c r="F61" s="159">
        <f t="shared" si="8"/>
        <v>0</v>
      </c>
      <c r="G61" s="161">
        <f t="shared" si="14"/>
        <v>0</v>
      </c>
      <c r="H61" s="142">
        <f t="shared" si="15"/>
        <v>0</v>
      </c>
      <c r="I61" s="156">
        <f t="shared" si="6"/>
        <v>0</v>
      </c>
      <c r="J61" s="156"/>
      <c r="K61" s="334"/>
      <c r="L61" s="158">
        <f t="shared" si="11"/>
        <v>0</v>
      </c>
      <c r="M61" s="334"/>
      <c r="N61" s="158">
        <f t="shared" si="12"/>
        <v>0</v>
      </c>
      <c r="O61" s="158">
        <f t="shared" si="13"/>
        <v>0</v>
      </c>
      <c r="P61" s="4"/>
    </row>
    <row r="62" spans="2:17">
      <c r="B62" s="9" t="str">
        <f t="shared" si="5"/>
        <v/>
      </c>
      <c r="C62" s="153">
        <f>IF(D11="","-",+C61+1)</f>
        <v>2058</v>
      </c>
      <c r="D62" s="159">
        <f>IF(F61+SUM(E$17:E61)=D$10,F61,D$10-SUM(E$17:E61))</f>
        <v>0</v>
      </c>
      <c r="E62" s="160">
        <f t="shared" si="7"/>
        <v>0</v>
      </c>
      <c r="F62" s="159">
        <f t="shared" si="8"/>
        <v>0</v>
      </c>
      <c r="G62" s="161">
        <f t="shared" si="14"/>
        <v>0</v>
      </c>
      <c r="H62" s="142">
        <f t="shared" si="15"/>
        <v>0</v>
      </c>
      <c r="I62" s="156">
        <f t="shared" si="6"/>
        <v>0</v>
      </c>
      <c r="J62" s="156"/>
      <c r="K62" s="334"/>
      <c r="L62" s="158">
        <f t="shared" si="11"/>
        <v>0</v>
      </c>
      <c r="M62" s="334"/>
      <c r="N62" s="158">
        <f t="shared" si="12"/>
        <v>0</v>
      </c>
      <c r="O62" s="158">
        <f t="shared" si="13"/>
        <v>0</v>
      </c>
      <c r="P62" s="4"/>
    </row>
    <row r="63" spans="2:17">
      <c r="B63" s="9" t="str">
        <f t="shared" si="5"/>
        <v/>
      </c>
      <c r="C63" s="153">
        <f>IF(D11="","-",+C62+1)</f>
        <v>2059</v>
      </c>
      <c r="D63" s="159">
        <f>IF(F62+SUM(E$17:E62)=D$10,F62,D$10-SUM(E$17:E62))</f>
        <v>0</v>
      </c>
      <c r="E63" s="160">
        <f t="shared" si="7"/>
        <v>0</v>
      </c>
      <c r="F63" s="159">
        <f t="shared" si="8"/>
        <v>0</v>
      </c>
      <c r="G63" s="161">
        <f t="shared" si="14"/>
        <v>0</v>
      </c>
      <c r="H63" s="142">
        <f t="shared" si="15"/>
        <v>0</v>
      </c>
      <c r="I63" s="156">
        <f t="shared" si="6"/>
        <v>0</v>
      </c>
      <c r="J63" s="156"/>
      <c r="K63" s="334"/>
      <c r="L63" s="158">
        <f t="shared" si="11"/>
        <v>0</v>
      </c>
      <c r="M63" s="334"/>
      <c r="N63" s="158">
        <f t="shared" si="12"/>
        <v>0</v>
      </c>
      <c r="O63" s="158">
        <f t="shared" si="13"/>
        <v>0</v>
      </c>
      <c r="P63" s="4"/>
    </row>
    <row r="64" spans="2:17">
      <c r="B64" s="9" t="str">
        <f t="shared" si="5"/>
        <v/>
      </c>
      <c r="C64" s="153">
        <f>IF(D11="","-",+C63+1)</f>
        <v>2060</v>
      </c>
      <c r="D64" s="159">
        <f>IF(F63+SUM(E$17:E63)=D$10,F63,D$10-SUM(E$17:E63))</f>
        <v>0</v>
      </c>
      <c r="E64" s="160">
        <f t="shared" si="7"/>
        <v>0</v>
      </c>
      <c r="F64" s="159">
        <f t="shared" si="8"/>
        <v>0</v>
      </c>
      <c r="G64" s="161">
        <f t="shared" si="14"/>
        <v>0</v>
      </c>
      <c r="H64" s="142">
        <f t="shared" si="15"/>
        <v>0</v>
      </c>
      <c r="I64" s="156">
        <f t="shared" si="6"/>
        <v>0</v>
      </c>
      <c r="J64" s="156"/>
      <c r="K64" s="334"/>
      <c r="L64" s="158">
        <f t="shared" si="11"/>
        <v>0</v>
      </c>
      <c r="M64" s="334"/>
      <c r="N64" s="158">
        <f t="shared" si="12"/>
        <v>0</v>
      </c>
      <c r="O64" s="158">
        <f t="shared" si="13"/>
        <v>0</v>
      </c>
      <c r="P64" s="4"/>
    </row>
    <row r="65" spans="2:16">
      <c r="B65" s="9" t="str">
        <f t="shared" si="5"/>
        <v/>
      </c>
      <c r="C65" s="153">
        <f>IF(D11="","-",+C64+1)</f>
        <v>2061</v>
      </c>
      <c r="D65" s="159">
        <f>IF(F64+SUM(E$17:E64)=D$10,F64,D$10-SUM(E$17:E64))</f>
        <v>0</v>
      </c>
      <c r="E65" s="160">
        <f t="shared" si="7"/>
        <v>0</v>
      </c>
      <c r="F65" s="159">
        <f t="shared" si="8"/>
        <v>0</v>
      </c>
      <c r="G65" s="161">
        <f t="shared" si="14"/>
        <v>0</v>
      </c>
      <c r="H65" s="142">
        <f t="shared" si="15"/>
        <v>0</v>
      </c>
      <c r="I65" s="156">
        <f t="shared" si="6"/>
        <v>0</v>
      </c>
      <c r="J65" s="156"/>
      <c r="K65" s="334"/>
      <c r="L65" s="158">
        <f t="shared" si="11"/>
        <v>0</v>
      </c>
      <c r="M65" s="334"/>
      <c r="N65" s="158">
        <f t="shared" si="12"/>
        <v>0</v>
      </c>
      <c r="O65" s="158">
        <f t="shared" si="13"/>
        <v>0</v>
      </c>
      <c r="P65" s="4"/>
    </row>
    <row r="66" spans="2:16">
      <c r="B66" s="9" t="str">
        <f t="shared" si="5"/>
        <v/>
      </c>
      <c r="C66" s="153">
        <f>IF(D11="","-",+C65+1)</f>
        <v>2062</v>
      </c>
      <c r="D66" s="159">
        <f>IF(F65+SUM(E$17:E65)=D$10,F65,D$10-SUM(E$17:E65))</f>
        <v>0</v>
      </c>
      <c r="E66" s="160">
        <f t="shared" si="7"/>
        <v>0</v>
      </c>
      <c r="F66" s="159">
        <f t="shared" si="8"/>
        <v>0</v>
      </c>
      <c r="G66" s="161">
        <f t="shared" si="14"/>
        <v>0</v>
      </c>
      <c r="H66" s="142">
        <f t="shared" si="15"/>
        <v>0</v>
      </c>
      <c r="I66" s="156">
        <f t="shared" si="6"/>
        <v>0</v>
      </c>
      <c r="J66" s="156"/>
      <c r="K66" s="334"/>
      <c r="L66" s="158">
        <f t="shared" si="11"/>
        <v>0</v>
      </c>
      <c r="M66" s="334"/>
      <c r="N66" s="158">
        <f t="shared" si="12"/>
        <v>0</v>
      </c>
      <c r="O66" s="158">
        <f t="shared" si="13"/>
        <v>0</v>
      </c>
      <c r="P66" s="4"/>
    </row>
    <row r="67" spans="2:16">
      <c r="B67" s="9" t="str">
        <f t="shared" si="5"/>
        <v/>
      </c>
      <c r="C67" s="153">
        <f>IF(D11="","-",+C66+1)</f>
        <v>2063</v>
      </c>
      <c r="D67" s="159">
        <f>IF(F66+SUM(E$17:E66)=D$10,F66,D$10-SUM(E$17:E66))</f>
        <v>0</v>
      </c>
      <c r="E67" s="160">
        <f t="shared" si="7"/>
        <v>0</v>
      </c>
      <c r="F67" s="159">
        <f t="shared" si="8"/>
        <v>0</v>
      </c>
      <c r="G67" s="161">
        <f t="shared" si="14"/>
        <v>0</v>
      </c>
      <c r="H67" s="142">
        <f t="shared" si="15"/>
        <v>0</v>
      </c>
      <c r="I67" s="156">
        <f t="shared" si="6"/>
        <v>0</v>
      </c>
      <c r="J67" s="156"/>
      <c r="K67" s="334"/>
      <c r="L67" s="158">
        <f t="shared" si="11"/>
        <v>0</v>
      </c>
      <c r="M67" s="334"/>
      <c r="N67" s="158">
        <f t="shared" si="12"/>
        <v>0</v>
      </c>
      <c r="O67" s="158">
        <f t="shared" si="13"/>
        <v>0</v>
      </c>
      <c r="P67" s="4"/>
    </row>
    <row r="68" spans="2:16">
      <c r="B68" s="9" t="str">
        <f t="shared" si="5"/>
        <v/>
      </c>
      <c r="C68" s="153">
        <f>IF(D11="","-",+C67+1)</f>
        <v>2064</v>
      </c>
      <c r="D68" s="159">
        <f>IF(F67+SUM(E$17:E67)=D$10,F67,D$10-SUM(E$17:E67))</f>
        <v>0</v>
      </c>
      <c r="E68" s="160">
        <f t="shared" si="7"/>
        <v>0</v>
      </c>
      <c r="F68" s="159">
        <f t="shared" si="8"/>
        <v>0</v>
      </c>
      <c r="G68" s="161">
        <f t="shared" si="14"/>
        <v>0</v>
      </c>
      <c r="H68" s="142">
        <f t="shared" si="15"/>
        <v>0</v>
      </c>
      <c r="I68" s="156">
        <f t="shared" si="6"/>
        <v>0</v>
      </c>
      <c r="J68" s="156"/>
      <c r="K68" s="334"/>
      <c r="L68" s="158">
        <f t="shared" si="11"/>
        <v>0</v>
      </c>
      <c r="M68" s="334"/>
      <c r="N68" s="158">
        <f t="shared" si="12"/>
        <v>0</v>
      </c>
      <c r="O68" s="158">
        <f t="shared" si="13"/>
        <v>0</v>
      </c>
      <c r="P68" s="4"/>
    </row>
    <row r="69" spans="2:16">
      <c r="B69" s="9" t="str">
        <f t="shared" si="5"/>
        <v/>
      </c>
      <c r="C69" s="153">
        <f>IF(D11="","-",+C68+1)</f>
        <v>2065</v>
      </c>
      <c r="D69" s="159">
        <f>IF(F68+SUM(E$17:E68)=D$10,F68,D$10-SUM(E$17:E68))</f>
        <v>0</v>
      </c>
      <c r="E69" s="160">
        <f t="shared" si="7"/>
        <v>0</v>
      </c>
      <c r="F69" s="159">
        <f t="shared" si="8"/>
        <v>0</v>
      </c>
      <c r="G69" s="161">
        <f t="shared" si="14"/>
        <v>0</v>
      </c>
      <c r="H69" s="142">
        <f t="shared" si="15"/>
        <v>0</v>
      </c>
      <c r="I69" s="156">
        <f t="shared" si="6"/>
        <v>0</v>
      </c>
      <c r="J69" s="156"/>
      <c r="K69" s="334"/>
      <c r="L69" s="158">
        <f t="shared" si="11"/>
        <v>0</v>
      </c>
      <c r="M69" s="334"/>
      <c r="N69" s="158">
        <f t="shared" si="12"/>
        <v>0</v>
      </c>
      <c r="O69" s="158">
        <f t="shared" si="13"/>
        <v>0</v>
      </c>
      <c r="P69" s="4"/>
    </row>
    <row r="70" spans="2:16">
      <c r="B70" s="9" t="str">
        <f t="shared" si="5"/>
        <v/>
      </c>
      <c r="C70" s="153">
        <f>IF(D11="","-",+C69+1)</f>
        <v>2066</v>
      </c>
      <c r="D70" s="159">
        <f>IF(F69+SUM(E$17:E69)=D$10,F69,D$10-SUM(E$17:E69))</f>
        <v>0</v>
      </c>
      <c r="E70" s="160">
        <f t="shared" si="7"/>
        <v>0</v>
      </c>
      <c r="F70" s="159">
        <f t="shared" si="8"/>
        <v>0</v>
      </c>
      <c r="G70" s="161">
        <f t="shared" si="14"/>
        <v>0</v>
      </c>
      <c r="H70" s="142">
        <f t="shared" si="15"/>
        <v>0</v>
      </c>
      <c r="I70" s="156">
        <f t="shared" si="6"/>
        <v>0</v>
      </c>
      <c r="J70" s="156"/>
      <c r="K70" s="334"/>
      <c r="L70" s="158">
        <f t="shared" si="11"/>
        <v>0</v>
      </c>
      <c r="M70" s="334"/>
      <c r="N70" s="158">
        <f t="shared" si="12"/>
        <v>0</v>
      </c>
      <c r="O70" s="158">
        <f t="shared" si="13"/>
        <v>0</v>
      </c>
      <c r="P70" s="4"/>
    </row>
    <row r="71" spans="2:16">
      <c r="B71" s="9" t="str">
        <f t="shared" si="5"/>
        <v/>
      </c>
      <c r="C71" s="153">
        <f>IF(D11="","-",+C70+1)</f>
        <v>2067</v>
      </c>
      <c r="D71" s="159">
        <f>IF(F70+SUM(E$17:E70)=D$10,F70,D$10-SUM(E$17:E70))</f>
        <v>0</v>
      </c>
      <c r="E71" s="160">
        <f t="shared" si="7"/>
        <v>0</v>
      </c>
      <c r="F71" s="159">
        <f t="shared" si="8"/>
        <v>0</v>
      </c>
      <c r="G71" s="161">
        <f t="shared" si="14"/>
        <v>0</v>
      </c>
      <c r="H71" s="142">
        <f t="shared" si="15"/>
        <v>0</v>
      </c>
      <c r="I71" s="156">
        <f t="shared" si="6"/>
        <v>0</v>
      </c>
      <c r="J71" s="156"/>
      <c r="K71" s="334"/>
      <c r="L71" s="158">
        <f t="shared" si="11"/>
        <v>0</v>
      </c>
      <c r="M71" s="334"/>
      <c r="N71" s="158">
        <f t="shared" si="12"/>
        <v>0</v>
      </c>
      <c r="O71" s="158">
        <f t="shared" si="13"/>
        <v>0</v>
      </c>
      <c r="P71" s="4"/>
    </row>
    <row r="72" spans="2:16" ht="13.5" thickBot="1">
      <c r="B72" s="9" t="str">
        <f t="shared" si="5"/>
        <v/>
      </c>
      <c r="C72" s="164">
        <f>IF(D11="","-",+C71+1)</f>
        <v>2068</v>
      </c>
      <c r="D72" s="159">
        <f>IF(F71+SUM(E$17:E71)=D$10,F71,D$10-SUM(E$17:E71))</f>
        <v>0</v>
      </c>
      <c r="E72" s="160">
        <f t="shared" si="7"/>
        <v>0</v>
      </c>
      <c r="F72" s="159">
        <f t="shared" si="8"/>
        <v>0</v>
      </c>
      <c r="G72" s="161">
        <f t="shared" si="14"/>
        <v>0</v>
      </c>
      <c r="H72" s="142">
        <f t="shared" si="15"/>
        <v>0</v>
      </c>
      <c r="I72" s="156">
        <f t="shared" si="6"/>
        <v>0</v>
      </c>
      <c r="J72" s="156"/>
      <c r="K72" s="335"/>
      <c r="L72" s="169">
        <f t="shared" si="11"/>
        <v>0</v>
      </c>
      <c r="M72" s="335"/>
      <c r="N72" s="169">
        <f t="shared" si="12"/>
        <v>0</v>
      </c>
      <c r="O72" s="169">
        <f t="shared" si="13"/>
        <v>0</v>
      </c>
      <c r="P72" s="4"/>
    </row>
    <row r="73" spans="2:16">
      <c r="C73" s="154" t="s">
        <v>73</v>
      </c>
      <c r="D73" s="111"/>
      <c r="E73" s="111">
        <f>SUM(E17:E72)</f>
        <v>2636239.0000000005</v>
      </c>
      <c r="F73" s="111"/>
      <c r="G73" s="111">
        <f>SUM(G17:G72)</f>
        <v>8964241.9331603441</v>
      </c>
      <c r="H73" s="111">
        <f>SUM(H17:H72)</f>
        <v>8964241.9331603441</v>
      </c>
      <c r="I73" s="111">
        <f>SUM(I17:I72)</f>
        <v>0</v>
      </c>
      <c r="J73" s="111"/>
      <c r="K73" s="111"/>
      <c r="L73" s="111"/>
      <c r="M73" s="111"/>
      <c r="N73" s="111"/>
      <c r="O73" s="4"/>
      <c r="P73" s="4"/>
    </row>
    <row r="74" spans="2:16">
      <c r="D74" s="2"/>
      <c r="E74" s="1"/>
      <c r="F74" s="1"/>
      <c r="G74" s="1"/>
      <c r="H74" s="3"/>
      <c r="I74" s="3"/>
      <c r="J74" s="111"/>
      <c r="K74" s="3"/>
      <c r="L74" s="3"/>
      <c r="M74" s="3"/>
      <c r="N74" s="3"/>
      <c r="O74" s="1"/>
      <c r="P74" s="1"/>
    </row>
    <row r="75" spans="2:16">
      <c r="C75" s="170" t="s">
        <v>91</v>
      </c>
      <c r="D75" s="2"/>
      <c r="E75" s="1"/>
      <c r="F75" s="1"/>
      <c r="G75" s="1"/>
      <c r="H75" s="3"/>
      <c r="I75" s="3"/>
      <c r="J75" s="111"/>
      <c r="K75" s="3"/>
      <c r="L75" s="3"/>
      <c r="M75" s="3"/>
      <c r="N75" s="3"/>
      <c r="O75" s="1"/>
      <c r="P75" s="1"/>
    </row>
    <row r="76" spans="2:16">
      <c r="C76" s="121" t="s">
        <v>74</v>
      </c>
      <c r="D76" s="2"/>
      <c r="E76" s="1"/>
      <c r="F76" s="1"/>
      <c r="G76" s="1"/>
      <c r="H76" s="3"/>
      <c r="I76" s="3"/>
      <c r="J76" s="111"/>
      <c r="K76" s="3"/>
      <c r="L76" s="3"/>
      <c r="M76" s="3"/>
      <c r="N76" s="3"/>
      <c r="O76" s="4"/>
      <c r="P76" s="4"/>
    </row>
    <row r="77" spans="2:16">
      <c r="C77" s="121" t="s">
        <v>75</v>
      </c>
      <c r="D77" s="154"/>
      <c r="E77" s="154"/>
      <c r="F77" s="154"/>
      <c r="G77" s="111"/>
      <c r="H77" s="111"/>
      <c r="I77" s="171"/>
      <c r="J77" s="171"/>
      <c r="K77" s="171"/>
      <c r="L77" s="171"/>
      <c r="M77" s="171"/>
      <c r="N77" s="171"/>
      <c r="O77" s="4"/>
      <c r="P77" s="4"/>
    </row>
    <row r="78" spans="2:16">
      <c r="C78" s="121"/>
      <c r="D78" s="154"/>
      <c r="E78" s="154"/>
      <c r="F78" s="154"/>
      <c r="G78" s="111"/>
      <c r="H78" s="111"/>
      <c r="I78" s="171"/>
      <c r="J78" s="171"/>
      <c r="K78" s="171"/>
      <c r="L78" s="171"/>
      <c r="M78" s="171"/>
      <c r="N78" s="171"/>
      <c r="O78" s="4"/>
      <c r="P78" s="1"/>
    </row>
    <row r="79" spans="2:16">
      <c r="B79" s="1"/>
      <c r="C79" s="21"/>
      <c r="D79" s="2"/>
      <c r="E79" s="1"/>
      <c r="F79" s="107"/>
      <c r="G79" s="1"/>
      <c r="H79" s="3"/>
      <c r="I79" s="1"/>
      <c r="J79" s="4"/>
      <c r="K79" s="1"/>
      <c r="L79" s="1"/>
      <c r="M79" s="1"/>
      <c r="N79" s="1"/>
      <c r="O79" s="1"/>
      <c r="P79" s="1"/>
    </row>
    <row r="80" spans="2:16" ht="18">
      <c r="B80" s="1"/>
      <c r="C80" s="242"/>
      <c r="D80" s="2"/>
      <c r="E80" s="1"/>
      <c r="F80" s="107"/>
      <c r="G80" s="1"/>
      <c r="H80" s="3"/>
      <c r="I80" s="1"/>
      <c r="J80" s="4"/>
      <c r="K80" s="1"/>
      <c r="L80" s="1"/>
      <c r="M80" s="1"/>
      <c r="N80" s="1"/>
      <c r="P80" s="244" t="s">
        <v>125</v>
      </c>
    </row>
    <row r="81" spans="1:17">
      <c r="B81" s="1"/>
      <c r="C81" s="21"/>
      <c r="D81" s="2"/>
      <c r="E81" s="1"/>
      <c r="F81" s="107"/>
      <c r="G81" s="1"/>
      <c r="H81" s="3"/>
      <c r="I81" s="1"/>
      <c r="J81" s="4"/>
      <c r="K81" s="1"/>
      <c r="L81" s="1"/>
      <c r="M81" s="1"/>
      <c r="N81" s="1"/>
      <c r="O81" s="1"/>
      <c r="P81" s="1"/>
    </row>
    <row r="82" spans="1:17">
      <c r="B82" s="1"/>
      <c r="C82" s="21"/>
      <c r="D82" s="2"/>
      <c r="E82" s="1"/>
      <c r="F82" s="107"/>
      <c r="G82" s="1"/>
      <c r="H82" s="3"/>
      <c r="I82" s="1"/>
      <c r="J82" s="4"/>
      <c r="K82" s="1"/>
      <c r="L82" s="1"/>
      <c r="M82" s="1"/>
      <c r="N82" s="1"/>
      <c r="O82" s="1"/>
      <c r="P82" s="1"/>
      <c r="Q82" s="1"/>
    </row>
    <row r="83" spans="1:17" ht="20.25">
      <c r="A83" s="243" t="s">
        <v>129</v>
      </c>
      <c r="B83" s="1"/>
      <c r="C83" s="21"/>
      <c r="D83" s="2"/>
      <c r="E83" s="1"/>
      <c r="F83" s="99"/>
      <c r="G83" s="99"/>
      <c r="H83" s="1"/>
      <c r="I83" s="3"/>
      <c r="K83" s="7"/>
      <c r="L83" s="109"/>
      <c r="M83" s="109"/>
      <c r="P83" s="109" t="str">
        <f ca="1">P1</f>
        <v>SWEPCO Project 38 of 73</v>
      </c>
      <c r="Q83" s="1"/>
    </row>
    <row r="84" spans="1:17" ht="18">
      <c r="B84" s="1"/>
      <c r="C84" s="1"/>
      <c r="D84" s="2"/>
      <c r="E84" s="1"/>
      <c r="F84" s="1"/>
      <c r="G84" s="1"/>
      <c r="H84" s="1"/>
      <c r="I84" s="3"/>
      <c r="J84" s="1"/>
      <c r="K84" s="4"/>
      <c r="L84" s="1"/>
      <c r="M84" s="1"/>
      <c r="P84" s="244" t="s">
        <v>123</v>
      </c>
      <c r="Q84" s="1"/>
    </row>
    <row r="85" spans="1:17" ht="18.75" thickBot="1">
      <c r="B85" s="5" t="s">
        <v>40</v>
      </c>
      <c r="C85" s="197" t="s">
        <v>78</v>
      </c>
      <c r="D85" s="2"/>
      <c r="E85" s="1"/>
      <c r="F85" s="1"/>
      <c r="G85" s="1"/>
      <c r="H85" s="1"/>
      <c r="I85" s="3"/>
      <c r="J85" s="3"/>
      <c r="K85" s="111"/>
      <c r="L85" s="3"/>
      <c r="M85" s="3"/>
      <c r="N85" s="3"/>
      <c r="O85" s="111"/>
      <c r="P85" s="1"/>
      <c r="Q85" s="1"/>
    </row>
    <row r="86" spans="1:17" ht="15.75" thickBot="1">
      <c r="C86" s="67"/>
      <c r="D86" s="2"/>
      <c r="E86" s="1"/>
      <c r="F86" s="1"/>
      <c r="G86" s="1"/>
      <c r="H86" s="1"/>
      <c r="I86" s="3"/>
      <c r="J86" s="3"/>
      <c r="K86" s="111"/>
      <c r="L86" s="265">
        <f>+J92</f>
        <v>2017</v>
      </c>
      <c r="M86" s="266" t="s">
        <v>7</v>
      </c>
      <c r="N86" s="270" t="s">
        <v>154</v>
      </c>
      <c r="O86" s="267" t="s">
        <v>9</v>
      </c>
      <c r="P86" s="1"/>
      <c r="Q86" s="1"/>
    </row>
    <row r="87" spans="1:17" ht="15">
      <c r="C87" s="235" t="s">
        <v>42</v>
      </c>
      <c r="D87" s="2"/>
      <c r="E87" s="1"/>
      <c r="F87" s="1"/>
      <c r="G87" s="1"/>
      <c r="H87" s="113"/>
      <c r="I87" s="1" t="s">
        <v>43</v>
      </c>
      <c r="J87" s="1"/>
      <c r="K87" s="261"/>
      <c r="L87" s="259" t="s">
        <v>381</v>
      </c>
      <c r="M87" s="198">
        <f>IF(J92&lt;D11,0,VLOOKUP(J92,C17:O72,9))</f>
        <v>356226.25901842013</v>
      </c>
      <c r="N87" s="198">
        <f>IF(J92&lt;D11,0,VLOOKUP(J92,C17:O72,11))</f>
        <v>356226.25901842013</v>
      </c>
      <c r="O87" s="199">
        <f>+N87-M87</f>
        <v>0</v>
      </c>
      <c r="P87" s="1"/>
      <c r="Q87" s="1"/>
    </row>
    <row r="88" spans="1:17" ht="15.75">
      <c r="C88" s="8"/>
      <c r="D88" s="2"/>
      <c r="E88" s="1"/>
      <c r="F88" s="1"/>
      <c r="G88" s="1"/>
      <c r="H88" s="1"/>
      <c r="I88" s="117"/>
      <c r="J88" s="117"/>
      <c r="K88" s="263"/>
      <c r="L88" s="264" t="s">
        <v>382</v>
      </c>
      <c r="M88" s="200">
        <f>IF(J92&lt;D11,0,VLOOKUP(J92,C99:P154,6))</f>
        <v>352674.81750168814</v>
      </c>
      <c r="N88" s="200">
        <f>IF(J92&lt;D11,0,VLOOKUP(J92,C99:P154,7))</f>
        <v>352674.81750168814</v>
      </c>
      <c r="O88" s="201">
        <f>+N88-M88</f>
        <v>0</v>
      </c>
      <c r="P88" s="1"/>
      <c r="Q88" s="1"/>
    </row>
    <row r="89" spans="1:17" ht="13.5" thickBot="1">
      <c r="C89" s="121" t="s">
        <v>79</v>
      </c>
      <c r="D89" s="246" t="str">
        <f>+D7</f>
        <v>Eastex Switching Station - Whitney 138 kV Station - Rebuild 2.5 miles of 138 Kv</v>
      </c>
      <c r="E89" s="1"/>
      <c r="F89" s="1"/>
      <c r="G89" s="1"/>
      <c r="H89" s="1"/>
      <c r="I89" s="3"/>
      <c r="J89" s="3"/>
      <c r="K89" s="262"/>
      <c r="L89" s="260" t="s">
        <v>151</v>
      </c>
      <c r="M89" s="203">
        <f>+M88-M87</f>
        <v>-3551.4415167319821</v>
      </c>
      <c r="N89" s="203">
        <f>+N88-N87</f>
        <v>-3551.4415167319821</v>
      </c>
      <c r="O89" s="204">
        <f>+O88-O87</f>
        <v>0</v>
      </c>
      <c r="P89" s="1"/>
      <c r="Q89" s="1"/>
    </row>
    <row r="90" spans="1:17" ht="13.5" thickBot="1">
      <c r="C90" s="170"/>
      <c r="D90" s="173" t="str">
        <f>D8</f>
        <v/>
      </c>
      <c r="E90" s="107"/>
      <c r="F90" s="107"/>
      <c r="G90" s="107"/>
      <c r="H90" s="126"/>
      <c r="I90" s="3"/>
      <c r="J90" s="3"/>
      <c r="K90" s="111"/>
      <c r="L90" s="3"/>
      <c r="M90" s="3"/>
      <c r="N90" s="3"/>
      <c r="O90" s="111"/>
      <c r="P90" s="1"/>
      <c r="Q90" s="1"/>
    </row>
    <row r="91" spans="1:17" ht="13.5" thickBot="1">
      <c r="A91" s="103"/>
      <c r="C91" s="205" t="s">
        <v>80</v>
      </c>
      <c r="D91" s="224" t="str">
        <f>+D9</f>
        <v>TP2010064</v>
      </c>
      <c r="E91" s="206"/>
      <c r="F91" s="206"/>
      <c r="G91" s="206"/>
      <c r="H91" s="206"/>
      <c r="I91" s="206"/>
      <c r="J91" s="206"/>
      <c r="K91" s="207"/>
      <c r="P91" s="131"/>
      <c r="Q91" s="1"/>
    </row>
    <row r="92" spans="1:17">
      <c r="C92" s="136" t="s">
        <v>47</v>
      </c>
      <c r="D92" s="133">
        <f>D10</f>
        <v>2636239</v>
      </c>
      <c r="E92" s="21" t="s">
        <v>81</v>
      </c>
      <c r="H92" s="134"/>
      <c r="I92" s="134"/>
      <c r="J92" s="135">
        <f>+'SWE.WS.G.BPU.ATRR.True-up'!M15</f>
        <v>2017</v>
      </c>
      <c r="K92" s="130"/>
      <c r="L92" s="111" t="s">
        <v>82</v>
      </c>
      <c r="P92" s="4"/>
      <c r="Q92" s="1"/>
    </row>
    <row r="93" spans="1:17">
      <c r="C93" s="136" t="s">
        <v>49</v>
      </c>
      <c r="D93" s="428" t="s">
        <v>359</v>
      </c>
      <c r="E93" s="136" t="s">
        <v>50</v>
      </c>
      <c r="F93" s="134"/>
      <c r="G93" s="134"/>
      <c r="J93" s="138">
        <f>IF(H87="",0,'SWE.WS.G.BPU.ATRR.True-up'!$F$12)</f>
        <v>0</v>
      </c>
      <c r="K93" s="139"/>
      <c r="L93" t="str">
        <f>"          INPUT TRUE-UP ARR (WITH &amp; WITHOUT INCENTIVES) FROM EACH PRIOR YEAR"</f>
        <v xml:space="preserve">          INPUT TRUE-UP ARR (WITH &amp; WITHOUT INCENTIVES) FROM EACH PRIOR YEAR</v>
      </c>
      <c r="P93" s="4"/>
      <c r="Q93" s="1"/>
    </row>
    <row r="94" spans="1:17">
      <c r="C94" s="136" t="s">
        <v>51</v>
      </c>
      <c r="D94" s="218">
        <f>D12</f>
        <v>6</v>
      </c>
      <c r="E94" s="136" t="s">
        <v>52</v>
      </c>
      <c r="F94" s="134"/>
      <c r="G94" s="134"/>
      <c r="J94" s="140">
        <f>'SWE.WS.G.BPU.ATRR.True-up'!$F$80</f>
        <v>0.12147145768398206</v>
      </c>
      <c r="K94" s="141"/>
      <c r="L94" t="s">
        <v>83</v>
      </c>
      <c r="P94" s="4"/>
      <c r="Q94" s="1"/>
    </row>
    <row r="95" spans="1:17">
      <c r="C95" s="136" t="s">
        <v>54</v>
      </c>
      <c r="D95" s="138">
        <f>'SWE.WS.G.BPU.ATRR.True-up'!F$92</f>
        <v>42</v>
      </c>
      <c r="E95" s="136" t="s">
        <v>55</v>
      </c>
      <c r="F95" s="134"/>
      <c r="G95" s="134"/>
      <c r="J95" s="140">
        <f>IF(H87="",J94,'SWE.WS.G.BPU.ATRR.True-up'!$F$79)</f>
        <v>0.12147145768398206</v>
      </c>
      <c r="K95" s="58"/>
      <c r="L95" s="111" t="s">
        <v>56</v>
      </c>
      <c r="M95" s="58"/>
      <c r="N95" s="58"/>
      <c r="O95" s="58"/>
      <c r="P95" s="4"/>
      <c r="Q95" s="1"/>
    </row>
    <row r="96" spans="1:17" ht="13.5" thickBot="1">
      <c r="C96" s="136" t="s">
        <v>57</v>
      </c>
      <c r="D96" s="220" t="str">
        <f>+D14</f>
        <v>No</v>
      </c>
      <c r="E96" s="202" t="s">
        <v>59</v>
      </c>
      <c r="F96" s="208"/>
      <c r="G96" s="208"/>
      <c r="H96" s="209"/>
      <c r="I96" s="209"/>
      <c r="J96" s="124">
        <f>IF(D92=0,0,D92/D95)</f>
        <v>62767.595238095237</v>
      </c>
      <c r="K96" s="111"/>
      <c r="L96" s="111"/>
      <c r="M96" s="111"/>
      <c r="N96" s="111"/>
      <c r="O96" s="111"/>
      <c r="P96" s="4"/>
      <c r="Q96" s="1"/>
    </row>
    <row r="97" spans="1:17" ht="38.25">
      <c r="A97" s="6"/>
      <c r="B97" s="6"/>
      <c r="C97" s="210" t="s">
        <v>47</v>
      </c>
      <c r="D97" s="211" t="s">
        <v>60</v>
      </c>
      <c r="E97" s="146" t="s">
        <v>61</v>
      </c>
      <c r="F97" s="146" t="s">
        <v>62</v>
      </c>
      <c r="G97" s="144" t="s">
        <v>84</v>
      </c>
      <c r="H97" s="434" t="s">
        <v>378</v>
      </c>
      <c r="I97" s="435" t="s">
        <v>379</v>
      </c>
      <c r="J97" s="210" t="s">
        <v>85</v>
      </c>
      <c r="K97" s="212"/>
      <c r="L97" s="271" t="s">
        <v>220</v>
      </c>
      <c r="M97" s="146" t="s">
        <v>86</v>
      </c>
      <c r="N97" s="271" t="s">
        <v>220</v>
      </c>
      <c r="O97" s="146" t="s">
        <v>86</v>
      </c>
      <c r="P97" s="146" t="s">
        <v>65</v>
      </c>
      <c r="Q97" s="1"/>
    </row>
    <row r="98" spans="1:17" ht="13.5" thickBot="1">
      <c r="C98" s="147" t="s">
        <v>66</v>
      </c>
      <c r="D98" s="213" t="s">
        <v>67</v>
      </c>
      <c r="E98" s="147" t="s">
        <v>68</v>
      </c>
      <c r="F98" s="147" t="s">
        <v>67</v>
      </c>
      <c r="G98" s="147" t="s">
        <v>67</v>
      </c>
      <c r="H98" s="407" t="s">
        <v>69</v>
      </c>
      <c r="I98" s="148" t="s">
        <v>70</v>
      </c>
      <c r="J98" s="149" t="s">
        <v>89</v>
      </c>
      <c r="K98" s="150"/>
      <c r="L98" s="151" t="s">
        <v>72</v>
      </c>
      <c r="M98" s="151" t="s">
        <v>72</v>
      </c>
      <c r="N98" s="151" t="s">
        <v>90</v>
      </c>
      <c r="O98" s="151" t="s">
        <v>90</v>
      </c>
      <c r="P98" s="151" t="s">
        <v>90</v>
      </c>
      <c r="Q98" s="1"/>
    </row>
    <row r="99" spans="1:17">
      <c r="C99" s="153" t="str">
        <f>IF(D93= "","-",D93)</f>
        <v>2013</v>
      </c>
      <c r="D99" s="409">
        <v>0</v>
      </c>
      <c r="E99" s="410">
        <v>31383.797619047618</v>
      </c>
      <c r="F99" s="411">
        <v>2604855.2023809524</v>
      </c>
      <c r="G99" s="412">
        <v>1302427.6011904762</v>
      </c>
      <c r="H99" s="413">
        <v>207591.44491891743</v>
      </c>
      <c r="I99" s="414">
        <v>207591.44491891743</v>
      </c>
      <c r="J99" s="403">
        <v>0</v>
      </c>
      <c r="K99" s="158"/>
      <c r="L99" s="258">
        <f>H99</f>
        <v>207591.44491891743</v>
      </c>
      <c r="M99" s="257">
        <f>IF(L99&lt;&gt;0,+H99-L99,0)</f>
        <v>0</v>
      </c>
      <c r="N99" s="258">
        <f>I99</f>
        <v>207591.44491891743</v>
      </c>
      <c r="O99" s="158">
        <f>IF(N99&lt;&gt;0,+I99-N99,0)</f>
        <v>0</v>
      </c>
      <c r="P99" s="158">
        <f>+O99-M99</f>
        <v>0</v>
      </c>
      <c r="Q99" s="1"/>
    </row>
    <row r="100" spans="1:17">
      <c r="B100" s="9" t="str">
        <f>IF(D100=F99,"","IU")</f>
        <v/>
      </c>
      <c r="C100" s="153">
        <f>IF(D93="","-",+C99+1)</f>
        <v>2014</v>
      </c>
      <c r="D100" s="409">
        <v>2604855.2023809524</v>
      </c>
      <c r="E100" s="410">
        <v>62767.595238095237</v>
      </c>
      <c r="F100" s="411">
        <v>2542087.6071428573</v>
      </c>
      <c r="G100" s="411">
        <v>2573471.4047619049</v>
      </c>
      <c r="H100" s="413">
        <v>412562.73217828164</v>
      </c>
      <c r="I100" s="414">
        <v>412562.73217828164</v>
      </c>
      <c r="J100" s="158">
        <v>0</v>
      </c>
      <c r="K100" s="158"/>
      <c r="L100" s="258">
        <f>H100</f>
        <v>412562.73217828164</v>
      </c>
      <c r="M100" s="257">
        <f>IF(L100&lt;&gt;0,+H100-L100,0)</f>
        <v>0</v>
      </c>
      <c r="N100" s="258">
        <f>I100</f>
        <v>412562.73217828164</v>
      </c>
      <c r="O100" s="158">
        <f>IF(N100&lt;&gt;0,+I100-N100,0)</f>
        <v>0</v>
      </c>
      <c r="P100" s="158">
        <f>+O100-M100</f>
        <v>0</v>
      </c>
      <c r="Q100" s="1"/>
    </row>
    <row r="101" spans="1:17">
      <c r="B101" s="9" t="str">
        <f t="shared" ref="B101:B154" si="16">IF(D101=F100,"","IU")</f>
        <v/>
      </c>
      <c r="C101" s="153">
        <f>IF(D93="","-",+C100+1)</f>
        <v>2015</v>
      </c>
      <c r="D101" s="409">
        <v>2542087.6071428573</v>
      </c>
      <c r="E101" s="410">
        <v>62767.595238095237</v>
      </c>
      <c r="F101" s="411">
        <v>2479320.0119047621</v>
      </c>
      <c r="G101" s="411">
        <v>2510703.8095238097</v>
      </c>
      <c r="H101" s="413">
        <v>393600.21889551368</v>
      </c>
      <c r="I101" s="414">
        <v>393600.21889551368</v>
      </c>
      <c r="J101" s="158">
        <f>+I101-H101</f>
        <v>0</v>
      </c>
      <c r="K101" s="158"/>
      <c r="L101" s="258">
        <f>H101</f>
        <v>393600.21889551368</v>
      </c>
      <c r="M101" s="257">
        <f>IF(L101&lt;&gt;0,+H101-L101,0)</f>
        <v>0</v>
      </c>
      <c r="N101" s="258">
        <f>I101</f>
        <v>393600.21889551368</v>
      </c>
      <c r="O101" s="158">
        <f>IF(N101&lt;&gt;0,+I101-N101,0)</f>
        <v>0</v>
      </c>
      <c r="P101" s="158">
        <f>+O101-M101</f>
        <v>0</v>
      </c>
      <c r="Q101" s="1"/>
    </row>
    <row r="102" spans="1:17">
      <c r="B102" s="9" t="str">
        <f t="shared" si="16"/>
        <v/>
      </c>
      <c r="C102" s="153">
        <f>IF(D93="","-",+C101+1)</f>
        <v>2016</v>
      </c>
      <c r="D102" s="409">
        <v>2479320.0119047621</v>
      </c>
      <c r="E102" s="410">
        <v>61307.883720930229</v>
      </c>
      <c r="F102" s="411">
        <v>2418012.1281838319</v>
      </c>
      <c r="G102" s="411">
        <v>2448666.0700442968</v>
      </c>
      <c r="H102" s="413">
        <v>372166.01263516292</v>
      </c>
      <c r="I102" s="414">
        <v>372166.01263516292</v>
      </c>
      <c r="J102" s="158">
        <v>0</v>
      </c>
      <c r="K102" s="158"/>
      <c r="L102" s="258">
        <f>H102</f>
        <v>372166.01263516292</v>
      </c>
      <c r="M102" s="257">
        <f>IF(L102&lt;&gt;0,+H102-L102,0)</f>
        <v>0</v>
      </c>
      <c r="N102" s="258">
        <f>I102</f>
        <v>372166.01263516292</v>
      </c>
      <c r="O102" s="158">
        <f>IF(N102&lt;&gt;0,+I102-N102,0)</f>
        <v>0</v>
      </c>
      <c r="P102" s="158">
        <f>+O102-M102</f>
        <v>0</v>
      </c>
      <c r="Q102" s="1"/>
    </row>
    <row r="103" spans="1:17">
      <c r="B103" s="9" t="str">
        <f t="shared" si="16"/>
        <v/>
      </c>
      <c r="C103" s="153">
        <f>IF(D93="","-",+C102+1)</f>
        <v>2017</v>
      </c>
      <c r="D103" s="154">
        <f>IF(F102+SUM(E$99:E102)=D$92,F102,D$92-SUM(E$99:E102))</f>
        <v>2418012.1281838319</v>
      </c>
      <c r="E103" s="160">
        <f t="shared" ref="E103:E154" si="17">IF(+$J$96&lt;F102,$J$96,D103)</f>
        <v>62767.595238095237</v>
      </c>
      <c r="F103" s="159">
        <f t="shared" ref="F103:F154" si="18">+D103-E103</f>
        <v>2355244.5329457368</v>
      </c>
      <c r="G103" s="159">
        <f t="shared" ref="G103:G154" si="19">+(F103+D103)/2</f>
        <v>2386628.3305647844</v>
      </c>
      <c r="H103" s="163">
        <f t="shared" ref="H103:H154" si="20">+J$94*G103+E103</f>
        <v>352674.81750168814</v>
      </c>
      <c r="I103" s="253">
        <f t="shared" ref="I103:I154" si="21">+J$95*G103+E103</f>
        <v>352674.81750168814</v>
      </c>
      <c r="J103" s="158">
        <f t="shared" ref="J103:J154" si="22">+I103-H103</f>
        <v>0</v>
      </c>
      <c r="K103" s="158"/>
      <c r="L103" s="334"/>
      <c r="M103" s="158">
        <f t="shared" ref="M103:M130" si="23">IF(L103&lt;&gt;0,+H103-L103,0)</f>
        <v>0</v>
      </c>
      <c r="N103" s="334"/>
      <c r="O103" s="158">
        <f t="shared" ref="O103:O130" si="24">IF(N103&lt;&gt;0,+I103-N103,0)</f>
        <v>0</v>
      </c>
      <c r="P103" s="158">
        <f t="shared" ref="P103:P130" si="25">+O103-M103</f>
        <v>0</v>
      </c>
      <c r="Q103" s="1"/>
    </row>
    <row r="104" spans="1:17">
      <c r="B104" s="9" t="str">
        <f t="shared" si="16"/>
        <v/>
      </c>
      <c r="C104" s="153">
        <f>IF(D93="","-",+C103+1)</f>
        <v>2018</v>
      </c>
      <c r="D104" s="154">
        <f>IF(F103+SUM(E$99:E103)=D$92,F103,D$92-SUM(E$99:E103))</f>
        <v>2355244.5329457368</v>
      </c>
      <c r="E104" s="160">
        <f t="shared" si="17"/>
        <v>62767.595238095237</v>
      </c>
      <c r="F104" s="159">
        <f t="shared" si="18"/>
        <v>2292476.9377076416</v>
      </c>
      <c r="G104" s="159">
        <f t="shared" si="19"/>
        <v>2323860.7353266892</v>
      </c>
      <c r="H104" s="163">
        <f t="shared" si="20"/>
        <v>345050.34621279861</v>
      </c>
      <c r="I104" s="253">
        <f t="shared" si="21"/>
        <v>345050.34621279861</v>
      </c>
      <c r="J104" s="158">
        <f t="shared" si="22"/>
        <v>0</v>
      </c>
      <c r="K104" s="158"/>
      <c r="L104" s="334"/>
      <c r="M104" s="158">
        <f t="shared" si="23"/>
        <v>0</v>
      </c>
      <c r="N104" s="334"/>
      <c r="O104" s="158">
        <f t="shared" si="24"/>
        <v>0</v>
      </c>
      <c r="P104" s="158">
        <f t="shared" si="25"/>
        <v>0</v>
      </c>
      <c r="Q104" s="1"/>
    </row>
    <row r="105" spans="1:17">
      <c r="B105" s="9" t="str">
        <f t="shared" si="16"/>
        <v/>
      </c>
      <c r="C105" s="153">
        <f>IF(D93="","-",+C104+1)</f>
        <v>2019</v>
      </c>
      <c r="D105" s="154">
        <f>IF(F104+SUM(E$99:E104)=D$92,F104,D$92-SUM(E$99:E104))</f>
        <v>2292476.9377076416</v>
      </c>
      <c r="E105" s="160">
        <f t="shared" si="17"/>
        <v>62767.595238095237</v>
      </c>
      <c r="F105" s="159">
        <f t="shared" si="18"/>
        <v>2229709.3424695465</v>
      </c>
      <c r="G105" s="159">
        <f t="shared" si="19"/>
        <v>2261093.1400885941</v>
      </c>
      <c r="H105" s="163">
        <f t="shared" si="20"/>
        <v>337425.87492390897</v>
      </c>
      <c r="I105" s="253">
        <f t="shared" si="21"/>
        <v>337425.87492390897</v>
      </c>
      <c r="J105" s="158">
        <f t="shared" si="22"/>
        <v>0</v>
      </c>
      <c r="K105" s="158"/>
      <c r="L105" s="334"/>
      <c r="M105" s="158">
        <f t="shared" si="23"/>
        <v>0</v>
      </c>
      <c r="N105" s="334"/>
      <c r="O105" s="158">
        <f t="shared" si="24"/>
        <v>0</v>
      </c>
      <c r="P105" s="158">
        <f t="shared" si="25"/>
        <v>0</v>
      </c>
      <c r="Q105" s="1"/>
    </row>
    <row r="106" spans="1:17">
      <c r="B106" s="9" t="str">
        <f t="shared" si="16"/>
        <v/>
      </c>
      <c r="C106" s="153">
        <f>IF(D93="","-",+C105+1)</f>
        <v>2020</v>
      </c>
      <c r="D106" s="154">
        <f>IF(F105+SUM(E$99:E105)=D$92,F105,D$92-SUM(E$99:E105))</f>
        <v>2229709.3424695465</v>
      </c>
      <c r="E106" s="160">
        <f t="shared" si="17"/>
        <v>62767.595238095237</v>
      </c>
      <c r="F106" s="159">
        <f t="shared" si="18"/>
        <v>2166941.7472314513</v>
      </c>
      <c r="G106" s="159">
        <f t="shared" si="19"/>
        <v>2198325.5448504989</v>
      </c>
      <c r="H106" s="163">
        <f t="shared" si="20"/>
        <v>329801.40363501944</v>
      </c>
      <c r="I106" s="253">
        <f t="shared" si="21"/>
        <v>329801.40363501944</v>
      </c>
      <c r="J106" s="158">
        <f t="shared" si="22"/>
        <v>0</v>
      </c>
      <c r="K106" s="158"/>
      <c r="L106" s="334"/>
      <c r="M106" s="158">
        <f t="shared" si="23"/>
        <v>0</v>
      </c>
      <c r="N106" s="334"/>
      <c r="O106" s="158">
        <f t="shared" si="24"/>
        <v>0</v>
      </c>
      <c r="P106" s="158">
        <f t="shared" si="25"/>
        <v>0</v>
      </c>
      <c r="Q106" s="1"/>
    </row>
    <row r="107" spans="1:17">
      <c r="B107" s="9" t="str">
        <f t="shared" si="16"/>
        <v/>
      </c>
      <c r="C107" s="153">
        <f>IF(D93="","-",+C106+1)</f>
        <v>2021</v>
      </c>
      <c r="D107" s="154">
        <f>IF(F106+SUM(E$99:E106)=D$92,F106,D$92-SUM(E$99:E106))</f>
        <v>2166941.7472314513</v>
      </c>
      <c r="E107" s="160">
        <f t="shared" si="17"/>
        <v>62767.595238095237</v>
      </c>
      <c r="F107" s="159">
        <f t="shared" si="18"/>
        <v>2104174.1519933562</v>
      </c>
      <c r="G107" s="159">
        <f t="shared" si="19"/>
        <v>2135557.9496124038</v>
      </c>
      <c r="H107" s="163">
        <f t="shared" si="20"/>
        <v>322176.93234612979</v>
      </c>
      <c r="I107" s="253">
        <f t="shared" si="21"/>
        <v>322176.93234612979</v>
      </c>
      <c r="J107" s="158">
        <f t="shared" si="22"/>
        <v>0</v>
      </c>
      <c r="K107" s="158"/>
      <c r="L107" s="334"/>
      <c r="M107" s="158">
        <f t="shared" si="23"/>
        <v>0</v>
      </c>
      <c r="N107" s="334"/>
      <c r="O107" s="158">
        <f t="shared" si="24"/>
        <v>0</v>
      </c>
      <c r="P107" s="158">
        <f t="shared" si="25"/>
        <v>0</v>
      </c>
      <c r="Q107" s="1"/>
    </row>
    <row r="108" spans="1:17">
      <c r="B108" s="9" t="str">
        <f t="shared" si="16"/>
        <v/>
      </c>
      <c r="C108" s="153">
        <f>IF(D93="","-",+C107+1)</f>
        <v>2022</v>
      </c>
      <c r="D108" s="154">
        <f>IF(F107+SUM(E$99:E107)=D$92,F107,D$92-SUM(E$99:E107))</f>
        <v>2104174.1519933562</v>
      </c>
      <c r="E108" s="160">
        <f t="shared" si="17"/>
        <v>62767.595238095237</v>
      </c>
      <c r="F108" s="159">
        <f t="shared" si="18"/>
        <v>2041406.556755261</v>
      </c>
      <c r="G108" s="159">
        <f t="shared" si="19"/>
        <v>2072790.3543743086</v>
      </c>
      <c r="H108" s="163">
        <f t="shared" si="20"/>
        <v>314552.46105724026</v>
      </c>
      <c r="I108" s="253">
        <f t="shared" si="21"/>
        <v>314552.46105724026</v>
      </c>
      <c r="J108" s="158">
        <f t="shared" si="22"/>
        <v>0</v>
      </c>
      <c r="K108" s="158"/>
      <c r="L108" s="334"/>
      <c r="M108" s="158">
        <f t="shared" si="23"/>
        <v>0</v>
      </c>
      <c r="N108" s="334"/>
      <c r="O108" s="158">
        <f t="shared" si="24"/>
        <v>0</v>
      </c>
      <c r="P108" s="158">
        <f t="shared" si="25"/>
        <v>0</v>
      </c>
      <c r="Q108" s="1"/>
    </row>
    <row r="109" spans="1:17">
      <c r="B109" s="9" t="str">
        <f t="shared" si="16"/>
        <v/>
      </c>
      <c r="C109" s="153">
        <f>IF(D93="","-",+C108+1)</f>
        <v>2023</v>
      </c>
      <c r="D109" s="154">
        <f>IF(F108+SUM(E$99:E108)=D$92,F108,D$92-SUM(E$99:E108))</f>
        <v>2041406.556755261</v>
      </c>
      <c r="E109" s="160">
        <f t="shared" si="17"/>
        <v>62767.595238095237</v>
      </c>
      <c r="F109" s="159">
        <f t="shared" si="18"/>
        <v>1978638.9615171659</v>
      </c>
      <c r="G109" s="159">
        <f t="shared" si="19"/>
        <v>2010022.7591362135</v>
      </c>
      <c r="H109" s="163">
        <f t="shared" si="20"/>
        <v>306927.98976835061</v>
      </c>
      <c r="I109" s="253">
        <f t="shared" si="21"/>
        <v>306927.98976835061</v>
      </c>
      <c r="J109" s="158">
        <f t="shared" si="22"/>
        <v>0</v>
      </c>
      <c r="K109" s="158"/>
      <c r="L109" s="334"/>
      <c r="M109" s="158">
        <f t="shared" si="23"/>
        <v>0</v>
      </c>
      <c r="N109" s="334"/>
      <c r="O109" s="158">
        <f t="shared" si="24"/>
        <v>0</v>
      </c>
      <c r="P109" s="158">
        <f t="shared" si="25"/>
        <v>0</v>
      </c>
      <c r="Q109" s="1"/>
    </row>
    <row r="110" spans="1:17">
      <c r="B110" s="9" t="str">
        <f t="shared" si="16"/>
        <v/>
      </c>
      <c r="C110" s="153">
        <f>IF(D93="","-",+C109+1)</f>
        <v>2024</v>
      </c>
      <c r="D110" s="154">
        <f>IF(F109+SUM(E$99:E109)=D$92,F109,D$92-SUM(E$99:E109))</f>
        <v>1978638.9615171659</v>
      </c>
      <c r="E110" s="160">
        <f t="shared" si="17"/>
        <v>62767.595238095237</v>
      </c>
      <c r="F110" s="159">
        <f t="shared" si="18"/>
        <v>1915871.3662790707</v>
      </c>
      <c r="G110" s="159">
        <f t="shared" si="19"/>
        <v>1947255.1638981183</v>
      </c>
      <c r="H110" s="163">
        <f t="shared" si="20"/>
        <v>299303.51847946108</v>
      </c>
      <c r="I110" s="253">
        <f t="shared" si="21"/>
        <v>299303.51847946108</v>
      </c>
      <c r="J110" s="158">
        <f t="shared" si="22"/>
        <v>0</v>
      </c>
      <c r="K110" s="158"/>
      <c r="L110" s="334"/>
      <c r="M110" s="158">
        <f t="shared" si="23"/>
        <v>0</v>
      </c>
      <c r="N110" s="334"/>
      <c r="O110" s="158">
        <f t="shared" si="24"/>
        <v>0</v>
      </c>
      <c r="P110" s="158">
        <f t="shared" si="25"/>
        <v>0</v>
      </c>
      <c r="Q110" s="1"/>
    </row>
    <row r="111" spans="1:17">
      <c r="B111" s="9" t="str">
        <f t="shared" si="16"/>
        <v/>
      </c>
      <c r="C111" s="153">
        <f>IF(D93="","-",+C110+1)</f>
        <v>2025</v>
      </c>
      <c r="D111" s="154">
        <f>IF(F110+SUM(E$99:E110)=D$92,F110,D$92-SUM(E$99:E110))</f>
        <v>1915871.3662790707</v>
      </c>
      <c r="E111" s="160">
        <f t="shared" si="17"/>
        <v>62767.595238095237</v>
      </c>
      <c r="F111" s="159">
        <f t="shared" si="18"/>
        <v>1853103.7710409756</v>
      </c>
      <c r="G111" s="159">
        <f t="shared" si="19"/>
        <v>1884487.5686600232</v>
      </c>
      <c r="H111" s="163">
        <f t="shared" si="20"/>
        <v>291679.04719057144</v>
      </c>
      <c r="I111" s="253">
        <f t="shared" si="21"/>
        <v>291679.04719057144</v>
      </c>
      <c r="J111" s="158">
        <f t="shared" si="22"/>
        <v>0</v>
      </c>
      <c r="K111" s="158"/>
      <c r="L111" s="334"/>
      <c r="M111" s="158">
        <f t="shared" si="23"/>
        <v>0</v>
      </c>
      <c r="N111" s="334"/>
      <c r="O111" s="158">
        <f t="shared" si="24"/>
        <v>0</v>
      </c>
      <c r="P111" s="158">
        <f t="shared" si="25"/>
        <v>0</v>
      </c>
      <c r="Q111" s="1"/>
    </row>
    <row r="112" spans="1:17">
      <c r="B112" s="9" t="str">
        <f t="shared" si="16"/>
        <v/>
      </c>
      <c r="C112" s="153">
        <f>IF(D93="","-",+C111+1)</f>
        <v>2026</v>
      </c>
      <c r="D112" s="154">
        <f>IF(F111+SUM(E$99:E111)=D$92,F111,D$92-SUM(E$99:E111))</f>
        <v>1853103.7710409756</v>
      </c>
      <c r="E112" s="160">
        <f t="shared" si="17"/>
        <v>62767.595238095237</v>
      </c>
      <c r="F112" s="159">
        <f t="shared" si="18"/>
        <v>1790336.1758028804</v>
      </c>
      <c r="G112" s="159">
        <f t="shared" si="19"/>
        <v>1821719.973421928</v>
      </c>
      <c r="H112" s="163">
        <f t="shared" si="20"/>
        <v>284054.57590168191</v>
      </c>
      <c r="I112" s="253">
        <f t="shared" si="21"/>
        <v>284054.57590168191</v>
      </c>
      <c r="J112" s="158">
        <f t="shared" si="22"/>
        <v>0</v>
      </c>
      <c r="K112" s="158"/>
      <c r="L112" s="334"/>
      <c r="M112" s="158">
        <f t="shared" si="23"/>
        <v>0</v>
      </c>
      <c r="N112" s="334"/>
      <c r="O112" s="158">
        <f t="shared" si="24"/>
        <v>0</v>
      </c>
      <c r="P112" s="158">
        <f t="shared" si="25"/>
        <v>0</v>
      </c>
      <c r="Q112" s="1"/>
    </row>
    <row r="113" spans="2:17">
      <c r="B113" s="9" t="str">
        <f t="shared" si="16"/>
        <v/>
      </c>
      <c r="C113" s="153">
        <f>IF(D93="","-",+C112+1)</f>
        <v>2027</v>
      </c>
      <c r="D113" s="154">
        <f>IF(F112+SUM(E$99:E112)=D$92,F112,D$92-SUM(E$99:E112))</f>
        <v>1790336.1758028804</v>
      </c>
      <c r="E113" s="160">
        <f t="shared" si="17"/>
        <v>62767.595238095237</v>
      </c>
      <c r="F113" s="159">
        <f t="shared" si="18"/>
        <v>1727568.5805647853</v>
      </c>
      <c r="G113" s="159">
        <f t="shared" si="19"/>
        <v>1758952.3781838329</v>
      </c>
      <c r="H113" s="163">
        <f t="shared" si="20"/>
        <v>276430.10461279226</v>
      </c>
      <c r="I113" s="253">
        <f t="shared" si="21"/>
        <v>276430.10461279226</v>
      </c>
      <c r="J113" s="158">
        <f t="shared" si="22"/>
        <v>0</v>
      </c>
      <c r="K113" s="158"/>
      <c r="L113" s="334"/>
      <c r="M113" s="158">
        <f t="shared" si="23"/>
        <v>0</v>
      </c>
      <c r="N113" s="334"/>
      <c r="O113" s="158">
        <f t="shared" si="24"/>
        <v>0</v>
      </c>
      <c r="P113" s="158">
        <f t="shared" si="25"/>
        <v>0</v>
      </c>
      <c r="Q113" s="1"/>
    </row>
    <row r="114" spans="2:17">
      <c r="B114" s="9" t="str">
        <f t="shared" si="16"/>
        <v/>
      </c>
      <c r="C114" s="153">
        <f>IF(D93="","-",+C113+1)</f>
        <v>2028</v>
      </c>
      <c r="D114" s="154">
        <f>IF(F113+SUM(E$99:E113)=D$92,F113,D$92-SUM(E$99:E113))</f>
        <v>1727568.5805647853</v>
      </c>
      <c r="E114" s="160">
        <f t="shared" si="17"/>
        <v>62767.595238095237</v>
      </c>
      <c r="F114" s="159">
        <f t="shared" si="18"/>
        <v>1664800.9853266901</v>
      </c>
      <c r="G114" s="159">
        <f t="shared" si="19"/>
        <v>1696184.7829457377</v>
      </c>
      <c r="H114" s="163">
        <f t="shared" si="20"/>
        <v>268805.63332390273</v>
      </c>
      <c r="I114" s="253">
        <f t="shared" si="21"/>
        <v>268805.63332390273</v>
      </c>
      <c r="J114" s="158">
        <f t="shared" si="22"/>
        <v>0</v>
      </c>
      <c r="K114" s="158"/>
      <c r="L114" s="334"/>
      <c r="M114" s="158">
        <f t="shared" si="23"/>
        <v>0</v>
      </c>
      <c r="N114" s="334"/>
      <c r="O114" s="158">
        <f t="shared" si="24"/>
        <v>0</v>
      </c>
      <c r="P114" s="158">
        <f t="shared" si="25"/>
        <v>0</v>
      </c>
      <c r="Q114" s="1"/>
    </row>
    <row r="115" spans="2:17">
      <c r="B115" s="9" t="str">
        <f t="shared" si="16"/>
        <v/>
      </c>
      <c r="C115" s="153">
        <f>IF(D93="","-",+C114+1)</f>
        <v>2029</v>
      </c>
      <c r="D115" s="154">
        <f>IF(F114+SUM(E$99:E114)=D$92,F114,D$92-SUM(E$99:E114))</f>
        <v>1664800.9853266901</v>
      </c>
      <c r="E115" s="160">
        <f t="shared" si="17"/>
        <v>62767.595238095237</v>
      </c>
      <c r="F115" s="159">
        <f t="shared" si="18"/>
        <v>1602033.390088595</v>
      </c>
      <c r="G115" s="159">
        <f t="shared" si="19"/>
        <v>1633417.1877076426</v>
      </c>
      <c r="H115" s="163">
        <f t="shared" si="20"/>
        <v>261181.16203501311</v>
      </c>
      <c r="I115" s="253">
        <f t="shared" si="21"/>
        <v>261181.16203501311</v>
      </c>
      <c r="J115" s="158">
        <f t="shared" si="22"/>
        <v>0</v>
      </c>
      <c r="K115" s="158"/>
      <c r="L115" s="334"/>
      <c r="M115" s="158">
        <f t="shared" si="23"/>
        <v>0</v>
      </c>
      <c r="N115" s="334"/>
      <c r="O115" s="158">
        <f t="shared" si="24"/>
        <v>0</v>
      </c>
      <c r="P115" s="158">
        <f t="shared" si="25"/>
        <v>0</v>
      </c>
      <c r="Q115" s="1"/>
    </row>
    <row r="116" spans="2:17">
      <c r="B116" s="9" t="str">
        <f t="shared" si="16"/>
        <v/>
      </c>
      <c r="C116" s="153">
        <f>IF(D93="","-",+C115+1)</f>
        <v>2030</v>
      </c>
      <c r="D116" s="154">
        <f>IF(F115+SUM(E$99:E115)=D$92,F115,D$92-SUM(E$99:E115))</f>
        <v>1602033.390088595</v>
      </c>
      <c r="E116" s="160">
        <f t="shared" si="17"/>
        <v>62767.595238095237</v>
      </c>
      <c r="F116" s="159">
        <f t="shared" si="18"/>
        <v>1539265.7948504998</v>
      </c>
      <c r="G116" s="159">
        <f t="shared" si="19"/>
        <v>1570649.5924695474</v>
      </c>
      <c r="H116" s="163">
        <f t="shared" si="20"/>
        <v>253556.69074612352</v>
      </c>
      <c r="I116" s="253">
        <f t="shared" si="21"/>
        <v>253556.69074612352</v>
      </c>
      <c r="J116" s="158">
        <f t="shared" si="22"/>
        <v>0</v>
      </c>
      <c r="K116" s="158"/>
      <c r="L116" s="334"/>
      <c r="M116" s="158">
        <f t="shared" si="23"/>
        <v>0</v>
      </c>
      <c r="N116" s="334"/>
      <c r="O116" s="158">
        <f t="shared" si="24"/>
        <v>0</v>
      </c>
      <c r="P116" s="158">
        <f t="shared" si="25"/>
        <v>0</v>
      </c>
      <c r="Q116" s="1"/>
    </row>
    <row r="117" spans="2:17">
      <c r="B117" s="9" t="str">
        <f t="shared" si="16"/>
        <v/>
      </c>
      <c r="C117" s="153">
        <f>IF(D93="","-",+C116+1)</f>
        <v>2031</v>
      </c>
      <c r="D117" s="154">
        <f>IF(F116+SUM(E$99:E116)=D$92,F116,D$92-SUM(E$99:E116))</f>
        <v>1539265.7948504998</v>
      </c>
      <c r="E117" s="160">
        <f t="shared" si="17"/>
        <v>62767.595238095237</v>
      </c>
      <c r="F117" s="159">
        <f t="shared" si="18"/>
        <v>1476498.1996124047</v>
      </c>
      <c r="G117" s="159">
        <f t="shared" si="19"/>
        <v>1507881.9972314523</v>
      </c>
      <c r="H117" s="163">
        <f t="shared" si="20"/>
        <v>245932.21945723394</v>
      </c>
      <c r="I117" s="253">
        <f t="shared" si="21"/>
        <v>245932.21945723394</v>
      </c>
      <c r="J117" s="158">
        <f t="shared" si="22"/>
        <v>0</v>
      </c>
      <c r="K117" s="158"/>
      <c r="L117" s="334"/>
      <c r="M117" s="158">
        <f t="shared" si="23"/>
        <v>0</v>
      </c>
      <c r="N117" s="334"/>
      <c r="O117" s="158">
        <f t="shared" si="24"/>
        <v>0</v>
      </c>
      <c r="P117" s="158">
        <f t="shared" si="25"/>
        <v>0</v>
      </c>
      <c r="Q117" s="1"/>
    </row>
    <row r="118" spans="2:17">
      <c r="B118" s="9" t="str">
        <f t="shared" si="16"/>
        <v/>
      </c>
      <c r="C118" s="153">
        <f>IF(D93="","-",+C117+1)</f>
        <v>2032</v>
      </c>
      <c r="D118" s="154">
        <f>IF(F117+SUM(E$99:E117)=D$92,F117,D$92-SUM(E$99:E117))</f>
        <v>1476498.1996124047</v>
      </c>
      <c r="E118" s="160">
        <f t="shared" si="17"/>
        <v>62767.595238095237</v>
      </c>
      <c r="F118" s="159">
        <f t="shared" si="18"/>
        <v>1413730.6043743095</v>
      </c>
      <c r="G118" s="159">
        <f t="shared" si="19"/>
        <v>1445114.4019933571</v>
      </c>
      <c r="H118" s="163">
        <f t="shared" si="20"/>
        <v>238307.74816834435</v>
      </c>
      <c r="I118" s="253">
        <f t="shared" si="21"/>
        <v>238307.74816834435</v>
      </c>
      <c r="J118" s="158">
        <f t="shared" si="22"/>
        <v>0</v>
      </c>
      <c r="K118" s="158"/>
      <c r="L118" s="334"/>
      <c r="M118" s="158">
        <f t="shared" si="23"/>
        <v>0</v>
      </c>
      <c r="N118" s="334"/>
      <c r="O118" s="158">
        <f t="shared" si="24"/>
        <v>0</v>
      </c>
      <c r="P118" s="158">
        <f t="shared" si="25"/>
        <v>0</v>
      </c>
      <c r="Q118" s="1"/>
    </row>
    <row r="119" spans="2:17">
      <c r="B119" s="9" t="str">
        <f t="shared" si="16"/>
        <v/>
      </c>
      <c r="C119" s="153">
        <f>IF(D93="","-",+C118+1)</f>
        <v>2033</v>
      </c>
      <c r="D119" s="154">
        <f>IF(F118+SUM(E$99:E118)=D$92,F118,D$92-SUM(E$99:E118))</f>
        <v>1413730.6043743095</v>
      </c>
      <c r="E119" s="160">
        <f t="shared" si="17"/>
        <v>62767.595238095237</v>
      </c>
      <c r="F119" s="159">
        <f t="shared" si="18"/>
        <v>1350963.0091362144</v>
      </c>
      <c r="G119" s="159">
        <f t="shared" si="19"/>
        <v>1382346.806755262</v>
      </c>
      <c r="H119" s="163">
        <f t="shared" si="20"/>
        <v>230683.27687945476</v>
      </c>
      <c r="I119" s="253">
        <f t="shared" si="21"/>
        <v>230683.27687945476</v>
      </c>
      <c r="J119" s="158">
        <f t="shared" si="22"/>
        <v>0</v>
      </c>
      <c r="K119" s="158"/>
      <c r="L119" s="334"/>
      <c r="M119" s="158">
        <f t="shared" si="23"/>
        <v>0</v>
      </c>
      <c r="N119" s="334"/>
      <c r="O119" s="158">
        <f t="shared" si="24"/>
        <v>0</v>
      </c>
      <c r="P119" s="158">
        <f t="shared" si="25"/>
        <v>0</v>
      </c>
      <c r="Q119" s="1"/>
    </row>
    <row r="120" spans="2:17">
      <c r="B120" s="9" t="str">
        <f t="shared" si="16"/>
        <v/>
      </c>
      <c r="C120" s="153">
        <f>IF(D93="","-",+C119+1)</f>
        <v>2034</v>
      </c>
      <c r="D120" s="154">
        <f>IF(F119+SUM(E$99:E119)=D$92,F119,D$92-SUM(E$99:E119))</f>
        <v>1350963.0091362144</v>
      </c>
      <c r="E120" s="160">
        <f t="shared" si="17"/>
        <v>62767.595238095237</v>
      </c>
      <c r="F120" s="159">
        <f t="shared" si="18"/>
        <v>1288195.4138981192</v>
      </c>
      <c r="G120" s="159">
        <f t="shared" si="19"/>
        <v>1319579.2115171668</v>
      </c>
      <c r="H120" s="163">
        <f t="shared" si="20"/>
        <v>223058.80559056517</v>
      </c>
      <c r="I120" s="253">
        <f t="shared" si="21"/>
        <v>223058.80559056517</v>
      </c>
      <c r="J120" s="158">
        <f t="shared" si="22"/>
        <v>0</v>
      </c>
      <c r="K120" s="158"/>
      <c r="L120" s="334"/>
      <c r="M120" s="158">
        <f t="shared" si="23"/>
        <v>0</v>
      </c>
      <c r="N120" s="334"/>
      <c r="O120" s="158">
        <f t="shared" si="24"/>
        <v>0</v>
      </c>
      <c r="P120" s="158">
        <f t="shared" si="25"/>
        <v>0</v>
      </c>
      <c r="Q120" s="1"/>
    </row>
    <row r="121" spans="2:17">
      <c r="B121" s="9" t="str">
        <f t="shared" si="16"/>
        <v/>
      </c>
      <c r="C121" s="153">
        <f>IF(D93="","-",+C120+1)</f>
        <v>2035</v>
      </c>
      <c r="D121" s="154">
        <f>IF(F120+SUM(E$99:E120)=D$92,F120,D$92-SUM(E$99:E120))</f>
        <v>1288195.4138981192</v>
      </c>
      <c r="E121" s="160">
        <f t="shared" si="17"/>
        <v>62767.595238095237</v>
      </c>
      <c r="F121" s="159">
        <f t="shared" si="18"/>
        <v>1225427.8186600241</v>
      </c>
      <c r="G121" s="159">
        <f t="shared" si="19"/>
        <v>1256811.6162790717</v>
      </c>
      <c r="H121" s="163">
        <f t="shared" si="20"/>
        <v>215434.33430167558</v>
      </c>
      <c r="I121" s="253">
        <f t="shared" si="21"/>
        <v>215434.33430167558</v>
      </c>
      <c r="J121" s="158">
        <f t="shared" si="22"/>
        <v>0</v>
      </c>
      <c r="K121" s="158"/>
      <c r="L121" s="334"/>
      <c r="M121" s="158">
        <f t="shared" si="23"/>
        <v>0</v>
      </c>
      <c r="N121" s="334"/>
      <c r="O121" s="158">
        <f t="shared" si="24"/>
        <v>0</v>
      </c>
      <c r="P121" s="158">
        <f t="shared" si="25"/>
        <v>0</v>
      </c>
      <c r="Q121" s="1"/>
    </row>
    <row r="122" spans="2:17">
      <c r="B122" s="9" t="str">
        <f t="shared" si="16"/>
        <v/>
      </c>
      <c r="C122" s="153">
        <f>IF(D93="","-",+C121+1)</f>
        <v>2036</v>
      </c>
      <c r="D122" s="154">
        <f>IF(F121+SUM(E$99:E121)=D$92,F121,D$92-SUM(E$99:E121))</f>
        <v>1225427.8186600241</v>
      </c>
      <c r="E122" s="160">
        <f t="shared" si="17"/>
        <v>62767.595238095237</v>
      </c>
      <c r="F122" s="159">
        <f t="shared" si="18"/>
        <v>1162660.2234219289</v>
      </c>
      <c r="G122" s="159">
        <f t="shared" si="19"/>
        <v>1194044.0210409765</v>
      </c>
      <c r="H122" s="163">
        <f t="shared" si="20"/>
        <v>207809.86301278599</v>
      </c>
      <c r="I122" s="253">
        <f t="shared" si="21"/>
        <v>207809.86301278599</v>
      </c>
      <c r="J122" s="158">
        <f t="shared" si="22"/>
        <v>0</v>
      </c>
      <c r="K122" s="158"/>
      <c r="L122" s="334"/>
      <c r="M122" s="158">
        <f t="shared" si="23"/>
        <v>0</v>
      </c>
      <c r="N122" s="334"/>
      <c r="O122" s="158">
        <f t="shared" si="24"/>
        <v>0</v>
      </c>
      <c r="P122" s="158">
        <f t="shared" si="25"/>
        <v>0</v>
      </c>
      <c r="Q122" s="1"/>
    </row>
    <row r="123" spans="2:17">
      <c r="B123" s="9" t="str">
        <f t="shared" si="16"/>
        <v/>
      </c>
      <c r="C123" s="153">
        <f>IF(D93="","-",+C122+1)</f>
        <v>2037</v>
      </c>
      <c r="D123" s="154">
        <f>IF(F122+SUM(E$99:E122)=D$92,F122,D$92-SUM(E$99:E122))</f>
        <v>1162660.2234219289</v>
      </c>
      <c r="E123" s="160">
        <f t="shared" si="17"/>
        <v>62767.595238095237</v>
      </c>
      <c r="F123" s="159">
        <f t="shared" si="18"/>
        <v>1099892.6281838338</v>
      </c>
      <c r="G123" s="159">
        <f t="shared" si="19"/>
        <v>1131276.4258028814</v>
      </c>
      <c r="H123" s="163">
        <f t="shared" si="20"/>
        <v>200185.39172389641</v>
      </c>
      <c r="I123" s="253">
        <f t="shared" si="21"/>
        <v>200185.39172389641</v>
      </c>
      <c r="J123" s="158">
        <f t="shared" si="22"/>
        <v>0</v>
      </c>
      <c r="K123" s="158"/>
      <c r="L123" s="334"/>
      <c r="M123" s="158">
        <f t="shared" si="23"/>
        <v>0</v>
      </c>
      <c r="N123" s="334"/>
      <c r="O123" s="158">
        <f t="shared" si="24"/>
        <v>0</v>
      </c>
      <c r="P123" s="158">
        <f t="shared" si="25"/>
        <v>0</v>
      </c>
      <c r="Q123" s="1"/>
    </row>
    <row r="124" spans="2:17">
      <c r="B124" s="9" t="str">
        <f t="shared" si="16"/>
        <v/>
      </c>
      <c r="C124" s="153">
        <f>IF(D93="","-",+C123+1)</f>
        <v>2038</v>
      </c>
      <c r="D124" s="154">
        <f>IF(F123+SUM(E$99:E123)=D$92,F123,D$92-SUM(E$99:E123))</f>
        <v>1099892.6281838338</v>
      </c>
      <c r="E124" s="160">
        <f t="shared" si="17"/>
        <v>62767.595238095237</v>
      </c>
      <c r="F124" s="159">
        <f t="shared" si="18"/>
        <v>1037125.0329457385</v>
      </c>
      <c r="G124" s="159">
        <f t="shared" si="19"/>
        <v>1068508.8305647862</v>
      </c>
      <c r="H124" s="163">
        <f t="shared" si="20"/>
        <v>192560.92043500682</v>
      </c>
      <c r="I124" s="253">
        <f t="shared" si="21"/>
        <v>192560.92043500682</v>
      </c>
      <c r="J124" s="158">
        <f t="shared" si="22"/>
        <v>0</v>
      </c>
      <c r="K124" s="158"/>
      <c r="L124" s="334"/>
      <c r="M124" s="158">
        <f t="shared" si="23"/>
        <v>0</v>
      </c>
      <c r="N124" s="334"/>
      <c r="O124" s="158">
        <f t="shared" si="24"/>
        <v>0</v>
      </c>
      <c r="P124" s="158">
        <f t="shared" si="25"/>
        <v>0</v>
      </c>
      <c r="Q124" s="1"/>
    </row>
    <row r="125" spans="2:17">
      <c r="B125" s="9" t="str">
        <f t="shared" si="16"/>
        <v/>
      </c>
      <c r="C125" s="153">
        <f>IF(D93="","-",+C124+1)</f>
        <v>2039</v>
      </c>
      <c r="D125" s="154">
        <f>IF(F124+SUM(E$99:E124)=D$92,F124,D$92-SUM(E$99:E124))</f>
        <v>1037125.0329457385</v>
      </c>
      <c r="E125" s="160">
        <f t="shared" si="17"/>
        <v>62767.595238095237</v>
      </c>
      <c r="F125" s="159">
        <f t="shared" si="18"/>
        <v>974357.43770764326</v>
      </c>
      <c r="G125" s="159">
        <f t="shared" si="19"/>
        <v>1005741.2353266908</v>
      </c>
      <c r="H125" s="163">
        <f t="shared" si="20"/>
        <v>184936.4491461172</v>
      </c>
      <c r="I125" s="253">
        <f t="shared" si="21"/>
        <v>184936.4491461172</v>
      </c>
      <c r="J125" s="158">
        <f t="shared" si="22"/>
        <v>0</v>
      </c>
      <c r="K125" s="158"/>
      <c r="L125" s="334"/>
      <c r="M125" s="158">
        <f t="shared" si="23"/>
        <v>0</v>
      </c>
      <c r="N125" s="334"/>
      <c r="O125" s="158">
        <f t="shared" si="24"/>
        <v>0</v>
      </c>
      <c r="P125" s="158">
        <f t="shared" si="25"/>
        <v>0</v>
      </c>
      <c r="Q125" s="1"/>
    </row>
    <row r="126" spans="2:17">
      <c r="B126" s="9" t="str">
        <f t="shared" si="16"/>
        <v/>
      </c>
      <c r="C126" s="153">
        <f>IF(D93="","-",+C125+1)</f>
        <v>2040</v>
      </c>
      <c r="D126" s="154">
        <f>IF(F125+SUM(E$99:E125)=D$92,F125,D$92-SUM(E$99:E125))</f>
        <v>974357.43770764326</v>
      </c>
      <c r="E126" s="160">
        <f t="shared" si="17"/>
        <v>62767.595238095237</v>
      </c>
      <c r="F126" s="159">
        <f t="shared" si="18"/>
        <v>911589.84246954799</v>
      </c>
      <c r="G126" s="159">
        <f t="shared" si="19"/>
        <v>942973.64008859568</v>
      </c>
      <c r="H126" s="163">
        <f t="shared" si="20"/>
        <v>177311.97785722761</v>
      </c>
      <c r="I126" s="253">
        <f t="shared" si="21"/>
        <v>177311.97785722761</v>
      </c>
      <c r="J126" s="158">
        <f t="shared" si="22"/>
        <v>0</v>
      </c>
      <c r="K126" s="158"/>
      <c r="L126" s="334"/>
      <c r="M126" s="158">
        <f t="shared" si="23"/>
        <v>0</v>
      </c>
      <c r="N126" s="334"/>
      <c r="O126" s="158">
        <f t="shared" si="24"/>
        <v>0</v>
      </c>
      <c r="P126" s="158">
        <f t="shared" si="25"/>
        <v>0</v>
      </c>
      <c r="Q126" s="1"/>
    </row>
    <row r="127" spans="2:17">
      <c r="B127" s="9" t="str">
        <f t="shared" si="16"/>
        <v/>
      </c>
      <c r="C127" s="153">
        <f>IF(D93="","-",+C126+1)</f>
        <v>2041</v>
      </c>
      <c r="D127" s="154">
        <f>IF(F126+SUM(E$99:E126)=D$92,F126,D$92-SUM(E$99:E126))</f>
        <v>911589.84246954799</v>
      </c>
      <c r="E127" s="160">
        <f t="shared" si="17"/>
        <v>62767.595238095237</v>
      </c>
      <c r="F127" s="159">
        <f t="shared" si="18"/>
        <v>848822.24723145273</v>
      </c>
      <c r="G127" s="159">
        <f t="shared" si="19"/>
        <v>880206.0448505003</v>
      </c>
      <c r="H127" s="163">
        <f t="shared" si="20"/>
        <v>169687.50656833799</v>
      </c>
      <c r="I127" s="253">
        <f t="shared" si="21"/>
        <v>169687.50656833799</v>
      </c>
      <c r="J127" s="158">
        <f t="shared" si="22"/>
        <v>0</v>
      </c>
      <c r="K127" s="158"/>
      <c r="L127" s="334"/>
      <c r="M127" s="158">
        <f t="shared" si="23"/>
        <v>0</v>
      </c>
      <c r="N127" s="334"/>
      <c r="O127" s="158">
        <f t="shared" si="24"/>
        <v>0</v>
      </c>
      <c r="P127" s="158">
        <f t="shared" si="25"/>
        <v>0</v>
      </c>
      <c r="Q127" s="1"/>
    </row>
    <row r="128" spans="2:17">
      <c r="B128" s="9" t="str">
        <f t="shared" si="16"/>
        <v/>
      </c>
      <c r="C128" s="153">
        <f>IF(D93="","-",+C127+1)</f>
        <v>2042</v>
      </c>
      <c r="D128" s="154">
        <f>IF(F127+SUM(E$99:E127)=D$92,F127,D$92-SUM(E$99:E127))</f>
        <v>848822.24723145273</v>
      </c>
      <c r="E128" s="160">
        <f t="shared" si="17"/>
        <v>62767.595238095237</v>
      </c>
      <c r="F128" s="159">
        <f t="shared" si="18"/>
        <v>786054.65199335746</v>
      </c>
      <c r="G128" s="159">
        <f t="shared" si="19"/>
        <v>817438.44961240515</v>
      </c>
      <c r="H128" s="163">
        <f t="shared" si="20"/>
        <v>162063.03527944841</v>
      </c>
      <c r="I128" s="253">
        <f t="shared" si="21"/>
        <v>162063.03527944841</v>
      </c>
      <c r="J128" s="158">
        <f t="shared" si="22"/>
        <v>0</v>
      </c>
      <c r="K128" s="158"/>
      <c r="L128" s="334"/>
      <c r="M128" s="158">
        <f t="shared" si="23"/>
        <v>0</v>
      </c>
      <c r="N128" s="334"/>
      <c r="O128" s="158">
        <f t="shared" si="24"/>
        <v>0</v>
      </c>
      <c r="P128" s="158">
        <f t="shared" si="25"/>
        <v>0</v>
      </c>
      <c r="Q128" s="1"/>
    </row>
    <row r="129" spans="2:17">
      <c r="B129" s="9" t="str">
        <f t="shared" si="16"/>
        <v/>
      </c>
      <c r="C129" s="153">
        <f>IF(D93="","-",+C128+1)</f>
        <v>2043</v>
      </c>
      <c r="D129" s="154">
        <f>IF(F128+SUM(E$99:E128)=D$92,F128,D$92-SUM(E$99:E128))</f>
        <v>786054.65199335746</v>
      </c>
      <c r="E129" s="160">
        <f t="shared" si="17"/>
        <v>62767.595238095237</v>
      </c>
      <c r="F129" s="159">
        <f t="shared" si="18"/>
        <v>723287.05675526219</v>
      </c>
      <c r="G129" s="159">
        <f t="shared" si="19"/>
        <v>754670.85437430977</v>
      </c>
      <c r="H129" s="163">
        <f t="shared" si="20"/>
        <v>154438.56399055879</v>
      </c>
      <c r="I129" s="253">
        <f t="shared" si="21"/>
        <v>154438.56399055879</v>
      </c>
      <c r="J129" s="158">
        <f t="shared" si="22"/>
        <v>0</v>
      </c>
      <c r="K129" s="158"/>
      <c r="L129" s="334"/>
      <c r="M129" s="158">
        <f t="shared" si="23"/>
        <v>0</v>
      </c>
      <c r="N129" s="334"/>
      <c r="O129" s="158">
        <f t="shared" si="24"/>
        <v>0</v>
      </c>
      <c r="P129" s="158">
        <f t="shared" si="25"/>
        <v>0</v>
      </c>
      <c r="Q129" s="1"/>
    </row>
    <row r="130" spans="2:17">
      <c r="B130" s="9" t="str">
        <f t="shared" si="16"/>
        <v/>
      </c>
      <c r="C130" s="153">
        <f>IF(D93="","-",+C129+1)</f>
        <v>2044</v>
      </c>
      <c r="D130" s="154">
        <f>IF(F129+SUM(E$99:E129)=D$92,F129,D$92-SUM(E$99:E129))</f>
        <v>723287.05675526219</v>
      </c>
      <c r="E130" s="160">
        <f t="shared" si="17"/>
        <v>62767.595238095237</v>
      </c>
      <c r="F130" s="159">
        <f t="shared" si="18"/>
        <v>660519.46151716693</v>
      </c>
      <c r="G130" s="159">
        <f t="shared" si="19"/>
        <v>691903.25913621462</v>
      </c>
      <c r="H130" s="163">
        <f t="shared" si="20"/>
        <v>146814.0927016692</v>
      </c>
      <c r="I130" s="253">
        <f t="shared" si="21"/>
        <v>146814.0927016692</v>
      </c>
      <c r="J130" s="158">
        <f t="shared" si="22"/>
        <v>0</v>
      </c>
      <c r="K130" s="158"/>
      <c r="L130" s="334"/>
      <c r="M130" s="158">
        <f t="shared" si="23"/>
        <v>0</v>
      </c>
      <c r="N130" s="334"/>
      <c r="O130" s="158">
        <f t="shared" si="24"/>
        <v>0</v>
      </c>
      <c r="P130" s="158">
        <f t="shared" si="25"/>
        <v>0</v>
      </c>
      <c r="Q130" s="1"/>
    </row>
    <row r="131" spans="2:17">
      <c r="B131" s="9" t="str">
        <f t="shared" si="16"/>
        <v/>
      </c>
      <c r="C131" s="153">
        <f>IF(D93="","-",+C130+1)</f>
        <v>2045</v>
      </c>
      <c r="D131" s="154">
        <f>IF(F130+SUM(E$99:E130)=D$92,F130,D$92-SUM(E$99:E130))</f>
        <v>660519.46151716693</v>
      </c>
      <c r="E131" s="160">
        <f t="shared" si="17"/>
        <v>62767.595238095237</v>
      </c>
      <c r="F131" s="159">
        <f t="shared" si="18"/>
        <v>597751.86627907166</v>
      </c>
      <c r="G131" s="159">
        <f t="shared" si="19"/>
        <v>629135.66389811924</v>
      </c>
      <c r="H131" s="163">
        <f t="shared" si="20"/>
        <v>139189.62141277958</v>
      </c>
      <c r="I131" s="253">
        <f t="shared" si="21"/>
        <v>139189.62141277958</v>
      </c>
      <c r="J131" s="158">
        <f t="shared" si="22"/>
        <v>0</v>
      </c>
      <c r="K131" s="158"/>
      <c r="L131" s="334"/>
      <c r="M131" s="158">
        <f t="shared" ref="M131:M154" si="26">IF(L541&lt;&gt;0,+H541-L541,0)</f>
        <v>0</v>
      </c>
      <c r="N131" s="334"/>
      <c r="O131" s="158">
        <f t="shared" ref="O131:O154" si="27">IF(N541&lt;&gt;0,+I541-N541,0)</f>
        <v>0</v>
      </c>
      <c r="P131" s="158">
        <f t="shared" ref="P131:P154" si="28">+O541-M541</f>
        <v>0</v>
      </c>
      <c r="Q131" s="1"/>
    </row>
    <row r="132" spans="2:17">
      <c r="B132" s="9" t="str">
        <f t="shared" si="16"/>
        <v/>
      </c>
      <c r="C132" s="153">
        <f>IF(D93="","-",+C131+1)</f>
        <v>2046</v>
      </c>
      <c r="D132" s="154">
        <f>IF(F131+SUM(E$99:E131)=D$92,F131,D$92-SUM(E$99:E131))</f>
        <v>597751.86627907166</v>
      </c>
      <c r="E132" s="160">
        <f t="shared" si="17"/>
        <v>62767.595238095237</v>
      </c>
      <c r="F132" s="159">
        <f t="shared" si="18"/>
        <v>534984.2710409764</v>
      </c>
      <c r="G132" s="159">
        <f t="shared" si="19"/>
        <v>566368.06866002409</v>
      </c>
      <c r="H132" s="163">
        <f t="shared" si="20"/>
        <v>131565.15012388999</v>
      </c>
      <c r="I132" s="253">
        <f t="shared" si="21"/>
        <v>131565.15012388999</v>
      </c>
      <c r="J132" s="158">
        <f t="shared" si="22"/>
        <v>0</v>
      </c>
      <c r="K132" s="158"/>
      <c r="L132" s="334"/>
      <c r="M132" s="158">
        <f t="shared" si="26"/>
        <v>0</v>
      </c>
      <c r="N132" s="334"/>
      <c r="O132" s="158">
        <f t="shared" si="27"/>
        <v>0</v>
      </c>
      <c r="P132" s="158">
        <f t="shared" si="28"/>
        <v>0</v>
      </c>
      <c r="Q132" s="1"/>
    </row>
    <row r="133" spans="2:17">
      <c r="B133" s="9" t="str">
        <f t="shared" si="16"/>
        <v/>
      </c>
      <c r="C133" s="153">
        <f>IF(D93="","-",+C132+1)</f>
        <v>2047</v>
      </c>
      <c r="D133" s="154">
        <f>IF(F132+SUM(E$99:E132)=D$92,F132,D$92-SUM(E$99:E132))</f>
        <v>534984.2710409764</v>
      </c>
      <c r="E133" s="160">
        <f t="shared" si="17"/>
        <v>62767.595238095237</v>
      </c>
      <c r="F133" s="159">
        <f t="shared" si="18"/>
        <v>472216.67580288113</v>
      </c>
      <c r="G133" s="159">
        <f t="shared" si="19"/>
        <v>503600.47342192876</v>
      </c>
      <c r="H133" s="163">
        <f t="shared" si="20"/>
        <v>123940.67883500038</v>
      </c>
      <c r="I133" s="253">
        <f t="shared" si="21"/>
        <v>123940.67883500038</v>
      </c>
      <c r="J133" s="158">
        <f t="shared" si="22"/>
        <v>0</v>
      </c>
      <c r="K133" s="158"/>
      <c r="L133" s="334"/>
      <c r="M133" s="158">
        <f t="shared" si="26"/>
        <v>0</v>
      </c>
      <c r="N133" s="334"/>
      <c r="O133" s="158">
        <f t="shared" si="27"/>
        <v>0</v>
      </c>
      <c r="P133" s="158">
        <f t="shared" si="28"/>
        <v>0</v>
      </c>
      <c r="Q133" s="1"/>
    </row>
    <row r="134" spans="2:17">
      <c r="B134" s="9" t="str">
        <f t="shared" si="16"/>
        <v/>
      </c>
      <c r="C134" s="153">
        <f>IF(D93="","-",+C133+1)</f>
        <v>2048</v>
      </c>
      <c r="D134" s="154">
        <f>IF(F133+SUM(E$99:E133)=D$92,F133,D$92-SUM(E$99:E133))</f>
        <v>472216.67580288113</v>
      </c>
      <c r="E134" s="160">
        <f t="shared" si="17"/>
        <v>62767.595238095237</v>
      </c>
      <c r="F134" s="159">
        <f t="shared" si="18"/>
        <v>409449.08056478587</v>
      </c>
      <c r="G134" s="159">
        <f t="shared" si="19"/>
        <v>440832.8781838335</v>
      </c>
      <c r="H134" s="163">
        <f t="shared" si="20"/>
        <v>116316.20754611079</v>
      </c>
      <c r="I134" s="253">
        <f t="shared" si="21"/>
        <v>116316.20754611079</v>
      </c>
      <c r="J134" s="158">
        <f t="shared" si="22"/>
        <v>0</v>
      </c>
      <c r="K134" s="158"/>
      <c r="L134" s="334"/>
      <c r="M134" s="158">
        <f t="shared" si="26"/>
        <v>0</v>
      </c>
      <c r="N134" s="334"/>
      <c r="O134" s="158">
        <f t="shared" si="27"/>
        <v>0</v>
      </c>
      <c r="P134" s="158">
        <f t="shared" si="28"/>
        <v>0</v>
      </c>
      <c r="Q134" s="1"/>
    </row>
    <row r="135" spans="2:17">
      <c r="B135" s="9" t="str">
        <f t="shared" si="16"/>
        <v/>
      </c>
      <c r="C135" s="153">
        <f>IF(D93="","-",+C134+1)</f>
        <v>2049</v>
      </c>
      <c r="D135" s="154">
        <f>IF(F134+SUM(E$99:E134)=D$92,F134,D$92-SUM(E$99:E134))</f>
        <v>409449.08056478587</v>
      </c>
      <c r="E135" s="160">
        <f t="shared" si="17"/>
        <v>62767.595238095237</v>
      </c>
      <c r="F135" s="159">
        <f t="shared" si="18"/>
        <v>346681.4853266906</v>
      </c>
      <c r="G135" s="159">
        <f t="shared" si="19"/>
        <v>378065.28294573823</v>
      </c>
      <c r="H135" s="163">
        <f t="shared" si="20"/>
        <v>108691.73625722117</v>
      </c>
      <c r="I135" s="253">
        <f t="shared" si="21"/>
        <v>108691.73625722117</v>
      </c>
      <c r="J135" s="158">
        <f t="shared" si="22"/>
        <v>0</v>
      </c>
      <c r="K135" s="158"/>
      <c r="L135" s="334"/>
      <c r="M135" s="158">
        <f t="shared" si="26"/>
        <v>0</v>
      </c>
      <c r="N135" s="334"/>
      <c r="O135" s="158">
        <f t="shared" si="27"/>
        <v>0</v>
      </c>
      <c r="P135" s="158">
        <f t="shared" si="28"/>
        <v>0</v>
      </c>
      <c r="Q135" s="1"/>
    </row>
    <row r="136" spans="2:17">
      <c r="B136" s="9" t="str">
        <f t="shared" si="16"/>
        <v/>
      </c>
      <c r="C136" s="153">
        <f>IF(D93="","-",+C135+1)</f>
        <v>2050</v>
      </c>
      <c r="D136" s="154">
        <f>IF(F135+SUM(E$99:E135)=D$92,F135,D$92-SUM(E$99:E135))</f>
        <v>346681.4853266906</v>
      </c>
      <c r="E136" s="160">
        <f t="shared" si="17"/>
        <v>62767.595238095237</v>
      </c>
      <c r="F136" s="159">
        <f t="shared" si="18"/>
        <v>283913.89008859533</v>
      </c>
      <c r="G136" s="159">
        <f t="shared" si="19"/>
        <v>315297.68770764297</v>
      </c>
      <c r="H136" s="163">
        <f t="shared" si="20"/>
        <v>101067.26496833158</v>
      </c>
      <c r="I136" s="253">
        <f t="shared" si="21"/>
        <v>101067.26496833158</v>
      </c>
      <c r="J136" s="158">
        <f t="shared" si="22"/>
        <v>0</v>
      </c>
      <c r="K136" s="158"/>
      <c r="L136" s="334"/>
      <c r="M136" s="158">
        <f t="shared" si="26"/>
        <v>0</v>
      </c>
      <c r="N136" s="334"/>
      <c r="O136" s="158">
        <f t="shared" si="27"/>
        <v>0</v>
      </c>
      <c r="P136" s="158">
        <f t="shared" si="28"/>
        <v>0</v>
      </c>
      <c r="Q136" s="1"/>
    </row>
    <row r="137" spans="2:17">
      <c r="B137" s="9" t="str">
        <f t="shared" si="16"/>
        <v/>
      </c>
      <c r="C137" s="153">
        <f>IF(D93="","-",+C136+1)</f>
        <v>2051</v>
      </c>
      <c r="D137" s="154">
        <f>IF(F136+SUM(E$99:E136)=D$92,F136,D$92-SUM(E$99:E136))</f>
        <v>283913.89008859533</v>
      </c>
      <c r="E137" s="160">
        <f t="shared" si="17"/>
        <v>62767.595238095237</v>
      </c>
      <c r="F137" s="159">
        <f t="shared" si="18"/>
        <v>221146.2948505001</v>
      </c>
      <c r="G137" s="159">
        <f t="shared" si="19"/>
        <v>252530.0924695477</v>
      </c>
      <c r="H137" s="163">
        <f t="shared" si="20"/>
        <v>93442.79367944198</v>
      </c>
      <c r="I137" s="253">
        <f t="shared" si="21"/>
        <v>93442.79367944198</v>
      </c>
      <c r="J137" s="158">
        <f t="shared" si="22"/>
        <v>0</v>
      </c>
      <c r="K137" s="158"/>
      <c r="L137" s="334"/>
      <c r="M137" s="158">
        <f t="shared" si="26"/>
        <v>0</v>
      </c>
      <c r="N137" s="334"/>
      <c r="O137" s="158">
        <f t="shared" si="27"/>
        <v>0</v>
      </c>
      <c r="P137" s="158">
        <f t="shared" si="28"/>
        <v>0</v>
      </c>
      <c r="Q137" s="1"/>
    </row>
    <row r="138" spans="2:17">
      <c r="B138" s="9" t="str">
        <f t="shared" si="16"/>
        <v/>
      </c>
      <c r="C138" s="153">
        <f>IF(D93="","-",+C137+1)</f>
        <v>2052</v>
      </c>
      <c r="D138" s="154">
        <f>IF(F137+SUM(E$99:E137)=D$92,F137,D$92-SUM(E$99:E137))</f>
        <v>221146.2948505001</v>
      </c>
      <c r="E138" s="160">
        <f t="shared" si="17"/>
        <v>62767.595238095237</v>
      </c>
      <c r="F138" s="159">
        <f t="shared" si="18"/>
        <v>158378.69961240486</v>
      </c>
      <c r="G138" s="159">
        <f t="shared" si="19"/>
        <v>189762.49723145249</v>
      </c>
      <c r="H138" s="163">
        <f t="shared" si="20"/>
        <v>85818.322390552377</v>
      </c>
      <c r="I138" s="253">
        <f t="shared" si="21"/>
        <v>85818.322390552377</v>
      </c>
      <c r="J138" s="158">
        <f t="shared" si="22"/>
        <v>0</v>
      </c>
      <c r="K138" s="158"/>
      <c r="L138" s="334"/>
      <c r="M138" s="158">
        <f t="shared" si="26"/>
        <v>0</v>
      </c>
      <c r="N138" s="334"/>
      <c r="O138" s="158">
        <f t="shared" si="27"/>
        <v>0</v>
      </c>
      <c r="P138" s="158">
        <f t="shared" si="28"/>
        <v>0</v>
      </c>
      <c r="Q138" s="1"/>
    </row>
    <row r="139" spans="2:17">
      <c r="B139" s="9" t="str">
        <f t="shared" si="16"/>
        <v/>
      </c>
      <c r="C139" s="153">
        <f>IF(D93="","-",+C138+1)</f>
        <v>2053</v>
      </c>
      <c r="D139" s="154">
        <f>IF(F138+SUM(E$99:E138)=D$92,F138,D$92-SUM(E$99:E138))</f>
        <v>158378.69961240486</v>
      </c>
      <c r="E139" s="160">
        <f t="shared" si="17"/>
        <v>62767.595238095237</v>
      </c>
      <c r="F139" s="159">
        <f t="shared" si="18"/>
        <v>95611.104374309623</v>
      </c>
      <c r="G139" s="159">
        <f t="shared" si="19"/>
        <v>126994.90199335724</v>
      </c>
      <c r="H139" s="163">
        <f t="shared" si="20"/>
        <v>78193.851101662774</v>
      </c>
      <c r="I139" s="253">
        <f t="shared" si="21"/>
        <v>78193.851101662774</v>
      </c>
      <c r="J139" s="158">
        <f t="shared" si="22"/>
        <v>0</v>
      </c>
      <c r="K139" s="158"/>
      <c r="L139" s="334"/>
      <c r="M139" s="158">
        <f t="shared" si="26"/>
        <v>0</v>
      </c>
      <c r="N139" s="334"/>
      <c r="O139" s="158">
        <f t="shared" si="27"/>
        <v>0</v>
      </c>
      <c r="P139" s="158">
        <f t="shared" si="28"/>
        <v>0</v>
      </c>
      <c r="Q139" s="1"/>
    </row>
    <row r="140" spans="2:17">
      <c r="B140" s="9" t="str">
        <f t="shared" si="16"/>
        <v/>
      </c>
      <c r="C140" s="153">
        <f>IF(D93="","-",+C139+1)</f>
        <v>2054</v>
      </c>
      <c r="D140" s="154">
        <f>IF(F139+SUM(E$99:E139)=D$92,F139,D$92-SUM(E$99:E139))</f>
        <v>95611.104374309623</v>
      </c>
      <c r="E140" s="160">
        <f t="shared" si="17"/>
        <v>62767.595238095237</v>
      </c>
      <c r="F140" s="159">
        <f t="shared" si="18"/>
        <v>32843.509136214387</v>
      </c>
      <c r="G140" s="159">
        <f t="shared" si="19"/>
        <v>64227.306755262005</v>
      </c>
      <c r="H140" s="163">
        <f t="shared" si="20"/>
        <v>70569.379812773186</v>
      </c>
      <c r="I140" s="253">
        <f t="shared" si="21"/>
        <v>70569.379812773186</v>
      </c>
      <c r="J140" s="158">
        <f t="shared" si="22"/>
        <v>0</v>
      </c>
      <c r="K140" s="158"/>
      <c r="L140" s="334"/>
      <c r="M140" s="158">
        <f t="shared" si="26"/>
        <v>0</v>
      </c>
      <c r="N140" s="334"/>
      <c r="O140" s="158">
        <f t="shared" si="27"/>
        <v>0</v>
      </c>
      <c r="P140" s="158">
        <f t="shared" si="28"/>
        <v>0</v>
      </c>
      <c r="Q140" s="1"/>
    </row>
    <row r="141" spans="2:17">
      <c r="B141" s="9" t="str">
        <f t="shared" si="16"/>
        <v/>
      </c>
      <c r="C141" s="153">
        <f>IF(D93="","-",+C140+1)</f>
        <v>2055</v>
      </c>
      <c r="D141" s="154">
        <f>IF(F140+SUM(E$99:E140)=D$92,F140,D$92-SUM(E$99:E140))</f>
        <v>32843.509136214387</v>
      </c>
      <c r="E141" s="160">
        <f t="shared" si="17"/>
        <v>32843.509136214387</v>
      </c>
      <c r="F141" s="159">
        <f t="shared" si="18"/>
        <v>0</v>
      </c>
      <c r="G141" s="159">
        <f t="shared" si="19"/>
        <v>16421.754568107193</v>
      </c>
      <c r="H141" s="163">
        <f t="shared" si="20"/>
        <v>34838.283601330957</v>
      </c>
      <c r="I141" s="253">
        <f t="shared" si="21"/>
        <v>34838.283601330957</v>
      </c>
      <c r="J141" s="158">
        <f t="shared" si="22"/>
        <v>0</v>
      </c>
      <c r="K141" s="158"/>
      <c r="L141" s="334"/>
      <c r="M141" s="158">
        <f t="shared" si="26"/>
        <v>0</v>
      </c>
      <c r="N141" s="334"/>
      <c r="O141" s="158">
        <f t="shared" si="27"/>
        <v>0</v>
      </c>
      <c r="P141" s="158">
        <f t="shared" si="28"/>
        <v>0</v>
      </c>
      <c r="Q141" s="1"/>
    </row>
    <row r="142" spans="2:17">
      <c r="B142" s="9" t="str">
        <f t="shared" si="16"/>
        <v/>
      </c>
      <c r="C142" s="153">
        <f>IF(D93="","-",+C141+1)</f>
        <v>2056</v>
      </c>
      <c r="D142" s="154">
        <f>IF(F141+SUM(E$99:E141)=D$92,F141,D$92-SUM(E$99:E141))</f>
        <v>0</v>
      </c>
      <c r="E142" s="160">
        <f t="shared" si="17"/>
        <v>0</v>
      </c>
      <c r="F142" s="159">
        <f t="shared" si="18"/>
        <v>0</v>
      </c>
      <c r="G142" s="159">
        <f t="shared" si="19"/>
        <v>0</v>
      </c>
      <c r="H142" s="163">
        <f t="shared" si="20"/>
        <v>0</v>
      </c>
      <c r="I142" s="253">
        <f t="shared" si="21"/>
        <v>0</v>
      </c>
      <c r="J142" s="158">
        <f t="shared" si="22"/>
        <v>0</v>
      </c>
      <c r="K142" s="158"/>
      <c r="L142" s="334"/>
      <c r="M142" s="158">
        <f t="shared" si="26"/>
        <v>0</v>
      </c>
      <c r="N142" s="334"/>
      <c r="O142" s="158">
        <f t="shared" si="27"/>
        <v>0</v>
      </c>
      <c r="P142" s="158">
        <f t="shared" si="28"/>
        <v>0</v>
      </c>
      <c r="Q142" s="1"/>
    </row>
    <row r="143" spans="2:17">
      <c r="B143" s="9" t="str">
        <f t="shared" si="16"/>
        <v/>
      </c>
      <c r="C143" s="153">
        <f>IF(D93="","-",+C142+1)</f>
        <v>2057</v>
      </c>
      <c r="D143" s="154">
        <f>IF(F142+SUM(E$99:E142)=D$92,F142,D$92-SUM(E$99:E142))</f>
        <v>0</v>
      </c>
      <c r="E143" s="160">
        <f t="shared" si="17"/>
        <v>0</v>
      </c>
      <c r="F143" s="159">
        <f t="shared" si="18"/>
        <v>0</v>
      </c>
      <c r="G143" s="159">
        <f t="shared" si="19"/>
        <v>0</v>
      </c>
      <c r="H143" s="163">
        <f t="shared" si="20"/>
        <v>0</v>
      </c>
      <c r="I143" s="253">
        <f t="shared" si="21"/>
        <v>0</v>
      </c>
      <c r="J143" s="158">
        <f t="shared" si="22"/>
        <v>0</v>
      </c>
      <c r="K143" s="158"/>
      <c r="L143" s="334"/>
      <c r="M143" s="158">
        <f t="shared" si="26"/>
        <v>0</v>
      </c>
      <c r="N143" s="334"/>
      <c r="O143" s="158">
        <f t="shared" si="27"/>
        <v>0</v>
      </c>
      <c r="P143" s="158">
        <f t="shared" si="28"/>
        <v>0</v>
      </c>
      <c r="Q143" s="1"/>
    </row>
    <row r="144" spans="2:17">
      <c r="B144" s="9" t="str">
        <f t="shared" si="16"/>
        <v/>
      </c>
      <c r="C144" s="153">
        <f>IF(D93="","-",+C143+1)</f>
        <v>2058</v>
      </c>
      <c r="D144" s="154">
        <f>IF(F143+SUM(E$99:E143)=D$92,F143,D$92-SUM(E$99:E143))</f>
        <v>0</v>
      </c>
      <c r="E144" s="160">
        <f t="shared" si="17"/>
        <v>0</v>
      </c>
      <c r="F144" s="159">
        <f t="shared" si="18"/>
        <v>0</v>
      </c>
      <c r="G144" s="159">
        <f t="shared" si="19"/>
        <v>0</v>
      </c>
      <c r="H144" s="163">
        <f t="shared" si="20"/>
        <v>0</v>
      </c>
      <c r="I144" s="253">
        <f t="shared" si="21"/>
        <v>0</v>
      </c>
      <c r="J144" s="158">
        <f t="shared" si="22"/>
        <v>0</v>
      </c>
      <c r="K144" s="158"/>
      <c r="L144" s="334"/>
      <c r="M144" s="158">
        <f t="shared" si="26"/>
        <v>0</v>
      </c>
      <c r="N144" s="334"/>
      <c r="O144" s="158">
        <f t="shared" si="27"/>
        <v>0</v>
      </c>
      <c r="P144" s="158">
        <f t="shared" si="28"/>
        <v>0</v>
      </c>
      <c r="Q144" s="1"/>
    </row>
    <row r="145" spans="2:17">
      <c r="B145" s="9" t="str">
        <f t="shared" si="16"/>
        <v/>
      </c>
      <c r="C145" s="153">
        <f>IF(D93="","-",+C144+1)</f>
        <v>2059</v>
      </c>
      <c r="D145" s="154">
        <f>IF(F144+SUM(E$99:E144)=D$92,F144,D$92-SUM(E$99:E144))</f>
        <v>0</v>
      </c>
      <c r="E145" s="160">
        <f t="shared" si="17"/>
        <v>0</v>
      </c>
      <c r="F145" s="159">
        <f t="shared" si="18"/>
        <v>0</v>
      </c>
      <c r="G145" s="159">
        <f t="shared" si="19"/>
        <v>0</v>
      </c>
      <c r="H145" s="163">
        <f t="shared" si="20"/>
        <v>0</v>
      </c>
      <c r="I145" s="253">
        <f t="shared" si="21"/>
        <v>0</v>
      </c>
      <c r="J145" s="158">
        <f t="shared" si="22"/>
        <v>0</v>
      </c>
      <c r="K145" s="158"/>
      <c r="L145" s="334"/>
      <c r="M145" s="158">
        <f t="shared" si="26"/>
        <v>0</v>
      </c>
      <c r="N145" s="334"/>
      <c r="O145" s="158">
        <f t="shared" si="27"/>
        <v>0</v>
      </c>
      <c r="P145" s="158">
        <f t="shared" si="28"/>
        <v>0</v>
      </c>
      <c r="Q145" s="1"/>
    </row>
    <row r="146" spans="2:17">
      <c r="B146" s="9" t="str">
        <f t="shared" si="16"/>
        <v/>
      </c>
      <c r="C146" s="153">
        <f>IF(D93="","-",+C145+1)</f>
        <v>2060</v>
      </c>
      <c r="D146" s="154">
        <f>IF(F145+SUM(E$99:E145)=D$92,F145,D$92-SUM(E$99:E145))</f>
        <v>0</v>
      </c>
      <c r="E146" s="160">
        <f t="shared" si="17"/>
        <v>0</v>
      </c>
      <c r="F146" s="159">
        <f t="shared" si="18"/>
        <v>0</v>
      </c>
      <c r="G146" s="159">
        <f t="shared" si="19"/>
        <v>0</v>
      </c>
      <c r="H146" s="163">
        <f t="shared" si="20"/>
        <v>0</v>
      </c>
      <c r="I146" s="253">
        <f t="shared" si="21"/>
        <v>0</v>
      </c>
      <c r="J146" s="158">
        <f t="shared" si="22"/>
        <v>0</v>
      </c>
      <c r="K146" s="158"/>
      <c r="L146" s="334"/>
      <c r="M146" s="158">
        <f t="shared" si="26"/>
        <v>0</v>
      </c>
      <c r="N146" s="334"/>
      <c r="O146" s="158">
        <f t="shared" si="27"/>
        <v>0</v>
      </c>
      <c r="P146" s="158">
        <f t="shared" si="28"/>
        <v>0</v>
      </c>
      <c r="Q146" s="1"/>
    </row>
    <row r="147" spans="2:17">
      <c r="B147" s="9" t="str">
        <f t="shared" si="16"/>
        <v/>
      </c>
      <c r="C147" s="153">
        <f>IF(D93="","-",+C146+1)</f>
        <v>2061</v>
      </c>
      <c r="D147" s="154">
        <f>IF(F146+SUM(E$99:E146)=D$92,F146,D$92-SUM(E$99:E146))</f>
        <v>0</v>
      </c>
      <c r="E147" s="160">
        <f t="shared" si="17"/>
        <v>0</v>
      </c>
      <c r="F147" s="159">
        <f t="shared" si="18"/>
        <v>0</v>
      </c>
      <c r="G147" s="159">
        <f t="shared" si="19"/>
        <v>0</v>
      </c>
      <c r="H147" s="163">
        <f t="shared" si="20"/>
        <v>0</v>
      </c>
      <c r="I147" s="253">
        <f t="shared" si="21"/>
        <v>0</v>
      </c>
      <c r="J147" s="158">
        <f t="shared" si="22"/>
        <v>0</v>
      </c>
      <c r="K147" s="158"/>
      <c r="L147" s="334"/>
      <c r="M147" s="158">
        <f t="shared" si="26"/>
        <v>0</v>
      </c>
      <c r="N147" s="334"/>
      <c r="O147" s="158">
        <f t="shared" si="27"/>
        <v>0</v>
      </c>
      <c r="P147" s="158">
        <f t="shared" si="28"/>
        <v>0</v>
      </c>
      <c r="Q147" s="1"/>
    </row>
    <row r="148" spans="2:17">
      <c r="B148" s="9" t="str">
        <f t="shared" si="16"/>
        <v/>
      </c>
      <c r="C148" s="153">
        <f>IF(D93="","-",+C147+1)</f>
        <v>2062</v>
      </c>
      <c r="D148" s="154">
        <f>IF(F147+SUM(E$99:E147)=D$92,F147,D$92-SUM(E$99:E147))</f>
        <v>0</v>
      </c>
      <c r="E148" s="160">
        <f t="shared" si="17"/>
        <v>0</v>
      </c>
      <c r="F148" s="159">
        <f t="shared" si="18"/>
        <v>0</v>
      </c>
      <c r="G148" s="159">
        <f t="shared" si="19"/>
        <v>0</v>
      </c>
      <c r="H148" s="163">
        <f t="shared" si="20"/>
        <v>0</v>
      </c>
      <c r="I148" s="253">
        <f t="shared" si="21"/>
        <v>0</v>
      </c>
      <c r="J148" s="158">
        <f t="shared" si="22"/>
        <v>0</v>
      </c>
      <c r="K148" s="158"/>
      <c r="L148" s="334"/>
      <c r="M148" s="158">
        <f t="shared" si="26"/>
        <v>0</v>
      </c>
      <c r="N148" s="334"/>
      <c r="O148" s="158">
        <f t="shared" si="27"/>
        <v>0</v>
      </c>
      <c r="P148" s="158">
        <f t="shared" si="28"/>
        <v>0</v>
      </c>
      <c r="Q148" s="1"/>
    </row>
    <row r="149" spans="2:17">
      <c r="B149" s="9" t="str">
        <f t="shared" si="16"/>
        <v/>
      </c>
      <c r="C149" s="153">
        <f>IF(D93="","-",+C148+1)</f>
        <v>2063</v>
      </c>
      <c r="D149" s="154">
        <f>IF(F148+SUM(E$99:E148)=D$92,F148,D$92-SUM(E$99:E148))</f>
        <v>0</v>
      </c>
      <c r="E149" s="160">
        <f t="shared" si="17"/>
        <v>0</v>
      </c>
      <c r="F149" s="159">
        <f t="shared" si="18"/>
        <v>0</v>
      </c>
      <c r="G149" s="159">
        <f t="shared" si="19"/>
        <v>0</v>
      </c>
      <c r="H149" s="163">
        <f t="shared" si="20"/>
        <v>0</v>
      </c>
      <c r="I149" s="253">
        <f t="shared" si="21"/>
        <v>0</v>
      </c>
      <c r="J149" s="158">
        <f t="shared" si="22"/>
        <v>0</v>
      </c>
      <c r="K149" s="158"/>
      <c r="L149" s="334"/>
      <c r="M149" s="158">
        <f t="shared" si="26"/>
        <v>0</v>
      </c>
      <c r="N149" s="334"/>
      <c r="O149" s="158">
        <f t="shared" si="27"/>
        <v>0</v>
      </c>
      <c r="P149" s="158">
        <f t="shared" si="28"/>
        <v>0</v>
      </c>
      <c r="Q149" s="1"/>
    </row>
    <row r="150" spans="2:17">
      <c r="B150" s="9" t="str">
        <f t="shared" si="16"/>
        <v/>
      </c>
      <c r="C150" s="153">
        <f>IF(D93="","-",+C149+1)</f>
        <v>2064</v>
      </c>
      <c r="D150" s="154">
        <f>IF(F149+SUM(E$99:E149)=D$92,F149,D$92-SUM(E$99:E149))</f>
        <v>0</v>
      </c>
      <c r="E150" s="160">
        <f t="shared" si="17"/>
        <v>0</v>
      </c>
      <c r="F150" s="159">
        <f t="shared" si="18"/>
        <v>0</v>
      </c>
      <c r="G150" s="159">
        <f t="shared" si="19"/>
        <v>0</v>
      </c>
      <c r="H150" s="163">
        <f t="shared" si="20"/>
        <v>0</v>
      </c>
      <c r="I150" s="253">
        <f t="shared" si="21"/>
        <v>0</v>
      </c>
      <c r="J150" s="158">
        <f t="shared" si="22"/>
        <v>0</v>
      </c>
      <c r="K150" s="158"/>
      <c r="L150" s="334"/>
      <c r="M150" s="158">
        <f t="shared" si="26"/>
        <v>0</v>
      </c>
      <c r="N150" s="334"/>
      <c r="O150" s="158">
        <f t="shared" si="27"/>
        <v>0</v>
      </c>
      <c r="P150" s="158">
        <f t="shared" si="28"/>
        <v>0</v>
      </c>
      <c r="Q150" s="1"/>
    </row>
    <row r="151" spans="2:17">
      <c r="B151" s="9" t="str">
        <f t="shared" si="16"/>
        <v/>
      </c>
      <c r="C151" s="153">
        <f>IF(D93="","-",+C150+1)</f>
        <v>2065</v>
      </c>
      <c r="D151" s="154">
        <f>IF(F150+SUM(E$99:E150)=D$92,F150,D$92-SUM(E$99:E150))</f>
        <v>0</v>
      </c>
      <c r="E151" s="160">
        <f t="shared" si="17"/>
        <v>0</v>
      </c>
      <c r="F151" s="159">
        <f t="shared" si="18"/>
        <v>0</v>
      </c>
      <c r="G151" s="159">
        <f t="shared" si="19"/>
        <v>0</v>
      </c>
      <c r="H151" s="163">
        <f t="shared" si="20"/>
        <v>0</v>
      </c>
      <c r="I151" s="253">
        <f t="shared" si="21"/>
        <v>0</v>
      </c>
      <c r="J151" s="158">
        <f t="shared" si="22"/>
        <v>0</v>
      </c>
      <c r="K151" s="158"/>
      <c r="L151" s="334"/>
      <c r="M151" s="158">
        <f t="shared" si="26"/>
        <v>0</v>
      </c>
      <c r="N151" s="334"/>
      <c r="O151" s="158">
        <f t="shared" si="27"/>
        <v>0</v>
      </c>
      <c r="P151" s="158">
        <f t="shared" si="28"/>
        <v>0</v>
      </c>
      <c r="Q151" s="1"/>
    </row>
    <row r="152" spans="2:17">
      <c r="B152" s="9" t="str">
        <f t="shared" si="16"/>
        <v/>
      </c>
      <c r="C152" s="153">
        <f>IF(D93="","-",+C151+1)</f>
        <v>2066</v>
      </c>
      <c r="D152" s="154">
        <f>IF(F151+SUM(E$99:E151)=D$92,F151,D$92-SUM(E$99:E151))</f>
        <v>0</v>
      </c>
      <c r="E152" s="160">
        <f t="shared" si="17"/>
        <v>0</v>
      </c>
      <c r="F152" s="159">
        <f t="shared" si="18"/>
        <v>0</v>
      </c>
      <c r="G152" s="159">
        <f t="shared" si="19"/>
        <v>0</v>
      </c>
      <c r="H152" s="163">
        <f t="shared" si="20"/>
        <v>0</v>
      </c>
      <c r="I152" s="253">
        <f t="shared" si="21"/>
        <v>0</v>
      </c>
      <c r="J152" s="158">
        <f t="shared" si="22"/>
        <v>0</v>
      </c>
      <c r="K152" s="158"/>
      <c r="L152" s="334"/>
      <c r="M152" s="158">
        <f t="shared" si="26"/>
        <v>0</v>
      </c>
      <c r="N152" s="334"/>
      <c r="O152" s="158">
        <f t="shared" si="27"/>
        <v>0</v>
      </c>
      <c r="P152" s="158">
        <f t="shared" si="28"/>
        <v>0</v>
      </c>
      <c r="Q152" s="1"/>
    </row>
    <row r="153" spans="2:17">
      <c r="B153" s="9" t="str">
        <f t="shared" si="16"/>
        <v/>
      </c>
      <c r="C153" s="153">
        <f>IF(D93="","-",+C152+1)</f>
        <v>2067</v>
      </c>
      <c r="D153" s="154">
        <f>IF(F152+SUM(E$99:E152)=D$92,F152,D$92-SUM(E$99:E152))</f>
        <v>0</v>
      </c>
      <c r="E153" s="160">
        <f t="shared" si="17"/>
        <v>0</v>
      </c>
      <c r="F153" s="159">
        <f t="shared" si="18"/>
        <v>0</v>
      </c>
      <c r="G153" s="159">
        <f t="shared" si="19"/>
        <v>0</v>
      </c>
      <c r="H153" s="163">
        <f t="shared" si="20"/>
        <v>0</v>
      </c>
      <c r="I153" s="253">
        <f t="shared" si="21"/>
        <v>0</v>
      </c>
      <c r="J153" s="158">
        <f t="shared" si="22"/>
        <v>0</v>
      </c>
      <c r="K153" s="158"/>
      <c r="L153" s="334"/>
      <c r="M153" s="158">
        <f t="shared" si="26"/>
        <v>0</v>
      </c>
      <c r="N153" s="334"/>
      <c r="O153" s="158">
        <f t="shared" si="27"/>
        <v>0</v>
      </c>
      <c r="P153" s="158">
        <f t="shared" si="28"/>
        <v>0</v>
      </c>
      <c r="Q153" s="1"/>
    </row>
    <row r="154" spans="2:17" ht="13.5" thickBot="1">
      <c r="B154" s="9" t="str">
        <f t="shared" si="16"/>
        <v/>
      </c>
      <c r="C154" s="164">
        <f>IF(D93="","-",+C153+1)</f>
        <v>2068</v>
      </c>
      <c r="D154" s="154">
        <f>IF(F153+SUM(E$99:E153)=D$92,F153,D$92-SUM(E$99:E153))</f>
        <v>0</v>
      </c>
      <c r="E154" s="160">
        <f t="shared" si="17"/>
        <v>0</v>
      </c>
      <c r="F154" s="159">
        <f t="shared" si="18"/>
        <v>0</v>
      </c>
      <c r="G154" s="159">
        <f t="shared" si="19"/>
        <v>0</v>
      </c>
      <c r="H154" s="163">
        <f t="shared" si="20"/>
        <v>0</v>
      </c>
      <c r="I154" s="253">
        <f t="shared" si="21"/>
        <v>0</v>
      </c>
      <c r="J154" s="158">
        <f t="shared" si="22"/>
        <v>0</v>
      </c>
      <c r="K154" s="158"/>
      <c r="L154" s="335"/>
      <c r="M154" s="169">
        <f t="shared" si="26"/>
        <v>0</v>
      </c>
      <c r="N154" s="335"/>
      <c r="O154" s="169">
        <f t="shared" si="27"/>
        <v>0</v>
      </c>
      <c r="P154" s="169">
        <f t="shared" si="28"/>
        <v>0</v>
      </c>
      <c r="Q154" s="1"/>
    </row>
    <row r="155" spans="2:17">
      <c r="C155" s="154" t="s">
        <v>73</v>
      </c>
      <c r="D155" s="111"/>
      <c r="E155" s="111">
        <f>SUM(E99:E154)</f>
        <v>2636239</v>
      </c>
      <c r="F155" s="111"/>
      <c r="G155" s="111"/>
      <c r="H155" s="111">
        <f>SUM(H99:H154)</f>
        <v>9462398.4412039761</v>
      </c>
      <c r="I155" s="111">
        <f>SUM(I99:I154)</f>
        <v>9462398.4412039761</v>
      </c>
      <c r="J155" s="111">
        <f>SUM(J99:J154)</f>
        <v>0</v>
      </c>
      <c r="K155" s="111"/>
      <c r="L155" s="111"/>
      <c r="M155" s="111"/>
      <c r="N155" s="111"/>
      <c r="O155" s="111"/>
      <c r="P155" s="1"/>
      <c r="Q155" s="1"/>
    </row>
    <row r="156" spans="2:17">
      <c r="C156" t="s">
        <v>87</v>
      </c>
      <c r="D156" s="2"/>
      <c r="E156" s="1"/>
      <c r="F156" s="1"/>
      <c r="G156" s="1"/>
      <c r="H156" s="1"/>
      <c r="I156" s="3"/>
      <c r="J156" s="3"/>
      <c r="K156" s="111"/>
      <c r="L156" s="3"/>
      <c r="M156" s="3"/>
      <c r="N156" s="3"/>
      <c r="O156" s="3"/>
      <c r="P156" s="1"/>
      <c r="Q156" s="1"/>
    </row>
    <row r="157" spans="2:17">
      <c r="C157" s="216"/>
      <c r="D157" s="2"/>
      <c r="E157" s="1"/>
      <c r="F157" s="1"/>
      <c r="G157" s="1"/>
      <c r="H157" s="1"/>
      <c r="I157" s="3"/>
      <c r="J157" s="3"/>
      <c r="K157" s="111"/>
      <c r="L157" s="3"/>
      <c r="M157" s="3"/>
      <c r="N157" s="3"/>
      <c r="O157" s="3"/>
      <c r="P157" s="1"/>
      <c r="Q157" s="1"/>
    </row>
    <row r="158" spans="2:17">
      <c r="C158" s="248" t="s">
        <v>127</v>
      </c>
      <c r="D158" s="2"/>
      <c r="E158" s="1"/>
      <c r="F158" s="1"/>
      <c r="G158" s="1"/>
      <c r="H158" s="1"/>
      <c r="I158" s="3"/>
      <c r="J158" s="3"/>
      <c r="K158" s="111"/>
      <c r="L158" s="3"/>
      <c r="M158" s="3"/>
      <c r="N158" s="3"/>
      <c r="O158" s="3"/>
      <c r="P158" s="1"/>
      <c r="Q158" s="1"/>
    </row>
    <row r="159" spans="2:17">
      <c r="C159" s="121" t="s">
        <v>74</v>
      </c>
      <c r="D159" s="154"/>
      <c r="E159" s="154"/>
      <c r="F159" s="154"/>
      <c r="G159" s="154"/>
      <c r="H159" s="111"/>
      <c r="I159" s="111"/>
      <c r="J159" s="171"/>
      <c r="K159" s="171"/>
      <c r="L159" s="171"/>
      <c r="M159" s="171"/>
      <c r="N159" s="171"/>
      <c r="O159" s="171"/>
      <c r="P159" s="1"/>
      <c r="Q159" s="1"/>
    </row>
    <row r="160" spans="2:17">
      <c r="C160" s="217" t="s">
        <v>75</v>
      </c>
      <c r="D160" s="154"/>
      <c r="E160" s="154"/>
      <c r="F160" s="154"/>
      <c r="G160" s="154"/>
      <c r="H160" s="111"/>
      <c r="I160" s="111"/>
      <c r="J160" s="171"/>
      <c r="K160" s="171"/>
      <c r="L160" s="171"/>
      <c r="M160" s="171"/>
      <c r="N160" s="171"/>
      <c r="O160" s="171"/>
      <c r="P160" s="1"/>
      <c r="Q160" s="1"/>
    </row>
    <row r="161" spans="3:17">
      <c r="C161" s="217"/>
      <c r="D161" s="154"/>
      <c r="E161" s="154"/>
      <c r="F161" s="154"/>
      <c r="G161" s="154"/>
      <c r="H161" s="111"/>
      <c r="I161" s="111"/>
      <c r="J161" s="171"/>
      <c r="K161" s="171"/>
      <c r="L161" s="171"/>
      <c r="M161" s="171"/>
      <c r="N161" s="171"/>
      <c r="O161" s="171"/>
      <c r="P161" s="1"/>
      <c r="Q161" s="1"/>
    </row>
    <row r="162" spans="3:17" ht="18">
      <c r="C162" s="217"/>
      <c r="D162" s="154"/>
      <c r="E162" s="154"/>
      <c r="F162" s="154"/>
      <c r="G162" s="154"/>
      <c r="H162" s="111"/>
      <c r="I162" s="111"/>
      <c r="J162" s="171"/>
      <c r="K162" s="171"/>
      <c r="L162" s="171"/>
      <c r="M162" s="171"/>
      <c r="N162" s="171"/>
      <c r="P162" s="245" t="s">
        <v>126</v>
      </c>
      <c r="Q162" s="1"/>
    </row>
  </sheetData>
  <conditionalFormatting sqref="C17:C72">
    <cfRule type="cellIs" dxfId="88" priority="1" stopIfTrue="1" operator="equal">
      <formula>$I$10</formula>
    </cfRule>
  </conditionalFormatting>
  <conditionalFormatting sqref="C99:C154">
    <cfRule type="cellIs" dxfId="87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8"/>
  <dimension ref="A1:P162"/>
  <sheetViews>
    <sheetView view="pageBreakPreview" zoomScale="80" zoomScaleNormal="100" zoomScaleSheetLayoutView="80" workbookViewId="0">
      <selection activeCell="C19" sqref="C19"/>
    </sheetView>
  </sheetViews>
  <sheetFormatPr defaultRowHeight="12.75" customHeight="1"/>
  <cols>
    <col min="1" max="1" width="4.7109375" customWidth="1"/>
    <col min="2" max="2" width="6.7109375" customWidth="1"/>
    <col min="3" max="3" width="23.28515625" customWidth="1"/>
    <col min="4" max="8" width="17.7109375" customWidth="1"/>
    <col min="9" max="9" width="20.42578125" customWidth="1"/>
    <col min="10" max="10" width="16.42578125" customWidth="1"/>
    <col min="11" max="11" width="17.7109375" customWidth="1"/>
    <col min="12" max="12" width="16.140625" customWidth="1"/>
    <col min="13" max="13" width="17.7109375" customWidth="1"/>
    <col min="14" max="14" width="16.7109375" customWidth="1"/>
    <col min="15" max="15" width="16.85546875" customWidth="1"/>
    <col min="16" max="16" width="24.42578125" customWidth="1"/>
    <col min="17" max="17" width="9.140625" customWidth="1"/>
    <col min="23" max="23" width="9.140625" customWidth="1"/>
  </cols>
  <sheetData>
    <row r="1" spans="1:16" ht="20.25">
      <c r="A1" s="243" t="s">
        <v>128</v>
      </c>
      <c r="B1" s="1"/>
      <c r="C1" s="21"/>
      <c r="D1" s="2"/>
      <c r="E1" s="1"/>
      <c r="F1" s="99"/>
      <c r="G1" s="1"/>
      <c r="H1" s="3"/>
      <c r="J1" s="7"/>
      <c r="K1" s="109"/>
      <c r="L1" s="109"/>
      <c r="M1" s="109"/>
      <c r="P1" s="249" t="str">
        <f ca="1">"SWEPCO Project "&amp;RIGHT(MID(CELL("filename",$A$1),FIND("]",CELL("filename",$A$1))+1,256),2)&amp;" of "&amp;COUNT('S.001:S.xyz - blank'!$P$3)-1</f>
        <v>SWEPCO Project 39 of 73</v>
      </c>
    </row>
    <row r="2" spans="1:16" ht="18">
      <c r="B2" s="1"/>
      <c r="C2" s="1"/>
      <c r="D2" s="2"/>
      <c r="E2" s="1"/>
      <c r="F2" s="1"/>
      <c r="G2" s="1"/>
      <c r="H2" s="3"/>
      <c r="I2" s="1"/>
      <c r="J2" s="4"/>
      <c r="K2" s="1"/>
      <c r="L2" s="1"/>
      <c r="M2" s="1"/>
      <c r="N2" s="1"/>
      <c r="P2" s="244" t="s">
        <v>124</v>
      </c>
    </row>
    <row r="3" spans="1:16" ht="18.75">
      <c r="B3" s="5" t="s">
        <v>40</v>
      </c>
      <c r="C3" s="68" t="s">
        <v>41</v>
      </c>
      <c r="D3" s="2"/>
      <c r="E3" s="1"/>
      <c r="F3" s="1"/>
      <c r="G3" s="1"/>
      <c r="H3" s="3"/>
      <c r="I3" s="3"/>
      <c r="J3" s="111"/>
      <c r="K3" s="3"/>
      <c r="L3" s="3"/>
      <c r="M3" s="3"/>
      <c r="N3" s="3"/>
      <c r="O3" s="1"/>
      <c r="P3" s="240">
        <v>1</v>
      </c>
    </row>
    <row r="4" spans="1:16" ht="15.75" thickBot="1">
      <c r="C4" s="67"/>
      <c r="D4" s="2"/>
      <c r="E4" s="1"/>
      <c r="F4" s="1"/>
      <c r="G4" s="1"/>
      <c r="H4" s="3"/>
      <c r="I4" s="3"/>
      <c r="J4" s="111"/>
      <c r="K4" s="3"/>
      <c r="L4" s="3"/>
      <c r="M4" s="3"/>
      <c r="N4" s="3"/>
      <c r="O4" s="1"/>
      <c r="P4" s="1"/>
    </row>
    <row r="5" spans="1:16" ht="15">
      <c r="C5" s="112" t="s">
        <v>42</v>
      </c>
      <c r="D5" s="2"/>
      <c r="E5" s="1"/>
      <c r="F5" s="1"/>
      <c r="G5" s="113"/>
      <c r="H5" s="1" t="s">
        <v>43</v>
      </c>
      <c r="I5" s="1"/>
      <c r="J5" s="4"/>
      <c r="K5" s="268" t="s">
        <v>152</v>
      </c>
      <c r="L5" s="114"/>
      <c r="M5" s="115"/>
      <c r="N5" s="116">
        <f>VLOOKUP(I10,C17:I72,5)</f>
        <v>465442.74660414137</v>
      </c>
      <c r="P5" s="1"/>
    </row>
    <row r="6" spans="1:16" ht="15.75">
      <c r="C6" s="8"/>
      <c r="D6" s="2"/>
      <c r="E6" s="1"/>
      <c r="F6" s="1"/>
      <c r="G6" s="1"/>
      <c r="H6" s="117"/>
      <c r="I6" s="117"/>
      <c r="J6" s="118"/>
      <c r="K6" s="269" t="s">
        <v>153</v>
      </c>
      <c r="L6" s="119"/>
      <c r="M6" s="4"/>
      <c r="N6" s="120">
        <f>VLOOKUP(I10,C17:I72,6)</f>
        <v>465442.74660414137</v>
      </c>
      <c r="O6" s="1"/>
      <c r="P6" s="1"/>
    </row>
    <row r="7" spans="1:16" ht="13.5" thickBot="1">
      <c r="C7" s="121" t="s">
        <v>44</v>
      </c>
      <c r="D7" s="386" t="s">
        <v>316</v>
      </c>
      <c r="E7" s="379"/>
      <c r="F7" s="379"/>
      <c r="G7" s="1"/>
      <c r="H7" s="3"/>
      <c r="I7" s="3"/>
      <c r="J7" s="111"/>
      <c r="K7" s="122" t="s">
        <v>45</v>
      </c>
      <c r="L7" s="123"/>
      <c r="M7" s="123"/>
      <c r="N7" s="124">
        <f>+N6-N5</f>
        <v>0</v>
      </c>
      <c r="O7" s="1"/>
      <c r="P7" s="1"/>
    </row>
    <row r="8" spans="1:16" ht="13.5" thickBot="1">
      <c r="C8" s="125"/>
      <c r="D8" s="352" t="str">
        <f>IF(D10&lt;100000,"DOES NOT MEET SPP $100,000 MINIMUM INVESTMENT FOR REGIONAL BPU SHARING.","")</f>
        <v/>
      </c>
      <c r="E8" s="126"/>
      <c r="F8" s="126"/>
      <c r="G8" s="126"/>
      <c r="H8" s="126"/>
      <c r="I8" s="126"/>
      <c r="J8" s="101"/>
      <c r="K8" s="126"/>
      <c r="L8" s="126"/>
      <c r="M8" s="126"/>
      <c r="N8" s="126"/>
      <c r="O8" s="101"/>
      <c r="P8" s="21"/>
    </row>
    <row r="9" spans="1:16" ht="13.5" thickBot="1">
      <c r="C9" s="127" t="s">
        <v>46</v>
      </c>
      <c r="D9" s="225" t="s">
        <v>298</v>
      </c>
      <c r="E9" s="401" t="s">
        <v>315</v>
      </c>
      <c r="F9" s="128"/>
      <c r="G9" s="128"/>
      <c r="H9" s="128"/>
      <c r="I9" s="129"/>
      <c r="J9" s="130"/>
      <c r="O9" s="131"/>
      <c r="P9" s="4"/>
    </row>
    <row r="10" spans="1:16">
      <c r="C10" s="132" t="s">
        <v>47</v>
      </c>
      <c r="D10" s="133">
        <v>4316668</v>
      </c>
      <c r="E10" s="61" t="s">
        <v>459</v>
      </c>
      <c r="F10" s="131"/>
      <c r="G10" s="134"/>
      <c r="H10" s="134"/>
      <c r="I10" s="135">
        <f>+SWE.WS.F.BPU.ATRR.Projected!K17</f>
        <v>2019</v>
      </c>
      <c r="J10" s="130"/>
      <c r="K10" s="111" t="s">
        <v>48</v>
      </c>
      <c r="O10" s="4"/>
      <c r="P10" s="4"/>
    </row>
    <row r="11" spans="1:16">
      <c r="C11" s="136" t="s">
        <v>49</v>
      </c>
      <c r="D11" s="137">
        <v>2013</v>
      </c>
      <c r="E11" s="136" t="s">
        <v>50</v>
      </c>
      <c r="F11" s="134"/>
      <c r="G11" s="7"/>
      <c r="H11" s="7"/>
      <c r="I11" s="138">
        <f>IF(G5="",0,SWE.WS.F.BPU.ATRR.Projected!F$11)</f>
        <v>0</v>
      </c>
      <c r="J11" s="139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4"/>
      <c r="P11" s="4"/>
    </row>
    <row r="12" spans="1:16">
      <c r="C12" s="136" t="s">
        <v>51</v>
      </c>
      <c r="D12" s="133">
        <v>2</v>
      </c>
      <c r="E12" s="136" t="s">
        <v>52</v>
      </c>
      <c r="F12" s="134"/>
      <c r="G12" s="7"/>
      <c r="H12" s="7"/>
      <c r="I12" s="140">
        <f>SWE.WS.F.BPU.ATRR.Projected!$F$76</f>
        <v>9.9555672459071778E-2</v>
      </c>
      <c r="J12" s="141"/>
      <c r="K12" t="s">
        <v>53</v>
      </c>
      <c r="O12" s="4"/>
      <c r="P12" s="4"/>
    </row>
    <row r="13" spans="1:16">
      <c r="C13" s="136" t="s">
        <v>54</v>
      </c>
      <c r="D13" s="138">
        <f>+SWE.WS.F.BPU.ATRR.Projected!F$87</f>
        <v>43</v>
      </c>
      <c r="E13" s="136" t="s">
        <v>55</v>
      </c>
      <c r="F13" s="134"/>
      <c r="G13" s="7"/>
      <c r="H13" s="7"/>
      <c r="I13" s="140">
        <f>IF(G5="",I12,SWE.WS.F.BPU.ATRR.Projected!$F$75)</f>
        <v>9.9555672459071778E-2</v>
      </c>
      <c r="J13" s="141"/>
      <c r="K13" s="111" t="s">
        <v>56</v>
      </c>
      <c r="L13" s="58"/>
      <c r="M13" s="58"/>
      <c r="N13" s="58"/>
      <c r="O13" s="4"/>
      <c r="P13" s="4"/>
    </row>
    <row r="14" spans="1:16" ht="13.5" thickBot="1">
      <c r="C14" s="136" t="s">
        <v>57</v>
      </c>
      <c r="D14" s="137" t="s">
        <v>58</v>
      </c>
      <c r="E14" s="4" t="s">
        <v>59</v>
      </c>
      <c r="F14" s="134"/>
      <c r="G14" s="7"/>
      <c r="H14" s="7"/>
      <c r="I14" s="142">
        <f>IF(D10=0,0,D10/D13)</f>
        <v>100387.62790697675</v>
      </c>
      <c r="J14" s="111"/>
      <c r="K14" s="111"/>
      <c r="L14" s="111"/>
      <c r="M14" s="111"/>
      <c r="N14" s="111"/>
      <c r="O14" s="4"/>
      <c r="P14" s="4"/>
    </row>
    <row r="15" spans="1:16" ht="38.25">
      <c r="C15" s="143" t="s">
        <v>47</v>
      </c>
      <c r="D15" s="144" t="s">
        <v>60</v>
      </c>
      <c r="E15" s="144" t="s">
        <v>61</v>
      </c>
      <c r="F15" s="144" t="s">
        <v>62</v>
      </c>
      <c r="G15" s="434" t="s">
        <v>378</v>
      </c>
      <c r="H15" s="435" t="s">
        <v>379</v>
      </c>
      <c r="I15" s="143" t="s">
        <v>63</v>
      </c>
      <c r="J15" s="145"/>
      <c r="K15" s="271" t="s">
        <v>219</v>
      </c>
      <c r="L15" s="146" t="s">
        <v>64</v>
      </c>
      <c r="M15" s="271" t="s">
        <v>219</v>
      </c>
      <c r="N15" s="146" t="s">
        <v>64</v>
      </c>
      <c r="O15" s="146" t="s">
        <v>65</v>
      </c>
      <c r="P15" s="4"/>
    </row>
    <row r="16" spans="1:16" ht="13.5" thickBot="1">
      <c r="C16" s="147" t="s">
        <v>66</v>
      </c>
      <c r="D16" s="147" t="s">
        <v>67</v>
      </c>
      <c r="E16" s="147" t="s">
        <v>68</v>
      </c>
      <c r="F16" s="147" t="s">
        <v>67</v>
      </c>
      <c r="G16" s="408" t="s">
        <v>69</v>
      </c>
      <c r="H16" s="148" t="s">
        <v>70</v>
      </c>
      <c r="I16" s="149" t="s">
        <v>89</v>
      </c>
      <c r="J16" s="150" t="s">
        <v>71</v>
      </c>
      <c r="K16" s="151" t="s">
        <v>72</v>
      </c>
      <c r="L16" s="151" t="s">
        <v>72</v>
      </c>
      <c r="M16" s="151" t="s">
        <v>90</v>
      </c>
      <c r="N16" s="152" t="s">
        <v>90</v>
      </c>
      <c r="O16" s="151" t="s">
        <v>90</v>
      </c>
      <c r="P16" s="4"/>
    </row>
    <row r="17" spans="2:16">
      <c r="C17" s="153">
        <f>IF(D11= "","-",D11)</f>
        <v>2013</v>
      </c>
      <c r="D17" s="409">
        <v>4316127</v>
      </c>
      <c r="E17" s="415">
        <v>85637.440476190473</v>
      </c>
      <c r="F17" s="409">
        <v>4230489.5595238097</v>
      </c>
      <c r="G17" s="415">
        <v>656374.9370978435</v>
      </c>
      <c r="H17" s="416">
        <v>656374.9370978435</v>
      </c>
      <c r="I17" s="404">
        <v>0</v>
      </c>
      <c r="J17" s="156"/>
      <c r="K17" s="256">
        <f t="shared" ref="K17:K22" si="0">G17</f>
        <v>656374.9370978435</v>
      </c>
      <c r="L17" s="172">
        <f t="shared" ref="L17:L22" si="1">IF(K17&lt;&gt;0,+G17-K17,0)</f>
        <v>0</v>
      </c>
      <c r="M17" s="256">
        <f t="shared" ref="M17:M22" si="2">H17</f>
        <v>656374.9370978435</v>
      </c>
      <c r="N17" s="157">
        <f t="shared" ref="N17:N22" si="3">IF(M17&lt;&gt;0,+H17-M17,0)</f>
        <v>0</v>
      </c>
      <c r="O17" s="158">
        <f t="shared" ref="O17:O22" si="4">+N17-L17</f>
        <v>0</v>
      </c>
      <c r="P17" s="4"/>
    </row>
    <row r="18" spans="2:16">
      <c r="B18" s="9" t="str">
        <f>IF(D18=F17,"","IU")</f>
        <v/>
      </c>
      <c r="C18" s="153">
        <f>IF(D11="","-",+C17+1)</f>
        <v>2014</v>
      </c>
      <c r="D18" s="411">
        <v>4230489.5595238097</v>
      </c>
      <c r="E18" s="410">
        <v>102764.92857142857</v>
      </c>
      <c r="F18" s="411">
        <v>4127724.6309523811</v>
      </c>
      <c r="G18" s="410">
        <v>659638.3564492357</v>
      </c>
      <c r="H18" s="416">
        <v>659638.3564492357</v>
      </c>
      <c r="I18" s="404">
        <v>0</v>
      </c>
      <c r="J18" s="156"/>
      <c r="K18" s="258">
        <f t="shared" si="0"/>
        <v>659638.3564492357</v>
      </c>
      <c r="L18" s="257">
        <f t="shared" si="1"/>
        <v>0</v>
      </c>
      <c r="M18" s="258">
        <f t="shared" si="2"/>
        <v>659638.3564492357</v>
      </c>
      <c r="N18" s="158">
        <f t="shared" si="3"/>
        <v>0</v>
      </c>
      <c r="O18" s="158">
        <f t="shared" si="4"/>
        <v>0</v>
      </c>
      <c r="P18" s="4"/>
    </row>
    <row r="19" spans="2:16">
      <c r="B19" s="9" t="str">
        <f>IF(D19=F18,"","IU")</f>
        <v/>
      </c>
      <c r="C19" s="153">
        <f>IF(D11="","-",+C18+1)</f>
        <v>2015</v>
      </c>
      <c r="D19" s="411">
        <v>4127724.6309523811</v>
      </c>
      <c r="E19" s="410">
        <v>102777.80952380953</v>
      </c>
      <c r="F19" s="411">
        <v>4024946.8214285714</v>
      </c>
      <c r="G19" s="410">
        <v>632882.6295754665</v>
      </c>
      <c r="H19" s="416">
        <v>632882.6295754665</v>
      </c>
      <c r="I19" s="156">
        <v>0</v>
      </c>
      <c r="J19" s="156"/>
      <c r="K19" s="258">
        <f t="shared" si="0"/>
        <v>632882.6295754665</v>
      </c>
      <c r="L19" s="257">
        <f t="shared" si="1"/>
        <v>0</v>
      </c>
      <c r="M19" s="258">
        <f t="shared" si="2"/>
        <v>632882.6295754665</v>
      </c>
      <c r="N19" s="158">
        <f t="shared" si="3"/>
        <v>0</v>
      </c>
      <c r="O19" s="158">
        <f t="shared" si="4"/>
        <v>0</v>
      </c>
      <c r="P19" s="4"/>
    </row>
    <row r="20" spans="2:16">
      <c r="B20" s="9" t="str">
        <f t="shared" ref="B20:B72" si="5">IF(D20=F19,"","IU")</f>
        <v>IU</v>
      </c>
      <c r="C20" s="153">
        <f>IF(D11="","-",+C19+1)</f>
        <v>2016</v>
      </c>
      <c r="D20" s="411">
        <v>4025487.8214285714</v>
      </c>
      <c r="E20" s="410">
        <v>102777.80952380953</v>
      </c>
      <c r="F20" s="411">
        <v>3922710.0119047617</v>
      </c>
      <c r="G20" s="410">
        <v>613043.82987884199</v>
      </c>
      <c r="H20" s="416">
        <v>613043.82987884199</v>
      </c>
      <c r="I20" s="156">
        <f>H20-G20</f>
        <v>0</v>
      </c>
      <c r="J20" s="156"/>
      <c r="K20" s="258">
        <f t="shared" si="0"/>
        <v>613043.82987884199</v>
      </c>
      <c r="L20" s="257">
        <f t="shared" si="1"/>
        <v>0</v>
      </c>
      <c r="M20" s="258">
        <f t="shared" si="2"/>
        <v>613043.82987884199</v>
      </c>
      <c r="N20" s="158">
        <f t="shared" si="3"/>
        <v>0</v>
      </c>
      <c r="O20" s="158">
        <f t="shared" si="4"/>
        <v>0</v>
      </c>
      <c r="P20" s="4"/>
    </row>
    <row r="21" spans="2:16">
      <c r="B21" s="9" t="str">
        <f t="shared" si="5"/>
        <v/>
      </c>
      <c r="C21" s="153">
        <f>IF(D11="","-",+C20+1)</f>
        <v>2017</v>
      </c>
      <c r="D21" s="411">
        <v>3922710.0119047617</v>
      </c>
      <c r="E21" s="410">
        <v>100387.62790697675</v>
      </c>
      <c r="F21" s="411">
        <v>3822322.3839977849</v>
      </c>
      <c r="G21" s="410">
        <v>580163.47114176606</v>
      </c>
      <c r="H21" s="416">
        <v>580163.47114176606</v>
      </c>
      <c r="I21" s="156">
        <v>0</v>
      </c>
      <c r="J21" s="156"/>
      <c r="K21" s="258">
        <f t="shared" si="0"/>
        <v>580163.47114176606</v>
      </c>
      <c r="L21" s="257">
        <f t="shared" si="1"/>
        <v>0</v>
      </c>
      <c r="M21" s="258">
        <f t="shared" si="2"/>
        <v>580163.47114176606</v>
      </c>
      <c r="N21" s="158">
        <f t="shared" si="3"/>
        <v>0</v>
      </c>
      <c r="O21" s="158">
        <f t="shared" si="4"/>
        <v>0</v>
      </c>
      <c r="P21" s="4"/>
    </row>
    <row r="22" spans="2:16">
      <c r="B22" s="9" t="str">
        <f t="shared" si="5"/>
        <v/>
      </c>
      <c r="C22" s="153">
        <f>IF(D11="","-",+C21+1)</f>
        <v>2018</v>
      </c>
      <c r="D22" s="411">
        <v>3822322.3839977849</v>
      </c>
      <c r="E22" s="410">
        <v>105284.58536585367</v>
      </c>
      <c r="F22" s="411">
        <v>3717037.7986319312</v>
      </c>
      <c r="G22" s="410">
        <v>527052.2644811786</v>
      </c>
      <c r="H22" s="416">
        <v>527052.2644811786</v>
      </c>
      <c r="I22" s="156">
        <f t="shared" ref="I22:I72" si="6">H22-G22</f>
        <v>0</v>
      </c>
      <c r="J22" s="156"/>
      <c r="K22" s="258">
        <f t="shared" si="0"/>
        <v>527052.2644811786</v>
      </c>
      <c r="L22" s="257">
        <f t="shared" si="1"/>
        <v>0</v>
      </c>
      <c r="M22" s="258">
        <f t="shared" si="2"/>
        <v>527052.2644811786</v>
      </c>
      <c r="N22" s="158">
        <f t="shared" si="3"/>
        <v>0</v>
      </c>
      <c r="O22" s="158">
        <f t="shared" si="4"/>
        <v>0</v>
      </c>
      <c r="P22" s="4"/>
    </row>
    <row r="23" spans="2:16">
      <c r="B23" s="9" t="str">
        <f t="shared" si="5"/>
        <v/>
      </c>
      <c r="C23" s="153">
        <f>IF(D11="","-",+C22+1)</f>
        <v>2019</v>
      </c>
      <c r="D23" s="159">
        <f>IF(F22+SUM(E$17:E22)=D$10,F22,D$10-SUM(E$17:E22))</f>
        <v>3717037.7986319312</v>
      </c>
      <c r="E23" s="160">
        <f t="shared" ref="E23:E72" si="7">IF(+$I$14&lt;F22,$I$14,D23)</f>
        <v>100387.62790697675</v>
      </c>
      <c r="F23" s="159">
        <f t="shared" ref="F23:F72" si="8">+D23-E23</f>
        <v>3616650.1707249545</v>
      </c>
      <c r="G23" s="161">
        <f t="shared" ref="G23:G52" si="9">+I$12*((D23+F23)/2)+E23</f>
        <v>465442.74660414137</v>
      </c>
      <c r="H23" s="142">
        <f t="shared" ref="H23:H52" si="10">+I$13*((D23+F23)/2)+E23</f>
        <v>465442.74660414137</v>
      </c>
      <c r="I23" s="156">
        <f t="shared" si="6"/>
        <v>0</v>
      </c>
      <c r="J23" s="156"/>
      <c r="K23" s="334"/>
      <c r="L23" s="158">
        <f t="shared" ref="L23:L72" si="11">IF(K23&lt;&gt;0,+G23-K23,0)</f>
        <v>0</v>
      </c>
      <c r="M23" s="334"/>
      <c r="N23" s="158">
        <f t="shared" ref="N23:N72" si="12">IF(M23&lt;&gt;0,+H23-M23,0)</f>
        <v>0</v>
      </c>
      <c r="O23" s="158">
        <f t="shared" ref="O23:O72" si="13">+N23-L23</f>
        <v>0</v>
      </c>
      <c r="P23" s="4"/>
    </row>
    <row r="24" spans="2:16">
      <c r="B24" s="9" t="str">
        <f t="shared" si="5"/>
        <v/>
      </c>
      <c r="C24" s="153">
        <f>IF(D11="","-",+C23+1)</f>
        <v>2020</v>
      </c>
      <c r="D24" s="159">
        <f>IF(F23+SUM(E$17:E23)=D$10,F23,D$10-SUM(E$17:E23))</f>
        <v>3616650.1707249545</v>
      </c>
      <c r="E24" s="160">
        <f t="shared" si="7"/>
        <v>100387.62790697675</v>
      </c>
      <c r="F24" s="159">
        <f t="shared" si="8"/>
        <v>3516262.5428179777</v>
      </c>
      <c r="G24" s="161">
        <f t="shared" si="9"/>
        <v>455448.58880129125</v>
      </c>
      <c r="H24" s="142">
        <f t="shared" si="10"/>
        <v>455448.58880129125</v>
      </c>
      <c r="I24" s="156">
        <f t="shared" si="6"/>
        <v>0</v>
      </c>
      <c r="J24" s="156"/>
      <c r="K24" s="334"/>
      <c r="L24" s="158">
        <f t="shared" si="11"/>
        <v>0</v>
      </c>
      <c r="M24" s="334"/>
      <c r="N24" s="158">
        <f t="shared" si="12"/>
        <v>0</v>
      </c>
      <c r="O24" s="158">
        <f t="shared" si="13"/>
        <v>0</v>
      </c>
      <c r="P24" s="4"/>
    </row>
    <row r="25" spans="2:16">
      <c r="B25" s="9" t="str">
        <f t="shared" si="5"/>
        <v/>
      </c>
      <c r="C25" s="153">
        <f>IF(D11="","-",+C24+1)</f>
        <v>2021</v>
      </c>
      <c r="D25" s="159">
        <f>IF(F24+SUM(E$17:E24)=D$10,F24,D$10-SUM(E$17:E24))</f>
        <v>3516262.5428179777</v>
      </c>
      <c r="E25" s="160">
        <f t="shared" si="7"/>
        <v>100387.62790697675</v>
      </c>
      <c r="F25" s="159">
        <f t="shared" si="8"/>
        <v>3415874.914911001</v>
      </c>
      <c r="G25" s="161">
        <f t="shared" si="9"/>
        <v>445454.43099844106</v>
      </c>
      <c r="H25" s="142">
        <f t="shared" si="10"/>
        <v>445454.43099844106</v>
      </c>
      <c r="I25" s="156">
        <f t="shared" si="6"/>
        <v>0</v>
      </c>
      <c r="J25" s="156"/>
      <c r="K25" s="334"/>
      <c r="L25" s="158">
        <f t="shared" si="11"/>
        <v>0</v>
      </c>
      <c r="M25" s="334"/>
      <c r="N25" s="158">
        <f t="shared" si="12"/>
        <v>0</v>
      </c>
      <c r="O25" s="158">
        <f t="shared" si="13"/>
        <v>0</v>
      </c>
      <c r="P25" s="4"/>
    </row>
    <row r="26" spans="2:16">
      <c r="B26" s="9" t="str">
        <f t="shared" si="5"/>
        <v/>
      </c>
      <c r="C26" s="153">
        <f>IF(D11="","-",+C25+1)</f>
        <v>2022</v>
      </c>
      <c r="D26" s="159">
        <f>IF(F25+SUM(E$17:E25)=D$10,F25,D$10-SUM(E$17:E25))</f>
        <v>3415874.914911001</v>
      </c>
      <c r="E26" s="160">
        <f t="shared" si="7"/>
        <v>100387.62790697675</v>
      </c>
      <c r="F26" s="159">
        <f t="shared" si="8"/>
        <v>3315487.2870040243</v>
      </c>
      <c r="G26" s="161">
        <f t="shared" si="9"/>
        <v>435460.273195591</v>
      </c>
      <c r="H26" s="142">
        <f t="shared" si="10"/>
        <v>435460.273195591</v>
      </c>
      <c r="I26" s="156">
        <f t="shared" si="6"/>
        <v>0</v>
      </c>
      <c r="J26" s="156"/>
      <c r="K26" s="334"/>
      <c r="L26" s="158">
        <f t="shared" si="11"/>
        <v>0</v>
      </c>
      <c r="M26" s="334"/>
      <c r="N26" s="158">
        <f t="shared" si="12"/>
        <v>0</v>
      </c>
      <c r="O26" s="158">
        <f t="shared" si="13"/>
        <v>0</v>
      </c>
      <c r="P26" s="4"/>
    </row>
    <row r="27" spans="2:16">
      <c r="B27" s="9" t="str">
        <f t="shared" si="5"/>
        <v/>
      </c>
      <c r="C27" s="153">
        <f>IF(D11="","-",+C26+1)</f>
        <v>2023</v>
      </c>
      <c r="D27" s="159">
        <f>IF(F26+SUM(E$17:E26)=D$10,F26,D$10-SUM(E$17:E26))</f>
        <v>3315487.2870040243</v>
      </c>
      <c r="E27" s="160">
        <f t="shared" si="7"/>
        <v>100387.62790697675</v>
      </c>
      <c r="F27" s="159">
        <f t="shared" si="8"/>
        <v>3215099.6590970475</v>
      </c>
      <c r="G27" s="161">
        <f t="shared" si="9"/>
        <v>425466.11539274076</v>
      </c>
      <c r="H27" s="142">
        <f t="shared" si="10"/>
        <v>425466.11539274076</v>
      </c>
      <c r="I27" s="156">
        <f t="shared" si="6"/>
        <v>0</v>
      </c>
      <c r="J27" s="156"/>
      <c r="K27" s="334"/>
      <c r="L27" s="158">
        <f t="shared" si="11"/>
        <v>0</v>
      </c>
      <c r="M27" s="334"/>
      <c r="N27" s="158">
        <f t="shared" si="12"/>
        <v>0</v>
      </c>
      <c r="O27" s="158">
        <f t="shared" si="13"/>
        <v>0</v>
      </c>
      <c r="P27" s="4"/>
    </row>
    <row r="28" spans="2:16">
      <c r="B28" s="9" t="str">
        <f t="shared" si="5"/>
        <v/>
      </c>
      <c r="C28" s="153">
        <f>IF(D11="","-",+C27+1)</f>
        <v>2024</v>
      </c>
      <c r="D28" s="159">
        <f>IF(F27+SUM(E$17:E27)=D$10,F27,D$10-SUM(E$17:E27))</f>
        <v>3215099.6590970475</v>
      </c>
      <c r="E28" s="160">
        <f t="shared" si="7"/>
        <v>100387.62790697675</v>
      </c>
      <c r="F28" s="159">
        <f t="shared" si="8"/>
        <v>3114712.0311900708</v>
      </c>
      <c r="G28" s="161">
        <f t="shared" si="9"/>
        <v>415471.95758989069</v>
      </c>
      <c r="H28" s="142">
        <f t="shared" si="10"/>
        <v>415471.95758989069</v>
      </c>
      <c r="I28" s="156">
        <f t="shared" si="6"/>
        <v>0</v>
      </c>
      <c r="J28" s="156"/>
      <c r="K28" s="334"/>
      <c r="L28" s="158">
        <f t="shared" si="11"/>
        <v>0</v>
      </c>
      <c r="M28" s="334"/>
      <c r="N28" s="158">
        <f t="shared" si="12"/>
        <v>0</v>
      </c>
      <c r="O28" s="158">
        <f t="shared" si="13"/>
        <v>0</v>
      </c>
      <c r="P28" s="4"/>
    </row>
    <row r="29" spans="2:16">
      <c r="B29" s="9" t="str">
        <f t="shared" si="5"/>
        <v/>
      </c>
      <c r="C29" s="153">
        <f>IF(D11="","-",+C28+1)</f>
        <v>2025</v>
      </c>
      <c r="D29" s="159">
        <f>IF(F28+SUM(E$17:E28)=D$10,F28,D$10-SUM(E$17:E28))</f>
        <v>3114712.0311900708</v>
      </c>
      <c r="E29" s="160">
        <f t="shared" si="7"/>
        <v>100387.62790697675</v>
      </c>
      <c r="F29" s="159">
        <f t="shared" si="8"/>
        <v>3014324.4032830941</v>
      </c>
      <c r="G29" s="161">
        <f t="shared" si="9"/>
        <v>405477.79978704051</v>
      </c>
      <c r="H29" s="142">
        <f t="shared" si="10"/>
        <v>405477.79978704051</v>
      </c>
      <c r="I29" s="156">
        <f t="shared" si="6"/>
        <v>0</v>
      </c>
      <c r="J29" s="156"/>
      <c r="K29" s="334"/>
      <c r="L29" s="158">
        <f t="shared" si="11"/>
        <v>0</v>
      </c>
      <c r="M29" s="334"/>
      <c r="N29" s="158">
        <f t="shared" si="12"/>
        <v>0</v>
      </c>
      <c r="O29" s="158">
        <f t="shared" si="13"/>
        <v>0</v>
      </c>
      <c r="P29" s="4"/>
    </row>
    <row r="30" spans="2:16">
      <c r="B30" s="9" t="str">
        <f t="shared" si="5"/>
        <v/>
      </c>
      <c r="C30" s="153">
        <f>IF(D11="","-",+C29+1)</f>
        <v>2026</v>
      </c>
      <c r="D30" s="159">
        <f>IF(F29+SUM(E$17:E29)=D$10,F29,D$10-SUM(E$17:E29))</f>
        <v>3014324.4032830941</v>
      </c>
      <c r="E30" s="160">
        <f t="shared" si="7"/>
        <v>100387.62790697675</v>
      </c>
      <c r="F30" s="159">
        <f t="shared" si="8"/>
        <v>2913936.7753761173</v>
      </c>
      <c r="G30" s="161">
        <f t="shared" si="9"/>
        <v>395483.64198419038</v>
      </c>
      <c r="H30" s="142">
        <f t="shared" si="10"/>
        <v>395483.64198419038</v>
      </c>
      <c r="I30" s="156">
        <f t="shared" si="6"/>
        <v>0</v>
      </c>
      <c r="J30" s="156"/>
      <c r="K30" s="334"/>
      <c r="L30" s="158">
        <f t="shared" si="11"/>
        <v>0</v>
      </c>
      <c r="M30" s="334"/>
      <c r="N30" s="158">
        <f t="shared" si="12"/>
        <v>0</v>
      </c>
      <c r="O30" s="158">
        <f t="shared" si="13"/>
        <v>0</v>
      </c>
      <c r="P30" s="4"/>
    </row>
    <row r="31" spans="2:16">
      <c r="B31" s="9" t="str">
        <f t="shared" si="5"/>
        <v/>
      </c>
      <c r="C31" s="153">
        <f>IF(D11="","-",+C30+1)</f>
        <v>2027</v>
      </c>
      <c r="D31" s="159">
        <f>IF(F30+SUM(E$17:E30)=D$10,F30,D$10-SUM(E$17:E30))</f>
        <v>2913936.7753761173</v>
      </c>
      <c r="E31" s="160">
        <f t="shared" si="7"/>
        <v>100387.62790697675</v>
      </c>
      <c r="F31" s="159">
        <f t="shared" si="8"/>
        <v>2813549.1474691406</v>
      </c>
      <c r="G31" s="161">
        <f t="shared" si="9"/>
        <v>385489.4841813402</v>
      </c>
      <c r="H31" s="142">
        <f t="shared" si="10"/>
        <v>385489.4841813402</v>
      </c>
      <c r="I31" s="156">
        <f t="shared" si="6"/>
        <v>0</v>
      </c>
      <c r="J31" s="156"/>
      <c r="K31" s="334"/>
      <c r="L31" s="158">
        <f t="shared" si="11"/>
        <v>0</v>
      </c>
      <c r="M31" s="334"/>
      <c r="N31" s="158">
        <f t="shared" si="12"/>
        <v>0</v>
      </c>
      <c r="O31" s="158">
        <f t="shared" si="13"/>
        <v>0</v>
      </c>
      <c r="P31" s="4"/>
    </row>
    <row r="32" spans="2:16">
      <c r="B32" s="9" t="str">
        <f t="shared" si="5"/>
        <v/>
      </c>
      <c r="C32" s="153">
        <f>IF(D11="","-",+C31+1)</f>
        <v>2028</v>
      </c>
      <c r="D32" s="159">
        <f>IF(F31+SUM(E$17:E31)=D$10,F31,D$10-SUM(E$17:E31))</f>
        <v>2813549.1474691406</v>
      </c>
      <c r="E32" s="160">
        <f t="shared" si="7"/>
        <v>100387.62790697675</v>
      </c>
      <c r="F32" s="159">
        <f t="shared" si="8"/>
        <v>2713161.5195621639</v>
      </c>
      <c r="G32" s="161">
        <f t="shared" si="9"/>
        <v>375495.32637849008</v>
      </c>
      <c r="H32" s="142">
        <f t="shared" si="10"/>
        <v>375495.32637849008</v>
      </c>
      <c r="I32" s="156">
        <f t="shared" si="6"/>
        <v>0</v>
      </c>
      <c r="J32" s="156"/>
      <c r="K32" s="334"/>
      <c r="L32" s="158">
        <f t="shared" si="11"/>
        <v>0</v>
      </c>
      <c r="M32" s="334"/>
      <c r="N32" s="158">
        <f t="shared" si="12"/>
        <v>0</v>
      </c>
      <c r="O32" s="158">
        <f t="shared" si="13"/>
        <v>0</v>
      </c>
      <c r="P32" s="4"/>
    </row>
    <row r="33" spans="2:16">
      <c r="B33" s="9" t="str">
        <f t="shared" si="5"/>
        <v/>
      </c>
      <c r="C33" s="153">
        <f>IF(D11="","-",+C32+1)</f>
        <v>2029</v>
      </c>
      <c r="D33" s="159">
        <f>IF(F32+SUM(E$17:E32)=D$10,F32,D$10-SUM(E$17:E32))</f>
        <v>2713161.5195621639</v>
      </c>
      <c r="E33" s="160">
        <f t="shared" si="7"/>
        <v>100387.62790697675</v>
      </c>
      <c r="F33" s="159">
        <f t="shared" si="8"/>
        <v>2612773.8916551871</v>
      </c>
      <c r="G33" s="161">
        <f t="shared" si="9"/>
        <v>365501.16857563989</v>
      </c>
      <c r="H33" s="142">
        <f t="shared" si="10"/>
        <v>365501.16857563989</v>
      </c>
      <c r="I33" s="156">
        <f t="shared" si="6"/>
        <v>0</v>
      </c>
      <c r="J33" s="156"/>
      <c r="K33" s="334"/>
      <c r="L33" s="158">
        <f t="shared" si="11"/>
        <v>0</v>
      </c>
      <c r="M33" s="334"/>
      <c r="N33" s="158">
        <f t="shared" si="12"/>
        <v>0</v>
      </c>
      <c r="O33" s="158">
        <f t="shared" si="13"/>
        <v>0</v>
      </c>
      <c r="P33" s="4"/>
    </row>
    <row r="34" spans="2:16">
      <c r="B34" s="9" t="str">
        <f t="shared" si="5"/>
        <v/>
      </c>
      <c r="C34" s="153">
        <f>IF(D11="","-",+C33+1)</f>
        <v>2030</v>
      </c>
      <c r="D34" s="159">
        <f>IF(F33+SUM(E$17:E33)=D$10,F33,D$10-SUM(E$17:E33))</f>
        <v>2612773.8916551871</v>
      </c>
      <c r="E34" s="160">
        <f t="shared" si="7"/>
        <v>100387.62790697675</v>
      </c>
      <c r="F34" s="159">
        <f t="shared" si="8"/>
        <v>2512386.2637482104</v>
      </c>
      <c r="G34" s="161">
        <f t="shared" si="9"/>
        <v>355507.01077278983</v>
      </c>
      <c r="H34" s="142">
        <f t="shared" si="10"/>
        <v>355507.01077278983</v>
      </c>
      <c r="I34" s="156">
        <f t="shared" si="6"/>
        <v>0</v>
      </c>
      <c r="J34" s="156"/>
      <c r="K34" s="334"/>
      <c r="L34" s="158">
        <f t="shared" si="11"/>
        <v>0</v>
      </c>
      <c r="M34" s="334"/>
      <c r="N34" s="158">
        <f t="shared" si="12"/>
        <v>0</v>
      </c>
      <c r="O34" s="158">
        <f t="shared" si="13"/>
        <v>0</v>
      </c>
      <c r="P34" s="4"/>
    </row>
    <row r="35" spans="2:16">
      <c r="B35" s="9" t="str">
        <f t="shared" si="5"/>
        <v/>
      </c>
      <c r="C35" s="153">
        <f>IF(D11="","-",+C34+1)</f>
        <v>2031</v>
      </c>
      <c r="D35" s="159">
        <f>IF(F34+SUM(E$17:E34)=D$10,F34,D$10-SUM(E$17:E34))</f>
        <v>2512386.2637482104</v>
      </c>
      <c r="E35" s="160">
        <f t="shared" si="7"/>
        <v>100387.62790697675</v>
      </c>
      <c r="F35" s="159">
        <f t="shared" si="8"/>
        <v>2411998.6358412337</v>
      </c>
      <c r="G35" s="161">
        <f t="shared" si="9"/>
        <v>345512.85296993959</v>
      </c>
      <c r="H35" s="142">
        <f t="shared" si="10"/>
        <v>345512.85296993959</v>
      </c>
      <c r="I35" s="156">
        <f t="shared" si="6"/>
        <v>0</v>
      </c>
      <c r="J35" s="156"/>
      <c r="K35" s="334"/>
      <c r="L35" s="158">
        <f t="shared" si="11"/>
        <v>0</v>
      </c>
      <c r="M35" s="334"/>
      <c r="N35" s="158">
        <f t="shared" si="12"/>
        <v>0</v>
      </c>
      <c r="O35" s="158">
        <f t="shared" si="13"/>
        <v>0</v>
      </c>
      <c r="P35" s="4"/>
    </row>
    <row r="36" spans="2:16">
      <c r="B36" s="9" t="str">
        <f t="shared" si="5"/>
        <v/>
      </c>
      <c r="C36" s="153">
        <f>IF(D11="","-",+C35+1)</f>
        <v>2032</v>
      </c>
      <c r="D36" s="159">
        <f>IF(F35+SUM(E$17:E35)=D$10,F35,D$10-SUM(E$17:E35))</f>
        <v>2411998.6358412337</v>
      </c>
      <c r="E36" s="160">
        <f t="shared" si="7"/>
        <v>100387.62790697675</v>
      </c>
      <c r="F36" s="159">
        <f t="shared" si="8"/>
        <v>2311611.0079342569</v>
      </c>
      <c r="G36" s="161">
        <f t="shared" si="9"/>
        <v>335518.69516708952</v>
      </c>
      <c r="H36" s="142">
        <f t="shared" si="10"/>
        <v>335518.69516708952</v>
      </c>
      <c r="I36" s="156">
        <f t="shared" si="6"/>
        <v>0</v>
      </c>
      <c r="J36" s="156"/>
      <c r="K36" s="334"/>
      <c r="L36" s="158">
        <f t="shared" si="11"/>
        <v>0</v>
      </c>
      <c r="M36" s="334"/>
      <c r="N36" s="158">
        <f t="shared" si="12"/>
        <v>0</v>
      </c>
      <c r="O36" s="158">
        <f t="shared" si="13"/>
        <v>0</v>
      </c>
      <c r="P36" s="4"/>
    </row>
    <row r="37" spans="2:16">
      <c r="B37" s="9" t="str">
        <f t="shared" si="5"/>
        <v/>
      </c>
      <c r="C37" s="153">
        <f>IF(D11="","-",+C36+1)</f>
        <v>2033</v>
      </c>
      <c r="D37" s="159">
        <f>IF(F36+SUM(E$17:E36)=D$10,F36,D$10-SUM(E$17:E36))</f>
        <v>2311611.0079342569</v>
      </c>
      <c r="E37" s="160">
        <f t="shared" si="7"/>
        <v>100387.62790697675</v>
      </c>
      <c r="F37" s="159">
        <f t="shared" si="8"/>
        <v>2211223.3800272802</v>
      </c>
      <c r="G37" s="161">
        <f t="shared" si="9"/>
        <v>325524.53736423928</v>
      </c>
      <c r="H37" s="142">
        <f t="shared" si="10"/>
        <v>325524.53736423928</v>
      </c>
      <c r="I37" s="156">
        <f t="shared" si="6"/>
        <v>0</v>
      </c>
      <c r="J37" s="156"/>
      <c r="K37" s="334"/>
      <c r="L37" s="158">
        <f t="shared" si="11"/>
        <v>0</v>
      </c>
      <c r="M37" s="334"/>
      <c r="N37" s="158">
        <f t="shared" si="12"/>
        <v>0</v>
      </c>
      <c r="O37" s="158">
        <f t="shared" si="13"/>
        <v>0</v>
      </c>
      <c r="P37" s="4"/>
    </row>
    <row r="38" spans="2:16">
      <c r="B38" s="9" t="str">
        <f t="shared" si="5"/>
        <v/>
      </c>
      <c r="C38" s="153">
        <f>IF(D11="","-",+C37+1)</f>
        <v>2034</v>
      </c>
      <c r="D38" s="159">
        <f>IF(F37+SUM(E$17:E37)=D$10,F37,D$10-SUM(E$17:E37))</f>
        <v>2211223.3800272802</v>
      </c>
      <c r="E38" s="160">
        <f t="shared" si="7"/>
        <v>100387.62790697675</v>
      </c>
      <c r="F38" s="159">
        <f t="shared" si="8"/>
        <v>2110835.7521203035</v>
      </c>
      <c r="G38" s="161">
        <f t="shared" si="9"/>
        <v>315530.37956138921</v>
      </c>
      <c r="H38" s="142">
        <f t="shared" si="10"/>
        <v>315530.37956138921</v>
      </c>
      <c r="I38" s="156">
        <f t="shared" si="6"/>
        <v>0</v>
      </c>
      <c r="J38" s="156"/>
      <c r="K38" s="334"/>
      <c r="L38" s="158">
        <f t="shared" si="11"/>
        <v>0</v>
      </c>
      <c r="M38" s="334"/>
      <c r="N38" s="158">
        <f t="shared" si="12"/>
        <v>0</v>
      </c>
      <c r="O38" s="158">
        <f t="shared" si="13"/>
        <v>0</v>
      </c>
      <c r="P38" s="4"/>
    </row>
    <row r="39" spans="2:16">
      <c r="B39" s="9" t="str">
        <f t="shared" si="5"/>
        <v/>
      </c>
      <c r="C39" s="153">
        <f>IF(D11="","-",+C38+1)</f>
        <v>2035</v>
      </c>
      <c r="D39" s="159">
        <f>IF(F38+SUM(E$17:E38)=D$10,F38,D$10-SUM(E$17:E38))</f>
        <v>2110835.7521203035</v>
      </c>
      <c r="E39" s="160">
        <f t="shared" si="7"/>
        <v>100387.62790697675</v>
      </c>
      <c r="F39" s="159">
        <f t="shared" si="8"/>
        <v>2010448.1242133267</v>
      </c>
      <c r="G39" s="161">
        <f t="shared" si="9"/>
        <v>305536.22175853903</v>
      </c>
      <c r="H39" s="142">
        <f t="shared" si="10"/>
        <v>305536.22175853903</v>
      </c>
      <c r="I39" s="156">
        <f t="shared" si="6"/>
        <v>0</v>
      </c>
      <c r="J39" s="156"/>
      <c r="K39" s="334"/>
      <c r="L39" s="158">
        <f t="shared" si="11"/>
        <v>0</v>
      </c>
      <c r="M39" s="334"/>
      <c r="N39" s="158">
        <f t="shared" si="12"/>
        <v>0</v>
      </c>
      <c r="O39" s="158">
        <f t="shared" si="13"/>
        <v>0</v>
      </c>
      <c r="P39" s="4"/>
    </row>
    <row r="40" spans="2:16">
      <c r="B40" s="9" t="str">
        <f t="shared" si="5"/>
        <v/>
      </c>
      <c r="C40" s="153">
        <f>IF(D11="","-",+C39+1)</f>
        <v>2036</v>
      </c>
      <c r="D40" s="159">
        <f>IF(F39+SUM(E$17:E39)=D$10,F39,D$10-SUM(E$17:E39))</f>
        <v>2010448.1242133267</v>
      </c>
      <c r="E40" s="160">
        <f t="shared" si="7"/>
        <v>100387.62790697675</v>
      </c>
      <c r="F40" s="159">
        <f t="shared" si="8"/>
        <v>1910060.49630635</v>
      </c>
      <c r="G40" s="161">
        <f t="shared" si="9"/>
        <v>295542.06395568891</v>
      </c>
      <c r="H40" s="142">
        <f t="shared" si="10"/>
        <v>295542.06395568891</v>
      </c>
      <c r="I40" s="156">
        <f t="shared" si="6"/>
        <v>0</v>
      </c>
      <c r="J40" s="156"/>
      <c r="K40" s="334"/>
      <c r="L40" s="158">
        <f t="shared" si="11"/>
        <v>0</v>
      </c>
      <c r="M40" s="334"/>
      <c r="N40" s="158">
        <f t="shared" si="12"/>
        <v>0</v>
      </c>
      <c r="O40" s="158">
        <f t="shared" si="13"/>
        <v>0</v>
      </c>
      <c r="P40" s="4"/>
    </row>
    <row r="41" spans="2:16">
      <c r="B41" s="9" t="str">
        <f t="shared" si="5"/>
        <v/>
      </c>
      <c r="C41" s="153">
        <f>IF(D11="","-",+C40+1)</f>
        <v>2037</v>
      </c>
      <c r="D41" s="159">
        <f>IF(F40+SUM(E$17:E40)=D$10,F40,D$10-SUM(E$17:E40))</f>
        <v>1910060.49630635</v>
      </c>
      <c r="E41" s="160">
        <f t="shared" si="7"/>
        <v>100387.62790697675</v>
      </c>
      <c r="F41" s="159">
        <f t="shared" si="8"/>
        <v>1809672.8683993733</v>
      </c>
      <c r="G41" s="161">
        <f t="shared" si="9"/>
        <v>285547.90615283872</v>
      </c>
      <c r="H41" s="142">
        <f t="shared" si="10"/>
        <v>285547.90615283872</v>
      </c>
      <c r="I41" s="156">
        <f t="shared" si="6"/>
        <v>0</v>
      </c>
      <c r="J41" s="156"/>
      <c r="K41" s="334"/>
      <c r="L41" s="158">
        <f t="shared" si="11"/>
        <v>0</v>
      </c>
      <c r="M41" s="334"/>
      <c r="N41" s="158">
        <f t="shared" si="12"/>
        <v>0</v>
      </c>
      <c r="O41" s="158">
        <f t="shared" si="13"/>
        <v>0</v>
      </c>
      <c r="P41" s="4"/>
    </row>
    <row r="42" spans="2:16">
      <c r="B42" s="9" t="str">
        <f t="shared" si="5"/>
        <v/>
      </c>
      <c r="C42" s="153">
        <f>IF(D11="","-",+C41+1)</f>
        <v>2038</v>
      </c>
      <c r="D42" s="159">
        <f>IF(F41+SUM(E$17:E41)=D$10,F41,D$10-SUM(E$17:E41))</f>
        <v>1809672.8683993733</v>
      </c>
      <c r="E42" s="160">
        <f t="shared" si="7"/>
        <v>100387.62790697675</v>
      </c>
      <c r="F42" s="159">
        <f t="shared" si="8"/>
        <v>1709285.2404923965</v>
      </c>
      <c r="G42" s="161">
        <f t="shared" si="9"/>
        <v>275553.7483499886</v>
      </c>
      <c r="H42" s="142">
        <f t="shared" si="10"/>
        <v>275553.7483499886</v>
      </c>
      <c r="I42" s="156">
        <f t="shared" si="6"/>
        <v>0</v>
      </c>
      <c r="J42" s="156"/>
      <c r="K42" s="334"/>
      <c r="L42" s="158">
        <f t="shared" si="11"/>
        <v>0</v>
      </c>
      <c r="M42" s="334"/>
      <c r="N42" s="158">
        <f t="shared" si="12"/>
        <v>0</v>
      </c>
      <c r="O42" s="158">
        <f t="shared" si="13"/>
        <v>0</v>
      </c>
      <c r="P42" s="4"/>
    </row>
    <row r="43" spans="2:16">
      <c r="B43" s="9" t="str">
        <f t="shared" si="5"/>
        <v/>
      </c>
      <c r="C43" s="153">
        <f>IF(D11="","-",+C42+1)</f>
        <v>2039</v>
      </c>
      <c r="D43" s="159">
        <f>IF(F42+SUM(E$17:E42)=D$10,F42,D$10-SUM(E$17:E42))</f>
        <v>1709285.2404923965</v>
      </c>
      <c r="E43" s="160">
        <f t="shared" si="7"/>
        <v>100387.62790697675</v>
      </c>
      <c r="F43" s="159">
        <f t="shared" si="8"/>
        <v>1608897.6125854198</v>
      </c>
      <c r="G43" s="161">
        <f t="shared" si="9"/>
        <v>265559.59054713842</v>
      </c>
      <c r="H43" s="142">
        <f t="shared" si="10"/>
        <v>265559.59054713842</v>
      </c>
      <c r="I43" s="156">
        <f t="shared" si="6"/>
        <v>0</v>
      </c>
      <c r="J43" s="156"/>
      <c r="K43" s="334"/>
      <c r="L43" s="158">
        <f t="shared" si="11"/>
        <v>0</v>
      </c>
      <c r="M43" s="334"/>
      <c r="N43" s="158">
        <f t="shared" si="12"/>
        <v>0</v>
      </c>
      <c r="O43" s="158">
        <f t="shared" si="13"/>
        <v>0</v>
      </c>
      <c r="P43" s="4"/>
    </row>
    <row r="44" spans="2:16">
      <c r="B44" s="9" t="str">
        <f t="shared" si="5"/>
        <v/>
      </c>
      <c r="C44" s="153">
        <f>IF(D11="","-",+C43+1)</f>
        <v>2040</v>
      </c>
      <c r="D44" s="159">
        <f>IF(F43+SUM(E$17:E43)=D$10,F43,D$10-SUM(E$17:E43))</f>
        <v>1608897.6125854198</v>
      </c>
      <c r="E44" s="160">
        <f t="shared" si="7"/>
        <v>100387.62790697675</v>
      </c>
      <c r="F44" s="159">
        <f t="shared" si="8"/>
        <v>1508509.9846784431</v>
      </c>
      <c r="G44" s="161">
        <f t="shared" si="9"/>
        <v>255565.43274428829</v>
      </c>
      <c r="H44" s="142">
        <f t="shared" si="10"/>
        <v>255565.43274428829</v>
      </c>
      <c r="I44" s="156">
        <f t="shared" si="6"/>
        <v>0</v>
      </c>
      <c r="J44" s="156"/>
      <c r="K44" s="334"/>
      <c r="L44" s="158">
        <f t="shared" si="11"/>
        <v>0</v>
      </c>
      <c r="M44" s="334"/>
      <c r="N44" s="158">
        <f t="shared" si="12"/>
        <v>0</v>
      </c>
      <c r="O44" s="158">
        <f t="shared" si="13"/>
        <v>0</v>
      </c>
      <c r="P44" s="4"/>
    </row>
    <row r="45" spans="2:16">
      <c r="B45" s="9" t="str">
        <f t="shared" si="5"/>
        <v/>
      </c>
      <c r="C45" s="153">
        <f>IF(D11="","-",+C44+1)</f>
        <v>2041</v>
      </c>
      <c r="D45" s="159">
        <f>IF(F44+SUM(E$17:E44)=D$10,F44,D$10-SUM(E$17:E44))</f>
        <v>1508509.9846784431</v>
      </c>
      <c r="E45" s="160">
        <f t="shared" si="7"/>
        <v>100387.62790697675</v>
      </c>
      <c r="F45" s="159">
        <f t="shared" si="8"/>
        <v>1408122.3567714663</v>
      </c>
      <c r="G45" s="161">
        <f t="shared" si="9"/>
        <v>245571.27494143811</v>
      </c>
      <c r="H45" s="142">
        <f t="shared" si="10"/>
        <v>245571.27494143811</v>
      </c>
      <c r="I45" s="156">
        <f t="shared" si="6"/>
        <v>0</v>
      </c>
      <c r="J45" s="156"/>
      <c r="K45" s="334"/>
      <c r="L45" s="158">
        <f t="shared" si="11"/>
        <v>0</v>
      </c>
      <c r="M45" s="334"/>
      <c r="N45" s="158">
        <f t="shared" si="12"/>
        <v>0</v>
      </c>
      <c r="O45" s="158">
        <f t="shared" si="13"/>
        <v>0</v>
      </c>
      <c r="P45" s="4"/>
    </row>
    <row r="46" spans="2:16">
      <c r="B46" s="9" t="str">
        <f t="shared" si="5"/>
        <v/>
      </c>
      <c r="C46" s="153">
        <f>IF(D11="","-",+C45+1)</f>
        <v>2042</v>
      </c>
      <c r="D46" s="159">
        <f>IF(F45+SUM(E$17:E45)=D$10,F45,D$10-SUM(E$17:E45))</f>
        <v>1408122.3567714663</v>
      </c>
      <c r="E46" s="160">
        <f t="shared" si="7"/>
        <v>100387.62790697675</v>
      </c>
      <c r="F46" s="159">
        <f t="shared" si="8"/>
        <v>1307734.7288644896</v>
      </c>
      <c r="G46" s="161">
        <f t="shared" si="9"/>
        <v>235577.11713858799</v>
      </c>
      <c r="H46" s="142">
        <f t="shared" si="10"/>
        <v>235577.11713858799</v>
      </c>
      <c r="I46" s="156">
        <f t="shared" si="6"/>
        <v>0</v>
      </c>
      <c r="J46" s="156"/>
      <c r="K46" s="334"/>
      <c r="L46" s="158">
        <f t="shared" si="11"/>
        <v>0</v>
      </c>
      <c r="M46" s="334"/>
      <c r="N46" s="158">
        <f t="shared" si="12"/>
        <v>0</v>
      </c>
      <c r="O46" s="158">
        <f t="shared" si="13"/>
        <v>0</v>
      </c>
      <c r="P46" s="4"/>
    </row>
    <row r="47" spans="2:16">
      <c r="B47" s="9" t="str">
        <f t="shared" si="5"/>
        <v/>
      </c>
      <c r="C47" s="153">
        <f>IF(D11="","-",+C46+1)</f>
        <v>2043</v>
      </c>
      <c r="D47" s="159">
        <f>IF(F46+SUM(E$17:E46)=D$10,F46,D$10-SUM(E$17:E46))</f>
        <v>1307734.7288644896</v>
      </c>
      <c r="E47" s="160">
        <f t="shared" si="7"/>
        <v>100387.62790697675</v>
      </c>
      <c r="F47" s="159">
        <f t="shared" si="8"/>
        <v>1207347.1009575129</v>
      </c>
      <c r="G47" s="161">
        <f t="shared" si="9"/>
        <v>225582.95933573783</v>
      </c>
      <c r="H47" s="142">
        <f t="shared" si="10"/>
        <v>225582.95933573783</v>
      </c>
      <c r="I47" s="156">
        <f t="shared" si="6"/>
        <v>0</v>
      </c>
      <c r="J47" s="156"/>
      <c r="K47" s="334"/>
      <c r="L47" s="158">
        <f t="shared" si="11"/>
        <v>0</v>
      </c>
      <c r="M47" s="334"/>
      <c r="N47" s="158">
        <f t="shared" si="12"/>
        <v>0</v>
      </c>
      <c r="O47" s="158">
        <f t="shared" si="13"/>
        <v>0</v>
      </c>
      <c r="P47" s="4"/>
    </row>
    <row r="48" spans="2:16">
      <c r="B48" s="9" t="str">
        <f t="shared" si="5"/>
        <v/>
      </c>
      <c r="C48" s="153">
        <f>IF(D11="","-",+C47+1)</f>
        <v>2044</v>
      </c>
      <c r="D48" s="159">
        <f>IF(F47+SUM(E$17:E47)=D$10,F47,D$10-SUM(E$17:E47))</f>
        <v>1207347.1009575129</v>
      </c>
      <c r="E48" s="160">
        <f t="shared" si="7"/>
        <v>100387.62790697675</v>
      </c>
      <c r="F48" s="159">
        <f t="shared" si="8"/>
        <v>1106959.4730505361</v>
      </c>
      <c r="G48" s="161">
        <f t="shared" si="9"/>
        <v>215588.80153288768</v>
      </c>
      <c r="H48" s="142">
        <f t="shared" si="10"/>
        <v>215588.80153288768</v>
      </c>
      <c r="I48" s="156">
        <f t="shared" si="6"/>
        <v>0</v>
      </c>
      <c r="J48" s="156"/>
      <c r="K48" s="334"/>
      <c r="L48" s="158">
        <f t="shared" si="11"/>
        <v>0</v>
      </c>
      <c r="M48" s="334"/>
      <c r="N48" s="158">
        <f t="shared" si="12"/>
        <v>0</v>
      </c>
      <c r="O48" s="158">
        <f t="shared" si="13"/>
        <v>0</v>
      </c>
      <c r="P48" s="4"/>
    </row>
    <row r="49" spans="2:16">
      <c r="B49" s="9" t="str">
        <f t="shared" si="5"/>
        <v/>
      </c>
      <c r="C49" s="153">
        <f>IF(D11="","-",+C48+1)</f>
        <v>2045</v>
      </c>
      <c r="D49" s="159">
        <f>IF(F48+SUM(E$17:E48)=D$10,F48,D$10-SUM(E$17:E48))</f>
        <v>1106959.4730505361</v>
      </c>
      <c r="E49" s="160">
        <f t="shared" si="7"/>
        <v>100387.62790697675</v>
      </c>
      <c r="F49" s="159">
        <f t="shared" si="8"/>
        <v>1006571.8451435594</v>
      </c>
      <c r="G49" s="161">
        <f t="shared" si="9"/>
        <v>205594.64373003755</v>
      </c>
      <c r="H49" s="142">
        <f t="shared" si="10"/>
        <v>205594.64373003755</v>
      </c>
      <c r="I49" s="156">
        <f t="shared" si="6"/>
        <v>0</v>
      </c>
      <c r="J49" s="156"/>
      <c r="K49" s="334"/>
      <c r="L49" s="158">
        <f t="shared" si="11"/>
        <v>0</v>
      </c>
      <c r="M49" s="334"/>
      <c r="N49" s="158">
        <f t="shared" si="12"/>
        <v>0</v>
      </c>
      <c r="O49" s="158">
        <f t="shared" si="13"/>
        <v>0</v>
      </c>
      <c r="P49" s="4"/>
    </row>
    <row r="50" spans="2:16">
      <c r="B50" s="9" t="str">
        <f t="shared" si="5"/>
        <v/>
      </c>
      <c r="C50" s="153">
        <f>IF(D11="","-",+C49+1)</f>
        <v>2046</v>
      </c>
      <c r="D50" s="159">
        <f>IF(F49+SUM(E$17:E49)=D$10,F49,D$10-SUM(E$17:E49))</f>
        <v>1006571.8451435594</v>
      </c>
      <c r="E50" s="160">
        <f t="shared" si="7"/>
        <v>100387.62790697675</v>
      </c>
      <c r="F50" s="159">
        <f t="shared" si="8"/>
        <v>906184.21723658266</v>
      </c>
      <c r="G50" s="161">
        <f t="shared" si="9"/>
        <v>195600.48592718737</v>
      </c>
      <c r="H50" s="142">
        <f t="shared" si="10"/>
        <v>195600.48592718737</v>
      </c>
      <c r="I50" s="156">
        <f t="shared" si="6"/>
        <v>0</v>
      </c>
      <c r="J50" s="156"/>
      <c r="K50" s="334"/>
      <c r="L50" s="158">
        <f t="shared" si="11"/>
        <v>0</v>
      </c>
      <c r="M50" s="334"/>
      <c r="N50" s="158">
        <f t="shared" si="12"/>
        <v>0</v>
      </c>
      <c r="O50" s="158">
        <f t="shared" si="13"/>
        <v>0</v>
      </c>
      <c r="P50" s="4"/>
    </row>
    <row r="51" spans="2:16">
      <c r="B51" s="9" t="str">
        <f t="shared" si="5"/>
        <v/>
      </c>
      <c r="C51" s="153">
        <f>IF(D11="","-",+C50+1)</f>
        <v>2047</v>
      </c>
      <c r="D51" s="159">
        <f>IF(F50+SUM(E$17:E50)=D$10,F50,D$10-SUM(E$17:E50))</f>
        <v>906184.21723658266</v>
      </c>
      <c r="E51" s="160">
        <f t="shared" si="7"/>
        <v>100387.62790697675</v>
      </c>
      <c r="F51" s="159">
        <f t="shared" si="8"/>
        <v>805796.58932960592</v>
      </c>
      <c r="G51" s="161">
        <f t="shared" si="9"/>
        <v>185606.32812433725</v>
      </c>
      <c r="H51" s="142">
        <f t="shared" si="10"/>
        <v>185606.32812433725</v>
      </c>
      <c r="I51" s="156">
        <f t="shared" si="6"/>
        <v>0</v>
      </c>
      <c r="J51" s="156"/>
      <c r="K51" s="334"/>
      <c r="L51" s="158">
        <f t="shared" si="11"/>
        <v>0</v>
      </c>
      <c r="M51" s="334"/>
      <c r="N51" s="158">
        <f t="shared" si="12"/>
        <v>0</v>
      </c>
      <c r="O51" s="158">
        <f t="shared" si="13"/>
        <v>0</v>
      </c>
      <c r="P51" s="4"/>
    </row>
    <row r="52" spans="2:16">
      <c r="B52" s="9" t="str">
        <f t="shared" si="5"/>
        <v/>
      </c>
      <c r="C52" s="153">
        <f>IF(D11="","-",+C51+1)</f>
        <v>2048</v>
      </c>
      <c r="D52" s="159">
        <f>IF(F51+SUM(E$17:E51)=D$10,F51,D$10-SUM(E$17:E51))</f>
        <v>805796.58932960592</v>
      </c>
      <c r="E52" s="160">
        <f t="shared" si="7"/>
        <v>100387.62790697675</v>
      </c>
      <c r="F52" s="159">
        <f t="shared" si="8"/>
        <v>705408.96142262919</v>
      </c>
      <c r="G52" s="161">
        <f t="shared" si="9"/>
        <v>175612.17032148709</v>
      </c>
      <c r="H52" s="142">
        <f t="shared" si="10"/>
        <v>175612.17032148709</v>
      </c>
      <c r="I52" s="156">
        <f t="shared" si="6"/>
        <v>0</v>
      </c>
      <c r="J52" s="156"/>
      <c r="K52" s="334"/>
      <c r="L52" s="158">
        <f t="shared" si="11"/>
        <v>0</v>
      </c>
      <c r="M52" s="334"/>
      <c r="N52" s="158">
        <f t="shared" si="12"/>
        <v>0</v>
      </c>
      <c r="O52" s="158">
        <f t="shared" si="13"/>
        <v>0</v>
      </c>
      <c r="P52" s="4"/>
    </row>
    <row r="53" spans="2:16">
      <c r="B53" s="9" t="str">
        <f t="shared" si="5"/>
        <v/>
      </c>
      <c r="C53" s="153">
        <f>IF(D11="","-",+C52+1)</f>
        <v>2049</v>
      </c>
      <c r="D53" s="159">
        <f>IF(F52+SUM(E$17:E52)=D$10,F52,D$10-SUM(E$17:E52))</f>
        <v>705408.96142262919</v>
      </c>
      <c r="E53" s="160">
        <f t="shared" si="7"/>
        <v>100387.62790697675</v>
      </c>
      <c r="F53" s="159">
        <f t="shared" si="8"/>
        <v>605021.33351565246</v>
      </c>
      <c r="G53" s="161">
        <f t="shared" ref="G53:G72" si="14">+I$12*((D53+F53)/2)+E53</f>
        <v>165618.01251863694</v>
      </c>
      <c r="H53" s="142">
        <f t="shared" ref="H53:H72" si="15">+I$13*((D53+F53)/2)+E53</f>
        <v>165618.01251863694</v>
      </c>
      <c r="I53" s="156">
        <f t="shared" si="6"/>
        <v>0</v>
      </c>
      <c r="J53" s="156"/>
      <c r="K53" s="334"/>
      <c r="L53" s="158">
        <f t="shared" si="11"/>
        <v>0</v>
      </c>
      <c r="M53" s="334"/>
      <c r="N53" s="158">
        <f t="shared" si="12"/>
        <v>0</v>
      </c>
      <c r="O53" s="158">
        <f t="shared" si="13"/>
        <v>0</v>
      </c>
      <c r="P53" s="4"/>
    </row>
    <row r="54" spans="2:16">
      <c r="B54" s="9" t="str">
        <f t="shared" si="5"/>
        <v/>
      </c>
      <c r="C54" s="153">
        <f>IF(D11="","-",+C53+1)</f>
        <v>2050</v>
      </c>
      <c r="D54" s="159">
        <f>IF(F53+SUM(E$17:E53)=D$10,F53,D$10-SUM(E$17:E53))</f>
        <v>605021.33351565246</v>
      </c>
      <c r="E54" s="160">
        <f t="shared" si="7"/>
        <v>100387.62790697675</v>
      </c>
      <c r="F54" s="159">
        <f t="shared" si="8"/>
        <v>504633.70560867572</v>
      </c>
      <c r="G54" s="161">
        <f t="shared" si="14"/>
        <v>155623.85471578679</v>
      </c>
      <c r="H54" s="142">
        <f t="shared" si="15"/>
        <v>155623.85471578679</v>
      </c>
      <c r="I54" s="156">
        <f t="shared" si="6"/>
        <v>0</v>
      </c>
      <c r="J54" s="156"/>
      <c r="K54" s="334"/>
      <c r="L54" s="158">
        <f t="shared" si="11"/>
        <v>0</v>
      </c>
      <c r="M54" s="334"/>
      <c r="N54" s="158">
        <f t="shared" si="12"/>
        <v>0</v>
      </c>
      <c r="O54" s="158">
        <f t="shared" si="13"/>
        <v>0</v>
      </c>
      <c r="P54" s="4"/>
    </row>
    <row r="55" spans="2:16">
      <c r="B55" s="9" t="str">
        <f t="shared" si="5"/>
        <v/>
      </c>
      <c r="C55" s="153">
        <f>IF(D11="","-",+C54+1)</f>
        <v>2051</v>
      </c>
      <c r="D55" s="159">
        <f>IF(F54+SUM(E$17:E54)=D$10,F54,D$10-SUM(E$17:E54))</f>
        <v>504633.70560867572</v>
      </c>
      <c r="E55" s="160">
        <f t="shared" si="7"/>
        <v>100387.62790697675</v>
      </c>
      <c r="F55" s="159">
        <f t="shared" si="8"/>
        <v>404246.07770169899</v>
      </c>
      <c r="G55" s="161">
        <f t="shared" si="14"/>
        <v>145629.69691293663</v>
      </c>
      <c r="H55" s="142">
        <f t="shared" si="15"/>
        <v>145629.69691293663</v>
      </c>
      <c r="I55" s="156">
        <f t="shared" si="6"/>
        <v>0</v>
      </c>
      <c r="J55" s="156"/>
      <c r="K55" s="334"/>
      <c r="L55" s="158">
        <f t="shared" si="11"/>
        <v>0</v>
      </c>
      <c r="M55" s="334"/>
      <c r="N55" s="158">
        <f t="shared" si="12"/>
        <v>0</v>
      </c>
      <c r="O55" s="158">
        <f t="shared" si="13"/>
        <v>0</v>
      </c>
      <c r="P55" s="4"/>
    </row>
    <row r="56" spans="2:16">
      <c r="B56" s="9" t="str">
        <f t="shared" si="5"/>
        <v/>
      </c>
      <c r="C56" s="153">
        <f>IF(D11="","-",+C55+1)</f>
        <v>2052</v>
      </c>
      <c r="D56" s="159">
        <f>IF(F55+SUM(E$17:E55)=D$10,F55,D$10-SUM(E$17:E55))</f>
        <v>404246.07770169899</v>
      </c>
      <c r="E56" s="160">
        <f t="shared" si="7"/>
        <v>100387.62790697675</v>
      </c>
      <c r="F56" s="159">
        <f t="shared" si="8"/>
        <v>303858.44979472226</v>
      </c>
      <c r="G56" s="161">
        <f t="shared" si="14"/>
        <v>135635.53911008651</v>
      </c>
      <c r="H56" s="142">
        <f t="shared" si="15"/>
        <v>135635.53911008651</v>
      </c>
      <c r="I56" s="156">
        <f t="shared" si="6"/>
        <v>0</v>
      </c>
      <c r="J56" s="156"/>
      <c r="K56" s="334"/>
      <c r="L56" s="158">
        <f t="shared" si="11"/>
        <v>0</v>
      </c>
      <c r="M56" s="334"/>
      <c r="N56" s="158">
        <f t="shared" si="12"/>
        <v>0</v>
      </c>
      <c r="O56" s="158">
        <f t="shared" si="13"/>
        <v>0</v>
      </c>
      <c r="P56" s="4"/>
    </row>
    <row r="57" spans="2:16">
      <c r="B57" s="9" t="str">
        <f t="shared" si="5"/>
        <v/>
      </c>
      <c r="C57" s="153">
        <f>IF(D11="","-",+C56+1)</f>
        <v>2053</v>
      </c>
      <c r="D57" s="159">
        <f>IF(F56+SUM(E$17:E56)=D$10,F56,D$10-SUM(E$17:E56))</f>
        <v>303858.44979472226</v>
      </c>
      <c r="E57" s="160">
        <f t="shared" si="7"/>
        <v>100387.62790697675</v>
      </c>
      <c r="F57" s="159">
        <f t="shared" si="8"/>
        <v>203470.82188774552</v>
      </c>
      <c r="G57" s="161">
        <f t="shared" si="14"/>
        <v>125641.38130723636</v>
      </c>
      <c r="H57" s="142">
        <f t="shared" si="15"/>
        <v>125641.38130723636</v>
      </c>
      <c r="I57" s="156">
        <f t="shared" si="6"/>
        <v>0</v>
      </c>
      <c r="J57" s="156"/>
      <c r="K57" s="334"/>
      <c r="L57" s="158">
        <f t="shared" si="11"/>
        <v>0</v>
      </c>
      <c r="M57" s="334"/>
      <c r="N57" s="158">
        <f t="shared" si="12"/>
        <v>0</v>
      </c>
      <c r="O57" s="158">
        <f t="shared" si="13"/>
        <v>0</v>
      </c>
      <c r="P57" s="4"/>
    </row>
    <row r="58" spans="2:16">
      <c r="B58" s="9" t="str">
        <f t="shared" si="5"/>
        <v/>
      </c>
      <c r="C58" s="153">
        <f>IF(D11="","-",+C57+1)</f>
        <v>2054</v>
      </c>
      <c r="D58" s="159">
        <f>IF(F57+SUM(E$17:E57)=D$10,F57,D$10-SUM(E$17:E57))</f>
        <v>203470.82188774552</v>
      </c>
      <c r="E58" s="160">
        <f t="shared" si="7"/>
        <v>100387.62790697675</v>
      </c>
      <c r="F58" s="159">
        <f t="shared" si="8"/>
        <v>103083.19398076877</v>
      </c>
      <c r="G58" s="161">
        <f t="shared" si="14"/>
        <v>115647.2235043862</v>
      </c>
      <c r="H58" s="142">
        <f t="shared" si="15"/>
        <v>115647.2235043862</v>
      </c>
      <c r="I58" s="156">
        <f t="shared" si="6"/>
        <v>0</v>
      </c>
      <c r="J58" s="156"/>
      <c r="K58" s="334"/>
      <c r="L58" s="158">
        <f t="shared" si="11"/>
        <v>0</v>
      </c>
      <c r="M58" s="334"/>
      <c r="N58" s="158">
        <f t="shared" si="12"/>
        <v>0</v>
      </c>
      <c r="O58" s="158">
        <f t="shared" si="13"/>
        <v>0</v>
      </c>
      <c r="P58" s="4"/>
    </row>
    <row r="59" spans="2:16">
      <c r="B59" s="9" t="str">
        <f t="shared" si="5"/>
        <v/>
      </c>
      <c r="C59" s="153">
        <f>IF(D11="","-",+C58+1)</f>
        <v>2055</v>
      </c>
      <c r="D59" s="159">
        <f>IF(F58+SUM(E$17:E58)=D$10,F58,D$10-SUM(E$17:E58))</f>
        <v>103083.19398076877</v>
      </c>
      <c r="E59" s="160">
        <f t="shared" si="7"/>
        <v>100387.62790697675</v>
      </c>
      <c r="F59" s="159">
        <f t="shared" si="8"/>
        <v>2695.5660737920261</v>
      </c>
      <c r="G59" s="161">
        <f t="shared" si="14"/>
        <v>105653.06570153605</v>
      </c>
      <c r="H59" s="142">
        <f t="shared" si="15"/>
        <v>105653.06570153605</v>
      </c>
      <c r="I59" s="156">
        <f t="shared" si="6"/>
        <v>0</v>
      </c>
      <c r="J59" s="156"/>
      <c r="K59" s="334"/>
      <c r="L59" s="158">
        <f t="shared" si="11"/>
        <v>0</v>
      </c>
      <c r="M59" s="334"/>
      <c r="N59" s="158">
        <f t="shared" si="12"/>
        <v>0</v>
      </c>
      <c r="O59" s="158">
        <f t="shared" si="13"/>
        <v>0</v>
      </c>
      <c r="P59" s="4"/>
    </row>
    <row r="60" spans="2:16">
      <c r="B60" s="9" t="str">
        <f t="shared" si="5"/>
        <v/>
      </c>
      <c r="C60" s="153">
        <f>IF(D11="","-",+C59+1)</f>
        <v>2056</v>
      </c>
      <c r="D60" s="159">
        <f>IF(F59+SUM(E$17:E59)=D$10,F59,D$10-SUM(E$17:E59))</f>
        <v>2695.5660737920261</v>
      </c>
      <c r="E60" s="160">
        <f t="shared" si="7"/>
        <v>2695.5660737920261</v>
      </c>
      <c r="F60" s="159">
        <f t="shared" si="8"/>
        <v>0</v>
      </c>
      <c r="G60" s="161">
        <f t="shared" si="14"/>
        <v>2829.7455203591385</v>
      </c>
      <c r="H60" s="142">
        <f t="shared" si="15"/>
        <v>2829.7455203591385</v>
      </c>
      <c r="I60" s="156">
        <f t="shared" si="6"/>
        <v>0</v>
      </c>
      <c r="J60" s="156"/>
      <c r="K60" s="334"/>
      <c r="L60" s="158">
        <f t="shared" si="11"/>
        <v>0</v>
      </c>
      <c r="M60" s="334"/>
      <c r="N60" s="158">
        <f t="shared" si="12"/>
        <v>0</v>
      </c>
      <c r="O60" s="158">
        <f t="shared" si="13"/>
        <v>0</v>
      </c>
      <c r="P60" s="4"/>
    </row>
    <row r="61" spans="2:16">
      <c r="B61" s="9" t="str">
        <f t="shared" si="5"/>
        <v/>
      </c>
      <c r="C61" s="153">
        <f>IF(D11="","-",+C60+1)</f>
        <v>2057</v>
      </c>
      <c r="D61" s="159">
        <f>IF(F60+SUM(E$17:E60)=D$10,F60,D$10-SUM(E$17:E60))</f>
        <v>0</v>
      </c>
      <c r="E61" s="160">
        <f t="shared" si="7"/>
        <v>0</v>
      </c>
      <c r="F61" s="159">
        <f t="shared" si="8"/>
        <v>0</v>
      </c>
      <c r="G61" s="161">
        <f t="shared" si="14"/>
        <v>0</v>
      </c>
      <c r="H61" s="142">
        <f t="shared" si="15"/>
        <v>0</v>
      </c>
      <c r="I61" s="156">
        <f t="shared" si="6"/>
        <v>0</v>
      </c>
      <c r="J61" s="156"/>
      <c r="K61" s="334"/>
      <c r="L61" s="158">
        <f t="shared" si="11"/>
        <v>0</v>
      </c>
      <c r="M61" s="334"/>
      <c r="N61" s="158">
        <f t="shared" si="12"/>
        <v>0</v>
      </c>
      <c r="O61" s="158">
        <f t="shared" si="13"/>
        <v>0</v>
      </c>
      <c r="P61" s="4"/>
    </row>
    <row r="62" spans="2:16">
      <c r="B62" s="9" t="str">
        <f t="shared" si="5"/>
        <v/>
      </c>
      <c r="C62" s="153">
        <f>IF(D11="","-",+C61+1)</f>
        <v>2058</v>
      </c>
      <c r="D62" s="159">
        <f>IF(F61+SUM(E$17:E61)=D$10,F61,D$10-SUM(E$17:E61))</f>
        <v>0</v>
      </c>
      <c r="E62" s="160">
        <f t="shared" si="7"/>
        <v>0</v>
      </c>
      <c r="F62" s="159">
        <f t="shared" si="8"/>
        <v>0</v>
      </c>
      <c r="G62" s="161">
        <f t="shared" si="14"/>
        <v>0</v>
      </c>
      <c r="H62" s="142">
        <f t="shared" si="15"/>
        <v>0</v>
      </c>
      <c r="I62" s="156">
        <f t="shared" si="6"/>
        <v>0</v>
      </c>
      <c r="J62" s="156"/>
      <c r="K62" s="334"/>
      <c r="L62" s="158">
        <f t="shared" si="11"/>
        <v>0</v>
      </c>
      <c r="M62" s="334"/>
      <c r="N62" s="158">
        <f t="shared" si="12"/>
        <v>0</v>
      </c>
      <c r="O62" s="158">
        <f t="shared" si="13"/>
        <v>0</v>
      </c>
      <c r="P62" s="4"/>
    </row>
    <row r="63" spans="2:16">
      <c r="B63" s="9" t="str">
        <f t="shared" si="5"/>
        <v/>
      </c>
      <c r="C63" s="153">
        <f>IF(D11="","-",+C62+1)</f>
        <v>2059</v>
      </c>
      <c r="D63" s="159">
        <f>IF(F62+SUM(E$17:E62)=D$10,F62,D$10-SUM(E$17:E62))</f>
        <v>0</v>
      </c>
      <c r="E63" s="160">
        <f t="shared" si="7"/>
        <v>0</v>
      </c>
      <c r="F63" s="159">
        <f t="shared" si="8"/>
        <v>0</v>
      </c>
      <c r="G63" s="161">
        <f t="shared" si="14"/>
        <v>0</v>
      </c>
      <c r="H63" s="142">
        <f t="shared" si="15"/>
        <v>0</v>
      </c>
      <c r="I63" s="156">
        <f t="shared" si="6"/>
        <v>0</v>
      </c>
      <c r="J63" s="156"/>
      <c r="K63" s="334"/>
      <c r="L63" s="158">
        <f t="shared" si="11"/>
        <v>0</v>
      </c>
      <c r="M63" s="334"/>
      <c r="N63" s="158">
        <f t="shared" si="12"/>
        <v>0</v>
      </c>
      <c r="O63" s="158">
        <f t="shared" si="13"/>
        <v>0</v>
      </c>
      <c r="P63" s="4"/>
    </row>
    <row r="64" spans="2:16">
      <c r="B64" s="9" t="str">
        <f t="shared" si="5"/>
        <v/>
      </c>
      <c r="C64" s="153">
        <f>IF(D11="","-",+C63+1)</f>
        <v>2060</v>
      </c>
      <c r="D64" s="159">
        <f>IF(F63+SUM(E$17:E63)=D$10,F63,D$10-SUM(E$17:E63))</f>
        <v>0</v>
      </c>
      <c r="E64" s="160">
        <f t="shared" si="7"/>
        <v>0</v>
      </c>
      <c r="F64" s="159">
        <f t="shared" si="8"/>
        <v>0</v>
      </c>
      <c r="G64" s="161">
        <f t="shared" si="14"/>
        <v>0</v>
      </c>
      <c r="H64" s="142">
        <f t="shared" si="15"/>
        <v>0</v>
      </c>
      <c r="I64" s="156">
        <f t="shared" si="6"/>
        <v>0</v>
      </c>
      <c r="J64" s="156"/>
      <c r="K64" s="334"/>
      <c r="L64" s="158">
        <f t="shared" si="11"/>
        <v>0</v>
      </c>
      <c r="M64" s="334"/>
      <c r="N64" s="158">
        <f t="shared" si="12"/>
        <v>0</v>
      </c>
      <c r="O64" s="158">
        <f t="shared" si="13"/>
        <v>0</v>
      </c>
      <c r="P64" s="4"/>
    </row>
    <row r="65" spans="2:16">
      <c r="B65" s="9" t="str">
        <f t="shared" si="5"/>
        <v/>
      </c>
      <c r="C65" s="153">
        <f>IF(D11="","-",+C64+1)</f>
        <v>2061</v>
      </c>
      <c r="D65" s="159">
        <f>IF(F64+SUM(E$17:E64)=D$10,F64,D$10-SUM(E$17:E64))</f>
        <v>0</v>
      </c>
      <c r="E65" s="160">
        <f t="shared" si="7"/>
        <v>0</v>
      </c>
      <c r="F65" s="159">
        <f t="shared" si="8"/>
        <v>0</v>
      </c>
      <c r="G65" s="161">
        <f t="shared" si="14"/>
        <v>0</v>
      </c>
      <c r="H65" s="142">
        <f t="shared" si="15"/>
        <v>0</v>
      </c>
      <c r="I65" s="156">
        <f t="shared" si="6"/>
        <v>0</v>
      </c>
      <c r="J65" s="156"/>
      <c r="K65" s="334"/>
      <c r="L65" s="158">
        <f t="shared" si="11"/>
        <v>0</v>
      </c>
      <c r="M65" s="334"/>
      <c r="N65" s="158">
        <f t="shared" si="12"/>
        <v>0</v>
      </c>
      <c r="O65" s="158">
        <f t="shared" si="13"/>
        <v>0</v>
      </c>
      <c r="P65" s="4"/>
    </row>
    <row r="66" spans="2:16">
      <c r="B66" s="9" t="str">
        <f t="shared" si="5"/>
        <v/>
      </c>
      <c r="C66" s="153">
        <f>IF(D11="","-",+C65+1)</f>
        <v>2062</v>
      </c>
      <c r="D66" s="159">
        <f>IF(F65+SUM(E$17:E65)=D$10,F65,D$10-SUM(E$17:E65))</f>
        <v>0</v>
      </c>
      <c r="E66" s="160">
        <f t="shared" si="7"/>
        <v>0</v>
      </c>
      <c r="F66" s="159">
        <f t="shared" si="8"/>
        <v>0</v>
      </c>
      <c r="G66" s="161">
        <f t="shared" si="14"/>
        <v>0</v>
      </c>
      <c r="H66" s="142">
        <f t="shared" si="15"/>
        <v>0</v>
      </c>
      <c r="I66" s="156">
        <f t="shared" si="6"/>
        <v>0</v>
      </c>
      <c r="J66" s="156"/>
      <c r="K66" s="334"/>
      <c r="L66" s="158">
        <f t="shared" si="11"/>
        <v>0</v>
      </c>
      <c r="M66" s="334"/>
      <c r="N66" s="158">
        <f t="shared" si="12"/>
        <v>0</v>
      </c>
      <c r="O66" s="158">
        <f t="shared" si="13"/>
        <v>0</v>
      </c>
      <c r="P66" s="4"/>
    </row>
    <row r="67" spans="2:16">
      <c r="B67" s="9" t="str">
        <f t="shared" si="5"/>
        <v/>
      </c>
      <c r="C67" s="153">
        <f>IF(D11="","-",+C66+1)</f>
        <v>2063</v>
      </c>
      <c r="D67" s="159">
        <f>IF(F66+SUM(E$17:E66)=D$10,F66,D$10-SUM(E$17:E66))</f>
        <v>0</v>
      </c>
      <c r="E67" s="160">
        <f t="shared" si="7"/>
        <v>0</v>
      </c>
      <c r="F67" s="159">
        <f t="shared" si="8"/>
        <v>0</v>
      </c>
      <c r="G67" s="161">
        <f t="shared" si="14"/>
        <v>0</v>
      </c>
      <c r="H67" s="142">
        <f t="shared" si="15"/>
        <v>0</v>
      </c>
      <c r="I67" s="156">
        <f t="shared" si="6"/>
        <v>0</v>
      </c>
      <c r="J67" s="156"/>
      <c r="K67" s="334"/>
      <c r="L67" s="158">
        <f t="shared" si="11"/>
        <v>0</v>
      </c>
      <c r="M67" s="334"/>
      <c r="N67" s="158">
        <f t="shared" si="12"/>
        <v>0</v>
      </c>
      <c r="O67" s="158">
        <f t="shared" si="13"/>
        <v>0</v>
      </c>
      <c r="P67" s="4"/>
    </row>
    <row r="68" spans="2:16">
      <c r="B68" s="9" t="str">
        <f t="shared" si="5"/>
        <v/>
      </c>
      <c r="C68" s="153">
        <f>IF(D11="","-",+C67+1)</f>
        <v>2064</v>
      </c>
      <c r="D68" s="159">
        <f>IF(F67+SUM(E$17:E67)=D$10,F67,D$10-SUM(E$17:E67))</f>
        <v>0</v>
      </c>
      <c r="E68" s="160">
        <f t="shared" si="7"/>
        <v>0</v>
      </c>
      <c r="F68" s="159">
        <f t="shared" si="8"/>
        <v>0</v>
      </c>
      <c r="G68" s="161">
        <f t="shared" si="14"/>
        <v>0</v>
      </c>
      <c r="H68" s="142">
        <f t="shared" si="15"/>
        <v>0</v>
      </c>
      <c r="I68" s="156">
        <f t="shared" si="6"/>
        <v>0</v>
      </c>
      <c r="J68" s="156"/>
      <c r="K68" s="334"/>
      <c r="L68" s="158">
        <f t="shared" si="11"/>
        <v>0</v>
      </c>
      <c r="M68" s="334"/>
      <c r="N68" s="158">
        <f t="shared" si="12"/>
        <v>0</v>
      </c>
      <c r="O68" s="158">
        <f t="shared" si="13"/>
        <v>0</v>
      </c>
      <c r="P68" s="4"/>
    </row>
    <row r="69" spans="2:16">
      <c r="B69" s="9" t="str">
        <f t="shared" si="5"/>
        <v/>
      </c>
      <c r="C69" s="153">
        <f>IF(D11="","-",+C68+1)</f>
        <v>2065</v>
      </c>
      <c r="D69" s="159">
        <f>IF(F68+SUM(E$17:E68)=D$10,F68,D$10-SUM(E$17:E68))</f>
        <v>0</v>
      </c>
      <c r="E69" s="160">
        <f t="shared" si="7"/>
        <v>0</v>
      </c>
      <c r="F69" s="159">
        <f t="shared" si="8"/>
        <v>0</v>
      </c>
      <c r="G69" s="161">
        <f t="shared" si="14"/>
        <v>0</v>
      </c>
      <c r="H69" s="142">
        <f t="shared" si="15"/>
        <v>0</v>
      </c>
      <c r="I69" s="156">
        <f t="shared" si="6"/>
        <v>0</v>
      </c>
      <c r="J69" s="156"/>
      <c r="K69" s="334"/>
      <c r="L69" s="158">
        <f t="shared" si="11"/>
        <v>0</v>
      </c>
      <c r="M69" s="334"/>
      <c r="N69" s="158">
        <f t="shared" si="12"/>
        <v>0</v>
      </c>
      <c r="O69" s="158">
        <f t="shared" si="13"/>
        <v>0</v>
      </c>
      <c r="P69" s="4"/>
    </row>
    <row r="70" spans="2:16">
      <c r="B70" s="9" t="str">
        <f t="shared" si="5"/>
        <v/>
      </c>
      <c r="C70" s="153">
        <f>IF(D11="","-",+C69+1)</f>
        <v>2066</v>
      </c>
      <c r="D70" s="159">
        <f>IF(F69+SUM(E$17:E69)=D$10,F69,D$10-SUM(E$17:E69))</f>
        <v>0</v>
      </c>
      <c r="E70" s="160">
        <f t="shared" si="7"/>
        <v>0</v>
      </c>
      <c r="F70" s="159">
        <f t="shared" si="8"/>
        <v>0</v>
      </c>
      <c r="G70" s="161">
        <f t="shared" si="14"/>
        <v>0</v>
      </c>
      <c r="H70" s="142">
        <f t="shared" si="15"/>
        <v>0</v>
      </c>
      <c r="I70" s="156">
        <f t="shared" si="6"/>
        <v>0</v>
      </c>
      <c r="J70" s="156"/>
      <c r="K70" s="334"/>
      <c r="L70" s="158">
        <f t="shared" si="11"/>
        <v>0</v>
      </c>
      <c r="M70" s="334"/>
      <c r="N70" s="158">
        <f t="shared" si="12"/>
        <v>0</v>
      </c>
      <c r="O70" s="158">
        <f t="shared" si="13"/>
        <v>0</v>
      </c>
      <c r="P70" s="4"/>
    </row>
    <row r="71" spans="2:16">
      <c r="B71" s="9" t="str">
        <f t="shared" si="5"/>
        <v/>
      </c>
      <c r="C71" s="153">
        <f>IF(D11="","-",+C70+1)</f>
        <v>2067</v>
      </c>
      <c r="D71" s="159">
        <f>IF(F70+SUM(E$17:E70)=D$10,F70,D$10-SUM(E$17:E70))</f>
        <v>0</v>
      </c>
      <c r="E71" s="160">
        <f t="shared" si="7"/>
        <v>0</v>
      </c>
      <c r="F71" s="159">
        <f t="shared" si="8"/>
        <v>0</v>
      </c>
      <c r="G71" s="161">
        <f t="shared" si="14"/>
        <v>0</v>
      </c>
      <c r="H71" s="142">
        <f t="shared" si="15"/>
        <v>0</v>
      </c>
      <c r="I71" s="156">
        <f t="shared" si="6"/>
        <v>0</v>
      </c>
      <c r="J71" s="156"/>
      <c r="K71" s="334"/>
      <c r="L71" s="158">
        <f t="shared" si="11"/>
        <v>0</v>
      </c>
      <c r="M71" s="334"/>
      <c r="N71" s="158">
        <f t="shared" si="12"/>
        <v>0</v>
      </c>
      <c r="O71" s="158">
        <f t="shared" si="13"/>
        <v>0</v>
      </c>
      <c r="P71" s="4"/>
    </row>
    <row r="72" spans="2:16" ht="13.5" thickBot="1">
      <c r="B72" s="9" t="str">
        <f t="shared" si="5"/>
        <v/>
      </c>
      <c r="C72" s="164">
        <f>IF(D11="","-",+C71+1)</f>
        <v>2068</v>
      </c>
      <c r="D72" s="159">
        <f>IF(F71+SUM(E$17:E71)=D$10,F71,D$10-SUM(E$17:E71))</f>
        <v>0</v>
      </c>
      <c r="E72" s="160">
        <f t="shared" si="7"/>
        <v>0</v>
      </c>
      <c r="F72" s="159">
        <f t="shared" si="8"/>
        <v>0</v>
      </c>
      <c r="G72" s="161">
        <f t="shared" si="14"/>
        <v>0</v>
      </c>
      <c r="H72" s="142">
        <f t="shared" si="15"/>
        <v>0</v>
      </c>
      <c r="I72" s="156">
        <f t="shared" si="6"/>
        <v>0</v>
      </c>
      <c r="J72" s="156"/>
      <c r="K72" s="335"/>
      <c r="L72" s="169">
        <f t="shared" si="11"/>
        <v>0</v>
      </c>
      <c r="M72" s="335"/>
      <c r="N72" s="169">
        <f t="shared" si="12"/>
        <v>0</v>
      </c>
      <c r="O72" s="169">
        <f t="shared" si="13"/>
        <v>0</v>
      </c>
      <c r="P72" s="4"/>
    </row>
    <row r="73" spans="2:16">
      <c r="C73" s="154" t="s">
        <v>73</v>
      </c>
      <c r="D73" s="111"/>
      <c r="E73" s="111">
        <f>SUM(E17:E72)</f>
        <v>4316668.0000000009</v>
      </c>
      <c r="F73" s="111"/>
      <c r="G73" s="111">
        <f>SUM(G17:G72)</f>
        <v>14237257.761799725</v>
      </c>
      <c r="H73" s="111">
        <f>SUM(H17:H72)</f>
        <v>14237257.761799725</v>
      </c>
      <c r="I73" s="111">
        <f>SUM(I17:I72)</f>
        <v>0</v>
      </c>
      <c r="J73" s="111"/>
      <c r="K73" s="111"/>
      <c r="L73" s="111"/>
      <c r="M73" s="111"/>
      <c r="N73" s="111"/>
      <c r="O73" s="4"/>
      <c r="P73" s="4"/>
    </row>
    <row r="74" spans="2:16">
      <c r="D74" s="2"/>
      <c r="E74" s="1"/>
      <c r="F74" s="1"/>
      <c r="G74" s="1"/>
      <c r="H74" s="3"/>
      <c r="I74" s="3"/>
      <c r="J74" s="111"/>
      <c r="K74" s="3"/>
      <c r="L74" s="3"/>
      <c r="M74" s="3"/>
      <c r="N74" s="3"/>
      <c r="O74" s="1"/>
      <c r="P74" s="1"/>
    </row>
    <row r="75" spans="2:16">
      <c r="C75" s="170" t="s">
        <v>91</v>
      </c>
      <c r="D75" s="2"/>
      <c r="E75" s="1"/>
      <c r="F75" s="1"/>
      <c r="G75" s="1"/>
      <c r="H75" s="3"/>
      <c r="I75" s="3"/>
      <c r="J75" s="111"/>
      <c r="K75" s="3"/>
      <c r="L75" s="3"/>
      <c r="M75" s="3"/>
      <c r="N75" s="3"/>
      <c r="O75" s="1"/>
      <c r="P75" s="1"/>
    </row>
    <row r="76" spans="2:16">
      <c r="C76" s="121" t="s">
        <v>74</v>
      </c>
      <c r="D76" s="2"/>
      <c r="E76" s="1"/>
      <c r="F76" s="1"/>
      <c r="G76" s="1"/>
      <c r="H76" s="3"/>
      <c r="I76" s="3"/>
      <c r="J76" s="111"/>
      <c r="K76" s="3"/>
      <c r="L76" s="3"/>
      <c r="M76" s="3"/>
      <c r="N76" s="3"/>
      <c r="O76" s="4"/>
      <c r="P76" s="4"/>
    </row>
    <row r="77" spans="2:16">
      <c r="C77" s="121" t="s">
        <v>75</v>
      </c>
      <c r="D77" s="154"/>
      <c r="E77" s="154"/>
      <c r="F77" s="154"/>
      <c r="G77" s="111"/>
      <c r="H77" s="111"/>
      <c r="I77" s="171"/>
      <c r="J77" s="171"/>
      <c r="K77" s="171"/>
      <c r="L77" s="171"/>
      <c r="M77" s="171"/>
      <c r="N77" s="171"/>
      <c r="O77" s="4"/>
      <c r="P77" s="4"/>
    </row>
    <row r="78" spans="2:16">
      <c r="C78" s="121"/>
      <c r="D78" s="154"/>
      <c r="E78" s="154"/>
      <c r="F78" s="154"/>
      <c r="G78" s="111"/>
      <c r="H78" s="111"/>
      <c r="I78" s="171"/>
      <c r="J78" s="171"/>
      <c r="K78" s="171"/>
      <c r="L78" s="171"/>
      <c r="M78" s="171"/>
      <c r="N78" s="171"/>
      <c r="O78" s="4"/>
      <c r="P78" s="1"/>
    </row>
    <row r="79" spans="2:16">
      <c r="B79" s="1"/>
      <c r="C79" s="21"/>
      <c r="D79" s="2"/>
      <c r="E79" s="1"/>
      <c r="F79" s="107"/>
      <c r="G79" s="1"/>
      <c r="H79" s="3"/>
      <c r="I79" s="1"/>
      <c r="J79" s="4"/>
      <c r="K79" s="1"/>
      <c r="L79" s="1"/>
      <c r="M79" s="1"/>
      <c r="N79" s="1"/>
      <c r="O79" s="1"/>
      <c r="P79" s="1"/>
    </row>
    <row r="80" spans="2:16" ht="18">
      <c r="B80" s="1"/>
      <c r="C80" s="242"/>
      <c r="D80" s="2"/>
      <c r="E80" s="1"/>
      <c r="F80" s="107"/>
      <c r="G80" s="1"/>
      <c r="H80" s="3"/>
      <c r="I80" s="1"/>
      <c r="J80" s="4"/>
      <c r="K80" s="1"/>
      <c r="L80" s="1"/>
      <c r="M80" s="1"/>
      <c r="N80" s="1"/>
      <c r="P80" s="244" t="s">
        <v>125</v>
      </c>
    </row>
    <row r="81" spans="1:16">
      <c r="B81" s="1"/>
      <c r="C81" s="21"/>
      <c r="D81" s="2"/>
      <c r="E81" s="1"/>
      <c r="F81" s="107"/>
      <c r="G81" s="1"/>
      <c r="H81" s="3"/>
      <c r="I81" s="1"/>
      <c r="J81" s="4"/>
      <c r="K81" s="1"/>
      <c r="L81" s="1"/>
      <c r="M81" s="1"/>
      <c r="N81" s="1"/>
      <c r="O81" s="1"/>
      <c r="P81" s="1"/>
    </row>
    <row r="82" spans="1:16">
      <c r="B82" s="1"/>
      <c r="C82" s="21"/>
      <c r="D82" s="2"/>
      <c r="E82" s="1"/>
      <c r="F82" s="107"/>
      <c r="G82" s="1"/>
      <c r="H82" s="3"/>
      <c r="I82" s="1"/>
      <c r="J82" s="4"/>
      <c r="K82" s="1"/>
      <c r="L82" s="1"/>
      <c r="M82" s="1"/>
      <c r="N82" s="1"/>
      <c r="O82" s="1"/>
      <c r="P82" s="1"/>
    </row>
    <row r="83" spans="1:16" ht="20.25">
      <c r="A83" s="243" t="s">
        <v>129</v>
      </c>
      <c r="B83" s="1"/>
      <c r="C83" s="21"/>
      <c r="D83" s="2"/>
      <c r="E83" s="1"/>
      <c r="F83" s="99"/>
      <c r="G83" s="99"/>
      <c r="H83" s="1"/>
      <c r="I83" s="3"/>
      <c r="K83" s="7"/>
      <c r="L83" s="109"/>
      <c r="M83" s="109"/>
      <c r="P83" s="109" t="str">
        <f ca="1">P1</f>
        <v>SWEPCO Project 39 of 73</v>
      </c>
    </row>
    <row r="84" spans="1:16" ht="18">
      <c r="B84" s="1"/>
      <c r="C84" s="1"/>
      <c r="D84" s="2"/>
      <c r="E84" s="1"/>
      <c r="F84" s="1"/>
      <c r="G84" s="1"/>
      <c r="H84" s="1"/>
      <c r="I84" s="3"/>
      <c r="J84" s="1"/>
      <c r="K84" s="4"/>
      <c r="L84" s="1"/>
      <c r="M84" s="1"/>
      <c r="P84" s="244" t="s">
        <v>123</v>
      </c>
    </row>
    <row r="85" spans="1:16" ht="18.75" thickBot="1">
      <c r="B85" s="5" t="s">
        <v>40</v>
      </c>
      <c r="C85" s="197" t="s">
        <v>78</v>
      </c>
      <c r="D85" s="2"/>
      <c r="E85" s="1"/>
      <c r="F85" s="1"/>
      <c r="G85" s="1"/>
      <c r="H85" s="1"/>
      <c r="I85" s="3"/>
      <c r="J85" s="3"/>
      <c r="K85" s="111"/>
      <c r="L85" s="3"/>
      <c r="M85" s="3"/>
      <c r="N85" s="3"/>
      <c r="O85" s="111"/>
      <c r="P85" s="1"/>
    </row>
    <row r="86" spans="1:16" ht="15.75" thickBot="1">
      <c r="C86" s="67"/>
      <c r="D86" s="2"/>
      <c r="E86" s="1"/>
      <c r="F86" s="1"/>
      <c r="G86" s="1"/>
      <c r="H86" s="1"/>
      <c r="I86" s="3"/>
      <c r="J86" s="3"/>
      <c r="K86" s="111"/>
      <c r="L86" s="265">
        <f>+J92</f>
        <v>2017</v>
      </c>
      <c r="M86" s="266" t="s">
        <v>7</v>
      </c>
      <c r="N86" s="270" t="s">
        <v>154</v>
      </c>
      <c r="O86" s="267" t="s">
        <v>9</v>
      </c>
      <c r="P86" s="1"/>
    </row>
    <row r="87" spans="1:16" ht="15">
      <c r="C87" s="235" t="s">
        <v>42</v>
      </c>
      <c r="D87" s="2"/>
      <c r="E87" s="1"/>
      <c r="F87" s="1"/>
      <c r="G87" s="1"/>
      <c r="H87" s="113"/>
      <c r="I87" s="1" t="s">
        <v>43</v>
      </c>
      <c r="J87" s="1"/>
      <c r="K87" s="261"/>
      <c r="L87" s="259" t="s">
        <v>381</v>
      </c>
      <c r="M87" s="198">
        <f>IF(J92&lt;D11,0,VLOOKUP(J92,C17:O72,9))</f>
        <v>580163.47114176606</v>
      </c>
      <c r="N87" s="198">
        <f>IF(J92&lt;D11,0,VLOOKUP(J92,C17:O72,11))</f>
        <v>580163.47114176606</v>
      </c>
      <c r="O87" s="199">
        <f>+N87-M87</f>
        <v>0</v>
      </c>
      <c r="P87" s="1"/>
    </row>
    <row r="88" spans="1:16" ht="15.75">
      <c r="C88" s="8"/>
      <c r="D88" s="2"/>
      <c r="E88" s="1"/>
      <c r="F88" s="1"/>
      <c r="G88" s="1"/>
      <c r="H88" s="1"/>
      <c r="I88" s="117"/>
      <c r="J88" s="117"/>
      <c r="K88" s="263"/>
      <c r="L88" s="264" t="s">
        <v>382</v>
      </c>
      <c r="M88" s="200">
        <f>IF(J92&lt;D11,0,VLOOKUP(J92,C99:P154,6))</f>
        <v>573321.60174828372</v>
      </c>
      <c r="N88" s="200">
        <f>IF(J92&lt;D11,0,VLOOKUP(J92,C99:P154,7))</f>
        <v>573321.60174828372</v>
      </c>
      <c r="O88" s="201">
        <f>+N88-M88</f>
        <v>0</v>
      </c>
      <c r="P88" s="1"/>
    </row>
    <row r="89" spans="1:16" ht="13.5" thickBot="1">
      <c r="C89" s="121" t="s">
        <v>79</v>
      </c>
      <c r="D89" s="246" t="str">
        <f>+D7</f>
        <v>Ashdown West - Craig Junction 138KV Rebuild (tie w/PSO)</v>
      </c>
      <c r="E89" s="1"/>
      <c r="F89" s="1"/>
      <c r="G89" s="1"/>
      <c r="H89" s="1"/>
      <c r="I89" s="3"/>
      <c r="J89" s="3"/>
      <c r="K89" s="262"/>
      <c r="L89" s="260" t="s">
        <v>151</v>
      </c>
      <c r="M89" s="203">
        <f>+M88-M87</f>
        <v>-6841.8693934823386</v>
      </c>
      <c r="N89" s="203">
        <f>+N88-N87</f>
        <v>-6841.8693934823386</v>
      </c>
      <c r="O89" s="204">
        <f>+O88-O87</f>
        <v>0</v>
      </c>
      <c r="P89" s="1"/>
    </row>
    <row r="90" spans="1:16" ht="13.5" thickBot="1">
      <c r="C90" s="170"/>
      <c r="D90" s="173" t="str">
        <f>D8</f>
        <v/>
      </c>
      <c r="E90" s="107"/>
      <c r="F90" s="107"/>
      <c r="G90" s="107"/>
      <c r="H90" s="126"/>
      <c r="I90" s="3"/>
      <c r="J90" s="3"/>
      <c r="K90" s="111"/>
      <c r="L90" s="3"/>
      <c r="M90" s="3"/>
      <c r="N90" s="3"/>
      <c r="O90" s="111"/>
      <c r="P90" s="1"/>
    </row>
    <row r="91" spans="1:16" ht="13.5" thickBot="1">
      <c r="A91" s="103"/>
      <c r="C91" s="205" t="s">
        <v>80</v>
      </c>
      <c r="D91" s="224" t="str">
        <f>+D9</f>
        <v>TP2009092</v>
      </c>
      <c r="E91" s="206"/>
      <c r="F91" s="206"/>
      <c r="G91" s="206"/>
      <c r="H91" s="206"/>
      <c r="I91" s="206"/>
      <c r="J91" s="206"/>
      <c r="K91" s="207"/>
      <c r="P91" s="131"/>
    </row>
    <row r="92" spans="1:16">
      <c r="C92" s="136" t="s">
        <v>47</v>
      </c>
      <c r="D92" s="417">
        <f>D10</f>
        <v>4316668</v>
      </c>
      <c r="E92" s="21" t="s">
        <v>81</v>
      </c>
      <c r="H92" s="134"/>
      <c r="I92" s="134"/>
      <c r="J92" s="135">
        <f>+'SWE.WS.G.BPU.ATRR.True-up'!M15</f>
        <v>2017</v>
      </c>
      <c r="K92" s="130"/>
      <c r="L92" s="111" t="s">
        <v>82</v>
      </c>
      <c r="P92" s="4"/>
    </row>
    <row r="93" spans="1:16">
      <c r="C93" s="136" t="s">
        <v>49</v>
      </c>
      <c r="D93" s="219">
        <f>IF(D11=I10,"",D11)</f>
        <v>2013</v>
      </c>
      <c r="E93" s="136" t="s">
        <v>50</v>
      </c>
      <c r="F93" s="134"/>
      <c r="G93" s="134"/>
      <c r="J93" s="138">
        <f>IF(H87="",0,'SWE.WS.G.BPU.ATRR.True-up'!$F$12)</f>
        <v>0</v>
      </c>
      <c r="K93" s="139"/>
      <c r="L93" t="str">
        <f>"          INPUT TRUE-UP ARR (WITH &amp; WITHOUT INCENTIVES) FROM EACH PRIOR YEAR"</f>
        <v xml:space="preserve">          INPUT TRUE-UP ARR (WITH &amp; WITHOUT INCENTIVES) FROM EACH PRIOR YEAR</v>
      </c>
      <c r="P93" s="4"/>
    </row>
    <row r="94" spans="1:16">
      <c r="C94" s="136" t="s">
        <v>51</v>
      </c>
      <c r="D94" s="218">
        <f>IF(D11=I10,"",D12)</f>
        <v>2</v>
      </c>
      <c r="E94" s="136" t="s">
        <v>52</v>
      </c>
      <c r="F94" s="134"/>
      <c r="G94" s="134"/>
      <c r="J94" s="140">
        <f>'SWE.WS.G.BPU.ATRR.True-up'!$F$80</f>
        <v>0.12147145768398206</v>
      </c>
      <c r="K94" s="141"/>
      <c r="L94" t="s">
        <v>83</v>
      </c>
      <c r="P94" s="4"/>
    </row>
    <row r="95" spans="1:16">
      <c r="C95" s="136" t="s">
        <v>54</v>
      </c>
      <c r="D95" s="138">
        <f>'SWE.WS.G.BPU.ATRR.True-up'!F$92</f>
        <v>42</v>
      </c>
      <c r="E95" s="136" t="s">
        <v>55</v>
      </c>
      <c r="F95" s="134"/>
      <c r="G95" s="134"/>
      <c r="J95" s="140">
        <f>IF(H87="",J94,'SWE.WS.G.BPU.ATRR.True-up'!$F$79)</f>
        <v>0.12147145768398206</v>
      </c>
      <c r="K95" s="58"/>
      <c r="L95" s="111" t="s">
        <v>56</v>
      </c>
      <c r="M95" s="58"/>
      <c r="N95" s="58"/>
      <c r="O95" s="58"/>
      <c r="P95" s="4"/>
    </row>
    <row r="96" spans="1:16" ht="13.5" thickBot="1">
      <c r="C96" s="136" t="s">
        <v>57</v>
      </c>
      <c r="D96" s="220" t="str">
        <f>+D14</f>
        <v>No</v>
      </c>
      <c r="E96" s="202" t="s">
        <v>59</v>
      </c>
      <c r="F96" s="208"/>
      <c r="G96" s="208"/>
      <c r="H96" s="209"/>
      <c r="I96" s="209"/>
      <c r="J96" s="124">
        <f>IF(D92=0,0,D92/D95)</f>
        <v>102777.80952380953</v>
      </c>
      <c r="K96" s="111"/>
      <c r="L96" s="111"/>
      <c r="M96" s="111"/>
      <c r="N96" s="111"/>
      <c r="O96" s="111"/>
      <c r="P96" s="4"/>
    </row>
    <row r="97" spans="1:16" ht="38.25">
      <c r="A97" s="6"/>
      <c r="B97" s="6"/>
      <c r="C97" s="210" t="s">
        <v>47</v>
      </c>
      <c r="D97" s="211" t="s">
        <v>60</v>
      </c>
      <c r="E97" s="146" t="s">
        <v>61</v>
      </c>
      <c r="F97" s="146" t="s">
        <v>62</v>
      </c>
      <c r="G97" s="144" t="s">
        <v>84</v>
      </c>
      <c r="H97" s="434" t="s">
        <v>378</v>
      </c>
      <c r="I97" s="435" t="s">
        <v>379</v>
      </c>
      <c r="J97" s="210" t="s">
        <v>85</v>
      </c>
      <c r="K97" s="212"/>
      <c r="L97" s="271" t="s">
        <v>220</v>
      </c>
      <c r="M97" s="146" t="s">
        <v>86</v>
      </c>
      <c r="N97" s="271" t="s">
        <v>220</v>
      </c>
      <c r="O97" s="146" t="s">
        <v>86</v>
      </c>
      <c r="P97" s="146" t="s">
        <v>65</v>
      </c>
    </row>
    <row r="98" spans="1:16" ht="13.5" thickBot="1">
      <c r="C98" s="147" t="s">
        <v>66</v>
      </c>
      <c r="D98" s="213" t="s">
        <v>67</v>
      </c>
      <c r="E98" s="147" t="s">
        <v>68</v>
      </c>
      <c r="F98" s="147" t="s">
        <v>67</v>
      </c>
      <c r="G98" s="147" t="s">
        <v>67</v>
      </c>
      <c r="H98" s="255" t="s">
        <v>69</v>
      </c>
      <c r="I98" s="148" t="s">
        <v>70</v>
      </c>
      <c r="J98" s="149" t="s">
        <v>89</v>
      </c>
      <c r="K98" s="150"/>
      <c r="L98" s="151" t="s">
        <v>72</v>
      </c>
      <c r="M98" s="151" t="s">
        <v>72</v>
      </c>
      <c r="N98" s="151" t="s">
        <v>90</v>
      </c>
      <c r="O98" s="151" t="s">
        <v>90</v>
      </c>
      <c r="P98" s="151" t="s">
        <v>90</v>
      </c>
    </row>
    <row r="99" spans="1:16">
      <c r="C99" s="153">
        <f>IF(D93= "","-",D93)</f>
        <v>2013</v>
      </c>
      <c r="D99" s="409">
        <v>0</v>
      </c>
      <c r="E99" s="410">
        <v>85637.440476190473</v>
      </c>
      <c r="F99" s="411">
        <v>4230489.5595238097</v>
      </c>
      <c r="G99" s="412">
        <v>2115244.7797619049</v>
      </c>
      <c r="H99" s="413">
        <v>371812.50753135112</v>
      </c>
      <c r="I99" s="414">
        <v>371812.50753135112</v>
      </c>
      <c r="J99" s="403">
        <v>0</v>
      </c>
      <c r="K99" s="158"/>
      <c r="L99" s="258">
        <f>H99</f>
        <v>371812.50753135112</v>
      </c>
      <c r="M99" s="257">
        <f>IF(L99&lt;&gt;0,+H99-L99,0)</f>
        <v>0</v>
      </c>
      <c r="N99" s="258">
        <f>I99</f>
        <v>371812.50753135112</v>
      </c>
      <c r="O99" s="158">
        <f>IF(N99&lt;&gt;0,+I99-N99,0)</f>
        <v>0</v>
      </c>
      <c r="P99" s="158">
        <f>+O99-M99</f>
        <v>0</v>
      </c>
    </row>
    <row r="100" spans="1:16">
      <c r="B100" s="9" t="str">
        <f>IF(D100=F99,"","IU")</f>
        <v/>
      </c>
      <c r="C100" s="153">
        <f>IF(D93="","-",+C99+1)</f>
        <v>2014</v>
      </c>
      <c r="D100" s="409">
        <v>4230489.5595238097</v>
      </c>
      <c r="E100" s="410">
        <v>102777.80952380953</v>
      </c>
      <c r="F100" s="411">
        <v>4127711.75</v>
      </c>
      <c r="G100" s="411">
        <v>4179100.6547619049</v>
      </c>
      <c r="H100" s="413">
        <v>670815.62922303798</v>
      </c>
      <c r="I100" s="414">
        <v>670815.62922303798</v>
      </c>
      <c r="J100" s="158">
        <f>+I100-H100</f>
        <v>0</v>
      </c>
      <c r="K100" s="158"/>
      <c r="L100" s="258">
        <f>H100</f>
        <v>670815.62922303798</v>
      </c>
      <c r="M100" s="257">
        <f>IF(L100&lt;&gt;0,+H100-L100,0)</f>
        <v>0</v>
      </c>
      <c r="N100" s="258">
        <f>I100</f>
        <v>670815.62922303798</v>
      </c>
      <c r="O100" s="158">
        <f>IF(N100&lt;&gt;0,+I100-N100,0)</f>
        <v>0</v>
      </c>
      <c r="P100" s="158">
        <f>+O100-M100</f>
        <v>0</v>
      </c>
    </row>
    <row r="101" spans="1:16">
      <c r="B101" s="9" t="str">
        <f t="shared" ref="B101:B154" si="16">IF(D101=F100,"","IU")</f>
        <v>IU</v>
      </c>
      <c r="C101" s="153">
        <f>IF(D93="","-",+C100+1)</f>
        <v>2015</v>
      </c>
      <c r="D101" s="409">
        <v>4128252.75</v>
      </c>
      <c r="E101" s="410">
        <v>102777.80952380953</v>
      </c>
      <c r="F101" s="411">
        <v>4025474.9404761903</v>
      </c>
      <c r="G101" s="411">
        <v>4076863.8452380951</v>
      </c>
      <c r="H101" s="413">
        <v>639981.58365995577</v>
      </c>
      <c r="I101" s="414">
        <v>639981.58365995577</v>
      </c>
      <c r="J101" s="158">
        <f>+I101-H101</f>
        <v>0</v>
      </c>
      <c r="K101" s="158"/>
      <c r="L101" s="258">
        <f>H101</f>
        <v>639981.58365995577</v>
      </c>
      <c r="M101" s="257">
        <f>IF(L101&lt;&gt;0,+H101-L101,0)</f>
        <v>0</v>
      </c>
      <c r="N101" s="258">
        <f>I101</f>
        <v>639981.58365995577</v>
      </c>
      <c r="O101" s="158">
        <f>IF(N101&lt;&gt;0,+I101-N101,0)</f>
        <v>0</v>
      </c>
      <c r="P101" s="158">
        <f>+O101-M101</f>
        <v>0</v>
      </c>
    </row>
    <row r="102" spans="1:16">
      <c r="B102" s="9" t="str">
        <f t="shared" si="16"/>
        <v/>
      </c>
      <c r="C102" s="153">
        <f>IF(D93="","-",+C101+1)</f>
        <v>2016</v>
      </c>
      <c r="D102" s="409">
        <v>4025474.9404761903</v>
      </c>
      <c r="E102" s="410">
        <v>100387.62790697675</v>
      </c>
      <c r="F102" s="411">
        <v>3925087.3125692136</v>
      </c>
      <c r="G102" s="411">
        <v>3975281.1265227022</v>
      </c>
      <c r="H102" s="413">
        <v>605049.52036198007</v>
      </c>
      <c r="I102" s="414">
        <v>605049.52036198007</v>
      </c>
      <c r="J102" s="158">
        <v>0</v>
      </c>
      <c r="K102" s="158"/>
      <c r="L102" s="258">
        <f>H102</f>
        <v>605049.52036198007</v>
      </c>
      <c r="M102" s="257">
        <f>IF(L102&lt;&gt;0,+H102-L102,0)</f>
        <v>0</v>
      </c>
      <c r="N102" s="258">
        <f>I102</f>
        <v>605049.52036198007</v>
      </c>
      <c r="O102" s="158">
        <f>IF(N102&lt;&gt;0,+I102-N102,0)</f>
        <v>0</v>
      </c>
      <c r="P102" s="158">
        <f>+O102-M102</f>
        <v>0</v>
      </c>
    </row>
    <row r="103" spans="1:16">
      <c r="B103" s="9" t="str">
        <f t="shared" si="16"/>
        <v/>
      </c>
      <c r="C103" s="153">
        <f>IF(D93="","-",+C102+1)</f>
        <v>2017</v>
      </c>
      <c r="D103" s="154">
        <f>IF(F102+SUM(E$99:E102)=D$92,F102,D$92-SUM(E$99:E102))</f>
        <v>3925087.3125692136</v>
      </c>
      <c r="E103" s="160">
        <f t="shared" ref="E103:E154" si="17">IF(+$J$96&lt;F102,$J$96,D103)</f>
        <v>102777.80952380953</v>
      </c>
      <c r="F103" s="159">
        <f t="shared" ref="F103:F154" si="18">+D103-E103</f>
        <v>3822309.5030454039</v>
      </c>
      <c r="G103" s="159">
        <f t="shared" ref="G103:G154" si="19">+(F103+D103)/2</f>
        <v>3873698.4078073087</v>
      </c>
      <c r="H103" s="163">
        <f t="shared" ref="H103:H154" si="20">+J$94*G103+E103</f>
        <v>573321.60174828372</v>
      </c>
      <c r="I103" s="253">
        <f t="shared" ref="I103:I154" si="21">+J$95*G103+E103</f>
        <v>573321.60174828372</v>
      </c>
      <c r="J103" s="158">
        <f t="shared" ref="J103:J154" si="22">+I103-H103</f>
        <v>0</v>
      </c>
      <c r="K103" s="158"/>
      <c r="L103" s="334"/>
      <c r="M103" s="158">
        <f t="shared" ref="M103:M130" si="23">IF(L103&lt;&gt;0,+H103-L103,0)</f>
        <v>0</v>
      </c>
      <c r="N103" s="334"/>
      <c r="O103" s="158">
        <f t="shared" ref="O103:O130" si="24">IF(N103&lt;&gt;0,+I103-N103,0)</f>
        <v>0</v>
      </c>
      <c r="P103" s="158">
        <f t="shared" ref="P103:P130" si="25">+O103-M103</f>
        <v>0</v>
      </c>
    </row>
    <row r="104" spans="1:16">
      <c r="B104" s="9" t="str">
        <f t="shared" si="16"/>
        <v/>
      </c>
      <c r="C104" s="153">
        <f>IF(D93="","-",+C103+1)</f>
        <v>2018</v>
      </c>
      <c r="D104" s="154">
        <f>IF(F103+SUM(E$99:E103)=D$92,F103,D$92-SUM(E$99:E103))</f>
        <v>3822309.5030454039</v>
      </c>
      <c r="E104" s="160">
        <f t="shared" si="17"/>
        <v>102777.80952380953</v>
      </c>
      <c r="F104" s="159">
        <f t="shared" si="18"/>
        <v>3719531.6935215942</v>
      </c>
      <c r="G104" s="159">
        <f t="shared" si="19"/>
        <v>3770920.598283499</v>
      </c>
      <c r="H104" s="163">
        <f t="shared" si="20"/>
        <v>560837.03140785987</v>
      </c>
      <c r="I104" s="253">
        <f t="shared" si="21"/>
        <v>560837.03140785987</v>
      </c>
      <c r="J104" s="158">
        <f t="shared" si="22"/>
        <v>0</v>
      </c>
      <c r="K104" s="158"/>
      <c r="L104" s="334"/>
      <c r="M104" s="158">
        <f t="shared" si="23"/>
        <v>0</v>
      </c>
      <c r="N104" s="334"/>
      <c r="O104" s="158">
        <f t="shared" si="24"/>
        <v>0</v>
      </c>
      <c r="P104" s="158">
        <f t="shared" si="25"/>
        <v>0</v>
      </c>
    </row>
    <row r="105" spans="1:16">
      <c r="B105" s="9" t="str">
        <f t="shared" si="16"/>
        <v/>
      </c>
      <c r="C105" s="153">
        <f>IF(D93="","-",+C104+1)</f>
        <v>2019</v>
      </c>
      <c r="D105" s="154">
        <f>IF(F104+SUM(E$99:E104)=D$92,F104,D$92-SUM(E$99:E104))</f>
        <v>3719531.6935215942</v>
      </c>
      <c r="E105" s="160">
        <f t="shared" si="17"/>
        <v>102777.80952380953</v>
      </c>
      <c r="F105" s="159">
        <f t="shared" si="18"/>
        <v>3616753.8839977845</v>
      </c>
      <c r="G105" s="159">
        <f t="shared" si="19"/>
        <v>3668142.7887596893</v>
      </c>
      <c r="H105" s="163">
        <f t="shared" si="20"/>
        <v>548352.46106743603</v>
      </c>
      <c r="I105" s="253">
        <f t="shared" si="21"/>
        <v>548352.46106743603</v>
      </c>
      <c r="J105" s="158">
        <f t="shared" si="22"/>
        <v>0</v>
      </c>
      <c r="K105" s="158"/>
      <c r="L105" s="334"/>
      <c r="M105" s="158">
        <f t="shared" si="23"/>
        <v>0</v>
      </c>
      <c r="N105" s="334"/>
      <c r="O105" s="158">
        <f t="shared" si="24"/>
        <v>0</v>
      </c>
      <c r="P105" s="158">
        <f t="shared" si="25"/>
        <v>0</v>
      </c>
    </row>
    <row r="106" spans="1:16">
      <c r="B106" s="9" t="str">
        <f t="shared" si="16"/>
        <v/>
      </c>
      <c r="C106" s="153">
        <f>IF(D93="","-",+C105+1)</f>
        <v>2020</v>
      </c>
      <c r="D106" s="154">
        <f>IF(F105+SUM(E$99:E105)=D$92,F105,D$92-SUM(E$99:E105))</f>
        <v>3616753.8839977845</v>
      </c>
      <c r="E106" s="160">
        <f t="shared" si="17"/>
        <v>102777.80952380953</v>
      </c>
      <c r="F106" s="159">
        <f t="shared" si="18"/>
        <v>3513976.0744739748</v>
      </c>
      <c r="G106" s="159">
        <f t="shared" si="19"/>
        <v>3565364.9792358796</v>
      </c>
      <c r="H106" s="163">
        <f t="shared" si="20"/>
        <v>535867.89072701219</v>
      </c>
      <c r="I106" s="253">
        <f t="shared" si="21"/>
        <v>535867.89072701219</v>
      </c>
      <c r="J106" s="158">
        <f t="shared" si="22"/>
        <v>0</v>
      </c>
      <c r="K106" s="158"/>
      <c r="L106" s="334"/>
      <c r="M106" s="158">
        <f t="shared" si="23"/>
        <v>0</v>
      </c>
      <c r="N106" s="334"/>
      <c r="O106" s="158">
        <f t="shared" si="24"/>
        <v>0</v>
      </c>
      <c r="P106" s="158">
        <f t="shared" si="25"/>
        <v>0</v>
      </c>
    </row>
    <row r="107" spans="1:16">
      <c r="B107" s="9" t="str">
        <f t="shared" si="16"/>
        <v/>
      </c>
      <c r="C107" s="153">
        <f>IF(D93="","-",+C106+1)</f>
        <v>2021</v>
      </c>
      <c r="D107" s="154">
        <f>IF(F106+SUM(E$99:E106)=D$92,F106,D$92-SUM(E$99:E106))</f>
        <v>3513976.0744739748</v>
      </c>
      <c r="E107" s="160">
        <f t="shared" si="17"/>
        <v>102777.80952380953</v>
      </c>
      <c r="F107" s="159">
        <f t="shared" si="18"/>
        <v>3411198.2649501651</v>
      </c>
      <c r="G107" s="159">
        <f t="shared" si="19"/>
        <v>3462587.1697120699</v>
      </c>
      <c r="H107" s="163">
        <f t="shared" si="20"/>
        <v>523383.3203865884</v>
      </c>
      <c r="I107" s="253">
        <f t="shared" si="21"/>
        <v>523383.3203865884</v>
      </c>
      <c r="J107" s="158">
        <f t="shared" si="22"/>
        <v>0</v>
      </c>
      <c r="K107" s="158"/>
      <c r="L107" s="334"/>
      <c r="M107" s="158">
        <f t="shared" si="23"/>
        <v>0</v>
      </c>
      <c r="N107" s="334"/>
      <c r="O107" s="158">
        <f t="shared" si="24"/>
        <v>0</v>
      </c>
      <c r="P107" s="158">
        <f t="shared" si="25"/>
        <v>0</v>
      </c>
    </row>
    <row r="108" spans="1:16">
      <c r="B108" s="9" t="str">
        <f t="shared" si="16"/>
        <v/>
      </c>
      <c r="C108" s="153">
        <f>IF(D93="","-",+C107+1)</f>
        <v>2022</v>
      </c>
      <c r="D108" s="154">
        <f>IF(F107+SUM(E$99:E107)=D$92,F107,D$92-SUM(E$99:E107))</f>
        <v>3411198.2649501651</v>
      </c>
      <c r="E108" s="160">
        <f t="shared" si="17"/>
        <v>102777.80952380953</v>
      </c>
      <c r="F108" s="159">
        <f t="shared" si="18"/>
        <v>3308420.4554263554</v>
      </c>
      <c r="G108" s="159">
        <f t="shared" si="19"/>
        <v>3359809.3601882602</v>
      </c>
      <c r="H108" s="163">
        <f t="shared" si="20"/>
        <v>510898.75004616461</v>
      </c>
      <c r="I108" s="253">
        <f t="shared" si="21"/>
        <v>510898.75004616461</v>
      </c>
      <c r="J108" s="158">
        <f t="shared" si="22"/>
        <v>0</v>
      </c>
      <c r="K108" s="158"/>
      <c r="L108" s="334"/>
      <c r="M108" s="158">
        <f t="shared" si="23"/>
        <v>0</v>
      </c>
      <c r="N108" s="334"/>
      <c r="O108" s="158">
        <f t="shared" si="24"/>
        <v>0</v>
      </c>
      <c r="P108" s="158">
        <f t="shared" si="25"/>
        <v>0</v>
      </c>
    </row>
    <row r="109" spans="1:16">
      <c r="B109" s="9" t="str">
        <f t="shared" si="16"/>
        <v/>
      </c>
      <c r="C109" s="153">
        <f>IF(D93="","-",+C108+1)</f>
        <v>2023</v>
      </c>
      <c r="D109" s="154">
        <f>IF(F108+SUM(E$99:E108)=D$92,F108,D$92-SUM(E$99:E108))</f>
        <v>3308420.4554263554</v>
      </c>
      <c r="E109" s="160">
        <f t="shared" si="17"/>
        <v>102777.80952380953</v>
      </c>
      <c r="F109" s="159">
        <f t="shared" si="18"/>
        <v>3205642.6459025457</v>
      </c>
      <c r="G109" s="159">
        <f t="shared" si="19"/>
        <v>3257031.5506644505</v>
      </c>
      <c r="H109" s="163">
        <f t="shared" si="20"/>
        <v>498414.17970574077</v>
      </c>
      <c r="I109" s="253">
        <f t="shared" si="21"/>
        <v>498414.17970574077</v>
      </c>
      <c r="J109" s="158">
        <f t="shared" si="22"/>
        <v>0</v>
      </c>
      <c r="K109" s="158"/>
      <c r="L109" s="334"/>
      <c r="M109" s="158">
        <f t="shared" si="23"/>
        <v>0</v>
      </c>
      <c r="N109" s="334"/>
      <c r="O109" s="158">
        <f t="shared" si="24"/>
        <v>0</v>
      </c>
      <c r="P109" s="158">
        <f t="shared" si="25"/>
        <v>0</v>
      </c>
    </row>
    <row r="110" spans="1:16">
      <c r="B110" s="9" t="str">
        <f t="shared" si="16"/>
        <v/>
      </c>
      <c r="C110" s="153">
        <f>IF(D93="","-",+C109+1)</f>
        <v>2024</v>
      </c>
      <c r="D110" s="154">
        <f>IF(F109+SUM(E$99:E109)=D$92,F109,D$92-SUM(E$99:E109))</f>
        <v>3205642.6459025457</v>
      </c>
      <c r="E110" s="160">
        <f t="shared" si="17"/>
        <v>102777.80952380953</v>
      </c>
      <c r="F110" s="159">
        <f t="shared" si="18"/>
        <v>3102864.836378736</v>
      </c>
      <c r="G110" s="159">
        <f t="shared" si="19"/>
        <v>3154253.7411406408</v>
      </c>
      <c r="H110" s="163">
        <f t="shared" si="20"/>
        <v>485929.60936531698</v>
      </c>
      <c r="I110" s="253">
        <f t="shared" si="21"/>
        <v>485929.60936531698</v>
      </c>
      <c r="J110" s="158">
        <f t="shared" si="22"/>
        <v>0</v>
      </c>
      <c r="K110" s="158"/>
      <c r="L110" s="334"/>
      <c r="M110" s="158">
        <f t="shared" si="23"/>
        <v>0</v>
      </c>
      <c r="N110" s="334"/>
      <c r="O110" s="158">
        <f t="shared" si="24"/>
        <v>0</v>
      </c>
      <c r="P110" s="158">
        <f t="shared" si="25"/>
        <v>0</v>
      </c>
    </row>
    <row r="111" spans="1:16">
      <c r="B111" s="9" t="str">
        <f t="shared" si="16"/>
        <v/>
      </c>
      <c r="C111" s="153">
        <f>IF(D93="","-",+C110+1)</f>
        <v>2025</v>
      </c>
      <c r="D111" s="154">
        <f>IF(F110+SUM(E$99:E110)=D$92,F110,D$92-SUM(E$99:E110))</f>
        <v>3102864.836378736</v>
      </c>
      <c r="E111" s="160">
        <f t="shared" si="17"/>
        <v>102777.80952380953</v>
      </c>
      <c r="F111" s="159">
        <f t="shared" si="18"/>
        <v>3000087.0268549263</v>
      </c>
      <c r="G111" s="159">
        <f t="shared" si="19"/>
        <v>3051475.9316168311</v>
      </c>
      <c r="H111" s="163">
        <f t="shared" si="20"/>
        <v>473445.03902489314</v>
      </c>
      <c r="I111" s="253">
        <f t="shared" si="21"/>
        <v>473445.03902489314</v>
      </c>
      <c r="J111" s="158">
        <f t="shared" si="22"/>
        <v>0</v>
      </c>
      <c r="K111" s="158"/>
      <c r="L111" s="334"/>
      <c r="M111" s="158">
        <f t="shared" si="23"/>
        <v>0</v>
      </c>
      <c r="N111" s="334"/>
      <c r="O111" s="158">
        <f t="shared" si="24"/>
        <v>0</v>
      </c>
      <c r="P111" s="158">
        <f t="shared" si="25"/>
        <v>0</v>
      </c>
    </row>
    <row r="112" spans="1:16">
      <c r="B112" s="9" t="str">
        <f t="shared" si="16"/>
        <v/>
      </c>
      <c r="C112" s="153">
        <f>IF(D93="","-",+C111+1)</f>
        <v>2026</v>
      </c>
      <c r="D112" s="154">
        <f>IF(F111+SUM(E$99:E111)=D$92,F111,D$92-SUM(E$99:E111))</f>
        <v>3000087.0268549263</v>
      </c>
      <c r="E112" s="160">
        <f t="shared" si="17"/>
        <v>102777.80952380953</v>
      </c>
      <c r="F112" s="159">
        <f t="shared" si="18"/>
        <v>2897309.2173311166</v>
      </c>
      <c r="G112" s="159">
        <f t="shared" si="19"/>
        <v>2948698.1220930214</v>
      </c>
      <c r="H112" s="163">
        <f t="shared" si="20"/>
        <v>460960.46868446935</v>
      </c>
      <c r="I112" s="253">
        <f t="shared" si="21"/>
        <v>460960.46868446935</v>
      </c>
      <c r="J112" s="158">
        <f t="shared" si="22"/>
        <v>0</v>
      </c>
      <c r="K112" s="158"/>
      <c r="L112" s="334"/>
      <c r="M112" s="158">
        <f t="shared" si="23"/>
        <v>0</v>
      </c>
      <c r="N112" s="334"/>
      <c r="O112" s="158">
        <f t="shared" si="24"/>
        <v>0</v>
      </c>
      <c r="P112" s="158">
        <f t="shared" si="25"/>
        <v>0</v>
      </c>
    </row>
    <row r="113" spans="2:16">
      <c r="B113" s="9" t="str">
        <f t="shared" si="16"/>
        <v/>
      </c>
      <c r="C113" s="153">
        <f>IF(D93="","-",+C112+1)</f>
        <v>2027</v>
      </c>
      <c r="D113" s="154">
        <f>IF(F112+SUM(E$99:E112)=D$92,F112,D$92-SUM(E$99:E112))</f>
        <v>2897309.2173311166</v>
      </c>
      <c r="E113" s="160">
        <f t="shared" si="17"/>
        <v>102777.80952380953</v>
      </c>
      <c r="F113" s="159">
        <f t="shared" si="18"/>
        <v>2794531.4078073069</v>
      </c>
      <c r="G113" s="159">
        <f t="shared" si="19"/>
        <v>2845920.3125692117</v>
      </c>
      <c r="H113" s="163">
        <f t="shared" si="20"/>
        <v>448475.8983440455</v>
      </c>
      <c r="I113" s="253">
        <f t="shared" si="21"/>
        <v>448475.8983440455</v>
      </c>
      <c r="J113" s="158">
        <f t="shared" si="22"/>
        <v>0</v>
      </c>
      <c r="K113" s="158"/>
      <c r="L113" s="334"/>
      <c r="M113" s="158">
        <f t="shared" si="23"/>
        <v>0</v>
      </c>
      <c r="N113" s="334"/>
      <c r="O113" s="158">
        <f t="shared" si="24"/>
        <v>0</v>
      </c>
      <c r="P113" s="158">
        <f t="shared" si="25"/>
        <v>0</v>
      </c>
    </row>
    <row r="114" spans="2:16">
      <c r="B114" s="9" t="str">
        <f t="shared" si="16"/>
        <v/>
      </c>
      <c r="C114" s="153">
        <f>IF(D93="","-",+C113+1)</f>
        <v>2028</v>
      </c>
      <c r="D114" s="154">
        <f>IF(F113+SUM(E$99:E113)=D$92,F113,D$92-SUM(E$99:E113))</f>
        <v>2794531.4078073069</v>
      </c>
      <c r="E114" s="160">
        <f t="shared" si="17"/>
        <v>102777.80952380953</v>
      </c>
      <c r="F114" s="159">
        <f t="shared" si="18"/>
        <v>2691753.5982834972</v>
      </c>
      <c r="G114" s="159">
        <f t="shared" si="19"/>
        <v>2743142.503045402</v>
      </c>
      <c r="H114" s="163">
        <f t="shared" si="20"/>
        <v>435991.32800362172</v>
      </c>
      <c r="I114" s="253">
        <f t="shared" si="21"/>
        <v>435991.32800362172</v>
      </c>
      <c r="J114" s="158">
        <f t="shared" si="22"/>
        <v>0</v>
      </c>
      <c r="K114" s="158"/>
      <c r="L114" s="334"/>
      <c r="M114" s="158">
        <f t="shared" si="23"/>
        <v>0</v>
      </c>
      <c r="N114" s="334"/>
      <c r="O114" s="158">
        <f t="shared" si="24"/>
        <v>0</v>
      </c>
      <c r="P114" s="158">
        <f t="shared" si="25"/>
        <v>0</v>
      </c>
    </row>
    <row r="115" spans="2:16">
      <c r="B115" s="9" t="str">
        <f t="shared" si="16"/>
        <v/>
      </c>
      <c r="C115" s="153">
        <f>IF(D93="","-",+C114+1)</f>
        <v>2029</v>
      </c>
      <c r="D115" s="154">
        <f>IF(F114+SUM(E$99:E114)=D$92,F114,D$92-SUM(E$99:E114))</f>
        <v>2691753.5982834972</v>
      </c>
      <c r="E115" s="160">
        <f t="shared" si="17"/>
        <v>102777.80952380953</v>
      </c>
      <c r="F115" s="159">
        <f t="shared" si="18"/>
        <v>2588975.7887596874</v>
      </c>
      <c r="G115" s="159">
        <f t="shared" si="19"/>
        <v>2640364.6935215923</v>
      </c>
      <c r="H115" s="163">
        <f t="shared" si="20"/>
        <v>423506.75766319787</v>
      </c>
      <c r="I115" s="253">
        <f t="shared" si="21"/>
        <v>423506.75766319787</v>
      </c>
      <c r="J115" s="158">
        <f t="shared" si="22"/>
        <v>0</v>
      </c>
      <c r="K115" s="158"/>
      <c r="L115" s="334"/>
      <c r="M115" s="158">
        <f t="shared" si="23"/>
        <v>0</v>
      </c>
      <c r="N115" s="334"/>
      <c r="O115" s="158">
        <f t="shared" si="24"/>
        <v>0</v>
      </c>
      <c r="P115" s="158">
        <f t="shared" si="25"/>
        <v>0</v>
      </c>
    </row>
    <row r="116" spans="2:16">
      <c r="B116" s="9" t="str">
        <f t="shared" si="16"/>
        <v/>
      </c>
      <c r="C116" s="153">
        <f>IF(D93="","-",+C115+1)</f>
        <v>2030</v>
      </c>
      <c r="D116" s="154">
        <f>IF(F115+SUM(E$99:E115)=D$92,F115,D$92-SUM(E$99:E115))</f>
        <v>2588975.7887596874</v>
      </c>
      <c r="E116" s="160">
        <f t="shared" si="17"/>
        <v>102777.80952380953</v>
      </c>
      <c r="F116" s="159">
        <f t="shared" si="18"/>
        <v>2486197.9792358777</v>
      </c>
      <c r="G116" s="159">
        <f t="shared" si="19"/>
        <v>2537586.8839977826</v>
      </c>
      <c r="H116" s="163">
        <f t="shared" si="20"/>
        <v>411022.18732277409</v>
      </c>
      <c r="I116" s="253">
        <f t="shared" si="21"/>
        <v>411022.18732277409</v>
      </c>
      <c r="J116" s="158">
        <f t="shared" si="22"/>
        <v>0</v>
      </c>
      <c r="K116" s="158"/>
      <c r="L116" s="334"/>
      <c r="M116" s="158">
        <f t="shared" si="23"/>
        <v>0</v>
      </c>
      <c r="N116" s="334"/>
      <c r="O116" s="158">
        <f t="shared" si="24"/>
        <v>0</v>
      </c>
      <c r="P116" s="158">
        <f t="shared" si="25"/>
        <v>0</v>
      </c>
    </row>
    <row r="117" spans="2:16">
      <c r="B117" s="9" t="str">
        <f t="shared" si="16"/>
        <v/>
      </c>
      <c r="C117" s="153">
        <f>IF(D93="","-",+C116+1)</f>
        <v>2031</v>
      </c>
      <c r="D117" s="154">
        <f>IF(F116+SUM(E$99:E116)=D$92,F116,D$92-SUM(E$99:E116))</f>
        <v>2486197.9792358777</v>
      </c>
      <c r="E117" s="160">
        <f t="shared" si="17"/>
        <v>102777.80952380953</v>
      </c>
      <c r="F117" s="159">
        <f t="shared" si="18"/>
        <v>2383420.169712068</v>
      </c>
      <c r="G117" s="159">
        <f t="shared" si="19"/>
        <v>2434809.0744739729</v>
      </c>
      <c r="H117" s="163">
        <f t="shared" si="20"/>
        <v>398537.61698235024</v>
      </c>
      <c r="I117" s="253">
        <f t="shared" si="21"/>
        <v>398537.61698235024</v>
      </c>
      <c r="J117" s="158">
        <f t="shared" si="22"/>
        <v>0</v>
      </c>
      <c r="K117" s="158"/>
      <c r="L117" s="334"/>
      <c r="M117" s="158">
        <f t="shared" si="23"/>
        <v>0</v>
      </c>
      <c r="N117" s="334"/>
      <c r="O117" s="158">
        <f t="shared" si="24"/>
        <v>0</v>
      </c>
      <c r="P117" s="158">
        <f t="shared" si="25"/>
        <v>0</v>
      </c>
    </row>
    <row r="118" spans="2:16">
      <c r="B118" s="9" t="str">
        <f t="shared" si="16"/>
        <v/>
      </c>
      <c r="C118" s="153">
        <f>IF(D93="","-",+C117+1)</f>
        <v>2032</v>
      </c>
      <c r="D118" s="154">
        <f>IF(F117+SUM(E$99:E117)=D$92,F117,D$92-SUM(E$99:E117))</f>
        <v>2383420.169712068</v>
      </c>
      <c r="E118" s="160">
        <f t="shared" si="17"/>
        <v>102777.80952380953</v>
      </c>
      <c r="F118" s="159">
        <f t="shared" si="18"/>
        <v>2280642.3601882583</v>
      </c>
      <c r="G118" s="159">
        <f t="shared" si="19"/>
        <v>2332031.2649501632</v>
      </c>
      <c r="H118" s="163">
        <f t="shared" si="20"/>
        <v>386053.0466419264</v>
      </c>
      <c r="I118" s="253">
        <f t="shared" si="21"/>
        <v>386053.0466419264</v>
      </c>
      <c r="J118" s="158">
        <f t="shared" si="22"/>
        <v>0</v>
      </c>
      <c r="K118" s="158"/>
      <c r="L118" s="334"/>
      <c r="M118" s="158">
        <f t="shared" si="23"/>
        <v>0</v>
      </c>
      <c r="N118" s="334"/>
      <c r="O118" s="158">
        <f t="shared" si="24"/>
        <v>0</v>
      </c>
      <c r="P118" s="158">
        <f t="shared" si="25"/>
        <v>0</v>
      </c>
    </row>
    <row r="119" spans="2:16">
      <c r="B119" s="9" t="str">
        <f t="shared" si="16"/>
        <v/>
      </c>
      <c r="C119" s="153">
        <f>IF(D93="","-",+C118+1)</f>
        <v>2033</v>
      </c>
      <c r="D119" s="154">
        <f>IF(F118+SUM(E$99:E118)=D$92,F118,D$92-SUM(E$99:E118))</f>
        <v>2280642.3601882583</v>
      </c>
      <c r="E119" s="160">
        <f t="shared" si="17"/>
        <v>102777.80952380953</v>
      </c>
      <c r="F119" s="159">
        <f t="shared" si="18"/>
        <v>2177864.5506644486</v>
      </c>
      <c r="G119" s="159">
        <f t="shared" si="19"/>
        <v>2229253.4554263535</v>
      </c>
      <c r="H119" s="163">
        <f t="shared" si="20"/>
        <v>373568.47630150261</v>
      </c>
      <c r="I119" s="253">
        <f t="shared" si="21"/>
        <v>373568.47630150261</v>
      </c>
      <c r="J119" s="158">
        <f t="shared" si="22"/>
        <v>0</v>
      </c>
      <c r="K119" s="158"/>
      <c r="L119" s="334"/>
      <c r="M119" s="158">
        <f t="shared" si="23"/>
        <v>0</v>
      </c>
      <c r="N119" s="334"/>
      <c r="O119" s="158">
        <f t="shared" si="24"/>
        <v>0</v>
      </c>
      <c r="P119" s="158">
        <f t="shared" si="25"/>
        <v>0</v>
      </c>
    </row>
    <row r="120" spans="2:16">
      <c r="B120" s="9" t="str">
        <f t="shared" si="16"/>
        <v/>
      </c>
      <c r="C120" s="153">
        <f>IF(D93="","-",+C119+1)</f>
        <v>2034</v>
      </c>
      <c r="D120" s="154">
        <f>IF(F119+SUM(E$99:E119)=D$92,F119,D$92-SUM(E$99:E119))</f>
        <v>2177864.5506644486</v>
      </c>
      <c r="E120" s="160">
        <f t="shared" si="17"/>
        <v>102777.80952380953</v>
      </c>
      <c r="F120" s="159">
        <f t="shared" si="18"/>
        <v>2075086.7411406392</v>
      </c>
      <c r="G120" s="159">
        <f t="shared" si="19"/>
        <v>2126475.6459025438</v>
      </c>
      <c r="H120" s="163">
        <f t="shared" si="20"/>
        <v>361083.90596107882</v>
      </c>
      <c r="I120" s="253">
        <f t="shared" si="21"/>
        <v>361083.90596107882</v>
      </c>
      <c r="J120" s="158">
        <f t="shared" si="22"/>
        <v>0</v>
      </c>
      <c r="K120" s="158"/>
      <c r="L120" s="334"/>
      <c r="M120" s="158">
        <f t="shared" si="23"/>
        <v>0</v>
      </c>
      <c r="N120" s="334"/>
      <c r="O120" s="158">
        <f t="shared" si="24"/>
        <v>0</v>
      </c>
      <c r="P120" s="158">
        <f t="shared" si="25"/>
        <v>0</v>
      </c>
    </row>
    <row r="121" spans="2:16">
      <c r="B121" s="9" t="str">
        <f t="shared" si="16"/>
        <v/>
      </c>
      <c r="C121" s="153">
        <f>IF(D93="","-",+C120+1)</f>
        <v>2035</v>
      </c>
      <c r="D121" s="154">
        <f>IF(F120+SUM(E$99:E120)=D$92,F120,D$92-SUM(E$99:E120))</f>
        <v>2075086.7411406392</v>
      </c>
      <c r="E121" s="160">
        <f t="shared" si="17"/>
        <v>102777.80952380953</v>
      </c>
      <c r="F121" s="159">
        <f t="shared" si="18"/>
        <v>1972308.9316168297</v>
      </c>
      <c r="G121" s="159">
        <f t="shared" si="19"/>
        <v>2023697.8363787346</v>
      </c>
      <c r="H121" s="163">
        <f t="shared" si="20"/>
        <v>348599.33562065504</v>
      </c>
      <c r="I121" s="253">
        <f t="shared" si="21"/>
        <v>348599.33562065504</v>
      </c>
      <c r="J121" s="158">
        <f t="shared" si="22"/>
        <v>0</v>
      </c>
      <c r="K121" s="158"/>
      <c r="L121" s="334"/>
      <c r="M121" s="158">
        <f t="shared" si="23"/>
        <v>0</v>
      </c>
      <c r="N121" s="334"/>
      <c r="O121" s="158">
        <f t="shared" si="24"/>
        <v>0</v>
      </c>
      <c r="P121" s="158">
        <f t="shared" si="25"/>
        <v>0</v>
      </c>
    </row>
    <row r="122" spans="2:16">
      <c r="B122" s="9" t="str">
        <f t="shared" si="16"/>
        <v/>
      </c>
      <c r="C122" s="153">
        <f>IF(D93="","-",+C121+1)</f>
        <v>2036</v>
      </c>
      <c r="D122" s="154">
        <f>IF(F121+SUM(E$99:E121)=D$92,F121,D$92-SUM(E$99:E121))</f>
        <v>1972308.9316168297</v>
      </c>
      <c r="E122" s="160">
        <f t="shared" si="17"/>
        <v>102777.80952380953</v>
      </c>
      <c r="F122" s="159">
        <f t="shared" si="18"/>
        <v>1869531.1220930202</v>
      </c>
      <c r="G122" s="159">
        <f t="shared" si="19"/>
        <v>1920920.0268549249</v>
      </c>
      <c r="H122" s="163">
        <f t="shared" si="20"/>
        <v>336114.76528023119</v>
      </c>
      <c r="I122" s="253">
        <f t="shared" si="21"/>
        <v>336114.76528023119</v>
      </c>
      <c r="J122" s="158">
        <f t="shared" si="22"/>
        <v>0</v>
      </c>
      <c r="K122" s="158"/>
      <c r="L122" s="334"/>
      <c r="M122" s="158">
        <f t="shared" si="23"/>
        <v>0</v>
      </c>
      <c r="N122" s="334"/>
      <c r="O122" s="158">
        <f t="shared" si="24"/>
        <v>0</v>
      </c>
      <c r="P122" s="158">
        <f t="shared" si="25"/>
        <v>0</v>
      </c>
    </row>
    <row r="123" spans="2:16">
      <c r="B123" s="9" t="str">
        <f t="shared" si="16"/>
        <v/>
      </c>
      <c r="C123" s="153">
        <f>IF(D93="","-",+C122+1)</f>
        <v>2037</v>
      </c>
      <c r="D123" s="154">
        <f>IF(F122+SUM(E$99:E122)=D$92,F122,D$92-SUM(E$99:E122))</f>
        <v>1869531.1220930202</v>
      </c>
      <c r="E123" s="160">
        <f t="shared" si="17"/>
        <v>102777.80952380953</v>
      </c>
      <c r="F123" s="159">
        <f t="shared" si="18"/>
        <v>1766753.3125692108</v>
      </c>
      <c r="G123" s="159">
        <f t="shared" si="19"/>
        <v>1818142.2173311156</v>
      </c>
      <c r="H123" s="163">
        <f t="shared" si="20"/>
        <v>323630.19493980741</v>
      </c>
      <c r="I123" s="253">
        <f t="shared" si="21"/>
        <v>323630.19493980741</v>
      </c>
      <c r="J123" s="158">
        <f t="shared" si="22"/>
        <v>0</v>
      </c>
      <c r="K123" s="158"/>
      <c r="L123" s="334"/>
      <c r="M123" s="158">
        <f t="shared" si="23"/>
        <v>0</v>
      </c>
      <c r="N123" s="334"/>
      <c r="O123" s="158">
        <f t="shared" si="24"/>
        <v>0</v>
      </c>
      <c r="P123" s="158">
        <f t="shared" si="25"/>
        <v>0</v>
      </c>
    </row>
    <row r="124" spans="2:16">
      <c r="B124" s="9" t="str">
        <f t="shared" si="16"/>
        <v/>
      </c>
      <c r="C124" s="153">
        <f>IF(D93="","-",+C123+1)</f>
        <v>2038</v>
      </c>
      <c r="D124" s="154">
        <f>IF(F123+SUM(E$99:E123)=D$92,F123,D$92-SUM(E$99:E123))</f>
        <v>1766753.3125692108</v>
      </c>
      <c r="E124" s="160">
        <f t="shared" si="17"/>
        <v>102777.80952380953</v>
      </c>
      <c r="F124" s="159">
        <f t="shared" si="18"/>
        <v>1663975.5030454013</v>
      </c>
      <c r="G124" s="159">
        <f t="shared" si="19"/>
        <v>1715364.4078073059</v>
      </c>
      <c r="H124" s="163">
        <f t="shared" si="20"/>
        <v>311145.62459938362</v>
      </c>
      <c r="I124" s="253">
        <f t="shared" si="21"/>
        <v>311145.62459938362</v>
      </c>
      <c r="J124" s="158">
        <f t="shared" si="22"/>
        <v>0</v>
      </c>
      <c r="K124" s="158"/>
      <c r="L124" s="334"/>
      <c r="M124" s="158">
        <f t="shared" si="23"/>
        <v>0</v>
      </c>
      <c r="N124" s="334"/>
      <c r="O124" s="158">
        <f t="shared" si="24"/>
        <v>0</v>
      </c>
      <c r="P124" s="158">
        <f t="shared" si="25"/>
        <v>0</v>
      </c>
    </row>
    <row r="125" spans="2:16">
      <c r="B125" s="9" t="str">
        <f t="shared" si="16"/>
        <v/>
      </c>
      <c r="C125" s="153">
        <f>IF(D93="","-",+C124+1)</f>
        <v>2039</v>
      </c>
      <c r="D125" s="154">
        <f>IF(F124+SUM(E$99:E124)=D$92,F124,D$92-SUM(E$99:E124))</f>
        <v>1663975.5030454013</v>
      </c>
      <c r="E125" s="160">
        <f t="shared" si="17"/>
        <v>102777.80952380953</v>
      </c>
      <c r="F125" s="159">
        <f t="shared" si="18"/>
        <v>1561197.6935215918</v>
      </c>
      <c r="G125" s="159">
        <f t="shared" si="19"/>
        <v>1612586.5982834967</v>
      </c>
      <c r="H125" s="163">
        <f t="shared" si="20"/>
        <v>298661.05425895983</v>
      </c>
      <c r="I125" s="253">
        <f t="shared" si="21"/>
        <v>298661.05425895983</v>
      </c>
      <c r="J125" s="158">
        <f t="shared" si="22"/>
        <v>0</v>
      </c>
      <c r="K125" s="158"/>
      <c r="L125" s="334"/>
      <c r="M125" s="158">
        <f t="shared" si="23"/>
        <v>0</v>
      </c>
      <c r="N125" s="334"/>
      <c r="O125" s="158">
        <f t="shared" si="24"/>
        <v>0</v>
      </c>
      <c r="P125" s="158">
        <f t="shared" si="25"/>
        <v>0</v>
      </c>
    </row>
    <row r="126" spans="2:16">
      <c r="B126" s="9" t="str">
        <f t="shared" si="16"/>
        <v/>
      </c>
      <c r="C126" s="153">
        <f>IF(D93="","-",+C125+1)</f>
        <v>2040</v>
      </c>
      <c r="D126" s="154">
        <f>IF(F125+SUM(E$99:E125)=D$92,F125,D$92-SUM(E$99:E125))</f>
        <v>1561197.6935215918</v>
      </c>
      <c r="E126" s="160">
        <f t="shared" si="17"/>
        <v>102777.80952380953</v>
      </c>
      <c r="F126" s="159">
        <f t="shared" si="18"/>
        <v>1458419.8839977824</v>
      </c>
      <c r="G126" s="159">
        <f t="shared" si="19"/>
        <v>1509808.788759687</v>
      </c>
      <c r="H126" s="163">
        <f t="shared" si="20"/>
        <v>286176.48391853605</v>
      </c>
      <c r="I126" s="253">
        <f t="shared" si="21"/>
        <v>286176.48391853605</v>
      </c>
      <c r="J126" s="158">
        <f t="shared" si="22"/>
        <v>0</v>
      </c>
      <c r="K126" s="158"/>
      <c r="L126" s="334"/>
      <c r="M126" s="158">
        <f t="shared" si="23"/>
        <v>0</v>
      </c>
      <c r="N126" s="334"/>
      <c r="O126" s="158">
        <f t="shared" si="24"/>
        <v>0</v>
      </c>
      <c r="P126" s="158">
        <f t="shared" si="25"/>
        <v>0</v>
      </c>
    </row>
    <row r="127" spans="2:16">
      <c r="B127" s="9" t="str">
        <f t="shared" si="16"/>
        <v/>
      </c>
      <c r="C127" s="153">
        <f>IF(D93="","-",+C126+1)</f>
        <v>2041</v>
      </c>
      <c r="D127" s="154">
        <f>IF(F126+SUM(E$99:E126)=D$92,F126,D$92-SUM(E$99:E126))</f>
        <v>1458419.8839977824</v>
      </c>
      <c r="E127" s="160">
        <f t="shared" si="17"/>
        <v>102777.80952380953</v>
      </c>
      <c r="F127" s="159">
        <f t="shared" si="18"/>
        <v>1355642.0744739729</v>
      </c>
      <c r="G127" s="159">
        <f t="shared" si="19"/>
        <v>1407030.9792358777</v>
      </c>
      <c r="H127" s="163">
        <f t="shared" si="20"/>
        <v>273691.91357811226</v>
      </c>
      <c r="I127" s="253">
        <f t="shared" si="21"/>
        <v>273691.91357811226</v>
      </c>
      <c r="J127" s="158">
        <f t="shared" si="22"/>
        <v>0</v>
      </c>
      <c r="K127" s="158"/>
      <c r="L127" s="334"/>
      <c r="M127" s="158">
        <f t="shared" si="23"/>
        <v>0</v>
      </c>
      <c r="N127" s="334"/>
      <c r="O127" s="158">
        <f t="shared" si="24"/>
        <v>0</v>
      </c>
      <c r="P127" s="158">
        <f t="shared" si="25"/>
        <v>0</v>
      </c>
    </row>
    <row r="128" spans="2:16">
      <c r="B128" s="9" t="str">
        <f t="shared" si="16"/>
        <v/>
      </c>
      <c r="C128" s="153">
        <f>IF(D93="","-",+C127+1)</f>
        <v>2042</v>
      </c>
      <c r="D128" s="154">
        <f>IF(F127+SUM(E$99:E127)=D$92,F127,D$92-SUM(E$99:E127))</f>
        <v>1355642.0744739729</v>
      </c>
      <c r="E128" s="160">
        <f t="shared" si="17"/>
        <v>102777.80952380953</v>
      </c>
      <c r="F128" s="159">
        <f t="shared" si="18"/>
        <v>1252864.2649501634</v>
      </c>
      <c r="G128" s="159">
        <f t="shared" si="19"/>
        <v>1304253.169712068</v>
      </c>
      <c r="H128" s="163">
        <f t="shared" si="20"/>
        <v>261207.34323768847</v>
      </c>
      <c r="I128" s="253">
        <f t="shared" si="21"/>
        <v>261207.34323768847</v>
      </c>
      <c r="J128" s="158">
        <f t="shared" si="22"/>
        <v>0</v>
      </c>
      <c r="K128" s="158"/>
      <c r="L128" s="334"/>
      <c r="M128" s="158">
        <f t="shared" si="23"/>
        <v>0</v>
      </c>
      <c r="N128" s="334"/>
      <c r="O128" s="158">
        <f t="shared" si="24"/>
        <v>0</v>
      </c>
      <c r="P128" s="158">
        <f t="shared" si="25"/>
        <v>0</v>
      </c>
    </row>
    <row r="129" spans="2:16">
      <c r="B129" s="9" t="str">
        <f t="shared" si="16"/>
        <v/>
      </c>
      <c r="C129" s="153">
        <f>IF(D93="","-",+C128+1)</f>
        <v>2043</v>
      </c>
      <c r="D129" s="154">
        <f>IF(F128+SUM(E$99:E128)=D$92,F128,D$92-SUM(E$99:E128))</f>
        <v>1252864.2649501634</v>
      </c>
      <c r="E129" s="160">
        <f t="shared" si="17"/>
        <v>102777.80952380953</v>
      </c>
      <c r="F129" s="159">
        <f t="shared" si="18"/>
        <v>1150086.455426354</v>
      </c>
      <c r="G129" s="159">
        <f t="shared" si="19"/>
        <v>1201475.3601882588</v>
      </c>
      <c r="H129" s="163">
        <f t="shared" si="20"/>
        <v>248722.77289726472</v>
      </c>
      <c r="I129" s="253">
        <f t="shared" si="21"/>
        <v>248722.77289726472</v>
      </c>
      <c r="J129" s="158">
        <f t="shared" si="22"/>
        <v>0</v>
      </c>
      <c r="K129" s="158"/>
      <c r="L129" s="334"/>
      <c r="M129" s="158">
        <f t="shared" si="23"/>
        <v>0</v>
      </c>
      <c r="N129" s="334"/>
      <c r="O129" s="158">
        <f t="shared" si="24"/>
        <v>0</v>
      </c>
      <c r="P129" s="158">
        <f t="shared" si="25"/>
        <v>0</v>
      </c>
    </row>
    <row r="130" spans="2:16">
      <c r="B130" s="9" t="str">
        <f t="shared" si="16"/>
        <v/>
      </c>
      <c r="C130" s="153">
        <f>IF(D93="","-",+C129+1)</f>
        <v>2044</v>
      </c>
      <c r="D130" s="154">
        <f>IF(F129+SUM(E$99:E129)=D$92,F129,D$92-SUM(E$99:E129))</f>
        <v>1150086.455426354</v>
      </c>
      <c r="E130" s="160">
        <f t="shared" si="17"/>
        <v>102777.80952380953</v>
      </c>
      <c r="F130" s="159">
        <f t="shared" si="18"/>
        <v>1047308.6459025445</v>
      </c>
      <c r="G130" s="159">
        <f t="shared" si="19"/>
        <v>1098697.5506644491</v>
      </c>
      <c r="H130" s="163">
        <f t="shared" si="20"/>
        <v>236238.2025568409</v>
      </c>
      <c r="I130" s="253">
        <f t="shared" si="21"/>
        <v>236238.2025568409</v>
      </c>
      <c r="J130" s="158">
        <f t="shared" si="22"/>
        <v>0</v>
      </c>
      <c r="K130" s="158"/>
      <c r="L130" s="334"/>
      <c r="M130" s="158">
        <f t="shared" si="23"/>
        <v>0</v>
      </c>
      <c r="N130" s="334"/>
      <c r="O130" s="158">
        <f t="shared" si="24"/>
        <v>0</v>
      </c>
      <c r="P130" s="158">
        <f t="shared" si="25"/>
        <v>0</v>
      </c>
    </row>
    <row r="131" spans="2:16">
      <c r="B131" s="9" t="str">
        <f t="shared" si="16"/>
        <v/>
      </c>
      <c r="C131" s="153">
        <f>IF(D93="","-",+C130+1)</f>
        <v>2045</v>
      </c>
      <c r="D131" s="154">
        <f>IF(F130+SUM(E$99:E130)=D$92,F130,D$92-SUM(E$99:E130))</f>
        <v>1047308.6459025445</v>
      </c>
      <c r="E131" s="160">
        <f t="shared" si="17"/>
        <v>102777.80952380953</v>
      </c>
      <c r="F131" s="159">
        <f t="shared" si="18"/>
        <v>944530.83637873502</v>
      </c>
      <c r="G131" s="159">
        <f t="shared" si="19"/>
        <v>995919.74114063976</v>
      </c>
      <c r="H131" s="163">
        <f t="shared" si="20"/>
        <v>223753.63221641711</v>
      </c>
      <c r="I131" s="253">
        <f t="shared" si="21"/>
        <v>223753.63221641711</v>
      </c>
      <c r="J131" s="158">
        <f t="shared" si="22"/>
        <v>0</v>
      </c>
      <c r="K131" s="158"/>
      <c r="L131" s="334"/>
      <c r="M131" s="158">
        <f t="shared" ref="M131:M154" si="26">IF(L541&lt;&gt;0,+H541-L541,0)</f>
        <v>0</v>
      </c>
      <c r="N131" s="334"/>
      <c r="O131" s="158">
        <f t="shared" ref="O131:O154" si="27">IF(N541&lt;&gt;0,+I541-N541,0)</f>
        <v>0</v>
      </c>
      <c r="P131" s="158">
        <f t="shared" ref="P131:P154" si="28">+O541-M541</f>
        <v>0</v>
      </c>
    </row>
    <row r="132" spans="2:16">
      <c r="B132" s="9" t="str">
        <f t="shared" si="16"/>
        <v/>
      </c>
      <c r="C132" s="153">
        <f>IF(D93="","-",+C131+1)</f>
        <v>2046</v>
      </c>
      <c r="D132" s="154">
        <f>IF(F131+SUM(E$99:E131)=D$92,F131,D$92-SUM(E$99:E131))</f>
        <v>944530.83637873502</v>
      </c>
      <c r="E132" s="160">
        <f t="shared" si="17"/>
        <v>102777.80952380953</v>
      </c>
      <c r="F132" s="159">
        <f t="shared" si="18"/>
        <v>841753.02685492556</v>
      </c>
      <c r="G132" s="159">
        <f t="shared" si="19"/>
        <v>893141.93161683029</v>
      </c>
      <c r="H132" s="163">
        <f t="shared" si="20"/>
        <v>211269.06187599333</v>
      </c>
      <c r="I132" s="253">
        <f t="shared" si="21"/>
        <v>211269.06187599333</v>
      </c>
      <c r="J132" s="158">
        <f t="shared" si="22"/>
        <v>0</v>
      </c>
      <c r="K132" s="158"/>
      <c r="L132" s="334"/>
      <c r="M132" s="158">
        <f t="shared" si="26"/>
        <v>0</v>
      </c>
      <c r="N132" s="334"/>
      <c r="O132" s="158">
        <f t="shared" si="27"/>
        <v>0</v>
      </c>
      <c r="P132" s="158">
        <f t="shared" si="28"/>
        <v>0</v>
      </c>
    </row>
    <row r="133" spans="2:16">
      <c r="B133" s="9" t="str">
        <f t="shared" si="16"/>
        <v/>
      </c>
      <c r="C133" s="153">
        <f>IF(D93="","-",+C132+1)</f>
        <v>2047</v>
      </c>
      <c r="D133" s="154">
        <f>IF(F132+SUM(E$99:E132)=D$92,F132,D$92-SUM(E$99:E132))</f>
        <v>841753.02685492556</v>
      </c>
      <c r="E133" s="160">
        <f t="shared" si="17"/>
        <v>102777.80952380953</v>
      </c>
      <c r="F133" s="159">
        <f t="shared" si="18"/>
        <v>738975.21733111609</v>
      </c>
      <c r="G133" s="159">
        <f t="shared" si="19"/>
        <v>790364.12209302082</v>
      </c>
      <c r="H133" s="163">
        <f t="shared" si="20"/>
        <v>198784.49153556954</v>
      </c>
      <c r="I133" s="253">
        <f t="shared" si="21"/>
        <v>198784.49153556954</v>
      </c>
      <c r="J133" s="158">
        <f t="shared" si="22"/>
        <v>0</v>
      </c>
      <c r="K133" s="158"/>
      <c r="L133" s="334"/>
      <c r="M133" s="158">
        <f t="shared" si="26"/>
        <v>0</v>
      </c>
      <c r="N133" s="334"/>
      <c r="O133" s="158">
        <f t="shared" si="27"/>
        <v>0</v>
      </c>
      <c r="P133" s="158">
        <f t="shared" si="28"/>
        <v>0</v>
      </c>
    </row>
    <row r="134" spans="2:16">
      <c r="B134" s="9" t="str">
        <f t="shared" si="16"/>
        <v/>
      </c>
      <c r="C134" s="153">
        <f>IF(D93="","-",+C133+1)</f>
        <v>2048</v>
      </c>
      <c r="D134" s="154">
        <f>IF(F133+SUM(E$99:E133)=D$92,F133,D$92-SUM(E$99:E133))</f>
        <v>738975.21733111609</v>
      </c>
      <c r="E134" s="160">
        <f t="shared" si="17"/>
        <v>102777.80952380953</v>
      </c>
      <c r="F134" s="159">
        <f t="shared" si="18"/>
        <v>636197.40780730662</v>
      </c>
      <c r="G134" s="159">
        <f t="shared" si="19"/>
        <v>687586.31256921135</v>
      </c>
      <c r="H134" s="163">
        <f t="shared" si="20"/>
        <v>186299.92119514575</v>
      </c>
      <c r="I134" s="253">
        <f t="shared" si="21"/>
        <v>186299.92119514575</v>
      </c>
      <c r="J134" s="158">
        <f t="shared" si="22"/>
        <v>0</v>
      </c>
      <c r="K134" s="158"/>
      <c r="L134" s="334"/>
      <c r="M134" s="158">
        <f t="shared" si="26"/>
        <v>0</v>
      </c>
      <c r="N134" s="334"/>
      <c r="O134" s="158">
        <f t="shared" si="27"/>
        <v>0</v>
      </c>
      <c r="P134" s="158">
        <f t="shared" si="28"/>
        <v>0</v>
      </c>
    </row>
    <row r="135" spans="2:16">
      <c r="B135" s="9" t="str">
        <f t="shared" si="16"/>
        <v/>
      </c>
      <c r="C135" s="153">
        <f>IF(D93="","-",+C134+1)</f>
        <v>2049</v>
      </c>
      <c r="D135" s="154">
        <f>IF(F134+SUM(E$99:E134)=D$92,F134,D$92-SUM(E$99:E134))</f>
        <v>636197.40780730662</v>
      </c>
      <c r="E135" s="160">
        <f t="shared" si="17"/>
        <v>102777.80952380953</v>
      </c>
      <c r="F135" s="159">
        <f t="shared" si="18"/>
        <v>533419.59828349715</v>
      </c>
      <c r="G135" s="159">
        <f t="shared" si="19"/>
        <v>584808.50304540189</v>
      </c>
      <c r="H135" s="163">
        <f t="shared" si="20"/>
        <v>173815.35085472197</v>
      </c>
      <c r="I135" s="253">
        <f t="shared" si="21"/>
        <v>173815.35085472197</v>
      </c>
      <c r="J135" s="158">
        <f t="shared" si="22"/>
        <v>0</v>
      </c>
      <c r="K135" s="158"/>
      <c r="L135" s="334"/>
      <c r="M135" s="158">
        <f t="shared" si="26"/>
        <v>0</v>
      </c>
      <c r="N135" s="334"/>
      <c r="O135" s="158">
        <f t="shared" si="27"/>
        <v>0</v>
      </c>
      <c r="P135" s="158">
        <f t="shared" si="28"/>
        <v>0</v>
      </c>
    </row>
    <row r="136" spans="2:16">
      <c r="B136" s="9" t="str">
        <f t="shared" si="16"/>
        <v/>
      </c>
      <c r="C136" s="153">
        <f>IF(D93="","-",+C135+1)</f>
        <v>2050</v>
      </c>
      <c r="D136" s="154">
        <f>IF(F135+SUM(E$99:E135)=D$92,F135,D$92-SUM(E$99:E135))</f>
        <v>533419.59828349715</v>
      </c>
      <c r="E136" s="160">
        <f t="shared" si="17"/>
        <v>102777.80952380953</v>
      </c>
      <c r="F136" s="159">
        <f t="shared" si="18"/>
        <v>430641.78875968762</v>
      </c>
      <c r="G136" s="159">
        <f t="shared" si="19"/>
        <v>482030.69352159242</v>
      </c>
      <c r="H136" s="163">
        <f t="shared" si="20"/>
        <v>161330.78051429818</v>
      </c>
      <c r="I136" s="253">
        <f t="shared" si="21"/>
        <v>161330.78051429818</v>
      </c>
      <c r="J136" s="158">
        <f t="shared" si="22"/>
        <v>0</v>
      </c>
      <c r="K136" s="158"/>
      <c r="L136" s="334"/>
      <c r="M136" s="158">
        <f t="shared" si="26"/>
        <v>0</v>
      </c>
      <c r="N136" s="334"/>
      <c r="O136" s="158">
        <f t="shared" si="27"/>
        <v>0</v>
      </c>
      <c r="P136" s="158">
        <f t="shared" si="28"/>
        <v>0</v>
      </c>
    </row>
    <row r="137" spans="2:16">
      <c r="B137" s="9" t="str">
        <f t="shared" si="16"/>
        <v/>
      </c>
      <c r="C137" s="153">
        <f>IF(D93="","-",+C136+1)</f>
        <v>2051</v>
      </c>
      <c r="D137" s="154">
        <f>IF(F136+SUM(E$99:E136)=D$92,F136,D$92-SUM(E$99:E136))</f>
        <v>430641.78875968762</v>
      </c>
      <c r="E137" s="160">
        <f t="shared" si="17"/>
        <v>102777.80952380953</v>
      </c>
      <c r="F137" s="159">
        <f t="shared" si="18"/>
        <v>327863.9792358781</v>
      </c>
      <c r="G137" s="159">
        <f t="shared" si="19"/>
        <v>379252.88399778283</v>
      </c>
      <c r="H137" s="163">
        <f t="shared" si="20"/>
        <v>148846.21017387437</v>
      </c>
      <c r="I137" s="253">
        <f t="shared" si="21"/>
        <v>148846.21017387437</v>
      </c>
      <c r="J137" s="158">
        <f t="shared" si="22"/>
        <v>0</v>
      </c>
      <c r="K137" s="158"/>
      <c r="L137" s="334"/>
      <c r="M137" s="158">
        <f t="shared" si="26"/>
        <v>0</v>
      </c>
      <c r="N137" s="334"/>
      <c r="O137" s="158">
        <f t="shared" si="27"/>
        <v>0</v>
      </c>
      <c r="P137" s="158">
        <f t="shared" si="28"/>
        <v>0</v>
      </c>
    </row>
    <row r="138" spans="2:16">
      <c r="B138" s="9" t="str">
        <f t="shared" si="16"/>
        <v/>
      </c>
      <c r="C138" s="153">
        <f>IF(D93="","-",+C137+1)</f>
        <v>2052</v>
      </c>
      <c r="D138" s="154">
        <f>IF(F137+SUM(E$99:E137)=D$92,F137,D$92-SUM(E$99:E137))</f>
        <v>327863.9792358781</v>
      </c>
      <c r="E138" s="160">
        <f t="shared" si="17"/>
        <v>102777.80952380953</v>
      </c>
      <c r="F138" s="159">
        <f t="shared" si="18"/>
        <v>225086.16971206857</v>
      </c>
      <c r="G138" s="159">
        <f t="shared" si="19"/>
        <v>276475.07447397336</v>
      </c>
      <c r="H138" s="163">
        <f t="shared" si="20"/>
        <v>136361.63983345058</v>
      </c>
      <c r="I138" s="253">
        <f t="shared" si="21"/>
        <v>136361.63983345058</v>
      </c>
      <c r="J138" s="158">
        <f t="shared" si="22"/>
        <v>0</v>
      </c>
      <c r="K138" s="158"/>
      <c r="L138" s="334"/>
      <c r="M138" s="158">
        <f t="shared" si="26"/>
        <v>0</v>
      </c>
      <c r="N138" s="334"/>
      <c r="O138" s="158">
        <f t="shared" si="27"/>
        <v>0</v>
      </c>
      <c r="P138" s="158">
        <f t="shared" si="28"/>
        <v>0</v>
      </c>
    </row>
    <row r="139" spans="2:16">
      <c r="B139" s="9" t="str">
        <f t="shared" si="16"/>
        <v/>
      </c>
      <c r="C139" s="153">
        <f>IF(D93="","-",+C138+1)</f>
        <v>2053</v>
      </c>
      <c r="D139" s="154">
        <f>IF(F138+SUM(E$99:E138)=D$92,F138,D$92-SUM(E$99:E138))</f>
        <v>225086.16971206857</v>
      </c>
      <c r="E139" s="160">
        <f t="shared" si="17"/>
        <v>102777.80952380953</v>
      </c>
      <c r="F139" s="159">
        <f t="shared" si="18"/>
        <v>122308.36018825904</v>
      </c>
      <c r="G139" s="159">
        <f t="shared" si="19"/>
        <v>173697.26495016381</v>
      </c>
      <c r="H139" s="163">
        <f t="shared" si="20"/>
        <v>123877.06949302676</v>
      </c>
      <c r="I139" s="253">
        <f t="shared" si="21"/>
        <v>123877.06949302676</v>
      </c>
      <c r="J139" s="158">
        <f t="shared" si="22"/>
        <v>0</v>
      </c>
      <c r="K139" s="158"/>
      <c r="L139" s="334"/>
      <c r="M139" s="158">
        <f t="shared" si="26"/>
        <v>0</v>
      </c>
      <c r="N139" s="334"/>
      <c r="O139" s="158">
        <f t="shared" si="27"/>
        <v>0</v>
      </c>
      <c r="P139" s="158">
        <f t="shared" si="28"/>
        <v>0</v>
      </c>
    </row>
    <row r="140" spans="2:16">
      <c r="B140" s="9" t="str">
        <f t="shared" si="16"/>
        <v/>
      </c>
      <c r="C140" s="153">
        <f>IF(D93="","-",+C139+1)</f>
        <v>2054</v>
      </c>
      <c r="D140" s="154">
        <f>IF(F139+SUM(E$99:E139)=D$92,F139,D$92-SUM(E$99:E139))</f>
        <v>122308.36018825904</v>
      </c>
      <c r="E140" s="160">
        <f t="shared" si="17"/>
        <v>102777.80952380953</v>
      </c>
      <c r="F140" s="159">
        <f t="shared" si="18"/>
        <v>19530.550664449518</v>
      </c>
      <c r="G140" s="159">
        <f t="shared" si="19"/>
        <v>70919.455426354281</v>
      </c>
      <c r="H140" s="163">
        <f t="shared" si="20"/>
        <v>111392.49915260298</v>
      </c>
      <c r="I140" s="253">
        <f t="shared" si="21"/>
        <v>111392.49915260298</v>
      </c>
      <c r="J140" s="158">
        <f t="shared" si="22"/>
        <v>0</v>
      </c>
      <c r="K140" s="158"/>
      <c r="L140" s="334"/>
      <c r="M140" s="158">
        <f t="shared" si="26"/>
        <v>0</v>
      </c>
      <c r="N140" s="334"/>
      <c r="O140" s="158">
        <f t="shared" si="27"/>
        <v>0</v>
      </c>
      <c r="P140" s="158">
        <f t="shared" si="28"/>
        <v>0</v>
      </c>
    </row>
    <row r="141" spans="2:16">
      <c r="B141" s="9" t="str">
        <f t="shared" si="16"/>
        <v/>
      </c>
      <c r="C141" s="153">
        <f>IF(D93="","-",+C140+1)</f>
        <v>2055</v>
      </c>
      <c r="D141" s="154">
        <f>IF(F140+SUM(E$99:E140)=D$92,F140,D$92-SUM(E$99:E140))</f>
        <v>19530.550664449518</v>
      </c>
      <c r="E141" s="160">
        <f t="shared" si="17"/>
        <v>19530.550664449518</v>
      </c>
      <c r="F141" s="159">
        <f t="shared" si="18"/>
        <v>0</v>
      </c>
      <c r="G141" s="159">
        <f t="shared" si="19"/>
        <v>9765.275332224759</v>
      </c>
      <c r="H141" s="163">
        <f t="shared" si="20"/>
        <v>20716.752893740293</v>
      </c>
      <c r="I141" s="253">
        <f t="shared" si="21"/>
        <v>20716.752893740293</v>
      </c>
      <c r="J141" s="158">
        <f t="shared" si="22"/>
        <v>0</v>
      </c>
      <c r="K141" s="158"/>
      <c r="L141" s="334"/>
      <c r="M141" s="158">
        <f t="shared" si="26"/>
        <v>0</v>
      </c>
      <c r="N141" s="334"/>
      <c r="O141" s="158">
        <f t="shared" si="27"/>
        <v>0</v>
      </c>
      <c r="P141" s="158">
        <f t="shared" si="28"/>
        <v>0</v>
      </c>
    </row>
    <row r="142" spans="2:16">
      <c r="B142" s="9" t="str">
        <f t="shared" si="16"/>
        <v/>
      </c>
      <c r="C142" s="153">
        <f>IF(D93="","-",+C141+1)</f>
        <v>2056</v>
      </c>
      <c r="D142" s="154">
        <f>IF(F141+SUM(E$99:E141)=D$92,F141,D$92-SUM(E$99:E141))</f>
        <v>0</v>
      </c>
      <c r="E142" s="160">
        <f t="shared" si="17"/>
        <v>0</v>
      </c>
      <c r="F142" s="159">
        <f t="shared" si="18"/>
        <v>0</v>
      </c>
      <c r="G142" s="159">
        <f t="shared" si="19"/>
        <v>0</v>
      </c>
      <c r="H142" s="163">
        <f t="shared" si="20"/>
        <v>0</v>
      </c>
      <c r="I142" s="253">
        <f t="shared" si="21"/>
        <v>0</v>
      </c>
      <c r="J142" s="158">
        <f t="shared" si="22"/>
        <v>0</v>
      </c>
      <c r="K142" s="158"/>
      <c r="L142" s="334"/>
      <c r="M142" s="158">
        <f t="shared" si="26"/>
        <v>0</v>
      </c>
      <c r="N142" s="334"/>
      <c r="O142" s="158">
        <f t="shared" si="27"/>
        <v>0</v>
      </c>
      <c r="P142" s="158">
        <f t="shared" si="28"/>
        <v>0</v>
      </c>
    </row>
    <row r="143" spans="2:16">
      <c r="B143" s="9" t="str">
        <f t="shared" si="16"/>
        <v/>
      </c>
      <c r="C143" s="153">
        <f>IF(D93="","-",+C142+1)</f>
        <v>2057</v>
      </c>
      <c r="D143" s="154">
        <f>IF(F142+SUM(E$99:E142)=D$92,F142,D$92-SUM(E$99:E142))</f>
        <v>0</v>
      </c>
      <c r="E143" s="160">
        <f t="shared" si="17"/>
        <v>0</v>
      </c>
      <c r="F143" s="159">
        <f t="shared" si="18"/>
        <v>0</v>
      </c>
      <c r="G143" s="159">
        <f t="shared" si="19"/>
        <v>0</v>
      </c>
      <c r="H143" s="163">
        <f t="shared" si="20"/>
        <v>0</v>
      </c>
      <c r="I143" s="253">
        <f t="shared" si="21"/>
        <v>0</v>
      </c>
      <c r="J143" s="158">
        <f t="shared" si="22"/>
        <v>0</v>
      </c>
      <c r="K143" s="158"/>
      <c r="L143" s="334"/>
      <c r="M143" s="158">
        <f t="shared" si="26"/>
        <v>0</v>
      </c>
      <c r="N143" s="334"/>
      <c r="O143" s="158">
        <f t="shared" si="27"/>
        <v>0</v>
      </c>
      <c r="P143" s="158">
        <f t="shared" si="28"/>
        <v>0</v>
      </c>
    </row>
    <row r="144" spans="2:16">
      <c r="B144" s="9" t="str">
        <f t="shared" si="16"/>
        <v/>
      </c>
      <c r="C144" s="153">
        <f>IF(D93="","-",+C143+1)</f>
        <v>2058</v>
      </c>
      <c r="D144" s="154">
        <f>IF(F143+SUM(E$99:E143)=D$92,F143,D$92-SUM(E$99:E143))</f>
        <v>0</v>
      </c>
      <c r="E144" s="160">
        <f t="shared" si="17"/>
        <v>0</v>
      </c>
      <c r="F144" s="159">
        <f t="shared" si="18"/>
        <v>0</v>
      </c>
      <c r="G144" s="159">
        <f t="shared" si="19"/>
        <v>0</v>
      </c>
      <c r="H144" s="163">
        <f t="shared" si="20"/>
        <v>0</v>
      </c>
      <c r="I144" s="253">
        <f t="shared" si="21"/>
        <v>0</v>
      </c>
      <c r="J144" s="158">
        <f t="shared" si="22"/>
        <v>0</v>
      </c>
      <c r="K144" s="158"/>
      <c r="L144" s="334"/>
      <c r="M144" s="158">
        <f t="shared" si="26"/>
        <v>0</v>
      </c>
      <c r="N144" s="334"/>
      <c r="O144" s="158">
        <f t="shared" si="27"/>
        <v>0</v>
      </c>
      <c r="P144" s="158">
        <f t="shared" si="28"/>
        <v>0</v>
      </c>
    </row>
    <row r="145" spans="2:16">
      <c r="B145" s="9" t="str">
        <f t="shared" si="16"/>
        <v/>
      </c>
      <c r="C145" s="153">
        <f>IF(D93="","-",+C144+1)</f>
        <v>2059</v>
      </c>
      <c r="D145" s="154">
        <f>IF(F144+SUM(E$99:E144)=D$92,F144,D$92-SUM(E$99:E144))</f>
        <v>0</v>
      </c>
      <c r="E145" s="160">
        <f t="shared" si="17"/>
        <v>0</v>
      </c>
      <c r="F145" s="159">
        <f t="shared" si="18"/>
        <v>0</v>
      </c>
      <c r="G145" s="159">
        <f t="shared" si="19"/>
        <v>0</v>
      </c>
      <c r="H145" s="163">
        <f t="shared" si="20"/>
        <v>0</v>
      </c>
      <c r="I145" s="253">
        <f t="shared" si="21"/>
        <v>0</v>
      </c>
      <c r="J145" s="158">
        <f t="shared" si="22"/>
        <v>0</v>
      </c>
      <c r="K145" s="158"/>
      <c r="L145" s="334"/>
      <c r="M145" s="158">
        <f t="shared" si="26"/>
        <v>0</v>
      </c>
      <c r="N145" s="334"/>
      <c r="O145" s="158">
        <f t="shared" si="27"/>
        <v>0</v>
      </c>
      <c r="P145" s="158">
        <f t="shared" si="28"/>
        <v>0</v>
      </c>
    </row>
    <row r="146" spans="2:16">
      <c r="B146" s="9" t="str">
        <f t="shared" si="16"/>
        <v/>
      </c>
      <c r="C146" s="153">
        <f>IF(D93="","-",+C145+1)</f>
        <v>2060</v>
      </c>
      <c r="D146" s="154">
        <f>IF(F145+SUM(E$99:E145)=D$92,F145,D$92-SUM(E$99:E145))</f>
        <v>0</v>
      </c>
      <c r="E146" s="160">
        <f t="shared" si="17"/>
        <v>0</v>
      </c>
      <c r="F146" s="159">
        <f t="shared" si="18"/>
        <v>0</v>
      </c>
      <c r="G146" s="159">
        <f t="shared" si="19"/>
        <v>0</v>
      </c>
      <c r="H146" s="163">
        <f t="shared" si="20"/>
        <v>0</v>
      </c>
      <c r="I146" s="253">
        <f t="shared" si="21"/>
        <v>0</v>
      </c>
      <c r="J146" s="158">
        <f t="shared" si="22"/>
        <v>0</v>
      </c>
      <c r="K146" s="158"/>
      <c r="L146" s="334"/>
      <c r="M146" s="158">
        <f t="shared" si="26"/>
        <v>0</v>
      </c>
      <c r="N146" s="334"/>
      <c r="O146" s="158">
        <f t="shared" si="27"/>
        <v>0</v>
      </c>
      <c r="P146" s="158">
        <f t="shared" si="28"/>
        <v>0</v>
      </c>
    </row>
    <row r="147" spans="2:16">
      <c r="B147" s="9" t="str">
        <f t="shared" si="16"/>
        <v/>
      </c>
      <c r="C147" s="153">
        <f>IF(D93="","-",+C146+1)</f>
        <v>2061</v>
      </c>
      <c r="D147" s="154">
        <f>IF(F146+SUM(E$99:E146)=D$92,F146,D$92-SUM(E$99:E146))</f>
        <v>0</v>
      </c>
      <c r="E147" s="160">
        <f t="shared" si="17"/>
        <v>0</v>
      </c>
      <c r="F147" s="159">
        <f t="shared" si="18"/>
        <v>0</v>
      </c>
      <c r="G147" s="159">
        <f t="shared" si="19"/>
        <v>0</v>
      </c>
      <c r="H147" s="163">
        <f t="shared" si="20"/>
        <v>0</v>
      </c>
      <c r="I147" s="253">
        <f t="shared" si="21"/>
        <v>0</v>
      </c>
      <c r="J147" s="158">
        <f t="shared" si="22"/>
        <v>0</v>
      </c>
      <c r="K147" s="158"/>
      <c r="L147" s="334"/>
      <c r="M147" s="158">
        <f t="shared" si="26"/>
        <v>0</v>
      </c>
      <c r="N147" s="334"/>
      <c r="O147" s="158">
        <f t="shared" si="27"/>
        <v>0</v>
      </c>
      <c r="P147" s="158">
        <f t="shared" si="28"/>
        <v>0</v>
      </c>
    </row>
    <row r="148" spans="2:16">
      <c r="B148" s="9" t="str">
        <f t="shared" si="16"/>
        <v/>
      </c>
      <c r="C148" s="153">
        <f>IF(D93="","-",+C147+1)</f>
        <v>2062</v>
      </c>
      <c r="D148" s="154">
        <f>IF(F147+SUM(E$99:E147)=D$92,F147,D$92-SUM(E$99:E147))</f>
        <v>0</v>
      </c>
      <c r="E148" s="160">
        <f t="shared" si="17"/>
        <v>0</v>
      </c>
      <c r="F148" s="159">
        <f t="shared" si="18"/>
        <v>0</v>
      </c>
      <c r="G148" s="159">
        <f t="shared" si="19"/>
        <v>0</v>
      </c>
      <c r="H148" s="163">
        <f t="shared" si="20"/>
        <v>0</v>
      </c>
      <c r="I148" s="253">
        <f t="shared" si="21"/>
        <v>0</v>
      </c>
      <c r="J148" s="158">
        <f t="shared" si="22"/>
        <v>0</v>
      </c>
      <c r="K148" s="158"/>
      <c r="L148" s="334"/>
      <c r="M148" s="158">
        <f t="shared" si="26"/>
        <v>0</v>
      </c>
      <c r="N148" s="334"/>
      <c r="O148" s="158">
        <f t="shared" si="27"/>
        <v>0</v>
      </c>
      <c r="P148" s="158">
        <f t="shared" si="28"/>
        <v>0</v>
      </c>
    </row>
    <row r="149" spans="2:16">
      <c r="B149" s="9" t="str">
        <f t="shared" si="16"/>
        <v/>
      </c>
      <c r="C149" s="153">
        <f>IF(D93="","-",+C148+1)</f>
        <v>2063</v>
      </c>
      <c r="D149" s="154">
        <f>IF(F148+SUM(E$99:E148)=D$92,F148,D$92-SUM(E$99:E148))</f>
        <v>0</v>
      </c>
      <c r="E149" s="160">
        <f t="shared" si="17"/>
        <v>0</v>
      </c>
      <c r="F149" s="159">
        <f t="shared" si="18"/>
        <v>0</v>
      </c>
      <c r="G149" s="159">
        <f t="shared" si="19"/>
        <v>0</v>
      </c>
      <c r="H149" s="163">
        <f t="shared" si="20"/>
        <v>0</v>
      </c>
      <c r="I149" s="253">
        <f t="shared" si="21"/>
        <v>0</v>
      </c>
      <c r="J149" s="158">
        <f t="shared" si="22"/>
        <v>0</v>
      </c>
      <c r="K149" s="158"/>
      <c r="L149" s="334"/>
      <c r="M149" s="158">
        <f t="shared" si="26"/>
        <v>0</v>
      </c>
      <c r="N149" s="334"/>
      <c r="O149" s="158">
        <f t="shared" si="27"/>
        <v>0</v>
      </c>
      <c r="P149" s="158">
        <f t="shared" si="28"/>
        <v>0</v>
      </c>
    </row>
    <row r="150" spans="2:16">
      <c r="B150" s="9" t="str">
        <f t="shared" si="16"/>
        <v/>
      </c>
      <c r="C150" s="153">
        <f>IF(D93="","-",+C149+1)</f>
        <v>2064</v>
      </c>
      <c r="D150" s="154">
        <f>IF(F149+SUM(E$99:E149)=D$92,F149,D$92-SUM(E$99:E149))</f>
        <v>0</v>
      </c>
      <c r="E150" s="160">
        <f t="shared" si="17"/>
        <v>0</v>
      </c>
      <c r="F150" s="159">
        <f t="shared" si="18"/>
        <v>0</v>
      </c>
      <c r="G150" s="159">
        <f t="shared" si="19"/>
        <v>0</v>
      </c>
      <c r="H150" s="163">
        <f t="shared" si="20"/>
        <v>0</v>
      </c>
      <c r="I150" s="253">
        <f t="shared" si="21"/>
        <v>0</v>
      </c>
      <c r="J150" s="158">
        <f t="shared" si="22"/>
        <v>0</v>
      </c>
      <c r="K150" s="158"/>
      <c r="L150" s="334"/>
      <c r="M150" s="158">
        <f t="shared" si="26"/>
        <v>0</v>
      </c>
      <c r="N150" s="334"/>
      <c r="O150" s="158">
        <f t="shared" si="27"/>
        <v>0</v>
      </c>
      <c r="P150" s="158">
        <f t="shared" si="28"/>
        <v>0</v>
      </c>
    </row>
    <row r="151" spans="2:16">
      <c r="B151" s="9" t="str">
        <f t="shared" si="16"/>
        <v/>
      </c>
      <c r="C151" s="153">
        <f>IF(D93="","-",+C150+1)</f>
        <v>2065</v>
      </c>
      <c r="D151" s="154">
        <f>IF(F150+SUM(E$99:E150)=D$92,F150,D$92-SUM(E$99:E150))</f>
        <v>0</v>
      </c>
      <c r="E151" s="160">
        <f t="shared" si="17"/>
        <v>0</v>
      </c>
      <c r="F151" s="159">
        <f t="shared" si="18"/>
        <v>0</v>
      </c>
      <c r="G151" s="159">
        <f t="shared" si="19"/>
        <v>0</v>
      </c>
      <c r="H151" s="163">
        <f t="shared" si="20"/>
        <v>0</v>
      </c>
      <c r="I151" s="253">
        <f t="shared" si="21"/>
        <v>0</v>
      </c>
      <c r="J151" s="158">
        <f t="shared" si="22"/>
        <v>0</v>
      </c>
      <c r="K151" s="158"/>
      <c r="L151" s="334"/>
      <c r="M151" s="158">
        <f t="shared" si="26"/>
        <v>0</v>
      </c>
      <c r="N151" s="334"/>
      <c r="O151" s="158">
        <f t="shared" si="27"/>
        <v>0</v>
      </c>
      <c r="P151" s="158">
        <f t="shared" si="28"/>
        <v>0</v>
      </c>
    </row>
    <row r="152" spans="2:16">
      <c r="B152" s="9" t="str">
        <f t="shared" si="16"/>
        <v/>
      </c>
      <c r="C152" s="153">
        <f>IF(D93="","-",+C151+1)</f>
        <v>2066</v>
      </c>
      <c r="D152" s="154">
        <f>IF(F151+SUM(E$99:E151)=D$92,F151,D$92-SUM(E$99:E151))</f>
        <v>0</v>
      </c>
      <c r="E152" s="160">
        <f t="shared" si="17"/>
        <v>0</v>
      </c>
      <c r="F152" s="159">
        <f t="shared" si="18"/>
        <v>0</v>
      </c>
      <c r="G152" s="159">
        <f t="shared" si="19"/>
        <v>0</v>
      </c>
      <c r="H152" s="163">
        <f t="shared" si="20"/>
        <v>0</v>
      </c>
      <c r="I152" s="253">
        <f t="shared" si="21"/>
        <v>0</v>
      </c>
      <c r="J152" s="158">
        <f t="shared" si="22"/>
        <v>0</v>
      </c>
      <c r="K152" s="158"/>
      <c r="L152" s="334"/>
      <c r="M152" s="158">
        <f t="shared" si="26"/>
        <v>0</v>
      </c>
      <c r="N152" s="334"/>
      <c r="O152" s="158">
        <f t="shared" si="27"/>
        <v>0</v>
      </c>
      <c r="P152" s="158">
        <f t="shared" si="28"/>
        <v>0</v>
      </c>
    </row>
    <row r="153" spans="2:16">
      <c r="B153" s="9" t="str">
        <f t="shared" si="16"/>
        <v/>
      </c>
      <c r="C153" s="153">
        <f>IF(D93="","-",+C152+1)</f>
        <v>2067</v>
      </c>
      <c r="D153" s="154">
        <f>IF(F152+SUM(E$99:E152)=D$92,F152,D$92-SUM(E$99:E152))</f>
        <v>0</v>
      </c>
      <c r="E153" s="160">
        <f t="shared" si="17"/>
        <v>0</v>
      </c>
      <c r="F153" s="159">
        <f t="shared" si="18"/>
        <v>0</v>
      </c>
      <c r="G153" s="159">
        <f t="shared" si="19"/>
        <v>0</v>
      </c>
      <c r="H153" s="163">
        <f t="shared" si="20"/>
        <v>0</v>
      </c>
      <c r="I153" s="253">
        <f t="shared" si="21"/>
        <v>0</v>
      </c>
      <c r="J153" s="158">
        <f t="shared" si="22"/>
        <v>0</v>
      </c>
      <c r="K153" s="158"/>
      <c r="L153" s="334"/>
      <c r="M153" s="158">
        <f t="shared" si="26"/>
        <v>0</v>
      </c>
      <c r="N153" s="334"/>
      <c r="O153" s="158">
        <f t="shared" si="27"/>
        <v>0</v>
      </c>
      <c r="P153" s="158">
        <f t="shared" si="28"/>
        <v>0</v>
      </c>
    </row>
    <row r="154" spans="2:16" ht="13.5" thickBot="1">
      <c r="B154" s="9" t="str">
        <f t="shared" si="16"/>
        <v/>
      </c>
      <c r="C154" s="164">
        <f>IF(D93="","-",+C153+1)</f>
        <v>2068</v>
      </c>
      <c r="D154" s="154">
        <f>IF(F153+SUM(E$99:E153)=D$92,F153,D$92-SUM(E$99:E153))</f>
        <v>0</v>
      </c>
      <c r="E154" s="160">
        <f t="shared" si="17"/>
        <v>0</v>
      </c>
      <c r="F154" s="159">
        <f t="shared" si="18"/>
        <v>0</v>
      </c>
      <c r="G154" s="159">
        <f t="shared" si="19"/>
        <v>0</v>
      </c>
      <c r="H154" s="163">
        <f t="shared" si="20"/>
        <v>0</v>
      </c>
      <c r="I154" s="253">
        <f t="shared" si="21"/>
        <v>0</v>
      </c>
      <c r="J154" s="158">
        <f t="shared" si="22"/>
        <v>0</v>
      </c>
      <c r="K154" s="158"/>
      <c r="L154" s="335"/>
      <c r="M154" s="169">
        <f t="shared" si="26"/>
        <v>0</v>
      </c>
      <c r="N154" s="335"/>
      <c r="O154" s="169">
        <f t="shared" si="27"/>
        <v>0</v>
      </c>
      <c r="P154" s="169">
        <f t="shared" si="28"/>
        <v>0</v>
      </c>
    </row>
    <row r="155" spans="2:16">
      <c r="C155" s="154" t="s">
        <v>73</v>
      </c>
      <c r="D155" s="111"/>
      <c r="E155" s="111">
        <f>SUM(E99:E154)</f>
        <v>4316668</v>
      </c>
      <c r="F155" s="111"/>
      <c r="G155" s="111"/>
      <c r="H155" s="111">
        <f>SUM(H99:H154)</f>
        <v>15317943.91078691</v>
      </c>
      <c r="I155" s="111">
        <f>SUM(I99:I154)</f>
        <v>15317943.91078691</v>
      </c>
      <c r="J155" s="111">
        <f>SUM(J99:J154)</f>
        <v>0</v>
      </c>
      <c r="K155" s="111"/>
      <c r="L155" s="111"/>
      <c r="M155" s="111"/>
      <c r="N155" s="111"/>
      <c r="O155" s="111"/>
      <c r="P155" s="1"/>
    </row>
    <row r="156" spans="2:16">
      <c r="C156" t="s">
        <v>87</v>
      </c>
      <c r="D156" s="2"/>
      <c r="E156" s="1"/>
      <c r="F156" s="1"/>
      <c r="G156" s="1"/>
      <c r="H156" s="1"/>
      <c r="I156" s="3"/>
      <c r="J156" s="3"/>
      <c r="K156" s="111"/>
      <c r="L156" s="3"/>
      <c r="M156" s="3"/>
      <c r="N156" s="3"/>
      <c r="O156" s="3"/>
      <c r="P156" s="1"/>
    </row>
    <row r="157" spans="2:16">
      <c r="C157" s="216"/>
      <c r="D157" s="2"/>
      <c r="E157" s="1"/>
      <c r="F157" s="1"/>
      <c r="G157" s="1"/>
      <c r="H157" s="1"/>
      <c r="I157" s="3"/>
      <c r="J157" s="3"/>
      <c r="K157" s="111"/>
      <c r="L157" s="3"/>
      <c r="M157" s="3"/>
      <c r="N157" s="3"/>
      <c r="O157" s="3"/>
      <c r="P157" s="1"/>
    </row>
    <row r="158" spans="2:16">
      <c r="C158" s="248" t="s">
        <v>127</v>
      </c>
      <c r="D158" s="2"/>
      <c r="E158" s="1"/>
      <c r="F158" s="1"/>
      <c r="G158" s="1"/>
      <c r="H158" s="1"/>
      <c r="I158" s="3"/>
      <c r="J158" s="3"/>
      <c r="K158" s="111"/>
      <c r="L158" s="3"/>
      <c r="M158" s="3"/>
      <c r="N158" s="3"/>
      <c r="O158" s="3"/>
      <c r="P158" s="1"/>
    </row>
    <row r="159" spans="2:16">
      <c r="C159" s="121" t="s">
        <v>74</v>
      </c>
      <c r="D159" s="154"/>
      <c r="E159" s="154"/>
      <c r="F159" s="154"/>
      <c r="G159" s="154"/>
      <c r="H159" s="111"/>
      <c r="I159" s="111"/>
      <c r="J159" s="171"/>
      <c r="K159" s="171"/>
      <c r="L159" s="171"/>
      <c r="M159" s="171"/>
      <c r="N159" s="171"/>
      <c r="O159" s="171"/>
      <c r="P159" s="1"/>
    </row>
    <row r="160" spans="2:16">
      <c r="C160" s="217" t="s">
        <v>75</v>
      </c>
      <c r="D160" s="154"/>
      <c r="E160" s="154"/>
      <c r="F160" s="154"/>
      <c r="G160" s="154"/>
      <c r="H160" s="111"/>
      <c r="I160" s="111"/>
      <c r="J160" s="171"/>
      <c r="K160" s="171"/>
      <c r="L160" s="171"/>
      <c r="M160" s="171"/>
      <c r="N160" s="171"/>
      <c r="O160" s="171"/>
      <c r="P160" s="1"/>
    </row>
    <row r="161" spans="3:16">
      <c r="C161" s="217"/>
      <c r="D161" s="154"/>
      <c r="E161" s="154"/>
      <c r="F161" s="154"/>
      <c r="G161" s="154"/>
      <c r="H161" s="111"/>
      <c r="I161" s="111"/>
      <c r="J161" s="171"/>
      <c r="K161" s="171"/>
      <c r="L161" s="171"/>
      <c r="M161" s="171"/>
      <c r="N161" s="171"/>
      <c r="O161" s="171"/>
      <c r="P161" s="1"/>
    </row>
    <row r="162" spans="3:16" ht="18">
      <c r="C162" s="217"/>
      <c r="D162" s="154"/>
      <c r="E162" s="154"/>
      <c r="F162" s="154"/>
      <c r="G162" s="154"/>
      <c r="H162" s="111"/>
      <c r="I162" s="111"/>
      <c r="J162" s="171"/>
      <c r="K162" s="171"/>
      <c r="L162" s="171"/>
      <c r="M162" s="171"/>
      <c r="N162" s="171"/>
      <c r="P162" s="245" t="s">
        <v>126</v>
      </c>
    </row>
  </sheetData>
  <conditionalFormatting sqref="C17:C72">
    <cfRule type="cellIs" dxfId="86" priority="1" stopIfTrue="1" operator="equal">
      <formula>$I$10</formula>
    </cfRule>
  </conditionalFormatting>
  <conditionalFormatting sqref="C99:C154">
    <cfRule type="cellIs" dxfId="85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9"/>
  <dimension ref="A1:P162"/>
  <sheetViews>
    <sheetView view="pageBreakPreview" zoomScale="80" zoomScaleNormal="100" zoomScaleSheetLayoutView="80" workbookViewId="0">
      <selection activeCell="C19" sqref="C19"/>
    </sheetView>
  </sheetViews>
  <sheetFormatPr defaultRowHeight="12.75" customHeight="1"/>
  <cols>
    <col min="1" max="1" width="4.7109375" customWidth="1"/>
    <col min="2" max="2" width="6.7109375" customWidth="1"/>
    <col min="3" max="3" width="23.28515625" customWidth="1"/>
    <col min="4" max="8" width="17.7109375" customWidth="1"/>
    <col min="9" max="9" width="20.42578125" customWidth="1"/>
    <col min="10" max="10" width="16.42578125" customWidth="1"/>
    <col min="11" max="11" width="17.7109375" customWidth="1"/>
    <col min="12" max="12" width="16.140625" customWidth="1"/>
    <col min="13" max="13" width="17.7109375" customWidth="1"/>
    <col min="14" max="14" width="16.7109375" customWidth="1"/>
    <col min="15" max="15" width="16.85546875" customWidth="1"/>
    <col min="16" max="16" width="24.42578125" customWidth="1"/>
    <col min="17" max="17" width="9.140625" customWidth="1"/>
    <col min="23" max="23" width="9.140625" customWidth="1"/>
  </cols>
  <sheetData>
    <row r="1" spans="1:16" ht="20.25">
      <c r="A1" s="243" t="s">
        <v>128</v>
      </c>
      <c r="B1" s="1"/>
      <c r="C1" s="21"/>
      <c r="D1" s="2"/>
      <c r="E1" s="1"/>
      <c r="F1" s="99"/>
      <c r="G1" s="1"/>
      <c r="H1" s="3"/>
      <c r="J1" s="7"/>
      <c r="K1" s="109"/>
      <c r="L1" s="109"/>
      <c r="M1" s="109"/>
      <c r="P1" s="249" t="str">
        <f ca="1">"SWEPCO Project "&amp;RIGHT(MID(CELL("filename",$A$1),FIND("]",CELL("filename",$A$1))+1,256),2)&amp;" of "&amp;COUNT('S.001:S.xyz - blank'!$P$3)-1</f>
        <v>SWEPCO Project 40 of 73</v>
      </c>
    </row>
    <row r="2" spans="1:16" ht="18">
      <c r="B2" s="1"/>
      <c r="C2" s="1"/>
      <c r="D2" s="2"/>
      <c r="E2" s="1"/>
      <c r="F2" s="1"/>
      <c r="G2" s="1"/>
      <c r="H2" s="3"/>
      <c r="I2" s="1"/>
      <c r="J2" s="4"/>
      <c r="K2" s="1"/>
      <c r="L2" s="1"/>
      <c r="M2" s="1"/>
      <c r="N2" s="1"/>
      <c r="P2" s="244" t="s">
        <v>124</v>
      </c>
    </row>
    <row r="3" spans="1:16" ht="18.75">
      <c r="B3" s="5" t="s">
        <v>40</v>
      </c>
      <c r="C3" s="68" t="s">
        <v>41</v>
      </c>
      <c r="D3" s="2"/>
      <c r="E3" s="1"/>
      <c r="F3" s="1"/>
      <c r="G3" s="1"/>
      <c r="H3" s="3"/>
      <c r="I3" s="3"/>
      <c r="J3" s="111"/>
      <c r="K3" s="3"/>
      <c r="L3" s="3"/>
      <c r="M3" s="3"/>
      <c r="N3" s="3"/>
      <c r="O3" s="1"/>
      <c r="P3" s="240">
        <v>1</v>
      </c>
    </row>
    <row r="4" spans="1:16" ht="15.75" thickBot="1">
      <c r="C4" s="67"/>
      <c r="D4" s="2"/>
      <c r="E4" s="1"/>
      <c r="F4" s="1"/>
      <c r="G4" s="1"/>
      <c r="H4" s="3"/>
      <c r="I4" s="3"/>
      <c r="J4" s="111"/>
      <c r="K4" s="3"/>
      <c r="L4" s="3"/>
      <c r="M4" s="3"/>
      <c r="N4" s="3"/>
      <c r="O4" s="1"/>
      <c r="P4" s="1"/>
    </row>
    <row r="5" spans="1:16" ht="15">
      <c r="C5" s="112" t="s">
        <v>42</v>
      </c>
      <c r="D5" s="2"/>
      <c r="E5" s="1"/>
      <c r="F5" s="1"/>
      <c r="G5" s="113"/>
      <c r="H5" s="1" t="s">
        <v>43</v>
      </c>
      <c r="I5" s="1"/>
      <c r="J5" s="4"/>
      <c r="K5" s="268" t="s">
        <v>152</v>
      </c>
      <c r="L5" s="114"/>
      <c r="M5" s="115"/>
      <c r="N5" s="116">
        <f>VLOOKUP(I10,C17:I72,5)</f>
        <v>1065891.6711645229</v>
      </c>
      <c r="P5" s="1"/>
    </row>
    <row r="6" spans="1:16" ht="15.75">
      <c r="C6" s="8"/>
      <c r="D6" s="2"/>
      <c r="E6" s="1"/>
      <c r="F6" s="1"/>
      <c r="G6" s="1"/>
      <c r="H6" s="117"/>
      <c r="I6" s="117"/>
      <c r="J6" s="118"/>
      <c r="K6" s="269" t="s">
        <v>153</v>
      </c>
      <c r="L6" s="119"/>
      <c r="M6" s="4"/>
      <c r="N6" s="120">
        <f>VLOOKUP(I10,C17:I72,6)</f>
        <v>1065891.6711645229</v>
      </c>
      <c r="O6" s="1"/>
      <c r="P6" s="1"/>
    </row>
    <row r="7" spans="1:16" ht="13.5" thickBot="1">
      <c r="C7" s="121" t="s">
        <v>44</v>
      </c>
      <c r="D7" s="386" t="s">
        <v>300</v>
      </c>
      <c r="E7" s="379"/>
      <c r="F7" s="379"/>
      <c r="G7" s="1"/>
      <c r="H7" s="3"/>
      <c r="I7" s="3"/>
      <c r="J7" s="111"/>
      <c r="K7" s="122" t="s">
        <v>45</v>
      </c>
      <c r="L7" s="123"/>
      <c r="M7" s="123"/>
      <c r="N7" s="124">
        <f>+N6-N5</f>
        <v>0</v>
      </c>
      <c r="O7" s="1"/>
      <c r="P7" s="1"/>
    </row>
    <row r="8" spans="1:16" ht="13.5" thickBot="1">
      <c r="C8" s="125"/>
      <c r="D8" s="352" t="str">
        <f>IF(D10&lt;100000,"DOES NOT MEET SPP $100,000 MINIMUM INVESTMENT FOR REGIONAL BPU SHARING.","")</f>
        <v/>
      </c>
      <c r="E8" s="126"/>
      <c r="F8" s="126"/>
      <c r="G8" s="126"/>
      <c r="H8" s="126"/>
      <c r="I8" s="126"/>
      <c r="J8" s="101"/>
      <c r="K8" s="126"/>
      <c r="L8" s="126"/>
      <c r="M8" s="126"/>
      <c r="N8" s="126"/>
      <c r="O8" s="101"/>
      <c r="P8" s="21"/>
    </row>
    <row r="9" spans="1:16" ht="13.5" thickBot="1">
      <c r="C9" s="127" t="s">
        <v>46</v>
      </c>
      <c r="D9" s="225" t="s">
        <v>299</v>
      </c>
      <c r="E9" s="401" t="s">
        <v>314</v>
      </c>
      <c r="F9" s="128"/>
      <c r="G9" s="128"/>
      <c r="H9" s="128"/>
      <c r="I9" s="129"/>
      <c r="J9" s="130"/>
      <c r="O9" s="131"/>
      <c r="P9" s="4"/>
    </row>
    <row r="10" spans="1:16">
      <c r="C10" s="132" t="s">
        <v>47</v>
      </c>
      <c r="D10" s="133">
        <v>9637037</v>
      </c>
      <c r="E10" s="61" t="s">
        <v>459</v>
      </c>
      <c r="F10" s="131"/>
      <c r="G10" s="134"/>
      <c r="H10" s="134"/>
      <c r="I10" s="135">
        <f>+SWE.WS.F.BPU.ATRR.Projected!K17</f>
        <v>2019</v>
      </c>
      <c r="J10" s="130"/>
      <c r="K10" s="111" t="s">
        <v>48</v>
      </c>
      <c r="O10" s="4"/>
      <c r="P10" s="4"/>
    </row>
    <row r="11" spans="1:16">
      <c r="C11" s="136" t="s">
        <v>49</v>
      </c>
      <c r="D11" s="137">
        <v>2014</v>
      </c>
      <c r="E11" s="136" t="s">
        <v>50</v>
      </c>
      <c r="F11" s="134"/>
      <c r="G11" s="7"/>
      <c r="H11" s="7"/>
      <c r="I11" s="138">
        <f>IF(G5="",0,SWE.WS.F.BPU.ATRR.Projected!F$11)</f>
        <v>0</v>
      </c>
      <c r="J11" s="139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4"/>
      <c r="P11" s="4"/>
    </row>
    <row r="12" spans="1:16">
      <c r="C12" s="136" t="s">
        <v>51</v>
      </c>
      <c r="D12" s="133">
        <v>6</v>
      </c>
      <c r="E12" s="136" t="s">
        <v>52</v>
      </c>
      <c r="F12" s="134"/>
      <c r="G12" s="7"/>
      <c r="H12" s="7"/>
      <c r="I12" s="140">
        <f>SWE.WS.F.BPU.ATRR.Projected!$F$76</f>
        <v>9.9555672459071778E-2</v>
      </c>
      <c r="J12" s="141"/>
      <c r="K12" t="s">
        <v>53</v>
      </c>
      <c r="O12" s="4"/>
      <c r="P12" s="4"/>
    </row>
    <row r="13" spans="1:16">
      <c r="C13" s="136" t="s">
        <v>54</v>
      </c>
      <c r="D13" s="138">
        <f>+SWE.WS.F.BPU.ATRR.Projected!F$87</f>
        <v>43</v>
      </c>
      <c r="E13" s="136" t="s">
        <v>55</v>
      </c>
      <c r="F13" s="134"/>
      <c r="G13" s="7"/>
      <c r="H13" s="7"/>
      <c r="I13" s="140">
        <f>IF(G5="",I12,SWE.WS.F.BPU.ATRR.Projected!$F$75)</f>
        <v>9.9555672459071778E-2</v>
      </c>
      <c r="J13" s="141"/>
      <c r="K13" s="111" t="s">
        <v>56</v>
      </c>
      <c r="L13" s="58"/>
      <c r="M13" s="58"/>
      <c r="N13" s="58"/>
      <c r="O13" s="4"/>
      <c r="P13" s="4"/>
    </row>
    <row r="14" spans="1:16" ht="13.5" thickBot="1">
      <c r="C14" s="136" t="s">
        <v>57</v>
      </c>
      <c r="D14" s="137" t="s">
        <v>58</v>
      </c>
      <c r="E14" s="4" t="s">
        <v>59</v>
      </c>
      <c r="F14" s="134"/>
      <c r="G14" s="7"/>
      <c r="H14" s="7"/>
      <c r="I14" s="142">
        <f>IF(D10=0,0,D10/D13)</f>
        <v>224117.13953488372</v>
      </c>
      <c r="J14" s="111"/>
      <c r="K14" s="111"/>
      <c r="L14" s="111"/>
      <c r="M14" s="111"/>
      <c r="N14" s="111"/>
      <c r="O14" s="4"/>
      <c r="P14" s="4"/>
    </row>
    <row r="15" spans="1:16" ht="38.25">
      <c r="C15" s="143" t="s">
        <v>47</v>
      </c>
      <c r="D15" s="144" t="s">
        <v>60</v>
      </c>
      <c r="E15" s="144" t="s">
        <v>61</v>
      </c>
      <c r="F15" s="144" t="s">
        <v>62</v>
      </c>
      <c r="G15" s="434" t="s">
        <v>378</v>
      </c>
      <c r="H15" s="435" t="s">
        <v>379</v>
      </c>
      <c r="I15" s="143" t="s">
        <v>63</v>
      </c>
      <c r="J15" s="145"/>
      <c r="K15" s="271" t="s">
        <v>219</v>
      </c>
      <c r="L15" s="146" t="s">
        <v>64</v>
      </c>
      <c r="M15" s="271" t="s">
        <v>219</v>
      </c>
      <c r="N15" s="146" t="s">
        <v>64</v>
      </c>
      <c r="O15" s="146" t="s">
        <v>65</v>
      </c>
      <c r="P15" s="4"/>
    </row>
    <row r="16" spans="1:16" ht="13.5" thickBot="1">
      <c r="C16" s="147" t="s">
        <v>66</v>
      </c>
      <c r="D16" s="147" t="s">
        <v>67</v>
      </c>
      <c r="E16" s="147" t="s">
        <v>68</v>
      </c>
      <c r="F16" s="147" t="s">
        <v>67</v>
      </c>
      <c r="G16" s="408" t="s">
        <v>69</v>
      </c>
      <c r="H16" s="148" t="s">
        <v>70</v>
      </c>
      <c r="I16" s="149" t="s">
        <v>89</v>
      </c>
      <c r="J16" s="150" t="s">
        <v>71</v>
      </c>
      <c r="K16" s="151" t="s">
        <v>72</v>
      </c>
      <c r="L16" s="151" t="s">
        <v>72</v>
      </c>
      <c r="M16" s="151" t="s">
        <v>90</v>
      </c>
      <c r="N16" s="152" t="s">
        <v>90</v>
      </c>
      <c r="O16" s="151" t="s">
        <v>90</v>
      </c>
      <c r="P16" s="4"/>
    </row>
    <row r="17" spans="2:16">
      <c r="C17" s="153">
        <f>IF(D11= "","-",D11)</f>
        <v>2014</v>
      </c>
      <c r="D17" s="409">
        <v>9550200</v>
      </c>
      <c r="E17" s="415">
        <v>151590.47619047618</v>
      </c>
      <c r="F17" s="409">
        <v>9398609.5238095243</v>
      </c>
      <c r="G17" s="415">
        <v>1419561.6638908591</v>
      </c>
      <c r="H17" s="416">
        <v>1419561.6638908591</v>
      </c>
      <c r="I17" s="404">
        <v>0</v>
      </c>
      <c r="J17" s="156"/>
      <c r="K17" s="256">
        <f>G17</f>
        <v>1419561.6638908591</v>
      </c>
      <c r="L17" s="172">
        <f>IF(K17&lt;&gt;0,+G17-K17,0)</f>
        <v>0</v>
      </c>
      <c r="M17" s="256">
        <f>H17</f>
        <v>1419561.6638908591</v>
      </c>
      <c r="N17" s="157">
        <f>IF(M17&lt;&gt;0,+H17-M17,0)</f>
        <v>0</v>
      </c>
      <c r="O17" s="158">
        <f>+N17-L17</f>
        <v>0</v>
      </c>
      <c r="P17" s="4"/>
    </row>
    <row r="18" spans="2:16">
      <c r="B18" s="9" t="str">
        <f>IF(D18=F17,"","IU")</f>
        <v/>
      </c>
      <c r="C18" s="153">
        <f>IF(D11="","-",+C17+1)</f>
        <v>2015</v>
      </c>
      <c r="D18" s="409">
        <v>9398609.5238095243</v>
      </c>
      <c r="E18" s="410">
        <v>229453.26190476189</v>
      </c>
      <c r="F18" s="409">
        <v>9169156.2619047631</v>
      </c>
      <c r="G18" s="410">
        <v>1437075.1624886242</v>
      </c>
      <c r="H18" s="416">
        <v>1437075.1624886242</v>
      </c>
      <c r="I18" s="156">
        <v>0</v>
      </c>
      <c r="J18" s="156"/>
      <c r="K18" s="258">
        <f>G18</f>
        <v>1437075.1624886242</v>
      </c>
      <c r="L18" s="257">
        <f>IF(K18&lt;&gt;0,+G18-K18,0)</f>
        <v>0</v>
      </c>
      <c r="M18" s="258">
        <f>H18</f>
        <v>1437075.1624886242</v>
      </c>
      <c r="N18" s="158">
        <f>IF(M18&lt;&gt;0,+H18-M18,0)</f>
        <v>0</v>
      </c>
      <c r="O18" s="158">
        <f>+N18-L18</f>
        <v>0</v>
      </c>
      <c r="P18" s="4"/>
    </row>
    <row r="19" spans="2:16">
      <c r="B19" s="9" t="str">
        <f>IF(D19=F18,"","IU")</f>
        <v>IU</v>
      </c>
      <c r="C19" s="153">
        <f>IF(D11="","-",+C18+1)</f>
        <v>2016</v>
      </c>
      <c r="D19" s="409">
        <v>9255993.2619047612</v>
      </c>
      <c r="E19" s="410">
        <v>229453.26190476189</v>
      </c>
      <c r="F19" s="409">
        <v>9026540</v>
      </c>
      <c r="G19" s="410">
        <v>1403625.3596120297</v>
      </c>
      <c r="H19" s="416">
        <v>1403625.3596120297</v>
      </c>
      <c r="I19" s="156">
        <f>H19-G19</f>
        <v>0</v>
      </c>
      <c r="J19" s="156"/>
      <c r="K19" s="258">
        <f>G19</f>
        <v>1403625.3596120297</v>
      </c>
      <c r="L19" s="257">
        <f>IF(K19&lt;&gt;0,+G19-K19,0)</f>
        <v>0</v>
      </c>
      <c r="M19" s="258">
        <f>H19</f>
        <v>1403625.3596120297</v>
      </c>
      <c r="N19" s="158">
        <f>IF(M19&lt;&gt;0,+H19-M19,0)</f>
        <v>0</v>
      </c>
      <c r="O19" s="158">
        <f>+N19-L19</f>
        <v>0</v>
      </c>
      <c r="P19" s="4"/>
    </row>
    <row r="20" spans="2:16">
      <c r="B20" s="9" t="str">
        <f t="shared" ref="B20:B72" si="0">IF(D20=F19,"","IU")</f>
        <v/>
      </c>
      <c r="C20" s="153">
        <f>IF(D11="","-",+C19+1)</f>
        <v>2017</v>
      </c>
      <c r="D20" s="409">
        <v>9026540</v>
      </c>
      <c r="E20" s="410">
        <v>224117.13953488372</v>
      </c>
      <c r="F20" s="409">
        <v>8802422.8604651168</v>
      </c>
      <c r="G20" s="410">
        <v>1328554.8298028773</v>
      </c>
      <c r="H20" s="416">
        <v>1328554.8298028773</v>
      </c>
      <c r="I20" s="156">
        <v>0</v>
      </c>
      <c r="J20" s="156"/>
      <c r="K20" s="258">
        <f>G20</f>
        <v>1328554.8298028773</v>
      </c>
      <c r="L20" s="257">
        <f>IF(K20&lt;&gt;0,+G20-K20,0)</f>
        <v>0</v>
      </c>
      <c r="M20" s="258">
        <f>H20</f>
        <v>1328554.8298028773</v>
      </c>
      <c r="N20" s="158">
        <f>IF(M20&lt;&gt;0,+H20-M20,0)</f>
        <v>0</v>
      </c>
      <c r="O20" s="158">
        <f>+N20-L20</f>
        <v>0</v>
      </c>
      <c r="P20" s="4"/>
    </row>
    <row r="21" spans="2:16">
      <c r="B21" s="9" t="str">
        <f t="shared" si="0"/>
        <v/>
      </c>
      <c r="C21" s="153">
        <f>IF(D11="","-",+C20+1)</f>
        <v>2018</v>
      </c>
      <c r="D21" s="409">
        <v>8802422.8604651168</v>
      </c>
      <c r="E21" s="410">
        <v>235049.68292682926</v>
      </c>
      <c r="F21" s="409">
        <v>8567373.1775382869</v>
      </c>
      <c r="G21" s="410">
        <v>1206752.6370493844</v>
      </c>
      <c r="H21" s="416">
        <v>1206752.6370493844</v>
      </c>
      <c r="I21" s="156">
        <f t="shared" ref="I21:I72" si="1">H21-G21</f>
        <v>0</v>
      </c>
      <c r="J21" s="156"/>
      <c r="K21" s="258">
        <f>G21</f>
        <v>1206752.6370493844</v>
      </c>
      <c r="L21" s="257">
        <f>IF(K21&lt;&gt;0,+G21-K21,0)</f>
        <v>0</v>
      </c>
      <c r="M21" s="258">
        <f>H21</f>
        <v>1206752.6370493844</v>
      </c>
      <c r="N21" s="158">
        <f>IF(M21&lt;&gt;0,+H21-M21,0)</f>
        <v>0</v>
      </c>
      <c r="O21" s="158">
        <f>+N21-L21</f>
        <v>0</v>
      </c>
      <c r="P21" s="4"/>
    </row>
    <row r="22" spans="2:16">
      <c r="B22" s="9" t="str">
        <f t="shared" si="0"/>
        <v/>
      </c>
      <c r="C22" s="153">
        <f>IF(D11="","-",+C21+1)</f>
        <v>2019</v>
      </c>
      <c r="D22" s="159">
        <f>IF(F21+SUM(E$17:E21)=D$10,F21,D$10-SUM(E$17:E21))</f>
        <v>8567373.1775382869</v>
      </c>
      <c r="E22" s="160">
        <f t="shared" ref="E22:E72" si="2">IF(+$I$14&lt;F21,$I$14,D22)</f>
        <v>224117.13953488372</v>
      </c>
      <c r="F22" s="159">
        <f t="shared" ref="F22:F72" si="3">+D22-E22</f>
        <v>8343256.0380034028</v>
      </c>
      <c r="G22" s="161">
        <f t="shared" ref="G22:G51" si="4">+I$12*((D22+F22)/2)+E22</f>
        <v>1065891.6711645229</v>
      </c>
      <c r="H22" s="142">
        <f t="shared" ref="H22:H51" si="5">+I$13*((D22+F22)/2)+E22</f>
        <v>1065891.6711645229</v>
      </c>
      <c r="I22" s="156">
        <f t="shared" si="1"/>
        <v>0</v>
      </c>
      <c r="J22" s="156"/>
      <c r="K22" s="334"/>
      <c r="L22" s="158">
        <f t="shared" ref="L22:L72" si="6">IF(K22&lt;&gt;0,+G22-K22,0)</f>
        <v>0</v>
      </c>
      <c r="M22" s="334"/>
      <c r="N22" s="158">
        <f t="shared" ref="N22:N72" si="7">IF(M22&lt;&gt;0,+H22-M22,0)</f>
        <v>0</v>
      </c>
      <c r="O22" s="158">
        <f t="shared" ref="O22:O72" si="8">+N22-L22</f>
        <v>0</v>
      </c>
      <c r="P22" s="4"/>
    </row>
    <row r="23" spans="2:16">
      <c r="B23" s="9" t="str">
        <f t="shared" si="0"/>
        <v/>
      </c>
      <c r="C23" s="153">
        <f>IF(D11="","-",+C22+1)</f>
        <v>2020</v>
      </c>
      <c r="D23" s="159">
        <f>IF(F22+SUM(E$17:E22)=D$10,F22,D$10-SUM(E$17:E22))</f>
        <v>8343256.0380034028</v>
      </c>
      <c r="E23" s="160">
        <f t="shared" si="2"/>
        <v>224117.13953488372</v>
      </c>
      <c r="F23" s="159">
        <f t="shared" si="3"/>
        <v>8119138.8984685186</v>
      </c>
      <c r="G23" s="161">
        <f t="shared" si="4"/>
        <v>1043579.5386285239</v>
      </c>
      <c r="H23" s="142">
        <f t="shared" si="5"/>
        <v>1043579.5386285239</v>
      </c>
      <c r="I23" s="156">
        <f t="shared" si="1"/>
        <v>0</v>
      </c>
      <c r="J23" s="156"/>
      <c r="K23" s="334"/>
      <c r="L23" s="158">
        <f t="shared" si="6"/>
        <v>0</v>
      </c>
      <c r="M23" s="334"/>
      <c r="N23" s="158">
        <f t="shared" si="7"/>
        <v>0</v>
      </c>
      <c r="O23" s="158">
        <f t="shared" si="8"/>
        <v>0</v>
      </c>
      <c r="P23" s="4"/>
    </row>
    <row r="24" spans="2:16">
      <c r="B24" s="9" t="str">
        <f t="shared" si="0"/>
        <v/>
      </c>
      <c r="C24" s="153">
        <f>IF(D11="","-",+C23+1)</f>
        <v>2021</v>
      </c>
      <c r="D24" s="159">
        <f>IF(F23+SUM(E$17:E23)=D$10,F23,D$10-SUM(E$17:E23))</f>
        <v>8119138.8984685186</v>
      </c>
      <c r="E24" s="160">
        <f t="shared" si="2"/>
        <v>224117.13953488372</v>
      </c>
      <c r="F24" s="159">
        <f t="shared" si="3"/>
        <v>7895021.7589336345</v>
      </c>
      <c r="G24" s="161">
        <f t="shared" si="4"/>
        <v>1021267.406092525</v>
      </c>
      <c r="H24" s="142">
        <f t="shared" si="5"/>
        <v>1021267.406092525</v>
      </c>
      <c r="I24" s="156">
        <f t="shared" si="1"/>
        <v>0</v>
      </c>
      <c r="J24" s="156"/>
      <c r="K24" s="334"/>
      <c r="L24" s="158">
        <f t="shared" si="6"/>
        <v>0</v>
      </c>
      <c r="M24" s="334"/>
      <c r="N24" s="158">
        <f t="shared" si="7"/>
        <v>0</v>
      </c>
      <c r="O24" s="158">
        <f t="shared" si="8"/>
        <v>0</v>
      </c>
      <c r="P24" s="4"/>
    </row>
    <row r="25" spans="2:16">
      <c r="B25" s="9" t="str">
        <f t="shared" si="0"/>
        <v/>
      </c>
      <c r="C25" s="153">
        <f>IF(D11="","-",+C24+1)</f>
        <v>2022</v>
      </c>
      <c r="D25" s="159">
        <f>IF(F24+SUM(E$17:E24)=D$10,F24,D$10-SUM(E$17:E24))</f>
        <v>7895021.7589336345</v>
      </c>
      <c r="E25" s="160">
        <f t="shared" si="2"/>
        <v>224117.13953488372</v>
      </c>
      <c r="F25" s="159">
        <f t="shared" si="3"/>
        <v>7670904.6193987504</v>
      </c>
      <c r="G25" s="161">
        <f t="shared" si="4"/>
        <v>998955.27355652582</v>
      </c>
      <c r="H25" s="142">
        <f t="shared" si="5"/>
        <v>998955.27355652582</v>
      </c>
      <c r="I25" s="156">
        <f t="shared" si="1"/>
        <v>0</v>
      </c>
      <c r="J25" s="156"/>
      <c r="K25" s="334"/>
      <c r="L25" s="158">
        <f t="shared" si="6"/>
        <v>0</v>
      </c>
      <c r="M25" s="334"/>
      <c r="N25" s="158">
        <f t="shared" si="7"/>
        <v>0</v>
      </c>
      <c r="O25" s="158">
        <f t="shared" si="8"/>
        <v>0</v>
      </c>
      <c r="P25" s="4"/>
    </row>
    <row r="26" spans="2:16">
      <c r="B26" s="9" t="str">
        <f t="shared" si="0"/>
        <v/>
      </c>
      <c r="C26" s="153">
        <f>IF(D11="","-",+C25+1)</f>
        <v>2023</v>
      </c>
      <c r="D26" s="159">
        <f>IF(F25+SUM(E$17:E25)=D$10,F25,D$10-SUM(E$17:E25))</f>
        <v>7670904.6193987504</v>
      </c>
      <c r="E26" s="160">
        <f t="shared" si="2"/>
        <v>224117.13953488372</v>
      </c>
      <c r="F26" s="159">
        <f t="shared" si="3"/>
        <v>7446787.4798638662</v>
      </c>
      <c r="G26" s="161">
        <f t="shared" si="4"/>
        <v>976643.14102052688</v>
      </c>
      <c r="H26" s="142">
        <f t="shared" si="5"/>
        <v>976643.14102052688</v>
      </c>
      <c r="I26" s="156">
        <f t="shared" si="1"/>
        <v>0</v>
      </c>
      <c r="J26" s="156"/>
      <c r="K26" s="334"/>
      <c r="L26" s="158">
        <f t="shared" si="6"/>
        <v>0</v>
      </c>
      <c r="M26" s="334"/>
      <c r="N26" s="158">
        <f t="shared" si="7"/>
        <v>0</v>
      </c>
      <c r="O26" s="158">
        <f t="shared" si="8"/>
        <v>0</v>
      </c>
      <c r="P26" s="4"/>
    </row>
    <row r="27" spans="2:16">
      <c r="B27" s="9" t="str">
        <f t="shared" si="0"/>
        <v/>
      </c>
      <c r="C27" s="153">
        <f>IF(D11="","-",+C26+1)</f>
        <v>2024</v>
      </c>
      <c r="D27" s="159">
        <f>IF(F26+SUM(E$17:E26)=D$10,F26,D$10-SUM(E$17:E26))</f>
        <v>7446787.4798638662</v>
      </c>
      <c r="E27" s="160">
        <f t="shared" si="2"/>
        <v>224117.13953488372</v>
      </c>
      <c r="F27" s="159">
        <f t="shared" si="3"/>
        <v>7222670.3403289821</v>
      </c>
      <c r="G27" s="161">
        <f t="shared" si="4"/>
        <v>954331.0084845277</v>
      </c>
      <c r="H27" s="142">
        <f t="shared" si="5"/>
        <v>954331.0084845277</v>
      </c>
      <c r="I27" s="156">
        <f t="shared" si="1"/>
        <v>0</v>
      </c>
      <c r="J27" s="156"/>
      <c r="K27" s="334"/>
      <c r="L27" s="158">
        <f t="shared" si="6"/>
        <v>0</v>
      </c>
      <c r="M27" s="334"/>
      <c r="N27" s="158">
        <f t="shared" si="7"/>
        <v>0</v>
      </c>
      <c r="O27" s="158">
        <f t="shared" si="8"/>
        <v>0</v>
      </c>
      <c r="P27" s="4"/>
    </row>
    <row r="28" spans="2:16">
      <c r="B28" s="9" t="str">
        <f t="shared" si="0"/>
        <v/>
      </c>
      <c r="C28" s="153">
        <f>IF(D11="","-",+C27+1)</f>
        <v>2025</v>
      </c>
      <c r="D28" s="159">
        <f>IF(F27+SUM(E$17:E27)=D$10,F27,D$10-SUM(E$17:E27))</f>
        <v>7222670.3403289821</v>
      </c>
      <c r="E28" s="160">
        <f t="shared" si="2"/>
        <v>224117.13953488372</v>
      </c>
      <c r="F28" s="159">
        <f t="shared" si="3"/>
        <v>6998553.200794098</v>
      </c>
      <c r="G28" s="161">
        <f t="shared" si="4"/>
        <v>932018.87594852899</v>
      </c>
      <c r="H28" s="142">
        <f t="shared" si="5"/>
        <v>932018.87594852899</v>
      </c>
      <c r="I28" s="156">
        <f t="shared" si="1"/>
        <v>0</v>
      </c>
      <c r="J28" s="156"/>
      <c r="K28" s="334"/>
      <c r="L28" s="158">
        <f t="shared" si="6"/>
        <v>0</v>
      </c>
      <c r="M28" s="334"/>
      <c r="N28" s="158">
        <f t="shared" si="7"/>
        <v>0</v>
      </c>
      <c r="O28" s="158">
        <f t="shared" si="8"/>
        <v>0</v>
      </c>
      <c r="P28" s="4"/>
    </row>
    <row r="29" spans="2:16">
      <c r="B29" s="9" t="str">
        <f t="shared" si="0"/>
        <v/>
      </c>
      <c r="C29" s="153">
        <f>IF(D11="","-",+C28+1)</f>
        <v>2026</v>
      </c>
      <c r="D29" s="159">
        <f>IF(F28+SUM(E$17:E28)=D$10,F28,D$10-SUM(E$17:E28))</f>
        <v>6998553.200794098</v>
      </c>
      <c r="E29" s="160">
        <f t="shared" si="2"/>
        <v>224117.13953488372</v>
      </c>
      <c r="F29" s="159">
        <f t="shared" si="3"/>
        <v>6774436.0612592138</v>
      </c>
      <c r="G29" s="161">
        <f t="shared" si="4"/>
        <v>909706.74341252982</v>
      </c>
      <c r="H29" s="142">
        <f t="shared" si="5"/>
        <v>909706.74341252982</v>
      </c>
      <c r="I29" s="156">
        <f t="shared" si="1"/>
        <v>0</v>
      </c>
      <c r="J29" s="156"/>
      <c r="K29" s="334"/>
      <c r="L29" s="158">
        <f t="shared" si="6"/>
        <v>0</v>
      </c>
      <c r="M29" s="334"/>
      <c r="N29" s="158">
        <f t="shared" si="7"/>
        <v>0</v>
      </c>
      <c r="O29" s="158">
        <f t="shared" si="8"/>
        <v>0</v>
      </c>
      <c r="P29" s="4"/>
    </row>
    <row r="30" spans="2:16">
      <c r="B30" s="9" t="str">
        <f t="shared" si="0"/>
        <v/>
      </c>
      <c r="C30" s="153">
        <f>IF(D11="","-",+C29+1)</f>
        <v>2027</v>
      </c>
      <c r="D30" s="159">
        <f>IF(F29+SUM(E$17:E29)=D$10,F29,D$10-SUM(E$17:E29))</f>
        <v>6774436.0612592138</v>
      </c>
      <c r="E30" s="160">
        <f t="shared" si="2"/>
        <v>224117.13953488372</v>
      </c>
      <c r="F30" s="159">
        <f t="shared" si="3"/>
        <v>6550318.9217243297</v>
      </c>
      <c r="G30" s="161">
        <f t="shared" si="4"/>
        <v>887394.61087653087</v>
      </c>
      <c r="H30" s="142">
        <f t="shared" si="5"/>
        <v>887394.61087653087</v>
      </c>
      <c r="I30" s="156">
        <f t="shared" si="1"/>
        <v>0</v>
      </c>
      <c r="J30" s="156"/>
      <c r="K30" s="334"/>
      <c r="L30" s="158">
        <f t="shared" si="6"/>
        <v>0</v>
      </c>
      <c r="M30" s="334"/>
      <c r="N30" s="158">
        <f t="shared" si="7"/>
        <v>0</v>
      </c>
      <c r="O30" s="158">
        <f t="shared" si="8"/>
        <v>0</v>
      </c>
      <c r="P30" s="4"/>
    </row>
    <row r="31" spans="2:16">
      <c r="B31" s="9" t="str">
        <f t="shared" si="0"/>
        <v/>
      </c>
      <c r="C31" s="153">
        <f>IF(D11="","-",+C30+1)</f>
        <v>2028</v>
      </c>
      <c r="D31" s="159">
        <f>IF(F30+SUM(E$17:E30)=D$10,F30,D$10-SUM(E$17:E30))</f>
        <v>6550318.9217243297</v>
      </c>
      <c r="E31" s="160">
        <f t="shared" si="2"/>
        <v>224117.13953488372</v>
      </c>
      <c r="F31" s="159">
        <f t="shared" si="3"/>
        <v>6326201.7821894456</v>
      </c>
      <c r="G31" s="161">
        <f t="shared" si="4"/>
        <v>865082.4783405317</v>
      </c>
      <c r="H31" s="142">
        <f t="shared" si="5"/>
        <v>865082.4783405317</v>
      </c>
      <c r="I31" s="156">
        <f t="shared" si="1"/>
        <v>0</v>
      </c>
      <c r="J31" s="156"/>
      <c r="K31" s="334"/>
      <c r="L31" s="158">
        <f t="shared" si="6"/>
        <v>0</v>
      </c>
      <c r="M31" s="334"/>
      <c r="N31" s="158">
        <f t="shared" si="7"/>
        <v>0</v>
      </c>
      <c r="O31" s="158">
        <f t="shared" si="8"/>
        <v>0</v>
      </c>
      <c r="P31" s="4"/>
    </row>
    <row r="32" spans="2:16">
      <c r="B32" s="9" t="str">
        <f t="shared" si="0"/>
        <v/>
      </c>
      <c r="C32" s="153">
        <f>IF(D11="","-",+C31+1)</f>
        <v>2029</v>
      </c>
      <c r="D32" s="159">
        <f>IF(F31+SUM(E$17:E31)=D$10,F31,D$10-SUM(E$17:E31))</f>
        <v>6326201.7821894456</v>
      </c>
      <c r="E32" s="160">
        <f t="shared" si="2"/>
        <v>224117.13953488372</v>
      </c>
      <c r="F32" s="159">
        <f t="shared" si="3"/>
        <v>6102084.6426545614</v>
      </c>
      <c r="G32" s="161">
        <f t="shared" si="4"/>
        <v>842770.34580453276</v>
      </c>
      <c r="H32" s="142">
        <f t="shared" si="5"/>
        <v>842770.34580453276</v>
      </c>
      <c r="I32" s="156">
        <f t="shared" si="1"/>
        <v>0</v>
      </c>
      <c r="J32" s="156"/>
      <c r="K32" s="334"/>
      <c r="L32" s="158">
        <f t="shared" si="6"/>
        <v>0</v>
      </c>
      <c r="M32" s="334"/>
      <c r="N32" s="158">
        <f t="shared" si="7"/>
        <v>0</v>
      </c>
      <c r="O32" s="158">
        <f t="shared" si="8"/>
        <v>0</v>
      </c>
      <c r="P32" s="4"/>
    </row>
    <row r="33" spans="2:16">
      <c r="B33" s="9" t="str">
        <f t="shared" si="0"/>
        <v>IU</v>
      </c>
      <c r="C33" s="153">
        <f>IF(D11="","-",+C32+1)</f>
        <v>2030</v>
      </c>
      <c r="D33" s="159">
        <f>IF(F32+SUM(E$17:E32)=D$10,F32,D$10-SUM(E$17:E32))</f>
        <v>6102084.6426545661</v>
      </c>
      <c r="E33" s="160">
        <f t="shared" si="2"/>
        <v>224117.13953488372</v>
      </c>
      <c r="F33" s="159">
        <f t="shared" si="3"/>
        <v>5877967.503119682</v>
      </c>
      <c r="G33" s="161">
        <f t="shared" si="4"/>
        <v>820458.21326853428</v>
      </c>
      <c r="H33" s="142">
        <f t="shared" si="5"/>
        <v>820458.21326853428</v>
      </c>
      <c r="I33" s="156">
        <f t="shared" si="1"/>
        <v>0</v>
      </c>
      <c r="J33" s="156"/>
      <c r="K33" s="334"/>
      <c r="L33" s="158">
        <f t="shared" si="6"/>
        <v>0</v>
      </c>
      <c r="M33" s="334"/>
      <c r="N33" s="158">
        <f t="shared" si="7"/>
        <v>0</v>
      </c>
      <c r="O33" s="158">
        <f t="shared" si="8"/>
        <v>0</v>
      </c>
      <c r="P33" s="4"/>
    </row>
    <row r="34" spans="2:16">
      <c r="B34" s="9" t="str">
        <f t="shared" si="0"/>
        <v/>
      </c>
      <c r="C34" s="153">
        <f>IF(D11="","-",+C33+1)</f>
        <v>2031</v>
      </c>
      <c r="D34" s="159">
        <f>IF(F33+SUM(E$17:E33)=D$10,F33,D$10-SUM(E$17:E33))</f>
        <v>5877967.503119682</v>
      </c>
      <c r="E34" s="160">
        <f t="shared" si="2"/>
        <v>224117.13953488372</v>
      </c>
      <c r="F34" s="159">
        <f t="shared" si="3"/>
        <v>5653850.3635847978</v>
      </c>
      <c r="G34" s="161">
        <f t="shared" si="4"/>
        <v>798146.08073253511</v>
      </c>
      <c r="H34" s="142">
        <f t="shared" si="5"/>
        <v>798146.08073253511</v>
      </c>
      <c r="I34" s="156">
        <f t="shared" si="1"/>
        <v>0</v>
      </c>
      <c r="J34" s="156"/>
      <c r="K34" s="334"/>
      <c r="L34" s="158">
        <f t="shared" si="6"/>
        <v>0</v>
      </c>
      <c r="M34" s="334"/>
      <c r="N34" s="158">
        <f t="shared" si="7"/>
        <v>0</v>
      </c>
      <c r="O34" s="158">
        <f t="shared" si="8"/>
        <v>0</v>
      </c>
      <c r="P34" s="4"/>
    </row>
    <row r="35" spans="2:16">
      <c r="B35" s="9" t="str">
        <f t="shared" si="0"/>
        <v/>
      </c>
      <c r="C35" s="153">
        <f>IF(D11="","-",+C34+1)</f>
        <v>2032</v>
      </c>
      <c r="D35" s="159">
        <f>IF(F34+SUM(E$17:E34)=D$10,F34,D$10-SUM(E$17:E34))</f>
        <v>5653850.3635847978</v>
      </c>
      <c r="E35" s="160">
        <f t="shared" si="2"/>
        <v>224117.13953488372</v>
      </c>
      <c r="F35" s="159">
        <f t="shared" si="3"/>
        <v>5429733.2240499137</v>
      </c>
      <c r="G35" s="161">
        <f t="shared" si="4"/>
        <v>775833.9481965364</v>
      </c>
      <c r="H35" s="142">
        <f t="shared" si="5"/>
        <v>775833.9481965364</v>
      </c>
      <c r="I35" s="156">
        <f t="shared" si="1"/>
        <v>0</v>
      </c>
      <c r="J35" s="156"/>
      <c r="K35" s="334"/>
      <c r="L35" s="158">
        <f t="shared" si="6"/>
        <v>0</v>
      </c>
      <c r="M35" s="334"/>
      <c r="N35" s="158">
        <f t="shared" si="7"/>
        <v>0</v>
      </c>
      <c r="O35" s="158">
        <f t="shared" si="8"/>
        <v>0</v>
      </c>
      <c r="P35" s="4"/>
    </row>
    <row r="36" spans="2:16">
      <c r="B36" s="9" t="str">
        <f t="shared" si="0"/>
        <v/>
      </c>
      <c r="C36" s="153">
        <f>IF(D11="","-",+C35+1)</f>
        <v>2033</v>
      </c>
      <c r="D36" s="159">
        <f>IF(F35+SUM(E$17:E35)=D$10,F35,D$10-SUM(E$17:E35))</f>
        <v>5429733.2240499137</v>
      </c>
      <c r="E36" s="160">
        <f t="shared" si="2"/>
        <v>224117.13953488372</v>
      </c>
      <c r="F36" s="159">
        <f t="shared" si="3"/>
        <v>5205616.0845150296</v>
      </c>
      <c r="G36" s="161">
        <f t="shared" si="4"/>
        <v>753521.81566053722</v>
      </c>
      <c r="H36" s="142">
        <f t="shared" si="5"/>
        <v>753521.81566053722</v>
      </c>
      <c r="I36" s="156">
        <f t="shared" si="1"/>
        <v>0</v>
      </c>
      <c r="J36" s="156"/>
      <c r="K36" s="334"/>
      <c r="L36" s="158">
        <f t="shared" si="6"/>
        <v>0</v>
      </c>
      <c r="M36" s="334"/>
      <c r="N36" s="158">
        <f t="shared" si="7"/>
        <v>0</v>
      </c>
      <c r="O36" s="158">
        <f t="shared" si="8"/>
        <v>0</v>
      </c>
      <c r="P36" s="4"/>
    </row>
    <row r="37" spans="2:16">
      <c r="B37" s="9" t="str">
        <f t="shared" si="0"/>
        <v/>
      </c>
      <c r="C37" s="153">
        <f>IF(D11="","-",+C36+1)</f>
        <v>2034</v>
      </c>
      <c r="D37" s="159">
        <f>IF(F36+SUM(E$17:E36)=D$10,F36,D$10-SUM(E$17:E36))</f>
        <v>5205616.0845150296</v>
      </c>
      <c r="E37" s="160">
        <f t="shared" si="2"/>
        <v>224117.13953488372</v>
      </c>
      <c r="F37" s="159">
        <f t="shared" si="3"/>
        <v>4981498.9449801454</v>
      </c>
      <c r="G37" s="161">
        <f t="shared" si="4"/>
        <v>731209.68312453828</v>
      </c>
      <c r="H37" s="142">
        <f t="shared" si="5"/>
        <v>731209.68312453828</v>
      </c>
      <c r="I37" s="156">
        <f t="shared" si="1"/>
        <v>0</v>
      </c>
      <c r="J37" s="156"/>
      <c r="K37" s="334"/>
      <c r="L37" s="158">
        <f t="shared" si="6"/>
        <v>0</v>
      </c>
      <c r="M37" s="334"/>
      <c r="N37" s="158">
        <f t="shared" si="7"/>
        <v>0</v>
      </c>
      <c r="O37" s="158">
        <f t="shared" si="8"/>
        <v>0</v>
      </c>
      <c r="P37" s="4"/>
    </row>
    <row r="38" spans="2:16">
      <c r="B38" s="9" t="str">
        <f t="shared" si="0"/>
        <v/>
      </c>
      <c r="C38" s="153">
        <f>IF(D11="","-",+C37+1)</f>
        <v>2035</v>
      </c>
      <c r="D38" s="159">
        <f>IF(F37+SUM(E$17:E37)=D$10,F37,D$10-SUM(E$17:E37))</f>
        <v>4981498.9449801454</v>
      </c>
      <c r="E38" s="160">
        <f t="shared" si="2"/>
        <v>224117.13953488372</v>
      </c>
      <c r="F38" s="159">
        <f t="shared" si="3"/>
        <v>4757381.8054452613</v>
      </c>
      <c r="G38" s="161">
        <f t="shared" si="4"/>
        <v>708897.5505885391</v>
      </c>
      <c r="H38" s="142">
        <f t="shared" si="5"/>
        <v>708897.5505885391</v>
      </c>
      <c r="I38" s="156">
        <f t="shared" si="1"/>
        <v>0</v>
      </c>
      <c r="J38" s="156"/>
      <c r="K38" s="334"/>
      <c r="L38" s="158">
        <f t="shared" si="6"/>
        <v>0</v>
      </c>
      <c r="M38" s="334"/>
      <c r="N38" s="158">
        <f t="shared" si="7"/>
        <v>0</v>
      </c>
      <c r="O38" s="158">
        <f t="shared" si="8"/>
        <v>0</v>
      </c>
      <c r="P38" s="4"/>
    </row>
    <row r="39" spans="2:16">
      <c r="B39" s="9" t="str">
        <f t="shared" si="0"/>
        <v/>
      </c>
      <c r="C39" s="153">
        <f>IF(D11="","-",+C38+1)</f>
        <v>2036</v>
      </c>
      <c r="D39" s="159">
        <f>IF(F38+SUM(E$17:E38)=D$10,F38,D$10-SUM(E$17:E38))</f>
        <v>4757381.8054452613</v>
      </c>
      <c r="E39" s="160">
        <f t="shared" si="2"/>
        <v>224117.13953488372</v>
      </c>
      <c r="F39" s="159">
        <f t="shared" si="3"/>
        <v>4533264.6659103772</v>
      </c>
      <c r="G39" s="161">
        <f t="shared" si="4"/>
        <v>686585.41805254016</v>
      </c>
      <c r="H39" s="142">
        <f t="shared" si="5"/>
        <v>686585.41805254016</v>
      </c>
      <c r="I39" s="156">
        <f t="shared" si="1"/>
        <v>0</v>
      </c>
      <c r="J39" s="156"/>
      <c r="K39" s="334"/>
      <c r="L39" s="158">
        <f t="shared" si="6"/>
        <v>0</v>
      </c>
      <c r="M39" s="334"/>
      <c r="N39" s="158">
        <f t="shared" si="7"/>
        <v>0</v>
      </c>
      <c r="O39" s="158">
        <f t="shared" si="8"/>
        <v>0</v>
      </c>
      <c r="P39" s="4"/>
    </row>
    <row r="40" spans="2:16">
      <c r="B40" s="9" t="str">
        <f t="shared" si="0"/>
        <v/>
      </c>
      <c r="C40" s="153">
        <f>IF(D11="","-",+C39+1)</f>
        <v>2037</v>
      </c>
      <c r="D40" s="159">
        <f>IF(F39+SUM(E$17:E39)=D$10,F39,D$10-SUM(E$17:E39))</f>
        <v>4533264.6659103772</v>
      </c>
      <c r="E40" s="160">
        <f t="shared" si="2"/>
        <v>224117.13953488372</v>
      </c>
      <c r="F40" s="159">
        <f t="shared" si="3"/>
        <v>4309147.526375493</v>
      </c>
      <c r="G40" s="161">
        <f t="shared" si="4"/>
        <v>664273.28551654122</v>
      </c>
      <c r="H40" s="142">
        <f t="shared" si="5"/>
        <v>664273.28551654122</v>
      </c>
      <c r="I40" s="156">
        <f t="shared" si="1"/>
        <v>0</v>
      </c>
      <c r="J40" s="156"/>
      <c r="K40" s="334"/>
      <c r="L40" s="158">
        <f t="shared" si="6"/>
        <v>0</v>
      </c>
      <c r="M40" s="334"/>
      <c r="N40" s="158">
        <f t="shared" si="7"/>
        <v>0</v>
      </c>
      <c r="O40" s="158">
        <f t="shared" si="8"/>
        <v>0</v>
      </c>
      <c r="P40" s="4"/>
    </row>
    <row r="41" spans="2:16">
      <c r="B41" s="9" t="str">
        <f t="shared" si="0"/>
        <v/>
      </c>
      <c r="C41" s="153">
        <f>IF(D11="","-",+C40+1)</f>
        <v>2038</v>
      </c>
      <c r="D41" s="159">
        <f>IF(F40+SUM(E$17:E40)=D$10,F40,D$10-SUM(E$17:E40))</f>
        <v>4309147.526375493</v>
      </c>
      <c r="E41" s="160">
        <f t="shared" si="2"/>
        <v>224117.13953488372</v>
      </c>
      <c r="F41" s="159">
        <f t="shared" si="3"/>
        <v>4085030.3868406094</v>
      </c>
      <c r="G41" s="161">
        <f t="shared" si="4"/>
        <v>641961.15298054228</v>
      </c>
      <c r="H41" s="142">
        <f t="shared" si="5"/>
        <v>641961.15298054228</v>
      </c>
      <c r="I41" s="156">
        <f t="shared" si="1"/>
        <v>0</v>
      </c>
      <c r="J41" s="156"/>
      <c r="K41" s="334"/>
      <c r="L41" s="158">
        <f t="shared" si="6"/>
        <v>0</v>
      </c>
      <c r="M41" s="334"/>
      <c r="N41" s="158">
        <f t="shared" si="7"/>
        <v>0</v>
      </c>
      <c r="O41" s="158">
        <f t="shared" si="8"/>
        <v>0</v>
      </c>
      <c r="P41" s="4"/>
    </row>
    <row r="42" spans="2:16">
      <c r="B42" s="9" t="str">
        <f t="shared" si="0"/>
        <v/>
      </c>
      <c r="C42" s="153">
        <f>IF(D11="","-",+C41+1)</f>
        <v>2039</v>
      </c>
      <c r="D42" s="159">
        <f>IF(F41+SUM(E$17:E41)=D$10,F41,D$10-SUM(E$17:E41))</f>
        <v>4085030.3868406094</v>
      </c>
      <c r="E42" s="160">
        <f t="shared" si="2"/>
        <v>224117.13953488372</v>
      </c>
      <c r="F42" s="159">
        <f t="shared" si="3"/>
        <v>3860913.2473057257</v>
      </c>
      <c r="G42" s="161">
        <f t="shared" si="4"/>
        <v>619649.02044454322</v>
      </c>
      <c r="H42" s="142">
        <f t="shared" si="5"/>
        <v>619649.02044454322</v>
      </c>
      <c r="I42" s="156">
        <f t="shared" si="1"/>
        <v>0</v>
      </c>
      <c r="J42" s="156"/>
      <c r="K42" s="334"/>
      <c r="L42" s="158">
        <f t="shared" si="6"/>
        <v>0</v>
      </c>
      <c r="M42" s="334"/>
      <c r="N42" s="158">
        <f t="shared" si="7"/>
        <v>0</v>
      </c>
      <c r="O42" s="158">
        <f t="shared" si="8"/>
        <v>0</v>
      </c>
      <c r="P42" s="4"/>
    </row>
    <row r="43" spans="2:16">
      <c r="B43" s="9" t="str">
        <f t="shared" si="0"/>
        <v/>
      </c>
      <c r="C43" s="153">
        <f>IF(D11="","-",+C42+1)</f>
        <v>2040</v>
      </c>
      <c r="D43" s="159">
        <f>IF(F42+SUM(E$17:E42)=D$10,F42,D$10-SUM(E$17:E42))</f>
        <v>3860913.2473057257</v>
      </c>
      <c r="E43" s="160">
        <f t="shared" si="2"/>
        <v>224117.13953488372</v>
      </c>
      <c r="F43" s="159">
        <f t="shared" si="3"/>
        <v>3636796.107770842</v>
      </c>
      <c r="G43" s="161">
        <f t="shared" si="4"/>
        <v>597336.88790854427</v>
      </c>
      <c r="H43" s="142">
        <f t="shared" si="5"/>
        <v>597336.88790854427</v>
      </c>
      <c r="I43" s="156">
        <f t="shared" si="1"/>
        <v>0</v>
      </c>
      <c r="J43" s="156"/>
      <c r="K43" s="334"/>
      <c r="L43" s="158">
        <f t="shared" si="6"/>
        <v>0</v>
      </c>
      <c r="M43" s="334"/>
      <c r="N43" s="158">
        <f t="shared" si="7"/>
        <v>0</v>
      </c>
      <c r="O43" s="158">
        <f t="shared" si="8"/>
        <v>0</v>
      </c>
      <c r="P43" s="4"/>
    </row>
    <row r="44" spans="2:16">
      <c r="B44" s="9" t="str">
        <f t="shared" si="0"/>
        <v/>
      </c>
      <c r="C44" s="153">
        <f>IF(D11="","-",+C43+1)</f>
        <v>2041</v>
      </c>
      <c r="D44" s="159">
        <f>IF(F43+SUM(E$17:E43)=D$10,F43,D$10-SUM(E$17:E43))</f>
        <v>3636796.107770842</v>
      </c>
      <c r="E44" s="160">
        <f t="shared" si="2"/>
        <v>224117.13953488372</v>
      </c>
      <c r="F44" s="159">
        <f t="shared" si="3"/>
        <v>3412678.9682359584</v>
      </c>
      <c r="G44" s="161">
        <f t="shared" si="4"/>
        <v>575024.75537254522</v>
      </c>
      <c r="H44" s="142">
        <f t="shared" si="5"/>
        <v>575024.75537254522</v>
      </c>
      <c r="I44" s="156">
        <f t="shared" si="1"/>
        <v>0</v>
      </c>
      <c r="J44" s="156"/>
      <c r="K44" s="334"/>
      <c r="L44" s="158">
        <f t="shared" si="6"/>
        <v>0</v>
      </c>
      <c r="M44" s="334"/>
      <c r="N44" s="158">
        <f t="shared" si="7"/>
        <v>0</v>
      </c>
      <c r="O44" s="158">
        <f t="shared" si="8"/>
        <v>0</v>
      </c>
      <c r="P44" s="4"/>
    </row>
    <row r="45" spans="2:16">
      <c r="B45" s="9" t="str">
        <f t="shared" si="0"/>
        <v/>
      </c>
      <c r="C45" s="153">
        <f>IF(D11="","-",+C44+1)</f>
        <v>2042</v>
      </c>
      <c r="D45" s="159">
        <f>IF(F44+SUM(E$17:E44)=D$10,F44,D$10-SUM(E$17:E44))</f>
        <v>3412678.9682359584</v>
      </c>
      <c r="E45" s="160">
        <f t="shared" si="2"/>
        <v>224117.13953488372</v>
      </c>
      <c r="F45" s="159">
        <f t="shared" si="3"/>
        <v>3188561.8287010747</v>
      </c>
      <c r="G45" s="161">
        <f t="shared" si="4"/>
        <v>552712.62283654627</v>
      </c>
      <c r="H45" s="142">
        <f t="shared" si="5"/>
        <v>552712.62283654627</v>
      </c>
      <c r="I45" s="156">
        <f t="shared" si="1"/>
        <v>0</v>
      </c>
      <c r="J45" s="156"/>
      <c r="K45" s="334"/>
      <c r="L45" s="158">
        <f t="shared" si="6"/>
        <v>0</v>
      </c>
      <c r="M45" s="334"/>
      <c r="N45" s="158">
        <f t="shared" si="7"/>
        <v>0</v>
      </c>
      <c r="O45" s="158">
        <f t="shared" si="8"/>
        <v>0</v>
      </c>
      <c r="P45" s="4"/>
    </row>
    <row r="46" spans="2:16">
      <c r="B46" s="9" t="str">
        <f t="shared" si="0"/>
        <v/>
      </c>
      <c r="C46" s="153">
        <f>IF(D11="","-",+C45+1)</f>
        <v>2043</v>
      </c>
      <c r="D46" s="159">
        <f>IF(F45+SUM(E$17:E45)=D$10,F45,D$10-SUM(E$17:E45))</f>
        <v>3188561.8287010747</v>
      </c>
      <c r="E46" s="160">
        <f t="shared" si="2"/>
        <v>224117.13953488372</v>
      </c>
      <c r="F46" s="159">
        <f t="shared" si="3"/>
        <v>2964444.689166191</v>
      </c>
      <c r="G46" s="161">
        <f t="shared" si="4"/>
        <v>530400.49030054733</v>
      </c>
      <c r="H46" s="142">
        <f t="shared" si="5"/>
        <v>530400.49030054733</v>
      </c>
      <c r="I46" s="156">
        <f t="shared" si="1"/>
        <v>0</v>
      </c>
      <c r="J46" s="156"/>
      <c r="K46" s="334"/>
      <c r="L46" s="158">
        <f t="shared" si="6"/>
        <v>0</v>
      </c>
      <c r="M46" s="334"/>
      <c r="N46" s="158">
        <f t="shared" si="7"/>
        <v>0</v>
      </c>
      <c r="O46" s="158">
        <f t="shared" si="8"/>
        <v>0</v>
      </c>
      <c r="P46" s="4"/>
    </row>
    <row r="47" spans="2:16">
      <c r="B47" s="9" t="str">
        <f t="shared" si="0"/>
        <v/>
      </c>
      <c r="C47" s="153">
        <f>IF(D11="","-",+C46+1)</f>
        <v>2044</v>
      </c>
      <c r="D47" s="159">
        <f>IF(F46+SUM(E$17:E46)=D$10,F46,D$10-SUM(E$17:E46))</f>
        <v>2964444.689166191</v>
      </c>
      <c r="E47" s="160">
        <f t="shared" si="2"/>
        <v>224117.13953488372</v>
      </c>
      <c r="F47" s="159">
        <f t="shared" si="3"/>
        <v>2740327.5496313074</v>
      </c>
      <c r="G47" s="161">
        <f t="shared" si="4"/>
        <v>508088.35776454845</v>
      </c>
      <c r="H47" s="142">
        <f t="shared" si="5"/>
        <v>508088.35776454845</v>
      </c>
      <c r="I47" s="156">
        <f t="shared" si="1"/>
        <v>0</v>
      </c>
      <c r="J47" s="156"/>
      <c r="K47" s="334"/>
      <c r="L47" s="158">
        <f t="shared" si="6"/>
        <v>0</v>
      </c>
      <c r="M47" s="334"/>
      <c r="N47" s="158">
        <f t="shared" si="7"/>
        <v>0</v>
      </c>
      <c r="O47" s="158">
        <f t="shared" si="8"/>
        <v>0</v>
      </c>
      <c r="P47" s="4"/>
    </row>
    <row r="48" spans="2:16">
      <c r="B48" s="9" t="str">
        <f t="shared" si="0"/>
        <v/>
      </c>
      <c r="C48" s="153">
        <f>IF(D11="","-",+C47+1)</f>
        <v>2045</v>
      </c>
      <c r="D48" s="159">
        <f>IF(F47+SUM(E$17:E47)=D$10,F47,D$10-SUM(E$17:E47))</f>
        <v>2740327.5496313074</v>
      </c>
      <c r="E48" s="160">
        <f t="shared" si="2"/>
        <v>224117.13953488372</v>
      </c>
      <c r="F48" s="159">
        <f t="shared" si="3"/>
        <v>2516210.4100964237</v>
      </c>
      <c r="G48" s="161">
        <f t="shared" si="4"/>
        <v>485776.22522854945</v>
      </c>
      <c r="H48" s="142">
        <f t="shared" si="5"/>
        <v>485776.22522854945</v>
      </c>
      <c r="I48" s="156">
        <f t="shared" si="1"/>
        <v>0</v>
      </c>
      <c r="J48" s="156"/>
      <c r="K48" s="334"/>
      <c r="L48" s="158">
        <f t="shared" si="6"/>
        <v>0</v>
      </c>
      <c r="M48" s="334"/>
      <c r="N48" s="158">
        <f t="shared" si="7"/>
        <v>0</v>
      </c>
      <c r="O48" s="158">
        <f t="shared" si="8"/>
        <v>0</v>
      </c>
      <c r="P48" s="4"/>
    </row>
    <row r="49" spans="2:16">
      <c r="B49" s="9" t="str">
        <f t="shared" si="0"/>
        <v/>
      </c>
      <c r="C49" s="153">
        <f>IF(D11="","-",+C48+1)</f>
        <v>2046</v>
      </c>
      <c r="D49" s="159">
        <f>IF(F48+SUM(E$17:E48)=D$10,F48,D$10-SUM(E$17:E48))</f>
        <v>2516210.4100964237</v>
      </c>
      <c r="E49" s="160">
        <f t="shared" si="2"/>
        <v>224117.13953488372</v>
      </c>
      <c r="F49" s="159">
        <f t="shared" si="3"/>
        <v>2292093.27056154</v>
      </c>
      <c r="G49" s="161">
        <f t="shared" si="4"/>
        <v>463464.0926925505</v>
      </c>
      <c r="H49" s="142">
        <f t="shared" si="5"/>
        <v>463464.0926925505</v>
      </c>
      <c r="I49" s="156">
        <f t="shared" si="1"/>
        <v>0</v>
      </c>
      <c r="J49" s="156"/>
      <c r="K49" s="334"/>
      <c r="L49" s="158">
        <f t="shared" si="6"/>
        <v>0</v>
      </c>
      <c r="M49" s="334"/>
      <c r="N49" s="158">
        <f t="shared" si="7"/>
        <v>0</v>
      </c>
      <c r="O49" s="158">
        <f t="shared" si="8"/>
        <v>0</v>
      </c>
      <c r="P49" s="4"/>
    </row>
    <row r="50" spans="2:16">
      <c r="B50" s="9" t="str">
        <f t="shared" si="0"/>
        <v/>
      </c>
      <c r="C50" s="153">
        <f>IF(D11="","-",+C49+1)</f>
        <v>2047</v>
      </c>
      <c r="D50" s="159">
        <f>IF(F49+SUM(E$17:E49)=D$10,F49,D$10-SUM(E$17:E49))</f>
        <v>2292093.27056154</v>
      </c>
      <c r="E50" s="160">
        <f t="shared" si="2"/>
        <v>224117.13953488372</v>
      </c>
      <c r="F50" s="159">
        <f t="shared" si="3"/>
        <v>2067976.1310266564</v>
      </c>
      <c r="G50" s="161">
        <f t="shared" si="4"/>
        <v>441151.96015655145</v>
      </c>
      <c r="H50" s="142">
        <f t="shared" si="5"/>
        <v>441151.96015655145</v>
      </c>
      <c r="I50" s="156">
        <f t="shared" si="1"/>
        <v>0</v>
      </c>
      <c r="J50" s="156"/>
      <c r="K50" s="334"/>
      <c r="L50" s="158">
        <f t="shared" si="6"/>
        <v>0</v>
      </c>
      <c r="M50" s="334"/>
      <c r="N50" s="158">
        <f t="shared" si="7"/>
        <v>0</v>
      </c>
      <c r="O50" s="158">
        <f t="shared" si="8"/>
        <v>0</v>
      </c>
      <c r="P50" s="4"/>
    </row>
    <row r="51" spans="2:16">
      <c r="B51" s="9" t="str">
        <f t="shared" si="0"/>
        <v/>
      </c>
      <c r="C51" s="153">
        <f>IF(D11="","-",+C50+1)</f>
        <v>2048</v>
      </c>
      <c r="D51" s="159">
        <f>IF(F50+SUM(E$17:E50)=D$10,F50,D$10-SUM(E$17:E50))</f>
        <v>2067976.1310266564</v>
      </c>
      <c r="E51" s="160">
        <f t="shared" si="2"/>
        <v>224117.13953488372</v>
      </c>
      <c r="F51" s="159">
        <f t="shared" si="3"/>
        <v>1843858.9914917727</v>
      </c>
      <c r="G51" s="161">
        <f t="shared" si="4"/>
        <v>418839.82762055256</v>
      </c>
      <c r="H51" s="142">
        <f t="shared" si="5"/>
        <v>418839.82762055256</v>
      </c>
      <c r="I51" s="156">
        <f t="shared" si="1"/>
        <v>0</v>
      </c>
      <c r="J51" s="156"/>
      <c r="K51" s="334"/>
      <c r="L51" s="158">
        <f t="shared" si="6"/>
        <v>0</v>
      </c>
      <c r="M51" s="334"/>
      <c r="N51" s="158">
        <f t="shared" si="7"/>
        <v>0</v>
      </c>
      <c r="O51" s="158">
        <f t="shared" si="8"/>
        <v>0</v>
      </c>
      <c r="P51" s="4"/>
    </row>
    <row r="52" spans="2:16">
      <c r="B52" s="9" t="str">
        <f t="shared" si="0"/>
        <v/>
      </c>
      <c r="C52" s="153">
        <f>IF(D11="","-",+C51+1)</f>
        <v>2049</v>
      </c>
      <c r="D52" s="159">
        <f>IF(F51+SUM(E$17:E51)=D$10,F51,D$10-SUM(E$17:E51))</f>
        <v>1843858.9914917727</v>
      </c>
      <c r="E52" s="160">
        <f t="shared" si="2"/>
        <v>224117.13953488372</v>
      </c>
      <c r="F52" s="159">
        <f t="shared" si="3"/>
        <v>1619741.851956889</v>
      </c>
      <c r="G52" s="161">
        <f t="shared" ref="G52:G72" si="9">+I$12*((D52+F52)/2)+E52</f>
        <v>396527.69508455356</v>
      </c>
      <c r="H52" s="142">
        <f t="shared" ref="H52:H72" si="10">+I$13*((D52+F52)/2)+E52</f>
        <v>396527.69508455356</v>
      </c>
      <c r="I52" s="156">
        <f t="shared" si="1"/>
        <v>0</v>
      </c>
      <c r="J52" s="156"/>
      <c r="K52" s="334"/>
      <c r="L52" s="158">
        <f t="shared" si="6"/>
        <v>0</v>
      </c>
      <c r="M52" s="334"/>
      <c r="N52" s="158">
        <f t="shared" si="7"/>
        <v>0</v>
      </c>
      <c r="O52" s="158">
        <f t="shared" si="8"/>
        <v>0</v>
      </c>
      <c r="P52" s="4"/>
    </row>
    <row r="53" spans="2:16">
      <c r="B53" s="9" t="str">
        <f t="shared" si="0"/>
        <v/>
      </c>
      <c r="C53" s="153">
        <f>IF(D11="","-",+C52+1)</f>
        <v>2050</v>
      </c>
      <c r="D53" s="159">
        <f>IF(F52+SUM(E$17:E52)=D$10,F52,D$10-SUM(E$17:E52))</f>
        <v>1619741.851956889</v>
      </c>
      <c r="E53" s="160">
        <f t="shared" si="2"/>
        <v>224117.13953488372</v>
      </c>
      <c r="F53" s="159">
        <f t="shared" si="3"/>
        <v>1395624.7124220054</v>
      </c>
      <c r="G53" s="161">
        <f t="shared" si="9"/>
        <v>374215.56254855462</v>
      </c>
      <c r="H53" s="142">
        <f t="shared" si="10"/>
        <v>374215.56254855462</v>
      </c>
      <c r="I53" s="156">
        <f t="shared" si="1"/>
        <v>0</v>
      </c>
      <c r="J53" s="156"/>
      <c r="K53" s="334"/>
      <c r="L53" s="158">
        <f t="shared" si="6"/>
        <v>0</v>
      </c>
      <c r="M53" s="334"/>
      <c r="N53" s="158">
        <f t="shared" si="7"/>
        <v>0</v>
      </c>
      <c r="O53" s="158">
        <f t="shared" si="8"/>
        <v>0</v>
      </c>
      <c r="P53" s="4"/>
    </row>
    <row r="54" spans="2:16">
      <c r="B54" s="9" t="str">
        <f t="shared" si="0"/>
        <v/>
      </c>
      <c r="C54" s="153">
        <f>IF(D11="","-",+C53+1)</f>
        <v>2051</v>
      </c>
      <c r="D54" s="159">
        <f>IF(F53+SUM(E$17:E53)=D$10,F53,D$10-SUM(E$17:E53))</f>
        <v>1395624.7124220054</v>
      </c>
      <c r="E54" s="160">
        <f t="shared" si="2"/>
        <v>224117.13953488372</v>
      </c>
      <c r="F54" s="159">
        <f t="shared" si="3"/>
        <v>1171507.5728871217</v>
      </c>
      <c r="G54" s="161">
        <f t="shared" si="9"/>
        <v>351903.43001255568</v>
      </c>
      <c r="H54" s="142">
        <f t="shared" si="10"/>
        <v>351903.43001255568</v>
      </c>
      <c r="I54" s="156">
        <f t="shared" si="1"/>
        <v>0</v>
      </c>
      <c r="J54" s="156"/>
      <c r="K54" s="334"/>
      <c r="L54" s="158">
        <f t="shared" si="6"/>
        <v>0</v>
      </c>
      <c r="M54" s="334"/>
      <c r="N54" s="158">
        <f t="shared" si="7"/>
        <v>0</v>
      </c>
      <c r="O54" s="158">
        <f t="shared" si="8"/>
        <v>0</v>
      </c>
      <c r="P54" s="4"/>
    </row>
    <row r="55" spans="2:16">
      <c r="B55" s="9" t="str">
        <f t="shared" si="0"/>
        <v/>
      </c>
      <c r="C55" s="153">
        <f>IF(D11="","-",+C54+1)</f>
        <v>2052</v>
      </c>
      <c r="D55" s="159">
        <f>IF(F54+SUM(E$17:E54)=D$10,F54,D$10-SUM(E$17:E54))</f>
        <v>1171507.5728871217</v>
      </c>
      <c r="E55" s="160">
        <f t="shared" si="2"/>
        <v>224117.13953488372</v>
      </c>
      <c r="F55" s="159">
        <f t="shared" si="3"/>
        <v>947390.43335223803</v>
      </c>
      <c r="G55" s="161">
        <f t="shared" si="9"/>
        <v>329591.29747655668</v>
      </c>
      <c r="H55" s="142">
        <f t="shared" si="10"/>
        <v>329591.29747655668</v>
      </c>
      <c r="I55" s="156">
        <f t="shared" si="1"/>
        <v>0</v>
      </c>
      <c r="J55" s="156"/>
      <c r="K55" s="334"/>
      <c r="L55" s="158">
        <f t="shared" si="6"/>
        <v>0</v>
      </c>
      <c r="M55" s="334"/>
      <c r="N55" s="158">
        <f t="shared" si="7"/>
        <v>0</v>
      </c>
      <c r="O55" s="158">
        <f t="shared" si="8"/>
        <v>0</v>
      </c>
      <c r="P55" s="4"/>
    </row>
    <row r="56" spans="2:16">
      <c r="B56" s="9" t="str">
        <f t="shared" si="0"/>
        <v/>
      </c>
      <c r="C56" s="153">
        <f>IF(D11="","-",+C55+1)</f>
        <v>2053</v>
      </c>
      <c r="D56" s="159">
        <f>IF(F55+SUM(E$17:E55)=D$10,F55,D$10-SUM(E$17:E55))</f>
        <v>947390.43335223803</v>
      </c>
      <c r="E56" s="160">
        <f t="shared" si="2"/>
        <v>224117.13953488372</v>
      </c>
      <c r="F56" s="159">
        <f t="shared" si="3"/>
        <v>723273.29381735437</v>
      </c>
      <c r="G56" s="161">
        <f t="shared" si="9"/>
        <v>307279.16494055773</v>
      </c>
      <c r="H56" s="142">
        <f t="shared" si="10"/>
        <v>307279.16494055773</v>
      </c>
      <c r="I56" s="156">
        <f t="shared" si="1"/>
        <v>0</v>
      </c>
      <c r="J56" s="156"/>
      <c r="K56" s="334"/>
      <c r="L56" s="158">
        <f t="shared" si="6"/>
        <v>0</v>
      </c>
      <c r="M56" s="334"/>
      <c r="N56" s="158">
        <f t="shared" si="7"/>
        <v>0</v>
      </c>
      <c r="O56" s="158">
        <f t="shared" si="8"/>
        <v>0</v>
      </c>
      <c r="P56" s="4"/>
    </row>
    <row r="57" spans="2:16">
      <c r="B57" s="9" t="str">
        <f t="shared" si="0"/>
        <v/>
      </c>
      <c r="C57" s="153">
        <f>IF(D11="","-",+C56+1)</f>
        <v>2054</v>
      </c>
      <c r="D57" s="159">
        <f>IF(F56+SUM(E$17:E56)=D$10,F56,D$10-SUM(E$17:E56))</f>
        <v>723273.29381735437</v>
      </c>
      <c r="E57" s="160">
        <f t="shared" si="2"/>
        <v>224117.13953488372</v>
      </c>
      <c r="F57" s="159">
        <f t="shared" si="3"/>
        <v>499156.15428247064</v>
      </c>
      <c r="G57" s="161">
        <f t="shared" si="9"/>
        <v>284967.03240455873</v>
      </c>
      <c r="H57" s="142">
        <f t="shared" si="10"/>
        <v>284967.03240455873</v>
      </c>
      <c r="I57" s="156">
        <f t="shared" si="1"/>
        <v>0</v>
      </c>
      <c r="J57" s="156"/>
      <c r="K57" s="334"/>
      <c r="L57" s="158">
        <f t="shared" si="6"/>
        <v>0</v>
      </c>
      <c r="M57" s="334"/>
      <c r="N57" s="158">
        <f t="shared" si="7"/>
        <v>0</v>
      </c>
      <c r="O57" s="158">
        <f t="shared" si="8"/>
        <v>0</v>
      </c>
      <c r="P57" s="4"/>
    </row>
    <row r="58" spans="2:16">
      <c r="B58" s="9" t="str">
        <f t="shared" si="0"/>
        <v/>
      </c>
      <c r="C58" s="153">
        <f>IF(D11="","-",+C57+1)</f>
        <v>2055</v>
      </c>
      <c r="D58" s="159">
        <f>IF(F57+SUM(E$17:E57)=D$10,F57,D$10-SUM(E$17:E57))</f>
        <v>499156.15428247064</v>
      </c>
      <c r="E58" s="160">
        <f t="shared" si="2"/>
        <v>224117.13953488372</v>
      </c>
      <c r="F58" s="159">
        <f t="shared" si="3"/>
        <v>275039.01474758692</v>
      </c>
      <c r="G58" s="161">
        <f t="shared" si="9"/>
        <v>262654.89986855979</v>
      </c>
      <c r="H58" s="142">
        <f t="shared" si="10"/>
        <v>262654.89986855979</v>
      </c>
      <c r="I58" s="156">
        <f t="shared" si="1"/>
        <v>0</v>
      </c>
      <c r="J58" s="156"/>
      <c r="K58" s="334"/>
      <c r="L58" s="158">
        <f t="shared" si="6"/>
        <v>0</v>
      </c>
      <c r="M58" s="334"/>
      <c r="N58" s="158">
        <f t="shared" si="7"/>
        <v>0</v>
      </c>
      <c r="O58" s="158">
        <f t="shared" si="8"/>
        <v>0</v>
      </c>
      <c r="P58" s="4"/>
    </row>
    <row r="59" spans="2:16">
      <c r="B59" s="9" t="str">
        <f t="shared" si="0"/>
        <v/>
      </c>
      <c r="C59" s="153">
        <f>IF(D11="","-",+C58+1)</f>
        <v>2056</v>
      </c>
      <c r="D59" s="159">
        <f>IF(F58+SUM(E$17:E58)=D$10,F58,D$10-SUM(E$17:E58))</f>
        <v>275039.01474758692</v>
      </c>
      <c r="E59" s="160">
        <f t="shared" si="2"/>
        <v>224117.13953488372</v>
      </c>
      <c r="F59" s="159">
        <f t="shared" si="3"/>
        <v>50921.875212703191</v>
      </c>
      <c r="G59" s="161">
        <f t="shared" si="9"/>
        <v>240342.76733256082</v>
      </c>
      <c r="H59" s="142">
        <f t="shared" si="10"/>
        <v>240342.76733256082</v>
      </c>
      <c r="I59" s="156">
        <f t="shared" si="1"/>
        <v>0</v>
      </c>
      <c r="J59" s="156"/>
      <c r="K59" s="334"/>
      <c r="L59" s="158">
        <f t="shared" si="6"/>
        <v>0</v>
      </c>
      <c r="M59" s="334"/>
      <c r="N59" s="158">
        <f t="shared" si="7"/>
        <v>0</v>
      </c>
      <c r="O59" s="158">
        <f t="shared" si="8"/>
        <v>0</v>
      </c>
      <c r="P59" s="4"/>
    </row>
    <row r="60" spans="2:16">
      <c r="B60" s="9" t="str">
        <f t="shared" si="0"/>
        <v/>
      </c>
      <c r="C60" s="153">
        <f>IF(D11="","-",+C59+1)</f>
        <v>2057</v>
      </c>
      <c r="D60" s="159">
        <f>IF(F59+SUM(E$17:E59)=D$10,F59,D$10-SUM(E$17:E59))</f>
        <v>50921.875212703191</v>
      </c>
      <c r="E60" s="160">
        <f t="shared" si="2"/>
        <v>50921.875212703191</v>
      </c>
      <c r="F60" s="159">
        <f t="shared" si="3"/>
        <v>0</v>
      </c>
      <c r="G60" s="161">
        <f t="shared" si="9"/>
        <v>53456.655977541996</v>
      </c>
      <c r="H60" s="142">
        <f t="shared" si="10"/>
        <v>53456.655977541996</v>
      </c>
      <c r="I60" s="156">
        <f t="shared" si="1"/>
        <v>0</v>
      </c>
      <c r="J60" s="156"/>
      <c r="K60" s="334"/>
      <c r="L60" s="158">
        <f t="shared" si="6"/>
        <v>0</v>
      </c>
      <c r="M60" s="334"/>
      <c r="N60" s="158">
        <f t="shared" si="7"/>
        <v>0</v>
      </c>
      <c r="O60" s="158">
        <f t="shared" si="8"/>
        <v>0</v>
      </c>
      <c r="P60" s="4"/>
    </row>
    <row r="61" spans="2:16">
      <c r="B61" s="9" t="str">
        <f t="shared" si="0"/>
        <v/>
      </c>
      <c r="C61" s="153">
        <f>IF(D11="","-",+C60+1)</f>
        <v>2058</v>
      </c>
      <c r="D61" s="159">
        <f>IF(F60+SUM(E$17:E60)=D$10,F60,D$10-SUM(E$17:E60))</f>
        <v>0</v>
      </c>
      <c r="E61" s="160">
        <f t="shared" si="2"/>
        <v>0</v>
      </c>
      <c r="F61" s="159">
        <f t="shared" si="3"/>
        <v>0</v>
      </c>
      <c r="G61" s="161">
        <f t="shared" si="9"/>
        <v>0</v>
      </c>
      <c r="H61" s="142">
        <f t="shared" si="10"/>
        <v>0</v>
      </c>
      <c r="I61" s="156">
        <f t="shared" si="1"/>
        <v>0</v>
      </c>
      <c r="J61" s="156"/>
      <c r="K61" s="334"/>
      <c r="L61" s="158">
        <f t="shared" si="6"/>
        <v>0</v>
      </c>
      <c r="M61" s="334"/>
      <c r="N61" s="158">
        <f t="shared" si="7"/>
        <v>0</v>
      </c>
      <c r="O61" s="158">
        <f t="shared" si="8"/>
        <v>0</v>
      </c>
      <c r="P61" s="4"/>
    </row>
    <row r="62" spans="2:16">
      <c r="B62" s="9" t="str">
        <f t="shared" si="0"/>
        <v/>
      </c>
      <c r="C62" s="153">
        <f>IF(D11="","-",+C61+1)</f>
        <v>2059</v>
      </c>
      <c r="D62" s="159">
        <f>IF(F61+SUM(E$17:E61)=D$10,F61,D$10-SUM(E$17:E61))</f>
        <v>0</v>
      </c>
      <c r="E62" s="160">
        <f t="shared" si="2"/>
        <v>0</v>
      </c>
      <c r="F62" s="159">
        <f t="shared" si="3"/>
        <v>0</v>
      </c>
      <c r="G62" s="161">
        <f t="shared" si="9"/>
        <v>0</v>
      </c>
      <c r="H62" s="142">
        <f t="shared" si="10"/>
        <v>0</v>
      </c>
      <c r="I62" s="156">
        <f t="shared" si="1"/>
        <v>0</v>
      </c>
      <c r="J62" s="156"/>
      <c r="K62" s="334"/>
      <c r="L62" s="158">
        <f t="shared" si="6"/>
        <v>0</v>
      </c>
      <c r="M62" s="334"/>
      <c r="N62" s="158">
        <f t="shared" si="7"/>
        <v>0</v>
      </c>
      <c r="O62" s="158">
        <f t="shared" si="8"/>
        <v>0</v>
      </c>
      <c r="P62" s="4"/>
    </row>
    <row r="63" spans="2:16">
      <c r="B63" s="9" t="str">
        <f t="shared" si="0"/>
        <v/>
      </c>
      <c r="C63" s="153">
        <f>IF(D11="","-",+C62+1)</f>
        <v>2060</v>
      </c>
      <c r="D63" s="159">
        <f>IF(F62+SUM(E$17:E62)=D$10,F62,D$10-SUM(E$17:E62))</f>
        <v>0</v>
      </c>
      <c r="E63" s="160">
        <f t="shared" si="2"/>
        <v>0</v>
      </c>
      <c r="F63" s="159">
        <f t="shared" si="3"/>
        <v>0</v>
      </c>
      <c r="G63" s="161">
        <f t="shared" si="9"/>
        <v>0</v>
      </c>
      <c r="H63" s="142">
        <f t="shared" si="10"/>
        <v>0</v>
      </c>
      <c r="I63" s="156">
        <f t="shared" si="1"/>
        <v>0</v>
      </c>
      <c r="J63" s="156"/>
      <c r="K63" s="334"/>
      <c r="L63" s="158">
        <f t="shared" si="6"/>
        <v>0</v>
      </c>
      <c r="M63" s="334"/>
      <c r="N63" s="158">
        <f t="shared" si="7"/>
        <v>0</v>
      </c>
      <c r="O63" s="158">
        <f t="shared" si="8"/>
        <v>0</v>
      </c>
      <c r="P63" s="4"/>
    </row>
    <row r="64" spans="2:16">
      <c r="B64" s="9" t="str">
        <f t="shared" si="0"/>
        <v/>
      </c>
      <c r="C64" s="153">
        <f>IF(D11="","-",+C63+1)</f>
        <v>2061</v>
      </c>
      <c r="D64" s="159">
        <f>IF(F63+SUM(E$17:E63)=D$10,F63,D$10-SUM(E$17:E63))</f>
        <v>0</v>
      </c>
      <c r="E64" s="160">
        <f t="shared" si="2"/>
        <v>0</v>
      </c>
      <c r="F64" s="159">
        <f t="shared" si="3"/>
        <v>0</v>
      </c>
      <c r="G64" s="161">
        <f t="shared" si="9"/>
        <v>0</v>
      </c>
      <c r="H64" s="142">
        <f t="shared" si="10"/>
        <v>0</v>
      </c>
      <c r="I64" s="156">
        <f t="shared" si="1"/>
        <v>0</v>
      </c>
      <c r="J64" s="156"/>
      <c r="K64" s="334"/>
      <c r="L64" s="158">
        <f t="shared" si="6"/>
        <v>0</v>
      </c>
      <c r="M64" s="334"/>
      <c r="N64" s="158">
        <f t="shared" si="7"/>
        <v>0</v>
      </c>
      <c r="O64" s="158">
        <f t="shared" si="8"/>
        <v>0</v>
      </c>
      <c r="P64" s="4"/>
    </row>
    <row r="65" spans="2:16">
      <c r="B65" s="9" t="str">
        <f t="shared" si="0"/>
        <v/>
      </c>
      <c r="C65" s="153">
        <f>IF(D11="","-",+C64+1)</f>
        <v>2062</v>
      </c>
      <c r="D65" s="159">
        <f>IF(F64+SUM(E$17:E64)=D$10,F64,D$10-SUM(E$17:E64))</f>
        <v>0</v>
      </c>
      <c r="E65" s="160">
        <f t="shared" si="2"/>
        <v>0</v>
      </c>
      <c r="F65" s="159">
        <f t="shared" si="3"/>
        <v>0</v>
      </c>
      <c r="G65" s="161">
        <f t="shared" si="9"/>
        <v>0</v>
      </c>
      <c r="H65" s="142">
        <f t="shared" si="10"/>
        <v>0</v>
      </c>
      <c r="I65" s="156">
        <f t="shared" si="1"/>
        <v>0</v>
      </c>
      <c r="J65" s="156"/>
      <c r="K65" s="334"/>
      <c r="L65" s="158">
        <f t="shared" si="6"/>
        <v>0</v>
      </c>
      <c r="M65" s="334"/>
      <c r="N65" s="158">
        <f t="shared" si="7"/>
        <v>0</v>
      </c>
      <c r="O65" s="158">
        <f t="shared" si="8"/>
        <v>0</v>
      </c>
      <c r="P65" s="4"/>
    </row>
    <row r="66" spans="2:16">
      <c r="B66" s="9" t="str">
        <f t="shared" si="0"/>
        <v/>
      </c>
      <c r="C66" s="153">
        <f>IF(D11="","-",+C65+1)</f>
        <v>2063</v>
      </c>
      <c r="D66" s="159">
        <f>IF(F65+SUM(E$17:E65)=D$10,F65,D$10-SUM(E$17:E65))</f>
        <v>0</v>
      </c>
      <c r="E66" s="160">
        <f t="shared" si="2"/>
        <v>0</v>
      </c>
      <c r="F66" s="159">
        <f t="shared" si="3"/>
        <v>0</v>
      </c>
      <c r="G66" s="161">
        <f t="shared" si="9"/>
        <v>0</v>
      </c>
      <c r="H66" s="142">
        <f t="shared" si="10"/>
        <v>0</v>
      </c>
      <c r="I66" s="156">
        <f t="shared" si="1"/>
        <v>0</v>
      </c>
      <c r="J66" s="156"/>
      <c r="K66" s="334"/>
      <c r="L66" s="158">
        <f t="shared" si="6"/>
        <v>0</v>
      </c>
      <c r="M66" s="334"/>
      <c r="N66" s="158">
        <f t="shared" si="7"/>
        <v>0</v>
      </c>
      <c r="O66" s="158">
        <f t="shared" si="8"/>
        <v>0</v>
      </c>
      <c r="P66" s="4"/>
    </row>
    <row r="67" spans="2:16">
      <c r="B67" s="9" t="str">
        <f t="shared" si="0"/>
        <v/>
      </c>
      <c r="C67" s="153">
        <f>IF(D11="","-",+C66+1)</f>
        <v>2064</v>
      </c>
      <c r="D67" s="159">
        <f>IF(F66+SUM(E$17:E66)=D$10,F66,D$10-SUM(E$17:E66))</f>
        <v>0</v>
      </c>
      <c r="E67" s="160">
        <f t="shared" si="2"/>
        <v>0</v>
      </c>
      <c r="F67" s="159">
        <f t="shared" si="3"/>
        <v>0</v>
      </c>
      <c r="G67" s="161">
        <f t="shared" si="9"/>
        <v>0</v>
      </c>
      <c r="H67" s="142">
        <f t="shared" si="10"/>
        <v>0</v>
      </c>
      <c r="I67" s="156">
        <f t="shared" si="1"/>
        <v>0</v>
      </c>
      <c r="J67" s="156"/>
      <c r="K67" s="334"/>
      <c r="L67" s="158">
        <f t="shared" si="6"/>
        <v>0</v>
      </c>
      <c r="M67" s="334"/>
      <c r="N67" s="158">
        <f t="shared" si="7"/>
        <v>0</v>
      </c>
      <c r="O67" s="158">
        <f t="shared" si="8"/>
        <v>0</v>
      </c>
      <c r="P67" s="4"/>
    </row>
    <row r="68" spans="2:16">
      <c r="B68" s="9" t="str">
        <f t="shared" si="0"/>
        <v/>
      </c>
      <c r="C68" s="153">
        <f>IF(D11="","-",+C67+1)</f>
        <v>2065</v>
      </c>
      <c r="D68" s="159">
        <f>IF(F67+SUM(E$17:E67)=D$10,F67,D$10-SUM(E$17:E67))</f>
        <v>0</v>
      </c>
      <c r="E68" s="160">
        <f t="shared" si="2"/>
        <v>0</v>
      </c>
      <c r="F68" s="159">
        <f t="shared" si="3"/>
        <v>0</v>
      </c>
      <c r="G68" s="161">
        <f t="shared" si="9"/>
        <v>0</v>
      </c>
      <c r="H68" s="142">
        <f t="shared" si="10"/>
        <v>0</v>
      </c>
      <c r="I68" s="156">
        <f t="shared" si="1"/>
        <v>0</v>
      </c>
      <c r="J68" s="156"/>
      <c r="K68" s="334"/>
      <c r="L68" s="158">
        <f t="shared" si="6"/>
        <v>0</v>
      </c>
      <c r="M68" s="334"/>
      <c r="N68" s="158">
        <f t="shared" si="7"/>
        <v>0</v>
      </c>
      <c r="O68" s="158">
        <f t="shared" si="8"/>
        <v>0</v>
      </c>
      <c r="P68" s="4"/>
    </row>
    <row r="69" spans="2:16">
      <c r="B69" s="9" t="str">
        <f t="shared" si="0"/>
        <v/>
      </c>
      <c r="C69" s="153">
        <f>IF(D11="","-",+C68+1)</f>
        <v>2066</v>
      </c>
      <c r="D69" s="159">
        <f>IF(F68+SUM(E$17:E68)=D$10,F68,D$10-SUM(E$17:E68))</f>
        <v>0</v>
      </c>
      <c r="E69" s="160">
        <f t="shared" si="2"/>
        <v>0</v>
      </c>
      <c r="F69" s="159">
        <f t="shared" si="3"/>
        <v>0</v>
      </c>
      <c r="G69" s="161">
        <f t="shared" si="9"/>
        <v>0</v>
      </c>
      <c r="H69" s="142">
        <f t="shared" si="10"/>
        <v>0</v>
      </c>
      <c r="I69" s="156">
        <f t="shared" si="1"/>
        <v>0</v>
      </c>
      <c r="J69" s="156"/>
      <c r="K69" s="334"/>
      <c r="L69" s="158">
        <f t="shared" si="6"/>
        <v>0</v>
      </c>
      <c r="M69" s="334"/>
      <c r="N69" s="158">
        <f t="shared" si="7"/>
        <v>0</v>
      </c>
      <c r="O69" s="158">
        <f t="shared" si="8"/>
        <v>0</v>
      </c>
      <c r="P69" s="4"/>
    </row>
    <row r="70" spans="2:16">
      <c r="B70" s="9" t="str">
        <f t="shared" si="0"/>
        <v/>
      </c>
      <c r="C70" s="153">
        <f>IF(D11="","-",+C69+1)</f>
        <v>2067</v>
      </c>
      <c r="D70" s="159">
        <f>IF(F69+SUM(E$17:E69)=D$10,F69,D$10-SUM(E$17:E69))</f>
        <v>0</v>
      </c>
      <c r="E70" s="160">
        <f t="shared" si="2"/>
        <v>0</v>
      </c>
      <c r="F70" s="159">
        <f t="shared" si="3"/>
        <v>0</v>
      </c>
      <c r="G70" s="161">
        <f t="shared" si="9"/>
        <v>0</v>
      </c>
      <c r="H70" s="142">
        <f t="shared" si="10"/>
        <v>0</v>
      </c>
      <c r="I70" s="156">
        <f t="shared" si="1"/>
        <v>0</v>
      </c>
      <c r="J70" s="156"/>
      <c r="K70" s="334"/>
      <c r="L70" s="158">
        <f t="shared" si="6"/>
        <v>0</v>
      </c>
      <c r="M70" s="334"/>
      <c r="N70" s="158">
        <f t="shared" si="7"/>
        <v>0</v>
      </c>
      <c r="O70" s="158">
        <f t="shared" si="8"/>
        <v>0</v>
      </c>
      <c r="P70" s="4"/>
    </row>
    <row r="71" spans="2:16">
      <c r="B71" s="9" t="str">
        <f t="shared" si="0"/>
        <v/>
      </c>
      <c r="C71" s="153">
        <f>IF(D11="","-",+C70+1)</f>
        <v>2068</v>
      </c>
      <c r="D71" s="159">
        <f>IF(F70+SUM(E$17:E70)=D$10,F70,D$10-SUM(E$17:E70))</f>
        <v>0</v>
      </c>
      <c r="E71" s="160">
        <f t="shared" si="2"/>
        <v>0</v>
      </c>
      <c r="F71" s="159">
        <f t="shared" si="3"/>
        <v>0</v>
      </c>
      <c r="G71" s="161">
        <f t="shared" si="9"/>
        <v>0</v>
      </c>
      <c r="H71" s="142">
        <f t="shared" si="10"/>
        <v>0</v>
      </c>
      <c r="I71" s="156">
        <f t="shared" si="1"/>
        <v>0</v>
      </c>
      <c r="J71" s="156"/>
      <c r="K71" s="334"/>
      <c r="L71" s="158">
        <f t="shared" si="6"/>
        <v>0</v>
      </c>
      <c r="M71" s="334"/>
      <c r="N71" s="158">
        <f t="shared" si="7"/>
        <v>0</v>
      </c>
      <c r="O71" s="158">
        <f t="shared" si="8"/>
        <v>0</v>
      </c>
      <c r="P71" s="4"/>
    </row>
    <row r="72" spans="2:16" ht="13.5" thickBot="1">
      <c r="B72" s="9" t="str">
        <f t="shared" si="0"/>
        <v/>
      </c>
      <c r="C72" s="164">
        <f>IF(D11="","-",+C71+1)</f>
        <v>2069</v>
      </c>
      <c r="D72" s="159">
        <f>IF(F71+SUM(E$17:E71)=D$10,F71,D$10-SUM(E$17:E71))</f>
        <v>0</v>
      </c>
      <c r="E72" s="160">
        <f t="shared" si="2"/>
        <v>0</v>
      </c>
      <c r="F72" s="159">
        <f t="shared" si="3"/>
        <v>0</v>
      </c>
      <c r="G72" s="161">
        <f t="shared" si="9"/>
        <v>0</v>
      </c>
      <c r="H72" s="142">
        <f t="shared" si="10"/>
        <v>0</v>
      </c>
      <c r="I72" s="156">
        <f t="shared" si="1"/>
        <v>0</v>
      </c>
      <c r="J72" s="156"/>
      <c r="K72" s="335"/>
      <c r="L72" s="169">
        <f t="shared" si="6"/>
        <v>0</v>
      </c>
      <c r="M72" s="335"/>
      <c r="N72" s="169">
        <f t="shared" si="7"/>
        <v>0</v>
      </c>
      <c r="O72" s="169">
        <f t="shared" si="8"/>
        <v>0</v>
      </c>
      <c r="P72" s="4"/>
    </row>
    <row r="73" spans="2:16">
      <c r="C73" s="154" t="s">
        <v>73</v>
      </c>
      <c r="D73" s="111"/>
      <c r="E73" s="111">
        <f>SUM(E17:E72)</f>
        <v>9637037.0000000019</v>
      </c>
      <c r="F73" s="111"/>
      <c r="G73" s="111">
        <f>SUM(G17:G72)</f>
        <v>31667480.640265904</v>
      </c>
      <c r="H73" s="111">
        <f>SUM(H17:H72)</f>
        <v>31667480.640265904</v>
      </c>
      <c r="I73" s="111">
        <f>SUM(I17:I72)</f>
        <v>0</v>
      </c>
      <c r="J73" s="111"/>
      <c r="K73" s="111"/>
      <c r="L73" s="111"/>
      <c r="M73" s="111"/>
      <c r="N73" s="111"/>
      <c r="O73" s="4"/>
      <c r="P73" s="4"/>
    </row>
    <row r="74" spans="2:16">
      <c r="D74" s="2"/>
      <c r="E74" s="1"/>
      <c r="F74" s="1"/>
      <c r="G74" s="1"/>
      <c r="H74" s="3"/>
      <c r="I74" s="3"/>
      <c r="J74" s="111"/>
      <c r="K74" s="3"/>
      <c r="L74" s="3"/>
      <c r="M74" s="3"/>
      <c r="N74" s="3"/>
      <c r="O74" s="1"/>
      <c r="P74" s="1"/>
    </row>
    <row r="75" spans="2:16">
      <c r="C75" s="170" t="s">
        <v>91</v>
      </c>
      <c r="D75" s="2"/>
      <c r="E75" s="1"/>
      <c r="F75" s="1"/>
      <c r="G75" s="1"/>
      <c r="H75" s="3"/>
      <c r="I75" s="3"/>
      <c r="J75" s="111"/>
      <c r="K75" s="3"/>
      <c r="L75" s="3"/>
      <c r="M75" s="3"/>
      <c r="N75" s="3"/>
      <c r="O75" s="1"/>
      <c r="P75" s="1"/>
    </row>
    <row r="76" spans="2:16">
      <c r="C76" s="121" t="s">
        <v>74</v>
      </c>
      <c r="D76" s="2"/>
      <c r="E76" s="1"/>
      <c r="F76" s="1"/>
      <c r="G76" s="1"/>
      <c r="H76" s="3"/>
      <c r="I76" s="3"/>
      <c r="J76" s="111"/>
      <c r="K76" s="3"/>
      <c r="L76" s="3"/>
      <c r="M76" s="3"/>
      <c r="N76" s="3"/>
      <c r="O76" s="4"/>
      <c r="P76" s="4"/>
    </row>
    <row r="77" spans="2:16">
      <c r="C77" s="121" t="s">
        <v>75</v>
      </c>
      <c r="D77" s="154"/>
      <c r="E77" s="154"/>
      <c r="F77" s="154"/>
      <c r="G77" s="111"/>
      <c r="H77" s="111"/>
      <c r="I77" s="171"/>
      <c r="J77" s="171"/>
      <c r="K77" s="171"/>
      <c r="L77" s="171"/>
      <c r="M77" s="171"/>
      <c r="N77" s="171"/>
      <c r="O77" s="4"/>
      <c r="P77" s="4"/>
    </row>
    <row r="78" spans="2:16">
      <c r="C78" s="121"/>
      <c r="D78" s="154"/>
      <c r="E78" s="154"/>
      <c r="F78" s="154"/>
      <c r="G78" s="111"/>
      <c r="H78" s="111"/>
      <c r="I78" s="171"/>
      <c r="J78" s="171"/>
      <c r="K78" s="171"/>
      <c r="L78" s="171"/>
      <c r="M78" s="171"/>
      <c r="N78" s="171"/>
      <c r="O78" s="4"/>
      <c r="P78" s="1"/>
    </row>
    <row r="79" spans="2:16">
      <c r="B79" s="1"/>
      <c r="C79" s="21"/>
      <c r="D79" s="2"/>
      <c r="E79" s="1"/>
      <c r="F79" s="107"/>
      <c r="G79" s="1"/>
      <c r="H79" s="3"/>
      <c r="I79" s="1"/>
      <c r="J79" s="4"/>
      <c r="K79" s="1"/>
      <c r="L79" s="1"/>
      <c r="M79" s="1"/>
      <c r="N79" s="1"/>
      <c r="O79" s="1"/>
      <c r="P79" s="1"/>
    </row>
    <row r="80" spans="2:16" ht="18">
      <c r="B80" s="1"/>
      <c r="C80" s="242"/>
      <c r="D80" s="2"/>
      <c r="E80" s="1"/>
      <c r="F80" s="107"/>
      <c r="G80" s="1"/>
      <c r="H80" s="3"/>
      <c r="I80" s="1"/>
      <c r="J80" s="4"/>
      <c r="K80" s="1"/>
      <c r="L80" s="1"/>
      <c r="M80" s="1"/>
      <c r="N80" s="1"/>
      <c r="P80" s="244" t="s">
        <v>125</v>
      </c>
    </row>
    <row r="81" spans="1:16">
      <c r="B81" s="1"/>
      <c r="C81" s="21"/>
      <c r="D81" s="2"/>
      <c r="E81" s="1"/>
      <c r="F81" s="107"/>
      <c r="G81" s="1"/>
      <c r="H81" s="3"/>
      <c r="I81" s="1"/>
      <c r="J81" s="4"/>
      <c r="K81" s="1"/>
      <c r="L81" s="1"/>
      <c r="M81" s="1"/>
      <c r="N81" s="1"/>
      <c r="O81" s="1"/>
      <c r="P81" s="1"/>
    </row>
    <row r="82" spans="1:16">
      <c r="B82" s="1"/>
      <c r="C82" s="21"/>
      <c r="D82" s="2"/>
      <c r="E82" s="1"/>
      <c r="F82" s="107"/>
      <c r="G82" s="1"/>
      <c r="H82" s="3"/>
      <c r="I82" s="1"/>
      <c r="J82" s="4"/>
      <c r="K82" s="1"/>
      <c r="L82" s="1"/>
      <c r="M82" s="1"/>
      <c r="N82" s="1"/>
      <c r="O82" s="1"/>
      <c r="P82" s="1"/>
    </row>
    <row r="83" spans="1:16" ht="20.25">
      <c r="A83" s="243" t="s">
        <v>129</v>
      </c>
      <c r="B83" s="1"/>
      <c r="C83" s="21"/>
      <c r="D83" s="2"/>
      <c r="E83" s="1"/>
      <c r="F83" s="99"/>
      <c r="G83" s="99"/>
      <c r="H83" s="1"/>
      <c r="I83" s="3"/>
      <c r="K83" s="7"/>
      <c r="L83" s="109"/>
      <c r="M83" s="109"/>
      <c r="P83" s="109" t="str">
        <f ca="1">P1</f>
        <v>SWEPCO Project 40 of 73</v>
      </c>
    </row>
    <row r="84" spans="1:16" ht="18">
      <c r="B84" s="1"/>
      <c r="C84" s="1"/>
      <c r="D84" s="2"/>
      <c r="E84" s="1"/>
      <c r="F84" s="1"/>
      <c r="G84" s="1"/>
      <c r="H84" s="1"/>
      <c r="I84" s="3"/>
      <c r="J84" s="1"/>
      <c r="K84" s="4"/>
      <c r="L84" s="1"/>
      <c r="M84" s="1"/>
      <c r="P84" s="244" t="s">
        <v>123</v>
      </c>
    </row>
    <row r="85" spans="1:16" ht="18.75" thickBot="1">
      <c r="B85" s="5" t="s">
        <v>40</v>
      </c>
      <c r="C85" s="197" t="s">
        <v>78</v>
      </c>
      <c r="D85" s="2"/>
      <c r="E85" s="1"/>
      <c r="F85" s="1"/>
      <c r="G85" s="1"/>
      <c r="H85" s="1"/>
      <c r="I85" s="3"/>
      <c r="J85" s="3"/>
      <c r="K85" s="111"/>
      <c r="L85" s="3"/>
      <c r="M85" s="3"/>
      <c r="N85" s="3"/>
      <c r="O85" s="111"/>
      <c r="P85" s="1"/>
    </row>
    <row r="86" spans="1:16" ht="15.75" thickBot="1">
      <c r="C86" s="67"/>
      <c r="D86" s="2"/>
      <c r="E86" s="1"/>
      <c r="F86" s="1"/>
      <c r="G86" s="1"/>
      <c r="H86" s="1"/>
      <c r="I86" s="3"/>
      <c r="J86" s="3"/>
      <c r="K86" s="111"/>
      <c r="L86" s="265">
        <f>+J92</f>
        <v>2017</v>
      </c>
      <c r="M86" s="266" t="s">
        <v>7</v>
      </c>
      <c r="N86" s="270" t="s">
        <v>154</v>
      </c>
      <c r="O86" s="267" t="s">
        <v>9</v>
      </c>
      <c r="P86" s="1"/>
    </row>
    <row r="87" spans="1:16" ht="15">
      <c r="C87" s="235" t="s">
        <v>42</v>
      </c>
      <c r="D87" s="2"/>
      <c r="E87" s="1"/>
      <c r="F87" s="1"/>
      <c r="G87" s="1"/>
      <c r="H87" s="113"/>
      <c r="I87" s="1" t="s">
        <v>43</v>
      </c>
      <c r="J87" s="1"/>
      <c r="K87" s="261"/>
      <c r="L87" s="259" t="s">
        <v>381</v>
      </c>
      <c r="M87" s="198">
        <f>IF(J92&lt;D11,0,VLOOKUP(J92,C17:O72,9))</f>
        <v>1328554.8298028773</v>
      </c>
      <c r="N87" s="198">
        <f>IF(J92&lt;D11,0,VLOOKUP(J92,C17:O72,11))</f>
        <v>1328554.8298028773</v>
      </c>
      <c r="O87" s="199">
        <f>+N87-M87</f>
        <v>0</v>
      </c>
      <c r="P87" s="1"/>
    </row>
    <row r="88" spans="1:16" ht="15.75">
      <c r="C88" s="8"/>
      <c r="D88" s="2"/>
      <c r="E88" s="1"/>
      <c r="F88" s="1"/>
      <c r="G88" s="1"/>
      <c r="H88" s="1"/>
      <c r="I88" s="117"/>
      <c r="J88" s="117"/>
      <c r="K88" s="263"/>
      <c r="L88" s="264" t="s">
        <v>382</v>
      </c>
      <c r="M88" s="200">
        <f>IF(J92&lt;D11,0,VLOOKUP(J92,C99:P154,6))</f>
        <v>1312464.9769978134</v>
      </c>
      <c r="N88" s="200">
        <f>IF(J92&lt;D11,0,VLOOKUP(J92,C99:P154,7))</f>
        <v>1312464.9769978134</v>
      </c>
      <c r="O88" s="201">
        <f>+N88-M88</f>
        <v>0</v>
      </c>
      <c r="P88" s="1"/>
    </row>
    <row r="89" spans="1:16" ht="13.5" thickBot="1">
      <c r="C89" s="121" t="s">
        <v>79</v>
      </c>
      <c r="D89" s="246" t="str">
        <f>+D7</f>
        <v xml:space="preserve">Rock Hill to Carthage 69 kV Rebuild 11.4 Miles </v>
      </c>
      <c r="E89" s="1"/>
      <c r="F89" s="1"/>
      <c r="G89" s="1"/>
      <c r="H89" s="1"/>
      <c r="I89" s="3"/>
      <c r="J89" s="3"/>
      <c r="K89" s="262"/>
      <c r="L89" s="260" t="s">
        <v>151</v>
      </c>
      <c r="M89" s="203">
        <f>+M88-M87</f>
        <v>-16089.852805063827</v>
      </c>
      <c r="N89" s="203">
        <f>+N88-N87</f>
        <v>-16089.852805063827</v>
      </c>
      <c r="O89" s="204">
        <f>+O88-O87</f>
        <v>0</v>
      </c>
      <c r="P89" s="1"/>
    </row>
    <row r="90" spans="1:16" ht="13.5" thickBot="1">
      <c r="C90" s="170"/>
      <c r="D90" s="173" t="str">
        <f>D8</f>
        <v/>
      </c>
      <c r="E90" s="107"/>
      <c r="F90" s="107"/>
      <c r="G90" s="107"/>
      <c r="H90" s="126"/>
      <c r="I90" s="3"/>
      <c r="J90" s="3"/>
      <c r="K90" s="111"/>
      <c r="L90" s="3"/>
      <c r="M90" s="3"/>
      <c r="N90" s="3"/>
      <c r="O90" s="111"/>
      <c r="P90" s="1"/>
    </row>
    <row r="91" spans="1:16" ht="13.5" thickBot="1">
      <c r="A91" s="103"/>
      <c r="C91" s="205" t="s">
        <v>80</v>
      </c>
      <c r="D91" s="224" t="str">
        <f>+D9</f>
        <v>TP20100102</v>
      </c>
      <c r="E91" s="401" t="s">
        <v>314</v>
      </c>
      <c r="F91" s="206"/>
      <c r="G91" s="206"/>
      <c r="H91" s="206"/>
      <c r="I91" s="206"/>
      <c r="J91" s="206"/>
      <c r="K91" s="207"/>
      <c r="P91" s="131"/>
    </row>
    <row r="92" spans="1:16">
      <c r="C92" s="136" t="s">
        <v>47</v>
      </c>
      <c r="D92" s="133">
        <f>IF(D11=I10,0,D10)</f>
        <v>9637037</v>
      </c>
      <c r="E92" s="21" t="s">
        <v>81</v>
      </c>
      <c r="H92" s="134"/>
      <c r="I92" s="134"/>
      <c r="J92" s="135">
        <f>+'SWE.WS.G.BPU.ATRR.True-up'!M15</f>
        <v>2017</v>
      </c>
      <c r="K92" s="130"/>
      <c r="L92" s="111" t="s">
        <v>82</v>
      </c>
      <c r="P92" s="4"/>
    </row>
    <row r="93" spans="1:16">
      <c r="C93" s="136" t="s">
        <v>49</v>
      </c>
      <c r="D93" s="219">
        <f>IF(D11=I10,"",D11)</f>
        <v>2014</v>
      </c>
      <c r="E93" s="136" t="s">
        <v>50</v>
      </c>
      <c r="F93" s="134"/>
      <c r="G93" s="134"/>
      <c r="J93" s="138">
        <f>IF(H87="",0,'SWE.WS.G.BPU.ATRR.True-up'!$F$12)</f>
        <v>0</v>
      </c>
      <c r="K93" s="139"/>
      <c r="L93" t="str">
        <f>"          INPUT TRUE-UP ARR (WITH &amp; WITHOUT INCENTIVES) FROM EACH PRIOR YEAR"</f>
        <v xml:space="preserve">          INPUT TRUE-UP ARR (WITH &amp; WITHOUT INCENTIVES) FROM EACH PRIOR YEAR</v>
      </c>
      <c r="P93" s="4"/>
    </row>
    <row r="94" spans="1:16">
      <c r="C94" s="136" t="s">
        <v>51</v>
      </c>
      <c r="D94" s="218">
        <f>IF(D11=I10,"",D12)</f>
        <v>6</v>
      </c>
      <c r="E94" s="136" t="s">
        <v>52</v>
      </c>
      <c r="F94" s="134"/>
      <c r="G94" s="134"/>
      <c r="J94" s="140">
        <f>'SWE.WS.G.BPU.ATRR.True-up'!$F$80</f>
        <v>0.12147145768398206</v>
      </c>
      <c r="K94" s="141"/>
      <c r="L94" t="s">
        <v>83</v>
      </c>
      <c r="P94" s="4"/>
    </row>
    <row r="95" spans="1:16">
      <c r="C95" s="136" t="s">
        <v>54</v>
      </c>
      <c r="D95" s="138">
        <f>'SWE.WS.G.BPU.ATRR.True-up'!F$92</f>
        <v>42</v>
      </c>
      <c r="E95" s="136" t="s">
        <v>55</v>
      </c>
      <c r="F95" s="134"/>
      <c r="G95" s="134"/>
      <c r="J95" s="140">
        <f>IF(H87="",J94,'SWE.WS.G.BPU.ATRR.True-up'!$F$79)</f>
        <v>0.12147145768398206</v>
      </c>
      <c r="K95" s="58"/>
      <c r="L95" s="111" t="s">
        <v>56</v>
      </c>
      <c r="M95" s="58"/>
      <c r="N95" s="58"/>
      <c r="O95" s="58"/>
      <c r="P95" s="4"/>
    </row>
    <row r="96" spans="1:16" ht="13.5" thickBot="1">
      <c r="C96" s="136" t="s">
        <v>57</v>
      </c>
      <c r="D96" s="220" t="str">
        <f>+D14</f>
        <v>No</v>
      </c>
      <c r="E96" s="202" t="s">
        <v>59</v>
      </c>
      <c r="F96" s="208"/>
      <c r="G96" s="208"/>
      <c r="H96" s="209"/>
      <c r="I96" s="209"/>
      <c r="J96" s="124">
        <f>IF(D92=0,0,D92/D95)</f>
        <v>229453.26190476189</v>
      </c>
      <c r="K96" s="111"/>
      <c r="L96" s="111"/>
      <c r="M96" s="111"/>
      <c r="N96" s="111"/>
      <c r="O96" s="111"/>
      <c r="P96" s="4"/>
    </row>
    <row r="97" spans="1:16" ht="38.25">
      <c r="A97" s="6"/>
      <c r="B97" s="6"/>
      <c r="C97" s="210" t="s">
        <v>47</v>
      </c>
      <c r="D97" s="211" t="s">
        <v>60</v>
      </c>
      <c r="E97" s="146" t="s">
        <v>61</v>
      </c>
      <c r="F97" s="146" t="s">
        <v>62</v>
      </c>
      <c r="G97" s="144" t="s">
        <v>84</v>
      </c>
      <c r="H97" s="434" t="s">
        <v>378</v>
      </c>
      <c r="I97" s="435" t="s">
        <v>379</v>
      </c>
      <c r="J97" s="210" t="s">
        <v>85</v>
      </c>
      <c r="K97" s="212"/>
      <c r="L97" s="271" t="s">
        <v>220</v>
      </c>
      <c r="M97" s="146" t="s">
        <v>86</v>
      </c>
      <c r="N97" s="271" t="s">
        <v>220</v>
      </c>
      <c r="O97" s="146" t="s">
        <v>86</v>
      </c>
      <c r="P97" s="146" t="s">
        <v>65</v>
      </c>
    </row>
    <row r="98" spans="1:16" ht="13.5" thickBot="1">
      <c r="C98" s="147" t="s">
        <v>66</v>
      </c>
      <c r="D98" s="213" t="s">
        <v>67</v>
      </c>
      <c r="E98" s="147" t="s">
        <v>68</v>
      </c>
      <c r="F98" s="147" t="s">
        <v>67</v>
      </c>
      <c r="G98" s="147" t="s">
        <v>67</v>
      </c>
      <c r="H98" s="407" t="s">
        <v>69</v>
      </c>
      <c r="I98" s="148" t="s">
        <v>70</v>
      </c>
      <c r="J98" s="149" t="s">
        <v>89</v>
      </c>
      <c r="K98" s="150"/>
      <c r="L98" s="151" t="s">
        <v>72</v>
      </c>
      <c r="M98" s="151" t="s">
        <v>72</v>
      </c>
      <c r="N98" s="151" t="s">
        <v>90</v>
      </c>
      <c r="O98" s="151" t="s">
        <v>90</v>
      </c>
      <c r="P98" s="151" t="s">
        <v>90</v>
      </c>
    </row>
    <row r="99" spans="1:16" ht="13.5" thickBot="1">
      <c r="C99" s="153">
        <f>IF(D93= "","-",D93)</f>
        <v>2014</v>
      </c>
      <c r="D99" s="409">
        <v>0</v>
      </c>
      <c r="E99" s="410">
        <v>152968.84126984127</v>
      </c>
      <c r="F99" s="411">
        <v>9484068.1587301586</v>
      </c>
      <c r="G99" s="412">
        <v>4742034.0793650793</v>
      </c>
      <c r="H99" s="413">
        <v>797522.51965819846</v>
      </c>
      <c r="I99" s="414">
        <v>797522.51965819846</v>
      </c>
      <c r="J99" s="422">
        <v>0</v>
      </c>
      <c r="K99" s="158"/>
      <c r="L99" s="258">
        <f>H99</f>
        <v>797522.51965819846</v>
      </c>
      <c r="M99" s="257">
        <f>IF(L99&lt;&gt;0,+H99-L99,0)</f>
        <v>0</v>
      </c>
      <c r="N99" s="258">
        <f>I99</f>
        <v>797522.51965819846</v>
      </c>
      <c r="O99" s="158">
        <f>IF(N99&lt;&gt;0,+I99-N99,0)</f>
        <v>0</v>
      </c>
      <c r="P99" s="158">
        <f>+O99-M99</f>
        <v>0</v>
      </c>
    </row>
    <row r="100" spans="1:16" ht="13.5" thickBot="1">
      <c r="B100" s="9" t="str">
        <f>IF(D100=F99,"","IU")</f>
        <v/>
      </c>
      <c r="C100" s="153">
        <f>IF(D93="","-",+C99+1)</f>
        <v>2015</v>
      </c>
      <c r="D100" s="409">
        <v>9484068.1587301586</v>
      </c>
      <c r="E100" s="410">
        <v>229453.26190476189</v>
      </c>
      <c r="F100" s="411">
        <v>9254614.8968253974</v>
      </c>
      <c r="G100" s="412">
        <v>9369341.527777778</v>
      </c>
      <c r="H100" s="413">
        <v>1464040.8814475967</v>
      </c>
      <c r="I100" s="414">
        <v>1464040.8814475967</v>
      </c>
      <c r="J100" s="158">
        <f>+I100-H100</f>
        <v>0</v>
      </c>
      <c r="K100" s="158"/>
      <c r="L100" s="258">
        <f>H100</f>
        <v>1464040.8814475967</v>
      </c>
      <c r="M100" s="257">
        <f>IF(L100&lt;&gt;0,+H100-L100,0)</f>
        <v>0</v>
      </c>
      <c r="N100" s="258">
        <f>I100</f>
        <v>1464040.8814475967</v>
      </c>
      <c r="O100" s="158">
        <f>IF(N100&lt;&gt;0,+I100-N100,0)</f>
        <v>0</v>
      </c>
      <c r="P100" s="158">
        <f>+O100-M100</f>
        <v>0</v>
      </c>
    </row>
    <row r="101" spans="1:16">
      <c r="B101" s="9" t="str">
        <f t="shared" ref="B101:B154" si="11">IF(D101=F100,"","IU")</f>
        <v/>
      </c>
      <c r="C101" s="153">
        <f>IF(D93="","-",+C100+1)</f>
        <v>2016</v>
      </c>
      <c r="D101" s="409">
        <v>9254614.8968253974</v>
      </c>
      <c r="E101" s="410">
        <v>224117.13953488372</v>
      </c>
      <c r="F101" s="411">
        <v>9030497.7572905142</v>
      </c>
      <c r="G101" s="412">
        <v>9142556.3270579558</v>
      </c>
      <c r="H101" s="413">
        <v>1384764.5581805804</v>
      </c>
      <c r="I101" s="414">
        <v>1384764.5581805804</v>
      </c>
      <c r="J101" s="158">
        <v>0</v>
      </c>
      <c r="K101" s="158"/>
      <c r="L101" s="258">
        <f>H101</f>
        <v>1384764.5581805804</v>
      </c>
      <c r="M101" s="257">
        <f>IF(L101&lt;&gt;0,+H101-L101,0)</f>
        <v>0</v>
      </c>
      <c r="N101" s="258">
        <f>I101</f>
        <v>1384764.5581805804</v>
      </c>
      <c r="O101" s="158">
        <f>IF(N101&lt;&gt;0,+I101-N101,0)</f>
        <v>0</v>
      </c>
      <c r="P101" s="158">
        <f>+O101-M101</f>
        <v>0</v>
      </c>
    </row>
    <row r="102" spans="1:16">
      <c r="B102" s="9" t="str">
        <f t="shared" si="11"/>
        <v/>
      </c>
      <c r="C102" s="153">
        <f>IF(D93="","-",+C101+1)</f>
        <v>2017</v>
      </c>
      <c r="D102" s="154">
        <f>IF(F101+SUM(E$99:E101)=D$92,F101,D$92-SUM(E$99:E101))</f>
        <v>9030497.7572905142</v>
      </c>
      <c r="E102" s="160">
        <f t="shared" ref="E102:E154" si="12">IF(+$J$96&lt;F101,$J$96,D102)</f>
        <v>229453.26190476189</v>
      </c>
      <c r="F102" s="159">
        <f t="shared" ref="F102:F154" si="13">+D102-E102</f>
        <v>8801044.495385753</v>
      </c>
      <c r="G102" s="159">
        <f t="shared" ref="G102:G154" si="14">+(F102+D102)/2</f>
        <v>8915771.1263381336</v>
      </c>
      <c r="H102" s="163">
        <f t="shared" ref="H102:H154" si="15">+J$94*G102+E102</f>
        <v>1312464.9769978134</v>
      </c>
      <c r="I102" s="253">
        <f t="shared" ref="I102:I154" si="16">+J$95*G102+E102</f>
        <v>1312464.9769978134</v>
      </c>
      <c r="J102" s="158">
        <f t="shared" ref="J102:J154" si="17">+I102-H102</f>
        <v>0</v>
      </c>
      <c r="K102" s="158"/>
      <c r="L102" s="334"/>
      <c r="M102" s="158">
        <f t="shared" ref="M102:M130" si="18">IF(L102&lt;&gt;0,+H102-L102,0)</f>
        <v>0</v>
      </c>
      <c r="N102" s="334"/>
      <c r="O102" s="158">
        <f t="shared" ref="O102:O130" si="19">IF(N102&lt;&gt;0,+I102-N102,0)</f>
        <v>0</v>
      </c>
      <c r="P102" s="158">
        <f t="shared" ref="P102:P130" si="20">+O102-M102</f>
        <v>0</v>
      </c>
    </row>
    <row r="103" spans="1:16">
      <c r="B103" s="9" t="str">
        <f t="shared" si="11"/>
        <v/>
      </c>
      <c r="C103" s="153">
        <f>IF(D93="","-",+C102+1)</f>
        <v>2018</v>
      </c>
      <c r="D103" s="154">
        <f>IF(F102+SUM(E$99:E102)=D$92,F102,D$92-SUM(E$99:E102))</f>
        <v>8801044.495385753</v>
      </c>
      <c r="E103" s="160">
        <f t="shared" si="12"/>
        <v>229453.26190476189</v>
      </c>
      <c r="F103" s="159">
        <f t="shared" si="13"/>
        <v>8571591.2334809918</v>
      </c>
      <c r="G103" s="159">
        <f t="shared" si="14"/>
        <v>8686317.8644333724</v>
      </c>
      <c r="H103" s="163">
        <f t="shared" si="15"/>
        <v>1284592.9548038978</v>
      </c>
      <c r="I103" s="253">
        <f t="shared" si="16"/>
        <v>1284592.9548038978</v>
      </c>
      <c r="J103" s="158">
        <f t="shared" si="17"/>
        <v>0</v>
      </c>
      <c r="K103" s="158"/>
      <c r="L103" s="334"/>
      <c r="M103" s="158">
        <f t="shared" si="18"/>
        <v>0</v>
      </c>
      <c r="N103" s="334"/>
      <c r="O103" s="158">
        <f t="shared" si="19"/>
        <v>0</v>
      </c>
      <c r="P103" s="158">
        <f t="shared" si="20"/>
        <v>0</v>
      </c>
    </row>
    <row r="104" spans="1:16">
      <c r="B104" s="9" t="str">
        <f t="shared" si="11"/>
        <v/>
      </c>
      <c r="C104" s="153">
        <f>IF(D93="","-",+C103+1)</f>
        <v>2019</v>
      </c>
      <c r="D104" s="154">
        <f>IF(F103+SUM(E$99:E103)=D$92,F103,D$92-SUM(E$99:E103))</f>
        <v>8571591.2334809918</v>
      </c>
      <c r="E104" s="160">
        <f t="shared" si="12"/>
        <v>229453.26190476189</v>
      </c>
      <c r="F104" s="159">
        <f t="shared" si="13"/>
        <v>8342137.9715762297</v>
      </c>
      <c r="G104" s="159">
        <f t="shared" si="14"/>
        <v>8456864.6025286112</v>
      </c>
      <c r="H104" s="163">
        <f t="shared" si="15"/>
        <v>1256720.9326099819</v>
      </c>
      <c r="I104" s="253">
        <f t="shared" si="16"/>
        <v>1256720.9326099819</v>
      </c>
      <c r="J104" s="158">
        <f t="shared" si="17"/>
        <v>0</v>
      </c>
      <c r="K104" s="158"/>
      <c r="L104" s="334"/>
      <c r="M104" s="158">
        <f t="shared" si="18"/>
        <v>0</v>
      </c>
      <c r="N104" s="334"/>
      <c r="O104" s="158">
        <f t="shared" si="19"/>
        <v>0</v>
      </c>
      <c r="P104" s="158">
        <f t="shared" si="20"/>
        <v>0</v>
      </c>
    </row>
    <row r="105" spans="1:16">
      <c r="B105" s="9" t="str">
        <f t="shared" si="11"/>
        <v/>
      </c>
      <c r="C105" s="153">
        <f>IF(D93="","-",+C104+1)</f>
        <v>2020</v>
      </c>
      <c r="D105" s="154">
        <f>IF(F104+SUM(E$99:E104)=D$92,F104,D$92-SUM(E$99:E104))</f>
        <v>8342137.9715762297</v>
      </c>
      <c r="E105" s="160">
        <f t="shared" si="12"/>
        <v>229453.26190476189</v>
      </c>
      <c r="F105" s="159">
        <f t="shared" si="13"/>
        <v>8112684.7096714675</v>
      </c>
      <c r="G105" s="159">
        <f t="shared" si="14"/>
        <v>8227411.3406238481</v>
      </c>
      <c r="H105" s="163">
        <f t="shared" si="15"/>
        <v>1228848.9104160657</v>
      </c>
      <c r="I105" s="253">
        <f t="shared" si="16"/>
        <v>1228848.9104160657</v>
      </c>
      <c r="J105" s="158">
        <f t="shared" si="17"/>
        <v>0</v>
      </c>
      <c r="K105" s="158"/>
      <c r="L105" s="334"/>
      <c r="M105" s="158">
        <f t="shared" si="18"/>
        <v>0</v>
      </c>
      <c r="N105" s="334"/>
      <c r="O105" s="158">
        <f t="shared" si="19"/>
        <v>0</v>
      </c>
      <c r="P105" s="158">
        <f t="shared" si="20"/>
        <v>0</v>
      </c>
    </row>
    <row r="106" spans="1:16">
      <c r="B106" s="9" t="str">
        <f t="shared" si="11"/>
        <v/>
      </c>
      <c r="C106" s="153">
        <f>IF(D93="","-",+C105+1)</f>
        <v>2021</v>
      </c>
      <c r="D106" s="154">
        <f>IF(F105+SUM(E$99:E105)=D$92,F105,D$92-SUM(E$99:E105))</f>
        <v>8112684.7096714675</v>
      </c>
      <c r="E106" s="160">
        <f t="shared" si="12"/>
        <v>229453.26190476189</v>
      </c>
      <c r="F106" s="159">
        <f t="shared" si="13"/>
        <v>7883231.4477667054</v>
      </c>
      <c r="G106" s="159">
        <f t="shared" si="14"/>
        <v>7997958.0787190869</v>
      </c>
      <c r="H106" s="163">
        <f t="shared" si="15"/>
        <v>1200976.88822215</v>
      </c>
      <c r="I106" s="253">
        <f t="shared" si="16"/>
        <v>1200976.88822215</v>
      </c>
      <c r="J106" s="158">
        <f t="shared" si="17"/>
        <v>0</v>
      </c>
      <c r="K106" s="158"/>
      <c r="L106" s="334"/>
      <c r="M106" s="158">
        <f t="shared" si="18"/>
        <v>0</v>
      </c>
      <c r="N106" s="334"/>
      <c r="O106" s="158">
        <f t="shared" si="19"/>
        <v>0</v>
      </c>
      <c r="P106" s="158">
        <f t="shared" si="20"/>
        <v>0</v>
      </c>
    </row>
    <row r="107" spans="1:16">
      <c r="B107" s="9" t="str">
        <f t="shared" si="11"/>
        <v/>
      </c>
      <c r="C107" s="153">
        <f>IF(D93="","-",+C106+1)</f>
        <v>2022</v>
      </c>
      <c r="D107" s="154">
        <f>IF(F106+SUM(E$99:E106)=D$92,F106,D$92-SUM(E$99:E106))</f>
        <v>7883231.4477667054</v>
      </c>
      <c r="E107" s="160">
        <f t="shared" si="12"/>
        <v>229453.26190476189</v>
      </c>
      <c r="F107" s="159">
        <f t="shared" si="13"/>
        <v>7653778.1858619433</v>
      </c>
      <c r="G107" s="159">
        <f t="shared" si="14"/>
        <v>7768504.8168143239</v>
      </c>
      <c r="H107" s="163">
        <f t="shared" si="15"/>
        <v>1173104.8660282339</v>
      </c>
      <c r="I107" s="253">
        <f t="shared" si="16"/>
        <v>1173104.8660282339</v>
      </c>
      <c r="J107" s="158">
        <f t="shared" si="17"/>
        <v>0</v>
      </c>
      <c r="K107" s="158"/>
      <c r="L107" s="334"/>
      <c r="M107" s="158">
        <f t="shared" si="18"/>
        <v>0</v>
      </c>
      <c r="N107" s="334"/>
      <c r="O107" s="158">
        <f t="shared" si="19"/>
        <v>0</v>
      </c>
      <c r="P107" s="158">
        <f t="shared" si="20"/>
        <v>0</v>
      </c>
    </row>
    <row r="108" spans="1:16">
      <c r="B108" s="9" t="str">
        <f t="shared" si="11"/>
        <v/>
      </c>
      <c r="C108" s="153">
        <f>IF(D93="","-",+C107+1)</f>
        <v>2023</v>
      </c>
      <c r="D108" s="154">
        <f>IF(F107+SUM(E$99:E107)=D$92,F107,D$92-SUM(E$99:E107))</f>
        <v>7653778.1858619433</v>
      </c>
      <c r="E108" s="160">
        <f t="shared" si="12"/>
        <v>229453.26190476189</v>
      </c>
      <c r="F108" s="159">
        <f t="shared" si="13"/>
        <v>7424324.9239571812</v>
      </c>
      <c r="G108" s="159">
        <f t="shared" si="14"/>
        <v>7539051.5549095627</v>
      </c>
      <c r="H108" s="163">
        <f t="shared" si="15"/>
        <v>1145232.843834318</v>
      </c>
      <c r="I108" s="253">
        <f t="shared" si="16"/>
        <v>1145232.843834318</v>
      </c>
      <c r="J108" s="158">
        <f t="shared" si="17"/>
        <v>0</v>
      </c>
      <c r="K108" s="158"/>
      <c r="L108" s="334"/>
      <c r="M108" s="158">
        <f t="shared" si="18"/>
        <v>0</v>
      </c>
      <c r="N108" s="334"/>
      <c r="O108" s="158">
        <f t="shared" si="19"/>
        <v>0</v>
      </c>
      <c r="P108" s="158">
        <f t="shared" si="20"/>
        <v>0</v>
      </c>
    </row>
    <row r="109" spans="1:16">
      <c r="B109" s="9" t="str">
        <f t="shared" si="11"/>
        <v/>
      </c>
      <c r="C109" s="153">
        <f>IF(D93="","-",+C108+1)</f>
        <v>2024</v>
      </c>
      <c r="D109" s="154">
        <f>IF(F108+SUM(E$99:E108)=D$92,F108,D$92-SUM(E$99:E108))</f>
        <v>7424324.9239571812</v>
      </c>
      <c r="E109" s="160">
        <f t="shared" si="12"/>
        <v>229453.26190476189</v>
      </c>
      <c r="F109" s="159">
        <f t="shared" si="13"/>
        <v>7194871.662052419</v>
      </c>
      <c r="G109" s="159">
        <f t="shared" si="14"/>
        <v>7309598.2930047996</v>
      </c>
      <c r="H109" s="163">
        <f t="shared" si="15"/>
        <v>1117360.8216404018</v>
      </c>
      <c r="I109" s="253">
        <f t="shared" si="16"/>
        <v>1117360.8216404018</v>
      </c>
      <c r="J109" s="158">
        <f t="shared" si="17"/>
        <v>0</v>
      </c>
      <c r="K109" s="158"/>
      <c r="L109" s="334"/>
      <c r="M109" s="158">
        <f t="shared" si="18"/>
        <v>0</v>
      </c>
      <c r="N109" s="334"/>
      <c r="O109" s="158">
        <f t="shared" si="19"/>
        <v>0</v>
      </c>
      <c r="P109" s="158">
        <f t="shared" si="20"/>
        <v>0</v>
      </c>
    </row>
    <row r="110" spans="1:16">
      <c r="B110" s="9" t="str">
        <f t="shared" si="11"/>
        <v/>
      </c>
      <c r="C110" s="153">
        <f>IF(D93="","-",+C109+1)</f>
        <v>2025</v>
      </c>
      <c r="D110" s="154">
        <f>IF(F109+SUM(E$99:E109)=D$92,F109,D$92-SUM(E$99:E109))</f>
        <v>7194871.662052419</v>
      </c>
      <c r="E110" s="160">
        <f t="shared" si="12"/>
        <v>229453.26190476189</v>
      </c>
      <c r="F110" s="159">
        <f t="shared" si="13"/>
        <v>6965418.4001476569</v>
      </c>
      <c r="G110" s="159">
        <f t="shared" si="14"/>
        <v>7080145.0311000384</v>
      </c>
      <c r="H110" s="163">
        <f t="shared" si="15"/>
        <v>1089488.7994464859</v>
      </c>
      <c r="I110" s="253">
        <f t="shared" si="16"/>
        <v>1089488.7994464859</v>
      </c>
      <c r="J110" s="158">
        <f t="shared" si="17"/>
        <v>0</v>
      </c>
      <c r="K110" s="158"/>
      <c r="L110" s="334"/>
      <c r="M110" s="158">
        <f t="shared" si="18"/>
        <v>0</v>
      </c>
      <c r="N110" s="334"/>
      <c r="O110" s="158">
        <f t="shared" si="19"/>
        <v>0</v>
      </c>
      <c r="P110" s="158">
        <f t="shared" si="20"/>
        <v>0</v>
      </c>
    </row>
    <row r="111" spans="1:16">
      <c r="B111" s="9" t="str">
        <f t="shared" si="11"/>
        <v/>
      </c>
      <c r="C111" s="153">
        <f>IF(D93="","-",+C110+1)</f>
        <v>2026</v>
      </c>
      <c r="D111" s="154">
        <f>IF(F110+SUM(E$99:E110)=D$92,F110,D$92-SUM(E$99:E110))</f>
        <v>6965418.4001476569</v>
      </c>
      <c r="E111" s="160">
        <f t="shared" si="12"/>
        <v>229453.26190476189</v>
      </c>
      <c r="F111" s="159">
        <f t="shared" si="13"/>
        <v>6735965.1382428948</v>
      </c>
      <c r="G111" s="159">
        <f t="shared" si="14"/>
        <v>6850691.7691952754</v>
      </c>
      <c r="H111" s="163">
        <f t="shared" si="15"/>
        <v>1061616.7772525698</v>
      </c>
      <c r="I111" s="253">
        <f t="shared" si="16"/>
        <v>1061616.7772525698</v>
      </c>
      <c r="J111" s="158">
        <f t="shared" si="17"/>
        <v>0</v>
      </c>
      <c r="K111" s="158"/>
      <c r="L111" s="334"/>
      <c r="M111" s="158">
        <f t="shared" si="18"/>
        <v>0</v>
      </c>
      <c r="N111" s="334"/>
      <c r="O111" s="158">
        <f t="shared" si="19"/>
        <v>0</v>
      </c>
      <c r="P111" s="158">
        <f t="shared" si="20"/>
        <v>0</v>
      </c>
    </row>
    <row r="112" spans="1:16">
      <c r="B112" s="9" t="str">
        <f t="shared" si="11"/>
        <v/>
      </c>
      <c r="C112" s="153">
        <f>IF(D93="","-",+C111+1)</f>
        <v>2027</v>
      </c>
      <c r="D112" s="154">
        <f>IF(F111+SUM(E$99:E111)=D$92,F111,D$92-SUM(E$99:E111))</f>
        <v>6735965.1382428948</v>
      </c>
      <c r="E112" s="160">
        <f t="shared" si="12"/>
        <v>229453.26190476189</v>
      </c>
      <c r="F112" s="159">
        <f t="shared" si="13"/>
        <v>6506511.8763381327</v>
      </c>
      <c r="G112" s="159">
        <f t="shared" si="14"/>
        <v>6621238.5072905142</v>
      </c>
      <c r="H112" s="163">
        <f t="shared" si="15"/>
        <v>1033744.7550586541</v>
      </c>
      <c r="I112" s="253">
        <f t="shared" si="16"/>
        <v>1033744.7550586541</v>
      </c>
      <c r="J112" s="158">
        <f t="shared" si="17"/>
        <v>0</v>
      </c>
      <c r="K112" s="158"/>
      <c r="L112" s="334"/>
      <c r="M112" s="158">
        <f t="shared" si="18"/>
        <v>0</v>
      </c>
      <c r="N112" s="334"/>
      <c r="O112" s="158">
        <f t="shared" si="19"/>
        <v>0</v>
      </c>
      <c r="P112" s="158">
        <f t="shared" si="20"/>
        <v>0</v>
      </c>
    </row>
    <row r="113" spans="2:16">
      <c r="B113" s="9" t="str">
        <f t="shared" si="11"/>
        <v/>
      </c>
      <c r="C113" s="153">
        <f>IF(D93="","-",+C112+1)</f>
        <v>2028</v>
      </c>
      <c r="D113" s="154">
        <f>IF(F112+SUM(E$99:E112)=D$92,F112,D$92-SUM(E$99:E112))</f>
        <v>6506511.8763381327</v>
      </c>
      <c r="E113" s="160">
        <f t="shared" si="12"/>
        <v>229453.26190476189</v>
      </c>
      <c r="F113" s="159">
        <f t="shared" si="13"/>
        <v>6277058.6144333705</v>
      </c>
      <c r="G113" s="159">
        <f t="shared" si="14"/>
        <v>6391785.2453857511</v>
      </c>
      <c r="H113" s="163">
        <f t="shared" si="15"/>
        <v>1005872.732864738</v>
      </c>
      <c r="I113" s="253">
        <f t="shared" si="16"/>
        <v>1005872.732864738</v>
      </c>
      <c r="J113" s="158">
        <f t="shared" si="17"/>
        <v>0</v>
      </c>
      <c r="K113" s="158"/>
      <c r="L113" s="334"/>
      <c r="M113" s="158">
        <f t="shared" si="18"/>
        <v>0</v>
      </c>
      <c r="N113" s="334"/>
      <c r="O113" s="158">
        <f t="shared" si="19"/>
        <v>0</v>
      </c>
      <c r="P113" s="158">
        <f t="shared" si="20"/>
        <v>0</v>
      </c>
    </row>
    <row r="114" spans="2:16">
      <c r="B114" s="9" t="str">
        <f t="shared" si="11"/>
        <v/>
      </c>
      <c r="C114" s="153">
        <f>IF(D93="","-",+C113+1)</f>
        <v>2029</v>
      </c>
      <c r="D114" s="154">
        <f>IF(F113+SUM(E$99:E113)=D$92,F113,D$92-SUM(E$99:E113))</f>
        <v>6277058.6144333705</v>
      </c>
      <c r="E114" s="160">
        <f t="shared" si="12"/>
        <v>229453.26190476189</v>
      </c>
      <c r="F114" s="159">
        <f t="shared" si="13"/>
        <v>6047605.3525286084</v>
      </c>
      <c r="G114" s="159">
        <f t="shared" si="14"/>
        <v>6162331.9834809899</v>
      </c>
      <c r="H114" s="163">
        <f t="shared" si="15"/>
        <v>978000.71067082218</v>
      </c>
      <c r="I114" s="253">
        <f t="shared" si="16"/>
        <v>978000.71067082218</v>
      </c>
      <c r="J114" s="158">
        <f t="shared" si="17"/>
        <v>0</v>
      </c>
      <c r="K114" s="158"/>
      <c r="L114" s="334"/>
      <c r="M114" s="158">
        <f t="shared" si="18"/>
        <v>0</v>
      </c>
      <c r="N114" s="334"/>
      <c r="O114" s="158">
        <f t="shared" si="19"/>
        <v>0</v>
      </c>
      <c r="P114" s="158">
        <f t="shared" si="20"/>
        <v>0</v>
      </c>
    </row>
    <row r="115" spans="2:16">
      <c r="B115" s="9" t="str">
        <f t="shared" si="11"/>
        <v/>
      </c>
      <c r="C115" s="153">
        <f>IF(D93="","-",+C114+1)</f>
        <v>2030</v>
      </c>
      <c r="D115" s="154">
        <f>IF(F114+SUM(E$99:E114)=D$92,F114,D$92-SUM(E$99:E114))</f>
        <v>6047605.3525286084</v>
      </c>
      <c r="E115" s="160">
        <f t="shared" si="12"/>
        <v>229453.26190476189</v>
      </c>
      <c r="F115" s="159">
        <f t="shared" si="13"/>
        <v>5818152.0906238463</v>
      </c>
      <c r="G115" s="159">
        <f t="shared" si="14"/>
        <v>5932878.7215762269</v>
      </c>
      <c r="H115" s="163">
        <f t="shared" si="15"/>
        <v>950128.68847690604</v>
      </c>
      <c r="I115" s="253">
        <f t="shared" si="16"/>
        <v>950128.68847690604</v>
      </c>
      <c r="J115" s="158">
        <f t="shared" si="17"/>
        <v>0</v>
      </c>
      <c r="K115" s="158"/>
      <c r="L115" s="334"/>
      <c r="M115" s="158">
        <f t="shared" si="18"/>
        <v>0</v>
      </c>
      <c r="N115" s="334"/>
      <c r="O115" s="158">
        <f t="shared" si="19"/>
        <v>0</v>
      </c>
      <c r="P115" s="158">
        <f t="shared" si="20"/>
        <v>0</v>
      </c>
    </row>
    <row r="116" spans="2:16">
      <c r="B116" s="9" t="str">
        <f t="shared" si="11"/>
        <v/>
      </c>
      <c r="C116" s="153">
        <f>IF(D93="","-",+C115+1)</f>
        <v>2031</v>
      </c>
      <c r="D116" s="154">
        <f>IF(F115+SUM(E$99:E115)=D$92,F115,D$92-SUM(E$99:E115))</f>
        <v>5818152.0906238463</v>
      </c>
      <c r="E116" s="160">
        <f t="shared" si="12"/>
        <v>229453.26190476189</v>
      </c>
      <c r="F116" s="159">
        <f t="shared" si="13"/>
        <v>5588698.8287190842</v>
      </c>
      <c r="G116" s="159">
        <f t="shared" si="14"/>
        <v>5703425.4596714657</v>
      </c>
      <c r="H116" s="163">
        <f t="shared" si="15"/>
        <v>922256.66628299025</v>
      </c>
      <c r="I116" s="253">
        <f t="shared" si="16"/>
        <v>922256.66628299025</v>
      </c>
      <c r="J116" s="158">
        <f t="shared" si="17"/>
        <v>0</v>
      </c>
      <c r="K116" s="158"/>
      <c r="L116" s="334"/>
      <c r="M116" s="158">
        <f t="shared" si="18"/>
        <v>0</v>
      </c>
      <c r="N116" s="334"/>
      <c r="O116" s="158">
        <f t="shared" si="19"/>
        <v>0</v>
      </c>
      <c r="P116" s="158">
        <f t="shared" si="20"/>
        <v>0</v>
      </c>
    </row>
    <row r="117" spans="2:16">
      <c r="B117" s="9" t="str">
        <f t="shared" si="11"/>
        <v/>
      </c>
      <c r="C117" s="153">
        <f>IF(D93="","-",+C116+1)</f>
        <v>2032</v>
      </c>
      <c r="D117" s="154">
        <f>IF(F116+SUM(E$99:E116)=D$92,F116,D$92-SUM(E$99:E116))</f>
        <v>5588698.8287190842</v>
      </c>
      <c r="E117" s="160">
        <f t="shared" si="12"/>
        <v>229453.26190476189</v>
      </c>
      <c r="F117" s="159">
        <f t="shared" si="13"/>
        <v>5359245.566814322</v>
      </c>
      <c r="G117" s="159">
        <f t="shared" si="14"/>
        <v>5473972.1977667026</v>
      </c>
      <c r="H117" s="163">
        <f t="shared" si="15"/>
        <v>894384.64408907422</v>
      </c>
      <c r="I117" s="253">
        <f t="shared" si="16"/>
        <v>894384.64408907422</v>
      </c>
      <c r="J117" s="158">
        <f t="shared" si="17"/>
        <v>0</v>
      </c>
      <c r="K117" s="158"/>
      <c r="L117" s="334"/>
      <c r="M117" s="158">
        <f t="shared" si="18"/>
        <v>0</v>
      </c>
      <c r="N117" s="334"/>
      <c r="O117" s="158">
        <f t="shared" si="19"/>
        <v>0</v>
      </c>
      <c r="P117" s="158">
        <f t="shared" si="20"/>
        <v>0</v>
      </c>
    </row>
    <row r="118" spans="2:16">
      <c r="B118" s="9" t="str">
        <f t="shared" si="11"/>
        <v/>
      </c>
      <c r="C118" s="153">
        <f>IF(D93="","-",+C117+1)</f>
        <v>2033</v>
      </c>
      <c r="D118" s="154">
        <f>IF(F117+SUM(E$99:E117)=D$92,F117,D$92-SUM(E$99:E117))</f>
        <v>5359245.566814322</v>
      </c>
      <c r="E118" s="160">
        <f t="shared" si="12"/>
        <v>229453.26190476189</v>
      </c>
      <c r="F118" s="159">
        <f t="shared" si="13"/>
        <v>5129792.3049095599</v>
      </c>
      <c r="G118" s="159">
        <f t="shared" si="14"/>
        <v>5244518.9358619414</v>
      </c>
      <c r="H118" s="163">
        <f t="shared" si="15"/>
        <v>866512.62189515831</v>
      </c>
      <c r="I118" s="253">
        <f t="shared" si="16"/>
        <v>866512.62189515831</v>
      </c>
      <c r="J118" s="158">
        <f t="shared" si="17"/>
        <v>0</v>
      </c>
      <c r="K118" s="158"/>
      <c r="L118" s="334"/>
      <c r="M118" s="158">
        <f t="shared" si="18"/>
        <v>0</v>
      </c>
      <c r="N118" s="334"/>
      <c r="O118" s="158">
        <f t="shared" si="19"/>
        <v>0</v>
      </c>
      <c r="P118" s="158">
        <f t="shared" si="20"/>
        <v>0</v>
      </c>
    </row>
    <row r="119" spans="2:16">
      <c r="B119" s="9" t="str">
        <f t="shared" si="11"/>
        <v/>
      </c>
      <c r="C119" s="153">
        <f>IF(D93="","-",+C118+1)</f>
        <v>2034</v>
      </c>
      <c r="D119" s="154">
        <f>IF(F118+SUM(E$99:E118)=D$92,F118,D$92-SUM(E$99:E118))</f>
        <v>5129792.3049095599</v>
      </c>
      <c r="E119" s="160">
        <f t="shared" si="12"/>
        <v>229453.26190476189</v>
      </c>
      <c r="F119" s="159">
        <f t="shared" si="13"/>
        <v>4900339.0430047978</v>
      </c>
      <c r="G119" s="159">
        <f t="shared" si="14"/>
        <v>5015065.6739571784</v>
      </c>
      <c r="H119" s="163">
        <f t="shared" si="15"/>
        <v>838640.59970124229</v>
      </c>
      <c r="I119" s="253">
        <f t="shared" si="16"/>
        <v>838640.59970124229</v>
      </c>
      <c r="J119" s="158">
        <f t="shared" si="17"/>
        <v>0</v>
      </c>
      <c r="K119" s="158"/>
      <c r="L119" s="334"/>
      <c r="M119" s="158">
        <f t="shared" si="18"/>
        <v>0</v>
      </c>
      <c r="N119" s="334"/>
      <c r="O119" s="158">
        <f t="shared" si="19"/>
        <v>0</v>
      </c>
      <c r="P119" s="158">
        <f t="shared" si="20"/>
        <v>0</v>
      </c>
    </row>
    <row r="120" spans="2:16">
      <c r="B120" s="9" t="str">
        <f t="shared" si="11"/>
        <v/>
      </c>
      <c r="C120" s="153">
        <f>IF(D93="","-",+C119+1)</f>
        <v>2035</v>
      </c>
      <c r="D120" s="154">
        <f>IF(F119+SUM(E$99:E119)=D$92,F119,D$92-SUM(E$99:E119))</f>
        <v>4900339.0430047978</v>
      </c>
      <c r="E120" s="160">
        <f t="shared" si="12"/>
        <v>229453.26190476189</v>
      </c>
      <c r="F120" s="159">
        <f t="shared" si="13"/>
        <v>4670885.7811000356</v>
      </c>
      <c r="G120" s="159">
        <f t="shared" si="14"/>
        <v>4785612.4120524172</v>
      </c>
      <c r="H120" s="163">
        <f t="shared" si="15"/>
        <v>810768.57750732638</v>
      </c>
      <c r="I120" s="253">
        <f t="shared" si="16"/>
        <v>810768.57750732638</v>
      </c>
      <c r="J120" s="158">
        <f t="shared" si="17"/>
        <v>0</v>
      </c>
      <c r="K120" s="158"/>
      <c r="L120" s="334"/>
      <c r="M120" s="158">
        <f t="shared" si="18"/>
        <v>0</v>
      </c>
      <c r="N120" s="334"/>
      <c r="O120" s="158">
        <f t="shared" si="19"/>
        <v>0</v>
      </c>
      <c r="P120" s="158">
        <f t="shared" si="20"/>
        <v>0</v>
      </c>
    </row>
    <row r="121" spans="2:16">
      <c r="B121" s="9" t="str">
        <f t="shared" si="11"/>
        <v/>
      </c>
      <c r="C121" s="153">
        <f>IF(D93="","-",+C120+1)</f>
        <v>2036</v>
      </c>
      <c r="D121" s="154">
        <f>IF(F120+SUM(E$99:E120)=D$92,F120,D$92-SUM(E$99:E120))</f>
        <v>4670885.7811000356</v>
      </c>
      <c r="E121" s="160">
        <f t="shared" si="12"/>
        <v>229453.26190476189</v>
      </c>
      <c r="F121" s="159">
        <f t="shared" si="13"/>
        <v>4441432.5191952735</v>
      </c>
      <c r="G121" s="159">
        <f t="shared" si="14"/>
        <v>4556159.1501476541</v>
      </c>
      <c r="H121" s="163">
        <f t="shared" si="15"/>
        <v>782896.55531341035</v>
      </c>
      <c r="I121" s="253">
        <f t="shared" si="16"/>
        <v>782896.55531341035</v>
      </c>
      <c r="J121" s="158">
        <f t="shared" si="17"/>
        <v>0</v>
      </c>
      <c r="K121" s="158"/>
      <c r="L121" s="334"/>
      <c r="M121" s="158">
        <f t="shared" si="18"/>
        <v>0</v>
      </c>
      <c r="N121" s="334"/>
      <c r="O121" s="158">
        <f t="shared" si="19"/>
        <v>0</v>
      </c>
      <c r="P121" s="158">
        <f t="shared" si="20"/>
        <v>0</v>
      </c>
    </row>
    <row r="122" spans="2:16">
      <c r="B122" s="9" t="str">
        <f t="shared" si="11"/>
        <v/>
      </c>
      <c r="C122" s="153">
        <f>IF(D93="","-",+C121+1)</f>
        <v>2037</v>
      </c>
      <c r="D122" s="154">
        <f>IF(F121+SUM(E$99:E121)=D$92,F121,D$92-SUM(E$99:E121))</f>
        <v>4441432.5191952735</v>
      </c>
      <c r="E122" s="160">
        <f t="shared" si="12"/>
        <v>229453.26190476189</v>
      </c>
      <c r="F122" s="159">
        <f t="shared" si="13"/>
        <v>4211979.2572905114</v>
      </c>
      <c r="G122" s="159">
        <f t="shared" si="14"/>
        <v>4326705.8882428929</v>
      </c>
      <c r="H122" s="163">
        <f t="shared" si="15"/>
        <v>755024.53311949444</v>
      </c>
      <c r="I122" s="253">
        <f t="shared" si="16"/>
        <v>755024.53311949444</v>
      </c>
      <c r="J122" s="158">
        <f t="shared" si="17"/>
        <v>0</v>
      </c>
      <c r="K122" s="158"/>
      <c r="L122" s="334"/>
      <c r="M122" s="158">
        <f t="shared" si="18"/>
        <v>0</v>
      </c>
      <c r="N122" s="334"/>
      <c r="O122" s="158">
        <f t="shared" si="19"/>
        <v>0</v>
      </c>
      <c r="P122" s="158">
        <f t="shared" si="20"/>
        <v>0</v>
      </c>
    </row>
    <row r="123" spans="2:16">
      <c r="B123" s="9" t="str">
        <f t="shared" si="11"/>
        <v/>
      </c>
      <c r="C123" s="153">
        <f>IF(D93="","-",+C122+1)</f>
        <v>2038</v>
      </c>
      <c r="D123" s="154">
        <f>IF(F122+SUM(E$99:E122)=D$92,F122,D$92-SUM(E$99:E122))</f>
        <v>4211979.2572905114</v>
      </c>
      <c r="E123" s="160">
        <f t="shared" si="12"/>
        <v>229453.26190476189</v>
      </c>
      <c r="F123" s="159">
        <f t="shared" si="13"/>
        <v>3982525.9953857493</v>
      </c>
      <c r="G123" s="159">
        <f t="shared" si="14"/>
        <v>4097252.6263381303</v>
      </c>
      <c r="H123" s="163">
        <f t="shared" si="15"/>
        <v>727152.51092557842</v>
      </c>
      <c r="I123" s="253">
        <f t="shared" si="16"/>
        <v>727152.51092557842</v>
      </c>
      <c r="J123" s="158">
        <f t="shared" si="17"/>
        <v>0</v>
      </c>
      <c r="K123" s="158"/>
      <c r="L123" s="334"/>
      <c r="M123" s="158">
        <f t="shared" si="18"/>
        <v>0</v>
      </c>
      <c r="N123" s="334"/>
      <c r="O123" s="158">
        <f t="shared" si="19"/>
        <v>0</v>
      </c>
      <c r="P123" s="158">
        <f t="shared" si="20"/>
        <v>0</v>
      </c>
    </row>
    <row r="124" spans="2:16">
      <c r="B124" s="9" t="str">
        <f t="shared" si="11"/>
        <v/>
      </c>
      <c r="C124" s="153">
        <f>IF(D93="","-",+C123+1)</f>
        <v>2039</v>
      </c>
      <c r="D124" s="154">
        <f>IF(F123+SUM(E$99:E123)=D$92,F123,D$92-SUM(E$99:E123))</f>
        <v>3982525.9953857493</v>
      </c>
      <c r="E124" s="160">
        <f t="shared" si="12"/>
        <v>229453.26190476189</v>
      </c>
      <c r="F124" s="159">
        <f t="shared" si="13"/>
        <v>3753072.7334809871</v>
      </c>
      <c r="G124" s="159">
        <f t="shared" si="14"/>
        <v>3867799.3644333682</v>
      </c>
      <c r="H124" s="163">
        <f t="shared" si="15"/>
        <v>699280.48873166251</v>
      </c>
      <c r="I124" s="253">
        <f t="shared" si="16"/>
        <v>699280.48873166251</v>
      </c>
      <c r="J124" s="158">
        <f t="shared" si="17"/>
        <v>0</v>
      </c>
      <c r="K124" s="158"/>
      <c r="L124" s="334"/>
      <c r="M124" s="158">
        <f t="shared" si="18"/>
        <v>0</v>
      </c>
      <c r="N124" s="334"/>
      <c r="O124" s="158">
        <f t="shared" si="19"/>
        <v>0</v>
      </c>
      <c r="P124" s="158">
        <f t="shared" si="20"/>
        <v>0</v>
      </c>
    </row>
    <row r="125" spans="2:16">
      <c r="B125" s="9" t="str">
        <f t="shared" si="11"/>
        <v/>
      </c>
      <c r="C125" s="153">
        <f>IF(D93="","-",+C124+1)</f>
        <v>2040</v>
      </c>
      <c r="D125" s="154">
        <f>IF(F124+SUM(E$99:E124)=D$92,F124,D$92-SUM(E$99:E124))</f>
        <v>3753072.7334809871</v>
      </c>
      <c r="E125" s="160">
        <f t="shared" si="12"/>
        <v>229453.26190476189</v>
      </c>
      <c r="F125" s="159">
        <f t="shared" si="13"/>
        <v>3523619.471576225</v>
      </c>
      <c r="G125" s="159">
        <f t="shared" si="14"/>
        <v>3638346.1025286061</v>
      </c>
      <c r="H125" s="163">
        <f t="shared" si="15"/>
        <v>671408.46653774648</v>
      </c>
      <c r="I125" s="253">
        <f t="shared" si="16"/>
        <v>671408.46653774648</v>
      </c>
      <c r="J125" s="158">
        <f t="shared" si="17"/>
        <v>0</v>
      </c>
      <c r="K125" s="158"/>
      <c r="L125" s="334"/>
      <c r="M125" s="158">
        <f t="shared" si="18"/>
        <v>0</v>
      </c>
      <c r="N125" s="334"/>
      <c r="O125" s="158">
        <f t="shared" si="19"/>
        <v>0</v>
      </c>
      <c r="P125" s="158">
        <f t="shared" si="20"/>
        <v>0</v>
      </c>
    </row>
    <row r="126" spans="2:16">
      <c r="B126" s="9" t="str">
        <f t="shared" si="11"/>
        <v/>
      </c>
      <c r="C126" s="153">
        <f>IF(D93="","-",+C125+1)</f>
        <v>2041</v>
      </c>
      <c r="D126" s="154">
        <f>IF(F125+SUM(E$99:E125)=D$92,F125,D$92-SUM(E$99:E125))</f>
        <v>3523619.471576225</v>
      </c>
      <c r="E126" s="160">
        <f t="shared" si="12"/>
        <v>229453.26190476189</v>
      </c>
      <c r="F126" s="159">
        <f t="shared" si="13"/>
        <v>3294166.2096714629</v>
      </c>
      <c r="G126" s="159">
        <f t="shared" si="14"/>
        <v>3408892.8406238439</v>
      </c>
      <c r="H126" s="163">
        <f t="shared" si="15"/>
        <v>643536.44434383046</v>
      </c>
      <c r="I126" s="253">
        <f t="shared" si="16"/>
        <v>643536.44434383046</v>
      </c>
      <c r="J126" s="158">
        <f t="shared" si="17"/>
        <v>0</v>
      </c>
      <c r="K126" s="158"/>
      <c r="L126" s="334"/>
      <c r="M126" s="158">
        <f t="shared" si="18"/>
        <v>0</v>
      </c>
      <c r="N126" s="334"/>
      <c r="O126" s="158">
        <f t="shared" si="19"/>
        <v>0</v>
      </c>
      <c r="P126" s="158">
        <f t="shared" si="20"/>
        <v>0</v>
      </c>
    </row>
    <row r="127" spans="2:16">
      <c r="B127" s="9" t="str">
        <f t="shared" si="11"/>
        <v/>
      </c>
      <c r="C127" s="153">
        <f>IF(D93="","-",+C126+1)</f>
        <v>2042</v>
      </c>
      <c r="D127" s="154">
        <f>IF(F126+SUM(E$99:E126)=D$92,F126,D$92-SUM(E$99:E126))</f>
        <v>3294166.2096714629</v>
      </c>
      <c r="E127" s="160">
        <f t="shared" si="12"/>
        <v>229453.26190476189</v>
      </c>
      <c r="F127" s="159">
        <f t="shared" si="13"/>
        <v>3064712.9477667008</v>
      </c>
      <c r="G127" s="159">
        <f t="shared" si="14"/>
        <v>3179439.5787190818</v>
      </c>
      <c r="H127" s="163">
        <f t="shared" si="15"/>
        <v>615664.42214991455</v>
      </c>
      <c r="I127" s="253">
        <f t="shared" si="16"/>
        <v>615664.42214991455</v>
      </c>
      <c r="J127" s="158">
        <f t="shared" si="17"/>
        <v>0</v>
      </c>
      <c r="K127" s="158"/>
      <c r="L127" s="334"/>
      <c r="M127" s="158">
        <f t="shared" si="18"/>
        <v>0</v>
      </c>
      <c r="N127" s="334"/>
      <c r="O127" s="158">
        <f t="shared" si="19"/>
        <v>0</v>
      </c>
      <c r="P127" s="158">
        <f t="shared" si="20"/>
        <v>0</v>
      </c>
    </row>
    <row r="128" spans="2:16">
      <c r="B128" s="9" t="str">
        <f t="shared" si="11"/>
        <v/>
      </c>
      <c r="C128" s="153">
        <f>IF(D93="","-",+C127+1)</f>
        <v>2043</v>
      </c>
      <c r="D128" s="154">
        <f>IF(F127+SUM(E$99:E127)=D$92,F127,D$92-SUM(E$99:E127))</f>
        <v>3064712.9477667008</v>
      </c>
      <c r="E128" s="160">
        <f t="shared" si="12"/>
        <v>229453.26190476189</v>
      </c>
      <c r="F128" s="159">
        <f t="shared" si="13"/>
        <v>2835259.6858619386</v>
      </c>
      <c r="G128" s="159">
        <f t="shared" si="14"/>
        <v>2949986.3168143197</v>
      </c>
      <c r="H128" s="163">
        <f t="shared" si="15"/>
        <v>587792.39995599864</v>
      </c>
      <c r="I128" s="253">
        <f t="shared" si="16"/>
        <v>587792.39995599864</v>
      </c>
      <c r="J128" s="158">
        <f t="shared" si="17"/>
        <v>0</v>
      </c>
      <c r="K128" s="158"/>
      <c r="L128" s="334"/>
      <c r="M128" s="158">
        <f t="shared" si="18"/>
        <v>0</v>
      </c>
      <c r="N128" s="334"/>
      <c r="O128" s="158">
        <f t="shared" si="19"/>
        <v>0</v>
      </c>
      <c r="P128" s="158">
        <f t="shared" si="20"/>
        <v>0</v>
      </c>
    </row>
    <row r="129" spans="2:16">
      <c r="B129" s="9" t="str">
        <f t="shared" si="11"/>
        <v/>
      </c>
      <c r="C129" s="153">
        <f>IF(D93="","-",+C128+1)</f>
        <v>2044</v>
      </c>
      <c r="D129" s="154">
        <f>IF(F128+SUM(E$99:E128)=D$92,F128,D$92-SUM(E$99:E128))</f>
        <v>2835259.6858619386</v>
      </c>
      <c r="E129" s="160">
        <f t="shared" si="12"/>
        <v>229453.26190476189</v>
      </c>
      <c r="F129" s="159">
        <f t="shared" si="13"/>
        <v>2605806.4239571765</v>
      </c>
      <c r="G129" s="159">
        <f t="shared" si="14"/>
        <v>2720533.0549095576</v>
      </c>
      <c r="H129" s="163">
        <f t="shared" si="15"/>
        <v>559920.37776208273</v>
      </c>
      <c r="I129" s="253">
        <f t="shared" si="16"/>
        <v>559920.37776208273</v>
      </c>
      <c r="J129" s="158">
        <f t="shared" si="17"/>
        <v>0</v>
      </c>
      <c r="K129" s="158"/>
      <c r="L129" s="334"/>
      <c r="M129" s="158">
        <f t="shared" si="18"/>
        <v>0</v>
      </c>
      <c r="N129" s="334"/>
      <c r="O129" s="158">
        <f t="shared" si="19"/>
        <v>0</v>
      </c>
      <c r="P129" s="158">
        <f t="shared" si="20"/>
        <v>0</v>
      </c>
    </row>
    <row r="130" spans="2:16">
      <c r="B130" s="9" t="str">
        <f t="shared" si="11"/>
        <v/>
      </c>
      <c r="C130" s="153">
        <f>IF(D93="","-",+C129+1)</f>
        <v>2045</v>
      </c>
      <c r="D130" s="154">
        <f>IF(F129+SUM(E$99:E129)=D$92,F129,D$92-SUM(E$99:E129))</f>
        <v>2605806.4239571765</v>
      </c>
      <c r="E130" s="160">
        <f t="shared" si="12"/>
        <v>229453.26190476189</v>
      </c>
      <c r="F130" s="159">
        <f t="shared" si="13"/>
        <v>2376353.1620524144</v>
      </c>
      <c r="G130" s="159">
        <f t="shared" si="14"/>
        <v>2491079.7930047954</v>
      </c>
      <c r="H130" s="163">
        <f t="shared" si="15"/>
        <v>532048.35556816671</v>
      </c>
      <c r="I130" s="253">
        <f t="shared" si="16"/>
        <v>532048.35556816671</v>
      </c>
      <c r="J130" s="158">
        <f t="shared" si="17"/>
        <v>0</v>
      </c>
      <c r="K130" s="158"/>
      <c r="L130" s="334"/>
      <c r="M130" s="158">
        <f t="shared" si="18"/>
        <v>0</v>
      </c>
      <c r="N130" s="334"/>
      <c r="O130" s="158">
        <f t="shared" si="19"/>
        <v>0</v>
      </c>
      <c r="P130" s="158">
        <f t="shared" si="20"/>
        <v>0</v>
      </c>
    </row>
    <row r="131" spans="2:16">
      <c r="B131" s="9" t="str">
        <f t="shared" si="11"/>
        <v/>
      </c>
      <c r="C131" s="153">
        <f>IF(D93="","-",+C130+1)</f>
        <v>2046</v>
      </c>
      <c r="D131" s="154">
        <f>IF(F130+SUM(E$99:E130)=D$92,F130,D$92-SUM(E$99:E130))</f>
        <v>2376353.1620524144</v>
      </c>
      <c r="E131" s="160">
        <f t="shared" si="12"/>
        <v>229453.26190476189</v>
      </c>
      <c r="F131" s="159">
        <f t="shared" si="13"/>
        <v>2146899.9001476523</v>
      </c>
      <c r="G131" s="159">
        <f t="shared" si="14"/>
        <v>2261626.5311000333</v>
      </c>
      <c r="H131" s="163">
        <f t="shared" si="15"/>
        <v>504176.33337425074</v>
      </c>
      <c r="I131" s="253">
        <f t="shared" si="16"/>
        <v>504176.33337425074</v>
      </c>
      <c r="J131" s="158">
        <f t="shared" si="17"/>
        <v>0</v>
      </c>
      <c r="K131" s="158"/>
      <c r="L131" s="334"/>
      <c r="M131" s="158">
        <f t="shared" ref="M131:M154" si="21">IF(L541&lt;&gt;0,+H541-L541,0)</f>
        <v>0</v>
      </c>
      <c r="N131" s="334"/>
      <c r="O131" s="158">
        <f t="shared" ref="O131:O154" si="22">IF(N541&lt;&gt;0,+I541-N541,0)</f>
        <v>0</v>
      </c>
      <c r="P131" s="158">
        <f t="shared" ref="P131:P154" si="23">+O541-M541</f>
        <v>0</v>
      </c>
    </row>
    <row r="132" spans="2:16">
      <c r="B132" s="9" t="str">
        <f t="shared" si="11"/>
        <v/>
      </c>
      <c r="C132" s="153">
        <f>IF(D93="","-",+C131+1)</f>
        <v>2047</v>
      </c>
      <c r="D132" s="154">
        <f>IF(F131+SUM(E$99:E131)=D$92,F131,D$92-SUM(E$99:E131))</f>
        <v>2146899.9001476523</v>
      </c>
      <c r="E132" s="160">
        <f t="shared" si="12"/>
        <v>229453.26190476189</v>
      </c>
      <c r="F132" s="159">
        <f t="shared" si="13"/>
        <v>1917446.6382428904</v>
      </c>
      <c r="G132" s="159">
        <f t="shared" si="14"/>
        <v>2032173.2691952712</v>
      </c>
      <c r="H132" s="163">
        <f t="shared" si="15"/>
        <v>476304.31118033477</v>
      </c>
      <c r="I132" s="253">
        <f t="shared" si="16"/>
        <v>476304.31118033477</v>
      </c>
      <c r="J132" s="158">
        <f t="shared" si="17"/>
        <v>0</v>
      </c>
      <c r="K132" s="158"/>
      <c r="L132" s="334"/>
      <c r="M132" s="158">
        <f t="shared" si="21"/>
        <v>0</v>
      </c>
      <c r="N132" s="334"/>
      <c r="O132" s="158">
        <f t="shared" si="22"/>
        <v>0</v>
      </c>
      <c r="P132" s="158">
        <f t="shared" si="23"/>
        <v>0</v>
      </c>
    </row>
    <row r="133" spans="2:16">
      <c r="B133" s="9" t="str">
        <f t="shared" si="11"/>
        <v/>
      </c>
      <c r="C133" s="153">
        <f>IF(D93="","-",+C132+1)</f>
        <v>2048</v>
      </c>
      <c r="D133" s="154">
        <f>IF(F132+SUM(E$99:E132)=D$92,F132,D$92-SUM(E$99:E132))</f>
        <v>1917446.6382428904</v>
      </c>
      <c r="E133" s="160">
        <f t="shared" si="12"/>
        <v>229453.26190476189</v>
      </c>
      <c r="F133" s="159">
        <f t="shared" si="13"/>
        <v>1687993.3763381285</v>
      </c>
      <c r="G133" s="159">
        <f t="shared" si="14"/>
        <v>1802720.0072905095</v>
      </c>
      <c r="H133" s="163">
        <f t="shared" si="15"/>
        <v>448432.28898641886</v>
      </c>
      <c r="I133" s="253">
        <f t="shared" si="16"/>
        <v>448432.28898641886</v>
      </c>
      <c r="J133" s="158">
        <f t="shared" si="17"/>
        <v>0</v>
      </c>
      <c r="K133" s="158"/>
      <c r="L133" s="334"/>
      <c r="M133" s="158">
        <f t="shared" si="21"/>
        <v>0</v>
      </c>
      <c r="N133" s="334"/>
      <c r="O133" s="158">
        <f t="shared" si="22"/>
        <v>0</v>
      </c>
      <c r="P133" s="158">
        <f t="shared" si="23"/>
        <v>0</v>
      </c>
    </row>
    <row r="134" spans="2:16">
      <c r="B134" s="9" t="str">
        <f t="shared" si="11"/>
        <v/>
      </c>
      <c r="C134" s="153">
        <f>IF(D93="","-",+C133+1)</f>
        <v>2049</v>
      </c>
      <c r="D134" s="154">
        <f>IF(F133+SUM(E$99:E133)=D$92,F133,D$92-SUM(E$99:E133))</f>
        <v>1687993.3763381285</v>
      </c>
      <c r="E134" s="160">
        <f t="shared" si="12"/>
        <v>229453.26190476189</v>
      </c>
      <c r="F134" s="159">
        <f t="shared" si="13"/>
        <v>1458540.1144333666</v>
      </c>
      <c r="G134" s="159">
        <f t="shared" si="14"/>
        <v>1573266.7453857474</v>
      </c>
      <c r="H134" s="163">
        <f t="shared" si="15"/>
        <v>420560.26679250289</v>
      </c>
      <c r="I134" s="253">
        <f t="shared" si="16"/>
        <v>420560.26679250289</v>
      </c>
      <c r="J134" s="158">
        <f t="shared" si="17"/>
        <v>0</v>
      </c>
      <c r="K134" s="158"/>
      <c r="L134" s="334"/>
      <c r="M134" s="158">
        <f t="shared" si="21"/>
        <v>0</v>
      </c>
      <c r="N134" s="334"/>
      <c r="O134" s="158">
        <f t="shared" si="22"/>
        <v>0</v>
      </c>
      <c r="P134" s="158">
        <f t="shared" si="23"/>
        <v>0</v>
      </c>
    </row>
    <row r="135" spans="2:16">
      <c r="B135" s="9" t="str">
        <f t="shared" si="11"/>
        <v/>
      </c>
      <c r="C135" s="153">
        <f>IF(D93="","-",+C134+1)</f>
        <v>2050</v>
      </c>
      <c r="D135" s="154">
        <f>IF(F134+SUM(E$99:E134)=D$92,F134,D$92-SUM(E$99:E134))</f>
        <v>1458540.1144333666</v>
      </c>
      <c r="E135" s="160">
        <f t="shared" si="12"/>
        <v>229453.26190476189</v>
      </c>
      <c r="F135" s="159">
        <f t="shared" si="13"/>
        <v>1229086.8525286047</v>
      </c>
      <c r="G135" s="159">
        <f t="shared" si="14"/>
        <v>1343813.4834809857</v>
      </c>
      <c r="H135" s="163">
        <f t="shared" si="15"/>
        <v>392688.24459858699</v>
      </c>
      <c r="I135" s="253">
        <f t="shared" si="16"/>
        <v>392688.24459858699</v>
      </c>
      <c r="J135" s="158">
        <f t="shared" si="17"/>
        <v>0</v>
      </c>
      <c r="K135" s="158"/>
      <c r="L135" s="334"/>
      <c r="M135" s="158">
        <f t="shared" si="21"/>
        <v>0</v>
      </c>
      <c r="N135" s="334"/>
      <c r="O135" s="158">
        <f t="shared" si="22"/>
        <v>0</v>
      </c>
      <c r="P135" s="158">
        <f t="shared" si="23"/>
        <v>0</v>
      </c>
    </row>
    <row r="136" spans="2:16">
      <c r="B136" s="9" t="str">
        <f t="shared" si="11"/>
        <v/>
      </c>
      <c r="C136" s="153">
        <f>IF(D93="","-",+C135+1)</f>
        <v>2051</v>
      </c>
      <c r="D136" s="154">
        <f>IF(F135+SUM(E$99:E135)=D$92,F135,D$92-SUM(E$99:E135))</f>
        <v>1229086.8525286047</v>
      </c>
      <c r="E136" s="160">
        <f t="shared" si="12"/>
        <v>229453.26190476189</v>
      </c>
      <c r="F136" s="159">
        <f t="shared" si="13"/>
        <v>999633.59062384279</v>
      </c>
      <c r="G136" s="159">
        <f t="shared" si="14"/>
        <v>1114360.2215762236</v>
      </c>
      <c r="H136" s="163">
        <f t="shared" si="15"/>
        <v>364816.22240467102</v>
      </c>
      <c r="I136" s="253">
        <f t="shared" si="16"/>
        <v>364816.22240467102</v>
      </c>
      <c r="J136" s="158">
        <f t="shared" si="17"/>
        <v>0</v>
      </c>
      <c r="K136" s="158"/>
      <c r="L136" s="334"/>
      <c r="M136" s="158">
        <f t="shared" si="21"/>
        <v>0</v>
      </c>
      <c r="N136" s="334"/>
      <c r="O136" s="158">
        <f t="shared" si="22"/>
        <v>0</v>
      </c>
      <c r="P136" s="158">
        <f t="shared" si="23"/>
        <v>0</v>
      </c>
    </row>
    <row r="137" spans="2:16">
      <c r="B137" s="9" t="str">
        <f t="shared" si="11"/>
        <v/>
      </c>
      <c r="C137" s="153">
        <f>IF(D93="","-",+C136+1)</f>
        <v>2052</v>
      </c>
      <c r="D137" s="154">
        <f>IF(F136+SUM(E$99:E136)=D$92,F136,D$92-SUM(E$99:E136))</f>
        <v>999633.59062384279</v>
      </c>
      <c r="E137" s="160">
        <f t="shared" si="12"/>
        <v>229453.26190476189</v>
      </c>
      <c r="F137" s="159">
        <f t="shared" si="13"/>
        <v>770180.32871908089</v>
      </c>
      <c r="G137" s="159">
        <f t="shared" si="14"/>
        <v>884906.95967146184</v>
      </c>
      <c r="H137" s="163">
        <f t="shared" si="15"/>
        <v>336944.20021075511</v>
      </c>
      <c r="I137" s="253">
        <f t="shared" si="16"/>
        <v>336944.20021075511</v>
      </c>
      <c r="J137" s="158">
        <f t="shared" si="17"/>
        <v>0</v>
      </c>
      <c r="K137" s="158"/>
      <c r="L137" s="334"/>
      <c r="M137" s="158">
        <f t="shared" si="21"/>
        <v>0</v>
      </c>
      <c r="N137" s="334"/>
      <c r="O137" s="158">
        <f t="shared" si="22"/>
        <v>0</v>
      </c>
      <c r="P137" s="158">
        <f t="shared" si="23"/>
        <v>0</v>
      </c>
    </row>
    <row r="138" spans="2:16">
      <c r="B138" s="9" t="str">
        <f t="shared" si="11"/>
        <v/>
      </c>
      <c r="C138" s="153">
        <f>IF(D93="","-",+C137+1)</f>
        <v>2053</v>
      </c>
      <c r="D138" s="154">
        <f>IF(F137+SUM(E$99:E137)=D$92,F137,D$92-SUM(E$99:E137))</f>
        <v>770180.32871908089</v>
      </c>
      <c r="E138" s="160">
        <f t="shared" si="12"/>
        <v>229453.26190476189</v>
      </c>
      <c r="F138" s="159">
        <f t="shared" si="13"/>
        <v>540727.066814319</v>
      </c>
      <c r="G138" s="159">
        <f t="shared" si="14"/>
        <v>655453.69776669994</v>
      </c>
      <c r="H138" s="163">
        <f t="shared" si="15"/>
        <v>309072.17801683914</v>
      </c>
      <c r="I138" s="253">
        <f t="shared" si="16"/>
        <v>309072.17801683914</v>
      </c>
      <c r="J138" s="158">
        <f t="shared" si="17"/>
        <v>0</v>
      </c>
      <c r="K138" s="158"/>
      <c r="L138" s="334"/>
      <c r="M138" s="158">
        <f t="shared" si="21"/>
        <v>0</v>
      </c>
      <c r="N138" s="334"/>
      <c r="O138" s="158">
        <f t="shared" si="22"/>
        <v>0</v>
      </c>
      <c r="P138" s="158">
        <f t="shared" si="23"/>
        <v>0</v>
      </c>
    </row>
    <row r="139" spans="2:16">
      <c r="B139" s="9" t="str">
        <f t="shared" si="11"/>
        <v/>
      </c>
      <c r="C139" s="153">
        <f>IF(D93="","-",+C138+1)</f>
        <v>2054</v>
      </c>
      <c r="D139" s="154">
        <f>IF(F138+SUM(E$99:E138)=D$92,F138,D$92-SUM(E$99:E138))</f>
        <v>540727.066814319</v>
      </c>
      <c r="E139" s="160">
        <f t="shared" si="12"/>
        <v>229453.26190476189</v>
      </c>
      <c r="F139" s="159">
        <f t="shared" si="13"/>
        <v>311273.8049095571</v>
      </c>
      <c r="G139" s="159">
        <f t="shared" si="14"/>
        <v>426000.43586193805</v>
      </c>
      <c r="H139" s="163">
        <f t="shared" si="15"/>
        <v>281200.15582292323</v>
      </c>
      <c r="I139" s="253">
        <f t="shared" si="16"/>
        <v>281200.15582292323</v>
      </c>
      <c r="J139" s="158">
        <f t="shared" si="17"/>
        <v>0</v>
      </c>
      <c r="K139" s="158"/>
      <c r="L139" s="334"/>
      <c r="M139" s="158">
        <f t="shared" si="21"/>
        <v>0</v>
      </c>
      <c r="N139" s="334"/>
      <c r="O139" s="158">
        <f t="shared" si="22"/>
        <v>0</v>
      </c>
      <c r="P139" s="158">
        <f t="shared" si="23"/>
        <v>0</v>
      </c>
    </row>
    <row r="140" spans="2:16">
      <c r="B140" s="9" t="str">
        <f t="shared" si="11"/>
        <v/>
      </c>
      <c r="C140" s="153">
        <f>IF(D93="","-",+C139+1)</f>
        <v>2055</v>
      </c>
      <c r="D140" s="154">
        <f>IF(F139+SUM(E$99:E139)=D$92,F139,D$92-SUM(E$99:E139))</f>
        <v>311273.8049095571</v>
      </c>
      <c r="E140" s="160">
        <f t="shared" si="12"/>
        <v>229453.26190476189</v>
      </c>
      <c r="F140" s="159">
        <f t="shared" si="13"/>
        <v>81820.54300479521</v>
      </c>
      <c r="G140" s="159">
        <f t="shared" si="14"/>
        <v>196547.17395717616</v>
      </c>
      <c r="H140" s="163">
        <f t="shared" si="15"/>
        <v>253328.13362900726</v>
      </c>
      <c r="I140" s="253">
        <f t="shared" si="16"/>
        <v>253328.13362900726</v>
      </c>
      <c r="J140" s="158">
        <f t="shared" si="17"/>
        <v>0</v>
      </c>
      <c r="K140" s="158"/>
      <c r="L140" s="334"/>
      <c r="M140" s="158">
        <f t="shared" si="21"/>
        <v>0</v>
      </c>
      <c r="N140" s="334"/>
      <c r="O140" s="158">
        <f t="shared" si="22"/>
        <v>0</v>
      </c>
      <c r="P140" s="158">
        <f t="shared" si="23"/>
        <v>0</v>
      </c>
    </row>
    <row r="141" spans="2:16">
      <c r="B141" s="9" t="str">
        <f t="shared" si="11"/>
        <v/>
      </c>
      <c r="C141" s="153">
        <f>IF(D93="","-",+C140+1)</f>
        <v>2056</v>
      </c>
      <c r="D141" s="154">
        <f>IF(F140+SUM(E$99:E140)=D$92,F140,D$92-SUM(E$99:E140))</f>
        <v>81820.54300479521</v>
      </c>
      <c r="E141" s="160">
        <f t="shared" si="12"/>
        <v>81820.54300479521</v>
      </c>
      <c r="F141" s="159">
        <f t="shared" si="13"/>
        <v>0</v>
      </c>
      <c r="G141" s="159">
        <f t="shared" si="14"/>
        <v>40910.271502397605</v>
      </c>
      <c r="H141" s="163">
        <f t="shared" si="15"/>
        <v>86789.973318438919</v>
      </c>
      <c r="I141" s="253">
        <f t="shared" si="16"/>
        <v>86789.973318438919</v>
      </c>
      <c r="J141" s="158">
        <f t="shared" si="17"/>
        <v>0</v>
      </c>
      <c r="K141" s="158"/>
      <c r="L141" s="334"/>
      <c r="M141" s="158">
        <f t="shared" si="21"/>
        <v>0</v>
      </c>
      <c r="N141" s="334"/>
      <c r="O141" s="158">
        <f t="shared" si="22"/>
        <v>0</v>
      </c>
      <c r="P141" s="158">
        <f t="shared" si="23"/>
        <v>0</v>
      </c>
    </row>
    <row r="142" spans="2:16">
      <c r="B142" s="9" t="str">
        <f t="shared" si="11"/>
        <v/>
      </c>
      <c r="C142" s="153">
        <f>IF(D93="","-",+C141+1)</f>
        <v>2057</v>
      </c>
      <c r="D142" s="154">
        <f>IF(F141+SUM(E$99:E141)=D$92,F141,D$92-SUM(E$99:E141))</f>
        <v>0</v>
      </c>
      <c r="E142" s="160">
        <f t="shared" si="12"/>
        <v>0</v>
      </c>
      <c r="F142" s="159">
        <f t="shared" si="13"/>
        <v>0</v>
      </c>
      <c r="G142" s="159">
        <f t="shared" si="14"/>
        <v>0</v>
      </c>
      <c r="H142" s="163">
        <f t="shared" si="15"/>
        <v>0</v>
      </c>
      <c r="I142" s="253">
        <f t="shared" si="16"/>
        <v>0</v>
      </c>
      <c r="J142" s="158">
        <f t="shared" si="17"/>
        <v>0</v>
      </c>
      <c r="K142" s="158"/>
      <c r="L142" s="334"/>
      <c r="M142" s="158">
        <f t="shared" si="21"/>
        <v>0</v>
      </c>
      <c r="N142" s="334"/>
      <c r="O142" s="158">
        <f t="shared" si="22"/>
        <v>0</v>
      </c>
      <c r="P142" s="158">
        <f t="shared" si="23"/>
        <v>0</v>
      </c>
    </row>
    <row r="143" spans="2:16">
      <c r="B143" s="9" t="str">
        <f t="shared" si="11"/>
        <v/>
      </c>
      <c r="C143" s="153">
        <f>IF(D93="","-",+C142+1)</f>
        <v>2058</v>
      </c>
      <c r="D143" s="154">
        <f>IF(F142+SUM(E$99:E142)=D$92,F142,D$92-SUM(E$99:E142))</f>
        <v>0</v>
      </c>
      <c r="E143" s="160">
        <f t="shared" si="12"/>
        <v>0</v>
      </c>
      <c r="F143" s="159">
        <f t="shared" si="13"/>
        <v>0</v>
      </c>
      <c r="G143" s="159">
        <f t="shared" si="14"/>
        <v>0</v>
      </c>
      <c r="H143" s="163">
        <f t="shared" si="15"/>
        <v>0</v>
      </c>
      <c r="I143" s="253">
        <f t="shared" si="16"/>
        <v>0</v>
      </c>
      <c r="J143" s="158">
        <f t="shared" si="17"/>
        <v>0</v>
      </c>
      <c r="K143" s="158"/>
      <c r="L143" s="334"/>
      <c r="M143" s="158">
        <f t="shared" si="21"/>
        <v>0</v>
      </c>
      <c r="N143" s="334"/>
      <c r="O143" s="158">
        <f t="shared" si="22"/>
        <v>0</v>
      </c>
      <c r="P143" s="158">
        <f t="shared" si="23"/>
        <v>0</v>
      </c>
    </row>
    <row r="144" spans="2:16">
      <c r="B144" s="9" t="str">
        <f t="shared" si="11"/>
        <v/>
      </c>
      <c r="C144" s="153">
        <f>IF(D93="","-",+C143+1)</f>
        <v>2059</v>
      </c>
      <c r="D144" s="154">
        <f>IF(F143+SUM(E$99:E143)=D$92,F143,D$92-SUM(E$99:E143))</f>
        <v>0</v>
      </c>
      <c r="E144" s="160">
        <f t="shared" si="12"/>
        <v>0</v>
      </c>
      <c r="F144" s="159">
        <f t="shared" si="13"/>
        <v>0</v>
      </c>
      <c r="G144" s="159">
        <f t="shared" si="14"/>
        <v>0</v>
      </c>
      <c r="H144" s="163">
        <f t="shared" si="15"/>
        <v>0</v>
      </c>
      <c r="I144" s="253">
        <f t="shared" si="16"/>
        <v>0</v>
      </c>
      <c r="J144" s="158">
        <f t="shared" si="17"/>
        <v>0</v>
      </c>
      <c r="K144" s="158"/>
      <c r="L144" s="334"/>
      <c r="M144" s="158">
        <f t="shared" si="21"/>
        <v>0</v>
      </c>
      <c r="N144" s="334"/>
      <c r="O144" s="158">
        <f t="shared" si="22"/>
        <v>0</v>
      </c>
      <c r="P144" s="158">
        <f t="shared" si="23"/>
        <v>0</v>
      </c>
    </row>
    <row r="145" spans="2:16">
      <c r="B145" s="9" t="str">
        <f t="shared" si="11"/>
        <v/>
      </c>
      <c r="C145" s="153">
        <f>IF(D93="","-",+C144+1)</f>
        <v>2060</v>
      </c>
      <c r="D145" s="154">
        <f>IF(F144+SUM(E$99:E144)=D$92,F144,D$92-SUM(E$99:E144))</f>
        <v>0</v>
      </c>
      <c r="E145" s="160">
        <f t="shared" si="12"/>
        <v>0</v>
      </c>
      <c r="F145" s="159">
        <f t="shared" si="13"/>
        <v>0</v>
      </c>
      <c r="G145" s="159">
        <f t="shared" si="14"/>
        <v>0</v>
      </c>
      <c r="H145" s="163">
        <f t="shared" si="15"/>
        <v>0</v>
      </c>
      <c r="I145" s="253">
        <f t="shared" si="16"/>
        <v>0</v>
      </c>
      <c r="J145" s="158">
        <f t="shared" si="17"/>
        <v>0</v>
      </c>
      <c r="K145" s="158"/>
      <c r="L145" s="334"/>
      <c r="M145" s="158">
        <f t="shared" si="21"/>
        <v>0</v>
      </c>
      <c r="N145" s="334"/>
      <c r="O145" s="158">
        <f t="shared" si="22"/>
        <v>0</v>
      </c>
      <c r="P145" s="158">
        <f t="shared" si="23"/>
        <v>0</v>
      </c>
    </row>
    <row r="146" spans="2:16">
      <c r="B146" s="9" t="str">
        <f t="shared" si="11"/>
        <v/>
      </c>
      <c r="C146" s="153">
        <f>IF(D93="","-",+C145+1)</f>
        <v>2061</v>
      </c>
      <c r="D146" s="154">
        <f>IF(F145+SUM(E$99:E145)=D$92,F145,D$92-SUM(E$99:E145))</f>
        <v>0</v>
      </c>
      <c r="E146" s="160">
        <f t="shared" si="12"/>
        <v>0</v>
      </c>
      <c r="F146" s="159">
        <f t="shared" si="13"/>
        <v>0</v>
      </c>
      <c r="G146" s="159">
        <f t="shared" si="14"/>
        <v>0</v>
      </c>
      <c r="H146" s="163">
        <f t="shared" si="15"/>
        <v>0</v>
      </c>
      <c r="I146" s="253">
        <f t="shared" si="16"/>
        <v>0</v>
      </c>
      <c r="J146" s="158">
        <f t="shared" si="17"/>
        <v>0</v>
      </c>
      <c r="K146" s="158"/>
      <c r="L146" s="334"/>
      <c r="M146" s="158">
        <f t="shared" si="21"/>
        <v>0</v>
      </c>
      <c r="N146" s="334"/>
      <c r="O146" s="158">
        <f t="shared" si="22"/>
        <v>0</v>
      </c>
      <c r="P146" s="158">
        <f t="shared" si="23"/>
        <v>0</v>
      </c>
    </row>
    <row r="147" spans="2:16">
      <c r="B147" s="9" t="str">
        <f t="shared" si="11"/>
        <v/>
      </c>
      <c r="C147" s="153">
        <f>IF(D93="","-",+C146+1)</f>
        <v>2062</v>
      </c>
      <c r="D147" s="154">
        <f>IF(F146+SUM(E$99:E146)=D$92,F146,D$92-SUM(E$99:E146))</f>
        <v>0</v>
      </c>
      <c r="E147" s="160">
        <f t="shared" si="12"/>
        <v>0</v>
      </c>
      <c r="F147" s="159">
        <f t="shared" si="13"/>
        <v>0</v>
      </c>
      <c r="G147" s="159">
        <f t="shared" si="14"/>
        <v>0</v>
      </c>
      <c r="H147" s="163">
        <f t="shared" si="15"/>
        <v>0</v>
      </c>
      <c r="I147" s="253">
        <f t="shared" si="16"/>
        <v>0</v>
      </c>
      <c r="J147" s="158">
        <f t="shared" si="17"/>
        <v>0</v>
      </c>
      <c r="K147" s="158"/>
      <c r="L147" s="334"/>
      <c r="M147" s="158">
        <f t="shared" si="21"/>
        <v>0</v>
      </c>
      <c r="N147" s="334"/>
      <c r="O147" s="158">
        <f t="shared" si="22"/>
        <v>0</v>
      </c>
      <c r="P147" s="158">
        <f t="shared" si="23"/>
        <v>0</v>
      </c>
    </row>
    <row r="148" spans="2:16">
      <c r="B148" s="9" t="str">
        <f t="shared" si="11"/>
        <v/>
      </c>
      <c r="C148" s="153">
        <f>IF(D93="","-",+C147+1)</f>
        <v>2063</v>
      </c>
      <c r="D148" s="154">
        <f>IF(F147+SUM(E$99:E147)=D$92,F147,D$92-SUM(E$99:E147))</f>
        <v>0</v>
      </c>
      <c r="E148" s="160">
        <f t="shared" si="12"/>
        <v>0</v>
      </c>
      <c r="F148" s="159">
        <f t="shared" si="13"/>
        <v>0</v>
      </c>
      <c r="G148" s="159">
        <f t="shared" si="14"/>
        <v>0</v>
      </c>
      <c r="H148" s="163">
        <f t="shared" si="15"/>
        <v>0</v>
      </c>
      <c r="I148" s="253">
        <f t="shared" si="16"/>
        <v>0</v>
      </c>
      <c r="J148" s="158">
        <f t="shared" si="17"/>
        <v>0</v>
      </c>
      <c r="K148" s="158"/>
      <c r="L148" s="334"/>
      <c r="M148" s="158">
        <f t="shared" si="21"/>
        <v>0</v>
      </c>
      <c r="N148" s="334"/>
      <c r="O148" s="158">
        <f t="shared" si="22"/>
        <v>0</v>
      </c>
      <c r="P148" s="158">
        <f t="shared" si="23"/>
        <v>0</v>
      </c>
    </row>
    <row r="149" spans="2:16">
      <c r="B149" s="9" t="str">
        <f t="shared" si="11"/>
        <v/>
      </c>
      <c r="C149" s="153">
        <f>IF(D93="","-",+C148+1)</f>
        <v>2064</v>
      </c>
      <c r="D149" s="154">
        <f>IF(F148+SUM(E$99:E148)=D$92,F148,D$92-SUM(E$99:E148))</f>
        <v>0</v>
      </c>
      <c r="E149" s="160">
        <f t="shared" si="12"/>
        <v>0</v>
      </c>
      <c r="F149" s="159">
        <f t="shared" si="13"/>
        <v>0</v>
      </c>
      <c r="G149" s="159">
        <f t="shared" si="14"/>
        <v>0</v>
      </c>
      <c r="H149" s="163">
        <f t="shared" si="15"/>
        <v>0</v>
      </c>
      <c r="I149" s="253">
        <f t="shared" si="16"/>
        <v>0</v>
      </c>
      <c r="J149" s="158">
        <f t="shared" si="17"/>
        <v>0</v>
      </c>
      <c r="K149" s="158"/>
      <c r="L149" s="334"/>
      <c r="M149" s="158">
        <f t="shared" si="21"/>
        <v>0</v>
      </c>
      <c r="N149" s="334"/>
      <c r="O149" s="158">
        <f t="shared" si="22"/>
        <v>0</v>
      </c>
      <c r="P149" s="158">
        <f t="shared" si="23"/>
        <v>0</v>
      </c>
    </row>
    <row r="150" spans="2:16">
      <c r="B150" s="9" t="str">
        <f t="shared" si="11"/>
        <v/>
      </c>
      <c r="C150" s="153">
        <f>IF(D93="","-",+C149+1)</f>
        <v>2065</v>
      </c>
      <c r="D150" s="154">
        <f>IF(F149+SUM(E$99:E149)=D$92,F149,D$92-SUM(E$99:E149))</f>
        <v>0</v>
      </c>
      <c r="E150" s="160">
        <f t="shared" si="12"/>
        <v>0</v>
      </c>
      <c r="F150" s="159">
        <f t="shared" si="13"/>
        <v>0</v>
      </c>
      <c r="G150" s="159">
        <f t="shared" si="14"/>
        <v>0</v>
      </c>
      <c r="H150" s="163">
        <f t="shared" si="15"/>
        <v>0</v>
      </c>
      <c r="I150" s="253">
        <f t="shared" si="16"/>
        <v>0</v>
      </c>
      <c r="J150" s="158">
        <f t="shared" si="17"/>
        <v>0</v>
      </c>
      <c r="K150" s="158"/>
      <c r="L150" s="334"/>
      <c r="M150" s="158">
        <f t="shared" si="21"/>
        <v>0</v>
      </c>
      <c r="N150" s="334"/>
      <c r="O150" s="158">
        <f t="shared" si="22"/>
        <v>0</v>
      </c>
      <c r="P150" s="158">
        <f t="shared" si="23"/>
        <v>0</v>
      </c>
    </row>
    <row r="151" spans="2:16">
      <c r="B151" s="9" t="str">
        <f t="shared" si="11"/>
        <v/>
      </c>
      <c r="C151" s="153">
        <f>IF(D93="","-",+C150+1)</f>
        <v>2066</v>
      </c>
      <c r="D151" s="154">
        <f>IF(F150+SUM(E$99:E150)=D$92,F150,D$92-SUM(E$99:E150))</f>
        <v>0</v>
      </c>
      <c r="E151" s="160">
        <f t="shared" si="12"/>
        <v>0</v>
      </c>
      <c r="F151" s="159">
        <f t="shared" si="13"/>
        <v>0</v>
      </c>
      <c r="G151" s="159">
        <f t="shared" si="14"/>
        <v>0</v>
      </c>
      <c r="H151" s="163">
        <f t="shared" si="15"/>
        <v>0</v>
      </c>
      <c r="I151" s="253">
        <f t="shared" si="16"/>
        <v>0</v>
      </c>
      <c r="J151" s="158">
        <f t="shared" si="17"/>
        <v>0</v>
      </c>
      <c r="K151" s="158"/>
      <c r="L151" s="334"/>
      <c r="M151" s="158">
        <f t="shared" si="21"/>
        <v>0</v>
      </c>
      <c r="N151" s="334"/>
      <c r="O151" s="158">
        <f t="shared" si="22"/>
        <v>0</v>
      </c>
      <c r="P151" s="158">
        <f t="shared" si="23"/>
        <v>0</v>
      </c>
    </row>
    <row r="152" spans="2:16">
      <c r="B152" s="9" t="str">
        <f t="shared" si="11"/>
        <v/>
      </c>
      <c r="C152" s="153">
        <f>IF(D93="","-",+C151+1)</f>
        <v>2067</v>
      </c>
      <c r="D152" s="154">
        <f>IF(F151+SUM(E$99:E151)=D$92,F151,D$92-SUM(E$99:E151))</f>
        <v>0</v>
      </c>
      <c r="E152" s="160">
        <f t="shared" si="12"/>
        <v>0</v>
      </c>
      <c r="F152" s="159">
        <f t="shared" si="13"/>
        <v>0</v>
      </c>
      <c r="G152" s="159">
        <f t="shared" si="14"/>
        <v>0</v>
      </c>
      <c r="H152" s="163">
        <f t="shared" si="15"/>
        <v>0</v>
      </c>
      <c r="I152" s="253">
        <f t="shared" si="16"/>
        <v>0</v>
      </c>
      <c r="J152" s="158">
        <f t="shared" si="17"/>
        <v>0</v>
      </c>
      <c r="K152" s="158"/>
      <c r="L152" s="334"/>
      <c r="M152" s="158">
        <f t="shared" si="21"/>
        <v>0</v>
      </c>
      <c r="N152" s="334"/>
      <c r="O152" s="158">
        <f t="shared" si="22"/>
        <v>0</v>
      </c>
      <c r="P152" s="158">
        <f t="shared" si="23"/>
        <v>0</v>
      </c>
    </row>
    <row r="153" spans="2:16">
      <c r="B153" s="9" t="str">
        <f t="shared" si="11"/>
        <v/>
      </c>
      <c r="C153" s="153">
        <f>IF(D93="","-",+C152+1)</f>
        <v>2068</v>
      </c>
      <c r="D153" s="154">
        <f>IF(F152+SUM(E$99:E152)=D$92,F152,D$92-SUM(E$99:E152))</f>
        <v>0</v>
      </c>
      <c r="E153" s="160">
        <f t="shared" si="12"/>
        <v>0</v>
      </c>
      <c r="F153" s="159">
        <f t="shared" si="13"/>
        <v>0</v>
      </c>
      <c r="G153" s="159">
        <f t="shared" si="14"/>
        <v>0</v>
      </c>
      <c r="H153" s="163">
        <f t="shared" si="15"/>
        <v>0</v>
      </c>
      <c r="I153" s="253">
        <f t="shared" si="16"/>
        <v>0</v>
      </c>
      <c r="J153" s="158">
        <f t="shared" si="17"/>
        <v>0</v>
      </c>
      <c r="K153" s="158"/>
      <c r="L153" s="334"/>
      <c r="M153" s="158">
        <f t="shared" si="21"/>
        <v>0</v>
      </c>
      <c r="N153" s="334"/>
      <c r="O153" s="158">
        <f t="shared" si="22"/>
        <v>0</v>
      </c>
      <c r="P153" s="158">
        <f t="shared" si="23"/>
        <v>0</v>
      </c>
    </row>
    <row r="154" spans="2:16" ht="13.5" thickBot="1">
      <c r="B154" s="9" t="str">
        <f t="shared" si="11"/>
        <v/>
      </c>
      <c r="C154" s="164">
        <f>IF(D93="","-",+C153+1)</f>
        <v>2069</v>
      </c>
      <c r="D154" s="154">
        <f>IF(F153+SUM(E$99:E153)=D$92,F153,D$92-SUM(E$99:E153))</f>
        <v>0</v>
      </c>
      <c r="E154" s="160">
        <f t="shared" si="12"/>
        <v>0</v>
      </c>
      <c r="F154" s="159">
        <f t="shared" si="13"/>
        <v>0</v>
      </c>
      <c r="G154" s="159">
        <f t="shared" si="14"/>
        <v>0</v>
      </c>
      <c r="H154" s="163">
        <f t="shared" si="15"/>
        <v>0</v>
      </c>
      <c r="I154" s="253">
        <f t="shared" si="16"/>
        <v>0</v>
      </c>
      <c r="J154" s="158">
        <f t="shared" si="17"/>
        <v>0</v>
      </c>
      <c r="K154" s="158"/>
      <c r="L154" s="335"/>
      <c r="M154" s="169">
        <f t="shared" si="21"/>
        <v>0</v>
      </c>
      <c r="N154" s="335"/>
      <c r="O154" s="169">
        <f t="shared" si="22"/>
        <v>0</v>
      </c>
      <c r="P154" s="169">
        <f t="shared" si="23"/>
        <v>0</v>
      </c>
    </row>
    <row r="155" spans="2:16">
      <c r="C155" s="154" t="s">
        <v>73</v>
      </c>
      <c r="D155" s="111"/>
      <c r="E155" s="111">
        <f>SUM(E99:E154)</f>
        <v>9637036.9999999981</v>
      </c>
      <c r="F155" s="111"/>
      <c r="G155" s="111"/>
      <c r="H155" s="111">
        <f>SUM(H99:H154)</f>
        <v>34266083.589827821</v>
      </c>
      <c r="I155" s="111">
        <f>SUM(I99:I154)</f>
        <v>34266083.589827821</v>
      </c>
      <c r="J155" s="111">
        <f>SUM(J99:J154)</f>
        <v>0</v>
      </c>
      <c r="K155" s="111"/>
      <c r="L155" s="111"/>
      <c r="M155" s="111"/>
      <c r="N155" s="111"/>
      <c r="O155" s="111"/>
      <c r="P155" s="1"/>
    </row>
    <row r="156" spans="2:16">
      <c r="C156" t="s">
        <v>87</v>
      </c>
      <c r="D156" s="2"/>
      <c r="E156" s="1"/>
      <c r="F156" s="1"/>
      <c r="G156" s="1"/>
      <c r="H156" s="1"/>
      <c r="I156" s="3"/>
      <c r="J156" s="3"/>
      <c r="K156" s="111"/>
      <c r="L156" s="3"/>
      <c r="M156" s="3"/>
      <c r="N156" s="3"/>
      <c r="O156" s="3"/>
      <c r="P156" s="1"/>
    </row>
    <row r="157" spans="2:16">
      <c r="C157" s="216"/>
      <c r="D157" s="2"/>
      <c r="E157" s="1"/>
      <c r="F157" s="1"/>
      <c r="G157" s="1"/>
      <c r="H157" s="1"/>
      <c r="I157" s="3"/>
      <c r="J157" s="3"/>
      <c r="K157" s="111"/>
      <c r="L157" s="3"/>
      <c r="M157" s="3"/>
      <c r="N157" s="3"/>
      <c r="O157" s="3"/>
      <c r="P157" s="1"/>
    </row>
    <row r="158" spans="2:16">
      <c r="C158" s="248" t="s">
        <v>127</v>
      </c>
      <c r="D158" s="2"/>
      <c r="E158" s="1"/>
      <c r="F158" s="1"/>
      <c r="G158" s="1"/>
      <c r="H158" s="1"/>
      <c r="I158" s="3"/>
      <c r="J158" s="3"/>
      <c r="K158" s="111"/>
      <c r="L158" s="3"/>
      <c r="M158" s="3"/>
      <c r="N158" s="3"/>
      <c r="O158" s="3"/>
      <c r="P158" s="1"/>
    </row>
    <row r="159" spans="2:16">
      <c r="C159" s="121" t="s">
        <v>74</v>
      </c>
      <c r="D159" s="154"/>
      <c r="E159" s="154"/>
      <c r="F159" s="154"/>
      <c r="G159" s="154"/>
      <c r="H159" s="111"/>
      <c r="I159" s="111"/>
      <c r="J159" s="171"/>
      <c r="K159" s="171"/>
      <c r="L159" s="171"/>
      <c r="M159" s="171"/>
      <c r="N159" s="171"/>
      <c r="O159" s="171"/>
      <c r="P159" s="1"/>
    </row>
    <row r="160" spans="2:16">
      <c r="C160" s="217" t="s">
        <v>75</v>
      </c>
      <c r="D160" s="154"/>
      <c r="E160" s="154"/>
      <c r="F160" s="154"/>
      <c r="G160" s="154"/>
      <c r="H160" s="111"/>
      <c r="I160" s="111"/>
      <c r="J160" s="171"/>
      <c r="K160" s="171"/>
      <c r="L160" s="171"/>
      <c r="M160" s="171"/>
      <c r="N160" s="171"/>
      <c r="O160" s="171"/>
      <c r="P160" s="1"/>
    </row>
    <row r="161" spans="3:16">
      <c r="C161" s="217"/>
      <c r="D161" s="154"/>
      <c r="E161" s="154"/>
      <c r="F161" s="154"/>
      <c r="G161" s="154"/>
      <c r="H161" s="111"/>
      <c r="I161" s="111"/>
      <c r="J161" s="171"/>
      <c r="K161" s="171"/>
      <c r="L161" s="171"/>
      <c r="M161" s="171"/>
      <c r="N161" s="171"/>
      <c r="O161" s="171"/>
      <c r="P161" s="1"/>
    </row>
    <row r="162" spans="3:16" ht="18">
      <c r="C162" s="217"/>
      <c r="D162" s="154"/>
      <c r="E162" s="154"/>
      <c r="F162" s="154"/>
      <c r="G162" s="154"/>
      <c r="H162" s="111"/>
      <c r="I162" s="111"/>
      <c r="J162" s="171"/>
      <c r="K162" s="171"/>
      <c r="L162" s="171"/>
      <c r="M162" s="171"/>
      <c r="N162" s="171"/>
      <c r="P162" s="245" t="s">
        <v>126</v>
      </c>
    </row>
  </sheetData>
  <conditionalFormatting sqref="C17:C72">
    <cfRule type="cellIs" dxfId="84" priority="1" stopIfTrue="1" operator="equal">
      <formula>$I$10</formula>
    </cfRule>
  </conditionalFormatting>
  <conditionalFormatting sqref="C99:C154">
    <cfRule type="cellIs" dxfId="83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0"/>
  <dimension ref="A1:P162"/>
  <sheetViews>
    <sheetView view="pageBreakPreview" zoomScale="81" zoomScaleNormal="100" zoomScaleSheetLayoutView="81" workbookViewId="0">
      <selection activeCell="C19" sqref="C19"/>
    </sheetView>
  </sheetViews>
  <sheetFormatPr defaultRowHeight="12.75" customHeight="1"/>
  <cols>
    <col min="1" max="1" width="4.7109375" customWidth="1"/>
    <col min="2" max="2" width="6.7109375" customWidth="1"/>
    <col min="3" max="3" width="23.28515625" customWidth="1"/>
    <col min="4" max="8" width="17.7109375" customWidth="1"/>
    <col min="9" max="9" width="20.42578125" customWidth="1"/>
    <col min="10" max="10" width="16.42578125" customWidth="1"/>
    <col min="11" max="11" width="17.7109375" customWidth="1"/>
    <col min="12" max="12" width="16.140625" customWidth="1"/>
    <col min="13" max="13" width="17.7109375" customWidth="1"/>
    <col min="14" max="14" width="16.7109375" customWidth="1"/>
    <col min="15" max="15" width="16.85546875" customWidth="1"/>
    <col min="16" max="16" width="24.42578125" customWidth="1"/>
    <col min="17" max="17" width="9.140625" customWidth="1"/>
    <col min="23" max="23" width="9.140625" customWidth="1"/>
  </cols>
  <sheetData>
    <row r="1" spans="1:16" ht="20.25">
      <c r="A1" s="243" t="s">
        <v>128</v>
      </c>
      <c r="B1" s="1"/>
      <c r="C1" s="21"/>
      <c r="D1" s="2"/>
      <c r="E1" s="1"/>
      <c r="F1" s="99"/>
      <c r="G1" s="1"/>
      <c r="H1" s="3"/>
      <c r="J1" s="7"/>
      <c r="K1" s="109"/>
      <c r="L1" s="109"/>
      <c r="M1" s="109"/>
      <c r="P1" s="249" t="str">
        <f ca="1">"SWEPCO Project "&amp;RIGHT(MID(CELL("filename",$A$1),FIND("]",CELL("filename",$A$1))+1,256),2)&amp;" of "&amp;COUNT('S.001:S.xyz - blank'!$P$3)-1</f>
        <v>SWEPCO Project 41 of 73</v>
      </c>
    </row>
    <row r="2" spans="1:16" ht="18">
      <c r="B2" s="1"/>
      <c r="C2" s="1"/>
      <c r="D2" s="2"/>
      <c r="E2" s="1"/>
      <c r="F2" s="1"/>
      <c r="G2" s="1"/>
      <c r="H2" s="3"/>
      <c r="I2" s="1"/>
      <c r="J2" s="4"/>
      <c r="K2" s="1"/>
      <c r="L2" s="1"/>
      <c r="M2" s="1"/>
      <c r="N2" s="1"/>
      <c r="P2" s="244" t="s">
        <v>124</v>
      </c>
    </row>
    <row r="3" spans="1:16" ht="18.75">
      <c r="B3" s="5" t="s">
        <v>40</v>
      </c>
      <c r="C3" s="68" t="s">
        <v>41</v>
      </c>
      <c r="D3" s="2"/>
      <c r="E3" s="1"/>
      <c r="F3" s="1"/>
      <c r="G3" s="1"/>
      <c r="H3" s="3"/>
      <c r="I3" s="3"/>
      <c r="J3" s="111"/>
      <c r="K3" s="3"/>
      <c r="L3" s="3"/>
      <c r="M3" s="3"/>
      <c r="N3" s="3"/>
      <c r="O3" s="1"/>
      <c r="P3" s="240">
        <v>1</v>
      </c>
    </row>
    <row r="4" spans="1:16" ht="15.75" thickBot="1">
      <c r="C4" s="67"/>
      <c r="D4" s="2"/>
      <c r="E4" s="1"/>
      <c r="F4" s="1"/>
      <c r="G4" s="1"/>
      <c r="H4" s="3"/>
      <c r="I4" s="3"/>
      <c r="J4" s="111"/>
      <c r="K4" s="3"/>
      <c r="L4" s="3"/>
      <c r="M4" s="3"/>
      <c r="N4" s="3"/>
      <c r="O4" s="1"/>
      <c r="P4" s="1"/>
    </row>
    <row r="5" spans="1:16" ht="15">
      <c r="C5" s="112" t="s">
        <v>42</v>
      </c>
      <c r="D5" s="2"/>
      <c r="E5" s="1"/>
      <c r="F5" s="1"/>
      <c r="G5" s="113"/>
      <c r="H5" s="1" t="s">
        <v>43</v>
      </c>
      <c r="I5" s="1"/>
      <c r="J5" s="4"/>
      <c r="K5" s="268" t="s">
        <v>152</v>
      </c>
      <c r="L5" s="114"/>
      <c r="M5" s="115"/>
      <c r="N5" s="116">
        <f>VLOOKUP(I10,C17:I72,5)</f>
        <v>546157.53265287506</v>
      </c>
      <c r="P5" s="1"/>
    </row>
    <row r="6" spans="1:16" ht="15.75">
      <c r="C6" s="8"/>
      <c r="D6" s="2"/>
      <c r="E6" s="1"/>
      <c r="F6" s="1"/>
      <c r="G6" s="1"/>
      <c r="H6" s="117"/>
      <c r="I6" s="117"/>
      <c r="J6" s="118"/>
      <c r="K6" s="269" t="s">
        <v>153</v>
      </c>
      <c r="L6" s="119"/>
      <c r="M6" s="4"/>
      <c r="N6" s="120">
        <f>VLOOKUP(I10,C17:I72,6)</f>
        <v>546157.53265287506</v>
      </c>
      <c r="O6" s="1"/>
      <c r="P6" s="1"/>
    </row>
    <row r="7" spans="1:16" ht="13.5" thickBot="1">
      <c r="C7" s="121" t="s">
        <v>44</v>
      </c>
      <c r="D7" s="386" t="s">
        <v>302</v>
      </c>
      <c r="E7" s="379"/>
      <c r="F7" s="379"/>
      <c r="G7" s="1"/>
      <c r="H7" s="3"/>
      <c r="I7" s="3"/>
      <c r="J7" s="111"/>
      <c r="K7" s="122" t="s">
        <v>45</v>
      </c>
      <c r="L7" s="123"/>
      <c r="M7" s="123"/>
      <c r="N7" s="124">
        <f>+N6-N5</f>
        <v>0</v>
      </c>
      <c r="O7" s="1"/>
      <c r="P7" s="1"/>
    </row>
    <row r="8" spans="1:16" ht="13.5" thickBot="1">
      <c r="C8" s="125"/>
      <c r="D8" s="352" t="str">
        <f>IF(D10&lt;100000,"DOES NOT MEET SPP $100,000 MINIMUM INVESTMENT FOR REGIONAL BPU SHARING.","")</f>
        <v/>
      </c>
      <c r="E8" s="126"/>
      <c r="F8" s="126"/>
      <c r="G8" s="126"/>
      <c r="H8" s="126"/>
      <c r="I8" s="126"/>
      <c r="J8" s="101"/>
      <c r="K8" s="126"/>
      <c r="L8" s="126"/>
      <c r="M8" s="126"/>
      <c r="N8" s="126"/>
      <c r="O8" s="101"/>
      <c r="P8" s="21"/>
    </row>
    <row r="9" spans="1:16" ht="13.5" thickBot="1">
      <c r="C9" s="127" t="s">
        <v>46</v>
      </c>
      <c r="D9" s="225" t="s">
        <v>301</v>
      </c>
      <c r="E9" s="401" t="s">
        <v>312</v>
      </c>
      <c r="F9" s="128"/>
      <c r="G9" s="128"/>
      <c r="H9" s="128"/>
      <c r="I9" s="129"/>
      <c r="J9" s="130"/>
      <c r="O9" s="131"/>
      <c r="P9" s="4"/>
    </row>
    <row r="10" spans="1:16">
      <c r="C10" s="132" t="s">
        <v>47</v>
      </c>
      <c r="D10" s="133">
        <v>4866028</v>
      </c>
      <c r="E10" s="61" t="s">
        <v>459</v>
      </c>
      <c r="F10" s="131"/>
      <c r="G10" s="134"/>
      <c r="H10" s="134"/>
      <c r="I10" s="135">
        <f>+SWE.WS.F.BPU.ATRR.Projected!K17</f>
        <v>2019</v>
      </c>
      <c r="J10" s="130"/>
      <c r="K10" s="111" t="s">
        <v>48</v>
      </c>
      <c r="O10" s="4"/>
      <c r="P10" s="4"/>
    </row>
    <row r="11" spans="1:16">
      <c r="C11" s="136" t="s">
        <v>49</v>
      </c>
      <c r="D11" s="137">
        <v>2014</v>
      </c>
      <c r="E11" s="136" t="s">
        <v>50</v>
      </c>
      <c r="F11" s="134"/>
      <c r="G11" s="7"/>
      <c r="H11" s="7"/>
      <c r="I11" s="138">
        <f>IF(G5="",0,SWE.WS.F.BPU.ATRR.Projected!F$11)</f>
        <v>0</v>
      </c>
      <c r="J11" s="139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4"/>
      <c r="P11" s="4"/>
    </row>
    <row r="12" spans="1:16">
      <c r="C12" s="136" t="s">
        <v>51</v>
      </c>
      <c r="D12" s="133">
        <v>12</v>
      </c>
      <c r="E12" s="136" t="s">
        <v>52</v>
      </c>
      <c r="F12" s="134"/>
      <c r="G12" s="7"/>
      <c r="H12" s="7"/>
      <c r="I12" s="140">
        <f>SWE.WS.F.BPU.ATRR.Projected!$F$76</f>
        <v>9.9555672459071778E-2</v>
      </c>
      <c r="J12" s="141"/>
      <c r="K12" t="s">
        <v>53</v>
      </c>
      <c r="O12" s="4"/>
      <c r="P12" s="4"/>
    </row>
    <row r="13" spans="1:16">
      <c r="C13" s="136" t="s">
        <v>54</v>
      </c>
      <c r="D13" s="138">
        <f>+SWE.WS.F.BPU.ATRR.Projected!F$87</f>
        <v>43</v>
      </c>
      <c r="E13" s="136" t="s">
        <v>55</v>
      </c>
      <c r="F13" s="134"/>
      <c r="G13" s="7"/>
      <c r="H13" s="7"/>
      <c r="I13" s="140">
        <f>IF(G5="",I12,SWE.WS.F.BPU.ATRR.Projected!$F$75)</f>
        <v>9.9555672459071778E-2</v>
      </c>
      <c r="J13" s="141"/>
      <c r="K13" s="111" t="s">
        <v>56</v>
      </c>
      <c r="L13" s="58"/>
      <c r="M13" s="58"/>
      <c r="N13" s="58"/>
      <c r="O13" s="4"/>
      <c r="P13" s="4"/>
    </row>
    <row r="14" spans="1:16" ht="13.5" thickBot="1">
      <c r="C14" s="136" t="s">
        <v>57</v>
      </c>
      <c r="D14" s="137" t="s">
        <v>58</v>
      </c>
      <c r="E14" s="4" t="s">
        <v>59</v>
      </c>
      <c r="F14" s="134"/>
      <c r="G14" s="7"/>
      <c r="H14" s="7"/>
      <c r="I14" s="142">
        <f>IF(D10=0,0,D10/D13)</f>
        <v>113163.44186046511</v>
      </c>
      <c r="J14" s="111"/>
      <c r="K14" s="111"/>
      <c r="L14" s="111"/>
      <c r="M14" s="111"/>
      <c r="N14" s="111"/>
      <c r="O14" s="4"/>
      <c r="P14" s="4"/>
    </row>
    <row r="15" spans="1:16" ht="38.25">
      <c r="C15" s="143" t="s">
        <v>47</v>
      </c>
      <c r="D15" s="144" t="s">
        <v>60</v>
      </c>
      <c r="E15" s="144" t="s">
        <v>61</v>
      </c>
      <c r="F15" s="144" t="s">
        <v>62</v>
      </c>
      <c r="G15" s="434" t="s">
        <v>378</v>
      </c>
      <c r="H15" s="435" t="s">
        <v>379</v>
      </c>
      <c r="I15" s="143" t="s">
        <v>63</v>
      </c>
      <c r="J15" s="145"/>
      <c r="K15" s="271" t="s">
        <v>219</v>
      </c>
      <c r="L15" s="146" t="s">
        <v>64</v>
      </c>
      <c r="M15" s="271" t="s">
        <v>219</v>
      </c>
      <c r="N15" s="146" t="s">
        <v>64</v>
      </c>
      <c r="O15" s="146" t="s">
        <v>65</v>
      </c>
      <c r="P15" s="4"/>
    </row>
    <row r="16" spans="1:16" ht="13.5" thickBot="1">
      <c r="C16" s="147" t="s">
        <v>66</v>
      </c>
      <c r="D16" s="147" t="s">
        <v>67</v>
      </c>
      <c r="E16" s="147" t="s">
        <v>68</v>
      </c>
      <c r="F16" s="147" t="s">
        <v>67</v>
      </c>
      <c r="G16" s="408" t="s">
        <v>69</v>
      </c>
      <c r="H16" s="148" t="s">
        <v>70</v>
      </c>
      <c r="I16" s="149" t="s">
        <v>89</v>
      </c>
      <c r="J16" s="150" t="s">
        <v>71</v>
      </c>
      <c r="K16" s="151" t="s">
        <v>72</v>
      </c>
      <c r="L16" s="151" t="s">
        <v>72</v>
      </c>
      <c r="M16" s="151" t="s">
        <v>90</v>
      </c>
      <c r="N16" s="152" t="s">
        <v>90</v>
      </c>
      <c r="O16" s="151" t="s">
        <v>90</v>
      </c>
      <c r="P16" s="4"/>
    </row>
    <row r="17" spans="2:16">
      <c r="C17" s="153">
        <f>IF(D11= "","-",D11)</f>
        <v>2014</v>
      </c>
      <c r="D17" s="409">
        <v>3846600</v>
      </c>
      <c r="E17" s="415">
        <v>0</v>
      </c>
      <c r="F17" s="409">
        <v>3846600</v>
      </c>
      <c r="G17" s="415">
        <v>518946.76103442931</v>
      </c>
      <c r="H17" s="416">
        <v>518946.76103442931</v>
      </c>
      <c r="I17" s="404">
        <v>0</v>
      </c>
      <c r="J17" s="156"/>
      <c r="K17" s="256">
        <f>G17</f>
        <v>518946.76103442931</v>
      </c>
      <c r="L17" s="172">
        <f>IF(K17&lt;&gt;0,+G17-K17,0)</f>
        <v>0</v>
      </c>
      <c r="M17" s="256">
        <f>H17</f>
        <v>518946.76103442931</v>
      </c>
      <c r="N17" s="157">
        <f>IF(M17&lt;&gt;0,+H17-M17,0)</f>
        <v>0</v>
      </c>
      <c r="O17" s="158">
        <f>+N17-L17</f>
        <v>0</v>
      </c>
      <c r="P17" s="4"/>
    </row>
    <row r="18" spans="2:16">
      <c r="B18" s="9" t="str">
        <f>IF(D18=F17,"","IU")</f>
        <v/>
      </c>
      <c r="C18" s="153">
        <f>IF(D11="","-",+C17+1)</f>
        <v>2015</v>
      </c>
      <c r="D18" s="409">
        <v>3846600</v>
      </c>
      <c r="E18" s="410">
        <v>114166.66666666667</v>
      </c>
      <c r="F18" s="409">
        <v>3732433.3333333335</v>
      </c>
      <c r="G18" s="410">
        <v>605746.05598620465</v>
      </c>
      <c r="H18" s="416">
        <v>605746.05598620465</v>
      </c>
      <c r="I18" s="156">
        <v>0</v>
      </c>
      <c r="J18" s="156"/>
      <c r="K18" s="258">
        <f>G18</f>
        <v>605746.05598620465</v>
      </c>
      <c r="L18" s="257">
        <f>IF(K18&lt;&gt;0,+G18-K18,0)</f>
        <v>0</v>
      </c>
      <c r="M18" s="258">
        <f>H18</f>
        <v>605746.05598620465</v>
      </c>
      <c r="N18" s="158">
        <f>IF(M18&lt;&gt;0,+H18-M18,0)</f>
        <v>0</v>
      </c>
      <c r="O18" s="158">
        <f>+N18-L18</f>
        <v>0</v>
      </c>
      <c r="P18" s="4"/>
    </row>
    <row r="19" spans="2:16">
      <c r="B19" s="9" t="str">
        <f>IF(D19=F18,"","IU")</f>
        <v>IU</v>
      </c>
      <c r="C19" s="153">
        <f>IF(D11="","-",+C18+1)</f>
        <v>2016</v>
      </c>
      <c r="D19" s="409">
        <v>4680833.333333333</v>
      </c>
      <c r="E19" s="410">
        <v>114166.66666666667</v>
      </c>
      <c r="F19" s="409">
        <v>4566666.666666666</v>
      </c>
      <c r="G19" s="410">
        <v>708198.5525863939</v>
      </c>
      <c r="H19" s="416">
        <v>708198.5525863939</v>
      </c>
      <c r="I19" s="156">
        <f>H19-G19</f>
        <v>0</v>
      </c>
      <c r="J19" s="156"/>
      <c r="K19" s="258">
        <f>G19</f>
        <v>708198.5525863939</v>
      </c>
      <c r="L19" s="257">
        <f>IF(K19&lt;&gt;0,+G19-K19,0)</f>
        <v>0</v>
      </c>
      <c r="M19" s="258">
        <f>H19</f>
        <v>708198.5525863939</v>
      </c>
      <c r="N19" s="158">
        <f>IF(M19&lt;&gt;0,+H19-M19,0)</f>
        <v>0</v>
      </c>
      <c r="O19" s="158">
        <f>+N19-L19</f>
        <v>0</v>
      </c>
      <c r="P19" s="4"/>
    </row>
    <row r="20" spans="2:16">
      <c r="B20" s="9" t="str">
        <f t="shared" ref="B20:B72" si="0">IF(D20=F19,"","IU")</f>
        <v>IU</v>
      </c>
      <c r="C20" s="153">
        <f>IF(D11="","-",+C19+1)</f>
        <v>2017</v>
      </c>
      <c r="D20" s="409">
        <v>4637694.666666667</v>
      </c>
      <c r="E20" s="410">
        <v>113163.44186046511</v>
      </c>
      <c r="F20" s="409">
        <v>4524531.2248062016</v>
      </c>
      <c r="G20" s="410">
        <v>680729.13149070973</v>
      </c>
      <c r="H20" s="416">
        <v>680729.13149070973</v>
      </c>
      <c r="I20" s="156">
        <v>0</v>
      </c>
      <c r="J20" s="156"/>
      <c r="K20" s="258">
        <f>G20</f>
        <v>680729.13149070973</v>
      </c>
      <c r="L20" s="257">
        <f>IF(K20&lt;&gt;0,+G20-K20,0)</f>
        <v>0</v>
      </c>
      <c r="M20" s="258">
        <f>H20</f>
        <v>680729.13149070973</v>
      </c>
      <c r="N20" s="158">
        <f>IF(M20&lt;&gt;0,+H20-M20,0)</f>
        <v>0</v>
      </c>
      <c r="O20" s="158">
        <f>+N20-L20</f>
        <v>0</v>
      </c>
      <c r="P20" s="4"/>
    </row>
    <row r="21" spans="2:16">
      <c r="B21" s="9" t="str">
        <f t="shared" si="0"/>
        <v/>
      </c>
      <c r="C21" s="153">
        <f>IF(D11="","-",+C20+1)</f>
        <v>2018</v>
      </c>
      <c r="D21" s="409">
        <v>4524531.2248062016</v>
      </c>
      <c r="E21" s="410">
        <v>118683.60975609756</v>
      </c>
      <c r="F21" s="409">
        <v>4405847.6150501044</v>
      </c>
      <c r="G21" s="410">
        <v>618267.80067785794</v>
      </c>
      <c r="H21" s="416">
        <v>618267.80067785794</v>
      </c>
      <c r="I21" s="156">
        <f t="shared" ref="I21:I72" si="1">H21-G21</f>
        <v>0</v>
      </c>
      <c r="J21" s="156"/>
      <c r="K21" s="258">
        <f>G21</f>
        <v>618267.80067785794</v>
      </c>
      <c r="L21" s="257">
        <f>IF(K21&lt;&gt;0,+G21-K21,0)</f>
        <v>0</v>
      </c>
      <c r="M21" s="258">
        <f>H21</f>
        <v>618267.80067785794</v>
      </c>
      <c r="N21" s="158">
        <f>IF(M21&lt;&gt;0,+H21-M21,0)</f>
        <v>0</v>
      </c>
      <c r="O21" s="158">
        <f>+N21-L21</f>
        <v>0</v>
      </c>
      <c r="P21" s="4"/>
    </row>
    <row r="22" spans="2:16">
      <c r="B22" s="9" t="str">
        <f t="shared" si="0"/>
        <v/>
      </c>
      <c r="C22" s="153">
        <f>IF(D11="","-",+C21+1)</f>
        <v>2019</v>
      </c>
      <c r="D22" s="159">
        <f>IF(F21+SUM(E$17:E21)=D$10,F21,D$10-SUM(E$17:E21))</f>
        <v>4405847.6150501044</v>
      </c>
      <c r="E22" s="160">
        <f t="shared" ref="E22:E72" si="2">IF(+$I$14&lt;F21,$I$14,D22)</f>
        <v>113163.44186046511</v>
      </c>
      <c r="F22" s="159">
        <f t="shared" ref="F22:F72" si="3">+D22-E22</f>
        <v>4292684.1731896391</v>
      </c>
      <c r="G22" s="161">
        <f t="shared" ref="G22:G51" si="4">+I$12*((D22+F22)/2)+E22</f>
        <v>546157.53265287506</v>
      </c>
      <c r="H22" s="142">
        <f t="shared" ref="H22:H51" si="5">+I$13*((D22+F22)/2)+E22</f>
        <v>546157.53265287506</v>
      </c>
      <c r="I22" s="156">
        <f t="shared" si="1"/>
        <v>0</v>
      </c>
      <c r="J22" s="156"/>
      <c r="K22" s="334"/>
      <c r="L22" s="158">
        <f t="shared" ref="L22:L72" si="6">IF(K22&lt;&gt;0,+G22-K22,0)</f>
        <v>0</v>
      </c>
      <c r="M22" s="334"/>
      <c r="N22" s="158">
        <f t="shared" ref="N22:N72" si="7">IF(M22&lt;&gt;0,+H22-M22,0)</f>
        <v>0</v>
      </c>
      <c r="O22" s="158">
        <f t="shared" ref="O22:O72" si="8">+N22-L22</f>
        <v>0</v>
      </c>
      <c r="P22" s="4"/>
    </row>
    <row r="23" spans="2:16">
      <c r="B23" s="9" t="str">
        <f t="shared" si="0"/>
        <v/>
      </c>
      <c r="C23" s="153">
        <f>IF(D11="","-",+C22+1)</f>
        <v>2020</v>
      </c>
      <c r="D23" s="159">
        <f>IF(F22+SUM(E$17:E22)=D$10,F22,D$10-SUM(E$17:E22))</f>
        <v>4292684.1731896391</v>
      </c>
      <c r="E23" s="160">
        <f t="shared" si="2"/>
        <v>113163.44186046511</v>
      </c>
      <c r="F23" s="159">
        <f t="shared" si="3"/>
        <v>4179520.7313291738</v>
      </c>
      <c r="G23" s="161">
        <f t="shared" si="4"/>
        <v>534891.47010067338</v>
      </c>
      <c r="H23" s="142">
        <f t="shared" si="5"/>
        <v>534891.47010067338</v>
      </c>
      <c r="I23" s="156">
        <f t="shared" si="1"/>
        <v>0</v>
      </c>
      <c r="J23" s="156"/>
      <c r="K23" s="334"/>
      <c r="L23" s="158">
        <f t="shared" si="6"/>
        <v>0</v>
      </c>
      <c r="M23" s="334"/>
      <c r="N23" s="158">
        <f t="shared" si="7"/>
        <v>0</v>
      </c>
      <c r="O23" s="158">
        <f t="shared" si="8"/>
        <v>0</v>
      </c>
      <c r="P23" s="4"/>
    </row>
    <row r="24" spans="2:16">
      <c r="B24" s="9" t="str">
        <f t="shared" si="0"/>
        <v/>
      </c>
      <c r="C24" s="153">
        <f>IF(D11="","-",+C23+1)</f>
        <v>2021</v>
      </c>
      <c r="D24" s="159">
        <f>IF(F23+SUM(E$17:E23)=D$10,F23,D$10-SUM(E$17:E23))</f>
        <v>4179520.7313291738</v>
      </c>
      <c r="E24" s="160">
        <f t="shared" si="2"/>
        <v>113163.44186046511</v>
      </c>
      <c r="F24" s="159">
        <f t="shared" si="3"/>
        <v>4066357.2894687084</v>
      </c>
      <c r="G24" s="161">
        <f t="shared" si="4"/>
        <v>523625.40754847159</v>
      </c>
      <c r="H24" s="142">
        <f t="shared" si="5"/>
        <v>523625.40754847159</v>
      </c>
      <c r="I24" s="156">
        <f t="shared" si="1"/>
        <v>0</v>
      </c>
      <c r="J24" s="156"/>
      <c r="K24" s="334"/>
      <c r="L24" s="158">
        <f t="shared" si="6"/>
        <v>0</v>
      </c>
      <c r="M24" s="334"/>
      <c r="N24" s="158">
        <f t="shared" si="7"/>
        <v>0</v>
      </c>
      <c r="O24" s="158">
        <f t="shared" si="8"/>
        <v>0</v>
      </c>
      <c r="P24" s="4"/>
    </row>
    <row r="25" spans="2:16">
      <c r="B25" s="9" t="str">
        <f t="shared" si="0"/>
        <v/>
      </c>
      <c r="C25" s="153">
        <f>IF(D11="","-",+C24+1)</f>
        <v>2022</v>
      </c>
      <c r="D25" s="159">
        <f>IF(F24+SUM(E$17:E24)=D$10,F24,D$10-SUM(E$17:E24))</f>
        <v>4066357.2894687084</v>
      </c>
      <c r="E25" s="160">
        <f t="shared" si="2"/>
        <v>113163.44186046511</v>
      </c>
      <c r="F25" s="159">
        <f t="shared" si="3"/>
        <v>3953193.8476082431</v>
      </c>
      <c r="G25" s="161">
        <f t="shared" si="4"/>
        <v>512359.34499626991</v>
      </c>
      <c r="H25" s="142">
        <f t="shared" si="5"/>
        <v>512359.34499626991</v>
      </c>
      <c r="I25" s="156">
        <f t="shared" si="1"/>
        <v>0</v>
      </c>
      <c r="J25" s="156"/>
      <c r="K25" s="334"/>
      <c r="L25" s="158">
        <f t="shared" si="6"/>
        <v>0</v>
      </c>
      <c r="M25" s="334"/>
      <c r="N25" s="158">
        <f t="shared" si="7"/>
        <v>0</v>
      </c>
      <c r="O25" s="158">
        <f t="shared" si="8"/>
        <v>0</v>
      </c>
      <c r="P25" s="4"/>
    </row>
    <row r="26" spans="2:16">
      <c r="B26" s="9" t="str">
        <f t="shared" si="0"/>
        <v/>
      </c>
      <c r="C26" s="153">
        <f>IF(D11="","-",+C25+1)</f>
        <v>2023</v>
      </c>
      <c r="D26" s="159">
        <f>IF(F25+SUM(E$17:E25)=D$10,F25,D$10-SUM(E$17:E25))</f>
        <v>3953193.8476082431</v>
      </c>
      <c r="E26" s="160">
        <f t="shared" si="2"/>
        <v>113163.44186046511</v>
      </c>
      <c r="F26" s="159">
        <f t="shared" si="3"/>
        <v>3840030.4057477778</v>
      </c>
      <c r="G26" s="161">
        <f t="shared" si="4"/>
        <v>501093.28244406823</v>
      </c>
      <c r="H26" s="142">
        <f t="shared" si="5"/>
        <v>501093.28244406823</v>
      </c>
      <c r="I26" s="156">
        <f t="shared" si="1"/>
        <v>0</v>
      </c>
      <c r="J26" s="156"/>
      <c r="K26" s="334"/>
      <c r="L26" s="158">
        <f t="shared" si="6"/>
        <v>0</v>
      </c>
      <c r="M26" s="334"/>
      <c r="N26" s="158">
        <f t="shared" si="7"/>
        <v>0</v>
      </c>
      <c r="O26" s="158">
        <f t="shared" si="8"/>
        <v>0</v>
      </c>
      <c r="P26" s="4"/>
    </row>
    <row r="27" spans="2:16">
      <c r="B27" s="9" t="str">
        <f t="shared" si="0"/>
        <v/>
      </c>
      <c r="C27" s="153">
        <f>IF(D11="","-",+C26+1)</f>
        <v>2024</v>
      </c>
      <c r="D27" s="159">
        <f>IF(F26+SUM(E$17:E26)=D$10,F26,D$10-SUM(E$17:E26))</f>
        <v>3840030.4057477778</v>
      </c>
      <c r="E27" s="160">
        <f t="shared" si="2"/>
        <v>113163.44186046511</v>
      </c>
      <c r="F27" s="159">
        <f t="shared" si="3"/>
        <v>3726866.9638873124</v>
      </c>
      <c r="G27" s="161">
        <f t="shared" si="4"/>
        <v>489827.21989186649</v>
      </c>
      <c r="H27" s="142">
        <f t="shared" si="5"/>
        <v>489827.21989186649</v>
      </c>
      <c r="I27" s="156">
        <f t="shared" si="1"/>
        <v>0</v>
      </c>
      <c r="J27" s="156"/>
      <c r="K27" s="334"/>
      <c r="L27" s="158">
        <f t="shared" si="6"/>
        <v>0</v>
      </c>
      <c r="M27" s="334"/>
      <c r="N27" s="158">
        <f t="shared" si="7"/>
        <v>0</v>
      </c>
      <c r="O27" s="158">
        <f t="shared" si="8"/>
        <v>0</v>
      </c>
      <c r="P27" s="4"/>
    </row>
    <row r="28" spans="2:16">
      <c r="B28" s="9" t="str">
        <f t="shared" si="0"/>
        <v/>
      </c>
      <c r="C28" s="153">
        <f>IF(D11="","-",+C27+1)</f>
        <v>2025</v>
      </c>
      <c r="D28" s="159">
        <f>IF(F27+SUM(E$17:E27)=D$10,F27,D$10-SUM(E$17:E27))</f>
        <v>3726866.9638873124</v>
      </c>
      <c r="E28" s="160">
        <f t="shared" si="2"/>
        <v>113163.44186046511</v>
      </c>
      <c r="F28" s="159">
        <f t="shared" si="3"/>
        <v>3613703.5220268471</v>
      </c>
      <c r="G28" s="161">
        <f t="shared" si="4"/>
        <v>478561.15733966482</v>
      </c>
      <c r="H28" s="142">
        <f t="shared" si="5"/>
        <v>478561.15733966482</v>
      </c>
      <c r="I28" s="156">
        <f t="shared" si="1"/>
        <v>0</v>
      </c>
      <c r="J28" s="156"/>
      <c r="K28" s="334"/>
      <c r="L28" s="158">
        <f t="shared" si="6"/>
        <v>0</v>
      </c>
      <c r="M28" s="334"/>
      <c r="N28" s="158">
        <f t="shared" si="7"/>
        <v>0</v>
      </c>
      <c r="O28" s="158">
        <f t="shared" si="8"/>
        <v>0</v>
      </c>
      <c r="P28" s="4"/>
    </row>
    <row r="29" spans="2:16">
      <c r="B29" s="9" t="str">
        <f t="shared" si="0"/>
        <v/>
      </c>
      <c r="C29" s="153">
        <f>IF(D11="","-",+C28+1)</f>
        <v>2026</v>
      </c>
      <c r="D29" s="159">
        <f>IF(F28+SUM(E$17:E28)=D$10,F28,D$10-SUM(E$17:E28))</f>
        <v>3613703.5220268471</v>
      </c>
      <c r="E29" s="160">
        <f t="shared" si="2"/>
        <v>113163.44186046511</v>
      </c>
      <c r="F29" s="159">
        <f t="shared" si="3"/>
        <v>3500540.0801663818</v>
      </c>
      <c r="G29" s="161">
        <f t="shared" si="4"/>
        <v>467295.09478746314</v>
      </c>
      <c r="H29" s="142">
        <f t="shared" si="5"/>
        <v>467295.09478746314</v>
      </c>
      <c r="I29" s="156">
        <f t="shared" si="1"/>
        <v>0</v>
      </c>
      <c r="J29" s="156"/>
      <c r="K29" s="334"/>
      <c r="L29" s="158">
        <f t="shared" si="6"/>
        <v>0</v>
      </c>
      <c r="M29" s="334"/>
      <c r="N29" s="158">
        <f t="shared" si="7"/>
        <v>0</v>
      </c>
      <c r="O29" s="158">
        <f t="shared" si="8"/>
        <v>0</v>
      </c>
      <c r="P29" s="4"/>
    </row>
    <row r="30" spans="2:16">
      <c r="B30" s="9" t="str">
        <f t="shared" si="0"/>
        <v/>
      </c>
      <c r="C30" s="153">
        <f>IF(D11="","-",+C29+1)</f>
        <v>2027</v>
      </c>
      <c r="D30" s="159">
        <f>IF(F29+SUM(E$17:E29)=D$10,F29,D$10-SUM(E$17:E29))</f>
        <v>3500540.0801663818</v>
      </c>
      <c r="E30" s="160">
        <f t="shared" si="2"/>
        <v>113163.44186046511</v>
      </c>
      <c r="F30" s="159">
        <f t="shared" si="3"/>
        <v>3387376.6383059165</v>
      </c>
      <c r="G30" s="161">
        <f t="shared" si="4"/>
        <v>456029.0322352614</v>
      </c>
      <c r="H30" s="142">
        <f t="shared" si="5"/>
        <v>456029.0322352614</v>
      </c>
      <c r="I30" s="156">
        <f t="shared" si="1"/>
        <v>0</v>
      </c>
      <c r="J30" s="156"/>
      <c r="K30" s="334"/>
      <c r="L30" s="158">
        <f t="shared" si="6"/>
        <v>0</v>
      </c>
      <c r="M30" s="334"/>
      <c r="N30" s="158">
        <f t="shared" si="7"/>
        <v>0</v>
      </c>
      <c r="O30" s="158">
        <f t="shared" si="8"/>
        <v>0</v>
      </c>
      <c r="P30" s="4"/>
    </row>
    <row r="31" spans="2:16">
      <c r="B31" s="9" t="str">
        <f t="shared" si="0"/>
        <v/>
      </c>
      <c r="C31" s="153">
        <f>IF(D11="","-",+C30+1)</f>
        <v>2028</v>
      </c>
      <c r="D31" s="159">
        <f>IF(F30+SUM(E$17:E30)=D$10,F30,D$10-SUM(E$17:E30))</f>
        <v>3387376.6383059165</v>
      </c>
      <c r="E31" s="160">
        <f t="shared" si="2"/>
        <v>113163.44186046511</v>
      </c>
      <c r="F31" s="159">
        <f t="shared" si="3"/>
        <v>3274213.1964454511</v>
      </c>
      <c r="G31" s="161">
        <f t="shared" si="4"/>
        <v>444762.96968305972</v>
      </c>
      <c r="H31" s="142">
        <f t="shared" si="5"/>
        <v>444762.96968305972</v>
      </c>
      <c r="I31" s="156">
        <f t="shared" si="1"/>
        <v>0</v>
      </c>
      <c r="J31" s="156"/>
      <c r="K31" s="334"/>
      <c r="L31" s="158">
        <f t="shared" si="6"/>
        <v>0</v>
      </c>
      <c r="M31" s="334"/>
      <c r="N31" s="158">
        <f t="shared" si="7"/>
        <v>0</v>
      </c>
      <c r="O31" s="158">
        <f t="shared" si="8"/>
        <v>0</v>
      </c>
      <c r="P31" s="4"/>
    </row>
    <row r="32" spans="2:16">
      <c r="B32" s="9" t="str">
        <f t="shared" si="0"/>
        <v/>
      </c>
      <c r="C32" s="153">
        <f>IF(D11="","-",+C31+1)</f>
        <v>2029</v>
      </c>
      <c r="D32" s="159">
        <f>IF(F31+SUM(E$17:E31)=D$10,F31,D$10-SUM(E$17:E31))</f>
        <v>3274213.1964454511</v>
      </c>
      <c r="E32" s="160">
        <f t="shared" si="2"/>
        <v>113163.44186046511</v>
      </c>
      <c r="F32" s="159">
        <f t="shared" si="3"/>
        <v>3161049.7545849858</v>
      </c>
      <c r="G32" s="161">
        <f t="shared" si="4"/>
        <v>433496.90713085805</v>
      </c>
      <c r="H32" s="142">
        <f t="shared" si="5"/>
        <v>433496.90713085805</v>
      </c>
      <c r="I32" s="156">
        <f t="shared" si="1"/>
        <v>0</v>
      </c>
      <c r="J32" s="156"/>
      <c r="K32" s="334"/>
      <c r="L32" s="158">
        <f t="shared" si="6"/>
        <v>0</v>
      </c>
      <c r="M32" s="334"/>
      <c r="N32" s="158">
        <f t="shared" si="7"/>
        <v>0</v>
      </c>
      <c r="O32" s="158">
        <f t="shared" si="8"/>
        <v>0</v>
      </c>
      <c r="P32" s="4"/>
    </row>
    <row r="33" spans="2:16">
      <c r="B33" s="9" t="str">
        <f t="shared" si="0"/>
        <v/>
      </c>
      <c r="C33" s="153">
        <f>IF(D11="","-",+C32+1)</f>
        <v>2030</v>
      </c>
      <c r="D33" s="159">
        <f>IF(F32+SUM(E$17:E32)=D$10,F32,D$10-SUM(E$17:E32))</f>
        <v>3161049.7545849858</v>
      </c>
      <c r="E33" s="160">
        <f t="shared" si="2"/>
        <v>113163.44186046511</v>
      </c>
      <c r="F33" s="159">
        <f t="shared" si="3"/>
        <v>3047886.3127245205</v>
      </c>
      <c r="G33" s="161">
        <f t="shared" si="4"/>
        <v>422230.84457865631</v>
      </c>
      <c r="H33" s="142">
        <f t="shared" si="5"/>
        <v>422230.84457865631</v>
      </c>
      <c r="I33" s="156">
        <f t="shared" si="1"/>
        <v>0</v>
      </c>
      <c r="J33" s="156"/>
      <c r="K33" s="334"/>
      <c r="L33" s="158">
        <f t="shared" si="6"/>
        <v>0</v>
      </c>
      <c r="M33" s="334"/>
      <c r="N33" s="158">
        <f t="shared" si="7"/>
        <v>0</v>
      </c>
      <c r="O33" s="158">
        <f t="shared" si="8"/>
        <v>0</v>
      </c>
      <c r="P33" s="4"/>
    </row>
    <row r="34" spans="2:16">
      <c r="B34" s="9" t="str">
        <f t="shared" si="0"/>
        <v/>
      </c>
      <c r="C34" s="153">
        <f>IF(D11="","-",+C33+1)</f>
        <v>2031</v>
      </c>
      <c r="D34" s="159">
        <f>IF(F33+SUM(E$17:E33)=D$10,F33,D$10-SUM(E$17:E33))</f>
        <v>3047886.3127245205</v>
      </c>
      <c r="E34" s="160">
        <f t="shared" si="2"/>
        <v>113163.44186046511</v>
      </c>
      <c r="F34" s="159">
        <f t="shared" si="3"/>
        <v>2934722.8708640551</v>
      </c>
      <c r="G34" s="161">
        <f t="shared" si="4"/>
        <v>410964.78202645463</v>
      </c>
      <c r="H34" s="142">
        <f t="shared" si="5"/>
        <v>410964.78202645463</v>
      </c>
      <c r="I34" s="156">
        <f t="shared" si="1"/>
        <v>0</v>
      </c>
      <c r="J34" s="156"/>
      <c r="K34" s="334"/>
      <c r="L34" s="158">
        <f t="shared" si="6"/>
        <v>0</v>
      </c>
      <c r="M34" s="334"/>
      <c r="N34" s="158">
        <f t="shared" si="7"/>
        <v>0</v>
      </c>
      <c r="O34" s="158">
        <f t="shared" si="8"/>
        <v>0</v>
      </c>
      <c r="P34" s="4"/>
    </row>
    <row r="35" spans="2:16">
      <c r="B35" s="9" t="str">
        <f t="shared" si="0"/>
        <v/>
      </c>
      <c r="C35" s="153">
        <f>IF(D11="","-",+C34+1)</f>
        <v>2032</v>
      </c>
      <c r="D35" s="159">
        <f>IF(F34+SUM(E$17:E34)=D$10,F34,D$10-SUM(E$17:E34))</f>
        <v>2934722.8708640551</v>
      </c>
      <c r="E35" s="160">
        <f t="shared" si="2"/>
        <v>113163.44186046511</v>
      </c>
      <c r="F35" s="159">
        <f t="shared" si="3"/>
        <v>2821559.4290035898</v>
      </c>
      <c r="G35" s="161">
        <f t="shared" si="4"/>
        <v>399698.71947425295</v>
      </c>
      <c r="H35" s="142">
        <f t="shared" si="5"/>
        <v>399698.71947425295</v>
      </c>
      <c r="I35" s="156">
        <f t="shared" si="1"/>
        <v>0</v>
      </c>
      <c r="J35" s="156"/>
      <c r="K35" s="334"/>
      <c r="L35" s="158">
        <f t="shared" si="6"/>
        <v>0</v>
      </c>
      <c r="M35" s="334"/>
      <c r="N35" s="158">
        <f t="shared" si="7"/>
        <v>0</v>
      </c>
      <c r="O35" s="158">
        <f t="shared" si="8"/>
        <v>0</v>
      </c>
      <c r="P35" s="4"/>
    </row>
    <row r="36" spans="2:16">
      <c r="B36" s="9" t="str">
        <f t="shared" si="0"/>
        <v/>
      </c>
      <c r="C36" s="153">
        <f>IF(D11="","-",+C35+1)</f>
        <v>2033</v>
      </c>
      <c r="D36" s="159">
        <f>IF(F35+SUM(E$17:E35)=D$10,F35,D$10-SUM(E$17:E35))</f>
        <v>2821559.4290035898</v>
      </c>
      <c r="E36" s="160">
        <f t="shared" si="2"/>
        <v>113163.44186046511</v>
      </c>
      <c r="F36" s="159">
        <f t="shared" si="3"/>
        <v>2708395.9871431245</v>
      </c>
      <c r="G36" s="161">
        <f t="shared" si="4"/>
        <v>388432.65692205122</v>
      </c>
      <c r="H36" s="142">
        <f t="shared" si="5"/>
        <v>388432.65692205122</v>
      </c>
      <c r="I36" s="156">
        <f t="shared" si="1"/>
        <v>0</v>
      </c>
      <c r="J36" s="156"/>
      <c r="K36" s="334"/>
      <c r="L36" s="158">
        <f t="shared" si="6"/>
        <v>0</v>
      </c>
      <c r="M36" s="334"/>
      <c r="N36" s="158">
        <f t="shared" si="7"/>
        <v>0</v>
      </c>
      <c r="O36" s="158">
        <f t="shared" si="8"/>
        <v>0</v>
      </c>
      <c r="P36" s="4"/>
    </row>
    <row r="37" spans="2:16">
      <c r="B37" s="9" t="str">
        <f t="shared" si="0"/>
        <v/>
      </c>
      <c r="C37" s="153">
        <f>IF(D11="","-",+C36+1)</f>
        <v>2034</v>
      </c>
      <c r="D37" s="159">
        <f>IF(F36+SUM(E$17:E36)=D$10,F36,D$10-SUM(E$17:E36))</f>
        <v>2708395.9871431245</v>
      </c>
      <c r="E37" s="160">
        <f t="shared" si="2"/>
        <v>113163.44186046511</v>
      </c>
      <c r="F37" s="159">
        <f t="shared" si="3"/>
        <v>2595232.5452826591</v>
      </c>
      <c r="G37" s="161">
        <f t="shared" si="4"/>
        <v>377166.59436984954</v>
      </c>
      <c r="H37" s="142">
        <f t="shared" si="5"/>
        <v>377166.59436984954</v>
      </c>
      <c r="I37" s="156">
        <f t="shared" si="1"/>
        <v>0</v>
      </c>
      <c r="J37" s="156"/>
      <c r="K37" s="334"/>
      <c r="L37" s="158">
        <f t="shared" si="6"/>
        <v>0</v>
      </c>
      <c r="M37" s="334"/>
      <c r="N37" s="158">
        <f t="shared" si="7"/>
        <v>0</v>
      </c>
      <c r="O37" s="158">
        <f t="shared" si="8"/>
        <v>0</v>
      </c>
      <c r="P37" s="4"/>
    </row>
    <row r="38" spans="2:16">
      <c r="B38" s="9" t="str">
        <f t="shared" si="0"/>
        <v/>
      </c>
      <c r="C38" s="153">
        <f>IF(D11="","-",+C37+1)</f>
        <v>2035</v>
      </c>
      <c r="D38" s="159">
        <f>IF(F37+SUM(E$17:E37)=D$10,F37,D$10-SUM(E$17:E37))</f>
        <v>2595232.5452826591</v>
      </c>
      <c r="E38" s="160">
        <f t="shared" si="2"/>
        <v>113163.44186046511</v>
      </c>
      <c r="F38" s="159">
        <f t="shared" si="3"/>
        <v>2482069.1034221938</v>
      </c>
      <c r="G38" s="161">
        <f t="shared" si="4"/>
        <v>365900.53181764786</v>
      </c>
      <c r="H38" s="142">
        <f t="shared" si="5"/>
        <v>365900.53181764786</v>
      </c>
      <c r="I38" s="156">
        <f t="shared" si="1"/>
        <v>0</v>
      </c>
      <c r="J38" s="156"/>
      <c r="K38" s="334"/>
      <c r="L38" s="158">
        <f t="shared" si="6"/>
        <v>0</v>
      </c>
      <c r="M38" s="334"/>
      <c r="N38" s="158">
        <f t="shared" si="7"/>
        <v>0</v>
      </c>
      <c r="O38" s="158">
        <f t="shared" si="8"/>
        <v>0</v>
      </c>
      <c r="P38" s="4"/>
    </row>
    <row r="39" spans="2:16">
      <c r="B39" s="9" t="str">
        <f t="shared" si="0"/>
        <v/>
      </c>
      <c r="C39" s="153">
        <f>IF(D11="","-",+C38+1)</f>
        <v>2036</v>
      </c>
      <c r="D39" s="159">
        <f>IF(F38+SUM(E$17:E38)=D$10,F38,D$10-SUM(E$17:E38))</f>
        <v>2482069.1034221938</v>
      </c>
      <c r="E39" s="160">
        <f t="shared" si="2"/>
        <v>113163.44186046511</v>
      </c>
      <c r="F39" s="159">
        <f t="shared" si="3"/>
        <v>2368905.6615617285</v>
      </c>
      <c r="G39" s="161">
        <f t="shared" si="4"/>
        <v>354634.46926544613</v>
      </c>
      <c r="H39" s="142">
        <f t="shared" si="5"/>
        <v>354634.46926544613</v>
      </c>
      <c r="I39" s="156">
        <f t="shared" si="1"/>
        <v>0</v>
      </c>
      <c r="J39" s="156"/>
      <c r="K39" s="334"/>
      <c r="L39" s="158">
        <f t="shared" si="6"/>
        <v>0</v>
      </c>
      <c r="M39" s="334"/>
      <c r="N39" s="158">
        <f t="shared" si="7"/>
        <v>0</v>
      </c>
      <c r="O39" s="158">
        <f t="shared" si="8"/>
        <v>0</v>
      </c>
      <c r="P39" s="4"/>
    </row>
    <row r="40" spans="2:16">
      <c r="B40" s="9" t="str">
        <f t="shared" si="0"/>
        <v/>
      </c>
      <c r="C40" s="153">
        <f>IF(D11="","-",+C39+1)</f>
        <v>2037</v>
      </c>
      <c r="D40" s="159">
        <f>IF(F39+SUM(E$17:E39)=D$10,F39,D$10-SUM(E$17:E39))</f>
        <v>2368905.6615617285</v>
      </c>
      <c r="E40" s="160">
        <f t="shared" si="2"/>
        <v>113163.44186046511</v>
      </c>
      <c r="F40" s="159">
        <f t="shared" si="3"/>
        <v>2255742.2197012631</v>
      </c>
      <c r="G40" s="161">
        <f t="shared" si="4"/>
        <v>343368.40671324445</v>
      </c>
      <c r="H40" s="142">
        <f t="shared" si="5"/>
        <v>343368.40671324445</v>
      </c>
      <c r="I40" s="156">
        <f t="shared" si="1"/>
        <v>0</v>
      </c>
      <c r="J40" s="156"/>
      <c r="K40" s="334"/>
      <c r="L40" s="158">
        <f t="shared" si="6"/>
        <v>0</v>
      </c>
      <c r="M40" s="334"/>
      <c r="N40" s="158">
        <f t="shared" si="7"/>
        <v>0</v>
      </c>
      <c r="O40" s="158">
        <f t="shared" si="8"/>
        <v>0</v>
      </c>
      <c r="P40" s="4"/>
    </row>
    <row r="41" spans="2:16">
      <c r="B41" s="9" t="str">
        <f t="shared" si="0"/>
        <v/>
      </c>
      <c r="C41" s="153">
        <f>IF(D11="","-",+C40+1)</f>
        <v>2038</v>
      </c>
      <c r="D41" s="159">
        <f>IF(F40+SUM(E$17:E40)=D$10,F40,D$10-SUM(E$17:E40))</f>
        <v>2255742.2197012631</v>
      </c>
      <c r="E41" s="160">
        <f t="shared" si="2"/>
        <v>113163.44186046511</v>
      </c>
      <c r="F41" s="159">
        <f t="shared" si="3"/>
        <v>2142578.7778407978</v>
      </c>
      <c r="G41" s="161">
        <f t="shared" si="4"/>
        <v>332102.34416104277</v>
      </c>
      <c r="H41" s="142">
        <f t="shared" si="5"/>
        <v>332102.34416104277</v>
      </c>
      <c r="I41" s="156">
        <f t="shared" si="1"/>
        <v>0</v>
      </c>
      <c r="J41" s="156"/>
      <c r="K41" s="334"/>
      <c r="L41" s="158">
        <f t="shared" si="6"/>
        <v>0</v>
      </c>
      <c r="M41" s="334"/>
      <c r="N41" s="158">
        <f t="shared" si="7"/>
        <v>0</v>
      </c>
      <c r="O41" s="158">
        <f t="shared" si="8"/>
        <v>0</v>
      </c>
      <c r="P41" s="4"/>
    </row>
    <row r="42" spans="2:16">
      <c r="B42" s="9" t="str">
        <f t="shared" si="0"/>
        <v/>
      </c>
      <c r="C42" s="153">
        <f>IF(D11="","-",+C41+1)</f>
        <v>2039</v>
      </c>
      <c r="D42" s="159">
        <f>IF(F41+SUM(E$17:E41)=D$10,F41,D$10-SUM(E$17:E41))</f>
        <v>2142578.7778407978</v>
      </c>
      <c r="E42" s="160">
        <f t="shared" si="2"/>
        <v>113163.44186046511</v>
      </c>
      <c r="F42" s="159">
        <f t="shared" si="3"/>
        <v>2029415.3359803327</v>
      </c>
      <c r="G42" s="161">
        <f t="shared" si="4"/>
        <v>320836.28160884103</v>
      </c>
      <c r="H42" s="142">
        <f t="shared" si="5"/>
        <v>320836.28160884103</v>
      </c>
      <c r="I42" s="156">
        <f t="shared" si="1"/>
        <v>0</v>
      </c>
      <c r="J42" s="156"/>
      <c r="K42" s="334"/>
      <c r="L42" s="158">
        <f t="shared" si="6"/>
        <v>0</v>
      </c>
      <c r="M42" s="334"/>
      <c r="N42" s="158">
        <f t="shared" si="7"/>
        <v>0</v>
      </c>
      <c r="O42" s="158">
        <f t="shared" si="8"/>
        <v>0</v>
      </c>
      <c r="P42" s="4"/>
    </row>
    <row r="43" spans="2:16">
      <c r="B43" s="9" t="str">
        <f t="shared" si="0"/>
        <v/>
      </c>
      <c r="C43" s="153">
        <f>IF(D11="","-",+C42+1)</f>
        <v>2040</v>
      </c>
      <c r="D43" s="159">
        <f>IF(F42+SUM(E$17:E42)=D$10,F42,D$10-SUM(E$17:E42))</f>
        <v>2029415.3359803327</v>
      </c>
      <c r="E43" s="160">
        <f t="shared" si="2"/>
        <v>113163.44186046511</v>
      </c>
      <c r="F43" s="159">
        <f t="shared" si="3"/>
        <v>1916251.8941198676</v>
      </c>
      <c r="G43" s="161">
        <f t="shared" si="4"/>
        <v>309570.21905663941</v>
      </c>
      <c r="H43" s="142">
        <f t="shared" si="5"/>
        <v>309570.21905663941</v>
      </c>
      <c r="I43" s="156">
        <f t="shared" si="1"/>
        <v>0</v>
      </c>
      <c r="J43" s="156"/>
      <c r="K43" s="334"/>
      <c r="L43" s="158">
        <f t="shared" si="6"/>
        <v>0</v>
      </c>
      <c r="M43" s="334"/>
      <c r="N43" s="158">
        <f t="shared" si="7"/>
        <v>0</v>
      </c>
      <c r="O43" s="158">
        <f t="shared" si="8"/>
        <v>0</v>
      </c>
      <c r="P43" s="4"/>
    </row>
    <row r="44" spans="2:16">
      <c r="B44" s="9" t="str">
        <f t="shared" si="0"/>
        <v/>
      </c>
      <c r="C44" s="153">
        <f>IF(D11="","-",+C43+1)</f>
        <v>2041</v>
      </c>
      <c r="D44" s="159">
        <f>IF(F43+SUM(E$17:E43)=D$10,F43,D$10-SUM(E$17:E43))</f>
        <v>1916251.8941198676</v>
      </c>
      <c r="E44" s="160">
        <f t="shared" si="2"/>
        <v>113163.44186046511</v>
      </c>
      <c r="F44" s="159">
        <f t="shared" si="3"/>
        <v>1803088.4522594025</v>
      </c>
      <c r="G44" s="161">
        <f t="shared" si="4"/>
        <v>298304.15650443768</v>
      </c>
      <c r="H44" s="142">
        <f t="shared" si="5"/>
        <v>298304.15650443768</v>
      </c>
      <c r="I44" s="156">
        <f t="shared" si="1"/>
        <v>0</v>
      </c>
      <c r="J44" s="156"/>
      <c r="K44" s="334"/>
      <c r="L44" s="158">
        <f t="shared" si="6"/>
        <v>0</v>
      </c>
      <c r="M44" s="334"/>
      <c r="N44" s="158">
        <f t="shared" si="7"/>
        <v>0</v>
      </c>
      <c r="O44" s="158">
        <f t="shared" si="8"/>
        <v>0</v>
      </c>
      <c r="P44" s="4"/>
    </row>
    <row r="45" spans="2:16">
      <c r="B45" s="9" t="str">
        <f t="shared" si="0"/>
        <v/>
      </c>
      <c r="C45" s="153">
        <f>IF(D11="","-",+C44+1)</f>
        <v>2042</v>
      </c>
      <c r="D45" s="159">
        <f>IF(F44+SUM(E$17:E44)=D$10,F44,D$10-SUM(E$17:E44))</f>
        <v>1803088.4522594025</v>
      </c>
      <c r="E45" s="160">
        <f t="shared" si="2"/>
        <v>113163.44186046511</v>
      </c>
      <c r="F45" s="159">
        <f t="shared" si="3"/>
        <v>1689925.0103989374</v>
      </c>
      <c r="G45" s="161">
        <f t="shared" si="4"/>
        <v>287038.09395223606</v>
      </c>
      <c r="H45" s="142">
        <f t="shared" si="5"/>
        <v>287038.09395223606</v>
      </c>
      <c r="I45" s="156">
        <f t="shared" si="1"/>
        <v>0</v>
      </c>
      <c r="J45" s="156"/>
      <c r="K45" s="334"/>
      <c r="L45" s="158">
        <f t="shared" si="6"/>
        <v>0</v>
      </c>
      <c r="M45" s="334"/>
      <c r="N45" s="158">
        <f t="shared" si="7"/>
        <v>0</v>
      </c>
      <c r="O45" s="158">
        <f t="shared" si="8"/>
        <v>0</v>
      </c>
      <c r="P45" s="4"/>
    </row>
    <row r="46" spans="2:16">
      <c r="B46" s="9" t="str">
        <f t="shared" si="0"/>
        <v/>
      </c>
      <c r="C46" s="153">
        <f>IF(D11="","-",+C45+1)</f>
        <v>2043</v>
      </c>
      <c r="D46" s="159">
        <f>IF(F45+SUM(E$17:E45)=D$10,F45,D$10-SUM(E$17:E45))</f>
        <v>1689925.0103989374</v>
      </c>
      <c r="E46" s="160">
        <f t="shared" si="2"/>
        <v>113163.44186046511</v>
      </c>
      <c r="F46" s="159">
        <f t="shared" si="3"/>
        <v>1576761.5685384723</v>
      </c>
      <c r="G46" s="161">
        <f t="shared" si="4"/>
        <v>275772.03140003432</v>
      </c>
      <c r="H46" s="142">
        <f t="shared" si="5"/>
        <v>275772.03140003432</v>
      </c>
      <c r="I46" s="156">
        <f t="shared" si="1"/>
        <v>0</v>
      </c>
      <c r="J46" s="156"/>
      <c r="K46" s="334"/>
      <c r="L46" s="158">
        <f t="shared" si="6"/>
        <v>0</v>
      </c>
      <c r="M46" s="334"/>
      <c r="N46" s="158">
        <f t="shared" si="7"/>
        <v>0</v>
      </c>
      <c r="O46" s="158">
        <f t="shared" si="8"/>
        <v>0</v>
      </c>
      <c r="P46" s="4"/>
    </row>
    <row r="47" spans="2:16">
      <c r="B47" s="9" t="str">
        <f t="shared" si="0"/>
        <v/>
      </c>
      <c r="C47" s="153">
        <f>IF(D11="","-",+C46+1)</f>
        <v>2044</v>
      </c>
      <c r="D47" s="159">
        <f>IF(F46+SUM(E$17:E46)=D$10,F46,D$10-SUM(E$17:E46))</f>
        <v>1576761.5685384723</v>
      </c>
      <c r="E47" s="160">
        <f t="shared" si="2"/>
        <v>113163.44186046511</v>
      </c>
      <c r="F47" s="159">
        <f t="shared" si="3"/>
        <v>1463598.1266780072</v>
      </c>
      <c r="G47" s="161">
        <f t="shared" si="4"/>
        <v>264505.9688478327</v>
      </c>
      <c r="H47" s="142">
        <f t="shared" si="5"/>
        <v>264505.9688478327</v>
      </c>
      <c r="I47" s="156">
        <f t="shared" si="1"/>
        <v>0</v>
      </c>
      <c r="J47" s="156"/>
      <c r="K47" s="334"/>
      <c r="L47" s="158">
        <f t="shared" si="6"/>
        <v>0</v>
      </c>
      <c r="M47" s="334"/>
      <c r="N47" s="158">
        <f t="shared" si="7"/>
        <v>0</v>
      </c>
      <c r="O47" s="158">
        <f t="shared" si="8"/>
        <v>0</v>
      </c>
      <c r="P47" s="4"/>
    </row>
    <row r="48" spans="2:16">
      <c r="B48" s="9" t="str">
        <f t="shared" si="0"/>
        <v/>
      </c>
      <c r="C48" s="153">
        <f>IF(D11="","-",+C47+1)</f>
        <v>2045</v>
      </c>
      <c r="D48" s="159">
        <f>IF(F47+SUM(E$17:E47)=D$10,F47,D$10-SUM(E$17:E47))</f>
        <v>1463598.1266780072</v>
      </c>
      <c r="E48" s="160">
        <f t="shared" si="2"/>
        <v>113163.44186046511</v>
      </c>
      <c r="F48" s="159">
        <f t="shared" si="3"/>
        <v>1350434.6848175421</v>
      </c>
      <c r="G48" s="161">
        <f t="shared" si="4"/>
        <v>253239.90629563096</v>
      </c>
      <c r="H48" s="142">
        <f t="shared" si="5"/>
        <v>253239.90629563096</v>
      </c>
      <c r="I48" s="156">
        <f t="shared" si="1"/>
        <v>0</v>
      </c>
      <c r="J48" s="156"/>
      <c r="K48" s="334"/>
      <c r="L48" s="158">
        <f t="shared" si="6"/>
        <v>0</v>
      </c>
      <c r="M48" s="334"/>
      <c r="N48" s="158">
        <f t="shared" si="7"/>
        <v>0</v>
      </c>
      <c r="O48" s="158">
        <f t="shared" si="8"/>
        <v>0</v>
      </c>
      <c r="P48" s="4"/>
    </row>
    <row r="49" spans="2:16">
      <c r="B49" s="9" t="str">
        <f t="shared" si="0"/>
        <v/>
      </c>
      <c r="C49" s="153">
        <f>IF(D11="","-",+C48+1)</f>
        <v>2046</v>
      </c>
      <c r="D49" s="159">
        <f>IF(F48+SUM(E$17:E48)=D$10,F48,D$10-SUM(E$17:E48))</f>
        <v>1350434.6848175421</v>
      </c>
      <c r="E49" s="160">
        <f t="shared" si="2"/>
        <v>113163.44186046511</v>
      </c>
      <c r="F49" s="159">
        <f t="shared" si="3"/>
        <v>1237271.242957077</v>
      </c>
      <c r="G49" s="161">
        <f t="shared" si="4"/>
        <v>241973.84374342934</v>
      </c>
      <c r="H49" s="142">
        <f t="shared" si="5"/>
        <v>241973.84374342934</v>
      </c>
      <c r="I49" s="156">
        <f t="shared" si="1"/>
        <v>0</v>
      </c>
      <c r="J49" s="156"/>
      <c r="K49" s="334"/>
      <c r="L49" s="158">
        <f t="shared" si="6"/>
        <v>0</v>
      </c>
      <c r="M49" s="334"/>
      <c r="N49" s="158">
        <f t="shared" si="7"/>
        <v>0</v>
      </c>
      <c r="O49" s="158">
        <f t="shared" si="8"/>
        <v>0</v>
      </c>
      <c r="P49" s="4"/>
    </row>
    <row r="50" spans="2:16">
      <c r="B50" s="9" t="str">
        <f t="shared" si="0"/>
        <v/>
      </c>
      <c r="C50" s="153">
        <f>IF(D11="","-",+C49+1)</f>
        <v>2047</v>
      </c>
      <c r="D50" s="159">
        <f>IF(F49+SUM(E$17:E49)=D$10,F49,D$10-SUM(E$17:E49))</f>
        <v>1237271.242957077</v>
      </c>
      <c r="E50" s="160">
        <f t="shared" si="2"/>
        <v>113163.44186046511</v>
      </c>
      <c r="F50" s="159">
        <f t="shared" si="3"/>
        <v>1124107.8010966119</v>
      </c>
      <c r="G50" s="161">
        <f t="shared" si="4"/>
        <v>230707.78119122764</v>
      </c>
      <c r="H50" s="142">
        <f t="shared" si="5"/>
        <v>230707.78119122764</v>
      </c>
      <c r="I50" s="156">
        <f t="shared" si="1"/>
        <v>0</v>
      </c>
      <c r="J50" s="156"/>
      <c r="K50" s="334"/>
      <c r="L50" s="158">
        <f t="shared" si="6"/>
        <v>0</v>
      </c>
      <c r="M50" s="334"/>
      <c r="N50" s="158">
        <f t="shared" si="7"/>
        <v>0</v>
      </c>
      <c r="O50" s="158">
        <f t="shared" si="8"/>
        <v>0</v>
      </c>
      <c r="P50" s="4"/>
    </row>
    <row r="51" spans="2:16">
      <c r="B51" s="9" t="str">
        <f t="shared" si="0"/>
        <v/>
      </c>
      <c r="C51" s="153">
        <f>IF(D11="","-",+C50+1)</f>
        <v>2048</v>
      </c>
      <c r="D51" s="159">
        <f>IF(F50+SUM(E$17:E50)=D$10,F50,D$10-SUM(E$17:E50))</f>
        <v>1124107.8010966119</v>
      </c>
      <c r="E51" s="160">
        <f t="shared" si="2"/>
        <v>113163.44186046511</v>
      </c>
      <c r="F51" s="159">
        <f t="shared" si="3"/>
        <v>1010944.3592361468</v>
      </c>
      <c r="G51" s="161">
        <f t="shared" si="4"/>
        <v>219441.71863902599</v>
      </c>
      <c r="H51" s="142">
        <f t="shared" si="5"/>
        <v>219441.71863902599</v>
      </c>
      <c r="I51" s="156">
        <f t="shared" si="1"/>
        <v>0</v>
      </c>
      <c r="J51" s="156"/>
      <c r="K51" s="334"/>
      <c r="L51" s="158">
        <f t="shared" si="6"/>
        <v>0</v>
      </c>
      <c r="M51" s="334"/>
      <c r="N51" s="158">
        <f t="shared" si="7"/>
        <v>0</v>
      </c>
      <c r="O51" s="158">
        <f t="shared" si="8"/>
        <v>0</v>
      </c>
      <c r="P51" s="4"/>
    </row>
    <row r="52" spans="2:16">
      <c r="B52" s="9" t="str">
        <f t="shared" si="0"/>
        <v/>
      </c>
      <c r="C52" s="153">
        <f>IF(D11="","-",+C51+1)</f>
        <v>2049</v>
      </c>
      <c r="D52" s="159">
        <f>IF(F51+SUM(E$17:E51)=D$10,F51,D$10-SUM(E$17:E51))</f>
        <v>1010944.3592361468</v>
      </c>
      <c r="E52" s="160">
        <f t="shared" si="2"/>
        <v>113163.44186046511</v>
      </c>
      <c r="F52" s="159">
        <f t="shared" si="3"/>
        <v>897780.91737568169</v>
      </c>
      <c r="G52" s="161">
        <f t="shared" ref="G52:G72" si="9">+I$12*((D52+F52)/2)+E52</f>
        <v>208175.65608682431</v>
      </c>
      <c r="H52" s="142">
        <f t="shared" ref="H52:H72" si="10">+I$13*((D52+F52)/2)+E52</f>
        <v>208175.65608682431</v>
      </c>
      <c r="I52" s="156">
        <f t="shared" si="1"/>
        <v>0</v>
      </c>
      <c r="J52" s="156"/>
      <c r="K52" s="334"/>
      <c r="L52" s="158">
        <f t="shared" si="6"/>
        <v>0</v>
      </c>
      <c r="M52" s="334"/>
      <c r="N52" s="158">
        <f t="shared" si="7"/>
        <v>0</v>
      </c>
      <c r="O52" s="158">
        <f t="shared" si="8"/>
        <v>0</v>
      </c>
      <c r="P52" s="4"/>
    </row>
    <row r="53" spans="2:16">
      <c r="B53" s="9" t="str">
        <f t="shared" si="0"/>
        <v/>
      </c>
      <c r="C53" s="153">
        <f>IF(D11="","-",+C52+1)</f>
        <v>2050</v>
      </c>
      <c r="D53" s="159">
        <f>IF(F52+SUM(E$17:E52)=D$10,F52,D$10-SUM(E$17:E52))</f>
        <v>897780.91737568169</v>
      </c>
      <c r="E53" s="160">
        <f t="shared" si="2"/>
        <v>113163.44186046511</v>
      </c>
      <c r="F53" s="159">
        <f t="shared" si="3"/>
        <v>784617.47551521659</v>
      </c>
      <c r="G53" s="161">
        <f t="shared" si="9"/>
        <v>196909.59353462263</v>
      </c>
      <c r="H53" s="142">
        <f t="shared" si="10"/>
        <v>196909.59353462263</v>
      </c>
      <c r="I53" s="156">
        <f t="shared" si="1"/>
        <v>0</v>
      </c>
      <c r="J53" s="156"/>
      <c r="K53" s="334"/>
      <c r="L53" s="158">
        <f t="shared" si="6"/>
        <v>0</v>
      </c>
      <c r="M53" s="334"/>
      <c r="N53" s="158">
        <f t="shared" si="7"/>
        <v>0</v>
      </c>
      <c r="O53" s="158">
        <f t="shared" si="8"/>
        <v>0</v>
      </c>
      <c r="P53" s="4"/>
    </row>
    <row r="54" spans="2:16">
      <c r="B54" s="9" t="str">
        <f t="shared" si="0"/>
        <v/>
      </c>
      <c r="C54" s="153">
        <f>IF(D11="","-",+C53+1)</f>
        <v>2051</v>
      </c>
      <c r="D54" s="159">
        <f>IF(F53+SUM(E$17:E53)=D$10,F53,D$10-SUM(E$17:E53))</f>
        <v>784617.47551521659</v>
      </c>
      <c r="E54" s="160">
        <f t="shared" si="2"/>
        <v>113163.44186046511</v>
      </c>
      <c r="F54" s="159">
        <f t="shared" si="3"/>
        <v>671454.03365475149</v>
      </c>
      <c r="G54" s="161">
        <f t="shared" si="9"/>
        <v>185643.53098242095</v>
      </c>
      <c r="H54" s="142">
        <f t="shared" si="10"/>
        <v>185643.53098242095</v>
      </c>
      <c r="I54" s="156">
        <f t="shared" si="1"/>
        <v>0</v>
      </c>
      <c r="J54" s="156"/>
      <c r="K54" s="334"/>
      <c r="L54" s="158">
        <f t="shared" si="6"/>
        <v>0</v>
      </c>
      <c r="M54" s="334"/>
      <c r="N54" s="158">
        <f t="shared" si="7"/>
        <v>0</v>
      </c>
      <c r="O54" s="158">
        <f t="shared" si="8"/>
        <v>0</v>
      </c>
      <c r="P54" s="4"/>
    </row>
    <row r="55" spans="2:16">
      <c r="B55" s="9" t="str">
        <f t="shared" si="0"/>
        <v/>
      </c>
      <c r="C55" s="153">
        <f>IF(D11="","-",+C54+1)</f>
        <v>2052</v>
      </c>
      <c r="D55" s="159">
        <f>IF(F54+SUM(E$17:E54)=D$10,F54,D$10-SUM(E$17:E54))</f>
        <v>671454.03365475149</v>
      </c>
      <c r="E55" s="160">
        <f t="shared" si="2"/>
        <v>113163.44186046511</v>
      </c>
      <c r="F55" s="159">
        <f t="shared" si="3"/>
        <v>558290.59179428639</v>
      </c>
      <c r="G55" s="161">
        <f t="shared" si="9"/>
        <v>174377.46843021928</v>
      </c>
      <c r="H55" s="142">
        <f t="shared" si="10"/>
        <v>174377.46843021928</v>
      </c>
      <c r="I55" s="156">
        <f t="shared" si="1"/>
        <v>0</v>
      </c>
      <c r="J55" s="156"/>
      <c r="K55" s="334"/>
      <c r="L55" s="158">
        <f t="shared" si="6"/>
        <v>0</v>
      </c>
      <c r="M55" s="334"/>
      <c r="N55" s="158">
        <f t="shared" si="7"/>
        <v>0</v>
      </c>
      <c r="O55" s="158">
        <f t="shared" si="8"/>
        <v>0</v>
      </c>
      <c r="P55" s="4"/>
    </row>
    <row r="56" spans="2:16">
      <c r="B56" s="9" t="str">
        <f t="shared" si="0"/>
        <v/>
      </c>
      <c r="C56" s="153">
        <f>IF(D11="","-",+C55+1)</f>
        <v>2053</v>
      </c>
      <c r="D56" s="159">
        <f>IF(F55+SUM(E$17:E55)=D$10,F55,D$10-SUM(E$17:E55))</f>
        <v>558290.59179428639</v>
      </c>
      <c r="E56" s="160">
        <f t="shared" si="2"/>
        <v>113163.44186046511</v>
      </c>
      <c r="F56" s="159">
        <f t="shared" si="3"/>
        <v>445127.14993382129</v>
      </c>
      <c r="G56" s="161">
        <f t="shared" si="9"/>
        <v>163111.4058780176</v>
      </c>
      <c r="H56" s="142">
        <f t="shared" si="10"/>
        <v>163111.4058780176</v>
      </c>
      <c r="I56" s="156">
        <f t="shared" si="1"/>
        <v>0</v>
      </c>
      <c r="J56" s="156"/>
      <c r="K56" s="334"/>
      <c r="L56" s="158">
        <f t="shared" si="6"/>
        <v>0</v>
      </c>
      <c r="M56" s="334"/>
      <c r="N56" s="158">
        <f t="shared" si="7"/>
        <v>0</v>
      </c>
      <c r="O56" s="158">
        <f t="shared" si="8"/>
        <v>0</v>
      </c>
      <c r="P56" s="4"/>
    </row>
    <row r="57" spans="2:16">
      <c r="B57" s="9" t="str">
        <f t="shared" si="0"/>
        <v/>
      </c>
      <c r="C57" s="153">
        <f>IF(D11="","-",+C56+1)</f>
        <v>2054</v>
      </c>
      <c r="D57" s="159">
        <f>IF(F56+SUM(E$17:E56)=D$10,F56,D$10-SUM(E$17:E56))</f>
        <v>445127.14993382129</v>
      </c>
      <c r="E57" s="160">
        <f t="shared" si="2"/>
        <v>113163.44186046511</v>
      </c>
      <c r="F57" s="159">
        <f t="shared" si="3"/>
        <v>331963.70807335619</v>
      </c>
      <c r="G57" s="161">
        <f t="shared" si="9"/>
        <v>151845.34332581592</v>
      </c>
      <c r="H57" s="142">
        <f t="shared" si="10"/>
        <v>151845.34332581592</v>
      </c>
      <c r="I57" s="156">
        <f t="shared" si="1"/>
        <v>0</v>
      </c>
      <c r="J57" s="156"/>
      <c r="K57" s="334"/>
      <c r="L57" s="158">
        <f t="shared" si="6"/>
        <v>0</v>
      </c>
      <c r="M57" s="334"/>
      <c r="N57" s="158">
        <f t="shared" si="7"/>
        <v>0</v>
      </c>
      <c r="O57" s="158">
        <f t="shared" si="8"/>
        <v>0</v>
      </c>
      <c r="P57" s="4"/>
    </row>
    <row r="58" spans="2:16">
      <c r="B58" s="9" t="str">
        <f t="shared" si="0"/>
        <v/>
      </c>
      <c r="C58" s="153">
        <f>IF(D11="","-",+C57+1)</f>
        <v>2055</v>
      </c>
      <c r="D58" s="159">
        <f>IF(F57+SUM(E$17:E57)=D$10,F57,D$10-SUM(E$17:E57))</f>
        <v>331963.70807335619</v>
      </c>
      <c r="E58" s="160">
        <f t="shared" si="2"/>
        <v>113163.44186046511</v>
      </c>
      <c r="F58" s="159">
        <f t="shared" si="3"/>
        <v>218800.26621289109</v>
      </c>
      <c r="G58" s="161">
        <f t="shared" si="9"/>
        <v>140579.28077361424</v>
      </c>
      <c r="H58" s="142">
        <f t="shared" si="10"/>
        <v>140579.28077361424</v>
      </c>
      <c r="I58" s="156">
        <f t="shared" si="1"/>
        <v>0</v>
      </c>
      <c r="J58" s="156"/>
      <c r="K58" s="334"/>
      <c r="L58" s="158">
        <f t="shared" si="6"/>
        <v>0</v>
      </c>
      <c r="M58" s="334"/>
      <c r="N58" s="158">
        <f t="shared" si="7"/>
        <v>0</v>
      </c>
      <c r="O58" s="158">
        <f t="shared" si="8"/>
        <v>0</v>
      </c>
      <c r="P58" s="4"/>
    </row>
    <row r="59" spans="2:16">
      <c r="B59" s="9" t="str">
        <f t="shared" si="0"/>
        <v/>
      </c>
      <c r="C59" s="153">
        <f>IF(D11="","-",+C58+1)</f>
        <v>2056</v>
      </c>
      <c r="D59" s="159">
        <f>IF(F58+SUM(E$17:E58)=D$10,F58,D$10-SUM(E$17:E58))</f>
        <v>218800.26621289109</v>
      </c>
      <c r="E59" s="160">
        <f t="shared" si="2"/>
        <v>113163.44186046511</v>
      </c>
      <c r="F59" s="159">
        <f t="shared" si="3"/>
        <v>105636.82435242597</v>
      </c>
      <c r="G59" s="161">
        <f t="shared" si="9"/>
        <v>129313.21822141256</v>
      </c>
      <c r="H59" s="142">
        <f t="shared" si="10"/>
        <v>129313.21822141256</v>
      </c>
      <c r="I59" s="156">
        <f t="shared" si="1"/>
        <v>0</v>
      </c>
      <c r="J59" s="156"/>
      <c r="K59" s="334"/>
      <c r="L59" s="158">
        <f t="shared" si="6"/>
        <v>0</v>
      </c>
      <c r="M59" s="334"/>
      <c r="N59" s="158">
        <f t="shared" si="7"/>
        <v>0</v>
      </c>
      <c r="O59" s="158">
        <f t="shared" si="8"/>
        <v>0</v>
      </c>
      <c r="P59" s="4"/>
    </row>
    <row r="60" spans="2:16">
      <c r="B60" s="9" t="str">
        <f t="shared" si="0"/>
        <v/>
      </c>
      <c r="C60" s="153">
        <f>IF(D11="","-",+C59+1)</f>
        <v>2057</v>
      </c>
      <c r="D60" s="159">
        <f>IF(F59+SUM(E$17:E59)=D$10,F59,D$10-SUM(E$17:E59))</f>
        <v>105636.82435242597</v>
      </c>
      <c r="E60" s="160">
        <f t="shared" si="2"/>
        <v>105636.82435242597</v>
      </c>
      <c r="F60" s="159">
        <f t="shared" si="3"/>
        <v>0</v>
      </c>
      <c r="G60" s="161">
        <f t="shared" si="9"/>
        <v>110895.19689484929</v>
      </c>
      <c r="H60" s="142">
        <f t="shared" si="10"/>
        <v>110895.19689484929</v>
      </c>
      <c r="I60" s="156">
        <f t="shared" si="1"/>
        <v>0</v>
      </c>
      <c r="J60" s="156"/>
      <c r="K60" s="334"/>
      <c r="L60" s="158">
        <f t="shared" si="6"/>
        <v>0</v>
      </c>
      <c r="M60" s="334"/>
      <c r="N60" s="158">
        <f t="shared" si="7"/>
        <v>0</v>
      </c>
      <c r="O60" s="158">
        <f t="shared" si="8"/>
        <v>0</v>
      </c>
      <c r="P60" s="4"/>
    </row>
    <row r="61" spans="2:16">
      <c r="B61" s="9" t="str">
        <f t="shared" si="0"/>
        <v/>
      </c>
      <c r="C61" s="153">
        <f>IF(D11="","-",+C60+1)</f>
        <v>2058</v>
      </c>
      <c r="D61" s="159">
        <f>IF(F60+SUM(E$17:E60)=D$10,F60,D$10-SUM(E$17:E60))</f>
        <v>0</v>
      </c>
      <c r="E61" s="160">
        <f t="shared" si="2"/>
        <v>0</v>
      </c>
      <c r="F61" s="159">
        <f t="shared" si="3"/>
        <v>0</v>
      </c>
      <c r="G61" s="161">
        <f t="shared" si="9"/>
        <v>0</v>
      </c>
      <c r="H61" s="142">
        <f t="shared" si="10"/>
        <v>0</v>
      </c>
      <c r="I61" s="156">
        <f t="shared" si="1"/>
        <v>0</v>
      </c>
      <c r="J61" s="156"/>
      <c r="K61" s="334"/>
      <c r="L61" s="158">
        <f t="shared" si="6"/>
        <v>0</v>
      </c>
      <c r="M61" s="334"/>
      <c r="N61" s="158">
        <f t="shared" si="7"/>
        <v>0</v>
      </c>
      <c r="O61" s="158">
        <f t="shared" si="8"/>
        <v>0</v>
      </c>
      <c r="P61" s="4"/>
    </row>
    <row r="62" spans="2:16">
      <c r="B62" s="9" t="str">
        <f t="shared" si="0"/>
        <v/>
      </c>
      <c r="C62" s="153">
        <f>IF(D11="","-",+C61+1)</f>
        <v>2059</v>
      </c>
      <c r="D62" s="159">
        <f>IF(F61+SUM(E$17:E61)=D$10,F61,D$10-SUM(E$17:E61))</f>
        <v>0</v>
      </c>
      <c r="E62" s="160">
        <f t="shared" si="2"/>
        <v>0</v>
      </c>
      <c r="F62" s="159">
        <f t="shared" si="3"/>
        <v>0</v>
      </c>
      <c r="G62" s="161">
        <f t="shared" si="9"/>
        <v>0</v>
      </c>
      <c r="H62" s="142">
        <f t="shared" si="10"/>
        <v>0</v>
      </c>
      <c r="I62" s="156">
        <f t="shared" si="1"/>
        <v>0</v>
      </c>
      <c r="J62" s="156"/>
      <c r="K62" s="334"/>
      <c r="L62" s="158">
        <f t="shared" si="6"/>
        <v>0</v>
      </c>
      <c r="M62" s="334"/>
      <c r="N62" s="158">
        <f t="shared" si="7"/>
        <v>0</v>
      </c>
      <c r="O62" s="158">
        <f t="shared" si="8"/>
        <v>0</v>
      </c>
      <c r="P62" s="4"/>
    </row>
    <row r="63" spans="2:16">
      <c r="B63" s="9" t="str">
        <f t="shared" si="0"/>
        <v/>
      </c>
      <c r="C63" s="153">
        <f>IF(D11="","-",+C62+1)</f>
        <v>2060</v>
      </c>
      <c r="D63" s="159">
        <f>IF(F62+SUM(E$17:E62)=D$10,F62,D$10-SUM(E$17:E62))</f>
        <v>0</v>
      </c>
      <c r="E63" s="160">
        <f t="shared" si="2"/>
        <v>0</v>
      </c>
      <c r="F63" s="159">
        <f t="shared" si="3"/>
        <v>0</v>
      </c>
      <c r="G63" s="161">
        <f t="shared" si="9"/>
        <v>0</v>
      </c>
      <c r="H63" s="142">
        <f t="shared" si="10"/>
        <v>0</v>
      </c>
      <c r="I63" s="156">
        <f t="shared" si="1"/>
        <v>0</v>
      </c>
      <c r="J63" s="156"/>
      <c r="K63" s="334"/>
      <c r="L63" s="158">
        <f t="shared" si="6"/>
        <v>0</v>
      </c>
      <c r="M63" s="334"/>
      <c r="N63" s="158">
        <f t="shared" si="7"/>
        <v>0</v>
      </c>
      <c r="O63" s="158">
        <f t="shared" si="8"/>
        <v>0</v>
      </c>
      <c r="P63" s="4"/>
    </row>
    <row r="64" spans="2:16">
      <c r="B64" s="9" t="str">
        <f t="shared" si="0"/>
        <v/>
      </c>
      <c r="C64" s="153">
        <f>IF(D11="","-",+C63+1)</f>
        <v>2061</v>
      </c>
      <c r="D64" s="159">
        <f>IF(F63+SUM(E$17:E63)=D$10,F63,D$10-SUM(E$17:E63))</f>
        <v>0</v>
      </c>
      <c r="E64" s="160">
        <f t="shared" si="2"/>
        <v>0</v>
      </c>
      <c r="F64" s="159">
        <f t="shared" si="3"/>
        <v>0</v>
      </c>
      <c r="G64" s="161">
        <f t="shared" si="9"/>
        <v>0</v>
      </c>
      <c r="H64" s="142">
        <f t="shared" si="10"/>
        <v>0</v>
      </c>
      <c r="I64" s="156">
        <f t="shared" si="1"/>
        <v>0</v>
      </c>
      <c r="J64" s="156"/>
      <c r="K64" s="334"/>
      <c r="L64" s="158">
        <f t="shared" si="6"/>
        <v>0</v>
      </c>
      <c r="M64" s="334"/>
      <c r="N64" s="158">
        <f t="shared" si="7"/>
        <v>0</v>
      </c>
      <c r="O64" s="158">
        <f t="shared" si="8"/>
        <v>0</v>
      </c>
      <c r="P64" s="4"/>
    </row>
    <row r="65" spans="2:16">
      <c r="B65" s="9" t="str">
        <f t="shared" si="0"/>
        <v/>
      </c>
      <c r="C65" s="153">
        <f>IF(D11="","-",+C64+1)</f>
        <v>2062</v>
      </c>
      <c r="D65" s="159">
        <f>IF(F64+SUM(E$17:E64)=D$10,F64,D$10-SUM(E$17:E64))</f>
        <v>0</v>
      </c>
      <c r="E65" s="160">
        <f t="shared" si="2"/>
        <v>0</v>
      </c>
      <c r="F65" s="159">
        <f t="shared" si="3"/>
        <v>0</v>
      </c>
      <c r="G65" s="161">
        <f t="shared" si="9"/>
        <v>0</v>
      </c>
      <c r="H65" s="142">
        <f t="shared" si="10"/>
        <v>0</v>
      </c>
      <c r="I65" s="156">
        <f t="shared" si="1"/>
        <v>0</v>
      </c>
      <c r="J65" s="156"/>
      <c r="K65" s="334"/>
      <c r="L65" s="158">
        <f t="shared" si="6"/>
        <v>0</v>
      </c>
      <c r="M65" s="334"/>
      <c r="N65" s="158">
        <f t="shared" si="7"/>
        <v>0</v>
      </c>
      <c r="O65" s="158">
        <f t="shared" si="8"/>
        <v>0</v>
      </c>
      <c r="P65" s="4"/>
    </row>
    <row r="66" spans="2:16">
      <c r="B66" s="9" t="str">
        <f t="shared" si="0"/>
        <v/>
      </c>
      <c r="C66" s="153">
        <f>IF(D11="","-",+C65+1)</f>
        <v>2063</v>
      </c>
      <c r="D66" s="159">
        <f>IF(F65+SUM(E$17:E65)=D$10,F65,D$10-SUM(E$17:E65))</f>
        <v>0</v>
      </c>
      <c r="E66" s="160">
        <f t="shared" si="2"/>
        <v>0</v>
      </c>
      <c r="F66" s="159">
        <f t="shared" si="3"/>
        <v>0</v>
      </c>
      <c r="G66" s="161">
        <f t="shared" si="9"/>
        <v>0</v>
      </c>
      <c r="H66" s="142">
        <f t="shared" si="10"/>
        <v>0</v>
      </c>
      <c r="I66" s="156">
        <f t="shared" si="1"/>
        <v>0</v>
      </c>
      <c r="J66" s="156"/>
      <c r="K66" s="334"/>
      <c r="L66" s="158">
        <f t="shared" si="6"/>
        <v>0</v>
      </c>
      <c r="M66" s="334"/>
      <c r="N66" s="158">
        <f t="shared" si="7"/>
        <v>0</v>
      </c>
      <c r="O66" s="158">
        <f t="shared" si="8"/>
        <v>0</v>
      </c>
      <c r="P66" s="4"/>
    </row>
    <row r="67" spans="2:16">
      <c r="B67" s="9" t="str">
        <f t="shared" si="0"/>
        <v/>
      </c>
      <c r="C67" s="153">
        <f>IF(D11="","-",+C66+1)</f>
        <v>2064</v>
      </c>
      <c r="D67" s="159">
        <f>IF(F66+SUM(E$17:E66)=D$10,F66,D$10-SUM(E$17:E66))</f>
        <v>0</v>
      </c>
      <c r="E67" s="160">
        <f t="shared" si="2"/>
        <v>0</v>
      </c>
      <c r="F67" s="159">
        <f t="shared" si="3"/>
        <v>0</v>
      </c>
      <c r="G67" s="161">
        <f t="shared" si="9"/>
        <v>0</v>
      </c>
      <c r="H67" s="142">
        <f t="shared" si="10"/>
        <v>0</v>
      </c>
      <c r="I67" s="156">
        <f t="shared" si="1"/>
        <v>0</v>
      </c>
      <c r="J67" s="156"/>
      <c r="K67" s="334"/>
      <c r="L67" s="158">
        <f t="shared" si="6"/>
        <v>0</v>
      </c>
      <c r="M67" s="334"/>
      <c r="N67" s="158">
        <f t="shared" si="7"/>
        <v>0</v>
      </c>
      <c r="O67" s="158">
        <f t="shared" si="8"/>
        <v>0</v>
      </c>
      <c r="P67" s="4"/>
    </row>
    <row r="68" spans="2:16">
      <c r="B68" s="9" t="str">
        <f t="shared" si="0"/>
        <v/>
      </c>
      <c r="C68" s="153">
        <f>IF(D11="","-",+C67+1)</f>
        <v>2065</v>
      </c>
      <c r="D68" s="159">
        <f>IF(F67+SUM(E$17:E67)=D$10,F67,D$10-SUM(E$17:E67))</f>
        <v>0</v>
      </c>
      <c r="E68" s="160">
        <f t="shared" si="2"/>
        <v>0</v>
      </c>
      <c r="F68" s="159">
        <f t="shared" si="3"/>
        <v>0</v>
      </c>
      <c r="G68" s="161">
        <f t="shared" si="9"/>
        <v>0</v>
      </c>
      <c r="H68" s="142">
        <f t="shared" si="10"/>
        <v>0</v>
      </c>
      <c r="I68" s="156">
        <f t="shared" si="1"/>
        <v>0</v>
      </c>
      <c r="J68" s="156"/>
      <c r="K68" s="334"/>
      <c r="L68" s="158">
        <f t="shared" si="6"/>
        <v>0</v>
      </c>
      <c r="M68" s="334"/>
      <c r="N68" s="158">
        <f t="shared" si="7"/>
        <v>0</v>
      </c>
      <c r="O68" s="158">
        <f t="shared" si="8"/>
        <v>0</v>
      </c>
      <c r="P68" s="4"/>
    </row>
    <row r="69" spans="2:16">
      <c r="B69" s="9" t="str">
        <f t="shared" si="0"/>
        <v/>
      </c>
      <c r="C69" s="153">
        <f>IF(D11="","-",+C68+1)</f>
        <v>2066</v>
      </c>
      <c r="D69" s="159">
        <f>IF(F68+SUM(E$17:E68)=D$10,F68,D$10-SUM(E$17:E68))</f>
        <v>0</v>
      </c>
      <c r="E69" s="160">
        <f t="shared" si="2"/>
        <v>0</v>
      </c>
      <c r="F69" s="159">
        <f t="shared" si="3"/>
        <v>0</v>
      </c>
      <c r="G69" s="161">
        <f t="shared" si="9"/>
        <v>0</v>
      </c>
      <c r="H69" s="142">
        <f t="shared" si="10"/>
        <v>0</v>
      </c>
      <c r="I69" s="156">
        <f t="shared" si="1"/>
        <v>0</v>
      </c>
      <c r="J69" s="156"/>
      <c r="K69" s="334"/>
      <c r="L69" s="158">
        <f t="shared" si="6"/>
        <v>0</v>
      </c>
      <c r="M69" s="334"/>
      <c r="N69" s="158">
        <f t="shared" si="7"/>
        <v>0</v>
      </c>
      <c r="O69" s="158">
        <f t="shared" si="8"/>
        <v>0</v>
      </c>
      <c r="P69" s="4"/>
    </row>
    <row r="70" spans="2:16">
      <c r="B70" s="9" t="str">
        <f t="shared" si="0"/>
        <v/>
      </c>
      <c r="C70" s="153">
        <f>IF(D11="","-",+C69+1)</f>
        <v>2067</v>
      </c>
      <c r="D70" s="159">
        <f>IF(F69+SUM(E$17:E69)=D$10,F69,D$10-SUM(E$17:E69))</f>
        <v>0</v>
      </c>
      <c r="E70" s="160">
        <f t="shared" si="2"/>
        <v>0</v>
      </c>
      <c r="F70" s="159">
        <f t="shared" si="3"/>
        <v>0</v>
      </c>
      <c r="G70" s="161">
        <f t="shared" si="9"/>
        <v>0</v>
      </c>
      <c r="H70" s="142">
        <f t="shared" si="10"/>
        <v>0</v>
      </c>
      <c r="I70" s="156">
        <f t="shared" si="1"/>
        <v>0</v>
      </c>
      <c r="J70" s="156"/>
      <c r="K70" s="334"/>
      <c r="L70" s="158">
        <f t="shared" si="6"/>
        <v>0</v>
      </c>
      <c r="M70" s="334"/>
      <c r="N70" s="158">
        <f t="shared" si="7"/>
        <v>0</v>
      </c>
      <c r="O70" s="158">
        <f t="shared" si="8"/>
        <v>0</v>
      </c>
      <c r="P70" s="4"/>
    </row>
    <row r="71" spans="2:16">
      <c r="B71" s="9" t="str">
        <f t="shared" si="0"/>
        <v/>
      </c>
      <c r="C71" s="153">
        <f>IF(D11="","-",+C70+1)</f>
        <v>2068</v>
      </c>
      <c r="D71" s="159">
        <f>IF(F70+SUM(E$17:E70)=D$10,F70,D$10-SUM(E$17:E70))</f>
        <v>0</v>
      </c>
      <c r="E71" s="160">
        <f t="shared" si="2"/>
        <v>0</v>
      </c>
      <c r="F71" s="159">
        <f t="shared" si="3"/>
        <v>0</v>
      </c>
      <c r="G71" s="161">
        <f t="shared" si="9"/>
        <v>0</v>
      </c>
      <c r="H71" s="142">
        <f t="shared" si="10"/>
        <v>0</v>
      </c>
      <c r="I71" s="156">
        <f t="shared" si="1"/>
        <v>0</v>
      </c>
      <c r="J71" s="156"/>
      <c r="K71" s="334"/>
      <c r="L71" s="158">
        <f t="shared" si="6"/>
        <v>0</v>
      </c>
      <c r="M71" s="334"/>
      <c r="N71" s="158">
        <f t="shared" si="7"/>
        <v>0</v>
      </c>
      <c r="O71" s="158">
        <f t="shared" si="8"/>
        <v>0</v>
      </c>
      <c r="P71" s="4"/>
    </row>
    <row r="72" spans="2:16" ht="13.5" thickBot="1">
      <c r="B72" s="9" t="str">
        <f t="shared" si="0"/>
        <v/>
      </c>
      <c r="C72" s="164">
        <f>IF(D11="","-",+C71+1)</f>
        <v>2069</v>
      </c>
      <c r="D72" s="159">
        <f>IF(F71+SUM(E$17:E71)=D$10,F71,D$10-SUM(E$17:E71))</f>
        <v>0</v>
      </c>
      <c r="E72" s="160">
        <f t="shared" si="2"/>
        <v>0</v>
      </c>
      <c r="F72" s="159">
        <f t="shared" si="3"/>
        <v>0</v>
      </c>
      <c r="G72" s="161">
        <f t="shared" si="9"/>
        <v>0</v>
      </c>
      <c r="H72" s="142">
        <f t="shared" si="10"/>
        <v>0</v>
      </c>
      <c r="I72" s="156">
        <f t="shared" si="1"/>
        <v>0</v>
      </c>
      <c r="J72" s="156"/>
      <c r="K72" s="335"/>
      <c r="L72" s="169">
        <f t="shared" si="6"/>
        <v>0</v>
      </c>
      <c r="M72" s="335"/>
      <c r="N72" s="169">
        <f t="shared" si="7"/>
        <v>0</v>
      </c>
      <c r="O72" s="169">
        <f t="shared" si="8"/>
        <v>0</v>
      </c>
      <c r="P72" s="4"/>
    </row>
    <row r="73" spans="2:16">
      <c r="C73" s="154" t="s">
        <v>73</v>
      </c>
      <c r="D73" s="111"/>
      <c r="E73" s="111">
        <f>SUM(E17:E72)</f>
        <v>4866028.0000000009</v>
      </c>
      <c r="F73" s="111"/>
      <c r="G73" s="111">
        <f>SUM(G17:G72)</f>
        <v>16076727.765281903</v>
      </c>
      <c r="H73" s="111">
        <f>SUM(H17:H72)</f>
        <v>16076727.765281903</v>
      </c>
      <c r="I73" s="111">
        <f>SUM(I17:I72)</f>
        <v>0</v>
      </c>
      <c r="J73" s="111"/>
      <c r="K73" s="111"/>
      <c r="L73" s="111"/>
      <c r="M73" s="111"/>
      <c r="N73" s="111"/>
      <c r="O73" s="4"/>
      <c r="P73" s="4"/>
    </row>
    <row r="74" spans="2:16">
      <c r="D74" s="2"/>
      <c r="E74" s="1"/>
      <c r="F74" s="1"/>
      <c r="G74" s="1"/>
      <c r="H74" s="3"/>
      <c r="I74" s="3"/>
      <c r="J74" s="111"/>
      <c r="K74" s="3"/>
      <c r="L74" s="3"/>
      <c r="M74" s="3"/>
      <c r="N74" s="3"/>
      <c r="O74" s="1"/>
      <c r="P74" s="1"/>
    </row>
    <row r="75" spans="2:16">
      <c r="C75" s="170" t="s">
        <v>91</v>
      </c>
      <c r="D75" s="2"/>
      <c r="E75" s="1"/>
      <c r="F75" s="1"/>
      <c r="G75" s="1"/>
      <c r="H75" s="3"/>
      <c r="I75" s="3"/>
      <c r="J75" s="111"/>
      <c r="K75" s="3"/>
      <c r="L75" s="3"/>
      <c r="M75" s="3"/>
      <c r="N75" s="3"/>
      <c r="O75" s="1"/>
      <c r="P75" s="1"/>
    </row>
    <row r="76" spans="2:16">
      <c r="C76" s="121" t="s">
        <v>74</v>
      </c>
      <c r="D76" s="2"/>
      <c r="E76" s="1"/>
      <c r="F76" s="1"/>
      <c r="G76" s="1"/>
      <c r="H76" s="3"/>
      <c r="I76" s="3"/>
      <c r="J76" s="111"/>
      <c r="K76" s="3"/>
      <c r="L76" s="3"/>
      <c r="M76" s="3"/>
      <c r="N76" s="3"/>
      <c r="O76" s="4"/>
      <c r="P76" s="4"/>
    </row>
    <row r="77" spans="2:16">
      <c r="C77" s="121" t="s">
        <v>75</v>
      </c>
      <c r="D77" s="154"/>
      <c r="E77" s="154"/>
      <c r="F77" s="154"/>
      <c r="G77" s="111"/>
      <c r="H77" s="111"/>
      <c r="I77" s="171"/>
      <c r="J77" s="171"/>
      <c r="K77" s="171"/>
      <c r="L77" s="171"/>
      <c r="M77" s="171"/>
      <c r="N77" s="171"/>
      <c r="O77" s="4"/>
      <c r="P77" s="4"/>
    </row>
    <row r="78" spans="2:16">
      <c r="C78" s="121"/>
      <c r="D78" s="154"/>
      <c r="E78" s="154"/>
      <c r="F78" s="154"/>
      <c r="G78" s="111"/>
      <c r="H78" s="111"/>
      <c r="I78" s="171"/>
      <c r="J78" s="171"/>
      <c r="K78" s="171"/>
      <c r="L78" s="171"/>
      <c r="M78" s="171"/>
      <c r="N78" s="171"/>
      <c r="O78" s="4"/>
      <c r="P78" s="1"/>
    </row>
    <row r="79" spans="2:16">
      <c r="B79" s="1"/>
      <c r="C79" s="21"/>
      <c r="D79" s="2"/>
      <c r="E79" s="1"/>
      <c r="F79" s="107"/>
      <c r="G79" s="1"/>
      <c r="H79" s="3"/>
      <c r="I79" s="1"/>
      <c r="J79" s="4"/>
      <c r="K79" s="1"/>
      <c r="L79" s="1"/>
      <c r="M79" s="1"/>
      <c r="N79" s="1"/>
      <c r="O79" s="1"/>
      <c r="P79" s="1"/>
    </row>
    <row r="80" spans="2:16" ht="18">
      <c r="B80" s="1"/>
      <c r="C80" s="242"/>
      <c r="D80" s="2"/>
      <c r="E80" s="1"/>
      <c r="F80" s="107"/>
      <c r="G80" s="1"/>
      <c r="H80" s="3"/>
      <c r="I80" s="1"/>
      <c r="J80" s="4"/>
      <c r="K80" s="1"/>
      <c r="L80" s="1"/>
      <c r="M80" s="1"/>
      <c r="N80" s="1"/>
      <c r="P80" s="244" t="s">
        <v>125</v>
      </c>
    </row>
    <row r="81" spans="1:16">
      <c r="B81" s="1"/>
      <c r="C81" s="21"/>
      <c r="D81" s="2"/>
      <c r="E81" s="1"/>
      <c r="F81" s="107"/>
      <c r="G81" s="1"/>
      <c r="H81" s="3"/>
      <c r="I81" s="1"/>
      <c r="J81" s="4"/>
      <c r="K81" s="1"/>
      <c r="L81" s="1"/>
      <c r="M81" s="1"/>
      <c r="N81" s="1"/>
      <c r="O81" s="1"/>
      <c r="P81" s="1"/>
    </row>
    <row r="82" spans="1:16">
      <c r="B82" s="1"/>
      <c r="C82" s="21"/>
      <c r="D82" s="2"/>
      <c r="E82" s="1"/>
      <c r="F82" s="107"/>
      <c r="G82" s="1"/>
      <c r="H82" s="3"/>
      <c r="I82" s="1"/>
      <c r="J82" s="4"/>
      <c r="K82" s="1"/>
      <c r="L82" s="1"/>
      <c r="M82" s="1"/>
      <c r="N82" s="1"/>
      <c r="O82" s="1"/>
      <c r="P82" s="1"/>
    </row>
    <row r="83" spans="1:16" ht="20.25">
      <c r="A83" s="243" t="s">
        <v>129</v>
      </c>
      <c r="B83" s="1"/>
      <c r="C83" s="21"/>
      <c r="D83" s="2"/>
      <c r="E83" s="1"/>
      <c r="F83" s="99"/>
      <c r="G83" s="99"/>
      <c r="H83" s="1"/>
      <c r="I83" s="3"/>
      <c r="K83" s="7"/>
      <c r="L83" s="109"/>
      <c r="M83" s="109"/>
      <c r="P83" s="109" t="str">
        <f ca="1">P1</f>
        <v>SWEPCO Project 41 of 73</v>
      </c>
    </row>
    <row r="84" spans="1:16" ht="18">
      <c r="B84" s="1"/>
      <c r="C84" s="1"/>
      <c r="D84" s="2"/>
      <c r="E84" s="1"/>
      <c r="F84" s="1"/>
      <c r="G84" s="1"/>
      <c r="H84" s="1"/>
      <c r="I84" s="3"/>
      <c r="J84" s="1"/>
      <c r="K84" s="4"/>
      <c r="L84" s="1"/>
      <c r="M84" s="1"/>
      <c r="P84" s="244" t="s">
        <v>123</v>
      </c>
    </row>
    <row r="85" spans="1:16" ht="18.75" thickBot="1">
      <c r="B85" s="5" t="s">
        <v>40</v>
      </c>
      <c r="C85" s="197" t="s">
        <v>78</v>
      </c>
      <c r="D85" s="2"/>
      <c r="E85" s="1"/>
      <c r="F85" s="1"/>
      <c r="G85" s="1"/>
      <c r="H85" s="1"/>
      <c r="I85" s="3"/>
      <c r="J85" s="3"/>
      <c r="K85" s="111"/>
      <c r="L85" s="3"/>
      <c r="M85" s="3"/>
      <c r="N85" s="3"/>
      <c r="O85" s="111"/>
      <c r="P85" s="1"/>
    </row>
    <row r="86" spans="1:16" ht="15.75" thickBot="1">
      <c r="C86" s="67"/>
      <c r="D86" s="2"/>
      <c r="E86" s="1"/>
      <c r="F86" s="1"/>
      <c r="G86" s="1"/>
      <c r="H86" s="1"/>
      <c r="I86" s="3"/>
      <c r="J86" s="3"/>
      <c r="K86" s="111"/>
      <c r="L86" s="265">
        <f>+J92</f>
        <v>2017</v>
      </c>
      <c r="M86" s="266" t="s">
        <v>7</v>
      </c>
      <c r="N86" s="270" t="s">
        <v>154</v>
      </c>
      <c r="O86" s="267" t="s">
        <v>9</v>
      </c>
      <c r="P86" s="1"/>
    </row>
    <row r="87" spans="1:16" ht="15">
      <c r="C87" s="235" t="s">
        <v>42</v>
      </c>
      <c r="D87" s="2"/>
      <c r="E87" s="1"/>
      <c r="F87" s="1"/>
      <c r="G87" s="1"/>
      <c r="H87" s="113"/>
      <c r="I87" s="1" t="s">
        <v>43</v>
      </c>
      <c r="J87" s="1"/>
      <c r="K87" s="261"/>
      <c r="L87" s="259" t="s">
        <v>381</v>
      </c>
      <c r="M87" s="198">
        <f>IF(J92&lt;D11,0,VLOOKUP(J92,C17:O72,9))</f>
        <v>680729.13149070973</v>
      </c>
      <c r="N87" s="198">
        <f>IF(J92&lt;D11,0,VLOOKUP(J92,C17:O72,11))</f>
        <v>680729.13149070973</v>
      </c>
      <c r="O87" s="199">
        <f>+N87-M87</f>
        <v>0</v>
      </c>
      <c r="P87" s="1"/>
    </row>
    <row r="88" spans="1:16" ht="15.75">
      <c r="C88" s="8"/>
      <c r="D88" s="2"/>
      <c r="E88" s="1"/>
      <c r="F88" s="1"/>
      <c r="G88" s="1"/>
      <c r="H88" s="1"/>
      <c r="I88" s="117"/>
      <c r="J88" s="117"/>
      <c r="K88" s="263"/>
      <c r="L88" s="264" t="s">
        <v>382</v>
      </c>
      <c r="M88" s="200">
        <f>IF(J92&lt;D11,0,VLOOKUP(J92,C99:P154,6))</f>
        <v>672635.50351476576</v>
      </c>
      <c r="N88" s="200">
        <f>IF(J92&lt;D11,0,VLOOKUP(J92,C99:P154,7))</f>
        <v>672635.50351476576</v>
      </c>
      <c r="O88" s="201">
        <f>+N88-M88</f>
        <v>0</v>
      </c>
      <c r="P88" s="1"/>
    </row>
    <row r="89" spans="1:16" ht="13.5" thickBot="1">
      <c r="C89" s="121" t="s">
        <v>79</v>
      </c>
      <c r="D89" s="246" t="str">
        <f>+D7</f>
        <v>Broadmoor to Fern Street 69 kV Rebuild 1 mile</v>
      </c>
      <c r="E89" s="1"/>
      <c r="F89" s="1"/>
      <c r="G89" s="1"/>
      <c r="H89" s="1"/>
      <c r="I89" s="3"/>
      <c r="J89" s="3"/>
      <c r="K89" s="262"/>
      <c r="L89" s="260" t="s">
        <v>151</v>
      </c>
      <c r="M89" s="203">
        <f>+M88-M87</f>
        <v>-8093.627975943964</v>
      </c>
      <c r="N89" s="203">
        <f>+N88-N87</f>
        <v>-8093.627975943964</v>
      </c>
      <c r="O89" s="204">
        <f>+O88-O87</f>
        <v>0</v>
      </c>
      <c r="P89" s="1"/>
    </row>
    <row r="90" spans="1:16" ht="13.5" thickBot="1">
      <c r="C90" s="170"/>
      <c r="D90" s="173" t="str">
        <f>D8</f>
        <v/>
      </c>
      <c r="E90" s="107"/>
      <c r="F90" s="107"/>
      <c r="G90" s="107"/>
      <c r="H90" s="126"/>
      <c r="I90" s="3"/>
      <c r="J90" s="3"/>
      <c r="K90" s="111"/>
      <c r="L90" s="3"/>
      <c r="M90" s="3"/>
      <c r="N90" s="3"/>
      <c r="O90" s="111"/>
      <c r="P90" s="1"/>
    </row>
    <row r="91" spans="1:16" ht="13.5" thickBot="1">
      <c r="A91" s="103"/>
      <c r="C91" s="205" t="s">
        <v>80</v>
      </c>
      <c r="D91" s="224" t="str">
        <f>+D9</f>
        <v>TP2010103</v>
      </c>
      <c r="E91" s="401" t="s">
        <v>312</v>
      </c>
      <c r="F91" s="206"/>
      <c r="G91" s="206"/>
      <c r="H91" s="206"/>
      <c r="I91" s="206"/>
      <c r="J91" s="206"/>
      <c r="K91" s="207"/>
      <c r="P91" s="131"/>
    </row>
    <row r="92" spans="1:16">
      <c r="C92" s="136" t="s">
        <v>47</v>
      </c>
      <c r="D92" s="417">
        <v>4866028</v>
      </c>
      <c r="E92" s="21" t="s">
        <v>81</v>
      </c>
      <c r="H92" s="134"/>
      <c r="I92" s="134"/>
      <c r="J92" s="135">
        <f>+'SWE.WS.G.BPU.ATRR.True-up'!M15</f>
        <v>2017</v>
      </c>
      <c r="K92" s="130"/>
      <c r="L92" s="111" t="s">
        <v>82</v>
      </c>
      <c r="P92" s="4"/>
    </row>
    <row r="93" spans="1:16">
      <c r="C93" s="136" t="s">
        <v>49</v>
      </c>
      <c r="D93" s="219">
        <f>IF(D11=I10,"",D11)</f>
        <v>2014</v>
      </c>
      <c r="E93" s="136" t="s">
        <v>50</v>
      </c>
      <c r="F93" s="134"/>
      <c r="G93" s="134"/>
      <c r="J93" s="138">
        <f>IF(H87="",0,'SWE.WS.G.BPU.ATRR.True-up'!$F$12)</f>
        <v>0</v>
      </c>
      <c r="K93" s="139"/>
      <c r="L93" t="str">
        <f>"          INPUT TRUE-UP ARR (WITH &amp; WITHOUT INCENTIVES) FROM EACH PRIOR YEAR"</f>
        <v xml:space="preserve">          INPUT TRUE-UP ARR (WITH &amp; WITHOUT INCENTIVES) FROM EACH PRIOR YEAR</v>
      </c>
      <c r="P93" s="4"/>
    </row>
    <row r="94" spans="1:16">
      <c r="C94" s="136" t="s">
        <v>51</v>
      </c>
      <c r="D94" s="218">
        <f>IF(D11=I10,"",D12)</f>
        <v>12</v>
      </c>
      <c r="E94" s="136" t="s">
        <v>52</v>
      </c>
      <c r="F94" s="134"/>
      <c r="G94" s="134"/>
      <c r="J94" s="140">
        <f>'SWE.WS.G.BPU.ATRR.True-up'!$F$80</f>
        <v>0.12147145768398206</v>
      </c>
      <c r="K94" s="141"/>
      <c r="L94" t="s">
        <v>83</v>
      </c>
      <c r="P94" s="4"/>
    </row>
    <row r="95" spans="1:16">
      <c r="C95" s="136" t="s">
        <v>54</v>
      </c>
      <c r="D95" s="138">
        <f>'SWE.WS.G.BPU.ATRR.True-up'!F$92</f>
        <v>42</v>
      </c>
      <c r="E95" s="136" t="s">
        <v>55</v>
      </c>
      <c r="F95" s="134"/>
      <c r="G95" s="134"/>
      <c r="J95" s="140">
        <f>IF(H87="",J94,'SWE.WS.G.BPU.ATRR.True-up'!$F$79)</f>
        <v>0.12147145768398206</v>
      </c>
      <c r="K95" s="58"/>
      <c r="L95" s="111" t="s">
        <v>56</v>
      </c>
      <c r="M95" s="58"/>
      <c r="N95" s="58"/>
      <c r="O95" s="58"/>
      <c r="P95" s="4"/>
    </row>
    <row r="96" spans="1:16" ht="13.5" thickBot="1">
      <c r="C96" s="136" t="s">
        <v>57</v>
      </c>
      <c r="D96" s="220" t="str">
        <f>+D14</f>
        <v>No</v>
      </c>
      <c r="E96" s="202" t="s">
        <v>59</v>
      </c>
      <c r="F96" s="208"/>
      <c r="G96" s="208"/>
      <c r="H96" s="209"/>
      <c r="I96" s="209"/>
      <c r="J96" s="124">
        <f>IF(D92=0,0,D92/D95)</f>
        <v>115857.80952380953</v>
      </c>
      <c r="K96" s="111"/>
      <c r="L96" s="111"/>
      <c r="M96" s="111"/>
      <c r="N96" s="111"/>
      <c r="O96" s="111"/>
      <c r="P96" s="4"/>
    </row>
    <row r="97" spans="1:16" ht="38.25">
      <c r="A97" s="6"/>
      <c r="B97" s="6"/>
      <c r="C97" s="210" t="s">
        <v>47</v>
      </c>
      <c r="D97" s="211" t="s">
        <v>60</v>
      </c>
      <c r="E97" s="146" t="s">
        <v>61</v>
      </c>
      <c r="F97" s="146" t="s">
        <v>62</v>
      </c>
      <c r="G97" s="144" t="s">
        <v>84</v>
      </c>
      <c r="H97" s="434" t="s">
        <v>378</v>
      </c>
      <c r="I97" s="435" t="s">
        <v>379</v>
      </c>
      <c r="J97" s="210" t="s">
        <v>85</v>
      </c>
      <c r="K97" s="212"/>
      <c r="L97" s="271" t="s">
        <v>220</v>
      </c>
      <c r="M97" s="146" t="s">
        <v>86</v>
      </c>
      <c r="N97" s="271" t="s">
        <v>220</v>
      </c>
      <c r="O97" s="146" t="s">
        <v>86</v>
      </c>
      <c r="P97" s="146" t="s">
        <v>65</v>
      </c>
    </row>
    <row r="98" spans="1:16" ht="13.5" thickBot="1">
      <c r="C98" s="147" t="s">
        <v>66</v>
      </c>
      <c r="D98" s="213" t="s">
        <v>67</v>
      </c>
      <c r="E98" s="147" t="s">
        <v>68</v>
      </c>
      <c r="F98" s="147" t="s">
        <v>67</v>
      </c>
      <c r="G98" s="147" t="s">
        <v>67</v>
      </c>
      <c r="H98" s="407" t="s">
        <v>69</v>
      </c>
      <c r="I98" s="148" t="s">
        <v>70</v>
      </c>
      <c r="J98" s="149" t="s">
        <v>89</v>
      </c>
      <c r="K98" s="150"/>
      <c r="L98" s="151" t="s">
        <v>72</v>
      </c>
      <c r="M98" s="151" t="s">
        <v>72</v>
      </c>
      <c r="N98" s="151" t="s">
        <v>90</v>
      </c>
      <c r="O98" s="151" t="s">
        <v>90</v>
      </c>
      <c r="P98" s="151" t="s">
        <v>90</v>
      </c>
    </row>
    <row r="99" spans="1:16" ht="13.5" thickBot="1">
      <c r="C99" s="153">
        <f>IF(D93= "","-",D93)</f>
        <v>2014</v>
      </c>
      <c r="D99" s="409">
        <v>0</v>
      </c>
      <c r="E99" s="410">
        <v>0</v>
      </c>
      <c r="F99" s="411">
        <v>4675710</v>
      </c>
      <c r="G99" s="412">
        <v>2337855</v>
      </c>
      <c r="H99" s="413">
        <v>317769.34002768091</v>
      </c>
      <c r="I99" s="414">
        <v>317769.34002768091</v>
      </c>
      <c r="J99" s="422">
        <v>0</v>
      </c>
      <c r="K99" s="158"/>
      <c r="L99" s="258">
        <f>H99</f>
        <v>317769.34002768091</v>
      </c>
      <c r="M99" s="257">
        <f>IF(L99&lt;&gt;0,+H99-L99,0)</f>
        <v>0</v>
      </c>
      <c r="N99" s="258">
        <f>I99</f>
        <v>317769.34002768091</v>
      </c>
      <c r="O99" s="158">
        <f>IF(N99&lt;&gt;0,+I99-N99,0)</f>
        <v>0</v>
      </c>
      <c r="P99" s="158">
        <f>+O99-M99</f>
        <v>0</v>
      </c>
    </row>
    <row r="100" spans="1:16" ht="13.5" thickBot="1">
      <c r="B100" s="9" t="str">
        <f>IF(D100=F99,"","IU")</f>
        <v/>
      </c>
      <c r="C100" s="153">
        <f>IF(D93="","-",+C99+1)</f>
        <v>2015</v>
      </c>
      <c r="D100" s="409">
        <v>4675710</v>
      </c>
      <c r="E100" s="410">
        <v>111326.42857142857</v>
      </c>
      <c r="F100" s="411">
        <v>4564383.5714285718</v>
      </c>
      <c r="G100" s="412">
        <v>4620046.7857142854</v>
      </c>
      <c r="H100" s="413">
        <v>720104.80925496051</v>
      </c>
      <c r="I100" s="414">
        <v>720104.80925496051</v>
      </c>
      <c r="J100" s="158">
        <f>+I100-H100</f>
        <v>0</v>
      </c>
      <c r="K100" s="158"/>
      <c r="L100" s="258">
        <f>H100</f>
        <v>720104.80925496051</v>
      </c>
      <c r="M100" s="257">
        <f>IF(L100&lt;&gt;0,+H100-L100,0)</f>
        <v>0</v>
      </c>
      <c r="N100" s="258">
        <f>I100</f>
        <v>720104.80925496051</v>
      </c>
      <c r="O100" s="158">
        <f>IF(N100&lt;&gt;0,+I100-N100,0)</f>
        <v>0</v>
      </c>
      <c r="P100" s="158">
        <f>+O100-M100</f>
        <v>0</v>
      </c>
    </row>
    <row r="101" spans="1:16">
      <c r="B101" s="9" t="str">
        <f t="shared" ref="B101:B154" si="11">IF(D101=F100,"","IU")</f>
        <v>IU</v>
      </c>
      <c r="C101" s="153">
        <f>IF(D93="","-",+C100+1)</f>
        <v>2016</v>
      </c>
      <c r="D101" s="409">
        <v>4754701.5714285718</v>
      </c>
      <c r="E101" s="410">
        <v>113163.44186046511</v>
      </c>
      <c r="F101" s="411">
        <v>4641538.1295681065</v>
      </c>
      <c r="G101" s="412">
        <v>4698119.8504983392</v>
      </c>
      <c r="H101" s="413">
        <v>709589.70185854996</v>
      </c>
      <c r="I101" s="414">
        <v>709589.70185854996</v>
      </c>
      <c r="J101" s="158">
        <v>0</v>
      </c>
      <c r="K101" s="158"/>
      <c r="L101" s="258">
        <f>H101</f>
        <v>709589.70185854996</v>
      </c>
      <c r="M101" s="257">
        <f>IF(L101&lt;&gt;0,+H101-L101,0)</f>
        <v>0</v>
      </c>
      <c r="N101" s="258">
        <f>I101</f>
        <v>709589.70185854996</v>
      </c>
      <c r="O101" s="158">
        <f>IF(N101&lt;&gt;0,+I101-N101,0)</f>
        <v>0</v>
      </c>
      <c r="P101" s="158">
        <f>+O101-M101</f>
        <v>0</v>
      </c>
    </row>
    <row r="102" spans="1:16">
      <c r="B102" s="9" t="str">
        <f t="shared" si="11"/>
        <v/>
      </c>
      <c r="C102" s="153">
        <f>IF(D93="","-",+C101+1)</f>
        <v>2017</v>
      </c>
      <c r="D102" s="154">
        <f>IF(F101+SUM(E$99:E101)=D$92,F101,D$92-SUM(E$99:E101))</f>
        <v>4641538.1295681065</v>
      </c>
      <c r="E102" s="160">
        <f t="shared" ref="E102:E154" si="12">IF(+$J$96&lt;F101,$J$96,D102)</f>
        <v>115857.80952380953</v>
      </c>
      <c r="F102" s="159">
        <f t="shared" ref="F102:F154" si="13">+D102-E102</f>
        <v>4525680.3200442968</v>
      </c>
      <c r="G102" s="159">
        <f t="shared" ref="G102:G154" si="14">+(F102+D102)/2</f>
        <v>4583609.2248062016</v>
      </c>
      <c r="H102" s="163">
        <f t="shared" ref="H102:H154" si="15">+J$94*G102+E102</f>
        <v>672635.50351476576</v>
      </c>
      <c r="I102" s="253">
        <f t="shared" ref="I102:I154" si="16">+J$95*G102+E102</f>
        <v>672635.50351476576</v>
      </c>
      <c r="J102" s="158">
        <f t="shared" ref="J102:J154" si="17">+I102-H102</f>
        <v>0</v>
      </c>
      <c r="K102" s="158"/>
      <c r="L102" s="334"/>
      <c r="M102" s="158">
        <f t="shared" ref="M102:M130" si="18">IF(L102&lt;&gt;0,+H102-L102,0)</f>
        <v>0</v>
      </c>
      <c r="N102" s="334"/>
      <c r="O102" s="158">
        <f t="shared" ref="O102:O130" si="19">IF(N102&lt;&gt;0,+I102-N102,0)</f>
        <v>0</v>
      </c>
      <c r="P102" s="158">
        <f t="shared" ref="P102:P130" si="20">+O102-M102</f>
        <v>0</v>
      </c>
    </row>
    <row r="103" spans="1:16">
      <c r="B103" s="9" t="str">
        <f t="shared" si="11"/>
        <v/>
      </c>
      <c r="C103" s="153">
        <f>IF(D93="","-",+C102+1)</f>
        <v>2018</v>
      </c>
      <c r="D103" s="154">
        <f>IF(F102+SUM(E$99:E102)=D$92,F102,D$92-SUM(E$99:E102))</f>
        <v>4525680.3200442968</v>
      </c>
      <c r="E103" s="160">
        <f t="shared" si="12"/>
        <v>115857.80952380953</v>
      </c>
      <c r="F103" s="159">
        <f t="shared" si="13"/>
        <v>4409822.5105204871</v>
      </c>
      <c r="G103" s="159">
        <f t="shared" si="14"/>
        <v>4467751.4152823919</v>
      </c>
      <c r="H103" s="163">
        <f t="shared" si="15"/>
        <v>658562.08650783566</v>
      </c>
      <c r="I103" s="253">
        <f t="shared" si="16"/>
        <v>658562.08650783566</v>
      </c>
      <c r="J103" s="158">
        <f t="shared" si="17"/>
        <v>0</v>
      </c>
      <c r="K103" s="158"/>
      <c r="L103" s="334"/>
      <c r="M103" s="158">
        <f t="shared" si="18"/>
        <v>0</v>
      </c>
      <c r="N103" s="334"/>
      <c r="O103" s="158">
        <f t="shared" si="19"/>
        <v>0</v>
      </c>
      <c r="P103" s="158">
        <f t="shared" si="20"/>
        <v>0</v>
      </c>
    </row>
    <row r="104" spans="1:16">
      <c r="B104" s="9" t="str">
        <f t="shared" si="11"/>
        <v/>
      </c>
      <c r="C104" s="153">
        <f>IF(D93="","-",+C103+1)</f>
        <v>2019</v>
      </c>
      <c r="D104" s="154">
        <f>IF(F103+SUM(E$99:E103)=D$92,F103,D$92-SUM(E$99:E103))</f>
        <v>4409822.5105204871</v>
      </c>
      <c r="E104" s="160">
        <f t="shared" si="12"/>
        <v>115857.80952380953</v>
      </c>
      <c r="F104" s="159">
        <f t="shared" si="13"/>
        <v>4293964.7009966774</v>
      </c>
      <c r="G104" s="159">
        <f t="shared" si="14"/>
        <v>4351893.6057585822</v>
      </c>
      <c r="H104" s="163">
        <f t="shared" si="15"/>
        <v>644488.66950090532</v>
      </c>
      <c r="I104" s="253">
        <f t="shared" si="16"/>
        <v>644488.66950090532</v>
      </c>
      <c r="J104" s="158">
        <f t="shared" si="17"/>
        <v>0</v>
      </c>
      <c r="K104" s="158"/>
      <c r="L104" s="334"/>
      <c r="M104" s="158">
        <f t="shared" si="18"/>
        <v>0</v>
      </c>
      <c r="N104" s="334"/>
      <c r="O104" s="158">
        <f t="shared" si="19"/>
        <v>0</v>
      </c>
      <c r="P104" s="158">
        <f t="shared" si="20"/>
        <v>0</v>
      </c>
    </row>
    <row r="105" spans="1:16">
      <c r="B105" s="9" t="str">
        <f t="shared" si="11"/>
        <v/>
      </c>
      <c r="C105" s="153">
        <f>IF(D93="","-",+C104+1)</f>
        <v>2020</v>
      </c>
      <c r="D105" s="154">
        <f>IF(F104+SUM(E$99:E104)=D$92,F104,D$92-SUM(E$99:E104))</f>
        <v>4293964.7009966774</v>
      </c>
      <c r="E105" s="160">
        <f t="shared" si="12"/>
        <v>115857.80952380953</v>
      </c>
      <c r="F105" s="159">
        <f t="shared" si="13"/>
        <v>4178106.8914728677</v>
      </c>
      <c r="G105" s="159">
        <f t="shared" si="14"/>
        <v>4236035.7962347725</v>
      </c>
      <c r="H105" s="163">
        <f t="shared" si="15"/>
        <v>630415.25249397499</v>
      </c>
      <c r="I105" s="253">
        <f t="shared" si="16"/>
        <v>630415.25249397499</v>
      </c>
      <c r="J105" s="158">
        <f t="shared" si="17"/>
        <v>0</v>
      </c>
      <c r="K105" s="158"/>
      <c r="L105" s="334"/>
      <c r="M105" s="158">
        <f t="shared" si="18"/>
        <v>0</v>
      </c>
      <c r="N105" s="334"/>
      <c r="O105" s="158">
        <f t="shared" si="19"/>
        <v>0</v>
      </c>
      <c r="P105" s="158">
        <f t="shared" si="20"/>
        <v>0</v>
      </c>
    </row>
    <row r="106" spans="1:16">
      <c r="B106" s="9" t="str">
        <f t="shared" si="11"/>
        <v/>
      </c>
      <c r="C106" s="153">
        <f>IF(D93="","-",+C105+1)</f>
        <v>2021</v>
      </c>
      <c r="D106" s="154">
        <f>IF(F105+SUM(E$99:E105)=D$92,F105,D$92-SUM(E$99:E105))</f>
        <v>4178106.8914728677</v>
      </c>
      <c r="E106" s="160">
        <f t="shared" si="12"/>
        <v>115857.80952380953</v>
      </c>
      <c r="F106" s="159">
        <f t="shared" si="13"/>
        <v>4062249.081949058</v>
      </c>
      <c r="G106" s="159">
        <f t="shared" si="14"/>
        <v>4120177.9867109628</v>
      </c>
      <c r="H106" s="163">
        <f t="shared" si="15"/>
        <v>616341.83548704465</v>
      </c>
      <c r="I106" s="253">
        <f t="shared" si="16"/>
        <v>616341.83548704465</v>
      </c>
      <c r="J106" s="158">
        <f t="shared" si="17"/>
        <v>0</v>
      </c>
      <c r="K106" s="158"/>
      <c r="L106" s="334"/>
      <c r="M106" s="158">
        <f t="shared" si="18"/>
        <v>0</v>
      </c>
      <c r="N106" s="334"/>
      <c r="O106" s="158">
        <f t="shared" si="19"/>
        <v>0</v>
      </c>
      <c r="P106" s="158">
        <f t="shared" si="20"/>
        <v>0</v>
      </c>
    </row>
    <row r="107" spans="1:16">
      <c r="B107" s="9" t="str">
        <f t="shared" si="11"/>
        <v/>
      </c>
      <c r="C107" s="153">
        <f>IF(D93="","-",+C106+1)</f>
        <v>2022</v>
      </c>
      <c r="D107" s="154">
        <f>IF(F106+SUM(E$99:E106)=D$92,F106,D$92-SUM(E$99:E106))</f>
        <v>4062249.081949058</v>
      </c>
      <c r="E107" s="160">
        <f t="shared" si="12"/>
        <v>115857.80952380953</v>
      </c>
      <c r="F107" s="159">
        <f t="shared" si="13"/>
        <v>3946391.2724252483</v>
      </c>
      <c r="G107" s="159">
        <f t="shared" si="14"/>
        <v>4004320.1771871531</v>
      </c>
      <c r="H107" s="163">
        <f t="shared" si="15"/>
        <v>602268.41848011431</v>
      </c>
      <c r="I107" s="253">
        <f t="shared" si="16"/>
        <v>602268.41848011431</v>
      </c>
      <c r="J107" s="158">
        <f t="shared" si="17"/>
        <v>0</v>
      </c>
      <c r="K107" s="158"/>
      <c r="L107" s="334"/>
      <c r="M107" s="158">
        <f t="shared" si="18"/>
        <v>0</v>
      </c>
      <c r="N107" s="334"/>
      <c r="O107" s="158">
        <f t="shared" si="19"/>
        <v>0</v>
      </c>
      <c r="P107" s="158">
        <f t="shared" si="20"/>
        <v>0</v>
      </c>
    </row>
    <row r="108" spans="1:16">
      <c r="B108" s="9" t="str">
        <f t="shared" si="11"/>
        <v/>
      </c>
      <c r="C108" s="153">
        <f>IF(D93="","-",+C107+1)</f>
        <v>2023</v>
      </c>
      <c r="D108" s="154">
        <f>IF(F107+SUM(E$99:E107)=D$92,F107,D$92-SUM(E$99:E107))</f>
        <v>3946391.2724252483</v>
      </c>
      <c r="E108" s="160">
        <f t="shared" si="12"/>
        <v>115857.80952380953</v>
      </c>
      <c r="F108" s="159">
        <f t="shared" si="13"/>
        <v>3830533.4629014386</v>
      </c>
      <c r="G108" s="159">
        <f t="shared" si="14"/>
        <v>3888462.3676633434</v>
      </c>
      <c r="H108" s="163">
        <f t="shared" si="15"/>
        <v>588195.00147318398</v>
      </c>
      <c r="I108" s="253">
        <f t="shared" si="16"/>
        <v>588195.00147318398</v>
      </c>
      <c r="J108" s="158">
        <f t="shared" si="17"/>
        <v>0</v>
      </c>
      <c r="K108" s="158"/>
      <c r="L108" s="334"/>
      <c r="M108" s="158">
        <f t="shared" si="18"/>
        <v>0</v>
      </c>
      <c r="N108" s="334"/>
      <c r="O108" s="158">
        <f t="shared" si="19"/>
        <v>0</v>
      </c>
      <c r="P108" s="158">
        <f t="shared" si="20"/>
        <v>0</v>
      </c>
    </row>
    <row r="109" spans="1:16">
      <c r="B109" s="9" t="str">
        <f t="shared" si="11"/>
        <v/>
      </c>
      <c r="C109" s="153">
        <f>IF(D93="","-",+C108+1)</f>
        <v>2024</v>
      </c>
      <c r="D109" s="154">
        <f>IF(F108+SUM(E$99:E108)=D$92,F108,D$92-SUM(E$99:E108))</f>
        <v>3830533.4629014386</v>
      </c>
      <c r="E109" s="160">
        <f t="shared" si="12"/>
        <v>115857.80952380953</v>
      </c>
      <c r="F109" s="159">
        <f t="shared" si="13"/>
        <v>3714675.6533776289</v>
      </c>
      <c r="G109" s="159">
        <f t="shared" si="14"/>
        <v>3772604.5581395337</v>
      </c>
      <c r="H109" s="163">
        <f t="shared" si="15"/>
        <v>574121.58446625364</v>
      </c>
      <c r="I109" s="253">
        <f t="shared" si="16"/>
        <v>574121.58446625364</v>
      </c>
      <c r="J109" s="158">
        <f t="shared" si="17"/>
        <v>0</v>
      </c>
      <c r="K109" s="158"/>
      <c r="L109" s="334"/>
      <c r="M109" s="158">
        <f t="shared" si="18"/>
        <v>0</v>
      </c>
      <c r="N109" s="334"/>
      <c r="O109" s="158">
        <f t="shared" si="19"/>
        <v>0</v>
      </c>
      <c r="P109" s="158">
        <f t="shared" si="20"/>
        <v>0</v>
      </c>
    </row>
    <row r="110" spans="1:16">
      <c r="B110" s="9" t="str">
        <f t="shared" si="11"/>
        <v/>
      </c>
      <c r="C110" s="153">
        <f>IF(D93="","-",+C109+1)</f>
        <v>2025</v>
      </c>
      <c r="D110" s="154">
        <f>IF(F109+SUM(E$99:E109)=D$92,F109,D$92-SUM(E$99:E109))</f>
        <v>3714675.6533776289</v>
      </c>
      <c r="E110" s="160">
        <f t="shared" si="12"/>
        <v>115857.80952380953</v>
      </c>
      <c r="F110" s="159">
        <f t="shared" si="13"/>
        <v>3598817.8438538192</v>
      </c>
      <c r="G110" s="159">
        <f t="shared" si="14"/>
        <v>3656746.748615724</v>
      </c>
      <c r="H110" s="163">
        <f t="shared" si="15"/>
        <v>560048.16745932342</v>
      </c>
      <c r="I110" s="253">
        <f t="shared" si="16"/>
        <v>560048.16745932342</v>
      </c>
      <c r="J110" s="158">
        <f t="shared" si="17"/>
        <v>0</v>
      </c>
      <c r="K110" s="158"/>
      <c r="L110" s="334"/>
      <c r="M110" s="158">
        <f t="shared" si="18"/>
        <v>0</v>
      </c>
      <c r="N110" s="334"/>
      <c r="O110" s="158">
        <f t="shared" si="19"/>
        <v>0</v>
      </c>
      <c r="P110" s="158">
        <f t="shared" si="20"/>
        <v>0</v>
      </c>
    </row>
    <row r="111" spans="1:16">
      <c r="B111" s="9" t="str">
        <f t="shared" si="11"/>
        <v/>
      </c>
      <c r="C111" s="153">
        <f>IF(D93="","-",+C110+1)</f>
        <v>2026</v>
      </c>
      <c r="D111" s="154">
        <f>IF(F110+SUM(E$99:E110)=D$92,F110,D$92-SUM(E$99:E110))</f>
        <v>3598817.8438538192</v>
      </c>
      <c r="E111" s="160">
        <f t="shared" si="12"/>
        <v>115857.80952380953</v>
      </c>
      <c r="F111" s="159">
        <f t="shared" si="13"/>
        <v>3482960.0343300095</v>
      </c>
      <c r="G111" s="159">
        <f t="shared" si="14"/>
        <v>3540888.9390919143</v>
      </c>
      <c r="H111" s="163">
        <f t="shared" si="15"/>
        <v>545974.7504523932</v>
      </c>
      <c r="I111" s="253">
        <f t="shared" si="16"/>
        <v>545974.7504523932</v>
      </c>
      <c r="J111" s="158">
        <f t="shared" si="17"/>
        <v>0</v>
      </c>
      <c r="K111" s="158"/>
      <c r="L111" s="334"/>
      <c r="M111" s="158">
        <f t="shared" si="18"/>
        <v>0</v>
      </c>
      <c r="N111" s="334"/>
      <c r="O111" s="158">
        <f t="shared" si="19"/>
        <v>0</v>
      </c>
      <c r="P111" s="158">
        <f t="shared" si="20"/>
        <v>0</v>
      </c>
    </row>
    <row r="112" spans="1:16">
      <c r="B112" s="9" t="str">
        <f t="shared" si="11"/>
        <v/>
      </c>
      <c r="C112" s="153">
        <f>IF(D93="","-",+C111+1)</f>
        <v>2027</v>
      </c>
      <c r="D112" s="154">
        <f>IF(F111+SUM(E$99:E111)=D$92,F111,D$92-SUM(E$99:E111))</f>
        <v>3482960.0343300095</v>
      </c>
      <c r="E112" s="160">
        <f t="shared" si="12"/>
        <v>115857.80952380953</v>
      </c>
      <c r="F112" s="159">
        <f t="shared" si="13"/>
        <v>3367102.2248061998</v>
      </c>
      <c r="G112" s="159">
        <f t="shared" si="14"/>
        <v>3425031.1295681046</v>
      </c>
      <c r="H112" s="163">
        <f t="shared" si="15"/>
        <v>531901.33344546286</v>
      </c>
      <c r="I112" s="253">
        <f t="shared" si="16"/>
        <v>531901.33344546286</v>
      </c>
      <c r="J112" s="158">
        <f t="shared" si="17"/>
        <v>0</v>
      </c>
      <c r="K112" s="158"/>
      <c r="L112" s="334"/>
      <c r="M112" s="158">
        <f t="shared" si="18"/>
        <v>0</v>
      </c>
      <c r="N112" s="334"/>
      <c r="O112" s="158">
        <f t="shared" si="19"/>
        <v>0</v>
      </c>
      <c r="P112" s="158">
        <f t="shared" si="20"/>
        <v>0</v>
      </c>
    </row>
    <row r="113" spans="2:16">
      <c r="B113" s="9" t="str">
        <f t="shared" si="11"/>
        <v/>
      </c>
      <c r="C113" s="153">
        <f>IF(D93="","-",+C112+1)</f>
        <v>2028</v>
      </c>
      <c r="D113" s="154">
        <f>IF(F112+SUM(E$99:E112)=D$92,F112,D$92-SUM(E$99:E112))</f>
        <v>3367102.2248061998</v>
      </c>
      <c r="E113" s="160">
        <f t="shared" si="12"/>
        <v>115857.80952380953</v>
      </c>
      <c r="F113" s="159">
        <f t="shared" si="13"/>
        <v>3251244.4152823901</v>
      </c>
      <c r="G113" s="159">
        <f t="shared" si="14"/>
        <v>3309173.3200442949</v>
      </c>
      <c r="H113" s="163">
        <f t="shared" si="15"/>
        <v>517827.91643853253</v>
      </c>
      <c r="I113" s="253">
        <f t="shared" si="16"/>
        <v>517827.91643853253</v>
      </c>
      <c r="J113" s="158">
        <f t="shared" si="17"/>
        <v>0</v>
      </c>
      <c r="K113" s="158"/>
      <c r="L113" s="334"/>
      <c r="M113" s="158">
        <f t="shared" si="18"/>
        <v>0</v>
      </c>
      <c r="N113" s="334"/>
      <c r="O113" s="158">
        <f t="shared" si="19"/>
        <v>0</v>
      </c>
      <c r="P113" s="158">
        <f t="shared" si="20"/>
        <v>0</v>
      </c>
    </row>
    <row r="114" spans="2:16">
      <c r="B114" s="9" t="str">
        <f t="shared" si="11"/>
        <v/>
      </c>
      <c r="C114" s="153">
        <f>IF(D93="","-",+C113+1)</f>
        <v>2029</v>
      </c>
      <c r="D114" s="154">
        <f>IF(F113+SUM(E$99:E113)=D$92,F113,D$92-SUM(E$99:E113))</f>
        <v>3251244.4152823901</v>
      </c>
      <c r="E114" s="160">
        <f t="shared" si="12"/>
        <v>115857.80952380953</v>
      </c>
      <c r="F114" s="159">
        <f t="shared" si="13"/>
        <v>3135386.6057585804</v>
      </c>
      <c r="G114" s="159">
        <f t="shared" si="14"/>
        <v>3193315.5105204852</v>
      </c>
      <c r="H114" s="163">
        <f t="shared" si="15"/>
        <v>503754.49943160219</v>
      </c>
      <c r="I114" s="253">
        <f t="shared" si="16"/>
        <v>503754.49943160219</v>
      </c>
      <c r="J114" s="158">
        <f t="shared" si="17"/>
        <v>0</v>
      </c>
      <c r="K114" s="158"/>
      <c r="L114" s="334"/>
      <c r="M114" s="158">
        <f t="shared" si="18"/>
        <v>0</v>
      </c>
      <c r="N114" s="334"/>
      <c r="O114" s="158">
        <f t="shared" si="19"/>
        <v>0</v>
      </c>
      <c r="P114" s="158">
        <f t="shared" si="20"/>
        <v>0</v>
      </c>
    </row>
    <row r="115" spans="2:16">
      <c r="B115" s="9" t="str">
        <f t="shared" si="11"/>
        <v/>
      </c>
      <c r="C115" s="153">
        <f>IF(D93="","-",+C114+1)</f>
        <v>2030</v>
      </c>
      <c r="D115" s="154">
        <f>IF(F114+SUM(E$99:E114)=D$92,F114,D$92-SUM(E$99:E114))</f>
        <v>3135386.6057585804</v>
      </c>
      <c r="E115" s="160">
        <f t="shared" si="12"/>
        <v>115857.80952380953</v>
      </c>
      <c r="F115" s="159">
        <f t="shared" si="13"/>
        <v>3019528.7962347707</v>
      </c>
      <c r="G115" s="159">
        <f t="shared" si="14"/>
        <v>3077457.7009966755</v>
      </c>
      <c r="H115" s="163">
        <f t="shared" si="15"/>
        <v>489681.08242467191</v>
      </c>
      <c r="I115" s="253">
        <f t="shared" si="16"/>
        <v>489681.08242467191</v>
      </c>
      <c r="J115" s="158">
        <f t="shared" si="17"/>
        <v>0</v>
      </c>
      <c r="K115" s="158"/>
      <c r="L115" s="334"/>
      <c r="M115" s="158">
        <f t="shared" si="18"/>
        <v>0</v>
      </c>
      <c r="N115" s="334"/>
      <c r="O115" s="158">
        <f t="shared" si="19"/>
        <v>0</v>
      </c>
      <c r="P115" s="158">
        <f t="shared" si="20"/>
        <v>0</v>
      </c>
    </row>
    <row r="116" spans="2:16">
      <c r="B116" s="9" t="str">
        <f t="shared" si="11"/>
        <v/>
      </c>
      <c r="C116" s="153">
        <f>IF(D93="","-",+C115+1)</f>
        <v>2031</v>
      </c>
      <c r="D116" s="154">
        <f>IF(F115+SUM(E$99:E115)=D$92,F115,D$92-SUM(E$99:E115))</f>
        <v>3019528.7962347707</v>
      </c>
      <c r="E116" s="160">
        <f t="shared" si="12"/>
        <v>115857.80952380953</v>
      </c>
      <c r="F116" s="159">
        <f t="shared" si="13"/>
        <v>2903670.986710961</v>
      </c>
      <c r="G116" s="159">
        <f t="shared" si="14"/>
        <v>2961599.8914728658</v>
      </c>
      <c r="H116" s="163">
        <f t="shared" si="15"/>
        <v>475607.66541774158</v>
      </c>
      <c r="I116" s="253">
        <f t="shared" si="16"/>
        <v>475607.66541774158</v>
      </c>
      <c r="J116" s="158">
        <f t="shared" si="17"/>
        <v>0</v>
      </c>
      <c r="K116" s="158"/>
      <c r="L116" s="334"/>
      <c r="M116" s="158">
        <f t="shared" si="18"/>
        <v>0</v>
      </c>
      <c r="N116" s="334"/>
      <c r="O116" s="158">
        <f t="shared" si="19"/>
        <v>0</v>
      </c>
      <c r="P116" s="158">
        <f t="shared" si="20"/>
        <v>0</v>
      </c>
    </row>
    <row r="117" spans="2:16">
      <c r="B117" s="9" t="str">
        <f t="shared" si="11"/>
        <v/>
      </c>
      <c r="C117" s="153">
        <f>IF(D93="","-",+C116+1)</f>
        <v>2032</v>
      </c>
      <c r="D117" s="154">
        <f>IF(F116+SUM(E$99:E116)=D$92,F116,D$92-SUM(E$99:E116))</f>
        <v>2903670.986710961</v>
      </c>
      <c r="E117" s="160">
        <f t="shared" si="12"/>
        <v>115857.80952380953</v>
      </c>
      <c r="F117" s="159">
        <f t="shared" si="13"/>
        <v>2787813.1771871513</v>
      </c>
      <c r="G117" s="159">
        <f t="shared" si="14"/>
        <v>2845742.0819490561</v>
      </c>
      <c r="H117" s="163">
        <f t="shared" si="15"/>
        <v>461534.2484108113</v>
      </c>
      <c r="I117" s="253">
        <f t="shared" si="16"/>
        <v>461534.2484108113</v>
      </c>
      <c r="J117" s="158">
        <f t="shared" si="17"/>
        <v>0</v>
      </c>
      <c r="K117" s="158"/>
      <c r="L117" s="334"/>
      <c r="M117" s="158">
        <f t="shared" si="18"/>
        <v>0</v>
      </c>
      <c r="N117" s="334"/>
      <c r="O117" s="158">
        <f t="shared" si="19"/>
        <v>0</v>
      </c>
      <c r="P117" s="158">
        <f t="shared" si="20"/>
        <v>0</v>
      </c>
    </row>
    <row r="118" spans="2:16">
      <c r="B118" s="9" t="str">
        <f t="shared" si="11"/>
        <v/>
      </c>
      <c r="C118" s="153">
        <f>IF(D93="","-",+C117+1)</f>
        <v>2033</v>
      </c>
      <c r="D118" s="154">
        <f>IF(F117+SUM(E$99:E117)=D$92,F117,D$92-SUM(E$99:E117))</f>
        <v>2787813.1771871513</v>
      </c>
      <c r="E118" s="160">
        <f t="shared" si="12"/>
        <v>115857.80952380953</v>
      </c>
      <c r="F118" s="159">
        <f t="shared" si="13"/>
        <v>2671955.3676633416</v>
      </c>
      <c r="G118" s="159">
        <f t="shared" si="14"/>
        <v>2729884.2724252464</v>
      </c>
      <c r="H118" s="163">
        <f t="shared" si="15"/>
        <v>447460.83140388102</v>
      </c>
      <c r="I118" s="253">
        <f t="shared" si="16"/>
        <v>447460.83140388102</v>
      </c>
      <c r="J118" s="158">
        <f t="shared" si="17"/>
        <v>0</v>
      </c>
      <c r="K118" s="158"/>
      <c r="L118" s="334"/>
      <c r="M118" s="158">
        <f t="shared" si="18"/>
        <v>0</v>
      </c>
      <c r="N118" s="334"/>
      <c r="O118" s="158">
        <f t="shared" si="19"/>
        <v>0</v>
      </c>
      <c r="P118" s="158">
        <f t="shared" si="20"/>
        <v>0</v>
      </c>
    </row>
    <row r="119" spans="2:16">
      <c r="B119" s="9" t="str">
        <f t="shared" si="11"/>
        <v/>
      </c>
      <c r="C119" s="153">
        <f>IF(D93="","-",+C118+1)</f>
        <v>2034</v>
      </c>
      <c r="D119" s="154">
        <f>IF(F118+SUM(E$99:E118)=D$92,F118,D$92-SUM(E$99:E118))</f>
        <v>2671955.3676633416</v>
      </c>
      <c r="E119" s="160">
        <f t="shared" si="12"/>
        <v>115857.80952380953</v>
      </c>
      <c r="F119" s="159">
        <f t="shared" si="13"/>
        <v>2556097.5581395319</v>
      </c>
      <c r="G119" s="159">
        <f t="shared" si="14"/>
        <v>2614026.4629014367</v>
      </c>
      <c r="H119" s="163">
        <f t="shared" si="15"/>
        <v>433387.41439695068</v>
      </c>
      <c r="I119" s="253">
        <f t="shared" si="16"/>
        <v>433387.41439695068</v>
      </c>
      <c r="J119" s="158">
        <f t="shared" si="17"/>
        <v>0</v>
      </c>
      <c r="K119" s="158"/>
      <c r="L119" s="334"/>
      <c r="M119" s="158">
        <f t="shared" si="18"/>
        <v>0</v>
      </c>
      <c r="N119" s="334"/>
      <c r="O119" s="158">
        <f t="shared" si="19"/>
        <v>0</v>
      </c>
      <c r="P119" s="158">
        <f t="shared" si="20"/>
        <v>0</v>
      </c>
    </row>
    <row r="120" spans="2:16">
      <c r="B120" s="9" t="str">
        <f t="shared" si="11"/>
        <v/>
      </c>
      <c r="C120" s="153">
        <f>IF(D93="","-",+C119+1)</f>
        <v>2035</v>
      </c>
      <c r="D120" s="154">
        <f>IF(F119+SUM(E$99:E119)=D$92,F119,D$92-SUM(E$99:E119))</f>
        <v>2556097.5581395319</v>
      </c>
      <c r="E120" s="160">
        <f t="shared" si="12"/>
        <v>115857.80952380953</v>
      </c>
      <c r="F120" s="159">
        <f t="shared" si="13"/>
        <v>2440239.7486157222</v>
      </c>
      <c r="G120" s="159">
        <f t="shared" si="14"/>
        <v>2498168.653377627</v>
      </c>
      <c r="H120" s="163">
        <f t="shared" si="15"/>
        <v>419313.99739002041</v>
      </c>
      <c r="I120" s="253">
        <f t="shared" si="16"/>
        <v>419313.99739002041</v>
      </c>
      <c r="J120" s="158">
        <f t="shared" si="17"/>
        <v>0</v>
      </c>
      <c r="K120" s="158"/>
      <c r="L120" s="334"/>
      <c r="M120" s="158">
        <f t="shared" si="18"/>
        <v>0</v>
      </c>
      <c r="N120" s="334"/>
      <c r="O120" s="158">
        <f t="shared" si="19"/>
        <v>0</v>
      </c>
      <c r="P120" s="158">
        <f t="shared" si="20"/>
        <v>0</v>
      </c>
    </row>
    <row r="121" spans="2:16">
      <c r="B121" s="9" t="str">
        <f t="shared" si="11"/>
        <v/>
      </c>
      <c r="C121" s="153">
        <f>IF(D93="","-",+C120+1)</f>
        <v>2036</v>
      </c>
      <c r="D121" s="154">
        <f>IF(F120+SUM(E$99:E120)=D$92,F120,D$92-SUM(E$99:E120))</f>
        <v>2440239.7486157222</v>
      </c>
      <c r="E121" s="160">
        <f t="shared" si="12"/>
        <v>115857.80952380953</v>
      </c>
      <c r="F121" s="159">
        <f t="shared" si="13"/>
        <v>2324381.9390919125</v>
      </c>
      <c r="G121" s="159">
        <f t="shared" si="14"/>
        <v>2382310.8438538173</v>
      </c>
      <c r="H121" s="163">
        <f t="shared" si="15"/>
        <v>405240.58038309007</v>
      </c>
      <c r="I121" s="253">
        <f t="shared" si="16"/>
        <v>405240.58038309007</v>
      </c>
      <c r="J121" s="158">
        <f t="shared" si="17"/>
        <v>0</v>
      </c>
      <c r="K121" s="158"/>
      <c r="L121" s="334"/>
      <c r="M121" s="158">
        <f t="shared" si="18"/>
        <v>0</v>
      </c>
      <c r="N121" s="334"/>
      <c r="O121" s="158">
        <f t="shared" si="19"/>
        <v>0</v>
      </c>
      <c r="P121" s="158">
        <f t="shared" si="20"/>
        <v>0</v>
      </c>
    </row>
    <row r="122" spans="2:16">
      <c r="B122" s="9" t="str">
        <f t="shared" si="11"/>
        <v/>
      </c>
      <c r="C122" s="153">
        <f>IF(D93="","-",+C121+1)</f>
        <v>2037</v>
      </c>
      <c r="D122" s="154">
        <f>IF(F121+SUM(E$99:E121)=D$92,F121,D$92-SUM(E$99:E121))</f>
        <v>2324381.9390919125</v>
      </c>
      <c r="E122" s="160">
        <f t="shared" si="12"/>
        <v>115857.80952380953</v>
      </c>
      <c r="F122" s="159">
        <f t="shared" si="13"/>
        <v>2208524.1295681028</v>
      </c>
      <c r="G122" s="159">
        <f t="shared" si="14"/>
        <v>2266453.0343300076</v>
      </c>
      <c r="H122" s="163">
        <f t="shared" si="15"/>
        <v>391167.16337615979</v>
      </c>
      <c r="I122" s="253">
        <f t="shared" si="16"/>
        <v>391167.16337615979</v>
      </c>
      <c r="J122" s="158">
        <f t="shared" si="17"/>
        <v>0</v>
      </c>
      <c r="K122" s="158"/>
      <c r="L122" s="334"/>
      <c r="M122" s="158">
        <f t="shared" si="18"/>
        <v>0</v>
      </c>
      <c r="N122" s="334"/>
      <c r="O122" s="158">
        <f t="shared" si="19"/>
        <v>0</v>
      </c>
      <c r="P122" s="158">
        <f t="shared" si="20"/>
        <v>0</v>
      </c>
    </row>
    <row r="123" spans="2:16">
      <c r="B123" s="9" t="str">
        <f t="shared" si="11"/>
        <v/>
      </c>
      <c r="C123" s="153">
        <f>IF(D93="","-",+C122+1)</f>
        <v>2038</v>
      </c>
      <c r="D123" s="154">
        <f>IF(F122+SUM(E$99:E122)=D$92,F122,D$92-SUM(E$99:E122))</f>
        <v>2208524.1295681028</v>
      </c>
      <c r="E123" s="160">
        <f t="shared" si="12"/>
        <v>115857.80952380953</v>
      </c>
      <c r="F123" s="159">
        <f t="shared" si="13"/>
        <v>2092666.3200442933</v>
      </c>
      <c r="G123" s="159">
        <f t="shared" si="14"/>
        <v>2150595.2248061979</v>
      </c>
      <c r="H123" s="163">
        <f t="shared" si="15"/>
        <v>377093.74636922951</v>
      </c>
      <c r="I123" s="253">
        <f t="shared" si="16"/>
        <v>377093.74636922951</v>
      </c>
      <c r="J123" s="158">
        <f t="shared" si="17"/>
        <v>0</v>
      </c>
      <c r="K123" s="158"/>
      <c r="L123" s="334"/>
      <c r="M123" s="158">
        <f t="shared" si="18"/>
        <v>0</v>
      </c>
      <c r="N123" s="334"/>
      <c r="O123" s="158">
        <f t="shared" si="19"/>
        <v>0</v>
      </c>
      <c r="P123" s="158">
        <f t="shared" si="20"/>
        <v>0</v>
      </c>
    </row>
    <row r="124" spans="2:16">
      <c r="B124" s="9" t="str">
        <f t="shared" si="11"/>
        <v/>
      </c>
      <c r="C124" s="153">
        <f>IF(D93="","-",+C123+1)</f>
        <v>2039</v>
      </c>
      <c r="D124" s="154">
        <f>IF(F123+SUM(E$99:E123)=D$92,F123,D$92-SUM(E$99:E123))</f>
        <v>2092666.3200442933</v>
      </c>
      <c r="E124" s="160">
        <f t="shared" si="12"/>
        <v>115857.80952380953</v>
      </c>
      <c r="F124" s="159">
        <f t="shared" si="13"/>
        <v>1976808.5105204838</v>
      </c>
      <c r="G124" s="159">
        <f t="shared" si="14"/>
        <v>2034737.4152823887</v>
      </c>
      <c r="H124" s="163">
        <f t="shared" si="15"/>
        <v>363020.32936229924</v>
      </c>
      <c r="I124" s="253">
        <f t="shared" si="16"/>
        <v>363020.32936229924</v>
      </c>
      <c r="J124" s="158">
        <f t="shared" si="17"/>
        <v>0</v>
      </c>
      <c r="K124" s="158"/>
      <c r="L124" s="334"/>
      <c r="M124" s="158">
        <f t="shared" si="18"/>
        <v>0</v>
      </c>
      <c r="N124" s="334"/>
      <c r="O124" s="158">
        <f t="shared" si="19"/>
        <v>0</v>
      </c>
      <c r="P124" s="158">
        <f t="shared" si="20"/>
        <v>0</v>
      </c>
    </row>
    <row r="125" spans="2:16">
      <c r="B125" s="9" t="str">
        <f t="shared" si="11"/>
        <v/>
      </c>
      <c r="C125" s="153">
        <f>IF(D93="","-",+C124+1)</f>
        <v>2040</v>
      </c>
      <c r="D125" s="154">
        <f>IF(F124+SUM(E$99:E124)=D$92,F124,D$92-SUM(E$99:E124))</f>
        <v>1976808.5105204838</v>
      </c>
      <c r="E125" s="160">
        <f t="shared" si="12"/>
        <v>115857.80952380953</v>
      </c>
      <c r="F125" s="159">
        <f t="shared" si="13"/>
        <v>1860950.7009966744</v>
      </c>
      <c r="G125" s="159">
        <f t="shared" si="14"/>
        <v>1918879.605758579</v>
      </c>
      <c r="H125" s="163">
        <f t="shared" si="15"/>
        <v>348946.91235536896</v>
      </c>
      <c r="I125" s="253">
        <f t="shared" si="16"/>
        <v>348946.91235536896</v>
      </c>
      <c r="J125" s="158">
        <f t="shared" si="17"/>
        <v>0</v>
      </c>
      <c r="K125" s="158"/>
      <c r="L125" s="334"/>
      <c r="M125" s="158">
        <f t="shared" si="18"/>
        <v>0</v>
      </c>
      <c r="N125" s="334"/>
      <c r="O125" s="158">
        <f t="shared" si="19"/>
        <v>0</v>
      </c>
      <c r="P125" s="158">
        <f t="shared" si="20"/>
        <v>0</v>
      </c>
    </row>
    <row r="126" spans="2:16">
      <c r="B126" s="9" t="str">
        <f t="shared" si="11"/>
        <v/>
      </c>
      <c r="C126" s="153">
        <f>IF(D93="","-",+C125+1)</f>
        <v>2041</v>
      </c>
      <c r="D126" s="154">
        <f>IF(F125+SUM(E$99:E125)=D$92,F125,D$92-SUM(E$99:E125))</f>
        <v>1860950.7009966744</v>
      </c>
      <c r="E126" s="160">
        <f t="shared" si="12"/>
        <v>115857.80952380953</v>
      </c>
      <c r="F126" s="159">
        <f t="shared" si="13"/>
        <v>1745092.8914728649</v>
      </c>
      <c r="G126" s="159">
        <f t="shared" si="14"/>
        <v>1803021.7962347697</v>
      </c>
      <c r="H126" s="163">
        <f t="shared" si="15"/>
        <v>334873.49534843868</v>
      </c>
      <c r="I126" s="253">
        <f t="shared" si="16"/>
        <v>334873.49534843868</v>
      </c>
      <c r="J126" s="158">
        <f t="shared" si="17"/>
        <v>0</v>
      </c>
      <c r="K126" s="158"/>
      <c r="L126" s="334"/>
      <c r="M126" s="158">
        <f t="shared" si="18"/>
        <v>0</v>
      </c>
      <c r="N126" s="334"/>
      <c r="O126" s="158">
        <f t="shared" si="19"/>
        <v>0</v>
      </c>
      <c r="P126" s="158">
        <f t="shared" si="20"/>
        <v>0</v>
      </c>
    </row>
    <row r="127" spans="2:16">
      <c r="B127" s="9" t="str">
        <f t="shared" si="11"/>
        <v/>
      </c>
      <c r="C127" s="153">
        <f>IF(D93="","-",+C126+1)</f>
        <v>2042</v>
      </c>
      <c r="D127" s="154">
        <f>IF(F126+SUM(E$99:E126)=D$92,F126,D$92-SUM(E$99:E126))</f>
        <v>1745092.8914728649</v>
      </c>
      <c r="E127" s="160">
        <f t="shared" si="12"/>
        <v>115857.80952380953</v>
      </c>
      <c r="F127" s="159">
        <f t="shared" si="13"/>
        <v>1629235.0819490554</v>
      </c>
      <c r="G127" s="159">
        <f t="shared" si="14"/>
        <v>1687163.98671096</v>
      </c>
      <c r="H127" s="163">
        <f t="shared" si="15"/>
        <v>320800.0783415084</v>
      </c>
      <c r="I127" s="253">
        <f t="shared" si="16"/>
        <v>320800.0783415084</v>
      </c>
      <c r="J127" s="158">
        <f t="shared" si="17"/>
        <v>0</v>
      </c>
      <c r="K127" s="158"/>
      <c r="L127" s="334"/>
      <c r="M127" s="158">
        <f t="shared" si="18"/>
        <v>0</v>
      </c>
      <c r="N127" s="334"/>
      <c r="O127" s="158">
        <f t="shared" si="19"/>
        <v>0</v>
      </c>
      <c r="P127" s="158">
        <f t="shared" si="20"/>
        <v>0</v>
      </c>
    </row>
    <row r="128" spans="2:16">
      <c r="B128" s="9" t="str">
        <f t="shared" si="11"/>
        <v/>
      </c>
      <c r="C128" s="153">
        <f>IF(D93="","-",+C127+1)</f>
        <v>2043</v>
      </c>
      <c r="D128" s="154">
        <f>IF(F127+SUM(E$99:E127)=D$92,F127,D$92-SUM(E$99:E127))</f>
        <v>1629235.0819490554</v>
      </c>
      <c r="E128" s="160">
        <f t="shared" si="12"/>
        <v>115857.80952380953</v>
      </c>
      <c r="F128" s="159">
        <f t="shared" si="13"/>
        <v>1513377.272425246</v>
      </c>
      <c r="G128" s="159">
        <f t="shared" si="14"/>
        <v>1571306.1771871508</v>
      </c>
      <c r="H128" s="163">
        <f t="shared" si="15"/>
        <v>306726.66133457812</v>
      </c>
      <c r="I128" s="253">
        <f t="shared" si="16"/>
        <v>306726.66133457812</v>
      </c>
      <c r="J128" s="158">
        <f t="shared" si="17"/>
        <v>0</v>
      </c>
      <c r="K128" s="158"/>
      <c r="L128" s="334"/>
      <c r="M128" s="158">
        <f t="shared" si="18"/>
        <v>0</v>
      </c>
      <c r="N128" s="334"/>
      <c r="O128" s="158">
        <f t="shared" si="19"/>
        <v>0</v>
      </c>
      <c r="P128" s="158">
        <f t="shared" si="20"/>
        <v>0</v>
      </c>
    </row>
    <row r="129" spans="2:16">
      <c r="B129" s="9" t="str">
        <f t="shared" si="11"/>
        <v/>
      </c>
      <c r="C129" s="153">
        <f>IF(D93="","-",+C128+1)</f>
        <v>2044</v>
      </c>
      <c r="D129" s="154">
        <f>IF(F128+SUM(E$99:E128)=D$92,F128,D$92-SUM(E$99:E128))</f>
        <v>1513377.272425246</v>
      </c>
      <c r="E129" s="160">
        <f t="shared" si="12"/>
        <v>115857.80952380953</v>
      </c>
      <c r="F129" s="159">
        <f t="shared" si="13"/>
        <v>1397519.4629014365</v>
      </c>
      <c r="G129" s="159">
        <f t="shared" si="14"/>
        <v>1455448.3676633411</v>
      </c>
      <c r="H129" s="163">
        <f t="shared" si="15"/>
        <v>292653.24432764784</v>
      </c>
      <c r="I129" s="253">
        <f t="shared" si="16"/>
        <v>292653.24432764784</v>
      </c>
      <c r="J129" s="158">
        <f t="shared" si="17"/>
        <v>0</v>
      </c>
      <c r="K129" s="158"/>
      <c r="L129" s="334"/>
      <c r="M129" s="158">
        <f t="shared" si="18"/>
        <v>0</v>
      </c>
      <c r="N129" s="334"/>
      <c r="O129" s="158">
        <f t="shared" si="19"/>
        <v>0</v>
      </c>
      <c r="P129" s="158">
        <f t="shared" si="20"/>
        <v>0</v>
      </c>
    </row>
    <row r="130" spans="2:16">
      <c r="B130" s="9" t="str">
        <f t="shared" si="11"/>
        <v/>
      </c>
      <c r="C130" s="153">
        <f>IF(D93="","-",+C129+1)</f>
        <v>2045</v>
      </c>
      <c r="D130" s="154">
        <f>IF(F129+SUM(E$99:E129)=D$92,F129,D$92-SUM(E$99:E129))</f>
        <v>1397519.4629014365</v>
      </c>
      <c r="E130" s="160">
        <f t="shared" si="12"/>
        <v>115857.80952380953</v>
      </c>
      <c r="F130" s="159">
        <f t="shared" si="13"/>
        <v>1281661.653377627</v>
      </c>
      <c r="G130" s="159">
        <f t="shared" si="14"/>
        <v>1339590.5581395319</v>
      </c>
      <c r="H130" s="163">
        <f t="shared" si="15"/>
        <v>278579.82732071757</v>
      </c>
      <c r="I130" s="253">
        <f t="shared" si="16"/>
        <v>278579.82732071757</v>
      </c>
      <c r="J130" s="158">
        <f t="shared" si="17"/>
        <v>0</v>
      </c>
      <c r="K130" s="158"/>
      <c r="L130" s="334"/>
      <c r="M130" s="158">
        <f t="shared" si="18"/>
        <v>0</v>
      </c>
      <c r="N130" s="334"/>
      <c r="O130" s="158">
        <f t="shared" si="19"/>
        <v>0</v>
      </c>
      <c r="P130" s="158">
        <f t="shared" si="20"/>
        <v>0</v>
      </c>
    </row>
    <row r="131" spans="2:16">
      <c r="B131" s="9" t="str">
        <f t="shared" si="11"/>
        <v/>
      </c>
      <c r="C131" s="153">
        <f>IF(D93="","-",+C130+1)</f>
        <v>2046</v>
      </c>
      <c r="D131" s="154">
        <f>IF(F130+SUM(E$99:E130)=D$92,F130,D$92-SUM(E$99:E130))</f>
        <v>1281661.653377627</v>
      </c>
      <c r="E131" s="160">
        <f t="shared" si="12"/>
        <v>115857.80952380953</v>
      </c>
      <c r="F131" s="159">
        <f t="shared" si="13"/>
        <v>1165803.8438538176</v>
      </c>
      <c r="G131" s="159">
        <f t="shared" si="14"/>
        <v>1223732.7486157222</v>
      </c>
      <c r="H131" s="163">
        <f t="shared" si="15"/>
        <v>264506.41031378729</v>
      </c>
      <c r="I131" s="253">
        <f t="shared" si="16"/>
        <v>264506.41031378729</v>
      </c>
      <c r="J131" s="158">
        <f t="shared" si="17"/>
        <v>0</v>
      </c>
      <c r="K131" s="158"/>
      <c r="L131" s="334"/>
      <c r="M131" s="158">
        <f t="shared" ref="M131:M154" si="21">IF(L541&lt;&gt;0,+H541-L541,0)</f>
        <v>0</v>
      </c>
      <c r="N131" s="334"/>
      <c r="O131" s="158">
        <f t="shared" ref="O131:O154" si="22">IF(N541&lt;&gt;0,+I541-N541,0)</f>
        <v>0</v>
      </c>
      <c r="P131" s="158">
        <f t="shared" ref="P131:P154" si="23">+O541-M541</f>
        <v>0</v>
      </c>
    </row>
    <row r="132" spans="2:16">
      <c r="B132" s="9" t="str">
        <f t="shared" si="11"/>
        <v/>
      </c>
      <c r="C132" s="153">
        <f>IF(D93="","-",+C131+1)</f>
        <v>2047</v>
      </c>
      <c r="D132" s="154">
        <f>IF(F131+SUM(E$99:E131)=D$92,F131,D$92-SUM(E$99:E131))</f>
        <v>1165803.8438538176</v>
      </c>
      <c r="E132" s="160">
        <f t="shared" si="12"/>
        <v>115857.80952380953</v>
      </c>
      <c r="F132" s="159">
        <f t="shared" si="13"/>
        <v>1049946.0343300081</v>
      </c>
      <c r="G132" s="159">
        <f t="shared" si="14"/>
        <v>1107874.9390919129</v>
      </c>
      <c r="H132" s="163">
        <f t="shared" si="15"/>
        <v>250432.99330685704</v>
      </c>
      <c r="I132" s="253">
        <f t="shared" si="16"/>
        <v>250432.99330685704</v>
      </c>
      <c r="J132" s="158">
        <f t="shared" si="17"/>
        <v>0</v>
      </c>
      <c r="K132" s="158"/>
      <c r="L132" s="334"/>
      <c r="M132" s="158">
        <f t="shared" si="21"/>
        <v>0</v>
      </c>
      <c r="N132" s="334"/>
      <c r="O132" s="158">
        <f t="shared" si="22"/>
        <v>0</v>
      </c>
      <c r="P132" s="158">
        <f t="shared" si="23"/>
        <v>0</v>
      </c>
    </row>
    <row r="133" spans="2:16">
      <c r="B133" s="9" t="str">
        <f t="shared" si="11"/>
        <v/>
      </c>
      <c r="C133" s="153">
        <f>IF(D93="","-",+C132+1)</f>
        <v>2048</v>
      </c>
      <c r="D133" s="154">
        <f>IF(F132+SUM(E$99:E132)=D$92,F132,D$92-SUM(E$99:E132))</f>
        <v>1049946.0343300081</v>
      </c>
      <c r="E133" s="160">
        <f t="shared" si="12"/>
        <v>115857.80952380953</v>
      </c>
      <c r="F133" s="159">
        <f t="shared" si="13"/>
        <v>934088.22480619862</v>
      </c>
      <c r="G133" s="159">
        <f t="shared" si="14"/>
        <v>992017.12956810335</v>
      </c>
      <c r="H133" s="163">
        <f t="shared" si="15"/>
        <v>236359.57629992673</v>
      </c>
      <c r="I133" s="253">
        <f t="shared" si="16"/>
        <v>236359.57629992673</v>
      </c>
      <c r="J133" s="158">
        <f t="shared" si="17"/>
        <v>0</v>
      </c>
      <c r="K133" s="158"/>
      <c r="L133" s="334"/>
      <c r="M133" s="158">
        <f t="shared" si="21"/>
        <v>0</v>
      </c>
      <c r="N133" s="334"/>
      <c r="O133" s="158">
        <f t="shared" si="22"/>
        <v>0</v>
      </c>
      <c r="P133" s="158">
        <f t="shared" si="23"/>
        <v>0</v>
      </c>
    </row>
    <row r="134" spans="2:16">
      <c r="B134" s="9" t="str">
        <f t="shared" si="11"/>
        <v/>
      </c>
      <c r="C134" s="153">
        <f>IF(D93="","-",+C133+1)</f>
        <v>2049</v>
      </c>
      <c r="D134" s="154">
        <f>IF(F133+SUM(E$99:E133)=D$92,F133,D$92-SUM(E$99:E133))</f>
        <v>934088.22480619862</v>
      </c>
      <c r="E134" s="160">
        <f t="shared" si="12"/>
        <v>115857.80952380953</v>
      </c>
      <c r="F134" s="159">
        <f t="shared" si="13"/>
        <v>818230.41528238915</v>
      </c>
      <c r="G134" s="159">
        <f t="shared" si="14"/>
        <v>876159.32004429388</v>
      </c>
      <c r="H134" s="163">
        <f t="shared" si="15"/>
        <v>222286.15929299645</v>
      </c>
      <c r="I134" s="253">
        <f t="shared" si="16"/>
        <v>222286.15929299645</v>
      </c>
      <c r="J134" s="158">
        <f t="shared" si="17"/>
        <v>0</v>
      </c>
      <c r="K134" s="158"/>
      <c r="L134" s="334"/>
      <c r="M134" s="158">
        <f t="shared" si="21"/>
        <v>0</v>
      </c>
      <c r="N134" s="334"/>
      <c r="O134" s="158">
        <f t="shared" si="22"/>
        <v>0</v>
      </c>
      <c r="P134" s="158">
        <f t="shared" si="23"/>
        <v>0</v>
      </c>
    </row>
    <row r="135" spans="2:16">
      <c r="B135" s="9" t="str">
        <f t="shared" si="11"/>
        <v/>
      </c>
      <c r="C135" s="153">
        <f>IF(D93="","-",+C134+1)</f>
        <v>2050</v>
      </c>
      <c r="D135" s="154">
        <f>IF(F134+SUM(E$99:E134)=D$92,F134,D$92-SUM(E$99:E134))</f>
        <v>818230.41528238915</v>
      </c>
      <c r="E135" s="160">
        <f t="shared" si="12"/>
        <v>115857.80952380953</v>
      </c>
      <c r="F135" s="159">
        <f t="shared" si="13"/>
        <v>702372.60575857968</v>
      </c>
      <c r="G135" s="159">
        <f t="shared" si="14"/>
        <v>760301.51052048441</v>
      </c>
      <c r="H135" s="163">
        <f t="shared" si="15"/>
        <v>208212.74228606618</v>
      </c>
      <c r="I135" s="253">
        <f t="shared" si="16"/>
        <v>208212.74228606618</v>
      </c>
      <c r="J135" s="158">
        <f t="shared" si="17"/>
        <v>0</v>
      </c>
      <c r="K135" s="158"/>
      <c r="L135" s="334"/>
      <c r="M135" s="158">
        <f t="shared" si="21"/>
        <v>0</v>
      </c>
      <c r="N135" s="334"/>
      <c r="O135" s="158">
        <f t="shared" si="22"/>
        <v>0</v>
      </c>
      <c r="P135" s="158">
        <f t="shared" si="23"/>
        <v>0</v>
      </c>
    </row>
    <row r="136" spans="2:16">
      <c r="B136" s="9" t="str">
        <f t="shared" si="11"/>
        <v/>
      </c>
      <c r="C136" s="153">
        <f>IF(D93="","-",+C135+1)</f>
        <v>2051</v>
      </c>
      <c r="D136" s="154">
        <f>IF(F135+SUM(E$99:E135)=D$92,F135,D$92-SUM(E$99:E135))</f>
        <v>702372.60575857968</v>
      </c>
      <c r="E136" s="160">
        <f t="shared" si="12"/>
        <v>115857.80952380953</v>
      </c>
      <c r="F136" s="159">
        <f t="shared" si="13"/>
        <v>586514.79623477021</v>
      </c>
      <c r="G136" s="159">
        <f t="shared" si="14"/>
        <v>644443.70099667495</v>
      </c>
      <c r="H136" s="163">
        <f t="shared" si="15"/>
        <v>194139.3252791359</v>
      </c>
      <c r="I136" s="253">
        <f t="shared" si="16"/>
        <v>194139.3252791359</v>
      </c>
      <c r="J136" s="158">
        <f t="shared" si="17"/>
        <v>0</v>
      </c>
      <c r="K136" s="158"/>
      <c r="L136" s="334"/>
      <c r="M136" s="158">
        <f t="shared" si="21"/>
        <v>0</v>
      </c>
      <c r="N136" s="334"/>
      <c r="O136" s="158">
        <f t="shared" si="22"/>
        <v>0</v>
      </c>
      <c r="P136" s="158">
        <f t="shared" si="23"/>
        <v>0</v>
      </c>
    </row>
    <row r="137" spans="2:16">
      <c r="B137" s="9" t="str">
        <f t="shared" si="11"/>
        <v/>
      </c>
      <c r="C137" s="153">
        <f>IF(D93="","-",+C136+1)</f>
        <v>2052</v>
      </c>
      <c r="D137" s="154">
        <f>IF(F136+SUM(E$99:E136)=D$92,F136,D$92-SUM(E$99:E136))</f>
        <v>586514.79623477021</v>
      </c>
      <c r="E137" s="160">
        <f t="shared" si="12"/>
        <v>115857.80952380953</v>
      </c>
      <c r="F137" s="159">
        <f t="shared" si="13"/>
        <v>470656.98671096069</v>
      </c>
      <c r="G137" s="159">
        <f t="shared" si="14"/>
        <v>528585.89147286548</v>
      </c>
      <c r="H137" s="163">
        <f t="shared" si="15"/>
        <v>180065.90827220562</v>
      </c>
      <c r="I137" s="253">
        <f t="shared" si="16"/>
        <v>180065.90827220562</v>
      </c>
      <c r="J137" s="158">
        <f t="shared" si="17"/>
        <v>0</v>
      </c>
      <c r="K137" s="158"/>
      <c r="L137" s="334"/>
      <c r="M137" s="158">
        <f t="shared" si="21"/>
        <v>0</v>
      </c>
      <c r="N137" s="334"/>
      <c r="O137" s="158">
        <f t="shared" si="22"/>
        <v>0</v>
      </c>
      <c r="P137" s="158">
        <f t="shared" si="23"/>
        <v>0</v>
      </c>
    </row>
    <row r="138" spans="2:16">
      <c r="B138" s="9" t="str">
        <f t="shared" si="11"/>
        <v/>
      </c>
      <c r="C138" s="153">
        <f>IF(D93="","-",+C137+1)</f>
        <v>2053</v>
      </c>
      <c r="D138" s="154">
        <f>IF(F137+SUM(E$99:E137)=D$92,F137,D$92-SUM(E$99:E137))</f>
        <v>470656.98671096069</v>
      </c>
      <c r="E138" s="160">
        <f t="shared" si="12"/>
        <v>115857.80952380953</v>
      </c>
      <c r="F138" s="159">
        <f t="shared" si="13"/>
        <v>354799.17718715116</v>
      </c>
      <c r="G138" s="159">
        <f t="shared" si="14"/>
        <v>412728.08194905589</v>
      </c>
      <c r="H138" s="163">
        <f t="shared" si="15"/>
        <v>165992.49126527534</v>
      </c>
      <c r="I138" s="253">
        <f t="shared" si="16"/>
        <v>165992.49126527534</v>
      </c>
      <c r="J138" s="158">
        <f t="shared" si="17"/>
        <v>0</v>
      </c>
      <c r="K138" s="158"/>
      <c r="L138" s="334"/>
      <c r="M138" s="158">
        <f t="shared" si="21"/>
        <v>0</v>
      </c>
      <c r="N138" s="334"/>
      <c r="O138" s="158">
        <f t="shared" si="22"/>
        <v>0</v>
      </c>
      <c r="P138" s="158">
        <f t="shared" si="23"/>
        <v>0</v>
      </c>
    </row>
    <row r="139" spans="2:16">
      <c r="B139" s="9" t="str">
        <f t="shared" si="11"/>
        <v/>
      </c>
      <c r="C139" s="153">
        <f>IF(D93="","-",+C138+1)</f>
        <v>2054</v>
      </c>
      <c r="D139" s="154">
        <f>IF(F138+SUM(E$99:E138)=D$92,F138,D$92-SUM(E$99:E138))</f>
        <v>354799.17718715116</v>
      </c>
      <c r="E139" s="160">
        <f t="shared" si="12"/>
        <v>115857.80952380953</v>
      </c>
      <c r="F139" s="159">
        <f t="shared" si="13"/>
        <v>238941.36766334163</v>
      </c>
      <c r="G139" s="159">
        <f t="shared" si="14"/>
        <v>296870.27242524642</v>
      </c>
      <c r="H139" s="163">
        <f t="shared" si="15"/>
        <v>151919.07425834506</v>
      </c>
      <c r="I139" s="253">
        <f t="shared" si="16"/>
        <v>151919.07425834506</v>
      </c>
      <c r="J139" s="158">
        <f t="shared" si="17"/>
        <v>0</v>
      </c>
      <c r="K139" s="158"/>
      <c r="L139" s="334"/>
      <c r="M139" s="158">
        <f t="shared" si="21"/>
        <v>0</v>
      </c>
      <c r="N139" s="334"/>
      <c r="O139" s="158">
        <f t="shared" si="22"/>
        <v>0</v>
      </c>
      <c r="P139" s="158">
        <f t="shared" si="23"/>
        <v>0</v>
      </c>
    </row>
    <row r="140" spans="2:16">
      <c r="B140" s="9" t="str">
        <f t="shared" si="11"/>
        <v/>
      </c>
      <c r="C140" s="153">
        <f>IF(D93="","-",+C139+1)</f>
        <v>2055</v>
      </c>
      <c r="D140" s="154">
        <f>IF(F139+SUM(E$99:E139)=D$92,F139,D$92-SUM(E$99:E139))</f>
        <v>238941.36766334163</v>
      </c>
      <c r="E140" s="160">
        <f t="shared" si="12"/>
        <v>115857.80952380953</v>
      </c>
      <c r="F140" s="159">
        <f t="shared" si="13"/>
        <v>123083.55813953211</v>
      </c>
      <c r="G140" s="159">
        <f t="shared" si="14"/>
        <v>181012.46290143687</v>
      </c>
      <c r="H140" s="163">
        <f t="shared" si="15"/>
        <v>137845.65725141478</v>
      </c>
      <c r="I140" s="253">
        <f t="shared" si="16"/>
        <v>137845.65725141478</v>
      </c>
      <c r="J140" s="158">
        <f t="shared" si="17"/>
        <v>0</v>
      </c>
      <c r="K140" s="158"/>
      <c r="L140" s="334"/>
      <c r="M140" s="158">
        <f t="shared" si="21"/>
        <v>0</v>
      </c>
      <c r="N140" s="334"/>
      <c r="O140" s="158">
        <f t="shared" si="22"/>
        <v>0</v>
      </c>
      <c r="P140" s="158">
        <f t="shared" si="23"/>
        <v>0</v>
      </c>
    </row>
    <row r="141" spans="2:16">
      <c r="B141" s="9" t="str">
        <f t="shared" si="11"/>
        <v/>
      </c>
      <c r="C141" s="153">
        <f>IF(D93="","-",+C140+1)</f>
        <v>2056</v>
      </c>
      <c r="D141" s="154">
        <f>IF(F140+SUM(E$99:E140)=D$92,F140,D$92-SUM(E$99:E140))</f>
        <v>123083.55813953211</v>
      </c>
      <c r="E141" s="160">
        <f t="shared" si="12"/>
        <v>115857.80952380953</v>
      </c>
      <c r="F141" s="159">
        <f t="shared" si="13"/>
        <v>7225.7486157225794</v>
      </c>
      <c r="G141" s="159">
        <f t="shared" si="14"/>
        <v>65154.653377627343</v>
      </c>
      <c r="H141" s="163">
        <f t="shared" si="15"/>
        <v>123772.24024448451</v>
      </c>
      <c r="I141" s="253">
        <f t="shared" si="16"/>
        <v>123772.24024448451</v>
      </c>
      <c r="J141" s="158">
        <f t="shared" si="17"/>
        <v>0</v>
      </c>
      <c r="K141" s="158"/>
      <c r="L141" s="334"/>
      <c r="M141" s="158">
        <f t="shared" si="21"/>
        <v>0</v>
      </c>
      <c r="N141" s="334"/>
      <c r="O141" s="158">
        <f t="shared" si="22"/>
        <v>0</v>
      </c>
      <c r="P141" s="158">
        <f t="shared" si="23"/>
        <v>0</v>
      </c>
    </row>
    <row r="142" spans="2:16">
      <c r="B142" s="9" t="str">
        <f t="shared" si="11"/>
        <v/>
      </c>
      <c r="C142" s="153">
        <f>IF(D93="","-",+C141+1)</f>
        <v>2057</v>
      </c>
      <c r="D142" s="154">
        <f>IF(F141+SUM(E$99:E141)=D$92,F141,D$92-SUM(E$99:E141))</f>
        <v>7225.7486157225794</v>
      </c>
      <c r="E142" s="160">
        <f t="shared" si="12"/>
        <v>7225.7486157225794</v>
      </c>
      <c r="F142" s="159">
        <f t="shared" si="13"/>
        <v>0</v>
      </c>
      <c r="G142" s="159">
        <f t="shared" si="14"/>
        <v>3612.8743078612897</v>
      </c>
      <c r="H142" s="163">
        <f t="shared" si="15"/>
        <v>7664.609724327498</v>
      </c>
      <c r="I142" s="253">
        <f t="shared" si="16"/>
        <v>7664.609724327498</v>
      </c>
      <c r="J142" s="158">
        <f t="shared" si="17"/>
        <v>0</v>
      </c>
      <c r="K142" s="158"/>
      <c r="L142" s="334"/>
      <c r="M142" s="158">
        <f t="shared" si="21"/>
        <v>0</v>
      </c>
      <c r="N142" s="334"/>
      <c r="O142" s="158">
        <f t="shared" si="22"/>
        <v>0</v>
      </c>
      <c r="P142" s="158">
        <f t="shared" si="23"/>
        <v>0</v>
      </c>
    </row>
    <row r="143" spans="2:16">
      <c r="B143" s="9" t="str">
        <f t="shared" si="11"/>
        <v/>
      </c>
      <c r="C143" s="153">
        <f>IF(D93="","-",+C142+1)</f>
        <v>2058</v>
      </c>
      <c r="D143" s="154">
        <f>IF(F142+SUM(E$99:E142)=D$92,F142,D$92-SUM(E$99:E142))</f>
        <v>0</v>
      </c>
      <c r="E143" s="160">
        <f t="shared" si="12"/>
        <v>0</v>
      </c>
      <c r="F143" s="159">
        <f t="shared" si="13"/>
        <v>0</v>
      </c>
      <c r="G143" s="159">
        <f t="shared" si="14"/>
        <v>0</v>
      </c>
      <c r="H143" s="163">
        <f t="shared" si="15"/>
        <v>0</v>
      </c>
      <c r="I143" s="253">
        <f t="shared" si="16"/>
        <v>0</v>
      </c>
      <c r="J143" s="158">
        <f t="shared" si="17"/>
        <v>0</v>
      </c>
      <c r="K143" s="158"/>
      <c r="L143" s="334"/>
      <c r="M143" s="158">
        <f t="shared" si="21"/>
        <v>0</v>
      </c>
      <c r="N143" s="334"/>
      <c r="O143" s="158">
        <f t="shared" si="22"/>
        <v>0</v>
      </c>
      <c r="P143" s="158">
        <f t="shared" si="23"/>
        <v>0</v>
      </c>
    </row>
    <row r="144" spans="2:16">
      <c r="B144" s="9" t="str">
        <f t="shared" si="11"/>
        <v/>
      </c>
      <c r="C144" s="153">
        <f>IF(D93="","-",+C143+1)</f>
        <v>2059</v>
      </c>
      <c r="D144" s="154">
        <f>IF(F143+SUM(E$99:E143)=D$92,F143,D$92-SUM(E$99:E143))</f>
        <v>0</v>
      </c>
      <c r="E144" s="160">
        <f t="shared" si="12"/>
        <v>0</v>
      </c>
      <c r="F144" s="159">
        <f t="shared" si="13"/>
        <v>0</v>
      </c>
      <c r="G144" s="159">
        <f t="shared" si="14"/>
        <v>0</v>
      </c>
      <c r="H144" s="163">
        <f t="shared" si="15"/>
        <v>0</v>
      </c>
      <c r="I144" s="253">
        <f t="shared" si="16"/>
        <v>0</v>
      </c>
      <c r="J144" s="158">
        <f t="shared" si="17"/>
        <v>0</v>
      </c>
      <c r="K144" s="158"/>
      <c r="L144" s="334"/>
      <c r="M144" s="158">
        <f t="shared" si="21"/>
        <v>0</v>
      </c>
      <c r="N144" s="334"/>
      <c r="O144" s="158">
        <f t="shared" si="22"/>
        <v>0</v>
      </c>
      <c r="P144" s="158">
        <f t="shared" si="23"/>
        <v>0</v>
      </c>
    </row>
    <row r="145" spans="2:16">
      <c r="B145" s="9" t="str">
        <f t="shared" si="11"/>
        <v/>
      </c>
      <c r="C145" s="153">
        <f>IF(D93="","-",+C144+1)</f>
        <v>2060</v>
      </c>
      <c r="D145" s="154">
        <f>IF(F144+SUM(E$99:E144)=D$92,F144,D$92-SUM(E$99:E144))</f>
        <v>0</v>
      </c>
      <c r="E145" s="160">
        <f t="shared" si="12"/>
        <v>0</v>
      </c>
      <c r="F145" s="159">
        <f t="shared" si="13"/>
        <v>0</v>
      </c>
      <c r="G145" s="159">
        <f t="shared" si="14"/>
        <v>0</v>
      </c>
      <c r="H145" s="163">
        <f t="shared" si="15"/>
        <v>0</v>
      </c>
      <c r="I145" s="253">
        <f t="shared" si="16"/>
        <v>0</v>
      </c>
      <c r="J145" s="158">
        <f t="shared" si="17"/>
        <v>0</v>
      </c>
      <c r="K145" s="158"/>
      <c r="L145" s="334"/>
      <c r="M145" s="158">
        <f t="shared" si="21"/>
        <v>0</v>
      </c>
      <c r="N145" s="334"/>
      <c r="O145" s="158">
        <f t="shared" si="22"/>
        <v>0</v>
      </c>
      <c r="P145" s="158">
        <f t="shared" si="23"/>
        <v>0</v>
      </c>
    </row>
    <row r="146" spans="2:16">
      <c r="B146" s="9" t="str">
        <f t="shared" si="11"/>
        <v/>
      </c>
      <c r="C146" s="153">
        <f>IF(D93="","-",+C145+1)</f>
        <v>2061</v>
      </c>
      <c r="D146" s="154">
        <f>IF(F145+SUM(E$99:E145)=D$92,F145,D$92-SUM(E$99:E145))</f>
        <v>0</v>
      </c>
      <c r="E146" s="160">
        <f t="shared" si="12"/>
        <v>0</v>
      </c>
      <c r="F146" s="159">
        <f t="shared" si="13"/>
        <v>0</v>
      </c>
      <c r="G146" s="159">
        <f t="shared" si="14"/>
        <v>0</v>
      </c>
      <c r="H146" s="163">
        <f t="shared" si="15"/>
        <v>0</v>
      </c>
      <c r="I146" s="253">
        <f t="shared" si="16"/>
        <v>0</v>
      </c>
      <c r="J146" s="158">
        <f t="shared" si="17"/>
        <v>0</v>
      </c>
      <c r="K146" s="158"/>
      <c r="L146" s="334"/>
      <c r="M146" s="158">
        <f t="shared" si="21"/>
        <v>0</v>
      </c>
      <c r="N146" s="334"/>
      <c r="O146" s="158">
        <f t="shared" si="22"/>
        <v>0</v>
      </c>
      <c r="P146" s="158">
        <f t="shared" si="23"/>
        <v>0</v>
      </c>
    </row>
    <row r="147" spans="2:16">
      <c r="B147" s="9" t="str">
        <f t="shared" si="11"/>
        <v/>
      </c>
      <c r="C147" s="153">
        <f>IF(D93="","-",+C146+1)</f>
        <v>2062</v>
      </c>
      <c r="D147" s="154">
        <f>IF(F146+SUM(E$99:E146)=D$92,F146,D$92-SUM(E$99:E146))</f>
        <v>0</v>
      </c>
      <c r="E147" s="160">
        <f t="shared" si="12"/>
        <v>0</v>
      </c>
      <c r="F147" s="159">
        <f t="shared" si="13"/>
        <v>0</v>
      </c>
      <c r="G147" s="159">
        <f t="shared" si="14"/>
        <v>0</v>
      </c>
      <c r="H147" s="163">
        <f t="shared" si="15"/>
        <v>0</v>
      </c>
      <c r="I147" s="253">
        <f t="shared" si="16"/>
        <v>0</v>
      </c>
      <c r="J147" s="158">
        <f t="shared" si="17"/>
        <v>0</v>
      </c>
      <c r="K147" s="158"/>
      <c r="L147" s="334"/>
      <c r="M147" s="158">
        <f t="shared" si="21"/>
        <v>0</v>
      </c>
      <c r="N147" s="334"/>
      <c r="O147" s="158">
        <f t="shared" si="22"/>
        <v>0</v>
      </c>
      <c r="P147" s="158">
        <f t="shared" si="23"/>
        <v>0</v>
      </c>
    </row>
    <row r="148" spans="2:16">
      <c r="B148" s="9" t="str">
        <f t="shared" si="11"/>
        <v/>
      </c>
      <c r="C148" s="153">
        <f>IF(D93="","-",+C147+1)</f>
        <v>2063</v>
      </c>
      <c r="D148" s="154">
        <f>IF(F147+SUM(E$99:E147)=D$92,F147,D$92-SUM(E$99:E147))</f>
        <v>0</v>
      </c>
      <c r="E148" s="160">
        <f t="shared" si="12"/>
        <v>0</v>
      </c>
      <c r="F148" s="159">
        <f t="shared" si="13"/>
        <v>0</v>
      </c>
      <c r="G148" s="159">
        <f t="shared" si="14"/>
        <v>0</v>
      </c>
      <c r="H148" s="163">
        <f t="shared" si="15"/>
        <v>0</v>
      </c>
      <c r="I148" s="253">
        <f t="shared" si="16"/>
        <v>0</v>
      </c>
      <c r="J148" s="158">
        <f t="shared" si="17"/>
        <v>0</v>
      </c>
      <c r="K148" s="158"/>
      <c r="L148" s="334"/>
      <c r="M148" s="158">
        <f t="shared" si="21"/>
        <v>0</v>
      </c>
      <c r="N148" s="334"/>
      <c r="O148" s="158">
        <f t="shared" si="22"/>
        <v>0</v>
      </c>
      <c r="P148" s="158">
        <f t="shared" si="23"/>
        <v>0</v>
      </c>
    </row>
    <row r="149" spans="2:16">
      <c r="B149" s="9" t="str">
        <f t="shared" si="11"/>
        <v/>
      </c>
      <c r="C149" s="153">
        <f>IF(D93="","-",+C148+1)</f>
        <v>2064</v>
      </c>
      <c r="D149" s="154">
        <f>IF(F148+SUM(E$99:E148)=D$92,F148,D$92-SUM(E$99:E148))</f>
        <v>0</v>
      </c>
      <c r="E149" s="160">
        <f t="shared" si="12"/>
        <v>0</v>
      </c>
      <c r="F149" s="159">
        <f t="shared" si="13"/>
        <v>0</v>
      </c>
      <c r="G149" s="159">
        <f t="shared" si="14"/>
        <v>0</v>
      </c>
      <c r="H149" s="163">
        <f t="shared" si="15"/>
        <v>0</v>
      </c>
      <c r="I149" s="253">
        <f t="shared" si="16"/>
        <v>0</v>
      </c>
      <c r="J149" s="158">
        <f t="shared" si="17"/>
        <v>0</v>
      </c>
      <c r="K149" s="158"/>
      <c r="L149" s="334"/>
      <c r="M149" s="158">
        <f t="shared" si="21"/>
        <v>0</v>
      </c>
      <c r="N149" s="334"/>
      <c r="O149" s="158">
        <f t="shared" si="22"/>
        <v>0</v>
      </c>
      <c r="P149" s="158">
        <f t="shared" si="23"/>
        <v>0</v>
      </c>
    </row>
    <row r="150" spans="2:16">
      <c r="B150" s="9" t="str">
        <f t="shared" si="11"/>
        <v/>
      </c>
      <c r="C150" s="153">
        <f>IF(D93="","-",+C149+1)</f>
        <v>2065</v>
      </c>
      <c r="D150" s="154">
        <f>IF(F149+SUM(E$99:E149)=D$92,F149,D$92-SUM(E$99:E149))</f>
        <v>0</v>
      </c>
      <c r="E150" s="160">
        <f t="shared" si="12"/>
        <v>0</v>
      </c>
      <c r="F150" s="159">
        <f t="shared" si="13"/>
        <v>0</v>
      </c>
      <c r="G150" s="159">
        <f t="shared" si="14"/>
        <v>0</v>
      </c>
      <c r="H150" s="163">
        <f t="shared" si="15"/>
        <v>0</v>
      </c>
      <c r="I150" s="253">
        <f t="shared" si="16"/>
        <v>0</v>
      </c>
      <c r="J150" s="158">
        <f t="shared" si="17"/>
        <v>0</v>
      </c>
      <c r="K150" s="158"/>
      <c r="L150" s="334"/>
      <c r="M150" s="158">
        <f t="shared" si="21"/>
        <v>0</v>
      </c>
      <c r="N150" s="334"/>
      <c r="O150" s="158">
        <f t="shared" si="22"/>
        <v>0</v>
      </c>
      <c r="P150" s="158">
        <f t="shared" si="23"/>
        <v>0</v>
      </c>
    </row>
    <row r="151" spans="2:16">
      <c r="B151" s="9" t="str">
        <f t="shared" si="11"/>
        <v/>
      </c>
      <c r="C151" s="153">
        <f>IF(D93="","-",+C150+1)</f>
        <v>2066</v>
      </c>
      <c r="D151" s="154">
        <f>IF(F150+SUM(E$99:E150)=D$92,F150,D$92-SUM(E$99:E150))</f>
        <v>0</v>
      </c>
      <c r="E151" s="160">
        <f t="shared" si="12"/>
        <v>0</v>
      </c>
      <c r="F151" s="159">
        <f t="shared" si="13"/>
        <v>0</v>
      </c>
      <c r="G151" s="159">
        <f t="shared" si="14"/>
        <v>0</v>
      </c>
      <c r="H151" s="163">
        <f t="shared" si="15"/>
        <v>0</v>
      </c>
      <c r="I151" s="253">
        <f t="shared" si="16"/>
        <v>0</v>
      </c>
      <c r="J151" s="158">
        <f t="shared" si="17"/>
        <v>0</v>
      </c>
      <c r="K151" s="158"/>
      <c r="L151" s="334"/>
      <c r="M151" s="158">
        <f t="shared" si="21"/>
        <v>0</v>
      </c>
      <c r="N151" s="334"/>
      <c r="O151" s="158">
        <f t="shared" si="22"/>
        <v>0</v>
      </c>
      <c r="P151" s="158">
        <f t="shared" si="23"/>
        <v>0</v>
      </c>
    </row>
    <row r="152" spans="2:16">
      <c r="B152" s="9" t="str">
        <f t="shared" si="11"/>
        <v/>
      </c>
      <c r="C152" s="153">
        <f>IF(D93="","-",+C151+1)</f>
        <v>2067</v>
      </c>
      <c r="D152" s="154">
        <f>IF(F151+SUM(E$99:E151)=D$92,F151,D$92-SUM(E$99:E151))</f>
        <v>0</v>
      </c>
      <c r="E152" s="160">
        <f t="shared" si="12"/>
        <v>0</v>
      </c>
      <c r="F152" s="159">
        <f t="shared" si="13"/>
        <v>0</v>
      </c>
      <c r="G152" s="159">
        <f t="shared" si="14"/>
        <v>0</v>
      </c>
      <c r="H152" s="163">
        <f t="shared" si="15"/>
        <v>0</v>
      </c>
      <c r="I152" s="253">
        <f t="shared" si="16"/>
        <v>0</v>
      </c>
      <c r="J152" s="158">
        <f t="shared" si="17"/>
        <v>0</v>
      </c>
      <c r="K152" s="158"/>
      <c r="L152" s="334"/>
      <c r="M152" s="158">
        <f t="shared" si="21"/>
        <v>0</v>
      </c>
      <c r="N152" s="334"/>
      <c r="O152" s="158">
        <f t="shared" si="22"/>
        <v>0</v>
      </c>
      <c r="P152" s="158">
        <f t="shared" si="23"/>
        <v>0</v>
      </c>
    </row>
    <row r="153" spans="2:16">
      <c r="B153" s="9" t="str">
        <f t="shared" si="11"/>
        <v/>
      </c>
      <c r="C153" s="153">
        <f>IF(D93="","-",+C152+1)</f>
        <v>2068</v>
      </c>
      <c r="D153" s="154">
        <f>IF(F152+SUM(E$99:E152)=D$92,F152,D$92-SUM(E$99:E152))</f>
        <v>0</v>
      </c>
      <c r="E153" s="160">
        <f t="shared" si="12"/>
        <v>0</v>
      </c>
      <c r="F153" s="159">
        <f t="shared" si="13"/>
        <v>0</v>
      </c>
      <c r="G153" s="159">
        <f t="shared" si="14"/>
        <v>0</v>
      </c>
      <c r="H153" s="163">
        <f t="shared" si="15"/>
        <v>0</v>
      </c>
      <c r="I153" s="253">
        <f t="shared" si="16"/>
        <v>0</v>
      </c>
      <c r="J153" s="158">
        <f t="shared" si="17"/>
        <v>0</v>
      </c>
      <c r="K153" s="158"/>
      <c r="L153" s="334"/>
      <c r="M153" s="158">
        <f t="shared" si="21"/>
        <v>0</v>
      </c>
      <c r="N153" s="334"/>
      <c r="O153" s="158">
        <f t="shared" si="22"/>
        <v>0</v>
      </c>
      <c r="P153" s="158">
        <f t="shared" si="23"/>
        <v>0</v>
      </c>
    </row>
    <row r="154" spans="2:16" ht="13.5" thickBot="1">
      <c r="B154" s="9" t="str">
        <f t="shared" si="11"/>
        <v/>
      </c>
      <c r="C154" s="164">
        <f>IF(D93="","-",+C153+1)</f>
        <v>2069</v>
      </c>
      <c r="D154" s="154">
        <f>IF(F153+SUM(E$99:E153)=D$92,F153,D$92-SUM(E$99:E153))</f>
        <v>0</v>
      </c>
      <c r="E154" s="160">
        <f t="shared" si="12"/>
        <v>0</v>
      </c>
      <c r="F154" s="159">
        <f t="shared" si="13"/>
        <v>0</v>
      </c>
      <c r="G154" s="159">
        <f t="shared" si="14"/>
        <v>0</v>
      </c>
      <c r="H154" s="163">
        <f t="shared" si="15"/>
        <v>0</v>
      </c>
      <c r="I154" s="253">
        <f t="shared" si="16"/>
        <v>0</v>
      </c>
      <c r="J154" s="158">
        <f t="shared" si="17"/>
        <v>0</v>
      </c>
      <c r="K154" s="158"/>
      <c r="L154" s="335"/>
      <c r="M154" s="169">
        <f t="shared" si="21"/>
        <v>0</v>
      </c>
      <c r="N154" s="335"/>
      <c r="O154" s="169">
        <f t="shared" si="22"/>
        <v>0</v>
      </c>
      <c r="P154" s="169">
        <f t="shared" si="23"/>
        <v>0</v>
      </c>
    </row>
    <row r="155" spans="2:16">
      <c r="C155" s="154" t="s">
        <v>73</v>
      </c>
      <c r="D155" s="111"/>
      <c r="E155" s="111">
        <f>SUM(E99:E154)</f>
        <v>4866028</v>
      </c>
      <c r="F155" s="111"/>
      <c r="G155" s="111"/>
      <c r="H155" s="111">
        <f>SUM(H99:H154)</f>
        <v>17683283.336050522</v>
      </c>
      <c r="I155" s="111">
        <f>SUM(I99:I154)</f>
        <v>17683283.336050522</v>
      </c>
      <c r="J155" s="111">
        <f>SUM(J99:J154)</f>
        <v>0</v>
      </c>
      <c r="K155" s="111"/>
      <c r="L155" s="111"/>
      <c r="M155" s="111"/>
      <c r="N155" s="111"/>
      <c r="O155" s="111"/>
      <c r="P155" s="1"/>
    </row>
    <row r="156" spans="2:16">
      <c r="C156" t="s">
        <v>87</v>
      </c>
      <c r="D156" s="2"/>
      <c r="E156" s="1"/>
      <c r="F156" s="1"/>
      <c r="G156" s="1"/>
      <c r="H156" s="1"/>
      <c r="I156" s="3"/>
      <c r="J156" s="3"/>
      <c r="K156" s="111"/>
      <c r="L156" s="3"/>
      <c r="M156" s="3"/>
      <c r="N156" s="3"/>
      <c r="O156" s="3"/>
      <c r="P156" s="1"/>
    </row>
    <row r="157" spans="2:16">
      <c r="C157" s="216"/>
      <c r="D157" s="2"/>
      <c r="E157" s="1"/>
      <c r="F157" s="1"/>
      <c r="G157" s="1"/>
      <c r="H157" s="1"/>
      <c r="I157" s="3"/>
      <c r="J157" s="3"/>
      <c r="K157" s="111"/>
      <c r="L157" s="3"/>
      <c r="M157" s="3"/>
      <c r="N157" s="3"/>
      <c r="O157" s="3"/>
      <c r="P157" s="1"/>
    </row>
    <row r="158" spans="2:16">
      <c r="C158" s="248" t="s">
        <v>127</v>
      </c>
      <c r="D158" s="2"/>
      <c r="E158" s="1"/>
      <c r="F158" s="1"/>
      <c r="G158" s="1"/>
      <c r="H158" s="1"/>
      <c r="I158" s="3"/>
      <c r="J158" s="3"/>
      <c r="K158" s="111"/>
      <c r="L158" s="3"/>
      <c r="M158" s="3"/>
      <c r="N158" s="3"/>
      <c r="O158" s="3"/>
      <c r="P158" s="1"/>
    </row>
    <row r="159" spans="2:16">
      <c r="C159" s="121" t="s">
        <v>74</v>
      </c>
      <c r="D159" s="154"/>
      <c r="E159" s="154"/>
      <c r="F159" s="154"/>
      <c r="G159" s="154"/>
      <c r="H159" s="111"/>
      <c r="I159" s="111"/>
      <c r="J159" s="171"/>
      <c r="K159" s="171"/>
      <c r="L159" s="171"/>
      <c r="M159" s="171"/>
      <c r="N159" s="171"/>
      <c r="O159" s="171"/>
      <c r="P159" s="1"/>
    </row>
    <row r="160" spans="2:16">
      <c r="C160" s="217" t="s">
        <v>75</v>
      </c>
      <c r="D160" s="154"/>
      <c r="E160" s="154"/>
      <c r="F160" s="154"/>
      <c r="G160" s="154"/>
      <c r="H160" s="111"/>
      <c r="I160" s="111"/>
      <c r="J160" s="171"/>
      <c r="K160" s="171"/>
      <c r="L160" s="171"/>
      <c r="M160" s="171"/>
      <c r="N160" s="171"/>
      <c r="O160" s="171"/>
      <c r="P160" s="1"/>
    </row>
    <row r="161" spans="3:16">
      <c r="C161" s="217"/>
      <c r="D161" s="154"/>
      <c r="E161" s="154"/>
      <c r="F161" s="154"/>
      <c r="G161" s="154"/>
      <c r="H161" s="111"/>
      <c r="I161" s="111"/>
      <c r="J161" s="171"/>
      <c r="K161" s="171"/>
      <c r="L161" s="171"/>
      <c r="M161" s="171"/>
      <c r="N161" s="171"/>
      <c r="O161" s="171"/>
      <c r="P161" s="1"/>
    </row>
    <row r="162" spans="3:16" ht="18">
      <c r="C162" s="217"/>
      <c r="D162" s="154"/>
      <c r="E162" s="154"/>
      <c r="F162" s="154"/>
      <c r="G162" s="154"/>
      <c r="H162" s="111"/>
      <c r="I162" s="111"/>
      <c r="J162" s="171"/>
      <c r="K162" s="171"/>
      <c r="L162" s="171"/>
      <c r="M162" s="171"/>
      <c r="N162" s="171"/>
      <c r="P162" s="245" t="s">
        <v>126</v>
      </c>
    </row>
  </sheetData>
  <conditionalFormatting sqref="C17:C72">
    <cfRule type="cellIs" dxfId="82" priority="1" stopIfTrue="1" operator="equal">
      <formula>$I$10</formula>
    </cfRule>
  </conditionalFormatting>
  <conditionalFormatting sqref="C99:C154">
    <cfRule type="cellIs" dxfId="81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1"/>
  <dimension ref="A1:P162"/>
  <sheetViews>
    <sheetView view="pageBreakPreview" zoomScale="72" zoomScaleNormal="100" zoomScaleSheetLayoutView="72" workbookViewId="0">
      <selection activeCell="C19" sqref="C19"/>
    </sheetView>
  </sheetViews>
  <sheetFormatPr defaultRowHeight="12.75" customHeight="1"/>
  <cols>
    <col min="1" max="1" width="4.7109375" customWidth="1"/>
    <col min="2" max="2" width="6.7109375" customWidth="1"/>
    <col min="3" max="3" width="23.28515625" customWidth="1"/>
    <col min="4" max="8" width="17.7109375" customWidth="1"/>
    <col min="9" max="9" width="20.5703125" customWidth="1"/>
    <col min="10" max="10" width="18.42578125" customWidth="1"/>
    <col min="11" max="11" width="17.7109375" customWidth="1"/>
    <col min="12" max="12" width="16.140625" customWidth="1"/>
    <col min="13" max="13" width="17.7109375" customWidth="1"/>
    <col min="14" max="14" width="16.7109375" customWidth="1"/>
    <col min="15" max="15" width="16.85546875" customWidth="1"/>
    <col min="16" max="16" width="24.42578125" customWidth="1"/>
    <col min="17" max="17" width="9.140625" customWidth="1"/>
    <col min="23" max="23" width="9.140625" customWidth="1"/>
  </cols>
  <sheetData>
    <row r="1" spans="1:16" ht="20.25">
      <c r="A1" s="243" t="s">
        <v>128</v>
      </c>
      <c r="B1" s="1"/>
      <c r="C1" s="21"/>
      <c r="D1" s="2"/>
      <c r="E1" s="1"/>
      <c r="F1" s="99"/>
      <c r="G1" s="1"/>
      <c r="H1" s="3"/>
      <c r="J1" s="7"/>
      <c r="K1" s="109"/>
      <c r="L1" s="109"/>
      <c r="M1" s="109"/>
      <c r="P1" s="249" t="str">
        <f ca="1">"SWEPCO Project "&amp;RIGHT(MID(CELL("filename",$A$1),FIND("]",CELL("filename",$A$1))+1,256),2)&amp;" of "&amp;COUNT('S.001:S.xyz - blank'!$P$3)-1</f>
        <v>SWEPCO Project 42 of 73</v>
      </c>
    </row>
    <row r="2" spans="1:16" ht="18">
      <c r="B2" s="1"/>
      <c r="C2" s="1"/>
      <c r="D2" s="2"/>
      <c r="E2" s="1"/>
      <c r="F2" s="1"/>
      <c r="G2" s="1"/>
      <c r="H2" s="3"/>
      <c r="I2" s="1"/>
      <c r="J2" s="4"/>
      <c r="K2" s="1"/>
      <c r="L2" s="1"/>
      <c r="M2" s="1"/>
      <c r="N2" s="1"/>
      <c r="P2" s="244" t="s">
        <v>124</v>
      </c>
    </row>
    <row r="3" spans="1:16" ht="18.75">
      <c r="B3" s="5" t="s">
        <v>40</v>
      </c>
      <c r="C3" s="68" t="s">
        <v>41</v>
      </c>
      <c r="D3" s="2"/>
      <c r="E3" s="1"/>
      <c r="F3" s="1"/>
      <c r="G3" s="1"/>
      <c r="H3" s="3"/>
      <c r="I3" s="3"/>
      <c r="J3" s="111"/>
      <c r="K3" s="3"/>
      <c r="L3" s="3"/>
      <c r="M3" s="3"/>
      <c r="N3" s="3"/>
      <c r="O3" s="1"/>
      <c r="P3" s="240">
        <v>1</v>
      </c>
    </row>
    <row r="4" spans="1:16" ht="15.75" thickBot="1">
      <c r="C4" s="67"/>
      <c r="D4" s="2"/>
      <c r="E4" s="1"/>
      <c r="F4" s="1"/>
      <c r="G4" s="1"/>
      <c r="H4" s="3"/>
      <c r="I4" s="3"/>
      <c r="J4" s="111"/>
      <c r="K4" s="3"/>
      <c r="L4" s="3"/>
      <c r="M4" s="3"/>
      <c r="N4" s="3"/>
      <c r="O4" s="1"/>
      <c r="P4" s="1"/>
    </row>
    <row r="5" spans="1:16" ht="15">
      <c r="C5" s="112" t="s">
        <v>42</v>
      </c>
      <c r="D5" s="2"/>
      <c r="E5" s="1"/>
      <c r="F5" s="1"/>
      <c r="G5" s="113"/>
      <c r="H5" s="1" t="s">
        <v>43</v>
      </c>
      <c r="I5" s="1"/>
      <c r="J5" s="4"/>
      <c r="K5" s="268" t="s">
        <v>152</v>
      </c>
      <c r="L5" s="114"/>
      <c r="M5" s="115"/>
      <c r="N5" s="116">
        <f>VLOOKUP(I10,C17:I72,5)</f>
        <v>587930.15868984</v>
      </c>
      <c r="P5" s="1"/>
    </row>
    <row r="6" spans="1:16" ht="15.75">
      <c r="C6" s="8"/>
      <c r="D6" s="2"/>
      <c r="E6" s="1"/>
      <c r="F6" s="1"/>
      <c r="G6" s="1"/>
      <c r="H6" s="117"/>
      <c r="I6" s="117"/>
      <c r="J6" s="118"/>
      <c r="K6" s="269" t="s">
        <v>153</v>
      </c>
      <c r="L6" s="119"/>
      <c r="M6" s="4"/>
      <c r="N6" s="120">
        <f>VLOOKUP(I10,C17:I72,6)</f>
        <v>587930.15868984</v>
      </c>
      <c r="O6" s="1"/>
      <c r="P6" s="1"/>
    </row>
    <row r="7" spans="1:16" ht="13.5" thickBot="1">
      <c r="C7" s="121" t="s">
        <v>44</v>
      </c>
      <c r="D7" s="386" t="s">
        <v>304</v>
      </c>
      <c r="E7" s="379"/>
      <c r="F7" s="379"/>
      <c r="G7" s="379"/>
      <c r="H7" s="3"/>
      <c r="I7" s="3"/>
      <c r="J7" s="111"/>
      <c r="K7" s="122" t="s">
        <v>45</v>
      </c>
      <c r="L7" s="123"/>
      <c r="M7" s="123"/>
      <c r="N7" s="124">
        <f>+N6-N5</f>
        <v>0</v>
      </c>
      <c r="O7" s="1"/>
      <c r="P7" s="1"/>
    </row>
    <row r="8" spans="1:16" ht="13.5" thickBot="1">
      <c r="C8" s="125"/>
      <c r="D8" s="352" t="str">
        <f>IF(D10&lt;100000,"DOES NOT MEET SPP $100,000 MINIMUM INVESTMENT FOR REGIONAL BPU SHARING.","")</f>
        <v/>
      </c>
      <c r="E8" s="126"/>
      <c r="F8" s="126"/>
      <c r="G8" s="126"/>
      <c r="H8" s="126"/>
      <c r="I8" s="126"/>
      <c r="J8" s="101"/>
      <c r="K8" s="126"/>
      <c r="L8" s="126"/>
      <c r="M8" s="126"/>
      <c r="N8" s="126"/>
      <c r="O8" s="101"/>
      <c r="P8" s="21"/>
    </row>
    <row r="9" spans="1:16" ht="13.5" thickBot="1">
      <c r="C9" s="127" t="s">
        <v>46</v>
      </c>
      <c r="D9" s="225" t="s">
        <v>303</v>
      </c>
      <c r="E9" s="401" t="s">
        <v>313</v>
      </c>
      <c r="F9" s="128"/>
      <c r="G9" s="128"/>
      <c r="H9" s="128"/>
      <c r="I9" s="129"/>
      <c r="J9" s="130"/>
      <c r="O9" s="131"/>
      <c r="P9" s="4"/>
    </row>
    <row r="10" spans="1:16">
      <c r="C10" s="132" t="s">
        <v>47</v>
      </c>
      <c r="D10" s="133">
        <v>5289194</v>
      </c>
      <c r="E10" s="61" t="s">
        <v>459</v>
      </c>
      <c r="F10" s="131"/>
      <c r="G10" s="134"/>
      <c r="H10" s="134"/>
      <c r="I10" s="135">
        <f>+SWE.WS.F.BPU.ATRR.Projected!K17</f>
        <v>2019</v>
      </c>
      <c r="J10" s="130"/>
      <c r="K10" s="111" t="s">
        <v>48</v>
      </c>
      <c r="O10" s="4"/>
      <c r="P10" s="4"/>
    </row>
    <row r="11" spans="1:16">
      <c r="C11" s="136" t="s">
        <v>49</v>
      </c>
      <c r="D11" s="137">
        <v>2014</v>
      </c>
      <c r="E11" s="136" t="s">
        <v>50</v>
      </c>
      <c r="F11" s="134"/>
      <c r="G11" s="7"/>
      <c r="H11" s="7"/>
      <c r="I11" s="138">
        <f>IF(G5="",0,SWE.WS.F.BPU.ATRR.Projected!F$11)</f>
        <v>0</v>
      </c>
      <c r="J11" s="139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4"/>
      <c r="P11" s="4"/>
    </row>
    <row r="12" spans="1:16">
      <c r="C12" s="136" t="s">
        <v>51</v>
      </c>
      <c r="D12" s="133">
        <v>6</v>
      </c>
      <c r="E12" s="136" t="s">
        <v>52</v>
      </c>
      <c r="F12" s="134"/>
      <c r="G12" s="7"/>
      <c r="H12" s="7"/>
      <c r="I12" s="140">
        <f>SWE.WS.F.BPU.ATRR.Projected!$F$76</f>
        <v>9.9555672459071778E-2</v>
      </c>
      <c r="J12" s="141"/>
      <c r="K12" t="s">
        <v>53</v>
      </c>
      <c r="O12" s="4"/>
      <c r="P12" s="4"/>
    </row>
    <row r="13" spans="1:16">
      <c r="C13" s="136" t="s">
        <v>54</v>
      </c>
      <c r="D13" s="138">
        <f>+SWE.WS.F.BPU.ATRR.Projected!F$87</f>
        <v>43</v>
      </c>
      <c r="E13" s="136" t="s">
        <v>55</v>
      </c>
      <c r="F13" s="134"/>
      <c r="G13" s="7"/>
      <c r="H13" s="7"/>
      <c r="I13" s="140">
        <f>IF(G5="",I12,SWE.WS.F.BPU.ATRR.Projected!$F$75)</f>
        <v>9.9555672459071778E-2</v>
      </c>
      <c r="J13" s="141"/>
      <c r="K13" s="111" t="s">
        <v>56</v>
      </c>
      <c r="L13" s="58"/>
      <c r="M13" s="58"/>
      <c r="N13" s="58"/>
      <c r="O13" s="4"/>
      <c r="P13" s="4"/>
    </row>
    <row r="14" spans="1:16" ht="13.5" thickBot="1">
      <c r="C14" s="136" t="s">
        <v>57</v>
      </c>
      <c r="D14" s="137" t="s">
        <v>58</v>
      </c>
      <c r="E14" s="4" t="s">
        <v>59</v>
      </c>
      <c r="F14" s="134"/>
      <c r="G14" s="7"/>
      <c r="H14" s="7"/>
      <c r="I14" s="142">
        <f>IF(D10=0,0,D10/D13)</f>
        <v>123004.51162790698</v>
      </c>
      <c r="J14" s="111"/>
      <c r="K14" s="111"/>
      <c r="L14" s="111"/>
      <c r="M14" s="111"/>
      <c r="N14" s="111"/>
      <c r="O14" s="4"/>
      <c r="P14" s="4"/>
    </row>
    <row r="15" spans="1:16" ht="38.25">
      <c r="C15" s="143" t="s">
        <v>47</v>
      </c>
      <c r="D15" s="144" t="s">
        <v>60</v>
      </c>
      <c r="E15" s="144" t="s">
        <v>61</v>
      </c>
      <c r="F15" s="144" t="s">
        <v>62</v>
      </c>
      <c r="G15" s="434" t="s">
        <v>378</v>
      </c>
      <c r="H15" s="435" t="s">
        <v>379</v>
      </c>
      <c r="I15" s="143" t="s">
        <v>63</v>
      </c>
      <c r="J15" s="145"/>
      <c r="K15" s="271" t="s">
        <v>219</v>
      </c>
      <c r="L15" s="146" t="s">
        <v>64</v>
      </c>
      <c r="M15" s="271" t="s">
        <v>219</v>
      </c>
      <c r="N15" s="146" t="s">
        <v>64</v>
      </c>
      <c r="O15" s="146" t="s">
        <v>65</v>
      </c>
      <c r="P15" s="4"/>
    </row>
    <row r="16" spans="1:16" ht="13.5" thickBot="1">
      <c r="C16" s="147" t="s">
        <v>66</v>
      </c>
      <c r="D16" s="147" t="s">
        <v>67</v>
      </c>
      <c r="E16" s="147" t="s">
        <v>68</v>
      </c>
      <c r="F16" s="147" t="s">
        <v>67</v>
      </c>
      <c r="G16" s="408" t="s">
        <v>69</v>
      </c>
      <c r="H16" s="148" t="s">
        <v>70</v>
      </c>
      <c r="I16" s="149" t="s">
        <v>89</v>
      </c>
      <c r="J16" s="150" t="s">
        <v>71</v>
      </c>
      <c r="K16" s="151" t="s">
        <v>72</v>
      </c>
      <c r="L16" s="151" t="s">
        <v>72</v>
      </c>
      <c r="M16" s="151" t="s">
        <v>90</v>
      </c>
      <c r="N16" s="152" t="s">
        <v>90</v>
      </c>
      <c r="O16" s="151" t="s">
        <v>90</v>
      </c>
      <c r="P16" s="4"/>
    </row>
    <row r="17" spans="2:16">
      <c r="C17" s="153">
        <f>IF(D11= "","-",D11)</f>
        <v>2014</v>
      </c>
      <c r="D17" s="409">
        <v>4520000</v>
      </c>
      <c r="E17" s="415">
        <v>53809.523809523809</v>
      </c>
      <c r="F17" s="409">
        <v>4466190.4761904757</v>
      </c>
      <c r="G17" s="415">
        <v>656345.55089366634</v>
      </c>
      <c r="H17" s="416">
        <v>656345.55089366634</v>
      </c>
      <c r="I17" s="404">
        <v>0</v>
      </c>
      <c r="J17" s="156"/>
      <c r="K17" s="423">
        <f>G17</f>
        <v>656345.55089366634</v>
      </c>
      <c r="L17" s="424">
        <f>IF(K17&lt;&gt;0,+G17-K17,0)</f>
        <v>0</v>
      </c>
      <c r="M17" s="425">
        <f>H17</f>
        <v>656345.55089366634</v>
      </c>
      <c r="N17" s="426">
        <f>IF(M17&lt;&gt;0,+H17-M17,0)</f>
        <v>0</v>
      </c>
      <c r="O17" s="158">
        <f>+N17-L17</f>
        <v>0</v>
      </c>
      <c r="P17" s="4"/>
    </row>
    <row r="18" spans="2:16">
      <c r="B18" s="9" t="str">
        <f>IF(D18=F17,"","IU")</f>
        <v/>
      </c>
      <c r="C18" s="153">
        <f>IF(D11="","-",+C17+1)</f>
        <v>2015</v>
      </c>
      <c r="D18" s="409">
        <v>4466190.4761904757</v>
      </c>
      <c r="E18" s="410">
        <v>125933.19047619047</v>
      </c>
      <c r="F18" s="409">
        <v>4340257.2857142854</v>
      </c>
      <c r="G18" s="410">
        <v>697565.91247196728</v>
      </c>
      <c r="H18" s="416">
        <v>697565.91247196728</v>
      </c>
      <c r="I18" s="156">
        <v>0</v>
      </c>
      <c r="J18" s="156"/>
      <c r="K18" s="258">
        <f>G18</f>
        <v>697565.91247196728</v>
      </c>
      <c r="L18" s="257">
        <f>IF(K18&lt;&gt;0,+G18-K18,0)</f>
        <v>0</v>
      </c>
      <c r="M18" s="258">
        <f>H18</f>
        <v>697565.91247196728</v>
      </c>
      <c r="N18" s="158">
        <f>IF(M18&lt;&gt;0,+H18-M18,0)</f>
        <v>0</v>
      </c>
      <c r="O18" s="158">
        <f>+N18-L18</f>
        <v>0</v>
      </c>
      <c r="P18" s="4"/>
    </row>
    <row r="19" spans="2:16">
      <c r="B19" s="9" t="str">
        <f>IF(D19=F18,"","IU")</f>
        <v>IU</v>
      </c>
      <c r="C19" s="153">
        <f>IF(D11="","-",+C18+1)</f>
        <v>2016</v>
      </c>
      <c r="D19" s="409">
        <v>5109451.2857142854</v>
      </c>
      <c r="E19" s="410">
        <v>125933.19047619047</v>
      </c>
      <c r="F19" s="409">
        <v>4983518.0952380951</v>
      </c>
      <c r="G19" s="410">
        <v>774189.09981108969</v>
      </c>
      <c r="H19" s="416">
        <v>774189.09981108969</v>
      </c>
      <c r="I19" s="156">
        <f>H19-G19</f>
        <v>0</v>
      </c>
      <c r="J19" s="156"/>
      <c r="K19" s="258">
        <f>G19</f>
        <v>774189.09981108969</v>
      </c>
      <c r="L19" s="257">
        <f>IF(K19&lt;&gt;0,+G19-K19,0)</f>
        <v>0</v>
      </c>
      <c r="M19" s="258">
        <f>H19</f>
        <v>774189.09981108969</v>
      </c>
      <c r="N19" s="158">
        <f>IF(M19&lt;&gt;0,+H19-M19,0)</f>
        <v>0</v>
      </c>
      <c r="O19" s="158">
        <f>+N19-L19</f>
        <v>0</v>
      </c>
      <c r="P19" s="4"/>
    </row>
    <row r="20" spans="2:16">
      <c r="B20" s="9" t="str">
        <f t="shared" ref="B20:B72" si="0">IF(D20=F19,"","IU")</f>
        <v/>
      </c>
      <c r="C20" s="153">
        <f>IF(D11="","-",+C19+1)</f>
        <v>2017</v>
      </c>
      <c r="D20" s="409">
        <v>4983518.0952380951</v>
      </c>
      <c r="E20" s="410">
        <v>123004.51162790698</v>
      </c>
      <c r="F20" s="409">
        <v>4860513.5836101882</v>
      </c>
      <c r="G20" s="410">
        <v>732805.52447428892</v>
      </c>
      <c r="H20" s="416">
        <v>732805.52447428892</v>
      </c>
      <c r="I20" s="156">
        <v>0</v>
      </c>
      <c r="J20" s="156"/>
      <c r="K20" s="258">
        <f>G20</f>
        <v>732805.52447428892</v>
      </c>
      <c r="L20" s="257">
        <f>IF(K20&lt;&gt;0,+G20-K20,0)</f>
        <v>0</v>
      </c>
      <c r="M20" s="258">
        <f>H20</f>
        <v>732805.52447428892</v>
      </c>
      <c r="N20" s="158">
        <f>IF(M20&lt;&gt;0,+H20-M20,0)</f>
        <v>0</v>
      </c>
      <c r="O20" s="158">
        <f>+N20-L20</f>
        <v>0</v>
      </c>
      <c r="P20" s="4"/>
    </row>
    <row r="21" spans="2:16">
      <c r="B21" s="9" t="str">
        <f t="shared" si="0"/>
        <v/>
      </c>
      <c r="C21" s="153">
        <f>IF(D11="","-",+C20+1)</f>
        <v>2018</v>
      </c>
      <c r="D21" s="409">
        <v>4860513.5836101882</v>
      </c>
      <c r="E21" s="410">
        <v>129004.73170731707</v>
      </c>
      <c r="F21" s="409">
        <v>4731508.8519028714</v>
      </c>
      <c r="G21" s="410">
        <v>665602.65814268333</v>
      </c>
      <c r="H21" s="416">
        <v>665602.65814268333</v>
      </c>
      <c r="I21" s="156">
        <f t="shared" ref="I21:I72" si="1">H21-G21</f>
        <v>0</v>
      </c>
      <c r="J21" s="156"/>
      <c r="K21" s="258">
        <f>G21</f>
        <v>665602.65814268333</v>
      </c>
      <c r="L21" s="257">
        <f>IF(K21&lt;&gt;0,+G21-K21,0)</f>
        <v>0</v>
      </c>
      <c r="M21" s="258">
        <f>H21</f>
        <v>665602.65814268333</v>
      </c>
      <c r="N21" s="158">
        <f>IF(M21&lt;&gt;0,+H21-M21,0)</f>
        <v>0</v>
      </c>
      <c r="O21" s="158">
        <f>+N21-L21</f>
        <v>0</v>
      </c>
      <c r="P21" s="4"/>
    </row>
    <row r="22" spans="2:16">
      <c r="B22" s="9" t="str">
        <f t="shared" si="0"/>
        <v/>
      </c>
      <c r="C22" s="153">
        <f>IF(D11="","-",+C21+1)</f>
        <v>2019</v>
      </c>
      <c r="D22" s="159">
        <f>IF(F21+SUM(E$17:E21)=D$10,F21,D$10-SUM(E$17:E21))</f>
        <v>4731508.8519028714</v>
      </c>
      <c r="E22" s="160">
        <f t="shared" ref="E22:E72" si="2">IF(+$I$14&lt;F21,$I$14,D22)</f>
        <v>123004.51162790698</v>
      </c>
      <c r="F22" s="159">
        <f t="shared" ref="F22:F72" si="3">+D22-E22</f>
        <v>4608504.3402749645</v>
      </c>
      <c r="G22" s="161">
        <f t="shared" ref="G22:G51" si="4">+I$12*((D22+F22)/2)+E22</f>
        <v>587930.15868984</v>
      </c>
      <c r="H22" s="142">
        <f t="shared" ref="H22:H51" si="5">+I$13*((D22+F22)/2)+E22</f>
        <v>587930.15868984</v>
      </c>
      <c r="I22" s="156">
        <f t="shared" si="1"/>
        <v>0</v>
      </c>
      <c r="J22" s="156"/>
      <c r="K22" s="334"/>
      <c r="L22" s="158">
        <f t="shared" ref="L22:L72" si="6">IF(K22&lt;&gt;0,+G22-K22,0)</f>
        <v>0</v>
      </c>
      <c r="M22" s="334"/>
      <c r="N22" s="158">
        <f t="shared" ref="N22:N72" si="7">IF(M22&lt;&gt;0,+H22-M22,0)</f>
        <v>0</v>
      </c>
      <c r="O22" s="158">
        <f t="shared" ref="O22:O72" si="8">+N22-L22</f>
        <v>0</v>
      </c>
      <c r="P22" s="4"/>
    </row>
    <row r="23" spans="2:16">
      <c r="B23" s="9" t="str">
        <f t="shared" si="0"/>
        <v/>
      </c>
      <c r="C23" s="153">
        <f>IF(D11="","-",+C22+1)</f>
        <v>2020</v>
      </c>
      <c r="D23" s="159">
        <f>IF(F22+SUM(E$17:E22)=D$10,F22,D$10-SUM(E$17:E22))</f>
        <v>4608504.3402749645</v>
      </c>
      <c r="E23" s="160">
        <f t="shared" si="2"/>
        <v>123004.51162790698</v>
      </c>
      <c r="F23" s="159">
        <f t="shared" si="3"/>
        <v>4485499.8286470575</v>
      </c>
      <c r="G23" s="161">
        <f t="shared" si="4"/>
        <v>575684.36181922397</v>
      </c>
      <c r="H23" s="142">
        <f t="shared" si="5"/>
        <v>575684.36181922397</v>
      </c>
      <c r="I23" s="156">
        <f t="shared" si="1"/>
        <v>0</v>
      </c>
      <c r="J23" s="156"/>
      <c r="K23" s="334"/>
      <c r="L23" s="158">
        <f t="shared" si="6"/>
        <v>0</v>
      </c>
      <c r="M23" s="334"/>
      <c r="N23" s="158">
        <f t="shared" si="7"/>
        <v>0</v>
      </c>
      <c r="O23" s="158">
        <f t="shared" si="8"/>
        <v>0</v>
      </c>
      <c r="P23" s="4"/>
    </row>
    <row r="24" spans="2:16">
      <c r="B24" s="9" t="str">
        <f t="shared" si="0"/>
        <v/>
      </c>
      <c r="C24" s="153">
        <f>IF(D11="","-",+C23+1)</f>
        <v>2021</v>
      </c>
      <c r="D24" s="159">
        <f>IF(F23+SUM(E$17:E23)=D$10,F23,D$10-SUM(E$17:E23))</f>
        <v>4485499.8286470575</v>
      </c>
      <c r="E24" s="160">
        <f t="shared" si="2"/>
        <v>123004.51162790698</v>
      </c>
      <c r="F24" s="159">
        <f t="shared" si="3"/>
        <v>4362495.3170191506</v>
      </c>
      <c r="G24" s="161">
        <f t="shared" si="4"/>
        <v>563438.56494860805</v>
      </c>
      <c r="H24" s="142">
        <f t="shared" si="5"/>
        <v>563438.56494860805</v>
      </c>
      <c r="I24" s="156">
        <f t="shared" si="1"/>
        <v>0</v>
      </c>
      <c r="J24" s="156"/>
      <c r="K24" s="334"/>
      <c r="L24" s="158">
        <f t="shared" si="6"/>
        <v>0</v>
      </c>
      <c r="M24" s="334"/>
      <c r="N24" s="158">
        <f t="shared" si="7"/>
        <v>0</v>
      </c>
      <c r="O24" s="158">
        <f t="shared" si="8"/>
        <v>0</v>
      </c>
      <c r="P24" s="4"/>
    </row>
    <row r="25" spans="2:16">
      <c r="B25" s="9" t="str">
        <f t="shared" si="0"/>
        <v/>
      </c>
      <c r="C25" s="153">
        <f>IF(D11="","-",+C24+1)</f>
        <v>2022</v>
      </c>
      <c r="D25" s="159">
        <f>IF(F24+SUM(E$17:E24)=D$10,F24,D$10-SUM(E$17:E24))</f>
        <v>4362495.3170191506</v>
      </c>
      <c r="E25" s="160">
        <f t="shared" si="2"/>
        <v>123004.51162790698</v>
      </c>
      <c r="F25" s="159">
        <f t="shared" si="3"/>
        <v>4239490.8053912437</v>
      </c>
      <c r="G25" s="161">
        <f t="shared" si="4"/>
        <v>551192.76807799202</v>
      </c>
      <c r="H25" s="142">
        <f t="shared" si="5"/>
        <v>551192.76807799202</v>
      </c>
      <c r="I25" s="156">
        <f t="shared" si="1"/>
        <v>0</v>
      </c>
      <c r="J25" s="156"/>
      <c r="K25" s="334"/>
      <c r="L25" s="158">
        <f t="shared" si="6"/>
        <v>0</v>
      </c>
      <c r="M25" s="334"/>
      <c r="N25" s="158">
        <f t="shared" si="7"/>
        <v>0</v>
      </c>
      <c r="O25" s="158">
        <f t="shared" si="8"/>
        <v>0</v>
      </c>
      <c r="P25" s="4"/>
    </row>
    <row r="26" spans="2:16">
      <c r="B26" s="9" t="str">
        <f t="shared" si="0"/>
        <v/>
      </c>
      <c r="C26" s="153">
        <f>IF(D11="","-",+C25+1)</f>
        <v>2023</v>
      </c>
      <c r="D26" s="159">
        <f>IF(F25+SUM(E$17:E25)=D$10,F25,D$10-SUM(E$17:E25))</f>
        <v>4239490.8053912437</v>
      </c>
      <c r="E26" s="160">
        <f t="shared" si="2"/>
        <v>123004.51162790698</v>
      </c>
      <c r="F26" s="159">
        <f t="shared" si="3"/>
        <v>4116486.2937633367</v>
      </c>
      <c r="G26" s="161">
        <f t="shared" si="4"/>
        <v>538946.97120737599</v>
      </c>
      <c r="H26" s="142">
        <f t="shared" si="5"/>
        <v>538946.97120737599</v>
      </c>
      <c r="I26" s="156">
        <f t="shared" si="1"/>
        <v>0</v>
      </c>
      <c r="J26" s="156"/>
      <c r="K26" s="334"/>
      <c r="L26" s="158">
        <f t="shared" si="6"/>
        <v>0</v>
      </c>
      <c r="M26" s="334"/>
      <c r="N26" s="158">
        <f t="shared" si="7"/>
        <v>0</v>
      </c>
      <c r="O26" s="158">
        <f t="shared" si="8"/>
        <v>0</v>
      </c>
      <c r="P26" s="4"/>
    </row>
    <row r="27" spans="2:16">
      <c r="B27" s="9" t="str">
        <f t="shared" si="0"/>
        <v/>
      </c>
      <c r="C27" s="153">
        <f>IF(D11="","-",+C26+1)</f>
        <v>2024</v>
      </c>
      <c r="D27" s="159">
        <f>IF(F26+SUM(E$17:E26)=D$10,F26,D$10-SUM(E$17:E26))</f>
        <v>4116486.2937633367</v>
      </c>
      <c r="E27" s="160">
        <f t="shared" si="2"/>
        <v>123004.51162790698</v>
      </c>
      <c r="F27" s="159">
        <f t="shared" si="3"/>
        <v>3993481.7821354298</v>
      </c>
      <c r="G27" s="161">
        <f t="shared" si="4"/>
        <v>526701.17433676007</v>
      </c>
      <c r="H27" s="142">
        <f t="shared" si="5"/>
        <v>526701.17433676007</v>
      </c>
      <c r="I27" s="156">
        <f t="shared" si="1"/>
        <v>0</v>
      </c>
      <c r="J27" s="156"/>
      <c r="K27" s="334"/>
      <c r="L27" s="158">
        <f t="shared" si="6"/>
        <v>0</v>
      </c>
      <c r="M27" s="334"/>
      <c r="N27" s="158">
        <f t="shared" si="7"/>
        <v>0</v>
      </c>
      <c r="O27" s="158">
        <f t="shared" si="8"/>
        <v>0</v>
      </c>
      <c r="P27" s="4"/>
    </row>
    <row r="28" spans="2:16">
      <c r="B28" s="9" t="str">
        <f t="shared" si="0"/>
        <v/>
      </c>
      <c r="C28" s="153">
        <f>IF(D11="","-",+C27+1)</f>
        <v>2025</v>
      </c>
      <c r="D28" s="159">
        <f>IF(F27+SUM(E$17:E27)=D$10,F27,D$10-SUM(E$17:E27))</f>
        <v>3993481.7821354298</v>
      </c>
      <c r="E28" s="160">
        <f t="shared" si="2"/>
        <v>123004.51162790698</v>
      </c>
      <c r="F28" s="159">
        <f t="shared" si="3"/>
        <v>3870477.2705075229</v>
      </c>
      <c r="G28" s="161">
        <f t="shared" si="4"/>
        <v>514455.3774661441</v>
      </c>
      <c r="H28" s="142">
        <f t="shared" si="5"/>
        <v>514455.3774661441</v>
      </c>
      <c r="I28" s="156">
        <f t="shared" si="1"/>
        <v>0</v>
      </c>
      <c r="J28" s="156"/>
      <c r="K28" s="334"/>
      <c r="L28" s="158">
        <f t="shared" si="6"/>
        <v>0</v>
      </c>
      <c r="M28" s="334"/>
      <c r="N28" s="158">
        <f t="shared" si="7"/>
        <v>0</v>
      </c>
      <c r="O28" s="158">
        <f t="shared" si="8"/>
        <v>0</v>
      </c>
      <c r="P28" s="4"/>
    </row>
    <row r="29" spans="2:16">
      <c r="B29" s="9" t="str">
        <f t="shared" si="0"/>
        <v/>
      </c>
      <c r="C29" s="153">
        <f>IF(D11="","-",+C28+1)</f>
        <v>2026</v>
      </c>
      <c r="D29" s="159">
        <f>IF(F28+SUM(E$17:E28)=D$10,F28,D$10-SUM(E$17:E28))</f>
        <v>3870477.2705075229</v>
      </c>
      <c r="E29" s="160">
        <f t="shared" si="2"/>
        <v>123004.51162790698</v>
      </c>
      <c r="F29" s="159">
        <f t="shared" si="3"/>
        <v>3747472.7588796159</v>
      </c>
      <c r="G29" s="161">
        <f t="shared" si="4"/>
        <v>502209.58059552812</v>
      </c>
      <c r="H29" s="142">
        <f t="shared" si="5"/>
        <v>502209.58059552812</v>
      </c>
      <c r="I29" s="156">
        <f t="shared" si="1"/>
        <v>0</v>
      </c>
      <c r="J29" s="156"/>
      <c r="K29" s="334"/>
      <c r="L29" s="158">
        <f t="shared" si="6"/>
        <v>0</v>
      </c>
      <c r="M29" s="334"/>
      <c r="N29" s="158">
        <f t="shared" si="7"/>
        <v>0</v>
      </c>
      <c r="O29" s="158">
        <f t="shared" si="8"/>
        <v>0</v>
      </c>
      <c r="P29" s="4"/>
    </row>
    <row r="30" spans="2:16">
      <c r="B30" s="9" t="str">
        <f t="shared" si="0"/>
        <v/>
      </c>
      <c r="C30" s="153">
        <f>IF(D11="","-",+C29+1)</f>
        <v>2027</v>
      </c>
      <c r="D30" s="159">
        <f>IF(F29+SUM(E$17:E29)=D$10,F29,D$10-SUM(E$17:E29))</f>
        <v>3747472.7588796159</v>
      </c>
      <c r="E30" s="160">
        <f t="shared" si="2"/>
        <v>123004.51162790698</v>
      </c>
      <c r="F30" s="159">
        <f t="shared" si="3"/>
        <v>3624468.247251709</v>
      </c>
      <c r="G30" s="161">
        <f t="shared" si="4"/>
        <v>489963.78372491209</v>
      </c>
      <c r="H30" s="142">
        <f t="shared" si="5"/>
        <v>489963.78372491209</v>
      </c>
      <c r="I30" s="156">
        <f t="shared" si="1"/>
        <v>0</v>
      </c>
      <c r="J30" s="156"/>
      <c r="K30" s="334"/>
      <c r="L30" s="158">
        <f t="shared" si="6"/>
        <v>0</v>
      </c>
      <c r="M30" s="334"/>
      <c r="N30" s="158">
        <f t="shared" si="7"/>
        <v>0</v>
      </c>
      <c r="O30" s="158">
        <f t="shared" si="8"/>
        <v>0</v>
      </c>
      <c r="P30" s="4"/>
    </row>
    <row r="31" spans="2:16">
      <c r="B31" s="9" t="str">
        <f t="shared" si="0"/>
        <v/>
      </c>
      <c r="C31" s="153">
        <f>IF(D11="","-",+C30+1)</f>
        <v>2028</v>
      </c>
      <c r="D31" s="159">
        <f>IF(F30+SUM(E$17:E30)=D$10,F30,D$10-SUM(E$17:E30))</f>
        <v>3624468.247251709</v>
      </c>
      <c r="E31" s="160">
        <f t="shared" si="2"/>
        <v>123004.51162790698</v>
      </c>
      <c r="F31" s="159">
        <f t="shared" si="3"/>
        <v>3501463.7356238021</v>
      </c>
      <c r="G31" s="161">
        <f t="shared" si="4"/>
        <v>477717.98685429612</v>
      </c>
      <c r="H31" s="142">
        <f t="shared" si="5"/>
        <v>477717.98685429612</v>
      </c>
      <c r="I31" s="156">
        <f t="shared" si="1"/>
        <v>0</v>
      </c>
      <c r="J31" s="156"/>
      <c r="K31" s="334"/>
      <c r="L31" s="158">
        <f t="shared" si="6"/>
        <v>0</v>
      </c>
      <c r="M31" s="334"/>
      <c r="N31" s="158">
        <f t="shared" si="7"/>
        <v>0</v>
      </c>
      <c r="O31" s="158">
        <f t="shared" si="8"/>
        <v>0</v>
      </c>
      <c r="P31" s="4"/>
    </row>
    <row r="32" spans="2:16">
      <c r="B32" s="9" t="str">
        <f t="shared" si="0"/>
        <v/>
      </c>
      <c r="C32" s="153">
        <f>IF(D11="","-",+C31+1)</f>
        <v>2029</v>
      </c>
      <c r="D32" s="159">
        <f>IF(F31+SUM(E$17:E31)=D$10,F31,D$10-SUM(E$17:E31))</f>
        <v>3501463.7356238021</v>
      </c>
      <c r="E32" s="160">
        <f t="shared" si="2"/>
        <v>123004.51162790698</v>
      </c>
      <c r="F32" s="159">
        <f t="shared" si="3"/>
        <v>3378459.2239958951</v>
      </c>
      <c r="G32" s="161">
        <f t="shared" si="4"/>
        <v>465472.18998368015</v>
      </c>
      <c r="H32" s="142">
        <f t="shared" si="5"/>
        <v>465472.18998368015</v>
      </c>
      <c r="I32" s="156">
        <f t="shared" si="1"/>
        <v>0</v>
      </c>
      <c r="J32" s="156"/>
      <c r="K32" s="334"/>
      <c r="L32" s="158">
        <f t="shared" si="6"/>
        <v>0</v>
      </c>
      <c r="M32" s="334"/>
      <c r="N32" s="158">
        <f t="shared" si="7"/>
        <v>0</v>
      </c>
      <c r="O32" s="158">
        <f t="shared" si="8"/>
        <v>0</v>
      </c>
      <c r="P32" s="4"/>
    </row>
    <row r="33" spans="2:16">
      <c r="B33" s="9" t="str">
        <f t="shared" si="0"/>
        <v/>
      </c>
      <c r="C33" s="153">
        <f>IF(D11="","-",+C32+1)</f>
        <v>2030</v>
      </c>
      <c r="D33" s="159">
        <f>IF(F32+SUM(E$17:E32)=D$10,F32,D$10-SUM(E$17:E32))</f>
        <v>3378459.2239958951</v>
      </c>
      <c r="E33" s="160">
        <f t="shared" si="2"/>
        <v>123004.51162790698</v>
      </c>
      <c r="F33" s="159">
        <f t="shared" si="3"/>
        <v>3255454.7123679882</v>
      </c>
      <c r="G33" s="161">
        <f t="shared" si="4"/>
        <v>453226.39311306417</v>
      </c>
      <c r="H33" s="142">
        <f t="shared" si="5"/>
        <v>453226.39311306417</v>
      </c>
      <c r="I33" s="156">
        <f t="shared" si="1"/>
        <v>0</v>
      </c>
      <c r="J33" s="156"/>
      <c r="K33" s="334"/>
      <c r="L33" s="158">
        <f t="shared" si="6"/>
        <v>0</v>
      </c>
      <c r="M33" s="334"/>
      <c r="N33" s="158">
        <f t="shared" si="7"/>
        <v>0</v>
      </c>
      <c r="O33" s="158">
        <f t="shared" si="8"/>
        <v>0</v>
      </c>
      <c r="P33" s="4"/>
    </row>
    <row r="34" spans="2:16">
      <c r="B34" s="9" t="str">
        <f t="shared" si="0"/>
        <v/>
      </c>
      <c r="C34" s="153">
        <f>IF(D11="","-",+C33+1)</f>
        <v>2031</v>
      </c>
      <c r="D34" s="159">
        <f>IF(F33+SUM(E$17:E33)=D$10,F33,D$10-SUM(E$17:E33))</f>
        <v>3255454.7123679882</v>
      </c>
      <c r="E34" s="160">
        <f t="shared" si="2"/>
        <v>123004.51162790698</v>
      </c>
      <c r="F34" s="159">
        <f t="shared" si="3"/>
        <v>3132450.2007400813</v>
      </c>
      <c r="G34" s="161">
        <f t="shared" si="4"/>
        <v>440980.59624244814</v>
      </c>
      <c r="H34" s="142">
        <f t="shared" si="5"/>
        <v>440980.59624244814</v>
      </c>
      <c r="I34" s="156">
        <f t="shared" si="1"/>
        <v>0</v>
      </c>
      <c r="J34" s="156"/>
      <c r="K34" s="334"/>
      <c r="L34" s="158">
        <f t="shared" si="6"/>
        <v>0</v>
      </c>
      <c r="M34" s="334"/>
      <c r="N34" s="158">
        <f t="shared" si="7"/>
        <v>0</v>
      </c>
      <c r="O34" s="158">
        <f t="shared" si="8"/>
        <v>0</v>
      </c>
      <c r="P34" s="4"/>
    </row>
    <row r="35" spans="2:16">
      <c r="B35" s="9" t="str">
        <f t="shared" si="0"/>
        <v/>
      </c>
      <c r="C35" s="153">
        <f>IF(D11="","-",+C34+1)</f>
        <v>2032</v>
      </c>
      <c r="D35" s="159">
        <f>IF(F34+SUM(E$17:E34)=D$10,F34,D$10-SUM(E$17:E34))</f>
        <v>3132450.2007400813</v>
      </c>
      <c r="E35" s="160">
        <f t="shared" si="2"/>
        <v>123004.51162790698</v>
      </c>
      <c r="F35" s="159">
        <f t="shared" si="3"/>
        <v>3009445.6891121743</v>
      </c>
      <c r="G35" s="161">
        <f t="shared" si="4"/>
        <v>428734.79937183217</v>
      </c>
      <c r="H35" s="142">
        <f t="shared" si="5"/>
        <v>428734.79937183217</v>
      </c>
      <c r="I35" s="156">
        <f t="shared" si="1"/>
        <v>0</v>
      </c>
      <c r="J35" s="156"/>
      <c r="K35" s="334"/>
      <c r="L35" s="158">
        <f t="shared" si="6"/>
        <v>0</v>
      </c>
      <c r="M35" s="334"/>
      <c r="N35" s="158">
        <f t="shared" si="7"/>
        <v>0</v>
      </c>
      <c r="O35" s="158">
        <f t="shared" si="8"/>
        <v>0</v>
      </c>
      <c r="P35" s="4"/>
    </row>
    <row r="36" spans="2:16">
      <c r="B36" s="9" t="str">
        <f t="shared" si="0"/>
        <v/>
      </c>
      <c r="C36" s="153">
        <f>IF(D11="","-",+C35+1)</f>
        <v>2033</v>
      </c>
      <c r="D36" s="159">
        <f>IF(F35+SUM(E$17:E35)=D$10,F35,D$10-SUM(E$17:E35))</f>
        <v>3009445.6891121743</v>
      </c>
      <c r="E36" s="160">
        <f t="shared" si="2"/>
        <v>123004.51162790698</v>
      </c>
      <c r="F36" s="159">
        <f t="shared" si="3"/>
        <v>2886441.1774842674</v>
      </c>
      <c r="G36" s="161">
        <f t="shared" si="4"/>
        <v>416489.00250121619</v>
      </c>
      <c r="H36" s="142">
        <f t="shared" si="5"/>
        <v>416489.00250121619</v>
      </c>
      <c r="I36" s="156">
        <f t="shared" si="1"/>
        <v>0</v>
      </c>
      <c r="J36" s="156"/>
      <c r="K36" s="334"/>
      <c r="L36" s="158">
        <f t="shared" si="6"/>
        <v>0</v>
      </c>
      <c r="M36" s="334"/>
      <c r="N36" s="158">
        <f t="shared" si="7"/>
        <v>0</v>
      </c>
      <c r="O36" s="158">
        <f t="shared" si="8"/>
        <v>0</v>
      </c>
      <c r="P36" s="4"/>
    </row>
    <row r="37" spans="2:16">
      <c r="B37" s="9" t="str">
        <f t="shared" si="0"/>
        <v/>
      </c>
      <c r="C37" s="153">
        <f>IF(D11="","-",+C36+1)</f>
        <v>2034</v>
      </c>
      <c r="D37" s="159">
        <f>IF(F36+SUM(E$17:E36)=D$10,F36,D$10-SUM(E$17:E36))</f>
        <v>2886441.1774842674</v>
      </c>
      <c r="E37" s="160">
        <f t="shared" si="2"/>
        <v>123004.51162790698</v>
      </c>
      <c r="F37" s="159">
        <f t="shared" si="3"/>
        <v>2763436.6658563605</v>
      </c>
      <c r="G37" s="161">
        <f t="shared" si="4"/>
        <v>404243.20563060022</v>
      </c>
      <c r="H37" s="142">
        <f t="shared" si="5"/>
        <v>404243.20563060022</v>
      </c>
      <c r="I37" s="156">
        <f t="shared" si="1"/>
        <v>0</v>
      </c>
      <c r="J37" s="156"/>
      <c r="K37" s="334"/>
      <c r="L37" s="158">
        <f t="shared" si="6"/>
        <v>0</v>
      </c>
      <c r="M37" s="334"/>
      <c r="N37" s="158">
        <f t="shared" si="7"/>
        <v>0</v>
      </c>
      <c r="O37" s="158">
        <f t="shared" si="8"/>
        <v>0</v>
      </c>
      <c r="P37" s="4"/>
    </row>
    <row r="38" spans="2:16">
      <c r="B38" s="9" t="str">
        <f t="shared" si="0"/>
        <v/>
      </c>
      <c r="C38" s="153">
        <f>IF(D11="","-",+C37+1)</f>
        <v>2035</v>
      </c>
      <c r="D38" s="159">
        <f>IF(F37+SUM(E$17:E37)=D$10,F37,D$10-SUM(E$17:E37))</f>
        <v>2763436.6658563605</v>
      </c>
      <c r="E38" s="160">
        <f t="shared" si="2"/>
        <v>123004.51162790698</v>
      </c>
      <c r="F38" s="159">
        <f t="shared" si="3"/>
        <v>2640432.1542284535</v>
      </c>
      <c r="G38" s="161">
        <f t="shared" si="4"/>
        <v>391997.40875998419</v>
      </c>
      <c r="H38" s="142">
        <f t="shared" si="5"/>
        <v>391997.40875998419</v>
      </c>
      <c r="I38" s="156">
        <f t="shared" si="1"/>
        <v>0</v>
      </c>
      <c r="J38" s="156"/>
      <c r="K38" s="334"/>
      <c r="L38" s="158">
        <f t="shared" si="6"/>
        <v>0</v>
      </c>
      <c r="M38" s="334"/>
      <c r="N38" s="158">
        <f t="shared" si="7"/>
        <v>0</v>
      </c>
      <c r="O38" s="158">
        <f t="shared" si="8"/>
        <v>0</v>
      </c>
      <c r="P38" s="4"/>
    </row>
    <row r="39" spans="2:16">
      <c r="B39" s="9" t="str">
        <f t="shared" si="0"/>
        <v/>
      </c>
      <c r="C39" s="153">
        <f>IF(D11="","-",+C38+1)</f>
        <v>2036</v>
      </c>
      <c r="D39" s="159">
        <f>IF(F38+SUM(E$17:E38)=D$10,F38,D$10-SUM(E$17:E38))</f>
        <v>2640432.1542284535</v>
      </c>
      <c r="E39" s="160">
        <f t="shared" si="2"/>
        <v>123004.51162790698</v>
      </c>
      <c r="F39" s="159">
        <f t="shared" si="3"/>
        <v>2517427.6426005466</v>
      </c>
      <c r="G39" s="161">
        <f t="shared" si="4"/>
        <v>379751.61188936821</v>
      </c>
      <c r="H39" s="142">
        <f t="shared" si="5"/>
        <v>379751.61188936821</v>
      </c>
      <c r="I39" s="156">
        <f t="shared" si="1"/>
        <v>0</v>
      </c>
      <c r="J39" s="156"/>
      <c r="K39" s="334"/>
      <c r="L39" s="158">
        <f t="shared" si="6"/>
        <v>0</v>
      </c>
      <c r="M39" s="334"/>
      <c r="N39" s="158">
        <f t="shared" si="7"/>
        <v>0</v>
      </c>
      <c r="O39" s="158">
        <f t="shared" si="8"/>
        <v>0</v>
      </c>
      <c r="P39" s="4"/>
    </row>
    <row r="40" spans="2:16">
      <c r="B40" s="9" t="str">
        <f t="shared" si="0"/>
        <v/>
      </c>
      <c r="C40" s="153">
        <f>IF(D11="","-",+C39+1)</f>
        <v>2037</v>
      </c>
      <c r="D40" s="159">
        <f>IF(F39+SUM(E$17:E39)=D$10,F39,D$10-SUM(E$17:E39))</f>
        <v>2517427.6426005466</v>
      </c>
      <c r="E40" s="160">
        <f t="shared" si="2"/>
        <v>123004.51162790698</v>
      </c>
      <c r="F40" s="159">
        <f t="shared" si="3"/>
        <v>2394423.1309726397</v>
      </c>
      <c r="G40" s="161">
        <f t="shared" si="4"/>
        <v>367505.81501875218</v>
      </c>
      <c r="H40" s="142">
        <f t="shared" si="5"/>
        <v>367505.81501875218</v>
      </c>
      <c r="I40" s="156">
        <f t="shared" si="1"/>
        <v>0</v>
      </c>
      <c r="J40" s="156"/>
      <c r="K40" s="334"/>
      <c r="L40" s="158">
        <f t="shared" si="6"/>
        <v>0</v>
      </c>
      <c r="M40" s="334"/>
      <c r="N40" s="158">
        <f t="shared" si="7"/>
        <v>0</v>
      </c>
      <c r="O40" s="158">
        <f t="shared" si="8"/>
        <v>0</v>
      </c>
      <c r="P40" s="4"/>
    </row>
    <row r="41" spans="2:16">
      <c r="B41" s="9" t="str">
        <f t="shared" si="0"/>
        <v/>
      </c>
      <c r="C41" s="153">
        <f>IF(D11="","-",+C40+1)</f>
        <v>2038</v>
      </c>
      <c r="D41" s="159">
        <f>IF(F40+SUM(E$17:E40)=D$10,F40,D$10-SUM(E$17:E40))</f>
        <v>2394423.1309726397</v>
      </c>
      <c r="E41" s="160">
        <f t="shared" si="2"/>
        <v>123004.51162790698</v>
      </c>
      <c r="F41" s="159">
        <f t="shared" si="3"/>
        <v>2271418.6193447327</v>
      </c>
      <c r="G41" s="161">
        <f t="shared" si="4"/>
        <v>355260.01814813621</v>
      </c>
      <c r="H41" s="142">
        <f t="shared" si="5"/>
        <v>355260.01814813621</v>
      </c>
      <c r="I41" s="156">
        <f t="shared" si="1"/>
        <v>0</v>
      </c>
      <c r="J41" s="156"/>
      <c r="K41" s="334"/>
      <c r="L41" s="158">
        <f t="shared" si="6"/>
        <v>0</v>
      </c>
      <c r="M41" s="334"/>
      <c r="N41" s="158">
        <f t="shared" si="7"/>
        <v>0</v>
      </c>
      <c r="O41" s="158">
        <f t="shared" si="8"/>
        <v>0</v>
      </c>
      <c r="P41" s="4"/>
    </row>
    <row r="42" spans="2:16">
      <c r="B42" s="9" t="str">
        <f t="shared" si="0"/>
        <v/>
      </c>
      <c r="C42" s="153">
        <f>IF(D11="","-",+C41+1)</f>
        <v>2039</v>
      </c>
      <c r="D42" s="159">
        <f>IF(F41+SUM(E$17:E41)=D$10,F41,D$10-SUM(E$17:E41))</f>
        <v>2271418.6193447327</v>
      </c>
      <c r="E42" s="160">
        <f t="shared" si="2"/>
        <v>123004.51162790698</v>
      </c>
      <c r="F42" s="159">
        <f t="shared" si="3"/>
        <v>2148414.1077168258</v>
      </c>
      <c r="G42" s="161">
        <f t="shared" si="4"/>
        <v>343014.22127752024</v>
      </c>
      <c r="H42" s="142">
        <f t="shared" si="5"/>
        <v>343014.22127752024</v>
      </c>
      <c r="I42" s="156">
        <f t="shared" si="1"/>
        <v>0</v>
      </c>
      <c r="J42" s="156"/>
      <c r="K42" s="334"/>
      <c r="L42" s="158">
        <f t="shared" si="6"/>
        <v>0</v>
      </c>
      <c r="M42" s="334"/>
      <c r="N42" s="158">
        <f t="shared" si="7"/>
        <v>0</v>
      </c>
      <c r="O42" s="158">
        <f t="shared" si="8"/>
        <v>0</v>
      </c>
      <c r="P42" s="4"/>
    </row>
    <row r="43" spans="2:16">
      <c r="B43" s="9" t="str">
        <f t="shared" si="0"/>
        <v/>
      </c>
      <c r="C43" s="153">
        <f>IF(D11="","-",+C42+1)</f>
        <v>2040</v>
      </c>
      <c r="D43" s="159">
        <f>IF(F42+SUM(E$17:E42)=D$10,F42,D$10-SUM(E$17:E42))</f>
        <v>2148414.1077168258</v>
      </c>
      <c r="E43" s="160">
        <f t="shared" si="2"/>
        <v>123004.51162790698</v>
      </c>
      <c r="F43" s="159">
        <f t="shared" si="3"/>
        <v>2025409.5960889189</v>
      </c>
      <c r="G43" s="161">
        <f t="shared" si="4"/>
        <v>330768.42440690426</v>
      </c>
      <c r="H43" s="142">
        <f t="shared" si="5"/>
        <v>330768.42440690426</v>
      </c>
      <c r="I43" s="156">
        <f t="shared" si="1"/>
        <v>0</v>
      </c>
      <c r="J43" s="156"/>
      <c r="K43" s="334"/>
      <c r="L43" s="158">
        <f t="shared" si="6"/>
        <v>0</v>
      </c>
      <c r="M43" s="334"/>
      <c r="N43" s="158">
        <f t="shared" si="7"/>
        <v>0</v>
      </c>
      <c r="O43" s="158">
        <f t="shared" si="8"/>
        <v>0</v>
      </c>
      <c r="P43" s="4"/>
    </row>
    <row r="44" spans="2:16">
      <c r="B44" s="9" t="str">
        <f t="shared" si="0"/>
        <v/>
      </c>
      <c r="C44" s="153">
        <f>IF(D11="","-",+C43+1)</f>
        <v>2041</v>
      </c>
      <c r="D44" s="159">
        <f>IF(F43+SUM(E$17:E43)=D$10,F43,D$10-SUM(E$17:E43))</f>
        <v>2025409.5960889189</v>
      </c>
      <c r="E44" s="160">
        <f t="shared" si="2"/>
        <v>123004.51162790698</v>
      </c>
      <c r="F44" s="159">
        <f t="shared" si="3"/>
        <v>1902405.0844610119</v>
      </c>
      <c r="G44" s="161">
        <f t="shared" si="4"/>
        <v>318522.62753628823</v>
      </c>
      <c r="H44" s="142">
        <f t="shared" si="5"/>
        <v>318522.62753628823</v>
      </c>
      <c r="I44" s="156">
        <f t="shared" si="1"/>
        <v>0</v>
      </c>
      <c r="J44" s="156"/>
      <c r="K44" s="334"/>
      <c r="L44" s="158">
        <f t="shared" si="6"/>
        <v>0</v>
      </c>
      <c r="M44" s="334"/>
      <c r="N44" s="158">
        <f t="shared" si="7"/>
        <v>0</v>
      </c>
      <c r="O44" s="158">
        <f t="shared" si="8"/>
        <v>0</v>
      </c>
      <c r="P44" s="4"/>
    </row>
    <row r="45" spans="2:16">
      <c r="B45" s="9" t="str">
        <f t="shared" si="0"/>
        <v/>
      </c>
      <c r="C45" s="153">
        <f>IF(D11="","-",+C44+1)</f>
        <v>2042</v>
      </c>
      <c r="D45" s="159">
        <f>IF(F44+SUM(E$17:E44)=D$10,F44,D$10-SUM(E$17:E44))</f>
        <v>1902405.0844610119</v>
      </c>
      <c r="E45" s="160">
        <f t="shared" si="2"/>
        <v>123004.51162790698</v>
      </c>
      <c r="F45" s="159">
        <f t="shared" si="3"/>
        <v>1779400.572833105</v>
      </c>
      <c r="G45" s="161">
        <f t="shared" si="4"/>
        <v>306276.83066567226</v>
      </c>
      <c r="H45" s="142">
        <f t="shared" si="5"/>
        <v>306276.83066567226</v>
      </c>
      <c r="I45" s="156">
        <f t="shared" si="1"/>
        <v>0</v>
      </c>
      <c r="J45" s="156"/>
      <c r="K45" s="334"/>
      <c r="L45" s="158">
        <f t="shared" si="6"/>
        <v>0</v>
      </c>
      <c r="M45" s="334"/>
      <c r="N45" s="158">
        <f t="shared" si="7"/>
        <v>0</v>
      </c>
      <c r="O45" s="158">
        <f t="shared" si="8"/>
        <v>0</v>
      </c>
      <c r="P45" s="4"/>
    </row>
    <row r="46" spans="2:16">
      <c r="B46" s="9" t="str">
        <f t="shared" si="0"/>
        <v/>
      </c>
      <c r="C46" s="153">
        <f>IF(D11="","-",+C45+1)</f>
        <v>2043</v>
      </c>
      <c r="D46" s="159">
        <f>IF(F45+SUM(E$17:E45)=D$10,F45,D$10-SUM(E$17:E45))</f>
        <v>1779400.572833105</v>
      </c>
      <c r="E46" s="160">
        <f t="shared" si="2"/>
        <v>123004.51162790698</v>
      </c>
      <c r="F46" s="159">
        <f t="shared" si="3"/>
        <v>1656396.0612051981</v>
      </c>
      <c r="G46" s="161">
        <f t="shared" si="4"/>
        <v>294031.03379505628</v>
      </c>
      <c r="H46" s="142">
        <f t="shared" si="5"/>
        <v>294031.03379505628</v>
      </c>
      <c r="I46" s="156">
        <f t="shared" si="1"/>
        <v>0</v>
      </c>
      <c r="J46" s="156"/>
      <c r="K46" s="334"/>
      <c r="L46" s="158">
        <f t="shared" si="6"/>
        <v>0</v>
      </c>
      <c r="M46" s="334"/>
      <c r="N46" s="158">
        <f t="shared" si="7"/>
        <v>0</v>
      </c>
      <c r="O46" s="158">
        <f t="shared" si="8"/>
        <v>0</v>
      </c>
      <c r="P46" s="4"/>
    </row>
    <row r="47" spans="2:16">
      <c r="B47" s="9" t="str">
        <f t="shared" si="0"/>
        <v/>
      </c>
      <c r="C47" s="153">
        <f>IF(D11="","-",+C46+1)</f>
        <v>2044</v>
      </c>
      <c r="D47" s="159">
        <f>IF(F46+SUM(E$17:E46)=D$10,F46,D$10-SUM(E$17:E46))</f>
        <v>1656396.0612051981</v>
      </c>
      <c r="E47" s="160">
        <f t="shared" si="2"/>
        <v>123004.51162790698</v>
      </c>
      <c r="F47" s="159">
        <f t="shared" si="3"/>
        <v>1533391.5495772911</v>
      </c>
      <c r="G47" s="161">
        <f t="shared" si="4"/>
        <v>281785.23692444031</v>
      </c>
      <c r="H47" s="142">
        <f t="shared" si="5"/>
        <v>281785.23692444031</v>
      </c>
      <c r="I47" s="156">
        <f t="shared" si="1"/>
        <v>0</v>
      </c>
      <c r="J47" s="156"/>
      <c r="K47" s="334"/>
      <c r="L47" s="158">
        <f t="shared" si="6"/>
        <v>0</v>
      </c>
      <c r="M47" s="334"/>
      <c r="N47" s="158">
        <f t="shared" si="7"/>
        <v>0</v>
      </c>
      <c r="O47" s="158">
        <f t="shared" si="8"/>
        <v>0</v>
      </c>
      <c r="P47" s="4"/>
    </row>
    <row r="48" spans="2:16">
      <c r="B48" s="9" t="str">
        <f t="shared" si="0"/>
        <v/>
      </c>
      <c r="C48" s="153">
        <f>IF(D11="","-",+C47+1)</f>
        <v>2045</v>
      </c>
      <c r="D48" s="159">
        <f>IF(F47+SUM(E$17:E47)=D$10,F47,D$10-SUM(E$17:E47))</f>
        <v>1533391.5495772911</v>
      </c>
      <c r="E48" s="160">
        <f t="shared" si="2"/>
        <v>123004.51162790698</v>
      </c>
      <c r="F48" s="159">
        <f t="shared" si="3"/>
        <v>1410387.0379493842</v>
      </c>
      <c r="G48" s="161">
        <f t="shared" si="4"/>
        <v>269539.44005382428</v>
      </c>
      <c r="H48" s="142">
        <f t="shared" si="5"/>
        <v>269539.44005382428</v>
      </c>
      <c r="I48" s="156">
        <f t="shared" si="1"/>
        <v>0</v>
      </c>
      <c r="J48" s="156"/>
      <c r="K48" s="334"/>
      <c r="L48" s="158">
        <f t="shared" si="6"/>
        <v>0</v>
      </c>
      <c r="M48" s="334"/>
      <c r="N48" s="158">
        <f t="shared" si="7"/>
        <v>0</v>
      </c>
      <c r="O48" s="158">
        <f t="shared" si="8"/>
        <v>0</v>
      </c>
      <c r="P48" s="4"/>
    </row>
    <row r="49" spans="2:16">
      <c r="B49" s="9" t="str">
        <f t="shared" si="0"/>
        <v/>
      </c>
      <c r="C49" s="153">
        <f>IF(D11="","-",+C48+1)</f>
        <v>2046</v>
      </c>
      <c r="D49" s="159">
        <f>IF(F48+SUM(E$17:E48)=D$10,F48,D$10-SUM(E$17:E48))</f>
        <v>1410387.0379493842</v>
      </c>
      <c r="E49" s="160">
        <f t="shared" si="2"/>
        <v>123004.51162790698</v>
      </c>
      <c r="F49" s="159">
        <f t="shared" si="3"/>
        <v>1287382.5263214773</v>
      </c>
      <c r="G49" s="161">
        <f t="shared" si="4"/>
        <v>257293.6431832083</v>
      </c>
      <c r="H49" s="142">
        <f t="shared" si="5"/>
        <v>257293.6431832083</v>
      </c>
      <c r="I49" s="156">
        <f t="shared" si="1"/>
        <v>0</v>
      </c>
      <c r="J49" s="156"/>
      <c r="K49" s="334"/>
      <c r="L49" s="158">
        <f t="shared" si="6"/>
        <v>0</v>
      </c>
      <c r="M49" s="334"/>
      <c r="N49" s="158">
        <f t="shared" si="7"/>
        <v>0</v>
      </c>
      <c r="O49" s="158">
        <f t="shared" si="8"/>
        <v>0</v>
      </c>
      <c r="P49" s="4"/>
    </row>
    <row r="50" spans="2:16">
      <c r="B50" s="9" t="str">
        <f t="shared" si="0"/>
        <v/>
      </c>
      <c r="C50" s="153">
        <f>IF(D11="","-",+C49+1)</f>
        <v>2047</v>
      </c>
      <c r="D50" s="159">
        <f>IF(F49+SUM(E$17:E49)=D$10,F49,D$10-SUM(E$17:E49))</f>
        <v>1287382.5263214773</v>
      </c>
      <c r="E50" s="160">
        <f t="shared" si="2"/>
        <v>123004.51162790698</v>
      </c>
      <c r="F50" s="159">
        <f t="shared" si="3"/>
        <v>1164378.0146935703</v>
      </c>
      <c r="G50" s="161">
        <f t="shared" si="4"/>
        <v>245047.84631259233</v>
      </c>
      <c r="H50" s="142">
        <f t="shared" si="5"/>
        <v>245047.84631259233</v>
      </c>
      <c r="I50" s="156">
        <f t="shared" si="1"/>
        <v>0</v>
      </c>
      <c r="J50" s="156"/>
      <c r="K50" s="334"/>
      <c r="L50" s="158">
        <f t="shared" si="6"/>
        <v>0</v>
      </c>
      <c r="M50" s="334"/>
      <c r="N50" s="158">
        <f t="shared" si="7"/>
        <v>0</v>
      </c>
      <c r="O50" s="158">
        <f t="shared" si="8"/>
        <v>0</v>
      </c>
      <c r="P50" s="4"/>
    </row>
    <row r="51" spans="2:16">
      <c r="B51" s="9" t="str">
        <f t="shared" si="0"/>
        <v/>
      </c>
      <c r="C51" s="153">
        <f>IF(D11="","-",+C50+1)</f>
        <v>2048</v>
      </c>
      <c r="D51" s="159">
        <f>IF(F50+SUM(E$17:E50)=D$10,F50,D$10-SUM(E$17:E50))</f>
        <v>1164378.0146935703</v>
      </c>
      <c r="E51" s="160">
        <f t="shared" si="2"/>
        <v>123004.51162790698</v>
      </c>
      <c r="F51" s="159">
        <f t="shared" si="3"/>
        <v>1041373.5030656634</v>
      </c>
      <c r="G51" s="161">
        <f t="shared" si="4"/>
        <v>232802.04944197636</v>
      </c>
      <c r="H51" s="142">
        <f t="shared" si="5"/>
        <v>232802.04944197636</v>
      </c>
      <c r="I51" s="156">
        <f t="shared" si="1"/>
        <v>0</v>
      </c>
      <c r="J51" s="156"/>
      <c r="K51" s="334"/>
      <c r="L51" s="158">
        <f t="shared" si="6"/>
        <v>0</v>
      </c>
      <c r="M51" s="334"/>
      <c r="N51" s="158">
        <f t="shared" si="7"/>
        <v>0</v>
      </c>
      <c r="O51" s="158">
        <f t="shared" si="8"/>
        <v>0</v>
      </c>
      <c r="P51" s="4"/>
    </row>
    <row r="52" spans="2:16">
      <c r="B52" s="9" t="str">
        <f t="shared" si="0"/>
        <v/>
      </c>
      <c r="C52" s="153">
        <f>IF(D11="","-",+C51+1)</f>
        <v>2049</v>
      </c>
      <c r="D52" s="159">
        <f>IF(F51+SUM(E$17:E51)=D$10,F51,D$10-SUM(E$17:E51))</f>
        <v>1041373.5030656634</v>
      </c>
      <c r="E52" s="160">
        <f t="shared" si="2"/>
        <v>123004.51162790698</v>
      </c>
      <c r="F52" s="159">
        <f t="shared" si="3"/>
        <v>918368.99143775646</v>
      </c>
      <c r="G52" s="161">
        <f t="shared" ref="G52:G72" si="9">+I$12*((D52+F52)/2)+E52</f>
        <v>220556.25257136035</v>
      </c>
      <c r="H52" s="142">
        <f t="shared" ref="H52:H72" si="10">+I$13*((D52+F52)/2)+E52</f>
        <v>220556.25257136035</v>
      </c>
      <c r="I52" s="156">
        <f t="shared" si="1"/>
        <v>0</v>
      </c>
      <c r="J52" s="156"/>
      <c r="K52" s="334"/>
      <c r="L52" s="158">
        <f t="shared" si="6"/>
        <v>0</v>
      </c>
      <c r="M52" s="334"/>
      <c r="N52" s="158">
        <f t="shared" si="7"/>
        <v>0</v>
      </c>
      <c r="O52" s="158">
        <f t="shared" si="8"/>
        <v>0</v>
      </c>
      <c r="P52" s="4"/>
    </row>
    <row r="53" spans="2:16">
      <c r="B53" s="9" t="str">
        <f t="shared" si="0"/>
        <v/>
      </c>
      <c r="C53" s="153">
        <f>IF(D11="","-",+C52+1)</f>
        <v>2050</v>
      </c>
      <c r="D53" s="159">
        <f>IF(F52+SUM(E$17:E52)=D$10,F52,D$10-SUM(E$17:E52))</f>
        <v>918368.99143775646</v>
      </c>
      <c r="E53" s="160">
        <f t="shared" si="2"/>
        <v>123004.51162790698</v>
      </c>
      <c r="F53" s="159">
        <f t="shared" si="3"/>
        <v>795364.47980984952</v>
      </c>
      <c r="G53" s="161">
        <f t="shared" si="9"/>
        <v>208310.45570074435</v>
      </c>
      <c r="H53" s="142">
        <f t="shared" si="10"/>
        <v>208310.45570074435</v>
      </c>
      <c r="I53" s="156">
        <f t="shared" si="1"/>
        <v>0</v>
      </c>
      <c r="J53" s="156"/>
      <c r="K53" s="334"/>
      <c r="L53" s="158">
        <f t="shared" si="6"/>
        <v>0</v>
      </c>
      <c r="M53" s="334"/>
      <c r="N53" s="158">
        <f t="shared" si="7"/>
        <v>0</v>
      </c>
      <c r="O53" s="158">
        <f t="shared" si="8"/>
        <v>0</v>
      </c>
      <c r="P53" s="4"/>
    </row>
    <row r="54" spans="2:16">
      <c r="B54" s="9" t="str">
        <f t="shared" si="0"/>
        <v/>
      </c>
      <c r="C54" s="153">
        <f>IF(D11="","-",+C53+1)</f>
        <v>2051</v>
      </c>
      <c r="D54" s="159">
        <f>IF(F53+SUM(E$17:E53)=D$10,F53,D$10-SUM(E$17:E53))</f>
        <v>795364.47980984952</v>
      </c>
      <c r="E54" s="160">
        <f t="shared" si="2"/>
        <v>123004.51162790698</v>
      </c>
      <c r="F54" s="159">
        <f t="shared" si="3"/>
        <v>672359.96818194259</v>
      </c>
      <c r="G54" s="161">
        <f t="shared" si="9"/>
        <v>196064.65883012838</v>
      </c>
      <c r="H54" s="142">
        <f t="shared" si="10"/>
        <v>196064.65883012838</v>
      </c>
      <c r="I54" s="156">
        <f t="shared" si="1"/>
        <v>0</v>
      </c>
      <c r="J54" s="156"/>
      <c r="K54" s="334"/>
      <c r="L54" s="158">
        <f t="shared" si="6"/>
        <v>0</v>
      </c>
      <c r="M54" s="334"/>
      <c r="N54" s="158">
        <f t="shared" si="7"/>
        <v>0</v>
      </c>
      <c r="O54" s="158">
        <f t="shared" si="8"/>
        <v>0</v>
      </c>
      <c r="P54" s="4"/>
    </row>
    <row r="55" spans="2:16">
      <c r="B55" s="9" t="str">
        <f t="shared" si="0"/>
        <v/>
      </c>
      <c r="C55" s="153">
        <f>IF(D11="","-",+C54+1)</f>
        <v>2052</v>
      </c>
      <c r="D55" s="159">
        <f>IF(F54+SUM(E$17:E54)=D$10,F54,D$10-SUM(E$17:E54))</f>
        <v>672359.96818194259</v>
      </c>
      <c r="E55" s="160">
        <f t="shared" si="2"/>
        <v>123004.51162790698</v>
      </c>
      <c r="F55" s="159">
        <f t="shared" si="3"/>
        <v>549355.45655403566</v>
      </c>
      <c r="G55" s="161">
        <f t="shared" si="9"/>
        <v>183818.86195951237</v>
      </c>
      <c r="H55" s="142">
        <f t="shared" si="10"/>
        <v>183818.86195951237</v>
      </c>
      <c r="I55" s="156">
        <f t="shared" si="1"/>
        <v>0</v>
      </c>
      <c r="J55" s="156"/>
      <c r="K55" s="334"/>
      <c r="L55" s="158">
        <f t="shared" si="6"/>
        <v>0</v>
      </c>
      <c r="M55" s="334"/>
      <c r="N55" s="158">
        <f t="shared" si="7"/>
        <v>0</v>
      </c>
      <c r="O55" s="158">
        <f t="shared" si="8"/>
        <v>0</v>
      </c>
      <c r="P55" s="4"/>
    </row>
    <row r="56" spans="2:16">
      <c r="B56" s="9" t="str">
        <f t="shared" si="0"/>
        <v/>
      </c>
      <c r="C56" s="153">
        <f>IF(D11="","-",+C55+1)</f>
        <v>2053</v>
      </c>
      <c r="D56" s="159">
        <f>IF(F55+SUM(E$17:E55)=D$10,F55,D$10-SUM(E$17:E55))</f>
        <v>549355.45655403566</v>
      </c>
      <c r="E56" s="160">
        <f t="shared" si="2"/>
        <v>123004.51162790698</v>
      </c>
      <c r="F56" s="159">
        <f t="shared" si="3"/>
        <v>426350.94492612866</v>
      </c>
      <c r="G56" s="161">
        <f t="shared" si="9"/>
        <v>171573.0650888964</v>
      </c>
      <c r="H56" s="142">
        <f t="shared" si="10"/>
        <v>171573.0650888964</v>
      </c>
      <c r="I56" s="156">
        <f t="shared" si="1"/>
        <v>0</v>
      </c>
      <c r="J56" s="156"/>
      <c r="K56" s="334"/>
      <c r="L56" s="158">
        <f t="shared" si="6"/>
        <v>0</v>
      </c>
      <c r="M56" s="334"/>
      <c r="N56" s="158">
        <f t="shared" si="7"/>
        <v>0</v>
      </c>
      <c r="O56" s="158">
        <f t="shared" si="8"/>
        <v>0</v>
      </c>
      <c r="P56" s="4"/>
    </row>
    <row r="57" spans="2:16">
      <c r="B57" s="9" t="str">
        <f t="shared" si="0"/>
        <v/>
      </c>
      <c r="C57" s="153">
        <f>IF(D11="","-",+C56+1)</f>
        <v>2054</v>
      </c>
      <c r="D57" s="159">
        <f>IF(F56+SUM(E$17:E56)=D$10,F56,D$10-SUM(E$17:E56))</f>
        <v>426350.94492612866</v>
      </c>
      <c r="E57" s="160">
        <f t="shared" si="2"/>
        <v>123004.51162790698</v>
      </c>
      <c r="F57" s="159">
        <f t="shared" si="3"/>
        <v>303346.43329822167</v>
      </c>
      <c r="G57" s="161">
        <f t="shared" si="9"/>
        <v>159327.2682182804</v>
      </c>
      <c r="H57" s="142">
        <f t="shared" si="10"/>
        <v>159327.2682182804</v>
      </c>
      <c r="I57" s="156">
        <f t="shared" si="1"/>
        <v>0</v>
      </c>
      <c r="J57" s="156"/>
      <c r="K57" s="334"/>
      <c r="L57" s="158">
        <f t="shared" si="6"/>
        <v>0</v>
      </c>
      <c r="M57" s="334"/>
      <c r="N57" s="158">
        <f t="shared" si="7"/>
        <v>0</v>
      </c>
      <c r="O57" s="158">
        <f t="shared" si="8"/>
        <v>0</v>
      </c>
      <c r="P57" s="4"/>
    </row>
    <row r="58" spans="2:16">
      <c r="B58" s="9" t="str">
        <f t="shared" si="0"/>
        <v/>
      </c>
      <c r="C58" s="153">
        <f>IF(D11="","-",+C57+1)</f>
        <v>2055</v>
      </c>
      <c r="D58" s="159">
        <f>IF(F57+SUM(E$17:E57)=D$10,F57,D$10-SUM(E$17:E57))</f>
        <v>303346.43329822167</v>
      </c>
      <c r="E58" s="160">
        <f t="shared" si="2"/>
        <v>123004.51162790698</v>
      </c>
      <c r="F58" s="159">
        <f t="shared" si="3"/>
        <v>180341.92167031468</v>
      </c>
      <c r="G58" s="161">
        <f t="shared" si="9"/>
        <v>147081.4713476644</v>
      </c>
      <c r="H58" s="142">
        <f t="shared" si="10"/>
        <v>147081.4713476644</v>
      </c>
      <c r="I58" s="156">
        <f t="shared" si="1"/>
        <v>0</v>
      </c>
      <c r="J58" s="156"/>
      <c r="K58" s="334"/>
      <c r="L58" s="158">
        <f t="shared" si="6"/>
        <v>0</v>
      </c>
      <c r="M58" s="334"/>
      <c r="N58" s="158">
        <f t="shared" si="7"/>
        <v>0</v>
      </c>
      <c r="O58" s="158">
        <f t="shared" si="8"/>
        <v>0</v>
      </c>
      <c r="P58" s="4"/>
    </row>
    <row r="59" spans="2:16">
      <c r="B59" s="9" t="str">
        <f t="shared" si="0"/>
        <v/>
      </c>
      <c r="C59" s="153">
        <f>IF(D11="","-",+C58+1)</f>
        <v>2056</v>
      </c>
      <c r="D59" s="159">
        <f>IF(F58+SUM(E$17:E58)=D$10,F58,D$10-SUM(E$17:E58))</f>
        <v>180341.92167031468</v>
      </c>
      <c r="E59" s="160">
        <f t="shared" si="2"/>
        <v>123004.51162790698</v>
      </c>
      <c r="F59" s="159">
        <f t="shared" si="3"/>
        <v>57337.410042407704</v>
      </c>
      <c r="G59" s="161">
        <f t="shared" si="9"/>
        <v>134835.67447704839</v>
      </c>
      <c r="H59" s="142">
        <f t="shared" si="10"/>
        <v>134835.67447704839</v>
      </c>
      <c r="I59" s="156">
        <f t="shared" si="1"/>
        <v>0</v>
      </c>
      <c r="J59" s="156"/>
      <c r="K59" s="334"/>
      <c r="L59" s="158">
        <f t="shared" si="6"/>
        <v>0</v>
      </c>
      <c r="M59" s="334"/>
      <c r="N59" s="158">
        <f t="shared" si="7"/>
        <v>0</v>
      </c>
      <c r="O59" s="158">
        <f t="shared" si="8"/>
        <v>0</v>
      </c>
      <c r="P59" s="4"/>
    </row>
    <row r="60" spans="2:16">
      <c r="B60" s="9" t="str">
        <f t="shared" si="0"/>
        <v/>
      </c>
      <c r="C60" s="153">
        <f>IF(D11="","-",+C59+1)</f>
        <v>2057</v>
      </c>
      <c r="D60" s="159">
        <f>IF(F59+SUM(E$17:E59)=D$10,F59,D$10-SUM(E$17:E59))</f>
        <v>57337.410042407704</v>
      </c>
      <c r="E60" s="160">
        <f t="shared" si="2"/>
        <v>57337.410042407704</v>
      </c>
      <c r="F60" s="159">
        <f t="shared" si="3"/>
        <v>0</v>
      </c>
      <c r="G60" s="161">
        <f t="shared" si="9"/>
        <v>60191.542249324419</v>
      </c>
      <c r="H60" s="142">
        <f t="shared" si="10"/>
        <v>60191.542249324419</v>
      </c>
      <c r="I60" s="156">
        <f t="shared" si="1"/>
        <v>0</v>
      </c>
      <c r="J60" s="156"/>
      <c r="K60" s="334"/>
      <c r="L60" s="158">
        <f t="shared" si="6"/>
        <v>0</v>
      </c>
      <c r="M60" s="334"/>
      <c r="N60" s="158">
        <f t="shared" si="7"/>
        <v>0</v>
      </c>
      <c r="O60" s="158">
        <f t="shared" si="8"/>
        <v>0</v>
      </c>
      <c r="P60" s="4"/>
    </row>
    <row r="61" spans="2:16">
      <c r="B61" s="9" t="str">
        <f t="shared" si="0"/>
        <v/>
      </c>
      <c r="C61" s="153">
        <f>IF(D11="","-",+C60+1)</f>
        <v>2058</v>
      </c>
      <c r="D61" s="159">
        <f>IF(F60+SUM(E$17:E60)=D$10,F60,D$10-SUM(E$17:E60))</f>
        <v>0</v>
      </c>
      <c r="E61" s="160">
        <f t="shared" si="2"/>
        <v>0</v>
      </c>
      <c r="F61" s="159">
        <f t="shared" si="3"/>
        <v>0</v>
      </c>
      <c r="G61" s="161">
        <f t="shared" si="9"/>
        <v>0</v>
      </c>
      <c r="H61" s="142">
        <f t="shared" si="10"/>
        <v>0</v>
      </c>
      <c r="I61" s="156">
        <f t="shared" si="1"/>
        <v>0</v>
      </c>
      <c r="J61" s="156"/>
      <c r="K61" s="334"/>
      <c r="L61" s="158">
        <f t="shared" si="6"/>
        <v>0</v>
      </c>
      <c r="M61" s="334"/>
      <c r="N61" s="158">
        <f t="shared" si="7"/>
        <v>0</v>
      </c>
      <c r="O61" s="158">
        <f t="shared" si="8"/>
        <v>0</v>
      </c>
      <c r="P61" s="4"/>
    </row>
    <row r="62" spans="2:16">
      <c r="B62" s="9" t="str">
        <f t="shared" si="0"/>
        <v/>
      </c>
      <c r="C62" s="153">
        <f>IF(D11="","-",+C61+1)</f>
        <v>2059</v>
      </c>
      <c r="D62" s="159">
        <f>IF(F61+SUM(E$17:E61)=D$10,F61,D$10-SUM(E$17:E61))</f>
        <v>0</v>
      </c>
      <c r="E62" s="160">
        <f t="shared" si="2"/>
        <v>0</v>
      </c>
      <c r="F62" s="159">
        <f t="shared" si="3"/>
        <v>0</v>
      </c>
      <c r="G62" s="161">
        <f t="shared" si="9"/>
        <v>0</v>
      </c>
      <c r="H62" s="142">
        <f t="shared" si="10"/>
        <v>0</v>
      </c>
      <c r="I62" s="156">
        <f t="shared" si="1"/>
        <v>0</v>
      </c>
      <c r="J62" s="156"/>
      <c r="K62" s="334"/>
      <c r="L62" s="158">
        <f t="shared" si="6"/>
        <v>0</v>
      </c>
      <c r="M62" s="334"/>
      <c r="N62" s="158">
        <f t="shared" si="7"/>
        <v>0</v>
      </c>
      <c r="O62" s="158">
        <f t="shared" si="8"/>
        <v>0</v>
      </c>
      <c r="P62" s="4"/>
    </row>
    <row r="63" spans="2:16">
      <c r="B63" s="9" t="str">
        <f t="shared" si="0"/>
        <v/>
      </c>
      <c r="C63" s="153">
        <f>IF(D11="","-",+C62+1)</f>
        <v>2060</v>
      </c>
      <c r="D63" s="159">
        <f>IF(F62+SUM(E$17:E62)=D$10,F62,D$10-SUM(E$17:E62))</f>
        <v>0</v>
      </c>
      <c r="E63" s="160">
        <f t="shared" si="2"/>
        <v>0</v>
      </c>
      <c r="F63" s="159">
        <f t="shared" si="3"/>
        <v>0</v>
      </c>
      <c r="G63" s="161">
        <f t="shared" si="9"/>
        <v>0</v>
      </c>
      <c r="H63" s="142">
        <f t="shared" si="10"/>
        <v>0</v>
      </c>
      <c r="I63" s="156">
        <f t="shared" si="1"/>
        <v>0</v>
      </c>
      <c r="J63" s="156"/>
      <c r="K63" s="334"/>
      <c r="L63" s="158">
        <f t="shared" si="6"/>
        <v>0</v>
      </c>
      <c r="M63" s="334"/>
      <c r="N63" s="158">
        <f t="shared" si="7"/>
        <v>0</v>
      </c>
      <c r="O63" s="158">
        <f t="shared" si="8"/>
        <v>0</v>
      </c>
      <c r="P63" s="4"/>
    </row>
    <row r="64" spans="2:16">
      <c r="B64" s="9" t="str">
        <f t="shared" si="0"/>
        <v/>
      </c>
      <c r="C64" s="153">
        <f>IF(D11="","-",+C63+1)</f>
        <v>2061</v>
      </c>
      <c r="D64" s="159">
        <f>IF(F63+SUM(E$17:E63)=D$10,F63,D$10-SUM(E$17:E63))</f>
        <v>0</v>
      </c>
      <c r="E64" s="160">
        <f t="shared" si="2"/>
        <v>0</v>
      </c>
      <c r="F64" s="159">
        <f t="shared" si="3"/>
        <v>0</v>
      </c>
      <c r="G64" s="161">
        <f t="shared" si="9"/>
        <v>0</v>
      </c>
      <c r="H64" s="142">
        <f t="shared" si="10"/>
        <v>0</v>
      </c>
      <c r="I64" s="156">
        <f t="shared" si="1"/>
        <v>0</v>
      </c>
      <c r="J64" s="156"/>
      <c r="K64" s="334"/>
      <c r="L64" s="158">
        <f t="shared" si="6"/>
        <v>0</v>
      </c>
      <c r="M64" s="334"/>
      <c r="N64" s="158">
        <f t="shared" si="7"/>
        <v>0</v>
      </c>
      <c r="O64" s="158">
        <f t="shared" si="8"/>
        <v>0</v>
      </c>
      <c r="P64" s="4"/>
    </row>
    <row r="65" spans="2:16">
      <c r="B65" s="9" t="str">
        <f t="shared" si="0"/>
        <v/>
      </c>
      <c r="C65" s="153">
        <f>IF(D11="","-",+C64+1)</f>
        <v>2062</v>
      </c>
      <c r="D65" s="159">
        <f>IF(F64+SUM(E$17:E64)=D$10,F64,D$10-SUM(E$17:E64))</f>
        <v>0</v>
      </c>
      <c r="E65" s="160">
        <f t="shared" si="2"/>
        <v>0</v>
      </c>
      <c r="F65" s="159">
        <f t="shared" si="3"/>
        <v>0</v>
      </c>
      <c r="G65" s="161">
        <f t="shared" si="9"/>
        <v>0</v>
      </c>
      <c r="H65" s="142">
        <f t="shared" si="10"/>
        <v>0</v>
      </c>
      <c r="I65" s="156">
        <f t="shared" si="1"/>
        <v>0</v>
      </c>
      <c r="J65" s="156"/>
      <c r="K65" s="334"/>
      <c r="L65" s="158">
        <f t="shared" si="6"/>
        <v>0</v>
      </c>
      <c r="M65" s="334"/>
      <c r="N65" s="158">
        <f t="shared" si="7"/>
        <v>0</v>
      </c>
      <c r="O65" s="158">
        <f t="shared" si="8"/>
        <v>0</v>
      </c>
      <c r="P65" s="4"/>
    </row>
    <row r="66" spans="2:16">
      <c r="B66" s="9" t="str">
        <f t="shared" si="0"/>
        <v/>
      </c>
      <c r="C66" s="153">
        <f>IF(D11="","-",+C65+1)</f>
        <v>2063</v>
      </c>
      <c r="D66" s="159">
        <f>IF(F65+SUM(E$17:E65)=D$10,F65,D$10-SUM(E$17:E65))</f>
        <v>0</v>
      </c>
      <c r="E66" s="160">
        <f t="shared" si="2"/>
        <v>0</v>
      </c>
      <c r="F66" s="159">
        <f t="shared" si="3"/>
        <v>0</v>
      </c>
      <c r="G66" s="161">
        <f t="shared" si="9"/>
        <v>0</v>
      </c>
      <c r="H66" s="142">
        <f t="shared" si="10"/>
        <v>0</v>
      </c>
      <c r="I66" s="156">
        <f t="shared" si="1"/>
        <v>0</v>
      </c>
      <c r="J66" s="156"/>
      <c r="K66" s="334"/>
      <c r="L66" s="158">
        <f t="shared" si="6"/>
        <v>0</v>
      </c>
      <c r="M66" s="334"/>
      <c r="N66" s="158">
        <f t="shared" si="7"/>
        <v>0</v>
      </c>
      <c r="O66" s="158">
        <f t="shared" si="8"/>
        <v>0</v>
      </c>
      <c r="P66" s="4"/>
    </row>
    <row r="67" spans="2:16">
      <c r="B67" s="9" t="str">
        <f t="shared" si="0"/>
        <v/>
      </c>
      <c r="C67" s="153">
        <f>IF(D11="","-",+C66+1)</f>
        <v>2064</v>
      </c>
      <c r="D67" s="159">
        <f>IF(F66+SUM(E$17:E66)=D$10,F66,D$10-SUM(E$17:E66))</f>
        <v>0</v>
      </c>
      <c r="E67" s="160">
        <f t="shared" si="2"/>
        <v>0</v>
      </c>
      <c r="F67" s="159">
        <f t="shared" si="3"/>
        <v>0</v>
      </c>
      <c r="G67" s="161">
        <f t="shared" si="9"/>
        <v>0</v>
      </c>
      <c r="H67" s="142">
        <f t="shared" si="10"/>
        <v>0</v>
      </c>
      <c r="I67" s="156">
        <f t="shared" si="1"/>
        <v>0</v>
      </c>
      <c r="J67" s="156"/>
      <c r="K67" s="334"/>
      <c r="L67" s="158">
        <f t="shared" si="6"/>
        <v>0</v>
      </c>
      <c r="M67" s="334"/>
      <c r="N67" s="158">
        <f t="shared" si="7"/>
        <v>0</v>
      </c>
      <c r="O67" s="158">
        <f t="shared" si="8"/>
        <v>0</v>
      </c>
      <c r="P67" s="4"/>
    </row>
    <row r="68" spans="2:16">
      <c r="B68" s="9" t="str">
        <f t="shared" si="0"/>
        <v/>
      </c>
      <c r="C68" s="153">
        <f>IF(D11="","-",+C67+1)</f>
        <v>2065</v>
      </c>
      <c r="D68" s="159">
        <f>IF(F67+SUM(E$17:E67)=D$10,F67,D$10-SUM(E$17:E67))</f>
        <v>0</v>
      </c>
      <c r="E68" s="160">
        <f t="shared" si="2"/>
        <v>0</v>
      </c>
      <c r="F68" s="159">
        <f t="shared" si="3"/>
        <v>0</v>
      </c>
      <c r="G68" s="161">
        <f t="shared" si="9"/>
        <v>0</v>
      </c>
      <c r="H68" s="142">
        <f t="shared" si="10"/>
        <v>0</v>
      </c>
      <c r="I68" s="156">
        <f t="shared" si="1"/>
        <v>0</v>
      </c>
      <c r="J68" s="156"/>
      <c r="K68" s="334"/>
      <c r="L68" s="158">
        <f t="shared" si="6"/>
        <v>0</v>
      </c>
      <c r="M68" s="334"/>
      <c r="N68" s="158">
        <f t="shared" si="7"/>
        <v>0</v>
      </c>
      <c r="O68" s="158">
        <f t="shared" si="8"/>
        <v>0</v>
      </c>
      <c r="P68" s="4"/>
    </row>
    <row r="69" spans="2:16">
      <c r="B69" s="9" t="str">
        <f t="shared" si="0"/>
        <v/>
      </c>
      <c r="C69" s="153">
        <f>IF(D11="","-",+C68+1)</f>
        <v>2066</v>
      </c>
      <c r="D69" s="159">
        <f>IF(F68+SUM(E$17:E68)=D$10,F68,D$10-SUM(E$17:E68))</f>
        <v>0</v>
      </c>
      <c r="E69" s="160">
        <f t="shared" si="2"/>
        <v>0</v>
      </c>
      <c r="F69" s="159">
        <f t="shared" si="3"/>
        <v>0</v>
      </c>
      <c r="G69" s="161">
        <f t="shared" si="9"/>
        <v>0</v>
      </c>
      <c r="H69" s="142">
        <f t="shared" si="10"/>
        <v>0</v>
      </c>
      <c r="I69" s="156">
        <f t="shared" si="1"/>
        <v>0</v>
      </c>
      <c r="J69" s="156"/>
      <c r="K69" s="334"/>
      <c r="L69" s="158">
        <f t="shared" si="6"/>
        <v>0</v>
      </c>
      <c r="M69" s="334"/>
      <c r="N69" s="158">
        <f t="shared" si="7"/>
        <v>0</v>
      </c>
      <c r="O69" s="158">
        <f t="shared" si="8"/>
        <v>0</v>
      </c>
      <c r="P69" s="4"/>
    </row>
    <row r="70" spans="2:16">
      <c r="B70" s="9" t="str">
        <f t="shared" si="0"/>
        <v/>
      </c>
      <c r="C70" s="153">
        <f>IF(D11="","-",+C69+1)</f>
        <v>2067</v>
      </c>
      <c r="D70" s="159">
        <f>IF(F69+SUM(E$17:E69)=D$10,F69,D$10-SUM(E$17:E69))</f>
        <v>0</v>
      </c>
      <c r="E70" s="160">
        <f t="shared" si="2"/>
        <v>0</v>
      </c>
      <c r="F70" s="159">
        <f t="shared" si="3"/>
        <v>0</v>
      </c>
      <c r="G70" s="161">
        <f t="shared" si="9"/>
        <v>0</v>
      </c>
      <c r="H70" s="142">
        <f t="shared" si="10"/>
        <v>0</v>
      </c>
      <c r="I70" s="156">
        <f t="shared" si="1"/>
        <v>0</v>
      </c>
      <c r="J70" s="156"/>
      <c r="K70" s="334"/>
      <c r="L70" s="158">
        <f t="shared" si="6"/>
        <v>0</v>
      </c>
      <c r="M70" s="334"/>
      <c r="N70" s="158">
        <f t="shared" si="7"/>
        <v>0</v>
      </c>
      <c r="O70" s="158">
        <f t="shared" si="8"/>
        <v>0</v>
      </c>
      <c r="P70" s="4"/>
    </row>
    <row r="71" spans="2:16">
      <c r="B71" s="9" t="str">
        <f t="shared" si="0"/>
        <v/>
      </c>
      <c r="C71" s="153">
        <f>IF(D11="","-",+C70+1)</f>
        <v>2068</v>
      </c>
      <c r="D71" s="159">
        <f>IF(F70+SUM(E$17:E70)=D$10,F70,D$10-SUM(E$17:E70))</f>
        <v>0</v>
      </c>
      <c r="E71" s="160">
        <f t="shared" si="2"/>
        <v>0</v>
      </c>
      <c r="F71" s="159">
        <f t="shared" si="3"/>
        <v>0</v>
      </c>
      <c r="G71" s="161">
        <f t="shared" si="9"/>
        <v>0</v>
      </c>
      <c r="H71" s="142">
        <f t="shared" si="10"/>
        <v>0</v>
      </c>
      <c r="I71" s="156">
        <f t="shared" si="1"/>
        <v>0</v>
      </c>
      <c r="J71" s="156"/>
      <c r="K71" s="334"/>
      <c r="L71" s="158">
        <f t="shared" si="6"/>
        <v>0</v>
      </c>
      <c r="M71" s="334"/>
      <c r="N71" s="158">
        <f t="shared" si="7"/>
        <v>0</v>
      </c>
      <c r="O71" s="158">
        <f t="shared" si="8"/>
        <v>0</v>
      </c>
      <c r="P71" s="4"/>
    </row>
    <row r="72" spans="2:16" ht="13.5" thickBot="1">
      <c r="B72" s="9" t="str">
        <f t="shared" si="0"/>
        <v/>
      </c>
      <c r="C72" s="164">
        <f>IF(D11="","-",+C71+1)</f>
        <v>2069</v>
      </c>
      <c r="D72" s="159">
        <f>IF(F71+SUM(E$17:E71)=D$10,F71,D$10-SUM(E$17:E71))</f>
        <v>0</v>
      </c>
      <c r="E72" s="160">
        <f t="shared" si="2"/>
        <v>0</v>
      </c>
      <c r="F72" s="159">
        <f t="shared" si="3"/>
        <v>0</v>
      </c>
      <c r="G72" s="161">
        <f t="shared" si="9"/>
        <v>0</v>
      </c>
      <c r="H72" s="142">
        <f t="shared" si="10"/>
        <v>0</v>
      </c>
      <c r="I72" s="156">
        <f t="shared" si="1"/>
        <v>0</v>
      </c>
      <c r="J72" s="156"/>
      <c r="K72" s="335"/>
      <c r="L72" s="169">
        <f t="shared" si="6"/>
        <v>0</v>
      </c>
      <c r="M72" s="335"/>
      <c r="N72" s="169">
        <f t="shared" si="7"/>
        <v>0</v>
      </c>
      <c r="O72" s="169">
        <f t="shared" si="8"/>
        <v>0</v>
      </c>
      <c r="P72" s="4"/>
    </row>
    <row r="73" spans="2:16">
      <c r="C73" s="154" t="s">
        <v>73</v>
      </c>
      <c r="D73" s="111"/>
      <c r="E73" s="111">
        <f>SUM(E17:E72)</f>
        <v>5289194.0000000009</v>
      </c>
      <c r="F73" s="111"/>
      <c r="G73" s="111">
        <f>SUM(G17:G72)</f>
        <v>17319251.118213899</v>
      </c>
      <c r="H73" s="111">
        <f>SUM(H17:H72)</f>
        <v>17319251.118213899</v>
      </c>
      <c r="I73" s="111">
        <f>SUM(I17:I72)</f>
        <v>0</v>
      </c>
      <c r="J73" s="111"/>
      <c r="K73" s="111"/>
      <c r="L73" s="111"/>
      <c r="M73" s="111"/>
      <c r="N73" s="111"/>
      <c r="O73" s="4"/>
      <c r="P73" s="4"/>
    </row>
    <row r="74" spans="2:16">
      <c r="D74" s="2"/>
      <c r="E74" s="1"/>
      <c r="F74" s="1"/>
      <c r="G74" s="1"/>
      <c r="H74" s="3"/>
      <c r="I74" s="3"/>
      <c r="J74" s="111"/>
      <c r="K74" s="3"/>
      <c r="L74" s="3"/>
      <c r="M74" s="3"/>
      <c r="N74" s="3"/>
      <c r="O74" s="1"/>
      <c r="P74" s="1"/>
    </row>
    <row r="75" spans="2:16">
      <c r="C75" s="170" t="s">
        <v>91</v>
      </c>
      <c r="D75" s="2"/>
      <c r="E75" s="1"/>
      <c r="F75" s="1"/>
      <c r="G75" s="1"/>
      <c r="H75" s="3"/>
      <c r="I75" s="3"/>
      <c r="J75" s="111"/>
      <c r="K75" s="3"/>
      <c r="L75" s="3"/>
      <c r="M75" s="3"/>
      <c r="N75" s="3"/>
      <c r="O75" s="1"/>
      <c r="P75" s="1"/>
    </row>
    <row r="76" spans="2:16">
      <c r="C76" s="121" t="s">
        <v>74</v>
      </c>
      <c r="D76" s="2"/>
      <c r="E76" s="1"/>
      <c r="F76" s="1"/>
      <c r="G76" s="1"/>
      <c r="H76" s="3"/>
      <c r="I76" s="3"/>
      <c r="J76" s="111"/>
      <c r="K76" s="3"/>
      <c r="L76" s="3"/>
      <c r="M76" s="3"/>
      <c r="N76" s="3"/>
      <c r="O76" s="4"/>
      <c r="P76" s="4"/>
    </row>
    <row r="77" spans="2:16">
      <c r="C77" s="121" t="s">
        <v>75</v>
      </c>
      <c r="D77" s="154"/>
      <c r="E77" s="154"/>
      <c r="F77" s="154"/>
      <c r="G77" s="111"/>
      <c r="H77" s="111"/>
      <c r="I77" s="171"/>
      <c r="J77" s="171"/>
      <c r="K77" s="171"/>
      <c r="L77" s="171"/>
      <c r="M77" s="171"/>
      <c r="N77" s="171"/>
      <c r="O77" s="4"/>
      <c r="P77" s="4"/>
    </row>
    <row r="78" spans="2:16">
      <c r="C78" s="121"/>
      <c r="D78" s="154"/>
      <c r="E78" s="154"/>
      <c r="F78" s="154"/>
      <c r="G78" s="111"/>
      <c r="H78" s="111"/>
      <c r="I78" s="171"/>
      <c r="J78" s="171"/>
      <c r="K78" s="171"/>
      <c r="L78" s="171"/>
      <c r="M78" s="171"/>
      <c r="N78" s="171"/>
      <c r="O78" s="4"/>
      <c r="P78" s="1"/>
    </row>
    <row r="79" spans="2:16">
      <c r="B79" s="1"/>
      <c r="C79" s="21"/>
      <c r="D79" s="2"/>
      <c r="E79" s="1"/>
      <c r="F79" s="107"/>
      <c r="G79" s="1"/>
      <c r="H79" s="3"/>
      <c r="I79" s="1"/>
      <c r="J79" s="4"/>
      <c r="K79" s="1"/>
      <c r="L79" s="1"/>
      <c r="M79" s="1"/>
      <c r="N79" s="1"/>
      <c r="O79" s="1"/>
      <c r="P79" s="1"/>
    </row>
    <row r="80" spans="2:16" ht="18">
      <c r="B80" s="1"/>
      <c r="C80" s="242"/>
      <c r="D80" s="2"/>
      <c r="E80" s="1"/>
      <c r="F80" s="107"/>
      <c r="G80" s="1"/>
      <c r="H80" s="3"/>
      <c r="I80" s="1"/>
      <c r="J80" s="4"/>
      <c r="K80" s="1"/>
      <c r="L80" s="1"/>
      <c r="M80" s="1"/>
      <c r="N80" s="1"/>
      <c r="P80" s="244" t="s">
        <v>125</v>
      </c>
    </row>
    <row r="81" spans="1:16">
      <c r="B81" s="1"/>
      <c r="C81" s="21"/>
      <c r="D81" s="2"/>
      <c r="E81" s="1"/>
      <c r="F81" s="107"/>
      <c r="G81" s="1"/>
      <c r="H81" s="3"/>
      <c r="I81" s="1"/>
      <c r="J81" s="4"/>
      <c r="K81" s="1"/>
      <c r="L81" s="1"/>
      <c r="M81" s="1"/>
      <c r="N81" s="1"/>
      <c r="O81" s="1"/>
      <c r="P81" s="1"/>
    </row>
    <row r="82" spans="1:16">
      <c r="B82" s="1"/>
      <c r="C82" s="21"/>
      <c r="D82" s="2"/>
      <c r="E82" s="1"/>
      <c r="F82" s="107"/>
      <c r="G82" s="1"/>
      <c r="H82" s="3"/>
      <c r="I82" s="1"/>
      <c r="J82" s="4"/>
      <c r="K82" s="1"/>
      <c r="L82" s="1"/>
      <c r="M82" s="1"/>
      <c r="N82" s="1"/>
      <c r="O82" s="1"/>
      <c r="P82" s="1"/>
    </row>
    <row r="83" spans="1:16" ht="20.25">
      <c r="A83" s="243" t="s">
        <v>129</v>
      </c>
      <c r="B83" s="1"/>
      <c r="C83" s="21"/>
      <c r="D83" s="2"/>
      <c r="E83" s="1"/>
      <c r="F83" s="99"/>
      <c r="G83" s="99"/>
      <c r="H83" s="1"/>
      <c r="I83" s="3"/>
      <c r="K83" s="7"/>
      <c r="L83" s="109"/>
      <c r="M83" s="109"/>
      <c r="P83" s="109" t="str">
        <f ca="1">P1</f>
        <v>SWEPCO Project 42 of 73</v>
      </c>
    </row>
    <row r="84" spans="1:16" ht="18">
      <c r="B84" s="1"/>
      <c r="C84" s="1"/>
      <c r="D84" s="2"/>
      <c r="E84" s="1"/>
      <c r="F84" s="1"/>
      <c r="G84" s="1"/>
      <c r="H84" s="1"/>
      <c r="I84" s="3"/>
      <c r="J84" s="1"/>
      <c r="K84" s="4"/>
      <c r="L84" s="1"/>
      <c r="M84" s="1"/>
      <c r="P84" s="244" t="s">
        <v>123</v>
      </c>
    </row>
    <row r="85" spans="1:16" ht="18.75" thickBot="1">
      <c r="B85" s="5" t="s">
        <v>40</v>
      </c>
      <c r="C85" s="197" t="s">
        <v>78</v>
      </c>
      <c r="D85" s="2"/>
      <c r="E85" s="1"/>
      <c r="F85" s="1"/>
      <c r="G85" s="1"/>
      <c r="H85" s="1"/>
      <c r="I85" s="3"/>
      <c r="J85" s="3"/>
      <c r="K85" s="111"/>
      <c r="L85" s="3"/>
      <c r="M85" s="3"/>
      <c r="N85" s="3"/>
      <c r="O85" s="111"/>
      <c r="P85" s="1"/>
    </row>
    <row r="86" spans="1:16" ht="15.75" thickBot="1">
      <c r="C86" s="67"/>
      <c r="D86" s="2"/>
      <c r="E86" s="1"/>
      <c r="F86" s="1"/>
      <c r="G86" s="1"/>
      <c r="H86" s="1"/>
      <c r="I86" s="3"/>
      <c r="J86" s="3"/>
      <c r="K86" s="111"/>
      <c r="L86" s="265">
        <f>+J92</f>
        <v>2017</v>
      </c>
      <c r="M86" s="266" t="s">
        <v>7</v>
      </c>
      <c r="N86" s="270" t="s">
        <v>154</v>
      </c>
      <c r="O86" s="267" t="s">
        <v>9</v>
      </c>
      <c r="P86" s="1"/>
    </row>
    <row r="87" spans="1:16" ht="15">
      <c r="C87" s="235" t="s">
        <v>42</v>
      </c>
      <c r="D87" s="2"/>
      <c r="E87" s="1"/>
      <c r="F87" s="1"/>
      <c r="G87" s="1"/>
      <c r="H87" s="113"/>
      <c r="I87" s="1" t="s">
        <v>43</v>
      </c>
      <c r="J87" s="1"/>
      <c r="K87" s="261"/>
      <c r="L87" s="259" t="s">
        <v>381</v>
      </c>
      <c r="M87" s="198">
        <f>IF(J92&lt;D11,0,VLOOKUP(J92,C17:O72,9))</f>
        <v>732805.52447428892</v>
      </c>
      <c r="N87" s="198">
        <f>IF(J92&lt;D11,0,VLOOKUP(J92,C17:O72,11))</f>
        <v>732805.52447428892</v>
      </c>
      <c r="O87" s="199">
        <f>+N87-M87</f>
        <v>0</v>
      </c>
      <c r="P87" s="1"/>
    </row>
    <row r="88" spans="1:16" ht="15.75">
      <c r="C88" s="8"/>
      <c r="D88" s="2"/>
      <c r="E88" s="1"/>
      <c r="F88" s="1"/>
      <c r="G88" s="1"/>
      <c r="H88" s="1"/>
      <c r="I88" s="117"/>
      <c r="J88" s="117"/>
      <c r="K88" s="263"/>
      <c r="L88" s="264" t="s">
        <v>382</v>
      </c>
      <c r="M88" s="200">
        <f>IF(J92&lt;D11,0,VLOOKUP(J92,C99:P154,6))</f>
        <v>722883.18186453939</v>
      </c>
      <c r="N88" s="200">
        <f>IF(J92&lt;D11,0,VLOOKUP(J92,C99:P154,7))</f>
        <v>722883.18186453939</v>
      </c>
      <c r="O88" s="201">
        <f>+N88-M88</f>
        <v>0</v>
      </c>
      <c r="P88" s="1"/>
    </row>
    <row r="89" spans="1:16" ht="13.5" thickBot="1">
      <c r="C89" s="121" t="s">
        <v>79</v>
      </c>
      <c r="D89" s="246" t="str">
        <f>+D7</f>
        <v>Northwest Henderson to Poynter 69 kV Rebuild 3.2 miles</v>
      </c>
      <c r="E89" s="1"/>
      <c r="F89" s="1"/>
      <c r="G89" s="1"/>
      <c r="H89" s="1"/>
      <c r="I89" s="3"/>
      <c r="J89" s="3"/>
      <c r="K89" s="262"/>
      <c r="L89" s="260" t="s">
        <v>151</v>
      </c>
      <c r="M89" s="203">
        <f>+M88-M87</f>
        <v>-9922.3426097495249</v>
      </c>
      <c r="N89" s="203">
        <f>+N88-N87</f>
        <v>-9922.3426097495249</v>
      </c>
      <c r="O89" s="204">
        <f>+O88-O87</f>
        <v>0</v>
      </c>
      <c r="P89" s="1"/>
    </row>
    <row r="90" spans="1:16" ht="13.5" thickBot="1">
      <c r="C90" s="170"/>
      <c r="D90" s="173" t="str">
        <f>D8</f>
        <v/>
      </c>
      <c r="E90" s="107"/>
      <c r="F90" s="107"/>
      <c r="G90" s="107"/>
      <c r="H90" s="126"/>
      <c r="I90" s="3"/>
      <c r="J90" s="3"/>
      <c r="K90" s="111"/>
      <c r="L90" s="3"/>
      <c r="M90" s="3"/>
      <c r="N90" s="3"/>
      <c r="O90" s="111"/>
      <c r="P90" s="1"/>
    </row>
    <row r="91" spans="1:16" ht="13.5" thickBot="1">
      <c r="A91" s="103"/>
      <c r="C91" s="205" t="s">
        <v>80</v>
      </c>
      <c r="D91" s="224" t="str">
        <f>+D9</f>
        <v>TP2004031</v>
      </c>
      <c r="E91" s="206"/>
      <c r="F91" s="206"/>
      <c r="G91" s="206"/>
      <c r="H91" s="206"/>
      <c r="I91" s="206"/>
      <c r="J91" s="206"/>
      <c r="K91" s="207"/>
      <c r="P91" s="131"/>
    </row>
    <row r="92" spans="1:16">
      <c r="C92" s="136" t="s">
        <v>47</v>
      </c>
      <c r="D92" s="417">
        <v>5289194</v>
      </c>
      <c r="E92" s="21" t="s">
        <v>81</v>
      </c>
      <c r="H92" s="134"/>
      <c r="I92" s="134"/>
      <c r="J92" s="135">
        <f>+'SWE.WS.G.BPU.ATRR.True-up'!M15</f>
        <v>2017</v>
      </c>
      <c r="K92" s="130"/>
      <c r="L92" s="111" t="s">
        <v>82</v>
      </c>
      <c r="P92" s="4"/>
    </row>
    <row r="93" spans="1:16">
      <c r="C93" s="136" t="s">
        <v>49</v>
      </c>
      <c r="D93" s="219">
        <f>IF(D11=I10,"",D11)</f>
        <v>2014</v>
      </c>
      <c r="E93" s="136" t="s">
        <v>50</v>
      </c>
      <c r="F93" s="134"/>
      <c r="G93" s="134"/>
      <c r="J93" s="138">
        <f>IF(H87="",0,'SWE.WS.G.BPU.ATRR.True-up'!$F$12)</f>
        <v>0</v>
      </c>
      <c r="K93" s="139"/>
      <c r="L93" t="str">
        <f>"          INPUT TRUE-UP ARR (WITH &amp; WITHOUT INCENTIVES) FROM EACH PRIOR YEAR"</f>
        <v xml:space="preserve">          INPUT TRUE-UP ARR (WITH &amp; WITHOUT INCENTIVES) FROM EACH PRIOR YEAR</v>
      </c>
      <c r="P93" s="4"/>
    </row>
    <row r="94" spans="1:16">
      <c r="C94" s="136" t="s">
        <v>51</v>
      </c>
      <c r="D94" s="218">
        <f>IF(D11=I10,"",D12)</f>
        <v>6</v>
      </c>
      <c r="E94" s="136" t="s">
        <v>52</v>
      </c>
      <c r="F94" s="134"/>
      <c r="G94" s="134"/>
      <c r="J94" s="140">
        <f>'SWE.WS.G.BPU.ATRR.True-up'!$F$80</f>
        <v>0.12147145768398206</v>
      </c>
      <c r="K94" s="141"/>
      <c r="L94" t="s">
        <v>83</v>
      </c>
      <c r="P94" s="4"/>
    </row>
    <row r="95" spans="1:16">
      <c r="C95" s="136" t="s">
        <v>54</v>
      </c>
      <c r="D95" s="138">
        <f>'SWE.WS.G.BPU.ATRR.True-up'!F$92</f>
        <v>42</v>
      </c>
      <c r="E95" s="136" t="s">
        <v>55</v>
      </c>
      <c r="F95" s="134"/>
      <c r="G95" s="134"/>
      <c r="J95" s="140">
        <f>IF(H87="",J94,'SWE.WS.G.BPU.ATRR.True-up'!$F$79)</f>
        <v>0.12147145768398206</v>
      </c>
      <c r="K95" s="58"/>
      <c r="L95" s="111" t="s">
        <v>56</v>
      </c>
      <c r="M95" s="58"/>
      <c r="N95" s="58"/>
      <c r="O95" s="58"/>
      <c r="P95" s="4"/>
    </row>
    <row r="96" spans="1:16" ht="13.5" thickBot="1">
      <c r="C96" s="136" t="s">
        <v>57</v>
      </c>
      <c r="D96" s="220" t="str">
        <f>+D14</f>
        <v>No</v>
      </c>
      <c r="E96" s="202" t="s">
        <v>59</v>
      </c>
      <c r="F96" s="208"/>
      <c r="G96" s="208"/>
      <c r="H96" s="209"/>
      <c r="I96" s="209"/>
      <c r="J96" s="124">
        <f>IF(D92=0,0,D92/D95)</f>
        <v>125933.19047619047</v>
      </c>
      <c r="K96" s="111"/>
      <c r="L96" s="111"/>
      <c r="M96" s="111"/>
      <c r="N96" s="111"/>
      <c r="O96" s="111"/>
      <c r="P96" s="4"/>
    </row>
    <row r="97" spans="1:16" ht="38.25">
      <c r="A97" s="6"/>
      <c r="B97" s="6"/>
      <c r="C97" s="210" t="s">
        <v>47</v>
      </c>
      <c r="D97" s="211" t="s">
        <v>60</v>
      </c>
      <c r="E97" s="146" t="s">
        <v>61</v>
      </c>
      <c r="F97" s="146" t="s">
        <v>62</v>
      </c>
      <c r="G97" s="144" t="s">
        <v>84</v>
      </c>
      <c r="H97" s="434" t="s">
        <v>378</v>
      </c>
      <c r="I97" s="435" t="s">
        <v>379</v>
      </c>
      <c r="J97" s="210" t="s">
        <v>85</v>
      </c>
      <c r="K97" s="212"/>
      <c r="L97" s="271" t="s">
        <v>220</v>
      </c>
      <c r="M97" s="146" t="s">
        <v>86</v>
      </c>
      <c r="N97" s="271" t="s">
        <v>220</v>
      </c>
      <c r="O97" s="146" t="s">
        <v>86</v>
      </c>
      <c r="P97" s="146" t="s">
        <v>65</v>
      </c>
    </row>
    <row r="98" spans="1:16" ht="13.5" thickBot="1">
      <c r="C98" s="147" t="s">
        <v>66</v>
      </c>
      <c r="D98" s="213" t="s">
        <v>67</v>
      </c>
      <c r="E98" s="147" t="s">
        <v>68</v>
      </c>
      <c r="F98" s="147" t="s">
        <v>67</v>
      </c>
      <c r="G98" s="147" t="s">
        <v>67</v>
      </c>
      <c r="H98" s="407" t="s">
        <v>69</v>
      </c>
      <c r="I98" s="148" t="s">
        <v>70</v>
      </c>
      <c r="J98" s="149" t="s">
        <v>89</v>
      </c>
      <c r="K98" s="150"/>
      <c r="L98" s="151" t="s">
        <v>72</v>
      </c>
      <c r="M98" s="151" t="s">
        <v>72</v>
      </c>
      <c r="N98" s="151" t="s">
        <v>90</v>
      </c>
      <c r="O98" s="151" t="s">
        <v>90</v>
      </c>
      <c r="P98" s="151" t="s">
        <v>90</v>
      </c>
    </row>
    <row r="99" spans="1:16" ht="13.5" thickBot="1">
      <c r="C99" s="153">
        <f>IF(D93= "","-",D93)</f>
        <v>2014</v>
      </c>
      <c r="D99" s="409">
        <v>0</v>
      </c>
      <c r="E99" s="410">
        <v>62966.595238095237</v>
      </c>
      <c r="F99" s="411">
        <v>5226227.4047619049</v>
      </c>
      <c r="G99" s="412">
        <v>2613113.7023809524</v>
      </c>
      <c r="H99" s="413">
        <v>418150</v>
      </c>
      <c r="I99" s="414">
        <v>418150</v>
      </c>
      <c r="J99" s="158">
        <f>+I99-H99</f>
        <v>0</v>
      </c>
      <c r="K99" s="158"/>
      <c r="L99" s="258">
        <f>H99</f>
        <v>418150</v>
      </c>
      <c r="M99" s="257">
        <f>IF(L99&lt;&gt;0,+H99-L99,0)</f>
        <v>0</v>
      </c>
      <c r="N99" s="258">
        <f>I99</f>
        <v>418150</v>
      </c>
      <c r="O99" s="158">
        <f>IF(N99&lt;&gt;0,+I99-N99,0)</f>
        <v>0</v>
      </c>
      <c r="P99" s="158">
        <f>+O99-M99</f>
        <v>0</v>
      </c>
    </row>
    <row r="100" spans="1:16" ht="13.5" thickBot="1">
      <c r="B100" s="9" t="str">
        <f>IF(D100=F99,"","IU")</f>
        <v/>
      </c>
      <c r="C100" s="153">
        <f>IF(D93="","-",+C99+1)</f>
        <v>2015</v>
      </c>
      <c r="D100" s="409">
        <v>5226227.4047619049</v>
      </c>
      <c r="E100" s="410">
        <v>125933.19047619047</v>
      </c>
      <c r="F100" s="411">
        <v>5100294.2142857146</v>
      </c>
      <c r="G100" s="412">
        <v>5163260.8095238097</v>
      </c>
      <c r="H100" s="413">
        <v>806290.27352306223</v>
      </c>
      <c r="I100" s="414">
        <v>806290.27352306223</v>
      </c>
      <c r="J100" s="158">
        <f>+I100-H100</f>
        <v>0</v>
      </c>
      <c r="K100" s="158"/>
      <c r="L100" s="258">
        <f>H100</f>
        <v>806290.27352306223</v>
      </c>
      <c r="M100" s="257">
        <f>IF(L100&lt;&gt;0,+H100-L100,0)</f>
        <v>0</v>
      </c>
      <c r="N100" s="258">
        <f>I100</f>
        <v>806290.27352306223</v>
      </c>
      <c r="O100" s="158">
        <f>IF(N100&lt;&gt;0,+I100-N100,0)</f>
        <v>0</v>
      </c>
      <c r="P100" s="158">
        <f>+O100-M100</f>
        <v>0</v>
      </c>
    </row>
    <row r="101" spans="1:16">
      <c r="B101" s="9" t="str">
        <f t="shared" ref="B101:B154" si="11">IF(D101=F100,"","IU")</f>
        <v/>
      </c>
      <c r="C101" s="153">
        <f>IF(D93="","-",+C100+1)</f>
        <v>2016</v>
      </c>
      <c r="D101" s="409">
        <v>5100294.2142857146</v>
      </c>
      <c r="E101" s="410">
        <v>123004.51162790698</v>
      </c>
      <c r="F101" s="411">
        <v>4977289.7026578076</v>
      </c>
      <c r="G101" s="412">
        <v>5038791.9584717611</v>
      </c>
      <c r="H101" s="413">
        <v>762679.09174338926</v>
      </c>
      <c r="I101" s="414">
        <v>762679.09174338926</v>
      </c>
      <c r="J101" s="158">
        <v>0</v>
      </c>
      <c r="K101" s="158"/>
      <c r="L101" s="258">
        <f>H101</f>
        <v>762679.09174338926</v>
      </c>
      <c r="M101" s="257">
        <f>IF(L101&lt;&gt;0,+H101-L101,0)</f>
        <v>0</v>
      </c>
      <c r="N101" s="258">
        <f>I101</f>
        <v>762679.09174338926</v>
      </c>
      <c r="O101" s="158">
        <f>IF(N101&lt;&gt;0,+I101-N101,0)</f>
        <v>0</v>
      </c>
      <c r="P101" s="158">
        <f>+O101-M101</f>
        <v>0</v>
      </c>
    </row>
    <row r="102" spans="1:16">
      <c r="B102" s="9" t="str">
        <f t="shared" si="11"/>
        <v/>
      </c>
      <c r="C102" s="153">
        <f>IF(D93="","-",+C101+1)</f>
        <v>2017</v>
      </c>
      <c r="D102" s="154">
        <f>IF(F101+SUM(E$99:E101)=D$92,F101,D$92-SUM(E$99:E101))</f>
        <v>4977289.7026578076</v>
      </c>
      <c r="E102" s="160">
        <f t="shared" ref="E102:E154" si="12">IF(+$J$96&lt;F101,$J$96,D102)</f>
        <v>125933.19047619047</v>
      </c>
      <c r="F102" s="159">
        <f t="shared" ref="F102:F154" si="13">+D102-E102</f>
        <v>4851356.5121816173</v>
      </c>
      <c r="G102" s="159">
        <f t="shared" ref="G102:G154" si="14">+(F102+D102)/2</f>
        <v>4914323.1074197125</v>
      </c>
      <c r="H102" s="163">
        <f t="shared" ref="H102:H154" si="15">+J$94*G102+E102</f>
        <v>722883.18186453939</v>
      </c>
      <c r="I102" s="253">
        <f t="shared" ref="I102:I154" si="16">+J$95*G102+E102</f>
        <v>722883.18186453939</v>
      </c>
      <c r="J102" s="158">
        <f t="shared" ref="J102:J154" si="17">+I102-H102</f>
        <v>0</v>
      </c>
      <c r="K102" s="158"/>
      <c r="L102" s="334"/>
      <c r="M102" s="158">
        <f t="shared" ref="M102:M130" si="18">IF(L102&lt;&gt;0,+H102-L102,0)</f>
        <v>0</v>
      </c>
      <c r="N102" s="334"/>
      <c r="O102" s="158">
        <f t="shared" ref="O102:O130" si="19">IF(N102&lt;&gt;0,+I102-N102,0)</f>
        <v>0</v>
      </c>
      <c r="P102" s="158">
        <f t="shared" ref="P102:P130" si="20">+O102-M102</f>
        <v>0</v>
      </c>
    </row>
    <row r="103" spans="1:16">
      <c r="B103" s="9" t="str">
        <f t="shared" si="11"/>
        <v/>
      </c>
      <c r="C103" s="153">
        <f>IF(D93="","-",+C102+1)</f>
        <v>2018</v>
      </c>
      <c r="D103" s="154">
        <f>IF(F102+SUM(E$99:E102)=D$92,F102,D$92-SUM(E$99:E102))</f>
        <v>4851356.5121816173</v>
      </c>
      <c r="E103" s="160">
        <f t="shared" si="12"/>
        <v>125933.19047619047</v>
      </c>
      <c r="F103" s="159">
        <f t="shared" si="13"/>
        <v>4725423.321705427</v>
      </c>
      <c r="G103" s="159">
        <f t="shared" si="14"/>
        <v>4788389.9169435222</v>
      </c>
      <c r="H103" s="163">
        <f t="shared" si="15"/>
        <v>707585.89364660182</v>
      </c>
      <c r="I103" s="253">
        <f t="shared" si="16"/>
        <v>707585.89364660182</v>
      </c>
      <c r="J103" s="158">
        <f t="shared" si="17"/>
        <v>0</v>
      </c>
      <c r="K103" s="158"/>
      <c r="L103" s="334"/>
      <c r="M103" s="158">
        <f t="shared" si="18"/>
        <v>0</v>
      </c>
      <c r="N103" s="334"/>
      <c r="O103" s="158">
        <f t="shared" si="19"/>
        <v>0</v>
      </c>
      <c r="P103" s="158">
        <f t="shared" si="20"/>
        <v>0</v>
      </c>
    </row>
    <row r="104" spans="1:16">
      <c r="B104" s="9" t="str">
        <f t="shared" si="11"/>
        <v/>
      </c>
      <c r="C104" s="153">
        <f>IF(D93="","-",+C103+1)</f>
        <v>2019</v>
      </c>
      <c r="D104" s="154">
        <f>IF(F103+SUM(E$99:E103)=D$92,F103,D$92-SUM(E$99:E103))</f>
        <v>4725423.321705427</v>
      </c>
      <c r="E104" s="160">
        <f t="shared" si="12"/>
        <v>125933.19047619047</v>
      </c>
      <c r="F104" s="159">
        <f t="shared" si="13"/>
        <v>4599490.1312292367</v>
      </c>
      <c r="G104" s="159">
        <f t="shared" si="14"/>
        <v>4662456.7264673319</v>
      </c>
      <c r="H104" s="163">
        <f t="shared" si="15"/>
        <v>692288.60542866448</v>
      </c>
      <c r="I104" s="253">
        <f t="shared" si="16"/>
        <v>692288.60542866448</v>
      </c>
      <c r="J104" s="158">
        <f t="shared" si="17"/>
        <v>0</v>
      </c>
      <c r="K104" s="158"/>
      <c r="L104" s="334"/>
      <c r="M104" s="158">
        <f t="shared" si="18"/>
        <v>0</v>
      </c>
      <c r="N104" s="334"/>
      <c r="O104" s="158">
        <f t="shared" si="19"/>
        <v>0</v>
      </c>
      <c r="P104" s="158">
        <f t="shared" si="20"/>
        <v>0</v>
      </c>
    </row>
    <row r="105" spans="1:16">
      <c r="B105" s="9" t="str">
        <f t="shared" si="11"/>
        <v/>
      </c>
      <c r="C105" s="153">
        <f>IF(D93="","-",+C104+1)</f>
        <v>2020</v>
      </c>
      <c r="D105" s="154">
        <f>IF(F104+SUM(E$99:E104)=D$92,F104,D$92-SUM(E$99:E104))</f>
        <v>4599490.1312292367</v>
      </c>
      <c r="E105" s="160">
        <f t="shared" si="12"/>
        <v>125933.19047619047</v>
      </c>
      <c r="F105" s="159">
        <f t="shared" si="13"/>
        <v>4473556.9407530464</v>
      </c>
      <c r="G105" s="159">
        <f t="shared" si="14"/>
        <v>4536523.5359911416</v>
      </c>
      <c r="H105" s="163">
        <f t="shared" si="15"/>
        <v>676991.31721072714</v>
      </c>
      <c r="I105" s="253">
        <f t="shared" si="16"/>
        <v>676991.31721072714</v>
      </c>
      <c r="J105" s="158">
        <f t="shared" si="17"/>
        <v>0</v>
      </c>
      <c r="K105" s="158"/>
      <c r="L105" s="334"/>
      <c r="M105" s="158">
        <f t="shared" si="18"/>
        <v>0</v>
      </c>
      <c r="N105" s="334"/>
      <c r="O105" s="158">
        <f t="shared" si="19"/>
        <v>0</v>
      </c>
      <c r="P105" s="158">
        <f t="shared" si="20"/>
        <v>0</v>
      </c>
    </row>
    <row r="106" spans="1:16">
      <c r="B106" s="9" t="str">
        <f t="shared" si="11"/>
        <v/>
      </c>
      <c r="C106" s="153">
        <f>IF(D93="","-",+C105+1)</f>
        <v>2021</v>
      </c>
      <c r="D106" s="154">
        <f>IF(F105+SUM(E$99:E105)=D$92,F105,D$92-SUM(E$99:E105))</f>
        <v>4473556.9407530464</v>
      </c>
      <c r="E106" s="160">
        <f t="shared" si="12"/>
        <v>125933.19047619047</v>
      </c>
      <c r="F106" s="159">
        <f t="shared" si="13"/>
        <v>4347623.7502768561</v>
      </c>
      <c r="G106" s="159">
        <f t="shared" si="14"/>
        <v>4410590.3455149513</v>
      </c>
      <c r="H106" s="163">
        <f t="shared" si="15"/>
        <v>661694.02899278956</v>
      </c>
      <c r="I106" s="253">
        <f t="shared" si="16"/>
        <v>661694.02899278956</v>
      </c>
      <c r="J106" s="158">
        <f t="shared" si="17"/>
        <v>0</v>
      </c>
      <c r="K106" s="158"/>
      <c r="L106" s="334"/>
      <c r="M106" s="158">
        <f t="shared" si="18"/>
        <v>0</v>
      </c>
      <c r="N106" s="334"/>
      <c r="O106" s="158">
        <f t="shared" si="19"/>
        <v>0</v>
      </c>
      <c r="P106" s="158">
        <f t="shared" si="20"/>
        <v>0</v>
      </c>
    </row>
    <row r="107" spans="1:16">
      <c r="B107" s="9" t="str">
        <f t="shared" si="11"/>
        <v/>
      </c>
      <c r="C107" s="153">
        <f>IF(D93="","-",+C106+1)</f>
        <v>2022</v>
      </c>
      <c r="D107" s="154">
        <f>IF(F106+SUM(E$99:E106)=D$92,F106,D$92-SUM(E$99:E106))</f>
        <v>4347623.7502768561</v>
      </c>
      <c r="E107" s="160">
        <f t="shared" si="12"/>
        <v>125933.19047619047</v>
      </c>
      <c r="F107" s="159">
        <f t="shared" si="13"/>
        <v>4221690.5598006658</v>
      </c>
      <c r="G107" s="159">
        <f t="shared" si="14"/>
        <v>4284657.155038761</v>
      </c>
      <c r="H107" s="163">
        <f t="shared" si="15"/>
        <v>646396.74077485222</v>
      </c>
      <c r="I107" s="253">
        <f t="shared" si="16"/>
        <v>646396.74077485222</v>
      </c>
      <c r="J107" s="158">
        <f t="shared" si="17"/>
        <v>0</v>
      </c>
      <c r="K107" s="158"/>
      <c r="L107" s="334"/>
      <c r="M107" s="158">
        <f t="shared" si="18"/>
        <v>0</v>
      </c>
      <c r="N107" s="334"/>
      <c r="O107" s="158">
        <f t="shared" si="19"/>
        <v>0</v>
      </c>
      <c r="P107" s="158">
        <f t="shared" si="20"/>
        <v>0</v>
      </c>
    </row>
    <row r="108" spans="1:16">
      <c r="B108" s="9" t="str">
        <f t="shared" si="11"/>
        <v/>
      </c>
      <c r="C108" s="153">
        <f>IF(D93="","-",+C107+1)</f>
        <v>2023</v>
      </c>
      <c r="D108" s="154">
        <f>IF(F107+SUM(E$99:E107)=D$92,F107,D$92-SUM(E$99:E107))</f>
        <v>4221690.5598006658</v>
      </c>
      <c r="E108" s="160">
        <f t="shared" si="12"/>
        <v>125933.19047619047</v>
      </c>
      <c r="F108" s="159">
        <f t="shared" si="13"/>
        <v>4095757.3693244755</v>
      </c>
      <c r="G108" s="159">
        <f t="shared" si="14"/>
        <v>4158723.9645625707</v>
      </c>
      <c r="H108" s="163">
        <f t="shared" si="15"/>
        <v>631099.45255691488</v>
      </c>
      <c r="I108" s="253">
        <f t="shared" si="16"/>
        <v>631099.45255691488</v>
      </c>
      <c r="J108" s="158">
        <f t="shared" si="17"/>
        <v>0</v>
      </c>
      <c r="K108" s="158"/>
      <c r="L108" s="334"/>
      <c r="M108" s="158">
        <f t="shared" si="18"/>
        <v>0</v>
      </c>
      <c r="N108" s="334"/>
      <c r="O108" s="158">
        <f t="shared" si="19"/>
        <v>0</v>
      </c>
      <c r="P108" s="158">
        <f t="shared" si="20"/>
        <v>0</v>
      </c>
    </row>
    <row r="109" spans="1:16">
      <c r="B109" s="9" t="str">
        <f t="shared" si="11"/>
        <v/>
      </c>
      <c r="C109" s="153">
        <f>IF(D93="","-",+C108+1)</f>
        <v>2024</v>
      </c>
      <c r="D109" s="154">
        <f>IF(F108+SUM(E$99:E108)=D$92,F108,D$92-SUM(E$99:E108))</f>
        <v>4095757.3693244755</v>
      </c>
      <c r="E109" s="160">
        <f t="shared" si="12"/>
        <v>125933.19047619047</v>
      </c>
      <c r="F109" s="159">
        <f t="shared" si="13"/>
        <v>3969824.1788482852</v>
      </c>
      <c r="G109" s="159">
        <f t="shared" si="14"/>
        <v>4032790.7740863804</v>
      </c>
      <c r="H109" s="163">
        <f t="shared" si="15"/>
        <v>615802.16433897754</v>
      </c>
      <c r="I109" s="253">
        <f t="shared" si="16"/>
        <v>615802.16433897754</v>
      </c>
      <c r="J109" s="158">
        <f t="shared" si="17"/>
        <v>0</v>
      </c>
      <c r="K109" s="158"/>
      <c r="L109" s="334"/>
      <c r="M109" s="158">
        <f t="shared" si="18"/>
        <v>0</v>
      </c>
      <c r="N109" s="334"/>
      <c r="O109" s="158">
        <f t="shared" si="19"/>
        <v>0</v>
      </c>
      <c r="P109" s="158">
        <f t="shared" si="20"/>
        <v>0</v>
      </c>
    </row>
    <row r="110" spans="1:16">
      <c r="B110" s="9" t="str">
        <f t="shared" si="11"/>
        <v/>
      </c>
      <c r="C110" s="153">
        <f>IF(D93="","-",+C109+1)</f>
        <v>2025</v>
      </c>
      <c r="D110" s="154">
        <f>IF(F109+SUM(E$99:E109)=D$92,F109,D$92-SUM(E$99:E109))</f>
        <v>3969824.1788482852</v>
      </c>
      <c r="E110" s="160">
        <f t="shared" si="12"/>
        <v>125933.19047619047</v>
      </c>
      <c r="F110" s="159">
        <f t="shared" si="13"/>
        <v>3843890.9883720949</v>
      </c>
      <c r="G110" s="159">
        <f t="shared" si="14"/>
        <v>3906857.5836101901</v>
      </c>
      <c r="H110" s="163">
        <f t="shared" si="15"/>
        <v>600504.87612104008</v>
      </c>
      <c r="I110" s="253">
        <f t="shared" si="16"/>
        <v>600504.87612104008</v>
      </c>
      <c r="J110" s="158">
        <f t="shared" si="17"/>
        <v>0</v>
      </c>
      <c r="K110" s="158"/>
      <c r="L110" s="334"/>
      <c r="M110" s="158">
        <f t="shared" si="18"/>
        <v>0</v>
      </c>
      <c r="N110" s="334"/>
      <c r="O110" s="158">
        <f t="shared" si="19"/>
        <v>0</v>
      </c>
      <c r="P110" s="158">
        <f t="shared" si="20"/>
        <v>0</v>
      </c>
    </row>
    <row r="111" spans="1:16">
      <c r="B111" s="9" t="str">
        <f t="shared" si="11"/>
        <v/>
      </c>
      <c r="C111" s="153">
        <f>IF(D93="","-",+C110+1)</f>
        <v>2026</v>
      </c>
      <c r="D111" s="154">
        <f>IF(F110+SUM(E$99:E110)=D$92,F110,D$92-SUM(E$99:E110))</f>
        <v>3843890.9883720949</v>
      </c>
      <c r="E111" s="160">
        <f t="shared" si="12"/>
        <v>125933.19047619047</v>
      </c>
      <c r="F111" s="159">
        <f t="shared" si="13"/>
        <v>3717957.7978959046</v>
      </c>
      <c r="G111" s="159">
        <f t="shared" si="14"/>
        <v>3780924.3931339998</v>
      </c>
      <c r="H111" s="163">
        <f t="shared" si="15"/>
        <v>585207.58790310263</v>
      </c>
      <c r="I111" s="253">
        <f t="shared" si="16"/>
        <v>585207.58790310263</v>
      </c>
      <c r="J111" s="158">
        <f t="shared" si="17"/>
        <v>0</v>
      </c>
      <c r="K111" s="158"/>
      <c r="L111" s="334"/>
      <c r="M111" s="158">
        <f t="shared" si="18"/>
        <v>0</v>
      </c>
      <c r="N111" s="334"/>
      <c r="O111" s="158">
        <f t="shared" si="19"/>
        <v>0</v>
      </c>
      <c r="P111" s="158">
        <f t="shared" si="20"/>
        <v>0</v>
      </c>
    </row>
    <row r="112" spans="1:16">
      <c r="B112" s="9" t="str">
        <f t="shared" si="11"/>
        <v/>
      </c>
      <c r="C112" s="153">
        <f>IF(D93="","-",+C111+1)</f>
        <v>2027</v>
      </c>
      <c r="D112" s="154">
        <f>IF(F111+SUM(E$99:E111)=D$92,F111,D$92-SUM(E$99:E111))</f>
        <v>3717957.7978959046</v>
      </c>
      <c r="E112" s="160">
        <f t="shared" si="12"/>
        <v>125933.19047619047</v>
      </c>
      <c r="F112" s="159">
        <f t="shared" si="13"/>
        <v>3592024.6074197143</v>
      </c>
      <c r="G112" s="159">
        <f t="shared" si="14"/>
        <v>3654991.2026578095</v>
      </c>
      <c r="H112" s="163">
        <f t="shared" si="15"/>
        <v>569910.29968516529</v>
      </c>
      <c r="I112" s="253">
        <f t="shared" si="16"/>
        <v>569910.29968516529</v>
      </c>
      <c r="J112" s="158">
        <f t="shared" si="17"/>
        <v>0</v>
      </c>
      <c r="K112" s="158"/>
      <c r="L112" s="334"/>
      <c r="M112" s="158">
        <f t="shared" si="18"/>
        <v>0</v>
      </c>
      <c r="N112" s="334"/>
      <c r="O112" s="158">
        <f t="shared" si="19"/>
        <v>0</v>
      </c>
      <c r="P112" s="158">
        <f t="shared" si="20"/>
        <v>0</v>
      </c>
    </row>
    <row r="113" spans="2:16">
      <c r="B113" s="9" t="str">
        <f t="shared" si="11"/>
        <v/>
      </c>
      <c r="C113" s="153">
        <f>IF(D93="","-",+C112+1)</f>
        <v>2028</v>
      </c>
      <c r="D113" s="154">
        <f>IF(F112+SUM(E$99:E112)=D$92,F112,D$92-SUM(E$99:E112))</f>
        <v>3592024.6074197143</v>
      </c>
      <c r="E113" s="160">
        <f t="shared" si="12"/>
        <v>125933.19047619047</v>
      </c>
      <c r="F113" s="159">
        <f t="shared" si="13"/>
        <v>3466091.416943524</v>
      </c>
      <c r="G113" s="159">
        <f t="shared" si="14"/>
        <v>3529058.0121816192</v>
      </c>
      <c r="H113" s="163">
        <f t="shared" si="15"/>
        <v>554613.01146722795</v>
      </c>
      <c r="I113" s="253">
        <f t="shared" si="16"/>
        <v>554613.01146722795</v>
      </c>
      <c r="J113" s="158">
        <f t="shared" si="17"/>
        <v>0</v>
      </c>
      <c r="K113" s="158"/>
      <c r="L113" s="334"/>
      <c r="M113" s="158">
        <f t="shared" si="18"/>
        <v>0</v>
      </c>
      <c r="N113" s="334"/>
      <c r="O113" s="158">
        <f t="shared" si="19"/>
        <v>0</v>
      </c>
      <c r="P113" s="158">
        <f t="shared" si="20"/>
        <v>0</v>
      </c>
    </row>
    <row r="114" spans="2:16">
      <c r="B114" s="9" t="str">
        <f t="shared" si="11"/>
        <v/>
      </c>
      <c r="C114" s="153">
        <f>IF(D93="","-",+C113+1)</f>
        <v>2029</v>
      </c>
      <c r="D114" s="154">
        <f>IF(F113+SUM(E$99:E113)=D$92,F113,D$92-SUM(E$99:E113))</f>
        <v>3466091.416943524</v>
      </c>
      <c r="E114" s="160">
        <f t="shared" si="12"/>
        <v>125933.19047619047</v>
      </c>
      <c r="F114" s="159">
        <f t="shared" si="13"/>
        <v>3340158.2264673337</v>
      </c>
      <c r="G114" s="159">
        <f t="shared" si="14"/>
        <v>3403124.8217054289</v>
      </c>
      <c r="H114" s="163">
        <f t="shared" si="15"/>
        <v>539315.72324929037</v>
      </c>
      <c r="I114" s="253">
        <f t="shared" si="16"/>
        <v>539315.72324929037</v>
      </c>
      <c r="J114" s="158">
        <f t="shared" si="17"/>
        <v>0</v>
      </c>
      <c r="K114" s="158"/>
      <c r="L114" s="334"/>
      <c r="M114" s="158">
        <f t="shared" si="18"/>
        <v>0</v>
      </c>
      <c r="N114" s="334"/>
      <c r="O114" s="158">
        <f t="shared" si="19"/>
        <v>0</v>
      </c>
      <c r="P114" s="158">
        <f t="shared" si="20"/>
        <v>0</v>
      </c>
    </row>
    <row r="115" spans="2:16">
      <c r="B115" s="9" t="str">
        <f t="shared" si="11"/>
        <v/>
      </c>
      <c r="C115" s="153">
        <f>IF(D93="","-",+C114+1)</f>
        <v>2030</v>
      </c>
      <c r="D115" s="154">
        <f>IF(F114+SUM(E$99:E114)=D$92,F114,D$92-SUM(E$99:E114))</f>
        <v>3340158.2264673337</v>
      </c>
      <c r="E115" s="160">
        <f t="shared" si="12"/>
        <v>125933.19047619047</v>
      </c>
      <c r="F115" s="159">
        <f t="shared" si="13"/>
        <v>3214225.0359911434</v>
      </c>
      <c r="G115" s="159">
        <f t="shared" si="14"/>
        <v>3277191.6312292386</v>
      </c>
      <c r="H115" s="163">
        <f t="shared" si="15"/>
        <v>524018.43503135303</v>
      </c>
      <c r="I115" s="253">
        <f t="shared" si="16"/>
        <v>524018.43503135303</v>
      </c>
      <c r="J115" s="158">
        <f t="shared" si="17"/>
        <v>0</v>
      </c>
      <c r="K115" s="158"/>
      <c r="L115" s="334"/>
      <c r="M115" s="158">
        <f t="shared" si="18"/>
        <v>0</v>
      </c>
      <c r="N115" s="334"/>
      <c r="O115" s="158">
        <f t="shared" si="19"/>
        <v>0</v>
      </c>
      <c r="P115" s="158">
        <f t="shared" si="20"/>
        <v>0</v>
      </c>
    </row>
    <row r="116" spans="2:16">
      <c r="B116" s="9" t="str">
        <f t="shared" si="11"/>
        <v/>
      </c>
      <c r="C116" s="153">
        <f>IF(D93="","-",+C115+1)</f>
        <v>2031</v>
      </c>
      <c r="D116" s="154">
        <f>IF(F115+SUM(E$99:E115)=D$92,F115,D$92-SUM(E$99:E115))</f>
        <v>3214225.0359911434</v>
      </c>
      <c r="E116" s="160">
        <f t="shared" si="12"/>
        <v>125933.19047619047</v>
      </c>
      <c r="F116" s="159">
        <f t="shared" si="13"/>
        <v>3088291.8455149531</v>
      </c>
      <c r="G116" s="159">
        <f t="shared" si="14"/>
        <v>3151258.4407530483</v>
      </c>
      <c r="H116" s="163">
        <f t="shared" si="15"/>
        <v>508721.14681341563</v>
      </c>
      <c r="I116" s="253">
        <f t="shared" si="16"/>
        <v>508721.14681341563</v>
      </c>
      <c r="J116" s="158">
        <f t="shared" si="17"/>
        <v>0</v>
      </c>
      <c r="K116" s="158"/>
      <c r="L116" s="334"/>
      <c r="M116" s="158">
        <f t="shared" si="18"/>
        <v>0</v>
      </c>
      <c r="N116" s="334"/>
      <c r="O116" s="158">
        <f t="shared" si="19"/>
        <v>0</v>
      </c>
      <c r="P116" s="158">
        <f t="shared" si="20"/>
        <v>0</v>
      </c>
    </row>
    <row r="117" spans="2:16">
      <c r="B117" s="9" t="str">
        <f t="shared" si="11"/>
        <v/>
      </c>
      <c r="C117" s="153">
        <f>IF(D93="","-",+C116+1)</f>
        <v>2032</v>
      </c>
      <c r="D117" s="154">
        <f>IF(F116+SUM(E$99:E116)=D$92,F116,D$92-SUM(E$99:E116))</f>
        <v>3088291.8455149531</v>
      </c>
      <c r="E117" s="160">
        <f t="shared" si="12"/>
        <v>125933.19047619047</v>
      </c>
      <c r="F117" s="159">
        <f t="shared" si="13"/>
        <v>2962358.6550387628</v>
      </c>
      <c r="G117" s="159">
        <f t="shared" si="14"/>
        <v>3025325.250276858</v>
      </c>
      <c r="H117" s="163">
        <f t="shared" si="15"/>
        <v>493423.85859547823</v>
      </c>
      <c r="I117" s="253">
        <f t="shared" si="16"/>
        <v>493423.85859547823</v>
      </c>
      <c r="J117" s="158">
        <f t="shared" si="17"/>
        <v>0</v>
      </c>
      <c r="K117" s="158"/>
      <c r="L117" s="334"/>
      <c r="M117" s="158">
        <f t="shared" si="18"/>
        <v>0</v>
      </c>
      <c r="N117" s="334"/>
      <c r="O117" s="158">
        <f t="shared" si="19"/>
        <v>0</v>
      </c>
      <c r="P117" s="158">
        <f t="shared" si="20"/>
        <v>0</v>
      </c>
    </row>
    <row r="118" spans="2:16">
      <c r="B118" s="9" t="str">
        <f t="shared" si="11"/>
        <v/>
      </c>
      <c r="C118" s="153">
        <f>IF(D93="","-",+C117+1)</f>
        <v>2033</v>
      </c>
      <c r="D118" s="154">
        <f>IF(F117+SUM(E$99:E117)=D$92,F117,D$92-SUM(E$99:E117))</f>
        <v>2962358.6550387628</v>
      </c>
      <c r="E118" s="160">
        <f t="shared" si="12"/>
        <v>125933.19047619047</v>
      </c>
      <c r="F118" s="159">
        <f t="shared" si="13"/>
        <v>2836425.4645625725</v>
      </c>
      <c r="G118" s="159">
        <f t="shared" si="14"/>
        <v>2899392.0598006677</v>
      </c>
      <c r="H118" s="163">
        <f t="shared" si="15"/>
        <v>478126.57037754083</v>
      </c>
      <c r="I118" s="253">
        <f t="shared" si="16"/>
        <v>478126.57037754083</v>
      </c>
      <c r="J118" s="158">
        <f t="shared" si="17"/>
        <v>0</v>
      </c>
      <c r="K118" s="158"/>
      <c r="L118" s="334"/>
      <c r="M118" s="158">
        <f t="shared" si="18"/>
        <v>0</v>
      </c>
      <c r="N118" s="334"/>
      <c r="O118" s="158">
        <f t="shared" si="19"/>
        <v>0</v>
      </c>
      <c r="P118" s="158">
        <f t="shared" si="20"/>
        <v>0</v>
      </c>
    </row>
    <row r="119" spans="2:16">
      <c r="B119" s="9" t="str">
        <f t="shared" si="11"/>
        <v/>
      </c>
      <c r="C119" s="153">
        <f>IF(D93="","-",+C118+1)</f>
        <v>2034</v>
      </c>
      <c r="D119" s="154">
        <f>IF(F118+SUM(E$99:E118)=D$92,F118,D$92-SUM(E$99:E118))</f>
        <v>2836425.4645625725</v>
      </c>
      <c r="E119" s="160">
        <f t="shared" si="12"/>
        <v>125933.19047619047</v>
      </c>
      <c r="F119" s="159">
        <f t="shared" si="13"/>
        <v>2710492.2740863822</v>
      </c>
      <c r="G119" s="159">
        <f t="shared" si="14"/>
        <v>2773458.8693244774</v>
      </c>
      <c r="H119" s="163">
        <f t="shared" si="15"/>
        <v>462829.28215960343</v>
      </c>
      <c r="I119" s="253">
        <f t="shared" si="16"/>
        <v>462829.28215960343</v>
      </c>
      <c r="J119" s="158">
        <f t="shared" si="17"/>
        <v>0</v>
      </c>
      <c r="K119" s="158"/>
      <c r="L119" s="334"/>
      <c r="M119" s="158">
        <f t="shared" si="18"/>
        <v>0</v>
      </c>
      <c r="N119" s="334"/>
      <c r="O119" s="158">
        <f t="shared" si="19"/>
        <v>0</v>
      </c>
      <c r="P119" s="158">
        <f t="shared" si="20"/>
        <v>0</v>
      </c>
    </row>
    <row r="120" spans="2:16">
      <c r="B120" s="9" t="str">
        <f t="shared" si="11"/>
        <v/>
      </c>
      <c r="C120" s="153">
        <f>IF(D93="","-",+C119+1)</f>
        <v>2035</v>
      </c>
      <c r="D120" s="154">
        <f>IF(F119+SUM(E$99:E119)=D$92,F119,D$92-SUM(E$99:E119))</f>
        <v>2710492.2740863822</v>
      </c>
      <c r="E120" s="160">
        <f t="shared" si="12"/>
        <v>125933.19047619047</v>
      </c>
      <c r="F120" s="159">
        <f t="shared" si="13"/>
        <v>2584559.0836101919</v>
      </c>
      <c r="G120" s="159">
        <f t="shared" si="14"/>
        <v>2647525.6788482871</v>
      </c>
      <c r="H120" s="163">
        <f t="shared" si="15"/>
        <v>447531.99394166603</v>
      </c>
      <c r="I120" s="253">
        <f t="shared" si="16"/>
        <v>447531.99394166603</v>
      </c>
      <c r="J120" s="158">
        <f t="shared" si="17"/>
        <v>0</v>
      </c>
      <c r="K120" s="158"/>
      <c r="L120" s="334"/>
      <c r="M120" s="158">
        <f t="shared" si="18"/>
        <v>0</v>
      </c>
      <c r="N120" s="334"/>
      <c r="O120" s="158">
        <f t="shared" si="19"/>
        <v>0</v>
      </c>
      <c r="P120" s="158">
        <f t="shared" si="20"/>
        <v>0</v>
      </c>
    </row>
    <row r="121" spans="2:16">
      <c r="B121" s="9" t="str">
        <f t="shared" si="11"/>
        <v/>
      </c>
      <c r="C121" s="153">
        <f>IF(D93="","-",+C120+1)</f>
        <v>2036</v>
      </c>
      <c r="D121" s="154">
        <f>IF(F120+SUM(E$99:E120)=D$92,F120,D$92-SUM(E$99:E120))</f>
        <v>2584559.0836101919</v>
      </c>
      <c r="E121" s="160">
        <f t="shared" si="12"/>
        <v>125933.19047619047</v>
      </c>
      <c r="F121" s="159">
        <f t="shared" si="13"/>
        <v>2458625.8931340016</v>
      </c>
      <c r="G121" s="159">
        <f t="shared" si="14"/>
        <v>2521592.4883720968</v>
      </c>
      <c r="H121" s="163">
        <f t="shared" si="15"/>
        <v>432234.70572372864</v>
      </c>
      <c r="I121" s="253">
        <f t="shared" si="16"/>
        <v>432234.70572372864</v>
      </c>
      <c r="J121" s="158">
        <f t="shared" si="17"/>
        <v>0</v>
      </c>
      <c r="K121" s="158"/>
      <c r="L121" s="334"/>
      <c r="M121" s="158">
        <f t="shared" si="18"/>
        <v>0</v>
      </c>
      <c r="N121" s="334"/>
      <c r="O121" s="158">
        <f t="shared" si="19"/>
        <v>0</v>
      </c>
      <c r="P121" s="158">
        <f t="shared" si="20"/>
        <v>0</v>
      </c>
    </row>
    <row r="122" spans="2:16">
      <c r="B122" s="9" t="str">
        <f t="shared" si="11"/>
        <v/>
      </c>
      <c r="C122" s="153">
        <f>IF(D93="","-",+C121+1)</f>
        <v>2037</v>
      </c>
      <c r="D122" s="154">
        <f>IF(F121+SUM(E$99:E121)=D$92,F121,D$92-SUM(E$99:E121))</f>
        <v>2458625.8931340016</v>
      </c>
      <c r="E122" s="160">
        <f t="shared" si="12"/>
        <v>125933.19047619047</v>
      </c>
      <c r="F122" s="159">
        <f t="shared" si="13"/>
        <v>2332692.7026578113</v>
      </c>
      <c r="G122" s="159">
        <f t="shared" si="14"/>
        <v>2395659.2978959065</v>
      </c>
      <c r="H122" s="163">
        <f t="shared" si="15"/>
        <v>416937.41750579124</v>
      </c>
      <c r="I122" s="253">
        <f t="shared" si="16"/>
        <v>416937.41750579124</v>
      </c>
      <c r="J122" s="158">
        <f t="shared" si="17"/>
        <v>0</v>
      </c>
      <c r="K122" s="158"/>
      <c r="L122" s="334"/>
      <c r="M122" s="158">
        <f t="shared" si="18"/>
        <v>0</v>
      </c>
      <c r="N122" s="334"/>
      <c r="O122" s="158">
        <f t="shared" si="19"/>
        <v>0</v>
      </c>
      <c r="P122" s="158">
        <f t="shared" si="20"/>
        <v>0</v>
      </c>
    </row>
    <row r="123" spans="2:16">
      <c r="B123" s="9" t="str">
        <f t="shared" si="11"/>
        <v/>
      </c>
      <c r="C123" s="153">
        <f>IF(D93="","-",+C122+1)</f>
        <v>2038</v>
      </c>
      <c r="D123" s="154">
        <f>IF(F122+SUM(E$99:E122)=D$92,F122,D$92-SUM(E$99:E122))</f>
        <v>2332692.7026578113</v>
      </c>
      <c r="E123" s="160">
        <f t="shared" si="12"/>
        <v>125933.19047619047</v>
      </c>
      <c r="F123" s="159">
        <f t="shared" si="13"/>
        <v>2206759.512181621</v>
      </c>
      <c r="G123" s="159">
        <f t="shared" si="14"/>
        <v>2269726.1074197162</v>
      </c>
      <c r="H123" s="163">
        <f t="shared" si="15"/>
        <v>401640.12928785384</v>
      </c>
      <c r="I123" s="253">
        <f t="shared" si="16"/>
        <v>401640.12928785384</v>
      </c>
      <c r="J123" s="158">
        <f t="shared" si="17"/>
        <v>0</v>
      </c>
      <c r="K123" s="158"/>
      <c r="L123" s="334"/>
      <c r="M123" s="158">
        <f t="shared" si="18"/>
        <v>0</v>
      </c>
      <c r="N123" s="334"/>
      <c r="O123" s="158">
        <f t="shared" si="19"/>
        <v>0</v>
      </c>
      <c r="P123" s="158">
        <f t="shared" si="20"/>
        <v>0</v>
      </c>
    </row>
    <row r="124" spans="2:16">
      <c r="B124" s="9" t="str">
        <f t="shared" si="11"/>
        <v/>
      </c>
      <c r="C124" s="153">
        <f>IF(D93="","-",+C123+1)</f>
        <v>2039</v>
      </c>
      <c r="D124" s="154">
        <f>IF(F123+SUM(E$99:E123)=D$92,F123,D$92-SUM(E$99:E123))</f>
        <v>2206759.512181621</v>
      </c>
      <c r="E124" s="160">
        <f t="shared" si="12"/>
        <v>125933.19047619047</v>
      </c>
      <c r="F124" s="159">
        <f t="shared" si="13"/>
        <v>2080826.3217054305</v>
      </c>
      <c r="G124" s="159">
        <f t="shared" si="14"/>
        <v>2143792.9169435259</v>
      </c>
      <c r="H124" s="163">
        <f t="shared" si="15"/>
        <v>386342.84106991644</v>
      </c>
      <c r="I124" s="253">
        <f t="shared" si="16"/>
        <v>386342.84106991644</v>
      </c>
      <c r="J124" s="158">
        <f t="shared" si="17"/>
        <v>0</v>
      </c>
      <c r="K124" s="158"/>
      <c r="L124" s="334"/>
      <c r="M124" s="158">
        <f t="shared" si="18"/>
        <v>0</v>
      </c>
      <c r="N124" s="334"/>
      <c r="O124" s="158">
        <f t="shared" si="19"/>
        <v>0</v>
      </c>
      <c r="P124" s="158">
        <f t="shared" si="20"/>
        <v>0</v>
      </c>
    </row>
    <row r="125" spans="2:16">
      <c r="B125" s="9" t="str">
        <f t="shared" si="11"/>
        <v/>
      </c>
      <c r="C125" s="153">
        <f>IF(D93="","-",+C124+1)</f>
        <v>2040</v>
      </c>
      <c r="D125" s="154">
        <f>IF(F124+SUM(E$99:E124)=D$92,F124,D$92-SUM(E$99:E124))</f>
        <v>2080826.3217054305</v>
      </c>
      <c r="E125" s="160">
        <f t="shared" si="12"/>
        <v>125933.19047619047</v>
      </c>
      <c r="F125" s="159">
        <f t="shared" si="13"/>
        <v>1954893.13122924</v>
      </c>
      <c r="G125" s="159">
        <f t="shared" si="14"/>
        <v>2017859.7264673351</v>
      </c>
      <c r="H125" s="163">
        <f t="shared" si="15"/>
        <v>371045.55285197898</v>
      </c>
      <c r="I125" s="253">
        <f t="shared" si="16"/>
        <v>371045.55285197898</v>
      </c>
      <c r="J125" s="158">
        <f t="shared" si="17"/>
        <v>0</v>
      </c>
      <c r="K125" s="158"/>
      <c r="L125" s="334"/>
      <c r="M125" s="158">
        <f t="shared" si="18"/>
        <v>0</v>
      </c>
      <c r="N125" s="334"/>
      <c r="O125" s="158">
        <f t="shared" si="19"/>
        <v>0</v>
      </c>
      <c r="P125" s="158">
        <f t="shared" si="20"/>
        <v>0</v>
      </c>
    </row>
    <row r="126" spans="2:16">
      <c r="B126" s="9" t="str">
        <f t="shared" si="11"/>
        <v/>
      </c>
      <c r="C126" s="153">
        <f>IF(D93="","-",+C125+1)</f>
        <v>2041</v>
      </c>
      <c r="D126" s="154">
        <f>IF(F125+SUM(E$99:E125)=D$92,F125,D$92-SUM(E$99:E125))</f>
        <v>1954893.13122924</v>
      </c>
      <c r="E126" s="160">
        <f t="shared" si="12"/>
        <v>125933.19047619047</v>
      </c>
      <c r="F126" s="159">
        <f t="shared" si="13"/>
        <v>1828959.9407530494</v>
      </c>
      <c r="G126" s="159">
        <f t="shared" si="14"/>
        <v>1891926.5359911448</v>
      </c>
      <c r="H126" s="163">
        <f t="shared" si="15"/>
        <v>355748.26463404158</v>
      </c>
      <c r="I126" s="253">
        <f t="shared" si="16"/>
        <v>355748.26463404158</v>
      </c>
      <c r="J126" s="158">
        <f t="shared" si="17"/>
        <v>0</v>
      </c>
      <c r="K126" s="158"/>
      <c r="L126" s="334"/>
      <c r="M126" s="158">
        <f t="shared" si="18"/>
        <v>0</v>
      </c>
      <c r="N126" s="334"/>
      <c r="O126" s="158">
        <f t="shared" si="19"/>
        <v>0</v>
      </c>
      <c r="P126" s="158">
        <f t="shared" si="20"/>
        <v>0</v>
      </c>
    </row>
    <row r="127" spans="2:16">
      <c r="B127" s="9" t="str">
        <f t="shared" si="11"/>
        <v/>
      </c>
      <c r="C127" s="153">
        <f>IF(D93="","-",+C126+1)</f>
        <v>2042</v>
      </c>
      <c r="D127" s="154">
        <f>IF(F126+SUM(E$99:E126)=D$92,F126,D$92-SUM(E$99:E126))</f>
        <v>1828959.9407530494</v>
      </c>
      <c r="E127" s="160">
        <f t="shared" si="12"/>
        <v>125933.19047619047</v>
      </c>
      <c r="F127" s="159">
        <f t="shared" si="13"/>
        <v>1703026.7502768589</v>
      </c>
      <c r="G127" s="159">
        <f t="shared" si="14"/>
        <v>1765993.3455149541</v>
      </c>
      <c r="H127" s="163">
        <f t="shared" si="15"/>
        <v>340450.97641610412</v>
      </c>
      <c r="I127" s="253">
        <f t="shared" si="16"/>
        <v>340450.97641610412</v>
      </c>
      <c r="J127" s="158">
        <f t="shared" si="17"/>
        <v>0</v>
      </c>
      <c r="K127" s="158"/>
      <c r="L127" s="334"/>
      <c r="M127" s="158">
        <f t="shared" si="18"/>
        <v>0</v>
      </c>
      <c r="N127" s="334"/>
      <c r="O127" s="158">
        <f t="shared" si="19"/>
        <v>0</v>
      </c>
      <c r="P127" s="158">
        <f t="shared" si="20"/>
        <v>0</v>
      </c>
    </row>
    <row r="128" spans="2:16">
      <c r="B128" s="9" t="str">
        <f t="shared" si="11"/>
        <v/>
      </c>
      <c r="C128" s="153">
        <f>IF(D93="","-",+C127+1)</f>
        <v>2043</v>
      </c>
      <c r="D128" s="154">
        <f>IF(F127+SUM(E$99:E127)=D$92,F127,D$92-SUM(E$99:E127))</f>
        <v>1703026.7502768589</v>
      </c>
      <c r="E128" s="160">
        <f t="shared" si="12"/>
        <v>125933.19047619047</v>
      </c>
      <c r="F128" s="159">
        <f t="shared" si="13"/>
        <v>1577093.5598006684</v>
      </c>
      <c r="G128" s="159">
        <f t="shared" si="14"/>
        <v>1640060.1550387638</v>
      </c>
      <c r="H128" s="163">
        <f t="shared" si="15"/>
        <v>325153.68819816672</v>
      </c>
      <c r="I128" s="253">
        <f t="shared" si="16"/>
        <v>325153.68819816672</v>
      </c>
      <c r="J128" s="158">
        <f t="shared" si="17"/>
        <v>0</v>
      </c>
      <c r="K128" s="158"/>
      <c r="L128" s="334"/>
      <c r="M128" s="158">
        <f t="shared" si="18"/>
        <v>0</v>
      </c>
      <c r="N128" s="334"/>
      <c r="O128" s="158">
        <f t="shared" si="19"/>
        <v>0</v>
      </c>
      <c r="P128" s="158">
        <f t="shared" si="20"/>
        <v>0</v>
      </c>
    </row>
    <row r="129" spans="2:16">
      <c r="B129" s="9" t="str">
        <f t="shared" si="11"/>
        <v/>
      </c>
      <c r="C129" s="153">
        <f>IF(D93="","-",+C128+1)</f>
        <v>2044</v>
      </c>
      <c r="D129" s="154">
        <f>IF(F128+SUM(E$99:E128)=D$92,F128,D$92-SUM(E$99:E128))</f>
        <v>1577093.5598006684</v>
      </c>
      <c r="E129" s="160">
        <f t="shared" si="12"/>
        <v>125933.19047619047</v>
      </c>
      <c r="F129" s="159">
        <f t="shared" si="13"/>
        <v>1451160.3693244779</v>
      </c>
      <c r="G129" s="159">
        <f t="shared" si="14"/>
        <v>1514126.964562573</v>
      </c>
      <c r="H129" s="163">
        <f t="shared" si="15"/>
        <v>309856.39998022927</v>
      </c>
      <c r="I129" s="253">
        <f t="shared" si="16"/>
        <v>309856.39998022927</v>
      </c>
      <c r="J129" s="158">
        <f t="shared" si="17"/>
        <v>0</v>
      </c>
      <c r="K129" s="158"/>
      <c r="L129" s="334"/>
      <c r="M129" s="158">
        <f t="shared" si="18"/>
        <v>0</v>
      </c>
      <c r="N129" s="334"/>
      <c r="O129" s="158">
        <f t="shared" si="19"/>
        <v>0</v>
      </c>
      <c r="P129" s="158">
        <f t="shared" si="20"/>
        <v>0</v>
      </c>
    </row>
    <row r="130" spans="2:16">
      <c r="B130" s="9" t="str">
        <f t="shared" si="11"/>
        <v/>
      </c>
      <c r="C130" s="153">
        <f>IF(D93="","-",+C129+1)</f>
        <v>2045</v>
      </c>
      <c r="D130" s="154">
        <f>IF(F129+SUM(E$99:E129)=D$92,F129,D$92-SUM(E$99:E129))</f>
        <v>1451160.3693244779</v>
      </c>
      <c r="E130" s="160">
        <f t="shared" si="12"/>
        <v>125933.19047619047</v>
      </c>
      <c r="F130" s="159">
        <f t="shared" si="13"/>
        <v>1325227.1788482873</v>
      </c>
      <c r="G130" s="159">
        <f t="shared" si="14"/>
        <v>1388193.7740863827</v>
      </c>
      <c r="H130" s="163">
        <f t="shared" si="15"/>
        <v>294559.11176229187</v>
      </c>
      <c r="I130" s="253">
        <f t="shared" si="16"/>
        <v>294559.11176229187</v>
      </c>
      <c r="J130" s="158">
        <f t="shared" si="17"/>
        <v>0</v>
      </c>
      <c r="K130" s="158"/>
      <c r="L130" s="334"/>
      <c r="M130" s="158">
        <f t="shared" si="18"/>
        <v>0</v>
      </c>
      <c r="N130" s="334"/>
      <c r="O130" s="158">
        <f t="shared" si="19"/>
        <v>0</v>
      </c>
      <c r="P130" s="158">
        <f t="shared" si="20"/>
        <v>0</v>
      </c>
    </row>
    <row r="131" spans="2:16">
      <c r="B131" s="9" t="str">
        <f t="shared" si="11"/>
        <v/>
      </c>
      <c r="C131" s="153">
        <f>IF(D93="","-",+C130+1)</f>
        <v>2046</v>
      </c>
      <c r="D131" s="154">
        <f>IF(F130+SUM(E$99:E130)=D$92,F130,D$92-SUM(E$99:E130))</f>
        <v>1325227.1788482873</v>
      </c>
      <c r="E131" s="160">
        <f t="shared" si="12"/>
        <v>125933.19047619047</v>
      </c>
      <c r="F131" s="159">
        <f t="shared" si="13"/>
        <v>1199293.9883720968</v>
      </c>
      <c r="G131" s="159">
        <f t="shared" si="14"/>
        <v>1262260.5836101919</v>
      </c>
      <c r="H131" s="163">
        <f t="shared" si="15"/>
        <v>279261.82354435441</v>
      </c>
      <c r="I131" s="253">
        <f t="shared" si="16"/>
        <v>279261.82354435441</v>
      </c>
      <c r="J131" s="158">
        <f t="shared" si="17"/>
        <v>0</v>
      </c>
      <c r="K131" s="158"/>
      <c r="L131" s="334"/>
      <c r="M131" s="158">
        <f t="shared" ref="M131:M154" si="21">IF(L541&lt;&gt;0,+H541-L541,0)</f>
        <v>0</v>
      </c>
      <c r="N131" s="334"/>
      <c r="O131" s="158">
        <f t="shared" ref="O131:O154" si="22">IF(N541&lt;&gt;0,+I541-N541,0)</f>
        <v>0</v>
      </c>
      <c r="P131" s="158">
        <f t="shared" ref="P131:P154" si="23">+O541-M541</f>
        <v>0</v>
      </c>
    </row>
    <row r="132" spans="2:16">
      <c r="B132" s="9" t="str">
        <f t="shared" si="11"/>
        <v/>
      </c>
      <c r="C132" s="153">
        <f>IF(D93="","-",+C131+1)</f>
        <v>2047</v>
      </c>
      <c r="D132" s="154">
        <f>IF(F131+SUM(E$99:E131)=D$92,F131,D$92-SUM(E$99:E131))</f>
        <v>1199293.9883720968</v>
      </c>
      <c r="E132" s="160">
        <f t="shared" si="12"/>
        <v>125933.19047619047</v>
      </c>
      <c r="F132" s="159">
        <f t="shared" si="13"/>
        <v>1073360.7978959063</v>
      </c>
      <c r="G132" s="159">
        <f t="shared" si="14"/>
        <v>1136327.3931340016</v>
      </c>
      <c r="H132" s="163">
        <f t="shared" si="15"/>
        <v>263964.53532641695</v>
      </c>
      <c r="I132" s="253">
        <f t="shared" si="16"/>
        <v>263964.53532641695</v>
      </c>
      <c r="J132" s="158">
        <f t="shared" si="17"/>
        <v>0</v>
      </c>
      <c r="K132" s="158"/>
      <c r="L132" s="334"/>
      <c r="M132" s="158">
        <f t="shared" si="21"/>
        <v>0</v>
      </c>
      <c r="N132" s="334"/>
      <c r="O132" s="158">
        <f t="shared" si="22"/>
        <v>0</v>
      </c>
      <c r="P132" s="158">
        <f t="shared" si="23"/>
        <v>0</v>
      </c>
    </row>
    <row r="133" spans="2:16">
      <c r="B133" s="9" t="str">
        <f t="shared" si="11"/>
        <v/>
      </c>
      <c r="C133" s="153">
        <f>IF(D93="","-",+C132+1)</f>
        <v>2048</v>
      </c>
      <c r="D133" s="154">
        <f>IF(F132+SUM(E$99:E132)=D$92,F132,D$92-SUM(E$99:E132))</f>
        <v>1073360.7978959063</v>
      </c>
      <c r="E133" s="160">
        <f t="shared" si="12"/>
        <v>125933.19047619047</v>
      </c>
      <c r="F133" s="159">
        <f t="shared" si="13"/>
        <v>947427.60741971573</v>
      </c>
      <c r="G133" s="159">
        <f t="shared" si="14"/>
        <v>1010394.202657811</v>
      </c>
      <c r="H133" s="163">
        <f t="shared" si="15"/>
        <v>248667.24710847955</v>
      </c>
      <c r="I133" s="253">
        <f t="shared" si="16"/>
        <v>248667.24710847955</v>
      </c>
      <c r="J133" s="158">
        <f t="shared" si="17"/>
        <v>0</v>
      </c>
      <c r="K133" s="158"/>
      <c r="L133" s="334"/>
      <c r="M133" s="158">
        <f t="shared" si="21"/>
        <v>0</v>
      </c>
      <c r="N133" s="334"/>
      <c r="O133" s="158">
        <f t="shared" si="22"/>
        <v>0</v>
      </c>
      <c r="P133" s="158">
        <f t="shared" si="23"/>
        <v>0</v>
      </c>
    </row>
    <row r="134" spans="2:16">
      <c r="B134" s="9" t="str">
        <f t="shared" si="11"/>
        <v/>
      </c>
      <c r="C134" s="153">
        <f>IF(D93="","-",+C133+1)</f>
        <v>2049</v>
      </c>
      <c r="D134" s="154">
        <f>IF(F133+SUM(E$99:E133)=D$92,F133,D$92-SUM(E$99:E133))</f>
        <v>947427.60741971573</v>
      </c>
      <c r="E134" s="160">
        <f t="shared" si="12"/>
        <v>125933.19047619047</v>
      </c>
      <c r="F134" s="159">
        <f t="shared" si="13"/>
        <v>821494.4169435252</v>
      </c>
      <c r="G134" s="159">
        <f t="shared" si="14"/>
        <v>884461.01218162046</v>
      </c>
      <c r="H134" s="163">
        <f t="shared" si="15"/>
        <v>233369.95889054213</v>
      </c>
      <c r="I134" s="253">
        <f t="shared" si="16"/>
        <v>233369.95889054213</v>
      </c>
      <c r="J134" s="158">
        <f t="shared" si="17"/>
        <v>0</v>
      </c>
      <c r="K134" s="158"/>
      <c r="L134" s="334"/>
      <c r="M134" s="158">
        <f t="shared" si="21"/>
        <v>0</v>
      </c>
      <c r="N134" s="334"/>
      <c r="O134" s="158">
        <f t="shared" si="22"/>
        <v>0</v>
      </c>
      <c r="P134" s="158">
        <f t="shared" si="23"/>
        <v>0</v>
      </c>
    </row>
    <row r="135" spans="2:16">
      <c r="B135" s="9" t="str">
        <f t="shared" si="11"/>
        <v/>
      </c>
      <c r="C135" s="153">
        <f>IF(D93="","-",+C134+1)</f>
        <v>2050</v>
      </c>
      <c r="D135" s="154">
        <f>IF(F134+SUM(E$99:E134)=D$92,F134,D$92-SUM(E$99:E134))</f>
        <v>821494.4169435252</v>
      </c>
      <c r="E135" s="160">
        <f t="shared" si="12"/>
        <v>125933.19047619047</v>
      </c>
      <c r="F135" s="159">
        <f t="shared" si="13"/>
        <v>695561.22646733467</v>
      </c>
      <c r="G135" s="159">
        <f t="shared" si="14"/>
        <v>758527.82170542993</v>
      </c>
      <c r="H135" s="163">
        <f t="shared" si="15"/>
        <v>218072.6706726047</v>
      </c>
      <c r="I135" s="253">
        <f t="shared" si="16"/>
        <v>218072.6706726047</v>
      </c>
      <c r="J135" s="158">
        <f t="shared" si="17"/>
        <v>0</v>
      </c>
      <c r="K135" s="158"/>
      <c r="L135" s="334"/>
      <c r="M135" s="158">
        <f t="shared" si="21"/>
        <v>0</v>
      </c>
      <c r="N135" s="334"/>
      <c r="O135" s="158">
        <f t="shared" si="22"/>
        <v>0</v>
      </c>
      <c r="P135" s="158">
        <f t="shared" si="23"/>
        <v>0</v>
      </c>
    </row>
    <row r="136" spans="2:16">
      <c r="B136" s="9" t="str">
        <f t="shared" si="11"/>
        <v/>
      </c>
      <c r="C136" s="153">
        <f>IF(D93="","-",+C135+1)</f>
        <v>2051</v>
      </c>
      <c r="D136" s="154">
        <f>IF(F135+SUM(E$99:E135)=D$92,F135,D$92-SUM(E$99:E135))</f>
        <v>695561.22646733467</v>
      </c>
      <c r="E136" s="160">
        <f t="shared" si="12"/>
        <v>125933.19047619047</v>
      </c>
      <c r="F136" s="159">
        <f t="shared" si="13"/>
        <v>569628.03599114413</v>
      </c>
      <c r="G136" s="159">
        <f t="shared" si="14"/>
        <v>632594.6312292394</v>
      </c>
      <c r="H136" s="163">
        <f t="shared" si="15"/>
        <v>202775.38245466724</v>
      </c>
      <c r="I136" s="253">
        <f t="shared" si="16"/>
        <v>202775.38245466724</v>
      </c>
      <c r="J136" s="158">
        <f t="shared" si="17"/>
        <v>0</v>
      </c>
      <c r="K136" s="158"/>
      <c r="L136" s="334"/>
      <c r="M136" s="158">
        <f t="shared" si="21"/>
        <v>0</v>
      </c>
      <c r="N136" s="334"/>
      <c r="O136" s="158">
        <f t="shared" si="22"/>
        <v>0</v>
      </c>
      <c r="P136" s="158">
        <f t="shared" si="23"/>
        <v>0</v>
      </c>
    </row>
    <row r="137" spans="2:16">
      <c r="B137" s="9" t="str">
        <f t="shared" si="11"/>
        <v/>
      </c>
      <c r="C137" s="153">
        <f>IF(D93="","-",+C136+1)</f>
        <v>2052</v>
      </c>
      <c r="D137" s="154">
        <f>IF(F136+SUM(E$99:E136)=D$92,F136,D$92-SUM(E$99:E136))</f>
        <v>569628.03599114413</v>
      </c>
      <c r="E137" s="160">
        <f t="shared" si="12"/>
        <v>125933.19047619047</v>
      </c>
      <c r="F137" s="159">
        <f t="shared" si="13"/>
        <v>443694.84551495366</v>
      </c>
      <c r="G137" s="159">
        <f t="shared" si="14"/>
        <v>506661.44075304887</v>
      </c>
      <c r="H137" s="163">
        <f t="shared" si="15"/>
        <v>187478.09423672984</v>
      </c>
      <c r="I137" s="253">
        <f t="shared" si="16"/>
        <v>187478.09423672984</v>
      </c>
      <c r="J137" s="158">
        <f t="shared" si="17"/>
        <v>0</v>
      </c>
      <c r="K137" s="158"/>
      <c r="L137" s="334"/>
      <c r="M137" s="158">
        <f t="shared" si="21"/>
        <v>0</v>
      </c>
      <c r="N137" s="334"/>
      <c r="O137" s="158">
        <f t="shared" si="22"/>
        <v>0</v>
      </c>
      <c r="P137" s="158">
        <f t="shared" si="23"/>
        <v>0</v>
      </c>
    </row>
    <row r="138" spans="2:16">
      <c r="B138" s="9" t="str">
        <f t="shared" si="11"/>
        <v/>
      </c>
      <c r="C138" s="153">
        <f>IF(D93="","-",+C137+1)</f>
        <v>2053</v>
      </c>
      <c r="D138" s="154">
        <f>IF(F137+SUM(E$99:E137)=D$92,F137,D$92-SUM(E$99:E137))</f>
        <v>443694.84551495366</v>
      </c>
      <c r="E138" s="160">
        <f t="shared" si="12"/>
        <v>125933.19047619047</v>
      </c>
      <c r="F138" s="159">
        <f t="shared" si="13"/>
        <v>317761.65503876319</v>
      </c>
      <c r="G138" s="159">
        <f t="shared" si="14"/>
        <v>380728.25027685845</v>
      </c>
      <c r="H138" s="163">
        <f t="shared" si="15"/>
        <v>172180.80601879241</v>
      </c>
      <c r="I138" s="253">
        <f t="shared" si="16"/>
        <v>172180.80601879241</v>
      </c>
      <c r="J138" s="158">
        <f t="shared" si="17"/>
        <v>0</v>
      </c>
      <c r="K138" s="158"/>
      <c r="L138" s="334"/>
      <c r="M138" s="158">
        <f t="shared" si="21"/>
        <v>0</v>
      </c>
      <c r="N138" s="334"/>
      <c r="O138" s="158">
        <f t="shared" si="22"/>
        <v>0</v>
      </c>
      <c r="P138" s="158">
        <f t="shared" si="23"/>
        <v>0</v>
      </c>
    </row>
    <row r="139" spans="2:16">
      <c r="B139" s="9" t="str">
        <f t="shared" si="11"/>
        <v/>
      </c>
      <c r="C139" s="153">
        <f>IF(D93="","-",+C138+1)</f>
        <v>2054</v>
      </c>
      <c r="D139" s="154">
        <f>IF(F138+SUM(E$99:E138)=D$92,F138,D$92-SUM(E$99:E138))</f>
        <v>317761.65503876319</v>
      </c>
      <c r="E139" s="160">
        <f t="shared" si="12"/>
        <v>125933.19047619047</v>
      </c>
      <c r="F139" s="159">
        <f t="shared" si="13"/>
        <v>191828.46456257271</v>
      </c>
      <c r="G139" s="159">
        <f t="shared" si="14"/>
        <v>254795.05980066795</v>
      </c>
      <c r="H139" s="163">
        <f t="shared" si="15"/>
        <v>156883.51780085498</v>
      </c>
      <c r="I139" s="253">
        <f t="shared" si="16"/>
        <v>156883.51780085498</v>
      </c>
      <c r="J139" s="158">
        <f t="shared" si="17"/>
        <v>0</v>
      </c>
      <c r="K139" s="158"/>
      <c r="L139" s="334"/>
      <c r="M139" s="158">
        <f t="shared" si="21"/>
        <v>0</v>
      </c>
      <c r="N139" s="334"/>
      <c r="O139" s="158">
        <f t="shared" si="22"/>
        <v>0</v>
      </c>
      <c r="P139" s="158">
        <f t="shared" si="23"/>
        <v>0</v>
      </c>
    </row>
    <row r="140" spans="2:16">
      <c r="B140" s="9" t="str">
        <f t="shared" si="11"/>
        <v/>
      </c>
      <c r="C140" s="153">
        <f>IF(D93="","-",+C139+1)</f>
        <v>2055</v>
      </c>
      <c r="D140" s="154">
        <f>IF(F139+SUM(E$99:E139)=D$92,F139,D$92-SUM(E$99:E139))</f>
        <v>191828.46456257271</v>
      </c>
      <c r="E140" s="160">
        <f t="shared" si="12"/>
        <v>125933.19047619047</v>
      </c>
      <c r="F140" s="159">
        <f t="shared" si="13"/>
        <v>65895.27408638224</v>
      </c>
      <c r="G140" s="159">
        <f t="shared" si="14"/>
        <v>128861.86932447748</v>
      </c>
      <c r="H140" s="163">
        <f t="shared" si="15"/>
        <v>141586.22958291756</v>
      </c>
      <c r="I140" s="253">
        <f t="shared" si="16"/>
        <v>141586.22958291756</v>
      </c>
      <c r="J140" s="158">
        <f t="shared" si="17"/>
        <v>0</v>
      </c>
      <c r="K140" s="158"/>
      <c r="L140" s="334"/>
      <c r="M140" s="158">
        <f t="shared" si="21"/>
        <v>0</v>
      </c>
      <c r="N140" s="334"/>
      <c r="O140" s="158">
        <f t="shared" si="22"/>
        <v>0</v>
      </c>
      <c r="P140" s="158">
        <f t="shared" si="23"/>
        <v>0</v>
      </c>
    </row>
    <row r="141" spans="2:16">
      <c r="B141" s="9" t="str">
        <f t="shared" si="11"/>
        <v/>
      </c>
      <c r="C141" s="153">
        <f>IF(D93="","-",+C140+1)</f>
        <v>2056</v>
      </c>
      <c r="D141" s="154">
        <f>IF(F140+SUM(E$99:E140)=D$92,F140,D$92-SUM(E$99:E140))</f>
        <v>65895.27408638224</v>
      </c>
      <c r="E141" s="160">
        <f t="shared" si="12"/>
        <v>65895.27408638224</v>
      </c>
      <c r="F141" s="159">
        <f t="shared" si="13"/>
        <v>0</v>
      </c>
      <c r="G141" s="159">
        <f t="shared" si="14"/>
        <v>32947.63704319112</v>
      </c>
      <c r="H141" s="163">
        <f t="shared" si="15"/>
        <v>69897.471585261432</v>
      </c>
      <c r="I141" s="253">
        <f t="shared" si="16"/>
        <v>69897.471585261432</v>
      </c>
      <c r="J141" s="158">
        <f t="shared" si="17"/>
        <v>0</v>
      </c>
      <c r="K141" s="158"/>
      <c r="L141" s="334"/>
      <c r="M141" s="158">
        <f t="shared" si="21"/>
        <v>0</v>
      </c>
      <c r="N141" s="334"/>
      <c r="O141" s="158">
        <f t="shared" si="22"/>
        <v>0</v>
      </c>
      <c r="P141" s="158">
        <f t="shared" si="23"/>
        <v>0</v>
      </c>
    </row>
    <row r="142" spans="2:16">
      <c r="B142" s="9" t="str">
        <f t="shared" si="11"/>
        <v/>
      </c>
      <c r="C142" s="153">
        <f>IF(D93="","-",+C141+1)</f>
        <v>2057</v>
      </c>
      <c r="D142" s="154">
        <f>IF(F141+SUM(E$99:E141)=D$92,F141,D$92-SUM(E$99:E141))</f>
        <v>0</v>
      </c>
      <c r="E142" s="160">
        <f t="shared" si="12"/>
        <v>0</v>
      </c>
      <c r="F142" s="159">
        <f t="shared" si="13"/>
        <v>0</v>
      </c>
      <c r="G142" s="159">
        <f t="shared" si="14"/>
        <v>0</v>
      </c>
      <c r="H142" s="163">
        <f t="shared" si="15"/>
        <v>0</v>
      </c>
      <c r="I142" s="253">
        <f t="shared" si="16"/>
        <v>0</v>
      </c>
      <c r="J142" s="158">
        <f t="shared" si="17"/>
        <v>0</v>
      </c>
      <c r="K142" s="158"/>
      <c r="L142" s="334"/>
      <c r="M142" s="158">
        <f t="shared" si="21"/>
        <v>0</v>
      </c>
      <c r="N142" s="334"/>
      <c r="O142" s="158">
        <f t="shared" si="22"/>
        <v>0</v>
      </c>
      <c r="P142" s="158">
        <f t="shared" si="23"/>
        <v>0</v>
      </c>
    </row>
    <row r="143" spans="2:16">
      <c r="B143" s="9" t="str">
        <f t="shared" si="11"/>
        <v/>
      </c>
      <c r="C143" s="153">
        <f>IF(D93="","-",+C142+1)</f>
        <v>2058</v>
      </c>
      <c r="D143" s="154">
        <f>IF(F142+SUM(E$99:E142)=D$92,F142,D$92-SUM(E$99:E142))</f>
        <v>0</v>
      </c>
      <c r="E143" s="160">
        <f t="shared" si="12"/>
        <v>0</v>
      </c>
      <c r="F143" s="159">
        <f t="shared" si="13"/>
        <v>0</v>
      </c>
      <c r="G143" s="159">
        <f t="shared" si="14"/>
        <v>0</v>
      </c>
      <c r="H143" s="163">
        <f t="shared" si="15"/>
        <v>0</v>
      </c>
      <c r="I143" s="253">
        <f t="shared" si="16"/>
        <v>0</v>
      </c>
      <c r="J143" s="158">
        <f t="shared" si="17"/>
        <v>0</v>
      </c>
      <c r="K143" s="158"/>
      <c r="L143" s="334"/>
      <c r="M143" s="158">
        <f t="shared" si="21"/>
        <v>0</v>
      </c>
      <c r="N143" s="334"/>
      <c r="O143" s="158">
        <f t="shared" si="22"/>
        <v>0</v>
      </c>
      <c r="P143" s="158">
        <f t="shared" si="23"/>
        <v>0</v>
      </c>
    </row>
    <row r="144" spans="2:16">
      <c r="B144" s="9" t="str">
        <f t="shared" si="11"/>
        <v/>
      </c>
      <c r="C144" s="153">
        <f>IF(D93="","-",+C143+1)</f>
        <v>2059</v>
      </c>
      <c r="D144" s="154">
        <f>IF(F143+SUM(E$99:E143)=D$92,F143,D$92-SUM(E$99:E143))</f>
        <v>0</v>
      </c>
      <c r="E144" s="160">
        <f t="shared" si="12"/>
        <v>0</v>
      </c>
      <c r="F144" s="159">
        <f t="shared" si="13"/>
        <v>0</v>
      </c>
      <c r="G144" s="159">
        <f t="shared" si="14"/>
        <v>0</v>
      </c>
      <c r="H144" s="163">
        <f t="shared" si="15"/>
        <v>0</v>
      </c>
      <c r="I144" s="253">
        <f t="shared" si="16"/>
        <v>0</v>
      </c>
      <c r="J144" s="158">
        <f t="shared" si="17"/>
        <v>0</v>
      </c>
      <c r="K144" s="158"/>
      <c r="L144" s="334"/>
      <c r="M144" s="158">
        <f t="shared" si="21"/>
        <v>0</v>
      </c>
      <c r="N144" s="334"/>
      <c r="O144" s="158">
        <f t="shared" si="22"/>
        <v>0</v>
      </c>
      <c r="P144" s="158">
        <f t="shared" si="23"/>
        <v>0</v>
      </c>
    </row>
    <row r="145" spans="2:16">
      <c r="B145" s="9" t="str">
        <f t="shared" si="11"/>
        <v/>
      </c>
      <c r="C145" s="153">
        <f>IF(D93="","-",+C144+1)</f>
        <v>2060</v>
      </c>
      <c r="D145" s="154">
        <f>IF(F144+SUM(E$99:E144)=D$92,F144,D$92-SUM(E$99:E144))</f>
        <v>0</v>
      </c>
      <c r="E145" s="160">
        <f t="shared" si="12"/>
        <v>0</v>
      </c>
      <c r="F145" s="159">
        <f t="shared" si="13"/>
        <v>0</v>
      </c>
      <c r="G145" s="159">
        <f t="shared" si="14"/>
        <v>0</v>
      </c>
      <c r="H145" s="163">
        <f t="shared" si="15"/>
        <v>0</v>
      </c>
      <c r="I145" s="253">
        <f t="shared" si="16"/>
        <v>0</v>
      </c>
      <c r="J145" s="158">
        <f t="shared" si="17"/>
        <v>0</v>
      </c>
      <c r="K145" s="158"/>
      <c r="L145" s="334"/>
      <c r="M145" s="158">
        <f t="shared" si="21"/>
        <v>0</v>
      </c>
      <c r="N145" s="334"/>
      <c r="O145" s="158">
        <f t="shared" si="22"/>
        <v>0</v>
      </c>
      <c r="P145" s="158">
        <f t="shared" si="23"/>
        <v>0</v>
      </c>
    </row>
    <row r="146" spans="2:16">
      <c r="B146" s="9" t="str">
        <f t="shared" si="11"/>
        <v/>
      </c>
      <c r="C146" s="153">
        <f>IF(D93="","-",+C145+1)</f>
        <v>2061</v>
      </c>
      <c r="D146" s="154">
        <f>IF(F145+SUM(E$99:E145)=D$92,F145,D$92-SUM(E$99:E145))</f>
        <v>0</v>
      </c>
      <c r="E146" s="160">
        <f t="shared" si="12"/>
        <v>0</v>
      </c>
      <c r="F146" s="159">
        <f t="shared" si="13"/>
        <v>0</v>
      </c>
      <c r="G146" s="159">
        <f t="shared" si="14"/>
        <v>0</v>
      </c>
      <c r="H146" s="163">
        <f t="shared" si="15"/>
        <v>0</v>
      </c>
      <c r="I146" s="253">
        <f t="shared" si="16"/>
        <v>0</v>
      </c>
      <c r="J146" s="158">
        <f t="shared" si="17"/>
        <v>0</v>
      </c>
      <c r="K146" s="158"/>
      <c r="L146" s="334"/>
      <c r="M146" s="158">
        <f t="shared" si="21"/>
        <v>0</v>
      </c>
      <c r="N146" s="334"/>
      <c r="O146" s="158">
        <f t="shared" si="22"/>
        <v>0</v>
      </c>
      <c r="P146" s="158">
        <f t="shared" si="23"/>
        <v>0</v>
      </c>
    </row>
    <row r="147" spans="2:16">
      <c r="B147" s="9" t="str">
        <f t="shared" si="11"/>
        <v/>
      </c>
      <c r="C147" s="153">
        <f>IF(D93="","-",+C146+1)</f>
        <v>2062</v>
      </c>
      <c r="D147" s="154">
        <f>IF(F146+SUM(E$99:E146)=D$92,F146,D$92-SUM(E$99:E146))</f>
        <v>0</v>
      </c>
      <c r="E147" s="160">
        <f t="shared" si="12"/>
        <v>0</v>
      </c>
      <c r="F147" s="159">
        <f t="shared" si="13"/>
        <v>0</v>
      </c>
      <c r="G147" s="159">
        <f t="shared" si="14"/>
        <v>0</v>
      </c>
      <c r="H147" s="163">
        <f t="shared" si="15"/>
        <v>0</v>
      </c>
      <c r="I147" s="253">
        <f t="shared" si="16"/>
        <v>0</v>
      </c>
      <c r="J147" s="158">
        <f t="shared" si="17"/>
        <v>0</v>
      </c>
      <c r="K147" s="158"/>
      <c r="L147" s="334"/>
      <c r="M147" s="158">
        <f t="shared" si="21"/>
        <v>0</v>
      </c>
      <c r="N147" s="334"/>
      <c r="O147" s="158">
        <f t="shared" si="22"/>
        <v>0</v>
      </c>
      <c r="P147" s="158">
        <f t="shared" si="23"/>
        <v>0</v>
      </c>
    </row>
    <row r="148" spans="2:16">
      <c r="B148" s="9" t="str">
        <f t="shared" si="11"/>
        <v/>
      </c>
      <c r="C148" s="153">
        <f>IF(D93="","-",+C147+1)</f>
        <v>2063</v>
      </c>
      <c r="D148" s="154">
        <f>IF(F147+SUM(E$99:E147)=D$92,F147,D$92-SUM(E$99:E147))</f>
        <v>0</v>
      </c>
      <c r="E148" s="160">
        <f t="shared" si="12"/>
        <v>0</v>
      </c>
      <c r="F148" s="159">
        <f t="shared" si="13"/>
        <v>0</v>
      </c>
      <c r="G148" s="159">
        <f t="shared" si="14"/>
        <v>0</v>
      </c>
      <c r="H148" s="163">
        <f t="shared" si="15"/>
        <v>0</v>
      </c>
      <c r="I148" s="253">
        <f t="shared" si="16"/>
        <v>0</v>
      </c>
      <c r="J148" s="158">
        <f t="shared" si="17"/>
        <v>0</v>
      </c>
      <c r="K148" s="158"/>
      <c r="L148" s="334"/>
      <c r="M148" s="158">
        <f t="shared" si="21"/>
        <v>0</v>
      </c>
      <c r="N148" s="334"/>
      <c r="O148" s="158">
        <f t="shared" si="22"/>
        <v>0</v>
      </c>
      <c r="P148" s="158">
        <f t="shared" si="23"/>
        <v>0</v>
      </c>
    </row>
    <row r="149" spans="2:16">
      <c r="B149" s="9" t="str">
        <f t="shared" si="11"/>
        <v/>
      </c>
      <c r="C149" s="153">
        <f>IF(D93="","-",+C148+1)</f>
        <v>2064</v>
      </c>
      <c r="D149" s="154">
        <f>IF(F148+SUM(E$99:E148)=D$92,F148,D$92-SUM(E$99:E148))</f>
        <v>0</v>
      </c>
      <c r="E149" s="160">
        <f t="shared" si="12"/>
        <v>0</v>
      </c>
      <c r="F149" s="159">
        <f t="shared" si="13"/>
        <v>0</v>
      </c>
      <c r="G149" s="159">
        <f t="shared" si="14"/>
        <v>0</v>
      </c>
      <c r="H149" s="163">
        <f t="shared" si="15"/>
        <v>0</v>
      </c>
      <c r="I149" s="253">
        <f t="shared" si="16"/>
        <v>0</v>
      </c>
      <c r="J149" s="158">
        <f t="shared" si="17"/>
        <v>0</v>
      </c>
      <c r="K149" s="158"/>
      <c r="L149" s="334"/>
      <c r="M149" s="158">
        <f t="shared" si="21"/>
        <v>0</v>
      </c>
      <c r="N149" s="334"/>
      <c r="O149" s="158">
        <f t="shared" si="22"/>
        <v>0</v>
      </c>
      <c r="P149" s="158">
        <f t="shared" si="23"/>
        <v>0</v>
      </c>
    </row>
    <row r="150" spans="2:16">
      <c r="B150" s="9" t="str">
        <f t="shared" si="11"/>
        <v/>
      </c>
      <c r="C150" s="153">
        <f>IF(D93="","-",+C149+1)</f>
        <v>2065</v>
      </c>
      <c r="D150" s="154">
        <f>IF(F149+SUM(E$99:E149)=D$92,F149,D$92-SUM(E$99:E149))</f>
        <v>0</v>
      </c>
      <c r="E150" s="160">
        <f t="shared" si="12"/>
        <v>0</v>
      </c>
      <c r="F150" s="159">
        <f t="shared" si="13"/>
        <v>0</v>
      </c>
      <c r="G150" s="159">
        <f t="shared" si="14"/>
        <v>0</v>
      </c>
      <c r="H150" s="163">
        <f t="shared" si="15"/>
        <v>0</v>
      </c>
      <c r="I150" s="253">
        <f t="shared" si="16"/>
        <v>0</v>
      </c>
      <c r="J150" s="158">
        <f t="shared" si="17"/>
        <v>0</v>
      </c>
      <c r="K150" s="158"/>
      <c r="L150" s="334"/>
      <c r="M150" s="158">
        <f t="shared" si="21"/>
        <v>0</v>
      </c>
      <c r="N150" s="334"/>
      <c r="O150" s="158">
        <f t="shared" si="22"/>
        <v>0</v>
      </c>
      <c r="P150" s="158">
        <f t="shared" si="23"/>
        <v>0</v>
      </c>
    </row>
    <row r="151" spans="2:16">
      <c r="B151" s="9" t="str">
        <f t="shared" si="11"/>
        <v/>
      </c>
      <c r="C151" s="153">
        <f>IF(D93="","-",+C150+1)</f>
        <v>2066</v>
      </c>
      <c r="D151" s="154">
        <f>IF(F150+SUM(E$99:E150)=D$92,F150,D$92-SUM(E$99:E150))</f>
        <v>0</v>
      </c>
      <c r="E151" s="160">
        <f t="shared" si="12"/>
        <v>0</v>
      </c>
      <c r="F151" s="159">
        <f t="shared" si="13"/>
        <v>0</v>
      </c>
      <c r="G151" s="159">
        <f t="shared" si="14"/>
        <v>0</v>
      </c>
      <c r="H151" s="163">
        <f t="shared" si="15"/>
        <v>0</v>
      </c>
      <c r="I151" s="253">
        <f t="shared" si="16"/>
        <v>0</v>
      </c>
      <c r="J151" s="158">
        <f t="shared" si="17"/>
        <v>0</v>
      </c>
      <c r="K151" s="158"/>
      <c r="L151" s="334"/>
      <c r="M151" s="158">
        <f t="shared" si="21"/>
        <v>0</v>
      </c>
      <c r="N151" s="334"/>
      <c r="O151" s="158">
        <f t="shared" si="22"/>
        <v>0</v>
      </c>
      <c r="P151" s="158">
        <f t="shared" si="23"/>
        <v>0</v>
      </c>
    </row>
    <row r="152" spans="2:16">
      <c r="B152" s="9" t="str">
        <f t="shared" si="11"/>
        <v/>
      </c>
      <c r="C152" s="153">
        <f>IF(D93="","-",+C151+1)</f>
        <v>2067</v>
      </c>
      <c r="D152" s="154">
        <f>IF(F151+SUM(E$99:E151)=D$92,F151,D$92-SUM(E$99:E151))</f>
        <v>0</v>
      </c>
      <c r="E152" s="160">
        <f t="shared" si="12"/>
        <v>0</v>
      </c>
      <c r="F152" s="159">
        <f t="shared" si="13"/>
        <v>0</v>
      </c>
      <c r="G152" s="159">
        <f t="shared" si="14"/>
        <v>0</v>
      </c>
      <c r="H152" s="163">
        <f t="shared" si="15"/>
        <v>0</v>
      </c>
      <c r="I152" s="253">
        <f t="shared" si="16"/>
        <v>0</v>
      </c>
      <c r="J152" s="158">
        <f t="shared" si="17"/>
        <v>0</v>
      </c>
      <c r="K152" s="158"/>
      <c r="L152" s="334"/>
      <c r="M152" s="158">
        <f t="shared" si="21"/>
        <v>0</v>
      </c>
      <c r="N152" s="334"/>
      <c r="O152" s="158">
        <f t="shared" si="22"/>
        <v>0</v>
      </c>
      <c r="P152" s="158">
        <f t="shared" si="23"/>
        <v>0</v>
      </c>
    </row>
    <row r="153" spans="2:16">
      <c r="B153" s="9" t="str">
        <f t="shared" si="11"/>
        <v/>
      </c>
      <c r="C153" s="153">
        <f>IF(D93="","-",+C152+1)</f>
        <v>2068</v>
      </c>
      <c r="D153" s="154">
        <f>IF(F152+SUM(E$99:E152)=D$92,F152,D$92-SUM(E$99:E152))</f>
        <v>0</v>
      </c>
      <c r="E153" s="160">
        <f t="shared" si="12"/>
        <v>0</v>
      </c>
      <c r="F153" s="159">
        <f t="shared" si="13"/>
        <v>0</v>
      </c>
      <c r="G153" s="159">
        <f t="shared" si="14"/>
        <v>0</v>
      </c>
      <c r="H153" s="163">
        <f t="shared" si="15"/>
        <v>0</v>
      </c>
      <c r="I153" s="253">
        <f t="shared" si="16"/>
        <v>0</v>
      </c>
      <c r="J153" s="158">
        <f t="shared" si="17"/>
        <v>0</v>
      </c>
      <c r="K153" s="158"/>
      <c r="L153" s="334"/>
      <c r="M153" s="158">
        <f t="shared" si="21"/>
        <v>0</v>
      </c>
      <c r="N153" s="334"/>
      <c r="O153" s="158">
        <f t="shared" si="22"/>
        <v>0</v>
      </c>
      <c r="P153" s="158">
        <f t="shared" si="23"/>
        <v>0</v>
      </c>
    </row>
    <row r="154" spans="2:16" ht="13.5" thickBot="1">
      <c r="B154" s="9" t="str">
        <f t="shared" si="11"/>
        <v/>
      </c>
      <c r="C154" s="164">
        <f>IF(D93="","-",+C153+1)</f>
        <v>2069</v>
      </c>
      <c r="D154" s="154">
        <f>IF(F153+SUM(E$99:E153)=D$92,F153,D$92-SUM(E$99:E153))</f>
        <v>0</v>
      </c>
      <c r="E154" s="160">
        <f t="shared" si="12"/>
        <v>0</v>
      </c>
      <c r="F154" s="159">
        <f t="shared" si="13"/>
        <v>0</v>
      </c>
      <c r="G154" s="159">
        <f t="shared" si="14"/>
        <v>0</v>
      </c>
      <c r="H154" s="163">
        <f t="shared" si="15"/>
        <v>0</v>
      </c>
      <c r="I154" s="253">
        <f t="shared" si="16"/>
        <v>0</v>
      </c>
      <c r="J154" s="158">
        <f t="shared" si="17"/>
        <v>0</v>
      </c>
      <c r="K154" s="158"/>
      <c r="L154" s="335"/>
      <c r="M154" s="169">
        <f t="shared" si="21"/>
        <v>0</v>
      </c>
      <c r="N154" s="335"/>
      <c r="O154" s="169">
        <f t="shared" si="22"/>
        <v>0</v>
      </c>
      <c r="P154" s="169">
        <f t="shared" si="23"/>
        <v>0</v>
      </c>
    </row>
    <row r="155" spans="2:16">
      <c r="C155" s="154" t="s">
        <v>73</v>
      </c>
      <c r="D155" s="111"/>
      <c r="E155" s="111">
        <f>SUM(E99:E154)</f>
        <v>5289194</v>
      </c>
      <c r="F155" s="111"/>
      <c r="G155" s="111"/>
      <c r="H155" s="111">
        <f>SUM(H99:H154)</f>
        <v>18914170.360077124</v>
      </c>
      <c r="I155" s="111">
        <f>SUM(I99:I154)</f>
        <v>18914170.360077124</v>
      </c>
      <c r="J155" s="111">
        <f>SUM(J99:J154)</f>
        <v>0</v>
      </c>
      <c r="K155" s="111"/>
      <c r="L155" s="111"/>
      <c r="M155" s="111"/>
      <c r="N155" s="111"/>
      <c r="O155" s="111"/>
      <c r="P155" s="1"/>
    </row>
    <row r="156" spans="2:16">
      <c r="C156" t="s">
        <v>87</v>
      </c>
      <c r="D156" s="2"/>
      <c r="E156" s="1"/>
      <c r="F156" s="1"/>
      <c r="G156" s="1"/>
      <c r="H156" s="1"/>
      <c r="I156" s="3"/>
      <c r="J156" s="3"/>
      <c r="K156" s="111"/>
      <c r="L156" s="3"/>
      <c r="M156" s="3"/>
      <c r="N156" s="3"/>
      <c r="O156" s="3"/>
      <c r="P156" s="1"/>
    </row>
    <row r="157" spans="2:16">
      <c r="C157" s="216"/>
      <c r="D157" s="2"/>
      <c r="E157" s="1"/>
      <c r="F157" s="1"/>
      <c r="G157" s="1"/>
      <c r="H157" s="1"/>
      <c r="I157" s="3"/>
      <c r="J157" s="3"/>
      <c r="K157" s="111"/>
      <c r="L157" s="3"/>
      <c r="M157" s="3"/>
      <c r="N157" s="3"/>
      <c r="O157" s="3"/>
      <c r="P157" s="1"/>
    </row>
    <row r="158" spans="2:16">
      <c r="C158" s="248" t="s">
        <v>127</v>
      </c>
      <c r="D158" s="2"/>
      <c r="E158" s="1"/>
      <c r="F158" s="1"/>
      <c r="G158" s="1"/>
      <c r="H158" s="1"/>
      <c r="I158" s="3"/>
      <c r="J158" s="3"/>
      <c r="K158" s="111"/>
      <c r="L158" s="3"/>
      <c r="M158" s="3"/>
      <c r="N158" s="3"/>
      <c r="O158" s="3"/>
      <c r="P158" s="1"/>
    </row>
    <row r="159" spans="2:16">
      <c r="C159" s="121" t="s">
        <v>74</v>
      </c>
      <c r="D159" s="154"/>
      <c r="E159" s="154"/>
      <c r="F159" s="154"/>
      <c r="G159" s="154"/>
      <c r="H159" s="111"/>
      <c r="I159" s="111"/>
      <c r="J159" s="171"/>
      <c r="K159" s="171"/>
      <c r="L159" s="171"/>
      <c r="M159" s="171"/>
      <c r="N159" s="171"/>
      <c r="O159" s="171"/>
      <c r="P159" s="1"/>
    </row>
    <row r="160" spans="2:16">
      <c r="C160" s="217" t="s">
        <v>75</v>
      </c>
      <c r="D160" s="154"/>
      <c r="E160" s="154"/>
      <c r="F160" s="154"/>
      <c r="G160" s="154"/>
      <c r="H160" s="111"/>
      <c r="I160" s="111"/>
      <c r="J160" s="171"/>
      <c r="K160" s="171"/>
      <c r="L160" s="171"/>
      <c r="M160" s="171"/>
      <c r="N160" s="171"/>
      <c r="O160" s="171"/>
      <c r="P160" s="1"/>
    </row>
    <row r="161" spans="3:16">
      <c r="C161" s="217"/>
      <c r="D161" s="154"/>
      <c r="E161" s="154"/>
      <c r="F161" s="154"/>
      <c r="G161" s="154"/>
      <c r="H161" s="111"/>
      <c r="I161" s="111"/>
      <c r="J161" s="171"/>
      <c r="K161" s="171"/>
      <c r="L161" s="171"/>
      <c r="M161" s="171"/>
      <c r="N161" s="171"/>
      <c r="O161" s="171"/>
      <c r="P161" s="1"/>
    </row>
    <row r="162" spans="3:16" ht="18">
      <c r="C162" s="217"/>
      <c r="D162" s="154"/>
      <c r="E162" s="154"/>
      <c r="F162" s="154"/>
      <c r="G162" s="154"/>
      <c r="H162" s="111"/>
      <c r="I162" s="111"/>
      <c r="J162" s="171"/>
      <c r="K162" s="171"/>
      <c r="L162" s="171"/>
      <c r="M162" s="171"/>
      <c r="N162" s="171"/>
      <c r="P162" s="245" t="s">
        <v>126</v>
      </c>
    </row>
  </sheetData>
  <conditionalFormatting sqref="C17:C72">
    <cfRule type="cellIs" dxfId="80" priority="1" stopIfTrue="1" operator="equal">
      <formula>$I$10</formula>
    </cfRule>
  </conditionalFormatting>
  <conditionalFormatting sqref="C99:C154">
    <cfRule type="cellIs" dxfId="79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2"/>
  <dimension ref="A1:P162"/>
  <sheetViews>
    <sheetView view="pageBreakPreview" zoomScale="82" zoomScaleNormal="100" zoomScaleSheetLayoutView="82" workbookViewId="0">
      <selection activeCell="C19" sqref="C19"/>
    </sheetView>
  </sheetViews>
  <sheetFormatPr defaultRowHeight="12.75" customHeight="1"/>
  <cols>
    <col min="1" max="1" width="4.7109375" customWidth="1"/>
    <col min="2" max="2" width="6.7109375" customWidth="1"/>
    <col min="3" max="3" width="23.28515625" customWidth="1"/>
    <col min="4" max="8" width="17.7109375" customWidth="1"/>
    <col min="9" max="9" width="20.42578125" customWidth="1"/>
    <col min="10" max="10" width="16.42578125" customWidth="1"/>
    <col min="11" max="11" width="17.7109375" customWidth="1"/>
    <col min="12" max="12" width="16.140625" customWidth="1"/>
    <col min="13" max="13" width="17.7109375" customWidth="1"/>
    <col min="14" max="14" width="16.7109375" customWidth="1"/>
    <col min="15" max="15" width="16.85546875" customWidth="1"/>
    <col min="16" max="16" width="24.42578125" customWidth="1"/>
    <col min="17" max="17" width="9.140625" customWidth="1"/>
    <col min="23" max="23" width="9.140625" customWidth="1"/>
  </cols>
  <sheetData>
    <row r="1" spans="1:16" ht="20.25">
      <c r="A1" s="243" t="s">
        <v>128</v>
      </c>
      <c r="B1" s="1"/>
      <c r="C1" s="21"/>
      <c r="D1" s="2"/>
      <c r="E1" s="1"/>
      <c r="F1" s="99"/>
      <c r="G1" s="1"/>
      <c r="H1" s="3"/>
      <c r="J1" s="7"/>
      <c r="K1" s="109"/>
      <c r="L1" s="109"/>
      <c r="M1" s="109"/>
      <c r="P1" s="249" t="str">
        <f ca="1">"SWEPCO Project "&amp;RIGHT(MID(CELL("filename",$A$1),FIND("]",CELL("filename",$A$1))+1,256),2)&amp;" of "&amp;COUNT('S.001:S.xyz - blank'!$P$3)-1</f>
        <v>SWEPCO Project 43 of 73</v>
      </c>
    </row>
    <row r="2" spans="1:16" ht="18">
      <c r="B2" s="1"/>
      <c r="C2" s="1"/>
      <c r="D2" s="2"/>
      <c r="E2" s="1"/>
      <c r="F2" s="1"/>
      <c r="G2" s="1"/>
      <c r="H2" s="3"/>
      <c r="I2" s="1"/>
      <c r="J2" s="4"/>
      <c r="K2" s="1"/>
      <c r="L2" s="1"/>
      <c r="M2" s="1"/>
      <c r="N2" s="1"/>
      <c r="P2" s="244" t="s">
        <v>124</v>
      </c>
    </row>
    <row r="3" spans="1:16" ht="18.75">
      <c r="B3" s="5" t="s">
        <v>40</v>
      </c>
      <c r="C3" s="68" t="s">
        <v>41</v>
      </c>
      <c r="D3" s="2"/>
      <c r="E3" s="1"/>
      <c r="F3" s="1"/>
      <c r="G3" s="1"/>
      <c r="H3" s="3"/>
      <c r="I3" s="3"/>
      <c r="J3" s="111"/>
      <c r="K3" s="3"/>
      <c r="L3" s="3"/>
      <c r="M3" s="3"/>
      <c r="N3" s="3"/>
      <c r="O3" s="1"/>
      <c r="P3" s="240">
        <v>1</v>
      </c>
    </row>
    <row r="4" spans="1:16" ht="15.75" thickBot="1">
      <c r="C4" s="67"/>
      <c r="D4" s="2"/>
      <c r="E4" s="1"/>
      <c r="F4" s="1"/>
      <c r="G4" s="1"/>
      <c r="H4" s="3"/>
      <c r="I4" s="3"/>
      <c r="J4" s="111"/>
      <c r="K4" s="3"/>
      <c r="L4" s="3"/>
      <c r="M4" s="3"/>
      <c r="N4" s="3"/>
      <c r="O4" s="1"/>
      <c r="P4" s="1"/>
    </row>
    <row r="5" spans="1:16" ht="15">
      <c r="C5" s="112" t="s">
        <v>42</v>
      </c>
      <c r="D5" s="2"/>
      <c r="E5" s="1"/>
      <c r="F5" s="1"/>
      <c r="G5" s="113"/>
      <c r="H5" s="1" t="s">
        <v>43</v>
      </c>
      <c r="I5" s="1"/>
      <c r="J5" s="4"/>
      <c r="K5" s="268" t="s">
        <v>152</v>
      </c>
      <c r="L5" s="114"/>
      <c r="M5" s="115"/>
      <c r="N5" s="116">
        <f>VLOOKUP(I10,C17:I72,5)</f>
        <v>1656690.9906646225</v>
      </c>
      <c r="P5" s="1"/>
    </row>
    <row r="6" spans="1:16" ht="15.75">
      <c r="C6" s="8"/>
      <c r="D6" s="2"/>
      <c r="E6" s="1"/>
      <c r="F6" s="1"/>
      <c r="G6" s="1"/>
      <c r="H6" s="117"/>
      <c r="I6" s="117"/>
      <c r="J6" s="118"/>
      <c r="K6" s="269" t="s">
        <v>153</v>
      </c>
      <c r="L6" s="119"/>
      <c r="M6" s="4"/>
      <c r="N6" s="120">
        <f>VLOOKUP(I10,C17:I72,6)</f>
        <v>1656690.9906646225</v>
      </c>
      <c r="O6" s="1"/>
      <c r="P6" s="1"/>
    </row>
    <row r="7" spans="1:16" ht="13.5" thickBot="1">
      <c r="C7" s="121" t="s">
        <v>44</v>
      </c>
      <c r="D7" s="386" t="s">
        <v>306</v>
      </c>
      <c r="E7" s="379"/>
      <c r="F7" s="379"/>
      <c r="G7" s="379"/>
      <c r="H7" s="383"/>
      <c r="I7" s="3"/>
      <c r="J7" s="111"/>
      <c r="K7" s="122" t="s">
        <v>45</v>
      </c>
      <c r="L7" s="123"/>
      <c r="M7" s="123"/>
      <c r="N7" s="124">
        <f>+N6-N5</f>
        <v>0</v>
      </c>
      <c r="O7" s="1"/>
      <c r="P7" s="1"/>
    </row>
    <row r="8" spans="1:16" ht="13.5" thickBot="1">
      <c r="C8" s="125"/>
      <c r="D8" s="352" t="str">
        <f>IF(D10&lt;100000,"DOES NOT MEET SPP $100,000 MINIMUM INVESTMENT FOR REGIONAL BPU SHARING.","")</f>
        <v/>
      </c>
      <c r="E8" s="126"/>
      <c r="F8" s="126"/>
      <c r="G8" s="126"/>
      <c r="H8" s="126"/>
      <c r="I8" s="126"/>
      <c r="J8" s="101"/>
      <c r="K8" s="126"/>
      <c r="L8" s="126"/>
      <c r="M8" s="126"/>
      <c r="N8" s="126"/>
      <c r="O8" s="101"/>
      <c r="P8" s="21"/>
    </row>
    <row r="9" spans="1:16" ht="13.5" thickBot="1">
      <c r="C9" s="127" t="s">
        <v>46</v>
      </c>
      <c r="D9" s="225" t="s">
        <v>305</v>
      </c>
      <c r="E9" s="401" t="s">
        <v>500</v>
      </c>
      <c r="F9" s="128"/>
      <c r="G9" s="128"/>
      <c r="H9" s="128"/>
      <c r="I9" s="129"/>
      <c r="J9" s="130"/>
      <c r="O9" s="131"/>
      <c r="P9" s="4"/>
    </row>
    <row r="10" spans="1:16">
      <c r="C10" s="132" t="s">
        <v>47</v>
      </c>
      <c r="D10" s="133">
        <f>14866883-83583</f>
        <v>14783300</v>
      </c>
      <c r="E10" s="61" t="s">
        <v>459</v>
      </c>
      <c r="F10" s="131"/>
      <c r="G10" s="134"/>
      <c r="H10" s="134"/>
      <c r="I10" s="135">
        <f>+SWE.WS.F.BPU.ATRR.Projected!K17</f>
        <v>2019</v>
      </c>
      <c r="J10" s="130"/>
      <c r="K10" s="111" t="s">
        <v>48</v>
      </c>
      <c r="O10" s="4"/>
      <c r="P10" s="4"/>
    </row>
    <row r="11" spans="1:16">
      <c r="C11" s="136" t="s">
        <v>49</v>
      </c>
      <c r="D11" s="137">
        <v>2014</v>
      </c>
      <c r="E11" s="136" t="s">
        <v>50</v>
      </c>
      <c r="F11" s="134"/>
      <c r="G11" s="7"/>
      <c r="H11" s="7"/>
      <c r="I11" s="138">
        <f>IF(G5="",0,SWE.WS.F.BPU.ATRR.Projected!F$11)</f>
        <v>0</v>
      </c>
      <c r="J11" s="139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4"/>
      <c r="P11" s="4"/>
    </row>
    <row r="12" spans="1:16">
      <c r="C12" s="136" t="s">
        <v>51</v>
      </c>
      <c r="D12" s="133">
        <v>11</v>
      </c>
      <c r="E12" s="136" t="s">
        <v>52</v>
      </c>
      <c r="F12" s="134"/>
      <c r="G12" s="7"/>
      <c r="H12" s="7"/>
      <c r="I12" s="140">
        <f>SWE.WS.F.BPU.ATRR.Projected!$F$76</f>
        <v>9.9555672459071778E-2</v>
      </c>
      <c r="J12" s="141"/>
      <c r="K12" t="s">
        <v>53</v>
      </c>
      <c r="O12" s="4"/>
      <c r="P12" s="4"/>
    </row>
    <row r="13" spans="1:16">
      <c r="C13" s="136" t="s">
        <v>54</v>
      </c>
      <c r="D13" s="138">
        <f>+SWE.WS.F.BPU.ATRR.Projected!F$87</f>
        <v>43</v>
      </c>
      <c r="E13" s="136" t="s">
        <v>55</v>
      </c>
      <c r="F13" s="134"/>
      <c r="G13" s="7"/>
      <c r="H13" s="7"/>
      <c r="I13" s="140">
        <f>IF(G5="",I12,SWE.WS.F.BPU.ATRR.Projected!$F$75)</f>
        <v>9.9555672459071778E-2</v>
      </c>
      <c r="J13" s="141"/>
      <c r="K13" s="111" t="s">
        <v>56</v>
      </c>
      <c r="L13" s="58"/>
      <c r="M13" s="58"/>
      <c r="N13" s="58"/>
      <c r="O13" s="4"/>
      <c r="P13" s="4"/>
    </row>
    <row r="14" spans="1:16" ht="13.5" thickBot="1">
      <c r="C14" s="136" t="s">
        <v>57</v>
      </c>
      <c r="D14" s="137" t="s">
        <v>58</v>
      </c>
      <c r="E14" s="4" t="s">
        <v>59</v>
      </c>
      <c r="F14" s="134"/>
      <c r="G14" s="7"/>
      <c r="H14" s="7"/>
      <c r="I14" s="142">
        <f>IF(D10=0,0,D10/D13)</f>
        <v>343797.67441860464</v>
      </c>
      <c r="J14" s="111"/>
      <c r="K14" s="111"/>
      <c r="L14" s="111"/>
      <c r="M14" s="111"/>
      <c r="N14" s="111"/>
      <c r="O14" s="4"/>
      <c r="P14" s="4"/>
    </row>
    <row r="15" spans="1:16" ht="38.25">
      <c r="C15" s="143" t="s">
        <v>47</v>
      </c>
      <c r="D15" s="144" t="s">
        <v>60</v>
      </c>
      <c r="E15" s="144" t="s">
        <v>61</v>
      </c>
      <c r="F15" s="144" t="s">
        <v>62</v>
      </c>
      <c r="G15" s="434" t="s">
        <v>378</v>
      </c>
      <c r="H15" s="435" t="s">
        <v>379</v>
      </c>
      <c r="I15" s="143" t="s">
        <v>63</v>
      </c>
      <c r="J15" s="145"/>
      <c r="K15" s="271" t="s">
        <v>219</v>
      </c>
      <c r="L15" s="146" t="s">
        <v>64</v>
      </c>
      <c r="M15" s="271" t="s">
        <v>219</v>
      </c>
      <c r="N15" s="146" t="s">
        <v>64</v>
      </c>
      <c r="O15" s="146" t="s">
        <v>65</v>
      </c>
      <c r="P15" s="4"/>
    </row>
    <row r="16" spans="1:16" ht="13.5" thickBot="1">
      <c r="C16" s="147" t="s">
        <v>66</v>
      </c>
      <c r="D16" s="147" t="s">
        <v>67</v>
      </c>
      <c r="E16" s="147" t="s">
        <v>68</v>
      </c>
      <c r="F16" s="147" t="s">
        <v>67</v>
      </c>
      <c r="G16" s="408" t="s">
        <v>69</v>
      </c>
      <c r="H16" s="148" t="s">
        <v>70</v>
      </c>
      <c r="I16" s="149" t="s">
        <v>89</v>
      </c>
      <c r="J16" s="150" t="s">
        <v>71</v>
      </c>
      <c r="K16" s="151" t="s">
        <v>72</v>
      </c>
      <c r="L16" s="151" t="s">
        <v>72</v>
      </c>
      <c r="M16" s="151" t="s">
        <v>90</v>
      </c>
      <c r="N16" s="152" t="s">
        <v>90</v>
      </c>
      <c r="O16" s="151" t="s">
        <v>90</v>
      </c>
      <c r="P16" s="4"/>
    </row>
    <row r="17" spans="2:16">
      <c r="C17" s="153">
        <f>IF(D11= "","-",D11)</f>
        <v>2014</v>
      </c>
      <c r="D17" s="409">
        <v>14332500</v>
      </c>
      <c r="E17" s="415">
        <v>0</v>
      </c>
      <c r="F17" s="409">
        <v>14332500</v>
      </c>
      <c r="G17" s="415">
        <v>1933604.8594930479</v>
      </c>
      <c r="H17" s="416">
        <v>1933604.8594930479</v>
      </c>
      <c r="I17" s="404">
        <v>0</v>
      </c>
      <c r="J17" s="156"/>
      <c r="K17" s="423">
        <f>G17</f>
        <v>1933604.8594930479</v>
      </c>
      <c r="L17" s="424">
        <f>IF(K17&lt;&gt;0,+G17-K17,0)</f>
        <v>0</v>
      </c>
      <c r="M17" s="425">
        <f>H17</f>
        <v>1933604.8594930479</v>
      </c>
      <c r="N17" s="426">
        <f>IF(M17&lt;&gt;0,+H17-M17,0)</f>
        <v>0</v>
      </c>
      <c r="O17" s="158">
        <f>+N17-L17</f>
        <v>0</v>
      </c>
      <c r="P17" s="4"/>
    </row>
    <row r="18" spans="2:16">
      <c r="B18" s="9" t="str">
        <f>IF(D18=F17,"","IU")</f>
        <v/>
      </c>
      <c r="C18" s="153">
        <f>IF(D11="","-",+C17+1)</f>
        <v>2015</v>
      </c>
      <c r="D18" s="409">
        <v>14332500</v>
      </c>
      <c r="E18" s="410">
        <v>357761.90476190473</v>
      </c>
      <c r="F18" s="409">
        <v>13974738.095238095</v>
      </c>
      <c r="G18" s="410">
        <v>2198302.0042745443</v>
      </c>
      <c r="H18" s="416">
        <v>2198302.0042745443</v>
      </c>
      <c r="I18" s="156">
        <v>0</v>
      </c>
      <c r="J18" s="156"/>
      <c r="K18" s="258">
        <f>G18</f>
        <v>2198302.0042745443</v>
      </c>
      <c r="L18" s="257">
        <f>IF(K18&lt;&gt;0,+G18-K18,0)</f>
        <v>0</v>
      </c>
      <c r="M18" s="258">
        <f>H18</f>
        <v>2198302.0042745443</v>
      </c>
      <c r="N18" s="158">
        <f>IF(M18&lt;&gt;0,+H18-M18,0)</f>
        <v>0</v>
      </c>
      <c r="O18" s="158">
        <f>+N18-L18</f>
        <v>0</v>
      </c>
      <c r="P18" s="4"/>
    </row>
    <row r="19" spans="2:16">
      <c r="B19" s="9" t="str">
        <f>IF(D19=F18,"","IU")</f>
        <v>IU</v>
      </c>
      <c r="C19" s="153">
        <f>IF(D11="","-",+C18+1)</f>
        <v>2016</v>
      </c>
      <c r="D19" s="409">
        <v>14668238.095238095</v>
      </c>
      <c r="E19" s="410">
        <v>357761.90476190473</v>
      </c>
      <c r="F19" s="409">
        <v>14310476.19047619</v>
      </c>
      <c r="G19" s="410">
        <v>2219268.2901278744</v>
      </c>
      <c r="H19" s="416">
        <v>2219268.2901278744</v>
      </c>
      <c r="I19" s="156">
        <f>H19-G19</f>
        <v>0</v>
      </c>
      <c r="J19" s="156"/>
      <c r="K19" s="258">
        <f>G19</f>
        <v>2219268.2901278744</v>
      </c>
      <c r="L19" s="257">
        <f>IF(K19&lt;&gt;0,+G19-K19,0)</f>
        <v>0</v>
      </c>
      <c r="M19" s="258">
        <f>H19</f>
        <v>2219268.2901278744</v>
      </c>
      <c r="N19" s="158">
        <f>IF(M19&lt;&gt;0,+H19-M19,0)</f>
        <v>0</v>
      </c>
      <c r="O19" s="158">
        <f>+N19-L19</f>
        <v>0</v>
      </c>
      <c r="P19" s="4"/>
    </row>
    <row r="20" spans="2:16">
      <c r="B20" s="9" t="str">
        <f t="shared" ref="B20:B72" si="0">IF(D20=F19,"","IU")</f>
        <v>IU</v>
      </c>
      <c r="C20" s="153">
        <f>IF(D11="","-",+C19+1)</f>
        <v>2017</v>
      </c>
      <c r="D20" s="409">
        <v>14151359.19047619</v>
      </c>
      <c r="E20" s="410">
        <v>345741.46511627908</v>
      </c>
      <c r="F20" s="409">
        <v>13805617.725359911</v>
      </c>
      <c r="G20" s="410">
        <v>2077571.8162955591</v>
      </c>
      <c r="H20" s="416">
        <v>2077571.8162955591</v>
      </c>
      <c r="I20" s="156">
        <v>0</v>
      </c>
      <c r="J20" s="156"/>
      <c r="K20" s="258">
        <f>G20</f>
        <v>2077571.8162955591</v>
      </c>
      <c r="L20" s="257">
        <f>IF(K20&lt;&gt;0,+G20-K20,0)</f>
        <v>0</v>
      </c>
      <c r="M20" s="258">
        <f>H20</f>
        <v>2077571.8162955591</v>
      </c>
      <c r="N20" s="158">
        <f>IF(M20&lt;&gt;0,+H20-M20,0)</f>
        <v>0</v>
      </c>
      <c r="O20" s="158">
        <f>+N20-L20</f>
        <v>0</v>
      </c>
      <c r="P20" s="4"/>
    </row>
    <row r="21" spans="2:16">
      <c r="B21" s="9" t="str">
        <f t="shared" si="0"/>
        <v/>
      </c>
      <c r="C21" s="153">
        <f>IF(D11="","-",+C20+1)</f>
        <v>2018</v>
      </c>
      <c r="D21" s="409">
        <v>13805617.725359911</v>
      </c>
      <c r="E21" s="410">
        <v>362606.90243902442</v>
      </c>
      <c r="F21" s="409">
        <v>13443010.822920887</v>
      </c>
      <c r="G21" s="410">
        <v>1886952.5423200177</v>
      </c>
      <c r="H21" s="416">
        <v>1886952.5423200177</v>
      </c>
      <c r="I21" s="156">
        <f t="shared" ref="I21:I72" si="1">H21-G21</f>
        <v>0</v>
      </c>
      <c r="J21" s="156"/>
      <c r="K21" s="258">
        <f>G21</f>
        <v>1886952.5423200177</v>
      </c>
      <c r="L21" s="257">
        <f>IF(K21&lt;&gt;0,+G21-K21,0)</f>
        <v>0</v>
      </c>
      <c r="M21" s="258">
        <f>H21</f>
        <v>1886952.5423200177</v>
      </c>
      <c r="N21" s="158">
        <f>IF(M21&lt;&gt;0,+H21-M21,0)</f>
        <v>0</v>
      </c>
      <c r="O21" s="158">
        <f>+N21-L21</f>
        <v>0</v>
      </c>
      <c r="P21" s="4"/>
    </row>
    <row r="22" spans="2:16">
      <c r="B22" s="9" t="str">
        <f t="shared" si="0"/>
        <v>IU</v>
      </c>
      <c r="C22" s="153">
        <f>IF(D11="","-",+C21+1)</f>
        <v>2019</v>
      </c>
      <c r="D22" s="159">
        <f>IF(F21+SUM(E$17:E21)=D$10,F21,D$10-SUM(E$17:E21))</f>
        <v>13359427.822920887</v>
      </c>
      <c r="E22" s="160">
        <f t="shared" ref="E22:E72" si="2">IF(+$I$14&lt;F21,$I$14,D22)</f>
        <v>343797.67441860464</v>
      </c>
      <c r="F22" s="159">
        <f t="shared" ref="F22:F72" si="3">+D22-E22</f>
        <v>13015630.148502283</v>
      </c>
      <c r="G22" s="161">
        <f t="shared" ref="G22:G51" si="4">+I$12*((D22+F22)/2)+E22</f>
        <v>1656690.9906646225</v>
      </c>
      <c r="H22" s="142">
        <f t="shared" ref="H22:H51" si="5">+I$13*((D22+F22)/2)+E22</f>
        <v>1656690.9906646225</v>
      </c>
      <c r="I22" s="156">
        <f t="shared" si="1"/>
        <v>0</v>
      </c>
      <c r="J22" s="156"/>
      <c r="K22" s="334"/>
      <c r="L22" s="158">
        <f t="shared" ref="L22:L72" si="6">IF(K22&lt;&gt;0,+G22-K22,0)</f>
        <v>0</v>
      </c>
      <c r="M22" s="334"/>
      <c r="N22" s="158">
        <f t="shared" ref="N22:N72" si="7">IF(M22&lt;&gt;0,+H22-M22,0)</f>
        <v>0</v>
      </c>
      <c r="O22" s="158">
        <f t="shared" ref="O22:O72" si="8">+N22-L22</f>
        <v>0</v>
      </c>
      <c r="P22" s="4"/>
    </row>
    <row r="23" spans="2:16">
      <c r="B23" s="9" t="str">
        <f t="shared" si="0"/>
        <v/>
      </c>
      <c r="C23" s="153">
        <f>IF(D11="","-",+C22+1)</f>
        <v>2020</v>
      </c>
      <c r="D23" s="159">
        <f>IF(F22+SUM(E$17:E22)=D$10,F22,D$10-SUM(E$17:E22))</f>
        <v>13015630.148502283</v>
      </c>
      <c r="E23" s="160">
        <f t="shared" si="2"/>
        <v>343797.67441860464</v>
      </c>
      <c r="F23" s="159">
        <f t="shared" si="3"/>
        <v>12671832.474083679</v>
      </c>
      <c r="G23" s="161">
        <f t="shared" si="4"/>
        <v>1622463.9819980131</v>
      </c>
      <c r="H23" s="142">
        <f t="shared" si="5"/>
        <v>1622463.9819980131</v>
      </c>
      <c r="I23" s="156">
        <f t="shared" si="1"/>
        <v>0</v>
      </c>
      <c r="J23" s="156"/>
      <c r="K23" s="334"/>
      <c r="L23" s="158">
        <f t="shared" si="6"/>
        <v>0</v>
      </c>
      <c r="M23" s="334"/>
      <c r="N23" s="158">
        <f t="shared" si="7"/>
        <v>0</v>
      </c>
      <c r="O23" s="158">
        <f t="shared" si="8"/>
        <v>0</v>
      </c>
      <c r="P23" s="4"/>
    </row>
    <row r="24" spans="2:16">
      <c r="B24" s="9" t="str">
        <f t="shared" si="0"/>
        <v/>
      </c>
      <c r="C24" s="153">
        <f>IF(D11="","-",+C23+1)</f>
        <v>2021</v>
      </c>
      <c r="D24" s="159">
        <f>IF(F23+SUM(E$17:E23)=D$10,F23,D$10-SUM(E$17:E23))</f>
        <v>12671832.474083679</v>
      </c>
      <c r="E24" s="160">
        <f t="shared" si="2"/>
        <v>343797.67441860464</v>
      </c>
      <c r="F24" s="159">
        <f t="shared" si="3"/>
        <v>12328034.799665075</v>
      </c>
      <c r="G24" s="161">
        <f t="shared" si="4"/>
        <v>1588236.9733314042</v>
      </c>
      <c r="H24" s="142">
        <f t="shared" si="5"/>
        <v>1588236.9733314042</v>
      </c>
      <c r="I24" s="156">
        <f t="shared" si="1"/>
        <v>0</v>
      </c>
      <c r="J24" s="156"/>
      <c r="K24" s="334"/>
      <c r="L24" s="158">
        <f t="shared" si="6"/>
        <v>0</v>
      </c>
      <c r="M24" s="334"/>
      <c r="N24" s="158">
        <f t="shared" si="7"/>
        <v>0</v>
      </c>
      <c r="O24" s="158">
        <f t="shared" si="8"/>
        <v>0</v>
      </c>
      <c r="P24" s="4"/>
    </row>
    <row r="25" spans="2:16">
      <c r="B25" s="9" t="str">
        <f t="shared" si="0"/>
        <v/>
      </c>
      <c r="C25" s="153">
        <f>IF(D11="","-",+C24+1)</f>
        <v>2022</v>
      </c>
      <c r="D25" s="159">
        <f>IF(F24+SUM(E$17:E24)=D$10,F24,D$10-SUM(E$17:E24))</f>
        <v>12328034.799665075</v>
      </c>
      <c r="E25" s="160">
        <f t="shared" si="2"/>
        <v>343797.67441860464</v>
      </c>
      <c r="F25" s="159">
        <f t="shared" si="3"/>
        <v>11984237.125246471</v>
      </c>
      <c r="G25" s="161">
        <f t="shared" si="4"/>
        <v>1554009.9646647947</v>
      </c>
      <c r="H25" s="142">
        <f t="shared" si="5"/>
        <v>1554009.9646647947</v>
      </c>
      <c r="I25" s="156">
        <f t="shared" si="1"/>
        <v>0</v>
      </c>
      <c r="J25" s="156"/>
      <c r="K25" s="334"/>
      <c r="L25" s="158">
        <f t="shared" si="6"/>
        <v>0</v>
      </c>
      <c r="M25" s="334"/>
      <c r="N25" s="158">
        <f t="shared" si="7"/>
        <v>0</v>
      </c>
      <c r="O25" s="158">
        <f t="shared" si="8"/>
        <v>0</v>
      </c>
      <c r="P25" s="4"/>
    </row>
    <row r="26" spans="2:16">
      <c r="B26" s="9" t="str">
        <f t="shared" si="0"/>
        <v/>
      </c>
      <c r="C26" s="153">
        <f>IF(D11="","-",+C25+1)</f>
        <v>2023</v>
      </c>
      <c r="D26" s="159">
        <f>IF(F25+SUM(E$17:E25)=D$10,F25,D$10-SUM(E$17:E25))</f>
        <v>11984237.125246471</v>
      </c>
      <c r="E26" s="160">
        <f t="shared" si="2"/>
        <v>343797.67441860464</v>
      </c>
      <c r="F26" s="159">
        <f t="shared" si="3"/>
        <v>11640439.450827867</v>
      </c>
      <c r="G26" s="161">
        <f t="shared" si="4"/>
        <v>1519782.9559981858</v>
      </c>
      <c r="H26" s="142">
        <f t="shared" si="5"/>
        <v>1519782.9559981858</v>
      </c>
      <c r="I26" s="156">
        <f t="shared" si="1"/>
        <v>0</v>
      </c>
      <c r="J26" s="156"/>
      <c r="K26" s="334"/>
      <c r="L26" s="158">
        <f t="shared" si="6"/>
        <v>0</v>
      </c>
      <c r="M26" s="334"/>
      <c r="N26" s="158">
        <f t="shared" si="7"/>
        <v>0</v>
      </c>
      <c r="O26" s="158">
        <f t="shared" si="8"/>
        <v>0</v>
      </c>
      <c r="P26" s="4"/>
    </row>
    <row r="27" spans="2:16">
      <c r="B27" s="9" t="str">
        <f t="shared" si="0"/>
        <v/>
      </c>
      <c r="C27" s="153">
        <f>IF(D11="","-",+C26+1)</f>
        <v>2024</v>
      </c>
      <c r="D27" s="159">
        <f>IF(F26+SUM(E$17:E26)=D$10,F26,D$10-SUM(E$17:E26))</f>
        <v>11640439.450827867</v>
      </c>
      <c r="E27" s="160">
        <f t="shared" si="2"/>
        <v>343797.67441860464</v>
      </c>
      <c r="F27" s="159">
        <f t="shared" si="3"/>
        <v>11296641.776409263</v>
      </c>
      <c r="G27" s="161">
        <f t="shared" si="4"/>
        <v>1485555.9473315766</v>
      </c>
      <c r="H27" s="142">
        <f t="shared" si="5"/>
        <v>1485555.9473315766</v>
      </c>
      <c r="I27" s="156">
        <f t="shared" si="1"/>
        <v>0</v>
      </c>
      <c r="J27" s="156"/>
      <c r="K27" s="334"/>
      <c r="L27" s="158">
        <f t="shared" si="6"/>
        <v>0</v>
      </c>
      <c r="M27" s="334"/>
      <c r="N27" s="158">
        <f t="shared" si="7"/>
        <v>0</v>
      </c>
      <c r="O27" s="158">
        <f t="shared" si="8"/>
        <v>0</v>
      </c>
      <c r="P27" s="4"/>
    </row>
    <row r="28" spans="2:16">
      <c r="B28" s="9" t="str">
        <f t="shared" si="0"/>
        <v/>
      </c>
      <c r="C28" s="153">
        <f>IF(D11="","-",+C27+1)</f>
        <v>2025</v>
      </c>
      <c r="D28" s="159">
        <f>IF(F27+SUM(E$17:E27)=D$10,F27,D$10-SUM(E$17:E27))</f>
        <v>11296641.776409263</v>
      </c>
      <c r="E28" s="160">
        <f t="shared" si="2"/>
        <v>343797.67441860464</v>
      </c>
      <c r="F28" s="159">
        <f t="shared" si="3"/>
        <v>10952844.101990659</v>
      </c>
      <c r="G28" s="161">
        <f t="shared" si="4"/>
        <v>1451328.9386649677</v>
      </c>
      <c r="H28" s="142">
        <f t="shared" si="5"/>
        <v>1451328.9386649677</v>
      </c>
      <c r="I28" s="156">
        <f t="shared" si="1"/>
        <v>0</v>
      </c>
      <c r="J28" s="156"/>
      <c r="K28" s="334"/>
      <c r="L28" s="158">
        <f t="shared" si="6"/>
        <v>0</v>
      </c>
      <c r="M28" s="334"/>
      <c r="N28" s="158">
        <f t="shared" si="7"/>
        <v>0</v>
      </c>
      <c r="O28" s="158">
        <f t="shared" si="8"/>
        <v>0</v>
      </c>
      <c r="P28" s="4"/>
    </row>
    <row r="29" spans="2:16">
      <c r="B29" s="9" t="str">
        <f t="shared" si="0"/>
        <v/>
      </c>
      <c r="C29" s="153">
        <f>IF(D11="","-",+C28+1)</f>
        <v>2026</v>
      </c>
      <c r="D29" s="159">
        <f>IF(F28+SUM(E$17:E28)=D$10,F28,D$10-SUM(E$17:E28))</f>
        <v>10952844.101990659</v>
      </c>
      <c r="E29" s="160">
        <f t="shared" si="2"/>
        <v>343797.67441860464</v>
      </c>
      <c r="F29" s="159">
        <f t="shared" si="3"/>
        <v>10609046.427572055</v>
      </c>
      <c r="G29" s="161">
        <f t="shared" si="4"/>
        <v>1417101.9299983582</v>
      </c>
      <c r="H29" s="142">
        <f t="shared" si="5"/>
        <v>1417101.9299983582</v>
      </c>
      <c r="I29" s="156">
        <f t="shared" si="1"/>
        <v>0</v>
      </c>
      <c r="J29" s="156"/>
      <c r="K29" s="334"/>
      <c r="L29" s="158">
        <f t="shared" si="6"/>
        <v>0</v>
      </c>
      <c r="M29" s="334"/>
      <c r="N29" s="158">
        <f t="shared" si="7"/>
        <v>0</v>
      </c>
      <c r="O29" s="158">
        <f t="shared" si="8"/>
        <v>0</v>
      </c>
      <c r="P29" s="4"/>
    </row>
    <row r="30" spans="2:16">
      <c r="B30" s="9" t="str">
        <f t="shared" si="0"/>
        <v/>
      </c>
      <c r="C30" s="153">
        <f>IF(D11="","-",+C29+1)</f>
        <v>2027</v>
      </c>
      <c r="D30" s="159">
        <f>IF(F29+SUM(E$17:E29)=D$10,F29,D$10-SUM(E$17:E29))</f>
        <v>10609046.427572055</v>
      </c>
      <c r="E30" s="160">
        <f t="shared" si="2"/>
        <v>343797.67441860464</v>
      </c>
      <c r="F30" s="159">
        <f t="shared" si="3"/>
        <v>10265248.753153451</v>
      </c>
      <c r="G30" s="161">
        <f t="shared" si="4"/>
        <v>1382874.9213317493</v>
      </c>
      <c r="H30" s="142">
        <f t="shared" si="5"/>
        <v>1382874.9213317493</v>
      </c>
      <c r="I30" s="156">
        <f t="shared" si="1"/>
        <v>0</v>
      </c>
      <c r="J30" s="156"/>
      <c r="K30" s="334"/>
      <c r="L30" s="158">
        <f t="shared" si="6"/>
        <v>0</v>
      </c>
      <c r="M30" s="334"/>
      <c r="N30" s="158">
        <f t="shared" si="7"/>
        <v>0</v>
      </c>
      <c r="O30" s="158">
        <f t="shared" si="8"/>
        <v>0</v>
      </c>
      <c r="P30" s="4"/>
    </row>
    <row r="31" spans="2:16">
      <c r="B31" s="9" t="str">
        <f t="shared" si="0"/>
        <v/>
      </c>
      <c r="C31" s="153">
        <f>IF(D11="","-",+C30+1)</f>
        <v>2028</v>
      </c>
      <c r="D31" s="159">
        <f>IF(F30+SUM(E$17:E30)=D$10,F30,D$10-SUM(E$17:E30))</f>
        <v>10265248.753153451</v>
      </c>
      <c r="E31" s="160">
        <f t="shared" si="2"/>
        <v>343797.67441860464</v>
      </c>
      <c r="F31" s="159">
        <f t="shared" si="3"/>
        <v>9921451.0787348468</v>
      </c>
      <c r="G31" s="161">
        <f t="shared" si="4"/>
        <v>1348647.9126651399</v>
      </c>
      <c r="H31" s="142">
        <f t="shared" si="5"/>
        <v>1348647.9126651399</v>
      </c>
      <c r="I31" s="156">
        <f t="shared" si="1"/>
        <v>0</v>
      </c>
      <c r="J31" s="156"/>
      <c r="K31" s="334"/>
      <c r="L31" s="158">
        <f t="shared" si="6"/>
        <v>0</v>
      </c>
      <c r="M31" s="334"/>
      <c r="N31" s="158">
        <f t="shared" si="7"/>
        <v>0</v>
      </c>
      <c r="O31" s="158">
        <f t="shared" si="8"/>
        <v>0</v>
      </c>
      <c r="P31" s="4"/>
    </row>
    <row r="32" spans="2:16">
      <c r="B32" s="9" t="str">
        <f t="shared" si="0"/>
        <v/>
      </c>
      <c r="C32" s="153">
        <f>IF(D11="","-",+C31+1)</f>
        <v>2029</v>
      </c>
      <c r="D32" s="159">
        <f>IF(F31+SUM(E$17:E31)=D$10,F31,D$10-SUM(E$17:E31))</f>
        <v>9921451.0787348468</v>
      </c>
      <c r="E32" s="160">
        <f t="shared" si="2"/>
        <v>343797.67441860464</v>
      </c>
      <c r="F32" s="159">
        <f t="shared" si="3"/>
        <v>9577653.4043162428</v>
      </c>
      <c r="G32" s="161">
        <f t="shared" si="4"/>
        <v>1314420.9039985309</v>
      </c>
      <c r="H32" s="142">
        <f t="shared" si="5"/>
        <v>1314420.9039985309</v>
      </c>
      <c r="I32" s="156">
        <f t="shared" si="1"/>
        <v>0</v>
      </c>
      <c r="J32" s="156"/>
      <c r="K32" s="334"/>
      <c r="L32" s="158">
        <f t="shared" si="6"/>
        <v>0</v>
      </c>
      <c r="M32" s="334"/>
      <c r="N32" s="158">
        <f t="shared" si="7"/>
        <v>0</v>
      </c>
      <c r="O32" s="158">
        <f t="shared" si="8"/>
        <v>0</v>
      </c>
      <c r="P32" s="4"/>
    </row>
    <row r="33" spans="2:16">
      <c r="B33" s="9" t="str">
        <f t="shared" si="0"/>
        <v/>
      </c>
      <c r="C33" s="153">
        <f>IF(D11="","-",+C32+1)</f>
        <v>2030</v>
      </c>
      <c r="D33" s="159">
        <f>IF(F32+SUM(E$17:E32)=D$10,F32,D$10-SUM(E$17:E32))</f>
        <v>9577653.4043162428</v>
      </c>
      <c r="E33" s="160">
        <f t="shared" si="2"/>
        <v>343797.67441860464</v>
      </c>
      <c r="F33" s="159">
        <f t="shared" si="3"/>
        <v>9233855.7298976388</v>
      </c>
      <c r="G33" s="161">
        <f t="shared" si="4"/>
        <v>1280193.8953319215</v>
      </c>
      <c r="H33" s="142">
        <f t="shared" si="5"/>
        <v>1280193.8953319215</v>
      </c>
      <c r="I33" s="156">
        <f t="shared" si="1"/>
        <v>0</v>
      </c>
      <c r="J33" s="156"/>
      <c r="K33" s="334"/>
      <c r="L33" s="158">
        <f t="shared" si="6"/>
        <v>0</v>
      </c>
      <c r="M33" s="334"/>
      <c r="N33" s="158">
        <f t="shared" si="7"/>
        <v>0</v>
      </c>
      <c r="O33" s="158">
        <f t="shared" si="8"/>
        <v>0</v>
      </c>
      <c r="P33" s="4"/>
    </row>
    <row r="34" spans="2:16">
      <c r="B34" s="9" t="str">
        <f t="shared" si="0"/>
        <v/>
      </c>
      <c r="C34" s="153">
        <f>IF(D11="","-",+C33+1)</f>
        <v>2031</v>
      </c>
      <c r="D34" s="159">
        <f>IF(F33+SUM(E$17:E33)=D$10,F33,D$10-SUM(E$17:E33))</f>
        <v>9233855.7298976388</v>
      </c>
      <c r="E34" s="160">
        <f t="shared" si="2"/>
        <v>343797.67441860464</v>
      </c>
      <c r="F34" s="159">
        <f t="shared" si="3"/>
        <v>8890058.0554790348</v>
      </c>
      <c r="G34" s="161">
        <f t="shared" si="4"/>
        <v>1245966.8866653126</v>
      </c>
      <c r="H34" s="142">
        <f t="shared" si="5"/>
        <v>1245966.8866653126</v>
      </c>
      <c r="I34" s="156">
        <f t="shared" si="1"/>
        <v>0</v>
      </c>
      <c r="J34" s="156"/>
      <c r="K34" s="334"/>
      <c r="L34" s="158">
        <f t="shared" si="6"/>
        <v>0</v>
      </c>
      <c r="M34" s="334"/>
      <c r="N34" s="158">
        <f t="shared" si="7"/>
        <v>0</v>
      </c>
      <c r="O34" s="158">
        <f t="shared" si="8"/>
        <v>0</v>
      </c>
      <c r="P34" s="4"/>
    </row>
    <row r="35" spans="2:16">
      <c r="B35" s="9" t="str">
        <f t="shared" si="0"/>
        <v/>
      </c>
      <c r="C35" s="153">
        <f>IF(D11="","-",+C34+1)</f>
        <v>2032</v>
      </c>
      <c r="D35" s="159">
        <f>IF(F34+SUM(E$17:E34)=D$10,F34,D$10-SUM(E$17:E34))</f>
        <v>8890058.0554790348</v>
      </c>
      <c r="E35" s="160">
        <f t="shared" si="2"/>
        <v>343797.67441860464</v>
      </c>
      <c r="F35" s="159">
        <f t="shared" si="3"/>
        <v>8546260.3810604308</v>
      </c>
      <c r="G35" s="161">
        <f t="shared" si="4"/>
        <v>1211739.8779987034</v>
      </c>
      <c r="H35" s="142">
        <f t="shared" si="5"/>
        <v>1211739.8779987034</v>
      </c>
      <c r="I35" s="156">
        <f t="shared" si="1"/>
        <v>0</v>
      </c>
      <c r="J35" s="156"/>
      <c r="K35" s="334"/>
      <c r="L35" s="158">
        <f t="shared" si="6"/>
        <v>0</v>
      </c>
      <c r="M35" s="334"/>
      <c r="N35" s="158">
        <f t="shared" si="7"/>
        <v>0</v>
      </c>
      <c r="O35" s="158">
        <f t="shared" si="8"/>
        <v>0</v>
      </c>
      <c r="P35" s="4"/>
    </row>
    <row r="36" spans="2:16">
      <c r="B36" s="9" t="str">
        <f t="shared" si="0"/>
        <v/>
      </c>
      <c r="C36" s="153">
        <f>IF(D11="","-",+C35+1)</f>
        <v>2033</v>
      </c>
      <c r="D36" s="159">
        <f>IF(F35+SUM(E$17:E35)=D$10,F35,D$10-SUM(E$17:E35))</f>
        <v>8546260.3810604308</v>
      </c>
      <c r="E36" s="160">
        <f t="shared" si="2"/>
        <v>343797.67441860464</v>
      </c>
      <c r="F36" s="159">
        <f t="shared" si="3"/>
        <v>8202462.7066418258</v>
      </c>
      <c r="G36" s="161">
        <f t="shared" si="4"/>
        <v>1177512.8693320942</v>
      </c>
      <c r="H36" s="142">
        <f t="shared" si="5"/>
        <v>1177512.8693320942</v>
      </c>
      <c r="I36" s="156">
        <f t="shared" si="1"/>
        <v>0</v>
      </c>
      <c r="J36" s="156"/>
      <c r="K36" s="334"/>
      <c r="L36" s="158">
        <f t="shared" si="6"/>
        <v>0</v>
      </c>
      <c r="M36" s="334"/>
      <c r="N36" s="158">
        <f t="shared" si="7"/>
        <v>0</v>
      </c>
      <c r="O36" s="158">
        <f t="shared" si="8"/>
        <v>0</v>
      </c>
      <c r="P36" s="4"/>
    </row>
    <row r="37" spans="2:16">
      <c r="B37" s="9" t="str">
        <f t="shared" si="0"/>
        <v/>
      </c>
      <c r="C37" s="153">
        <f>IF(D11="","-",+C36+1)</f>
        <v>2034</v>
      </c>
      <c r="D37" s="159">
        <f>IF(F36+SUM(E$17:E36)=D$10,F36,D$10-SUM(E$17:E36))</f>
        <v>8202462.7066418258</v>
      </c>
      <c r="E37" s="160">
        <f t="shared" si="2"/>
        <v>343797.67441860464</v>
      </c>
      <c r="F37" s="159">
        <f t="shared" si="3"/>
        <v>7858665.0322232209</v>
      </c>
      <c r="G37" s="161">
        <f t="shared" si="4"/>
        <v>1143285.860665485</v>
      </c>
      <c r="H37" s="142">
        <f t="shared" si="5"/>
        <v>1143285.860665485</v>
      </c>
      <c r="I37" s="156">
        <f t="shared" si="1"/>
        <v>0</v>
      </c>
      <c r="J37" s="156"/>
      <c r="K37" s="334"/>
      <c r="L37" s="158">
        <f t="shared" si="6"/>
        <v>0</v>
      </c>
      <c r="M37" s="334"/>
      <c r="N37" s="158">
        <f t="shared" si="7"/>
        <v>0</v>
      </c>
      <c r="O37" s="158">
        <f t="shared" si="8"/>
        <v>0</v>
      </c>
      <c r="P37" s="4"/>
    </row>
    <row r="38" spans="2:16">
      <c r="B38" s="9" t="str">
        <f t="shared" si="0"/>
        <v/>
      </c>
      <c r="C38" s="153">
        <f>IF(D11="","-",+C37+1)</f>
        <v>2035</v>
      </c>
      <c r="D38" s="159">
        <f>IF(F37+SUM(E$17:E37)=D$10,F37,D$10-SUM(E$17:E37))</f>
        <v>7858665.0322232209</v>
      </c>
      <c r="E38" s="160">
        <f t="shared" si="2"/>
        <v>343797.67441860464</v>
      </c>
      <c r="F38" s="159">
        <f t="shared" si="3"/>
        <v>7514867.357804616</v>
      </c>
      <c r="G38" s="161">
        <f t="shared" si="4"/>
        <v>1109058.8519988756</v>
      </c>
      <c r="H38" s="142">
        <f t="shared" si="5"/>
        <v>1109058.8519988756</v>
      </c>
      <c r="I38" s="156">
        <f t="shared" si="1"/>
        <v>0</v>
      </c>
      <c r="J38" s="156"/>
      <c r="K38" s="334"/>
      <c r="L38" s="158">
        <f t="shared" si="6"/>
        <v>0</v>
      </c>
      <c r="M38" s="334"/>
      <c r="N38" s="158">
        <f t="shared" si="7"/>
        <v>0</v>
      </c>
      <c r="O38" s="158">
        <f t="shared" si="8"/>
        <v>0</v>
      </c>
      <c r="P38" s="4"/>
    </row>
    <row r="39" spans="2:16">
      <c r="B39" s="9" t="str">
        <f t="shared" si="0"/>
        <v/>
      </c>
      <c r="C39" s="153">
        <f>IF(D11="","-",+C38+1)</f>
        <v>2036</v>
      </c>
      <c r="D39" s="159">
        <f>IF(F38+SUM(E$17:E38)=D$10,F38,D$10-SUM(E$17:E38))</f>
        <v>7514867.357804616</v>
      </c>
      <c r="E39" s="160">
        <f t="shared" si="2"/>
        <v>343797.67441860464</v>
      </c>
      <c r="F39" s="159">
        <f t="shared" si="3"/>
        <v>7171069.683386011</v>
      </c>
      <c r="G39" s="161">
        <f t="shared" si="4"/>
        <v>1074831.8433322667</v>
      </c>
      <c r="H39" s="142">
        <f t="shared" si="5"/>
        <v>1074831.8433322667</v>
      </c>
      <c r="I39" s="156">
        <f t="shared" si="1"/>
        <v>0</v>
      </c>
      <c r="J39" s="156"/>
      <c r="K39" s="334"/>
      <c r="L39" s="158">
        <f t="shared" si="6"/>
        <v>0</v>
      </c>
      <c r="M39" s="334"/>
      <c r="N39" s="158">
        <f t="shared" si="7"/>
        <v>0</v>
      </c>
      <c r="O39" s="158">
        <f t="shared" si="8"/>
        <v>0</v>
      </c>
      <c r="P39" s="4"/>
    </row>
    <row r="40" spans="2:16">
      <c r="B40" s="9" t="str">
        <f t="shared" si="0"/>
        <v/>
      </c>
      <c r="C40" s="153">
        <f>IF(D11="","-",+C39+1)</f>
        <v>2037</v>
      </c>
      <c r="D40" s="159">
        <f>IF(F39+SUM(E$17:E39)=D$10,F39,D$10-SUM(E$17:E39))</f>
        <v>7171069.683386011</v>
      </c>
      <c r="E40" s="160">
        <f t="shared" si="2"/>
        <v>343797.67441860464</v>
      </c>
      <c r="F40" s="159">
        <f t="shared" si="3"/>
        <v>6827272.0089674061</v>
      </c>
      <c r="G40" s="161">
        <f t="shared" si="4"/>
        <v>1040604.8346656573</v>
      </c>
      <c r="H40" s="142">
        <f t="shared" si="5"/>
        <v>1040604.8346656573</v>
      </c>
      <c r="I40" s="156">
        <f t="shared" si="1"/>
        <v>0</v>
      </c>
      <c r="J40" s="156"/>
      <c r="K40" s="334"/>
      <c r="L40" s="158">
        <f t="shared" si="6"/>
        <v>0</v>
      </c>
      <c r="M40" s="334"/>
      <c r="N40" s="158">
        <f t="shared" si="7"/>
        <v>0</v>
      </c>
      <c r="O40" s="158">
        <f t="shared" si="8"/>
        <v>0</v>
      </c>
      <c r="P40" s="4"/>
    </row>
    <row r="41" spans="2:16">
      <c r="B41" s="9" t="str">
        <f t="shared" si="0"/>
        <v/>
      </c>
      <c r="C41" s="153">
        <f>IF(D11="","-",+C40+1)</f>
        <v>2038</v>
      </c>
      <c r="D41" s="159">
        <f>IF(F40+SUM(E$17:E40)=D$10,F40,D$10-SUM(E$17:E40))</f>
        <v>6827272.0089674061</v>
      </c>
      <c r="E41" s="160">
        <f t="shared" si="2"/>
        <v>343797.67441860464</v>
      </c>
      <c r="F41" s="159">
        <f t="shared" si="3"/>
        <v>6483474.3345488012</v>
      </c>
      <c r="G41" s="161">
        <f t="shared" si="4"/>
        <v>1006377.8259990481</v>
      </c>
      <c r="H41" s="142">
        <f t="shared" si="5"/>
        <v>1006377.8259990481</v>
      </c>
      <c r="I41" s="156">
        <f t="shared" si="1"/>
        <v>0</v>
      </c>
      <c r="J41" s="156"/>
      <c r="K41" s="334"/>
      <c r="L41" s="158">
        <f t="shared" si="6"/>
        <v>0</v>
      </c>
      <c r="M41" s="334"/>
      <c r="N41" s="158">
        <f t="shared" si="7"/>
        <v>0</v>
      </c>
      <c r="O41" s="158">
        <f t="shared" si="8"/>
        <v>0</v>
      </c>
      <c r="P41" s="4"/>
    </row>
    <row r="42" spans="2:16">
      <c r="B42" s="9" t="str">
        <f t="shared" si="0"/>
        <v/>
      </c>
      <c r="C42" s="153">
        <f>IF(D11="","-",+C41+1)</f>
        <v>2039</v>
      </c>
      <c r="D42" s="159">
        <f>IF(F41+SUM(E$17:E41)=D$10,F41,D$10-SUM(E$17:E41))</f>
        <v>6483474.3345488012</v>
      </c>
      <c r="E42" s="160">
        <f t="shared" si="2"/>
        <v>343797.67441860464</v>
      </c>
      <c r="F42" s="159">
        <f t="shared" si="3"/>
        <v>6139676.6601301963</v>
      </c>
      <c r="G42" s="161">
        <f t="shared" si="4"/>
        <v>972150.81733243889</v>
      </c>
      <c r="H42" s="142">
        <f t="shared" si="5"/>
        <v>972150.81733243889</v>
      </c>
      <c r="I42" s="156">
        <f t="shared" si="1"/>
        <v>0</v>
      </c>
      <c r="J42" s="156"/>
      <c r="K42" s="334"/>
      <c r="L42" s="158">
        <f t="shared" si="6"/>
        <v>0</v>
      </c>
      <c r="M42" s="334"/>
      <c r="N42" s="158">
        <f t="shared" si="7"/>
        <v>0</v>
      </c>
      <c r="O42" s="158">
        <f t="shared" si="8"/>
        <v>0</v>
      </c>
      <c r="P42" s="4"/>
    </row>
    <row r="43" spans="2:16">
      <c r="B43" s="9" t="str">
        <f t="shared" si="0"/>
        <v/>
      </c>
      <c r="C43" s="153">
        <f>IF(D11="","-",+C42+1)</f>
        <v>2040</v>
      </c>
      <c r="D43" s="159">
        <f>IF(F42+SUM(E$17:E42)=D$10,F42,D$10-SUM(E$17:E42))</f>
        <v>6139676.6601301963</v>
      </c>
      <c r="E43" s="160">
        <f t="shared" si="2"/>
        <v>343797.67441860464</v>
      </c>
      <c r="F43" s="159">
        <f t="shared" si="3"/>
        <v>5795878.9857115913</v>
      </c>
      <c r="G43" s="161">
        <f t="shared" si="4"/>
        <v>937923.80866582971</v>
      </c>
      <c r="H43" s="142">
        <f t="shared" si="5"/>
        <v>937923.80866582971</v>
      </c>
      <c r="I43" s="156">
        <f t="shared" si="1"/>
        <v>0</v>
      </c>
      <c r="J43" s="156"/>
      <c r="K43" s="334"/>
      <c r="L43" s="158">
        <f t="shared" si="6"/>
        <v>0</v>
      </c>
      <c r="M43" s="334"/>
      <c r="N43" s="158">
        <f t="shared" si="7"/>
        <v>0</v>
      </c>
      <c r="O43" s="158">
        <f t="shared" si="8"/>
        <v>0</v>
      </c>
      <c r="P43" s="4"/>
    </row>
    <row r="44" spans="2:16">
      <c r="B44" s="9" t="str">
        <f t="shared" si="0"/>
        <v/>
      </c>
      <c r="C44" s="153">
        <f>IF(D11="","-",+C43+1)</f>
        <v>2041</v>
      </c>
      <c r="D44" s="159">
        <f>IF(F43+SUM(E$17:E43)=D$10,F43,D$10-SUM(E$17:E43))</f>
        <v>5795878.9857115913</v>
      </c>
      <c r="E44" s="160">
        <f t="shared" si="2"/>
        <v>343797.67441860464</v>
      </c>
      <c r="F44" s="159">
        <f t="shared" si="3"/>
        <v>5452081.3112929864</v>
      </c>
      <c r="G44" s="161">
        <f t="shared" si="4"/>
        <v>903696.7999992203</v>
      </c>
      <c r="H44" s="142">
        <f t="shared" si="5"/>
        <v>903696.7999992203</v>
      </c>
      <c r="I44" s="156">
        <f t="shared" si="1"/>
        <v>0</v>
      </c>
      <c r="J44" s="156"/>
      <c r="K44" s="334"/>
      <c r="L44" s="158">
        <f t="shared" si="6"/>
        <v>0</v>
      </c>
      <c r="M44" s="334"/>
      <c r="N44" s="158">
        <f t="shared" si="7"/>
        <v>0</v>
      </c>
      <c r="O44" s="158">
        <f t="shared" si="8"/>
        <v>0</v>
      </c>
      <c r="P44" s="4"/>
    </row>
    <row r="45" spans="2:16">
      <c r="B45" s="9" t="str">
        <f t="shared" si="0"/>
        <v/>
      </c>
      <c r="C45" s="153">
        <f>IF(D11="","-",+C44+1)</f>
        <v>2042</v>
      </c>
      <c r="D45" s="159">
        <f>IF(F44+SUM(E$17:E44)=D$10,F44,D$10-SUM(E$17:E44))</f>
        <v>5452081.3112929864</v>
      </c>
      <c r="E45" s="160">
        <f t="shared" si="2"/>
        <v>343797.67441860464</v>
      </c>
      <c r="F45" s="159">
        <f t="shared" si="3"/>
        <v>5108283.6368743815</v>
      </c>
      <c r="G45" s="161">
        <f t="shared" si="4"/>
        <v>869469.79133261112</v>
      </c>
      <c r="H45" s="142">
        <f t="shared" si="5"/>
        <v>869469.79133261112</v>
      </c>
      <c r="I45" s="156">
        <f t="shared" si="1"/>
        <v>0</v>
      </c>
      <c r="J45" s="156"/>
      <c r="K45" s="334"/>
      <c r="L45" s="158">
        <f t="shared" si="6"/>
        <v>0</v>
      </c>
      <c r="M45" s="334"/>
      <c r="N45" s="158">
        <f t="shared" si="7"/>
        <v>0</v>
      </c>
      <c r="O45" s="158">
        <f t="shared" si="8"/>
        <v>0</v>
      </c>
      <c r="P45" s="4"/>
    </row>
    <row r="46" spans="2:16">
      <c r="B46" s="9" t="str">
        <f t="shared" si="0"/>
        <v/>
      </c>
      <c r="C46" s="153">
        <f>IF(D11="","-",+C45+1)</f>
        <v>2043</v>
      </c>
      <c r="D46" s="159">
        <f>IF(F45+SUM(E$17:E45)=D$10,F45,D$10-SUM(E$17:E45))</f>
        <v>5108283.6368743815</v>
      </c>
      <c r="E46" s="160">
        <f t="shared" si="2"/>
        <v>343797.67441860464</v>
      </c>
      <c r="F46" s="159">
        <f t="shared" si="3"/>
        <v>4764485.9624557765</v>
      </c>
      <c r="G46" s="161">
        <f t="shared" si="4"/>
        <v>835242.78266600193</v>
      </c>
      <c r="H46" s="142">
        <f t="shared" si="5"/>
        <v>835242.78266600193</v>
      </c>
      <c r="I46" s="156">
        <f t="shared" si="1"/>
        <v>0</v>
      </c>
      <c r="J46" s="156"/>
      <c r="K46" s="334"/>
      <c r="L46" s="158">
        <f t="shared" si="6"/>
        <v>0</v>
      </c>
      <c r="M46" s="334"/>
      <c r="N46" s="158">
        <f t="shared" si="7"/>
        <v>0</v>
      </c>
      <c r="O46" s="158">
        <f t="shared" si="8"/>
        <v>0</v>
      </c>
      <c r="P46" s="4"/>
    </row>
    <row r="47" spans="2:16">
      <c r="B47" s="9" t="str">
        <f t="shared" si="0"/>
        <v/>
      </c>
      <c r="C47" s="153">
        <f>IF(D11="","-",+C46+1)</f>
        <v>2044</v>
      </c>
      <c r="D47" s="159">
        <f>IF(F46+SUM(E$17:E46)=D$10,F46,D$10-SUM(E$17:E46))</f>
        <v>4764485.9624557765</v>
      </c>
      <c r="E47" s="160">
        <f t="shared" si="2"/>
        <v>343797.67441860464</v>
      </c>
      <c r="F47" s="159">
        <f t="shared" si="3"/>
        <v>4420688.2880371716</v>
      </c>
      <c r="G47" s="161">
        <f t="shared" si="4"/>
        <v>801015.77399939275</v>
      </c>
      <c r="H47" s="142">
        <f t="shared" si="5"/>
        <v>801015.77399939275</v>
      </c>
      <c r="I47" s="156">
        <f t="shared" si="1"/>
        <v>0</v>
      </c>
      <c r="J47" s="156"/>
      <c r="K47" s="334"/>
      <c r="L47" s="158">
        <f t="shared" si="6"/>
        <v>0</v>
      </c>
      <c r="M47" s="334"/>
      <c r="N47" s="158">
        <f t="shared" si="7"/>
        <v>0</v>
      </c>
      <c r="O47" s="158">
        <f t="shared" si="8"/>
        <v>0</v>
      </c>
      <c r="P47" s="4"/>
    </row>
    <row r="48" spans="2:16">
      <c r="B48" s="9" t="str">
        <f t="shared" si="0"/>
        <v/>
      </c>
      <c r="C48" s="153">
        <f>IF(D11="","-",+C47+1)</f>
        <v>2045</v>
      </c>
      <c r="D48" s="159">
        <f>IF(F47+SUM(E$17:E47)=D$10,F47,D$10-SUM(E$17:E47))</f>
        <v>4420688.2880371716</v>
      </c>
      <c r="E48" s="160">
        <f t="shared" si="2"/>
        <v>343797.67441860464</v>
      </c>
      <c r="F48" s="159">
        <f t="shared" si="3"/>
        <v>4076890.6136185671</v>
      </c>
      <c r="G48" s="161">
        <f t="shared" si="4"/>
        <v>766788.76533278346</v>
      </c>
      <c r="H48" s="142">
        <f t="shared" si="5"/>
        <v>766788.76533278346</v>
      </c>
      <c r="I48" s="156">
        <f t="shared" si="1"/>
        <v>0</v>
      </c>
      <c r="J48" s="156"/>
      <c r="K48" s="334"/>
      <c r="L48" s="158">
        <f t="shared" si="6"/>
        <v>0</v>
      </c>
      <c r="M48" s="334"/>
      <c r="N48" s="158">
        <f t="shared" si="7"/>
        <v>0</v>
      </c>
      <c r="O48" s="158">
        <f t="shared" si="8"/>
        <v>0</v>
      </c>
      <c r="P48" s="4"/>
    </row>
    <row r="49" spans="2:16">
      <c r="B49" s="9" t="str">
        <f t="shared" si="0"/>
        <v/>
      </c>
      <c r="C49" s="153">
        <f>IF(D11="","-",+C48+1)</f>
        <v>2046</v>
      </c>
      <c r="D49" s="159">
        <f>IF(F48+SUM(E$17:E48)=D$10,F48,D$10-SUM(E$17:E48))</f>
        <v>4076890.6136185671</v>
      </c>
      <c r="E49" s="160">
        <f t="shared" si="2"/>
        <v>343797.67441860464</v>
      </c>
      <c r="F49" s="159">
        <f t="shared" si="3"/>
        <v>3733092.9391999627</v>
      </c>
      <c r="G49" s="161">
        <f t="shared" si="4"/>
        <v>732561.75666617427</v>
      </c>
      <c r="H49" s="142">
        <f t="shared" si="5"/>
        <v>732561.75666617427</v>
      </c>
      <c r="I49" s="156">
        <f t="shared" si="1"/>
        <v>0</v>
      </c>
      <c r="J49" s="156"/>
      <c r="K49" s="334"/>
      <c r="L49" s="158">
        <f t="shared" si="6"/>
        <v>0</v>
      </c>
      <c r="M49" s="334"/>
      <c r="N49" s="158">
        <f t="shared" si="7"/>
        <v>0</v>
      </c>
      <c r="O49" s="158">
        <f t="shared" si="8"/>
        <v>0</v>
      </c>
      <c r="P49" s="4"/>
    </row>
    <row r="50" spans="2:16">
      <c r="B50" s="9" t="str">
        <f t="shared" si="0"/>
        <v/>
      </c>
      <c r="C50" s="153">
        <f>IF(D11="","-",+C49+1)</f>
        <v>2047</v>
      </c>
      <c r="D50" s="159">
        <f>IF(F49+SUM(E$17:E49)=D$10,F49,D$10-SUM(E$17:E49))</f>
        <v>3733092.9391999627</v>
      </c>
      <c r="E50" s="160">
        <f t="shared" si="2"/>
        <v>343797.67441860464</v>
      </c>
      <c r="F50" s="159">
        <f t="shared" si="3"/>
        <v>3389295.2647813582</v>
      </c>
      <c r="G50" s="161">
        <f t="shared" si="4"/>
        <v>698334.74799956509</v>
      </c>
      <c r="H50" s="142">
        <f t="shared" si="5"/>
        <v>698334.74799956509</v>
      </c>
      <c r="I50" s="156">
        <f t="shared" si="1"/>
        <v>0</v>
      </c>
      <c r="J50" s="156"/>
      <c r="K50" s="334"/>
      <c r="L50" s="158">
        <f t="shared" si="6"/>
        <v>0</v>
      </c>
      <c r="M50" s="334"/>
      <c r="N50" s="158">
        <f t="shared" si="7"/>
        <v>0</v>
      </c>
      <c r="O50" s="158">
        <f t="shared" si="8"/>
        <v>0</v>
      </c>
      <c r="P50" s="4"/>
    </row>
    <row r="51" spans="2:16">
      <c r="B51" s="9" t="str">
        <f t="shared" si="0"/>
        <v/>
      </c>
      <c r="C51" s="153">
        <f>IF(D11="","-",+C50+1)</f>
        <v>2048</v>
      </c>
      <c r="D51" s="159">
        <f>IF(F50+SUM(E$17:E50)=D$10,F50,D$10-SUM(E$17:E50))</f>
        <v>3389295.2647813582</v>
      </c>
      <c r="E51" s="160">
        <f t="shared" si="2"/>
        <v>343797.67441860464</v>
      </c>
      <c r="F51" s="159">
        <f t="shared" si="3"/>
        <v>3045497.5903627537</v>
      </c>
      <c r="G51" s="161">
        <f t="shared" si="4"/>
        <v>664107.7393329558</v>
      </c>
      <c r="H51" s="142">
        <f t="shared" si="5"/>
        <v>664107.7393329558</v>
      </c>
      <c r="I51" s="156">
        <f t="shared" si="1"/>
        <v>0</v>
      </c>
      <c r="J51" s="156"/>
      <c r="K51" s="334"/>
      <c r="L51" s="158">
        <f t="shared" si="6"/>
        <v>0</v>
      </c>
      <c r="M51" s="334"/>
      <c r="N51" s="158">
        <f t="shared" si="7"/>
        <v>0</v>
      </c>
      <c r="O51" s="158">
        <f t="shared" si="8"/>
        <v>0</v>
      </c>
      <c r="P51" s="4"/>
    </row>
    <row r="52" spans="2:16">
      <c r="B52" s="9" t="str">
        <f t="shared" si="0"/>
        <v/>
      </c>
      <c r="C52" s="153">
        <f>IF(D11="","-",+C51+1)</f>
        <v>2049</v>
      </c>
      <c r="D52" s="159">
        <f>IF(F51+SUM(E$17:E51)=D$10,F51,D$10-SUM(E$17:E51))</f>
        <v>3045497.5903627537</v>
      </c>
      <c r="E52" s="160">
        <f t="shared" si="2"/>
        <v>343797.67441860464</v>
      </c>
      <c r="F52" s="159">
        <f t="shared" si="3"/>
        <v>2701699.9159441493</v>
      </c>
      <c r="G52" s="161">
        <f t="shared" ref="G52:G72" si="9">+I$12*((D52+F52)/2)+E52</f>
        <v>629880.73066634673</v>
      </c>
      <c r="H52" s="142">
        <f t="shared" ref="H52:H72" si="10">+I$13*((D52+F52)/2)+E52</f>
        <v>629880.73066634673</v>
      </c>
      <c r="I52" s="156">
        <f t="shared" si="1"/>
        <v>0</v>
      </c>
      <c r="J52" s="156"/>
      <c r="K52" s="334"/>
      <c r="L52" s="158">
        <f t="shared" si="6"/>
        <v>0</v>
      </c>
      <c r="M52" s="334"/>
      <c r="N52" s="158">
        <f t="shared" si="7"/>
        <v>0</v>
      </c>
      <c r="O52" s="158">
        <f t="shared" si="8"/>
        <v>0</v>
      </c>
      <c r="P52" s="4"/>
    </row>
    <row r="53" spans="2:16">
      <c r="B53" s="9" t="str">
        <f t="shared" si="0"/>
        <v/>
      </c>
      <c r="C53" s="153">
        <f>IF(D11="","-",+C52+1)</f>
        <v>2050</v>
      </c>
      <c r="D53" s="159">
        <f>IF(F52+SUM(E$17:E52)=D$10,F52,D$10-SUM(E$17:E52))</f>
        <v>2701699.9159441493</v>
      </c>
      <c r="E53" s="160">
        <f t="shared" si="2"/>
        <v>343797.67441860464</v>
      </c>
      <c r="F53" s="159">
        <f t="shared" si="3"/>
        <v>2357902.2415255448</v>
      </c>
      <c r="G53" s="161">
        <f t="shared" si="9"/>
        <v>595653.72199973743</v>
      </c>
      <c r="H53" s="142">
        <f t="shared" si="10"/>
        <v>595653.72199973743</v>
      </c>
      <c r="I53" s="156">
        <f t="shared" si="1"/>
        <v>0</v>
      </c>
      <c r="J53" s="156"/>
      <c r="K53" s="334"/>
      <c r="L53" s="158">
        <f t="shared" si="6"/>
        <v>0</v>
      </c>
      <c r="M53" s="334"/>
      <c r="N53" s="158">
        <f t="shared" si="7"/>
        <v>0</v>
      </c>
      <c r="O53" s="158">
        <f t="shared" si="8"/>
        <v>0</v>
      </c>
      <c r="P53" s="4"/>
    </row>
    <row r="54" spans="2:16">
      <c r="B54" s="9" t="str">
        <f t="shared" si="0"/>
        <v/>
      </c>
      <c r="C54" s="153">
        <f>IF(D11="","-",+C53+1)</f>
        <v>2051</v>
      </c>
      <c r="D54" s="159">
        <f>IF(F53+SUM(E$17:E53)=D$10,F53,D$10-SUM(E$17:E53))</f>
        <v>2357902.2415255448</v>
      </c>
      <c r="E54" s="160">
        <f t="shared" si="2"/>
        <v>343797.67441860464</v>
      </c>
      <c r="F54" s="159">
        <f t="shared" si="3"/>
        <v>2014104.5671069401</v>
      </c>
      <c r="G54" s="161">
        <f t="shared" si="9"/>
        <v>561426.71333312825</v>
      </c>
      <c r="H54" s="142">
        <f t="shared" si="10"/>
        <v>561426.71333312825</v>
      </c>
      <c r="I54" s="156">
        <f t="shared" si="1"/>
        <v>0</v>
      </c>
      <c r="J54" s="156"/>
      <c r="K54" s="334"/>
      <c r="L54" s="158">
        <f t="shared" si="6"/>
        <v>0</v>
      </c>
      <c r="M54" s="334"/>
      <c r="N54" s="158">
        <f t="shared" si="7"/>
        <v>0</v>
      </c>
      <c r="O54" s="158">
        <f t="shared" si="8"/>
        <v>0</v>
      </c>
      <c r="P54" s="4"/>
    </row>
    <row r="55" spans="2:16">
      <c r="B55" s="9" t="str">
        <f t="shared" si="0"/>
        <v/>
      </c>
      <c r="C55" s="153">
        <f>IF(D11="","-",+C54+1)</f>
        <v>2052</v>
      </c>
      <c r="D55" s="159">
        <f>IF(F54+SUM(E$17:E54)=D$10,F54,D$10-SUM(E$17:E54))</f>
        <v>2014104.5671069401</v>
      </c>
      <c r="E55" s="160">
        <f t="shared" si="2"/>
        <v>343797.67441860464</v>
      </c>
      <c r="F55" s="159">
        <f t="shared" si="3"/>
        <v>1670306.8926883354</v>
      </c>
      <c r="G55" s="161">
        <f t="shared" si="9"/>
        <v>527199.70466651907</v>
      </c>
      <c r="H55" s="142">
        <f t="shared" si="10"/>
        <v>527199.70466651907</v>
      </c>
      <c r="I55" s="156">
        <f t="shared" si="1"/>
        <v>0</v>
      </c>
      <c r="J55" s="156"/>
      <c r="K55" s="334"/>
      <c r="L55" s="158">
        <f t="shared" si="6"/>
        <v>0</v>
      </c>
      <c r="M55" s="334"/>
      <c r="N55" s="158">
        <f t="shared" si="7"/>
        <v>0</v>
      </c>
      <c r="O55" s="158">
        <f t="shared" si="8"/>
        <v>0</v>
      </c>
      <c r="P55" s="4"/>
    </row>
    <row r="56" spans="2:16">
      <c r="B56" s="9" t="str">
        <f t="shared" si="0"/>
        <v/>
      </c>
      <c r="C56" s="153">
        <f>IF(D11="","-",+C55+1)</f>
        <v>2053</v>
      </c>
      <c r="D56" s="159">
        <f>IF(F55+SUM(E$17:E55)=D$10,F55,D$10-SUM(E$17:E55))</f>
        <v>1670306.8926883354</v>
      </c>
      <c r="E56" s="160">
        <f t="shared" si="2"/>
        <v>343797.67441860464</v>
      </c>
      <c r="F56" s="159">
        <f t="shared" si="3"/>
        <v>1326509.2182697307</v>
      </c>
      <c r="G56" s="161">
        <f t="shared" si="9"/>
        <v>492972.69599990989</v>
      </c>
      <c r="H56" s="142">
        <f t="shared" si="10"/>
        <v>492972.69599990989</v>
      </c>
      <c r="I56" s="156">
        <f t="shared" si="1"/>
        <v>0</v>
      </c>
      <c r="J56" s="156"/>
      <c r="K56" s="334"/>
      <c r="L56" s="158">
        <f t="shared" si="6"/>
        <v>0</v>
      </c>
      <c r="M56" s="334"/>
      <c r="N56" s="158">
        <f t="shared" si="7"/>
        <v>0</v>
      </c>
      <c r="O56" s="158">
        <f t="shared" si="8"/>
        <v>0</v>
      </c>
      <c r="P56" s="4"/>
    </row>
    <row r="57" spans="2:16">
      <c r="B57" s="9" t="str">
        <f t="shared" si="0"/>
        <v/>
      </c>
      <c r="C57" s="153">
        <f>IF(D11="","-",+C56+1)</f>
        <v>2054</v>
      </c>
      <c r="D57" s="159">
        <f>IF(F56+SUM(E$17:E56)=D$10,F56,D$10-SUM(E$17:E56))</f>
        <v>1326509.2182697307</v>
      </c>
      <c r="E57" s="160">
        <f t="shared" si="2"/>
        <v>343797.67441860464</v>
      </c>
      <c r="F57" s="159">
        <f t="shared" si="3"/>
        <v>982711.54385112599</v>
      </c>
      <c r="G57" s="161">
        <f t="shared" si="9"/>
        <v>458745.68733330071</v>
      </c>
      <c r="H57" s="142">
        <f t="shared" si="10"/>
        <v>458745.68733330071</v>
      </c>
      <c r="I57" s="156">
        <f t="shared" si="1"/>
        <v>0</v>
      </c>
      <c r="J57" s="156"/>
      <c r="K57" s="334"/>
      <c r="L57" s="158">
        <f t="shared" si="6"/>
        <v>0</v>
      </c>
      <c r="M57" s="334"/>
      <c r="N57" s="158">
        <f t="shared" si="7"/>
        <v>0</v>
      </c>
      <c r="O57" s="158">
        <f t="shared" si="8"/>
        <v>0</v>
      </c>
      <c r="P57" s="4"/>
    </row>
    <row r="58" spans="2:16">
      <c r="B58" s="9" t="str">
        <f t="shared" si="0"/>
        <v/>
      </c>
      <c r="C58" s="153">
        <f>IF(D11="","-",+C57+1)</f>
        <v>2055</v>
      </c>
      <c r="D58" s="159">
        <f>IF(F57+SUM(E$17:E57)=D$10,F57,D$10-SUM(E$17:E57))</f>
        <v>982711.54385112599</v>
      </c>
      <c r="E58" s="160">
        <f t="shared" si="2"/>
        <v>343797.67441860464</v>
      </c>
      <c r="F58" s="159">
        <f t="shared" si="3"/>
        <v>638913.86943252129</v>
      </c>
      <c r="G58" s="161">
        <f t="shared" si="9"/>
        <v>424518.67866669147</v>
      </c>
      <c r="H58" s="142">
        <f t="shared" si="10"/>
        <v>424518.67866669147</v>
      </c>
      <c r="I58" s="156">
        <f t="shared" si="1"/>
        <v>0</v>
      </c>
      <c r="J58" s="156"/>
      <c r="K58" s="334"/>
      <c r="L58" s="158">
        <f t="shared" si="6"/>
        <v>0</v>
      </c>
      <c r="M58" s="334"/>
      <c r="N58" s="158">
        <f t="shared" si="7"/>
        <v>0</v>
      </c>
      <c r="O58" s="158">
        <f t="shared" si="8"/>
        <v>0</v>
      </c>
      <c r="P58" s="4"/>
    </row>
    <row r="59" spans="2:16">
      <c r="B59" s="9" t="str">
        <f t="shared" si="0"/>
        <v/>
      </c>
      <c r="C59" s="153">
        <f>IF(D11="","-",+C58+1)</f>
        <v>2056</v>
      </c>
      <c r="D59" s="159">
        <f>IF(F58+SUM(E$17:E58)=D$10,F58,D$10-SUM(E$17:E58))</f>
        <v>638913.86943252129</v>
      </c>
      <c r="E59" s="160">
        <f t="shared" si="2"/>
        <v>343797.67441860464</v>
      </c>
      <c r="F59" s="159">
        <f t="shared" si="3"/>
        <v>295116.19501391664</v>
      </c>
      <c r="G59" s="161">
        <f t="shared" si="9"/>
        <v>390291.67000008229</v>
      </c>
      <c r="H59" s="142">
        <f t="shared" si="10"/>
        <v>390291.67000008229</v>
      </c>
      <c r="I59" s="156">
        <f t="shared" si="1"/>
        <v>0</v>
      </c>
      <c r="J59" s="156"/>
      <c r="K59" s="334"/>
      <c r="L59" s="158">
        <f t="shared" si="6"/>
        <v>0</v>
      </c>
      <c r="M59" s="334"/>
      <c r="N59" s="158">
        <f t="shared" si="7"/>
        <v>0</v>
      </c>
      <c r="O59" s="158">
        <f t="shared" si="8"/>
        <v>0</v>
      </c>
      <c r="P59" s="4"/>
    </row>
    <row r="60" spans="2:16">
      <c r="B60" s="9" t="str">
        <f t="shared" si="0"/>
        <v/>
      </c>
      <c r="C60" s="153">
        <f>IF(D11="","-",+C59+1)</f>
        <v>2057</v>
      </c>
      <c r="D60" s="159">
        <f>IF(F59+SUM(E$17:E59)=D$10,F59,D$10-SUM(E$17:E59))</f>
        <v>295116.19501391664</v>
      </c>
      <c r="E60" s="160">
        <f t="shared" si="2"/>
        <v>295116.19501391664</v>
      </c>
      <c r="F60" s="159">
        <f t="shared" si="3"/>
        <v>0</v>
      </c>
      <c r="G60" s="161">
        <f t="shared" si="9"/>
        <v>309806.44063800317</v>
      </c>
      <c r="H60" s="142">
        <f t="shared" si="10"/>
        <v>309806.44063800317</v>
      </c>
      <c r="I60" s="156">
        <f t="shared" si="1"/>
        <v>0</v>
      </c>
      <c r="J60" s="156"/>
      <c r="K60" s="334"/>
      <c r="L60" s="158">
        <f t="shared" si="6"/>
        <v>0</v>
      </c>
      <c r="M60" s="334"/>
      <c r="N60" s="158">
        <f t="shared" si="7"/>
        <v>0</v>
      </c>
      <c r="O60" s="158">
        <f t="shared" si="8"/>
        <v>0</v>
      </c>
      <c r="P60" s="4"/>
    </row>
    <row r="61" spans="2:16">
      <c r="B61" s="9" t="str">
        <f t="shared" si="0"/>
        <v/>
      </c>
      <c r="C61" s="153">
        <f>IF(D11="","-",+C60+1)</f>
        <v>2058</v>
      </c>
      <c r="D61" s="159">
        <f>IF(F60+SUM(E$17:E60)=D$10,F60,D$10-SUM(E$17:E60))</f>
        <v>0</v>
      </c>
      <c r="E61" s="160">
        <f t="shared" si="2"/>
        <v>0</v>
      </c>
      <c r="F61" s="159">
        <f t="shared" si="3"/>
        <v>0</v>
      </c>
      <c r="G61" s="161">
        <f t="shared" si="9"/>
        <v>0</v>
      </c>
      <c r="H61" s="142">
        <f t="shared" si="10"/>
        <v>0</v>
      </c>
      <c r="I61" s="156">
        <f t="shared" si="1"/>
        <v>0</v>
      </c>
      <c r="J61" s="156"/>
      <c r="K61" s="334"/>
      <c r="L61" s="158">
        <f t="shared" si="6"/>
        <v>0</v>
      </c>
      <c r="M61" s="334"/>
      <c r="N61" s="158">
        <f t="shared" si="7"/>
        <v>0</v>
      </c>
      <c r="O61" s="158">
        <f t="shared" si="8"/>
        <v>0</v>
      </c>
      <c r="P61" s="4"/>
    </row>
    <row r="62" spans="2:16">
      <c r="B62" s="9" t="str">
        <f t="shared" si="0"/>
        <v/>
      </c>
      <c r="C62" s="153">
        <f>IF(D11="","-",+C61+1)</f>
        <v>2059</v>
      </c>
      <c r="D62" s="159">
        <f>IF(F61+SUM(E$17:E61)=D$10,F61,D$10-SUM(E$17:E61))</f>
        <v>0</v>
      </c>
      <c r="E62" s="160">
        <f t="shared" si="2"/>
        <v>0</v>
      </c>
      <c r="F62" s="159">
        <f t="shared" si="3"/>
        <v>0</v>
      </c>
      <c r="G62" s="161">
        <f t="shared" si="9"/>
        <v>0</v>
      </c>
      <c r="H62" s="142">
        <f t="shared" si="10"/>
        <v>0</v>
      </c>
      <c r="I62" s="156">
        <f t="shared" si="1"/>
        <v>0</v>
      </c>
      <c r="J62" s="156"/>
      <c r="K62" s="334"/>
      <c r="L62" s="158">
        <f t="shared" si="6"/>
        <v>0</v>
      </c>
      <c r="M62" s="334"/>
      <c r="N62" s="158">
        <f t="shared" si="7"/>
        <v>0</v>
      </c>
      <c r="O62" s="158">
        <f t="shared" si="8"/>
        <v>0</v>
      </c>
      <c r="P62" s="4"/>
    </row>
    <row r="63" spans="2:16">
      <c r="B63" s="9" t="str">
        <f t="shared" si="0"/>
        <v/>
      </c>
      <c r="C63" s="153">
        <f>IF(D11="","-",+C62+1)</f>
        <v>2060</v>
      </c>
      <c r="D63" s="159">
        <f>IF(F62+SUM(E$17:E62)=D$10,F62,D$10-SUM(E$17:E62))</f>
        <v>0</v>
      </c>
      <c r="E63" s="160">
        <f t="shared" si="2"/>
        <v>0</v>
      </c>
      <c r="F63" s="159">
        <f t="shared" si="3"/>
        <v>0</v>
      </c>
      <c r="G63" s="161">
        <f t="shared" si="9"/>
        <v>0</v>
      </c>
      <c r="H63" s="142">
        <f t="shared" si="10"/>
        <v>0</v>
      </c>
      <c r="I63" s="156">
        <f t="shared" si="1"/>
        <v>0</v>
      </c>
      <c r="J63" s="156"/>
      <c r="K63" s="334"/>
      <c r="L63" s="158">
        <f t="shared" si="6"/>
        <v>0</v>
      </c>
      <c r="M63" s="334"/>
      <c r="N63" s="158">
        <f t="shared" si="7"/>
        <v>0</v>
      </c>
      <c r="O63" s="158">
        <f t="shared" si="8"/>
        <v>0</v>
      </c>
      <c r="P63" s="4"/>
    </row>
    <row r="64" spans="2:16">
      <c r="B64" s="9" t="str">
        <f t="shared" si="0"/>
        <v/>
      </c>
      <c r="C64" s="153">
        <f>IF(D11="","-",+C63+1)</f>
        <v>2061</v>
      </c>
      <c r="D64" s="159">
        <f>IF(F63+SUM(E$17:E63)=D$10,F63,D$10-SUM(E$17:E63))</f>
        <v>0</v>
      </c>
      <c r="E64" s="160">
        <f t="shared" si="2"/>
        <v>0</v>
      </c>
      <c r="F64" s="159">
        <f t="shared" si="3"/>
        <v>0</v>
      </c>
      <c r="G64" s="161">
        <f t="shared" si="9"/>
        <v>0</v>
      </c>
      <c r="H64" s="142">
        <f t="shared" si="10"/>
        <v>0</v>
      </c>
      <c r="I64" s="156">
        <f t="shared" si="1"/>
        <v>0</v>
      </c>
      <c r="J64" s="156"/>
      <c r="K64" s="334"/>
      <c r="L64" s="158">
        <f t="shared" si="6"/>
        <v>0</v>
      </c>
      <c r="M64" s="334"/>
      <c r="N64" s="158">
        <f t="shared" si="7"/>
        <v>0</v>
      </c>
      <c r="O64" s="158">
        <f t="shared" si="8"/>
        <v>0</v>
      </c>
      <c r="P64" s="4"/>
    </row>
    <row r="65" spans="2:16">
      <c r="B65" s="9" t="str">
        <f t="shared" si="0"/>
        <v/>
      </c>
      <c r="C65" s="153">
        <f>IF(D11="","-",+C64+1)</f>
        <v>2062</v>
      </c>
      <c r="D65" s="159">
        <f>IF(F64+SUM(E$17:E64)=D$10,F64,D$10-SUM(E$17:E64))</f>
        <v>0</v>
      </c>
      <c r="E65" s="160">
        <f t="shared" si="2"/>
        <v>0</v>
      </c>
      <c r="F65" s="159">
        <f t="shared" si="3"/>
        <v>0</v>
      </c>
      <c r="G65" s="161">
        <f t="shared" si="9"/>
        <v>0</v>
      </c>
      <c r="H65" s="142">
        <f t="shared" si="10"/>
        <v>0</v>
      </c>
      <c r="I65" s="156">
        <f t="shared" si="1"/>
        <v>0</v>
      </c>
      <c r="J65" s="156"/>
      <c r="K65" s="334"/>
      <c r="L65" s="158">
        <f t="shared" si="6"/>
        <v>0</v>
      </c>
      <c r="M65" s="334"/>
      <c r="N65" s="158">
        <f t="shared" si="7"/>
        <v>0</v>
      </c>
      <c r="O65" s="158">
        <f t="shared" si="8"/>
        <v>0</v>
      </c>
      <c r="P65" s="4"/>
    </row>
    <row r="66" spans="2:16">
      <c r="B66" s="9" t="str">
        <f t="shared" si="0"/>
        <v/>
      </c>
      <c r="C66" s="153">
        <f>IF(D11="","-",+C65+1)</f>
        <v>2063</v>
      </c>
      <c r="D66" s="159">
        <f>IF(F65+SUM(E$17:E65)=D$10,F65,D$10-SUM(E$17:E65))</f>
        <v>0</v>
      </c>
      <c r="E66" s="160">
        <f t="shared" si="2"/>
        <v>0</v>
      </c>
      <c r="F66" s="159">
        <f t="shared" si="3"/>
        <v>0</v>
      </c>
      <c r="G66" s="161">
        <f t="shared" si="9"/>
        <v>0</v>
      </c>
      <c r="H66" s="142">
        <f t="shared" si="10"/>
        <v>0</v>
      </c>
      <c r="I66" s="156">
        <f t="shared" si="1"/>
        <v>0</v>
      </c>
      <c r="J66" s="156"/>
      <c r="K66" s="334"/>
      <c r="L66" s="158">
        <f t="shared" si="6"/>
        <v>0</v>
      </c>
      <c r="M66" s="334"/>
      <c r="N66" s="158">
        <f t="shared" si="7"/>
        <v>0</v>
      </c>
      <c r="O66" s="158">
        <f t="shared" si="8"/>
        <v>0</v>
      </c>
      <c r="P66" s="4"/>
    </row>
    <row r="67" spans="2:16">
      <c r="B67" s="9" t="str">
        <f t="shared" si="0"/>
        <v/>
      </c>
      <c r="C67" s="153">
        <f>IF(D11="","-",+C66+1)</f>
        <v>2064</v>
      </c>
      <c r="D67" s="159">
        <f>IF(F66+SUM(E$17:E66)=D$10,F66,D$10-SUM(E$17:E66))</f>
        <v>0</v>
      </c>
      <c r="E67" s="160">
        <f t="shared" si="2"/>
        <v>0</v>
      </c>
      <c r="F67" s="159">
        <f t="shared" si="3"/>
        <v>0</v>
      </c>
      <c r="G67" s="161">
        <f t="shared" si="9"/>
        <v>0</v>
      </c>
      <c r="H67" s="142">
        <f t="shared" si="10"/>
        <v>0</v>
      </c>
      <c r="I67" s="156">
        <f t="shared" si="1"/>
        <v>0</v>
      </c>
      <c r="J67" s="156"/>
      <c r="K67" s="334"/>
      <c r="L67" s="158">
        <f t="shared" si="6"/>
        <v>0</v>
      </c>
      <c r="M67" s="334"/>
      <c r="N67" s="158">
        <f t="shared" si="7"/>
        <v>0</v>
      </c>
      <c r="O67" s="158">
        <f t="shared" si="8"/>
        <v>0</v>
      </c>
      <c r="P67" s="4"/>
    </row>
    <row r="68" spans="2:16">
      <c r="B68" s="9" t="str">
        <f t="shared" si="0"/>
        <v/>
      </c>
      <c r="C68" s="153">
        <f>IF(D11="","-",+C67+1)</f>
        <v>2065</v>
      </c>
      <c r="D68" s="159">
        <f>IF(F67+SUM(E$17:E67)=D$10,F67,D$10-SUM(E$17:E67))</f>
        <v>0</v>
      </c>
      <c r="E68" s="160">
        <f t="shared" si="2"/>
        <v>0</v>
      </c>
      <c r="F68" s="159">
        <f t="shared" si="3"/>
        <v>0</v>
      </c>
      <c r="G68" s="161">
        <f t="shared" si="9"/>
        <v>0</v>
      </c>
      <c r="H68" s="142">
        <f t="shared" si="10"/>
        <v>0</v>
      </c>
      <c r="I68" s="156">
        <f t="shared" si="1"/>
        <v>0</v>
      </c>
      <c r="J68" s="156"/>
      <c r="K68" s="334"/>
      <c r="L68" s="158">
        <f t="shared" si="6"/>
        <v>0</v>
      </c>
      <c r="M68" s="334"/>
      <c r="N68" s="158">
        <f t="shared" si="7"/>
        <v>0</v>
      </c>
      <c r="O68" s="158">
        <f t="shared" si="8"/>
        <v>0</v>
      </c>
      <c r="P68" s="4"/>
    </row>
    <row r="69" spans="2:16">
      <c r="B69" s="9" t="str">
        <f t="shared" si="0"/>
        <v/>
      </c>
      <c r="C69" s="153">
        <f>IF(D11="","-",+C68+1)</f>
        <v>2066</v>
      </c>
      <c r="D69" s="159">
        <f>IF(F68+SUM(E$17:E68)=D$10,F68,D$10-SUM(E$17:E68))</f>
        <v>0</v>
      </c>
      <c r="E69" s="160">
        <f t="shared" si="2"/>
        <v>0</v>
      </c>
      <c r="F69" s="159">
        <f t="shared" si="3"/>
        <v>0</v>
      </c>
      <c r="G69" s="161">
        <f t="shared" si="9"/>
        <v>0</v>
      </c>
      <c r="H69" s="142">
        <f t="shared" si="10"/>
        <v>0</v>
      </c>
      <c r="I69" s="156">
        <f t="shared" si="1"/>
        <v>0</v>
      </c>
      <c r="J69" s="156"/>
      <c r="K69" s="334"/>
      <c r="L69" s="158">
        <f t="shared" si="6"/>
        <v>0</v>
      </c>
      <c r="M69" s="334"/>
      <c r="N69" s="158">
        <f t="shared" si="7"/>
        <v>0</v>
      </c>
      <c r="O69" s="158">
        <f t="shared" si="8"/>
        <v>0</v>
      </c>
      <c r="P69" s="4"/>
    </row>
    <row r="70" spans="2:16">
      <c r="B70" s="9" t="str">
        <f t="shared" si="0"/>
        <v/>
      </c>
      <c r="C70" s="153">
        <f>IF(D11="","-",+C69+1)</f>
        <v>2067</v>
      </c>
      <c r="D70" s="159">
        <f>IF(F69+SUM(E$17:E69)=D$10,F69,D$10-SUM(E$17:E69))</f>
        <v>0</v>
      </c>
      <c r="E70" s="160">
        <f t="shared" si="2"/>
        <v>0</v>
      </c>
      <c r="F70" s="159">
        <f t="shared" si="3"/>
        <v>0</v>
      </c>
      <c r="G70" s="161">
        <f t="shared" si="9"/>
        <v>0</v>
      </c>
      <c r="H70" s="142">
        <f t="shared" si="10"/>
        <v>0</v>
      </c>
      <c r="I70" s="156">
        <f t="shared" si="1"/>
        <v>0</v>
      </c>
      <c r="J70" s="156"/>
      <c r="K70" s="334"/>
      <c r="L70" s="158">
        <f t="shared" si="6"/>
        <v>0</v>
      </c>
      <c r="M70" s="334"/>
      <c r="N70" s="158">
        <f t="shared" si="7"/>
        <v>0</v>
      </c>
      <c r="O70" s="158">
        <f t="shared" si="8"/>
        <v>0</v>
      </c>
      <c r="P70" s="4"/>
    </row>
    <row r="71" spans="2:16">
      <c r="B71" s="9" t="str">
        <f t="shared" si="0"/>
        <v/>
      </c>
      <c r="C71" s="153">
        <f>IF(D11="","-",+C70+1)</f>
        <v>2068</v>
      </c>
      <c r="D71" s="159">
        <f>IF(F70+SUM(E$17:E70)=D$10,F70,D$10-SUM(E$17:E70))</f>
        <v>0</v>
      </c>
      <c r="E71" s="160">
        <f t="shared" si="2"/>
        <v>0</v>
      </c>
      <c r="F71" s="159">
        <f t="shared" si="3"/>
        <v>0</v>
      </c>
      <c r="G71" s="161">
        <f t="shared" si="9"/>
        <v>0</v>
      </c>
      <c r="H71" s="142">
        <f t="shared" si="10"/>
        <v>0</v>
      </c>
      <c r="I71" s="156">
        <f t="shared" si="1"/>
        <v>0</v>
      </c>
      <c r="J71" s="156"/>
      <c r="K71" s="334"/>
      <c r="L71" s="158">
        <f t="shared" si="6"/>
        <v>0</v>
      </c>
      <c r="M71" s="334"/>
      <c r="N71" s="158">
        <f t="shared" si="7"/>
        <v>0</v>
      </c>
      <c r="O71" s="158">
        <f t="shared" si="8"/>
        <v>0</v>
      </c>
      <c r="P71" s="4"/>
    </row>
    <row r="72" spans="2:16" ht="13.5" thickBot="1">
      <c r="B72" s="9" t="str">
        <f t="shared" si="0"/>
        <v/>
      </c>
      <c r="C72" s="164">
        <f>IF(D11="","-",+C71+1)</f>
        <v>2069</v>
      </c>
      <c r="D72" s="159">
        <f>IF(F71+SUM(E$17:E71)=D$10,F71,D$10-SUM(E$17:E71))</f>
        <v>0</v>
      </c>
      <c r="E72" s="160">
        <f t="shared" si="2"/>
        <v>0</v>
      </c>
      <c r="F72" s="159">
        <f t="shared" si="3"/>
        <v>0</v>
      </c>
      <c r="G72" s="161">
        <f t="shared" si="9"/>
        <v>0</v>
      </c>
      <c r="H72" s="142">
        <f t="shared" si="10"/>
        <v>0</v>
      </c>
      <c r="I72" s="156">
        <f t="shared" si="1"/>
        <v>0</v>
      </c>
      <c r="J72" s="156"/>
      <c r="K72" s="335"/>
      <c r="L72" s="169">
        <f t="shared" si="6"/>
        <v>0</v>
      </c>
      <c r="M72" s="335"/>
      <c r="N72" s="169">
        <f t="shared" si="7"/>
        <v>0</v>
      </c>
      <c r="O72" s="169">
        <f t="shared" si="8"/>
        <v>0</v>
      </c>
      <c r="P72" s="4"/>
    </row>
    <row r="73" spans="2:16">
      <c r="C73" s="154" t="s">
        <v>73</v>
      </c>
      <c r="D73" s="111"/>
      <c r="E73" s="111">
        <f>SUM(E17:E72)</f>
        <v>14783299.999999996</v>
      </c>
      <c r="F73" s="111"/>
      <c r="G73" s="111">
        <f>SUM(G17:G72)</f>
        <v>49518176.505778454</v>
      </c>
      <c r="H73" s="111">
        <f>SUM(H17:H72)</f>
        <v>49518176.505778454</v>
      </c>
      <c r="I73" s="111">
        <f>SUM(I17:I72)</f>
        <v>0</v>
      </c>
      <c r="J73" s="111"/>
      <c r="K73" s="111"/>
      <c r="L73" s="111"/>
      <c r="M73" s="111"/>
      <c r="N73" s="111"/>
      <c r="O73" s="4"/>
      <c r="P73" s="4"/>
    </row>
    <row r="74" spans="2:16">
      <c r="D74" s="2"/>
      <c r="E74" s="1"/>
      <c r="F74" s="1"/>
      <c r="G74" s="1"/>
      <c r="H74" s="3"/>
      <c r="I74" s="3"/>
      <c r="J74" s="111"/>
      <c r="K74" s="3"/>
      <c r="L74" s="3"/>
      <c r="M74" s="3"/>
      <c r="N74" s="3"/>
      <c r="O74" s="1"/>
      <c r="P74" s="1"/>
    </row>
    <row r="75" spans="2:16">
      <c r="C75" s="170" t="s">
        <v>91</v>
      </c>
      <c r="D75" s="2"/>
      <c r="E75" s="1"/>
      <c r="F75" s="1"/>
      <c r="G75" s="1"/>
      <c r="H75" s="3"/>
      <c r="I75" s="3"/>
      <c r="J75" s="111"/>
      <c r="K75" s="3"/>
      <c r="L75" s="3"/>
      <c r="M75" s="3"/>
      <c r="N75" s="3"/>
      <c r="O75" s="1"/>
      <c r="P75" s="1"/>
    </row>
    <row r="76" spans="2:16">
      <c r="C76" s="121" t="s">
        <v>74</v>
      </c>
      <c r="D76" s="2"/>
      <c r="E76" s="1"/>
      <c r="F76" s="1"/>
      <c r="G76" s="1"/>
      <c r="H76" s="3"/>
      <c r="I76" s="3"/>
      <c r="J76" s="111"/>
      <c r="K76" s="3"/>
      <c r="L76" s="3"/>
      <c r="M76" s="3"/>
      <c r="N76" s="3"/>
      <c r="O76" s="4"/>
      <c r="P76" s="4"/>
    </row>
    <row r="77" spans="2:16">
      <c r="C77" s="121" t="s">
        <v>75</v>
      </c>
      <c r="D77" s="154"/>
      <c r="E77" s="154"/>
      <c r="F77" s="154"/>
      <c r="G77" s="111"/>
      <c r="H77" s="111"/>
      <c r="I77" s="171"/>
      <c r="J77" s="171"/>
      <c r="K77" s="171"/>
      <c r="L77" s="171"/>
      <c r="M77" s="171"/>
      <c r="N77" s="171"/>
      <c r="O77" s="4"/>
      <c r="P77" s="4"/>
    </row>
    <row r="78" spans="2:16">
      <c r="C78" s="121"/>
      <c r="D78" s="154"/>
      <c r="E78" s="154"/>
      <c r="F78" s="154"/>
      <c r="G78" s="111"/>
      <c r="H78" s="111"/>
      <c r="I78" s="171"/>
      <c r="J78" s="171"/>
      <c r="K78" s="171"/>
      <c r="L78" s="171"/>
      <c r="M78" s="171"/>
      <c r="N78" s="171"/>
      <c r="O78" s="4"/>
      <c r="P78" s="1"/>
    </row>
    <row r="79" spans="2:16">
      <c r="B79" s="1"/>
      <c r="C79" s="21"/>
      <c r="D79" s="2"/>
      <c r="E79" s="1"/>
      <c r="F79" s="107"/>
      <c r="G79" s="1"/>
      <c r="H79" s="3"/>
      <c r="I79" s="1"/>
      <c r="J79" s="4"/>
      <c r="K79" s="1"/>
      <c r="L79" s="1"/>
      <c r="M79" s="1"/>
      <c r="N79" s="1"/>
      <c r="O79" s="1"/>
      <c r="P79" s="1"/>
    </row>
    <row r="80" spans="2:16" ht="18">
      <c r="B80" s="1"/>
      <c r="C80" s="242"/>
      <c r="D80" s="2"/>
      <c r="E80" s="1"/>
      <c r="F80" s="107"/>
      <c r="G80" s="1"/>
      <c r="H80" s="3"/>
      <c r="I80" s="1"/>
      <c r="J80" s="4"/>
      <c r="K80" s="1"/>
      <c r="L80" s="1"/>
      <c r="M80" s="1"/>
      <c r="N80" s="1"/>
      <c r="P80" s="244" t="s">
        <v>125</v>
      </c>
    </row>
    <row r="81" spans="1:16">
      <c r="B81" s="1"/>
      <c r="C81" s="21"/>
      <c r="D81" s="2"/>
      <c r="E81" s="1"/>
      <c r="F81" s="107"/>
      <c r="G81" s="1"/>
      <c r="H81" s="3"/>
      <c r="I81" s="1"/>
      <c r="J81" s="4"/>
      <c r="K81" s="1"/>
      <c r="L81" s="1"/>
      <c r="M81" s="1"/>
      <c r="N81" s="1"/>
      <c r="O81" s="1"/>
      <c r="P81" s="1"/>
    </row>
    <row r="82" spans="1:16">
      <c r="B82" s="1"/>
      <c r="C82" s="21"/>
      <c r="D82" s="2"/>
      <c r="E82" s="1"/>
      <c r="F82" s="107"/>
      <c r="G82" s="1"/>
      <c r="H82" s="3"/>
      <c r="I82" s="1"/>
      <c r="J82" s="4"/>
      <c r="K82" s="1"/>
      <c r="L82" s="1"/>
      <c r="M82" s="1"/>
      <c r="N82" s="1"/>
      <c r="O82" s="1"/>
      <c r="P82" s="1"/>
    </row>
    <row r="83" spans="1:16" ht="20.25">
      <c r="A83" s="243" t="s">
        <v>129</v>
      </c>
      <c r="B83" s="1"/>
      <c r="C83" s="21"/>
      <c r="D83" s="2"/>
      <c r="E83" s="1"/>
      <c r="F83" s="99"/>
      <c r="G83" s="99"/>
      <c r="H83" s="1"/>
      <c r="I83" s="3"/>
      <c r="K83" s="7"/>
      <c r="L83" s="109"/>
      <c r="M83" s="109"/>
      <c r="P83" s="109" t="str">
        <f ca="1">P1</f>
        <v>SWEPCO Project 43 of 73</v>
      </c>
    </row>
    <row r="84" spans="1:16" ht="18">
      <c r="B84" s="1"/>
      <c r="C84" s="1"/>
      <c r="D84" s="2"/>
      <c r="E84" s="1"/>
      <c r="F84" s="1"/>
      <c r="G84" s="1"/>
      <c r="H84" s="1"/>
      <c r="I84" s="3"/>
      <c r="J84" s="1"/>
      <c r="K84" s="4"/>
      <c r="L84" s="1"/>
      <c r="M84" s="1"/>
      <c r="P84" s="244" t="s">
        <v>123</v>
      </c>
    </row>
    <row r="85" spans="1:16" ht="18.75" thickBot="1">
      <c r="B85" s="5" t="s">
        <v>40</v>
      </c>
      <c r="C85" s="197" t="s">
        <v>78</v>
      </c>
      <c r="D85" s="2"/>
      <c r="E85" s="1"/>
      <c r="F85" s="1"/>
      <c r="G85" s="1"/>
      <c r="H85" s="1"/>
      <c r="I85" s="3"/>
      <c r="J85" s="3"/>
      <c r="K85" s="111"/>
      <c r="L85" s="3"/>
      <c r="M85" s="3"/>
      <c r="N85" s="3"/>
      <c r="O85" s="111"/>
      <c r="P85" s="1"/>
    </row>
    <row r="86" spans="1:16" ht="15.75" thickBot="1">
      <c r="C86" s="67"/>
      <c r="D86" s="2"/>
      <c r="E86" s="1"/>
      <c r="F86" s="1"/>
      <c r="G86" s="1"/>
      <c r="H86" s="1"/>
      <c r="I86" s="3"/>
      <c r="J86" s="3"/>
      <c r="K86" s="111"/>
      <c r="L86" s="265">
        <f>+J92</f>
        <v>2017</v>
      </c>
      <c r="M86" s="266" t="s">
        <v>7</v>
      </c>
      <c r="N86" s="270" t="s">
        <v>154</v>
      </c>
      <c r="O86" s="267" t="s">
        <v>9</v>
      </c>
      <c r="P86" s="1"/>
    </row>
    <row r="87" spans="1:16" ht="15">
      <c r="C87" s="235" t="s">
        <v>42</v>
      </c>
      <c r="D87" s="2"/>
      <c r="E87" s="1"/>
      <c r="F87" s="1"/>
      <c r="G87" s="1"/>
      <c r="H87" s="113"/>
      <c r="I87" s="1" t="s">
        <v>43</v>
      </c>
      <c r="J87" s="1"/>
      <c r="K87" s="261"/>
      <c r="L87" s="259" t="s">
        <v>381</v>
      </c>
      <c r="M87" s="198">
        <f>IF(J92&lt;D11,0,VLOOKUP(J92,C17:O72,9))</f>
        <v>2077571.8162955591</v>
      </c>
      <c r="N87" s="198">
        <f>IF(J92&lt;D11,0,VLOOKUP(J92,C17:O72,11))</f>
        <v>2077571.8162955591</v>
      </c>
      <c r="O87" s="199">
        <f>+N87-M87</f>
        <v>0</v>
      </c>
      <c r="P87" s="1"/>
    </row>
    <row r="88" spans="1:16" ht="15.75">
      <c r="C88" s="8"/>
      <c r="D88" s="2"/>
      <c r="E88" s="1"/>
      <c r="F88" s="1"/>
      <c r="G88" s="1"/>
      <c r="H88" s="1"/>
      <c r="I88" s="117"/>
      <c r="J88" s="117"/>
      <c r="K88" s="263"/>
      <c r="L88" s="264" t="s">
        <v>382</v>
      </c>
      <c r="M88" s="200">
        <f>IF(J92&lt;D11,0,VLOOKUP(J92,C99:P154,6))</f>
        <v>2041254.8661702115</v>
      </c>
      <c r="N88" s="200">
        <f>IF(J92&lt;D11,0,VLOOKUP(J92,C99:P154,7))</f>
        <v>2041254.8661702115</v>
      </c>
      <c r="O88" s="201">
        <f>+N88-M88</f>
        <v>0</v>
      </c>
      <c r="P88" s="1"/>
    </row>
    <row r="89" spans="1:16" ht="13.5" thickBot="1">
      <c r="C89" s="121" t="s">
        <v>79</v>
      </c>
      <c r="D89" s="246" t="str">
        <f>+D7</f>
        <v>Diana to Perdue 138 kV Rebuild 21.8 miles; Station Upgrades at Diana and Perdue</v>
      </c>
      <c r="E89" s="1"/>
      <c r="F89" s="1"/>
      <c r="G89" s="1"/>
      <c r="H89" s="1"/>
      <c r="I89" s="3"/>
      <c r="J89" s="3"/>
      <c r="K89" s="262"/>
      <c r="L89" s="260" t="s">
        <v>151</v>
      </c>
      <c r="M89" s="203">
        <f>+M88-M87</f>
        <v>-36316.95012534759</v>
      </c>
      <c r="N89" s="203">
        <f>+N88-N87</f>
        <v>-36316.95012534759</v>
      </c>
      <c r="O89" s="204">
        <f>+O88-O87</f>
        <v>0</v>
      </c>
      <c r="P89" s="1"/>
    </row>
    <row r="90" spans="1:16" ht="13.5" thickBot="1">
      <c r="C90" s="170"/>
      <c r="D90" s="173" t="str">
        <f>D8</f>
        <v/>
      </c>
      <c r="E90" s="107"/>
      <c r="F90" s="107"/>
      <c r="G90" s="107"/>
      <c r="H90" s="126"/>
      <c r="I90" s="3"/>
      <c r="J90" s="3"/>
      <c r="K90" s="111"/>
      <c r="L90" s="3"/>
      <c r="M90" s="3"/>
      <c r="N90" s="3"/>
      <c r="O90" s="111"/>
      <c r="P90" s="1"/>
    </row>
    <row r="91" spans="1:16" ht="13.5" thickBot="1">
      <c r="A91" s="103"/>
      <c r="C91" s="205" t="s">
        <v>80</v>
      </c>
      <c r="D91" s="224" t="str">
        <f>+D9</f>
        <v>TP2011023</v>
      </c>
      <c r="E91" s="401" t="s">
        <v>430</v>
      </c>
      <c r="F91" s="206"/>
      <c r="G91" s="206"/>
      <c r="H91" s="206"/>
      <c r="I91" s="206"/>
      <c r="J91" s="206"/>
      <c r="K91" s="207"/>
      <c r="P91" s="131"/>
    </row>
    <row r="92" spans="1:16">
      <c r="C92" s="136" t="s">
        <v>47</v>
      </c>
      <c r="D92" s="133">
        <f>14866883-83583</f>
        <v>14783300</v>
      </c>
      <c r="E92" s="21" t="s">
        <v>81</v>
      </c>
      <c r="H92" s="134"/>
      <c r="I92" s="134"/>
      <c r="J92" s="135">
        <f>+'SWE.WS.G.BPU.ATRR.True-up'!M15</f>
        <v>2017</v>
      </c>
      <c r="K92" s="130"/>
      <c r="L92" s="111" t="s">
        <v>82</v>
      </c>
      <c r="P92" s="4"/>
    </row>
    <row r="93" spans="1:16">
      <c r="C93" s="136" t="s">
        <v>49</v>
      </c>
      <c r="D93" s="219">
        <f>IF(D11=I10,"",D11)</f>
        <v>2014</v>
      </c>
      <c r="E93" s="136" t="s">
        <v>50</v>
      </c>
      <c r="F93" s="134"/>
      <c r="G93" s="134"/>
      <c r="J93" s="138">
        <f>IF(H87="",0,'SWE.WS.G.BPU.ATRR.True-up'!$F$12)</f>
        <v>0</v>
      </c>
      <c r="K93" s="139"/>
      <c r="L93" t="str">
        <f>"          INPUT TRUE-UP ARR (WITH &amp; WITHOUT INCENTIVES) FROM EACH PRIOR YEAR"</f>
        <v xml:space="preserve">          INPUT TRUE-UP ARR (WITH &amp; WITHOUT INCENTIVES) FROM EACH PRIOR YEAR</v>
      </c>
      <c r="P93" s="4"/>
    </row>
    <row r="94" spans="1:16">
      <c r="C94" s="136" t="s">
        <v>51</v>
      </c>
      <c r="D94" s="218">
        <f>IF(D11=I10,"",D12)</f>
        <v>11</v>
      </c>
      <c r="E94" s="136" t="s">
        <v>52</v>
      </c>
      <c r="F94" s="134"/>
      <c r="G94" s="134"/>
      <c r="J94" s="140">
        <f>'SWE.WS.G.BPU.ATRR.True-up'!$F$80</f>
        <v>0.12147145768398206</v>
      </c>
      <c r="K94" s="141"/>
      <c r="L94" t="s">
        <v>83</v>
      </c>
      <c r="P94" s="4"/>
    </row>
    <row r="95" spans="1:16">
      <c r="C95" s="136" t="s">
        <v>54</v>
      </c>
      <c r="D95" s="138">
        <f>'SWE.WS.G.BPU.ATRR.True-up'!F$92</f>
        <v>42</v>
      </c>
      <c r="E95" s="136" t="s">
        <v>55</v>
      </c>
      <c r="F95" s="134"/>
      <c r="G95" s="134"/>
      <c r="J95" s="140">
        <f>IF(H87="",J94,'SWE.WS.G.BPU.ATRR.True-up'!$F$79)</f>
        <v>0.12147145768398206</v>
      </c>
      <c r="K95" s="58"/>
      <c r="L95" s="111" t="s">
        <v>56</v>
      </c>
      <c r="M95" s="58"/>
      <c r="N95" s="58"/>
      <c r="O95" s="58"/>
      <c r="P95" s="4"/>
    </row>
    <row r="96" spans="1:16" ht="13.5" thickBot="1">
      <c r="C96" s="136" t="s">
        <v>57</v>
      </c>
      <c r="D96" s="220" t="str">
        <f>+D14</f>
        <v>No</v>
      </c>
      <c r="E96" s="202" t="s">
        <v>59</v>
      </c>
      <c r="F96" s="208"/>
      <c r="G96" s="208"/>
      <c r="H96" s="209"/>
      <c r="I96" s="209"/>
      <c r="J96" s="124">
        <f>IF(D92=0,0,D92/D95)</f>
        <v>351983.33333333331</v>
      </c>
      <c r="K96" s="111"/>
      <c r="L96" s="111"/>
      <c r="M96" s="111"/>
      <c r="N96" s="111"/>
      <c r="O96" s="111"/>
      <c r="P96" s="4"/>
    </row>
    <row r="97" spans="1:16" ht="38.25">
      <c r="A97" s="6"/>
      <c r="B97" s="6"/>
      <c r="C97" s="210" t="s">
        <v>47</v>
      </c>
      <c r="D97" s="211" t="s">
        <v>60</v>
      </c>
      <c r="E97" s="146" t="s">
        <v>61</v>
      </c>
      <c r="F97" s="146" t="s">
        <v>62</v>
      </c>
      <c r="G97" s="144" t="s">
        <v>84</v>
      </c>
      <c r="H97" s="434" t="s">
        <v>378</v>
      </c>
      <c r="I97" s="435" t="s">
        <v>379</v>
      </c>
      <c r="J97" s="210" t="s">
        <v>85</v>
      </c>
      <c r="K97" s="212"/>
      <c r="L97" s="271" t="s">
        <v>220</v>
      </c>
      <c r="M97" s="146" t="s">
        <v>86</v>
      </c>
      <c r="N97" s="271" t="s">
        <v>220</v>
      </c>
      <c r="O97" s="146" t="s">
        <v>86</v>
      </c>
      <c r="P97" s="146" t="s">
        <v>65</v>
      </c>
    </row>
    <row r="98" spans="1:16" ht="13.5" thickBot="1">
      <c r="C98" s="147" t="s">
        <v>66</v>
      </c>
      <c r="D98" s="213" t="s">
        <v>67</v>
      </c>
      <c r="E98" s="147" t="s">
        <v>68</v>
      </c>
      <c r="F98" s="147" t="s">
        <v>67</v>
      </c>
      <c r="G98" s="147" t="s">
        <v>67</v>
      </c>
      <c r="H98" s="407" t="s">
        <v>69</v>
      </c>
      <c r="I98" s="148" t="s">
        <v>70</v>
      </c>
      <c r="J98" s="149" t="s">
        <v>89</v>
      </c>
      <c r="K98" s="150"/>
      <c r="L98" s="151" t="s">
        <v>72</v>
      </c>
      <c r="M98" s="151" t="s">
        <v>72</v>
      </c>
      <c r="N98" s="151" t="s">
        <v>90</v>
      </c>
      <c r="O98" s="151" t="s">
        <v>90</v>
      </c>
      <c r="P98" s="151" t="s">
        <v>90</v>
      </c>
    </row>
    <row r="99" spans="1:16" ht="13.5" thickBot="1">
      <c r="C99" s="153">
        <f>IF(D93= "","-",D93)</f>
        <v>2014</v>
      </c>
      <c r="D99" s="409">
        <v>0</v>
      </c>
      <c r="E99" s="410">
        <v>0</v>
      </c>
      <c r="F99" s="411">
        <v>14986466</v>
      </c>
      <c r="G99" s="412">
        <v>7493233</v>
      </c>
      <c r="H99" s="413">
        <v>1018506.1541813499</v>
      </c>
      <c r="I99" s="414">
        <v>1018506.1541813499</v>
      </c>
      <c r="J99" s="158">
        <v>0</v>
      </c>
      <c r="K99" s="158"/>
      <c r="L99" s="258">
        <f>H99</f>
        <v>1018506.1541813499</v>
      </c>
      <c r="M99" s="257">
        <f>IF(L99&lt;&gt;0,+H99-L99,0)</f>
        <v>0</v>
      </c>
      <c r="N99" s="258">
        <f>I99</f>
        <v>1018506.1541813499</v>
      </c>
      <c r="O99" s="158">
        <f>IF(N99&lt;&gt;0,+I99-N99,0)</f>
        <v>0</v>
      </c>
      <c r="P99" s="158">
        <f>+O99-M99</f>
        <v>0</v>
      </c>
    </row>
    <row r="100" spans="1:16" ht="13.5" thickBot="1">
      <c r="B100" s="9" t="str">
        <f>IF(D100=F99,"","IU")</f>
        <v>IU</v>
      </c>
      <c r="C100" s="153">
        <f>IF(D93="","-",+C99+1)</f>
        <v>2015</v>
      </c>
      <c r="D100" s="409">
        <v>14902882.880000001</v>
      </c>
      <c r="E100" s="410">
        <v>354830.54476190481</v>
      </c>
      <c r="F100" s="411">
        <v>14548052.335238095</v>
      </c>
      <c r="G100" s="412">
        <v>14725467.607619047</v>
      </c>
      <c r="H100" s="413">
        <v>2295188.8876024</v>
      </c>
      <c r="I100" s="414">
        <v>2295188.8876024</v>
      </c>
      <c r="J100" s="158">
        <f>+I100-H100</f>
        <v>0</v>
      </c>
      <c r="K100" s="158"/>
      <c r="L100" s="258">
        <f>H100</f>
        <v>2295188.8876024</v>
      </c>
      <c r="M100" s="257">
        <f>IF(L100&lt;&gt;0,+H100-L100,0)</f>
        <v>0</v>
      </c>
      <c r="N100" s="258">
        <f>I100</f>
        <v>2295188.8876024</v>
      </c>
      <c r="O100" s="158">
        <f>IF(N100&lt;&gt;0,+I100-N100,0)</f>
        <v>0</v>
      </c>
      <c r="P100" s="158">
        <f>+O100-M100</f>
        <v>0</v>
      </c>
    </row>
    <row r="101" spans="1:16">
      <c r="B101" s="9" t="str">
        <f t="shared" ref="B101:B154" si="11">IF(D101=F100,"","IU")</f>
        <v>IU</v>
      </c>
      <c r="C101" s="153">
        <f>IF(D93="","-",+C100+1)</f>
        <v>2016</v>
      </c>
      <c r="D101" s="409">
        <v>14512052.455238095</v>
      </c>
      <c r="E101" s="410">
        <v>345741.46511627908</v>
      </c>
      <c r="F101" s="411">
        <v>14166310.990121815</v>
      </c>
      <c r="G101" s="412">
        <v>14339181.722679954</v>
      </c>
      <c r="H101" s="413">
        <v>2166100.4168751929</v>
      </c>
      <c r="I101" s="414">
        <v>2166100.4168751929</v>
      </c>
      <c r="J101" s="158">
        <f t="shared" ref="J101:J154" si="12">+I101-H101</f>
        <v>0</v>
      </c>
      <c r="K101" s="158"/>
      <c r="L101" s="258">
        <f>H101</f>
        <v>2166100.4168751929</v>
      </c>
      <c r="M101" s="257">
        <f>IF(L101&lt;&gt;0,+H101-L101,0)</f>
        <v>0</v>
      </c>
      <c r="N101" s="258">
        <f>I101</f>
        <v>2166100.4168751929</v>
      </c>
      <c r="O101" s="158">
        <f>IF(N101&lt;&gt;0,+I101-N101,0)</f>
        <v>0</v>
      </c>
      <c r="P101" s="158">
        <f>+O101-M101</f>
        <v>0</v>
      </c>
    </row>
    <row r="102" spans="1:16">
      <c r="B102" s="9" t="str">
        <f t="shared" si="11"/>
        <v>IU</v>
      </c>
      <c r="C102" s="153">
        <f>IF(D93="","-",+C101+1)</f>
        <v>2017</v>
      </c>
      <c r="D102" s="154">
        <f>IF(F101+SUM(E$99:E101)=D$92,F101,D$92-SUM(E$99:E101))</f>
        <v>14082727.990121815</v>
      </c>
      <c r="E102" s="160">
        <f t="shared" ref="E102:E154" si="13">IF(+$J$96&lt;F101,$J$96,D102)</f>
        <v>351983.33333333331</v>
      </c>
      <c r="F102" s="159">
        <f t="shared" ref="F102:F154" si="14">+D102-E102</f>
        <v>13730744.656788481</v>
      </c>
      <c r="G102" s="159">
        <f t="shared" ref="G102:G154" si="15">+(F102+D102)/2</f>
        <v>13906736.323455147</v>
      </c>
      <c r="H102" s="163">
        <f t="shared" ref="H102:H154" si="16">+J$94*G102+E102</f>
        <v>2041254.8661702115</v>
      </c>
      <c r="I102" s="253">
        <f t="shared" ref="I102:I154" si="17">+J$95*G102+E102</f>
        <v>2041254.8661702115</v>
      </c>
      <c r="J102" s="158">
        <f t="shared" si="12"/>
        <v>0</v>
      </c>
      <c r="K102" s="158"/>
      <c r="L102" s="334"/>
      <c r="M102" s="158">
        <f t="shared" ref="M102:M130" si="18">IF(L102&lt;&gt;0,+H102-L102,0)</f>
        <v>0</v>
      </c>
      <c r="N102" s="334"/>
      <c r="O102" s="158">
        <f t="shared" ref="O102:O130" si="19">IF(N102&lt;&gt;0,+I102-N102,0)</f>
        <v>0</v>
      </c>
      <c r="P102" s="158">
        <f t="shared" ref="P102:P130" si="20">+O102-M102</f>
        <v>0</v>
      </c>
    </row>
    <row r="103" spans="1:16">
      <c r="B103" s="9" t="str">
        <f t="shared" si="11"/>
        <v/>
      </c>
      <c r="C103" s="153">
        <f>IF(D93="","-",+C102+1)</f>
        <v>2018</v>
      </c>
      <c r="D103" s="154">
        <f>IF(F102+SUM(E$99:E102)=D$92,F102,D$92-SUM(E$99:E102))</f>
        <v>13730744.656788481</v>
      </c>
      <c r="E103" s="160">
        <f t="shared" si="13"/>
        <v>351983.33333333331</v>
      </c>
      <c r="F103" s="159">
        <f t="shared" si="14"/>
        <v>13378761.323455147</v>
      </c>
      <c r="G103" s="159">
        <f t="shared" si="15"/>
        <v>13554752.990121815</v>
      </c>
      <c r="H103" s="163">
        <f t="shared" si="16"/>
        <v>1998498.9375897446</v>
      </c>
      <c r="I103" s="253">
        <f t="shared" si="17"/>
        <v>1998498.9375897446</v>
      </c>
      <c r="J103" s="158">
        <f t="shared" si="12"/>
        <v>0</v>
      </c>
      <c r="K103" s="158"/>
      <c r="L103" s="334"/>
      <c r="M103" s="158">
        <f t="shared" si="18"/>
        <v>0</v>
      </c>
      <c r="N103" s="334"/>
      <c r="O103" s="158">
        <f t="shared" si="19"/>
        <v>0</v>
      </c>
      <c r="P103" s="158">
        <f t="shared" si="20"/>
        <v>0</v>
      </c>
    </row>
    <row r="104" spans="1:16">
      <c r="B104" s="9" t="str">
        <f t="shared" si="11"/>
        <v/>
      </c>
      <c r="C104" s="153">
        <f>IF(D93="","-",+C103+1)</f>
        <v>2019</v>
      </c>
      <c r="D104" s="154">
        <f>IF(F103+SUM(E$99:E103)=D$92,F103,D$92-SUM(E$99:E103))</f>
        <v>13378761.323455147</v>
      </c>
      <c r="E104" s="160">
        <f t="shared" si="13"/>
        <v>351983.33333333331</v>
      </c>
      <c r="F104" s="159">
        <f t="shared" si="14"/>
        <v>13026777.990121813</v>
      </c>
      <c r="G104" s="159">
        <f t="shared" si="15"/>
        <v>13202769.65678848</v>
      </c>
      <c r="H104" s="163">
        <f t="shared" si="16"/>
        <v>1955743.0090092774</v>
      </c>
      <c r="I104" s="253">
        <f t="shared" si="17"/>
        <v>1955743.0090092774</v>
      </c>
      <c r="J104" s="158">
        <f t="shared" si="12"/>
        <v>0</v>
      </c>
      <c r="K104" s="158"/>
      <c r="L104" s="334"/>
      <c r="M104" s="158">
        <f t="shared" si="18"/>
        <v>0</v>
      </c>
      <c r="N104" s="334"/>
      <c r="O104" s="158">
        <f t="shared" si="19"/>
        <v>0</v>
      </c>
      <c r="P104" s="158">
        <f t="shared" si="20"/>
        <v>0</v>
      </c>
    </row>
    <row r="105" spans="1:16">
      <c r="B105" s="9" t="str">
        <f t="shared" si="11"/>
        <v/>
      </c>
      <c r="C105" s="153">
        <f>IF(D93="","-",+C104+1)</f>
        <v>2020</v>
      </c>
      <c r="D105" s="154">
        <f>IF(F104+SUM(E$99:E104)=D$92,F104,D$92-SUM(E$99:E104))</f>
        <v>13026777.990121813</v>
      </c>
      <c r="E105" s="160">
        <f t="shared" si="13"/>
        <v>351983.33333333331</v>
      </c>
      <c r="F105" s="159">
        <f t="shared" si="14"/>
        <v>12674794.65678848</v>
      </c>
      <c r="G105" s="159">
        <f t="shared" si="15"/>
        <v>12850786.323455147</v>
      </c>
      <c r="H105" s="163">
        <f t="shared" si="16"/>
        <v>1912987.0804288106</v>
      </c>
      <c r="I105" s="253">
        <f t="shared" si="17"/>
        <v>1912987.0804288106</v>
      </c>
      <c r="J105" s="158">
        <f t="shared" si="12"/>
        <v>0</v>
      </c>
      <c r="K105" s="158"/>
      <c r="L105" s="334"/>
      <c r="M105" s="158">
        <f t="shared" si="18"/>
        <v>0</v>
      </c>
      <c r="N105" s="334"/>
      <c r="O105" s="158">
        <f t="shared" si="19"/>
        <v>0</v>
      </c>
      <c r="P105" s="158">
        <f t="shared" si="20"/>
        <v>0</v>
      </c>
    </row>
    <row r="106" spans="1:16">
      <c r="B106" s="9" t="str">
        <f t="shared" si="11"/>
        <v/>
      </c>
      <c r="C106" s="153">
        <f>IF(D93="","-",+C105+1)</f>
        <v>2021</v>
      </c>
      <c r="D106" s="154">
        <f>IF(F105+SUM(E$99:E105)=D$92,F105,D$92-SUM(E$99:E105))</f>
        <v>12674794.65678848</v>
      </c>
      <c r="E106" s="160">
        <f t="shared" si="13"/>
        <v>351983.33333333331</v>
      </c>
      <c r="F106" s="159">
        <f t="shared" si="14"/>
        <v>12322811.323455146</v>
      </c>
      <c r="G106" s="159">
        <f t="shared" si="15"/>
        <v>12498802.990121812</v>
      </c>
      <c r="H106" s="163">
        <f t="shared" si="16"/>
        <v>1870231.1518483432</v>
      </c>
      <c r="I106" s="253">
        <f t="shared" si="17"/>
        <v>1870231.1518483432</v>
      </c>
      <c r="J106" s="158">
        <f t="shared" si="12"/>
        <v>0</v>
      </c>
      <c r="K106" s="158"/>
      <c r="L106" s="334"/>
      <c r="M106" s="158">
        <f t="shared" si="18"/>
        <v>0</v>
      </c>
      <c r="N106" s="334"/>
      <c r="O106" s="158">
        <f t="shared" si="19"/>
        <v>0</v>
      </c>
      <c r="P106" s="158">
        <f t="shared" si="20"/>
        <v>0</v>
      </c>
    </row>
    <row r="107" spans="1:16">
      <c r="B107" s="9" t="str">
        <f t="shared" si="11"/>
        <v/>
      </c>
      <c r="C107" s="153">
        <f>IF(D93="","-",+C106+1)</f>
        <v>2022</v>
      </c>
      <c r="D107" s="154">
        <f>IF(F106+SUM(E$99:E106)=D$92,F106,D$92-SUM(E$99:E106))</f>
        <v>12322811.323455146</v>
      </c>
      <c r="E107" s="160">
        <f t="shared" si="13"/>
        <v>351983.33333333331</v>
      </c>
      <c r="F107" s="159">
        <f t="shared" si="14"/>
        <v>11970827.990121812</v>
      </c>
      <c r="G107" s="159">
        <f t="shared" si="15"/>
        <v>12146819.65678848</v>
      </c>
      <c r="H107" s="163">
        <f t="shared" si="16"/>
        <v>1827475.2232678765</v>
      </c>
      <c r="I107" s="253">
        <f t="shared" si="17"/>
        <v>1827475.2232678765</v>
      </c>
      <c r="J107" s="158">
        <f t="shared" si="12"/>
        <v>0</v>
      </c>
      <c r="K107" s="158"/>
      <c r="L107" s="334"/>
      <c r="M107" s="158">
        <f t="shared" si="18"/>
        <v>0</v>
      </c>
      <c r="N107" s="334"/>
      <c r="O107" s="158">
        <f t="shared" si="19"/>
        <v>0</v>
      </c>
      <c r="P107" s="158">
        <f t="shared" si="20"/>
        <v>0</v>
      </c>
    </row>
    <row r="108" spans="1:16">
      <c r="B108" s="9" t="str">
        <f t="shared" si="11"/>
        <v/>
      </c>
      <c r="C108" s="153">
        <f>IF(D93="","-",+C107+1)</f>
        <v>2023</v>
      </c>
      <c r="D108" s="154">
        <f>IF(F107+SUM(E$99:E107)=D$92,F107,D$92-SUM(E$99:E107))</f>
        <v>11970827.990121812</v>
      </c>
      <c r="E108" s="160">
        <f t="shared" si="13"/>
        <v>351983.33333333331</v>
      </c>
      <c r="F108" s="159">
        <f t="shared" si="14"/>
        <v>11618844.656788478</v>
      </c>
      <c r="G108" s="159">
        <f t="shared" si="15"/>
        <v>11794836.323455144</v>
      </c>
      <c r="H108" s="163">
        <f t="shared" si="16"/>
        <v>1784719.2946874092</v>
      </c>
      <c r="I108" s="253">
        <f t="shared" si="17"/>
        <v>1784719.2946874092</v>
      </c>
      <c r="J108" s="158">
        <f t="shared" si="12"/>
        <v>0</v>
      </c>
      <c r="K108" s="158"/>
      <c r="L108" s="334"/>
      <c r="M108" s="158">
        <f t="shared" si="18"/>
        <v>0</v>
      </c>
      <c r="N108" s="334"/>
      <c r="O108" s="158">
        <f t="shared" si="19"/>
        <v>0</v>
      </c>
      <c r="P108" s="158">
        <f t="shared" si="20"/>
        <v>0</v>
      </c>
    </row>
    <row r="109" spans="1:16">
      <c r="B109" s="9" t="str">
        <f t="shared" si="11"/>
        <v/>
      </c>
      <c r="C109" s="153">
        <f>IF(D93="","-",+C108+1)</f>
        <v>2024</v>
      </c>
      <c r="D109" s="154">
        <f>IF(F108+SUM(E$99:E108)=D$92,F108,D$92-SUM(E$99:E108))</f>
        <v>11618844.656788478</v>
      </c>
      <c r="E109" s="160">
        <f t="shared" si="13"/>
        <v>351983.33333333331</v>
      </c>
      <c r="F109" s="159">
        <f t="shared" si="14"/>
        <v>11266861.323455144</v>
      </c>
      <c r="G109" s="159">
        <f t="shared" si="15"/>
        <v>11442852.990121812</v>
      </c>
      <c r="H109" s="163">
        <f t="shared" si="16"/>
        <v>1741963.3661069425</v>
      </c>
      <c r="I109" s="253">
        <f t="shared" si="17"/>
        <v>1741963.3661069425</v>
      </c>
      <c r="J109" s="158">
        <f t="shared" si="12"/>
        <v>0</v>
      </c>
      <c r="K109" s="158"/>
      <c r="L109" s="334"/>
      <c r="M109" s="158">
        <f t="shared" si="18"/>
        <v>0</v>
      </c>
      <c r="N109" s="334"/>
      <c r="O109" s="158">
        <f t="shared" si="19"/>
        <v>0</v>
      </c>
      <c r="P109" s="158">
        <f t="shared" si="20"/>
        <v>0</v>
      </c>
    </row>
    <row r="110" spans="1:16">
      <c r="B110" s="9" t="str">
        <f t="shared" si="11"/>
        <v/>
      </c>
      <c r="C110" s="153">
        <f>IF(D93="","-",+C109+1)</f>
        <v>2025</v>
      </c>
      <c r="D110" s="154">
        <f>IF(F109+SUM(E$99:E109)=D$92,F109,D$92-SUM(E$99:E109))</f>
        <v>11266861.323455144</v>
      </c>
      <c r="E110" s="160">
        <f t="shared" si="13"/>
        <v>351983.33333333331</v>
      </c>
      <c r="F110" s="159">
        <f t="shared" si="14"/>
        <v>10914877.99012181</v>
      </c>
      <c r="G110" s="159">
        <f t="shared" si="15"/>
        <v>11090869.656788476</v>
      </c>
      <c r="H110" s="163">
        <f t="shared" si="16"/>
        <v>1699207.4375264752</v>
      </c>
      <c r="I110" s="253">
        <f t="shared" si="17"/>
        <v>1699207.4375264752</v>
      </c>
      <c r="J110" s="158">
        <f t="shared" si="12"/>
        <v>0</v>
      </c>
      <c r="K110" s="158"/>
      <c r="L110" s="334"/>
      <c r="M110" s="158">
        <f t="shared" si="18"/>
        <v>0</v>
      </c>
      <c r="N110" s="334"/>
      <c r="O110" s="158">
        <f t="shared" si="19"/>
        <v>0</v>
      </c>
      <c r="P110" s="158">
        <f t="shared" si="20"/>
        <v>0</v>
      </c>
    </row>
    <row r="111" spans="1:16">
      <c r="B111" s="9" t="str">
        <f t="shared" si="11"/>
        <v/>
      </c>
      <c r="C111" s="153">
        <f>IF(D93="","-",+C110+1)</f>
        <v>2026</v>
      </c>
      <c r="D111" s="154">
        <f>IF(F110+SUM(E$99:E110)=D$92,F110,D$92-SUM(E$99:E110))</f>
        <v>10914877.99012181</v>
      </c>
      <c r="E111" s="160">
        <f t="shared" si="13"/>
        <v>351983.33333333331</v>
      </c>
      <c r="F111" s="159">
        <f t="shared" si="14"/>
        <v>10562894.656788476</v>
      </c>
      <c r="G111" s="159">
        <f t="shared" si="15"/>
        <v>10738886.323455144</v>
      </c>
      <c r="H111" s="163">
        <f t="shared" si="16"/>
        <v>1656451.5089460083</v>
      </c>
      <c r="I111" s="253">
        <f t="shared" si="17"/>
        <v>1656451.5089460083</v>
      </c>
      <c r="J111" s="158">
        <f t="shared" si="12"/>
        <v>0</v>
      </c>
      <c r="K111" s="158"/>
      <c r="L111" s="334"/>
      <c r="M111" s="158">
        <f t="shared" si="18"/>
        <v>0</v>
      </c>
      <c r="N111" s="334"/>
      <c r="O111" s="158">
        <f t="shared" si="19"/>
        <v>0</v>
      </c>
      <c r="P111" s="158">
        <f t="shared" si="20"/>
        <v>0</v>
      </c>
    </row>
    <row r="112" spans="1:16">
      <c r="B112" s="9" t="str">
        <f t="shared" si="11"/>
        <v/>
      </c>
      <c r="C112" s="153">
        <f>IF(D93="","-",+C111+1)</f>
        <v>2027</v>
      </c>
      <c r="D112" s="154">
        <f>IF(F111+SUM(E$99:E111)=D$92,F111,D$92-SUM(E$99:E111))</f>
        <v>10562894.656788476</v>
      </c>
      <c r="E112" s="160">
        <f t="shared" si="13"/>
        <v>351983.33333333331</v>
      </c>
      <c r="F112" s="159">
        <f t="shared" si="14"/>
        <v>10210911.323455142</v>
      </c>
      <c r="G112" s="159">
        <f t="shared" si="15"/>
        <v>10386902.990121808</v>
      </c>
      <c r="H112" s="163">
        <f t="shared" si="16"/>
        <v>1613695.5803655412</v>
      </c>
      <c r="I112" s="253">
        <f t="shared" si="17"/>
        <v>1613695.5803655412</v>
      </c>
      <c r="J112" s="158">
        <f t="shared" si="12"/>
        <v>0</v>
      </c>
      <c r="K112" s="158"/>
      <c r="L112" s="334"/>
      <c r="M112" s="158">
        <f t="shared" si="18"/>
        <v>0</v>
      </c>
      <c r="N112" s="334"/>
      <c r="O112" s="158">
        <f t="shared" si="19"/>
        <v>0</v>
      </c>
      <c r="P112" s="158">
        <f t="shared" si="20"/>
        <v>0</v>
      </c>
    </row>
    <row r="113" spans="2:16">
      <c r="B113" s="9" t="str">
        <f t="shared" si="11"/>
        <v/>
      </c>
      <c r="C113" s="153">
        <f>IF(D93="","-",+C112+1)</f>
        <v>2028</v>
      </c>
      <c r="D113" s="154">
        <f>IF(F112+SUM(E$99:E112)=D$92,F112,D$92-SUM(E$99:E112))</f>
        <v>10210911.323455142</v>
      </c>
      <c r="E113" s="160">
        <f t="shared" si="13"/>
        <v>351983.33333333331</v>
      </c>
      <c r="F113" s="159">
        <f t="shared" si="14"/>
        <v>9858927.9901218079</v>
      </c>
      <c r="G113" s="159">
        <f t="shared" si="15"/>
        <v>10034919.656788476</v>
      </c>
      <c r="H113" s="163">
        <f t="shared" si="16"/>
        <v>1570939.6517850743</v>
      </c>
      <c r="I113" s="253">
        <f t="shared" si="17"/>
        <v>1570939.6517850743</v>
      </c>
      <c r="J113" s="158">
        <f t="shared" si="12"/>
        <v>0</v>
      </c>
      <c r="K113" s="158"/>
      <c r="L113" s="334"/>
      <c r="M113" s="158">
        <f t="shared" si="18"/>
        <v>0</v>
      </c>
      <c r="N113" s="334"/>
      <c r="O113" s="158">
        <f t="shared" si="19"/>
        <v>0</v>
      </c>
      <c r="P113" s="158">
        <f t="shared" si="20"/>
        <v>0</v>
      </c>
    </row>
    <row r="114" spans="2:16">
      <c r="B114" s="9" t="str">
        <f t="shared" si="11"/>
        <v/>
      </c>
      <c r="C114" s="153">
        <f>IF(D93="","-",+C113+1)</f>
        <v>2029</v>
      </c>
      <c r="D114" s="154">
        <f>IF(F113+SUM(E$99:E113)=D$92,F113,D$92-SUM(E$99:E113))</f>
        <v>9858927.9901218079</v>
      </c>
      <c r="E114" s="160">
        <f t="shared" si="13"/>
        <v>351983.33333333331</v>
      </c>
      <c r="F114" s="159">
        <f t="shared" si="14"/>
        <v>9506944.6567884739</v>
      </c>
      <c r="G114" s="159">
        <f t="shared" si="15"/>
        <v>9682936.32345514</v>
      </c>
      <c r="H114" s="163">
        <f t="shared" si="16"/>
        <v>1528183.7232046071</v>
      </c>
      <c r="I114" s="253">
        <f t="shared" si="17"/>
        <v>1528183.7232046071</v>
      </c>
      <c r="J114" s="158">
        <f t="shared" si="12"/>
        <v>0</v>
      </c>
      <c r="K114" s="158"/>
      <c r="L114" s="334"/>
      <c r="M114" s="158">
        <f t="shared" si="18"/>
        <v>0</v>
      </c>
      <c r="N114" s="334"/>
      <c r="O114" s="158">
        <f t="shared" si="19"/>
        <v>0</v>
      </c>
      <c r="P114" s="158">
        <f t="shared" si="20"/>
        <v>0</v>
      </c>
    </row>
    <row r="115" spans="2:16">
      <c r="B115" s="9" t="str">
        <f t="shared" si="11"/>
        <v/>
      </c>
      <c r="C115" s="153">
        <f>IF(D93="","-",+C114+1)</f>
        <v>2030</v>
      </c>
      <c r="D115" s="154">
        <f>IF(F114+SUM(E$99:E114)=D$92,F114,D$92-SUM(E$99:E114))</f>
        <v>9506944.6567884739</v>
      </c>
      <c r="E115" s="160">
        <f t="shared" si="13"/>
        <v>351983.33333333331</v>
      </c>
      <c r="F115" s="159">
        <f t="shared" si="14"/>
        <v>9154961.32345514</v>
      </c>
      <c r="G115" s="159">
        <f t="shared" si="15"/>
        <v>9330952.9901218079</v>
      </c>
      <c r="H115" s="163">
        <f t="shared" si="16"/>
        <v>1485427.7946241403</v>
      </c>
      <c r="I115" s="253">
        <f t="shared" si="17"/>
        <v>1485427.7946241403</v>
      </c>
      <c r="J115" s="158">
        <f t="shared" si="12"/>
        <v>0</v>
      </c>
      <c r="K115" s="158"/>
      <c r="L115" s="334"/>
      <c r="M115" s="158">
        <f t="shared" si="18"/>
        <v>0</v>
      </c>
      <c r="N115" s="334"/>
      <c r="O115" s="158">
        <f t="shared" si="19"/>
        <v>0</v>
      </c>
      <c r="P115" s="158">
        <f t="shared" si="20"/>
        <v>0</v>
      </c>
    </row>
    <row r="116" spans="2:16">
      <c r="B116" s="9" t="str">
        <f t="shared" si="11"/>
        <v/>
      </c>
      <c r="C116" s="153">
        <f>IF(D93="","-",+C115+1)</f>
        <v>2031</v>
      </c>
      <c r="D116" s="154">
        <f>IF(F115+SUM(E$99:E115)=D$92,F115,D$92-SUM(E$99:E115))</f>
        <v>9154961.32345514</v>
      </c>
      <c r="E116" s="160">
        <f t="shared" si="13"/>
        <v>351983.33333333331</v>
      </c>
      <c r="F116" s="159">
        <f t="shared" si="14"/>
        <v>8802977.990121806</v>
      </c>
      <c r="G116" s="159">
        <f t="shared" si="15"/>
        <v>8978969.6567884721</v>
      </c>
      <c r="H116" s="163">
        <f t="shared" si="16"/>
        <v>1442671.8660436731</v>
      </c>
      <c r="I116" s="253">
        <f t="shared" si="17"/>
        <v>1442671.8660436731</v>
      </c>
      <c r="J116" s="158">
        <f t="shared" si="12"/>
        <v>0</v>
      </c>
      <c r="K116" s="158"/>
      <c r="L116" s="334"/>
      <c r="M116" s="158">
        <f t="shared" si="18"/>
        <v>0</v>
      </c>
      <c r="N116" s="334"/>
      <c r="O116" s="158">
        <f t="shared" si="19"/>
        <v>0</v>
      </c>
      <c r="P116" s="158">
        <f t="shared" si="20"/>
        <v>0</v>
      </c>
    </row>
    <row r="117" spans="2:16">
      <c r="B117" s="9" t="str">
        <f t="shared" si="11"/>
        <v/>
      </c>
      <c r="C117" s="153">
        <f>IF(D93="","-",+C116+1)</f>
        <v>2032</v>
      </c>
      <c r="D117" s="154">
        <f>IF(F116+SUM(E$99:E116)=D$92,F116,D$92-SUM(E$99:E116))</f>
        <v>8802977.990121806</v>
      </c>
      <c r="E117" s="160">
        <f t="shared" si="13"/>
        <v>351983.33333333331</v>
      </c>
      <c r="F117" s="159">
        <f t="shared" si="14"/>
        <v>8450994.6567884721</v>
      </c>
      <c r="G117" s="159">
        <f t="shared" si="15"/>
        <v>8626986.32345514</v>
      </c>
      <c r="H117" s="163">
        <f t="shared" si="16"/>
        <v>1399915.9374632062</v>
      </c>
      <c r="I117" s="253">
        <f t="shared" si="17"/>
        <v>1399915.9374632062</v>
      </c>
      <c r="J117" s="158">
        <f t="shared" si="12"/>
        <v>0</v>
      </c>
      <c r="K117" s="158"/>
      <c r="L117" s="334"/>
      <c r="M117" s="158">
        <f t="shared" si="18"/>
        <v>0</v>
      </c>
      <c r="N117" s="334"/>
      <c r="O117" s="158">
        <f t="shared" si="19"/>
        <v>0</v>
      </c>
      <c r="P117" s="158">
        <f t="shared" si="20"/>
        <v>0</v>
      </c>
    </row>
    <row r="118" spans="2:16">
      <c r="B118" s="9" t="str">
        <f t="shared" si="11"/>
        <v/>
      </c>
      <c r="C118" s="153">
        <f>IF(D93="","-",+C117+1)</f>
        <v>2033</v>
      </c>
      <c r="D118" s="154">
        <f>IF(F117+SUM(E$99:E117)=D$92,F117,D$92-SUM(E$99:E117))</f>
        <v>8450994.6567884721</v>
      </c>
      <c r="E118" s="160">
        <f t="shared" si="13"/>
        <v>351983.33333333331</v>
      </c>
      <c r="F118" s="159">
        <f t="shared" si="14"/>
        <v>8099011.3234551391</v>
      </c>
      <c r="G118" s="159">
        <f t="shared" si="15"/>
        <v>8275002.990121806</v>
      </c>
      <c r="H118" s="163">
        <f t="shared" si="16"/>
        <v>1357160.0088827393</v>
      </c>
      <c r="I118" s="253">
        <f t="shared" si="17"/>
        <v>1357160.0088827393</v>
      </c>
      <c r="J118" s="158">
        <f t="shared" si="12"/>
        <v>0</v>
      </c>
      <c r="K118" s="158"/>
      <c r="L118" s="334"/>
      <c r="M118" s="158">
        <f t="shared" si="18"/>
        <v>0</v>
      </c>
      <c r="N118" s="334"/>
      <c r="O118" s="158">
        <f t="shared" si="19"/>
        <v>0</v>
      </c>
      <c r="P118" s="158">
        <f t="shared" si="20"/>
        <v>0</v>
      </c>
    </row>
    <row r="119" spans="2:16">
      <c r="B119" s="9" t="str">
        <f t="shared" si="11"/>
        <v/>
      </c>
      <c r="C119" s="153">
        <f>IF(D93="","-",+C118+1)</f>
        <v>2034</v>
      </c>
      <c r="D119" s="154">
        <f>IF(F118+SUM(E$99:E118)=D$92,F118,D$92-SUM(E$99:E118))</f>
        <v>8099011.3234551391</v>
      </c>
      <c r="E119" s="160">
        <f t="shared" si="13"/>
        <v>351983.33333333331</v>
      </c>
      <c r="F119" s="159">
        <f t="shared" si="14"/>
        <v>7747027.990121806</v>
      </c>
      <c r="G119" s="159">
        <f t="shared" si="15"/>
        <v>7923019.6567884721</v>
      </c>
      <c r="H119" s="163">
        <f t="shared" si="16"/>
        <v>1314404.0803022722</v>
      </c>
      <c r="I119" s="253">
        <f t="shared" si="17"/>
        <v>1314404.0803022722</v>
      </c>
      <c r="J119" s="158">
        <f t="shared" si="12"/>
        <v>0</v>
      </c>
      <c r="K119" s="158"/>
      <c r="L119" s="334"/>
      <c r="M119" s="158">
        <f t="shared" si="18"/>
        <v>0</v>
      </c>
      <c r="N119" s="334"/>
      <c r="O119" s="158">
        <f t="shared" si="19"/>
        <v>0</v>
      </c>
      <c r="P119" s="158">
        <f t="shared" si="20"/>
        <v>0</v>
      </c>
    </row>
    <row r="120" spans="2:16">
      <c r="B120" s="9" t="str">
        <f t="shared" si="11"/>
        <v/>
      </c>
      <c r="C120" s="153">
        <f>IF(D93="","-",+C119+1)</f>
        <v>2035</v>
      </c>
      <c r="D120" s="154">
        <f>IF(F119+SUM(E$99:E119)=D$92,F119,D$92-SUM(E$99:E119))</f>
        <v>7747027.990121806</v>
      </c>
      <c r="E120" s="160">
        <f t="shared" si="13"/>
        <v>351983.33333333331</v>
      </c>
      <c r="F120" s="159">
        <f t="shared" si="14"/>
        <v>7395044.656788473</v>
      </c>
      <c r="G120" s="159">
        <f t="shared" si="15"/>
        <v>7571036.32345514</v>
      </c>
      <c r="H120" s="163">
        <f t="shared" si="16"/>
        <v>1271648.1517218053</v>
      </c>
      <c r="I120" s="253">
        <f t="shared" si="17"/>
        <v>1271648.1517218053</v>
      </c>
      <c r="J120" s="158">
        <f t="shared" si="12"/>
        <v>0</v>
      </c>
      <c r="K120" s="158"/>
      <c r="L120" s="334"/>
      <c r="M120" s="158">
        <f t="shared" si="18"/>
        <v>0</v>
      </c>
      <c r="N120" s="334"/>
      <c r="O120" s="158">
        <f t="shared" si="19"/>
        <v>0</v>
      </c>
      <c r="P120" s="158">
        <f t="shared" si="20"/>
        <v>0</v>
      </c>
    </row>
    <row r="121" spans="2:16">
      <c r="B121" s="9" t="str">
        <f t="shared" si="11"/>
        <v/>
      </c>
      <c r="C121" s="153">
        <f>IF(D93="","-",+C120+1)</f>
        <v>2036</v>
      </c>
      <c r="D121" s="154">
        <f>IF(F120+SUM(E$99:E120)=D$92,F120,D$92-SUM(E$99:E120))</f>
        <v>7395044.656788473</v>
      </c>
      <c r="E121" s="160">
        <f t="shared" si="13"/>
        <v>351983.33333333331</v>
      </c>
      <c r="F121" s="159">
        <f t="shared" si="14"/>
        <v>7043061.32345514</v>
      </c>
      <c r="G121" s="159">
        <f t="shared" si="15"/>
        <v>7219052.990121806</v>
      </c>
      <c r="H121" s="163">
        <f t="shared" si="16"/>
        <v>1228892.2231413384</v>
      </c>
      <c r="I121" s="253">
        <f t="shared" si="17"/>
        <v>1228892.2231413384</v>
      </c>
      <c r="J121" s="158">
        <f t="shared" si="12"/>
        <v>0</v>
      </c>
      <c r="K121" s="158"/>
      <c r="L121" s="334"/>
      <c r="M121" s="158">
        <f t="shared" si="18"/>
        <v>0</v>
      </c>
      <c r="N121" s="334"/>
      <c r="O121" s="158">
        <f t="shared" si="19"/>
        <v>0</v>
      </c>
      <c r="P121" s="158">
        <f t="shared" si="20"/>
        <v>0</v>
      </c>
    </row>
    <row r="122" spans="2:16">
      <c r="B122" s="9" t="str">
        <f t="shared" si="11"/>
        <v/>
      </c>
      <c r="C122" s="153">
        <f>IF(D93="","-",+C121+1)</f>
        <v>2037</v>
      </c>
      <c r="D122" s="154">
        <f>IF(F121+SUM(E$99:E121)=D$92,F121,D$92-SUM(E$99:E121))</f>
        <v>7043061.32345514</v>
      </c>
      <c r="E122" s="160">
        <f t="shared" si="13"/>
        <v>351983.33333333331</v>
      </c>
      <c r="F122" s="159">
        <f t="shared" si="14"/>
        <v>6691077.990121807</v>
      </c>
      <c r="G122" s="159">
        <f t="shared" si="15"/>
        <v>6867069.6567884739</v>
      </c>
      <c r="H122" s="163">
        <f t="shared" si="16"/>
        <v>1186136.2945608716</v>
      </c>
      <c r="I122" s="253">
        <f t="shared" si="17"/>
        <v>1186136.2945608716</v>
      </c>
      <c r="J122" s="158">
        <f t="shared" si="12"/>
        <v>0</v>
      </c>
      <c r="K122" s="158"/>
      <c r="L122" s="334"/>
      <c r="M122" s="158">
        <f t="shared" si="18"/>
        <v>0</v>
      </c>
      <c r="N122" s="334"/>
      <c r="O122" s="158">
        <f t="shared" si="19"/>
        <v>0</v>
      </c>
      <c r="P122" s="158">
        <f t="shared" si="20"/>
        <v>0</v>
      </c>
    </row>
    <row r="123" spans="2:16">
      <c r="B123" s="9" t="str">
        <f t="shared" si="11"/>
        <v/>
      </c>
      <c r="C123" s="153">
        <f>IF(D93="","-",+C122+1)</f>
        <v>2038</v>
      </c>
      <c r="D123" s="154">
        <f>IF(F122+SUM(E$99:E122)=D$92,F122,D$92-SUM(E$99:E122))</f>
        <v>6691077.990121807</v>
      </c>
      <c r="E123" s="160">
        <f t="shared" si="13"/>
        <v>351983.33333333331</v>
      </c>
      <c r="F123" s="159">
        <f t="shared" si="14"/>
        <v>6339094.6567884739</v>
      </c>
      <c r="G123" s="159">
        <f t="shared" si="15"/>
        <v>6515086.32345514</v>
      </c>
      <c r="H123" s="163">
        <f t="shared" si="16"/>
        <v>1143380.3659804047</v>
      </c>
      <c r="I123" s="253">
        <f t="shared" si="17"/>
        <v>1143380.3659804047</v>
      </c>
      <c r="J123" s="158">
        <f t="shared" si="12"/>
        <v>0</v>
      </c>
      <c r="K123" s="158"/>
      <c r="L123" s="334"/>
      <c r="M123" s="158">
        <f t="shared" si="18"/>
        <v>0</v>
      </c>
      <c r="N123" s="334"/>
      <c r="O123" s="158">
        <f t="shared" si="19"/>
        <v>0</v>
      </c>
      <c r="P123" s="158">
        <f t="shared" si="20"/>
        <v>0</v>
      </c>
    </row>
    <row r="124" spans="2:16">
      <c r="B124" s="9" t="str">
        <f t="shared" si="11"/>
        <v/>
      </c>
      <c r="C124" s="153">
        <f>IF(D93="","-",+C123+1)</f>
        <v>2039</v>
      </c>
      <c r="D124" s="154">
        <f>IF(F123+SUM(E$99:E123)=D$92,F123,D$92-SUM(E$99:E123))</f>
        <v>6339094.6567884739</v>
      </c>
      <c r="E124" s="160">
        <f t="shared" si="13"/>
        <v>351983.33333333331</v>
      </c>
      <c r="F124" s="159">
        <f t="shared" si="14"/>
        <v>5987111.3234551409</v>
      </c>
      <c r="G124" s="159">
        <f t="shared" si="15"/>
        <v>6163102.9901218079</v>
      </c>
      <c r="H124" s="163">
        <f t="shared" si="16"/>
        <v>1100624.4373999378</v>
      </c>
      <c r="I124" s="253">
        <f t="shared" si="17"/>
        <v>1100624.4373999378</v>
      </c>
      <c r="J124" s="158">
        <f t="shared" si="12"/>
        <v>0</v>
      </c>
      <c r="K124" s="158"/>
      <c r="L124" s="334"/>
      <c r="M124" s="158">
        <f t="shared" si="18"/>
        <v>0</v>
      </c>
      <c r="N124" s="334"/>
      <c r="O124" s="158">
        <f t="shared" si="19"/>
        <v>0</v>
      </c>
      <c r="P124" s="158">
        <f t="shared" si="20"/>
        <v>0</v>
      </c>
    </row>
    <row r="125" spans="2:16">
      <c r="B125" s="9" t="str">
        <f t="shared" si="11"/>
        <v/>
      </c>
      <c r="C125" s="153">
        <f>IF(D93="","-",+C124+1)</f>
        <v>2040</v>
      </c>
      <c r="D125" s="154">
        <f>IF(F124+SUM(E$99:E124)=D$92,F124,D$92-SUM(E$99:E124))</f>
        <v>5987111.3234551409</v>
      </c>
      <c r="E125" s="160">
        <f t="shared" si="13"/>
        <v>351983.33333333331</v>
      </c>
      <c r="F125" s="159">
        <f t="shared" si="14"/>
        <v>5635127.9901218079</v>
      </c>
      <c r="G125" s="159">
        <f t="shared" si="15"/>
        <v>5811119.6567884739</v>
      </c>
      <c r="H125" s="163">
        <f t="shared" si="16"/>
        <v>1057868.5088194706</v>
      </c>
      <c r="I125" s="253">
        <f t="shared" si="17"/>
        <v>1057868.5088194706</v>
      </c>
      <c r="J125" s="158">
        <f t="shared" si="12"/>
        <v>0</v>
      </c>
      <c r="K125" s="158"/>
      <c r="L125" s="334"/>
      <c r="M125" s="158">
        <f t="shared" si="18"/>
        <v>0</v>
      </c>
      <c r="N125" s="334"/>
      <c r="O125" s="158">
        <f t="shared" si="19"/>
        <v>0</v>
      </c>
      <c r="P125" s="158">
        <f t="shared" si="20"/>
        <v>0</v>
      </c>
    </row>
    <row r="126" spans="2:16">
      <c r="B126" s="9" t="str">
        <f t="shared" si="11"/>
        <v/>
      </c>
      <c r="C126" s="153">
        <f>IF(D93="","-",+C125+1)</f>
        <v>2041</v>
      </c>
      <c r="D126" s="154">
        <f>IF(F125+SUM(E$99:E125)=D$92,F125,D$92-SUM(E$99:E125))</f>
        <v>5635127.9901218079</v>
      </c>
      <c r="E126" s="160">
        <f t="shared" si="13"/>
        <v>351983.33333333331</v>
      </c>
      <c r="F126" s="159">
        <f t="shared" si="14"/>
        <v>5283144.6567884749</v>
      </c>
      <c r="G126" s="159">
        <f t="shared" si="15"/>
        <v>5459136.3234551419</v>
      </c>
      <c r="H126" s="163">
        <f t="shared" si="16"/>
        <v>1015112.580239004</v>
      </c>
      <c r="I126" s="253">
        <f t="shared" si="17"/>
        <v>1015112.580239004</v>
      </c>
      <c r="J126" s="158">
        <f t="shared" si="12"/>
        <v>0</v>
      </c>
      <c r="K126" s="158"/>
      <c r="L126" s="334"/>
      <c r="M126" s="158">
        <f t="shared" si="18"/>
        <v>0</v>
      </c>
      <c r="N126" s="334"/>
      <c r="O126" s="158">
        <f t="shared" si="19"/>
        <v>0</v>
      </c>
      <c r="P126" s="158">
        <f t="shared" si="20"/>
        <v>0</v>
      </c>
    </row>
    <row r="127" spans="2:16">
      <c r="B127" s="9" t="str">
        <f t="shared" si="11"/>
        <v/>
      </c>
      <c r="C127" s="153">
        <f>IF(D93="","-",+C126+1)</f>
        <v>2042</v>
      </c>
      <c r="D127" s="154">
        <f>IF(F126+SUM(E$99:E126)=D$92,F126,D$92-SUM(E$99:E126))</f>
        <v>5283144.6567884749</v>
      </c>
      <c r="E127" s="160">
        <f t="shared" si="13"/>
        <v>351983.33333333331</v>
      </c>
      <c r="F127" s="159">
        <f t="shared" si="14"/>
        <v>4931161.3234551419</v>
      </c>
      <c r="G127" s="159">
        <f t="shared" si="15"/>
        <v>5107152.9901218079</v>
      </c>
      <c r="H127" s="163">
        <f t="shared" si="16"/>
        <v>972356.65165853687</v>
      </c>
      <c r="I127" s="253">
        <f t="shared" si="17"/>
        <v>972356.65165853687</v>
      </c>
      <c r="J127" s="158">
        <f t="shared" si="12"/>
        <v>0</v>
      </c>
      <c r="K127" s="158"/>
      <c r="L127" s="334"/>
      <c r="M127" s="158">
        <f t="shared" si="18"/>
        <v>0</v>
      </c>
      <c r="N127" s="334"/>
      <c r="O127" s="158">
        <f t="shared" si="19"/>
        <v>0</v>
      </c>
      <c r="P127" s="158">
        <f t="shared" si="20"/>
        <v>0</v>
      </c>
    </row>
    <row r="128" spans="2:16">
      <c r="B128" s="9" t="str">
        <f t="shared" si="11"/>
        <v/>
      </c>
      <c r="C128" s="153">
        <f>IF(D93="","-",+C127+1)</f>
        <v>2043</v>
      </c>
      <c r="D128" s="154">
        <f>IF(F127+SUM(E$99:E127)=D$92,F127,D$92-SUM(E$99:E127))</f>
        <v>4931161.3234551419</v>
      </c>
      <c r="E128" s="160">
        <f t="shared" si="13"/>
        <v>351983.33333333331</v>
      </c>
      <c r="F128" s="159">
        <f t="shared" si="14"/>
        <v>4579177.9901218088</v>
      </c>
      <c r="G128" s="159">
        <f t="shared" si="15"/>
        <v>4755169.6567884758</v>
      </c>
      <c r="H128" s="163">
        <f t="shared" si="16"/>
        <v>929600.72307807021</v>
      </c>
      <c r="I128" s="253">
        <f t="shared" si="17"/>
        <v>929600.72307807021</v>
      </c>
      <c r="J128" s="158">
        <f t="shared" si="12"/>
        <v>0</v>
      </c>
      <c r="K128" s="158"/>
      <c r="L128" s="334"/>
      <c r="M128" s="158">
        <f t="shared" si="18"/>
        <v>0</v>
      </c>
      <c r="N128" s="334"/>
      <c r="O128" s="158">
        <f t="shared" si="19"/>
        <v>0</v>
      </c>
      <c r="P128" s="158">
        <f t="shared" si="20"/>
        <v>0</v>
      </c>
    </row>
    <row r="129" spans="2:16">
      <c r="B129" s="9" t="str">
        <f t="shared" si="11"/>
        <v/>
      </c>
      <c r="C129" s="153">
        <f>IF(D93="","-",+C128+1)</f>
        <v>2044</v>
      </c>
      <c r="D129" s="154">
        <f>IF(F128+SUM(E$99:E128)=D$92,F128,D$92-SUM(E$99:E128))</f>
        <v>4579177.9901218088</v>
      </c>
      <c r="E129" s="160">
        <f t="shared" si="13"/>
        <v>351983.33333333331</v>
      </c>
      <c r="F129" s="159">
        <f t="shared" si="14"/>
        <v>4227194.6567884758</v>
      </c>
      <c r="G129" s="159">
        <f t="shared" si="15"/>
        <v>4403186.3234551419</v>
      </c>
      <c r="H129" s="163">
        <f t="shared" si="16"/>
        <v>886844.79449760308</v>
      </c>
      <c r="I129" s="253">
        <f t="shared" si="17"/>
        <v>886844.79449760308</v>
      </c>
      <c r="J129" s="158">
        <f t="shared" si="12"/>
        <v>0</v>
      </c>
      <c r="K129" s="158"/>
      <c r="L129" s="334"/>
      <c r="M129" s="158">
        <f t="shared" si="18"/>
        <v>0</v>
      </c>
      <c r="N129" s="334"/>
      <c r="O129" s="158">
        <f t="shared" si="19"/>
        <v>0</v>
      </c>
      <c r="P129" s="158">
        <f t="shared" si="20"/>
        <v>0</v>
      </c>
    </row>
    <row r="130" spans="2:16">
      <c r="B130" s="9" t="str">
        <f t="shared" si="11"/>
        <v/>
      </c>
      <c r="C130" s="153">
        <f>IF(D93="","-",+C129+1)</f>
        <v>2045</v>
      </c>
      <c r="D130" s="154">
        <f>IF(F129+SUM(E$99:E129)=D$92,F129,D$92-SUM(E$99:E129))</f>
        <v>4227194.6567884758</v>
      </c>
      <c r="E130" s="160">
        <f t="shared" si="13"/>
        <v>351983.33333333331</v>
      </c>
      <c r="F130" s="159">
        <f t="shared" si="14"/>
        <v>3875211.3234551423</v>
      </c>
      <c r="G130" s="159">
        <f t="shared" si="15"/>
        <v>4051202.9901218088</v>
      </c>
      <c r="H130" s="163">
        <f t="shared" si="16"/>
        <v>844088.86591713619</v>
      </c>
      <c r="I130" s="253">
        <f t="shared" si="17"/>
        <v>844088.86591713619</v>
      </c>
      <c r="J130" s="158">
        <f t="shared" si="12"/>
        <v>0</v>
      </c>
      <c r="K130" s="158"/>
      <c r="L130" s="334"/>
      <c r="M130" s="158">
        <f t="shared" si="18"/>
        <v>0</v>
      </c>
      <c r="N130" s="334"/>
      <c r="O130" s="158">
        <f t="shared" si="19"/>
        <v>0</v>
      </c>
      <c r="P130" s="158">
        <f t="shared" si="20"/>
        <v>0</v>
      </c>
    </row>
    <row r="131" spans="2:16">
      <c r="B131" s="9" t="str">
        <f t="shared" si="11"/>
        <v/>
      </c>
      <c r="C131" s="153">
        <f>IF(D93="","-",+C130+1)</f>
        <v>2046</v>
      </c>
      <c r="D131" s="154">
        <f>IF(F130+SUM(E$99:E130)=D$92,F130,D$92-SUM(E$99:E130))</f>
        <v>3875211.3234551423</v>
      </c>
      <c r="E131" s="160">
        <f t="shared" si="13"/>
        <v>351983.33333333331</v>
      </c>
      <c r="F131" s="159">
        <f t="shared" si="14"/>
        <v>3523227.9901218088</v>
      </c>
      <c r="G131" s="159">
        <f t="shared" si="15"/>
        <v>3699219.6567884758</v>
      </c>
      <c r="H131" s="163">
        <f t="shared" si="16"/>
        <v>801332.9373366693</v>
      </c>
      <c r="I131" s="253">
        <f t="shared" si="17"/>
        <v>801332.9373366693</v>
      </c>
      <c r="J131" s="158">
        <f t="shared" si="12"/>
        <v>0</v>
      </c>
      <c r="K131" s="158"/>
      <c r="L131" s="334"/>
      <c r="M131" s="158">
        <f t="shared" ref="M131:M154" si="21">IF(L541&lt;&gt;0,+H541-L541,0)</f>
        <v>0</v>
      </c>
      <c r="N131" s="334"/>
      <c r="O131" s="158">
        <f t="shared" ref="O131:O154" si="22">IF(N541&lt;&gt;0,+I541-N541,0)</f>
        <v>0</v>
      </c>
      <c r="P131" s="158">
        <f t="shared" ref="P131:P154" si="23">+O541-M541</f>
        <v>0</v>
      </c>
    </row>
    <row r="132" spans="2:16">
      <c r="B132" s="9" t="str">
        <f t="shared" si="11"/>
        <v/>
      </c>
      <c r="C132" s="153">
        <f>IF(D93="","-",+C131+1)</f>
        <v>2047</v>
      </c>
      <c r="D132" s="154">
        <f>IF(F131+SUM(E$99:E131)=D$92,F131,D$92-SUM(E$99:E131))</f>
        <v>3523227.9901218088</v>
      </c>
      <c r="E132" s="160">
        <f t="shared" si="13"/>
        <v>351983.33333333331</v>
      </c>
      <c r="F132" s="159">
        <f t="shared" si="14"/>
        <v>3171244.6567884753</v>
      </c>
      <c r="G132" s="159">
        <f t="shared" si="15"/>
        <v>3347236.3234551419</v>
      </c>
      <c r="H132" s="163">
        <f t="shared" si="16"/>
        <v>758577.00875620218</v>
      </c>
      <c r="I132" s="253">
        <f t="shared" si="17"/>
        <v>758577.00875620218</v>
      </c>
      <c r="J132" s="158">
        <f t="shared" si="12"/>
        <v>0</v>
      </c>
      <c r="K132" s="158"/>
      <c r="L132" s="334"/>
      <c r="M132" s="158">
        <f t="shared" si="21"/>
        <v>0</v>
      </c>
      <c r="N132" s="334"/>
      <c r="O132" s="158">
        <f t="shared" si="22"/>
        <v>0</v>
      </c>
      <c r="P132" s="158">
        <f t="shared" si="23"/>
        <v>0</v>
      </c>
    </row>
    <row r="133" spans="2:16">
      <c r="B133" s="9" t="str">
        <f t="shared" si="11"/>
        <v/>
      </c>
      <c r="C133" s="153">
        <f>IF(D93="","-",+C132+1)</f>
        <v>2048</v>
      </c>
      <c r="D133" s="154">
        <f>IF(F132+SUM(E$99:E132)=D$92,F132,D$92-SUM(E$99:E132))</f>
        <v>3171244.6567884753</v>
      </c>
      <c r="E133" s="160">
        <f t="shared" si="13"/>
        <v>351983.33333333331</v>
      </c>
      <c r="F133" s="159">
        <f t="shared" si="14"/>
        <v>2819261.3234551419</v>
      </c>
      <c r="G133" s="159">
        <f t="shared" si="15"/>
        <v>2995252.9901218088</v>
      </c>
      <c r="H133" s="163">
        <f t="shared" si="16"/>
        <v>715821.08017573529</v>
      </c>
      <c r="I133" s="253">
        <f t="shared" si="17"/>
        <v>715821.08017573529</v>
      </c>
      <c r="J133" s="158">
        <f t="shared" si="12"/>
        <v>0</v>
      </c>
      <c r="K133" s="158"/>
      <c r="L133" s="334"/>
      <c r="M133" s="158">
        <f t="shared" si="21"/>
        <v>0</v>
      </c>
      <c r="N133" s="334"/>
      <c r="O133" s="158">
        <f t="shared" si="22"/>
        <v>0</v>
      </c>
      <c r="P133" s="158">
        <f t="shared" si="23"/>
        <v>0</v>
      </c>
    </row>
    <row r="134" spans="2:16">
      <c r="B134" s="9" t="str">
        <f t="shared" si="11"/>
        <v/>
      </c>
      <c r="C134" s="153">
        <f>IF(D93="","-",+C133+1)</f>
        <v>2049</v>
      </c>
      <c r="D134" s="154">
        <f>IF(F133+SUM(E$99:E133)=D$92,F133,D$92-SUM(E$99:E133))</f>
        <v>2819261.3234551419</v>
      </c>
      <c r="E134" s="160">
        <f t="shared" si="13"/>
        <v>351983.33333333331</v>
      </c>
      <c r="F134" s="159">
        <f t="shared" si="14"/>
        <v>2467277.9901218084</v>
      </c>
      <c r="G134" s="159">
        <f t="shared" si="15"/>
        <v>2643269.6567884749</v>
      </c>
      <c r="H134" s="163">
        <f t="shared" si="16"/>
        <v>673065.1515952684</v>
      </c>
      <c r="I134" s="253">
        <f t="shared" si="17"/>
        <v>673065.1515952684</v>
      </c>
      <c r="J134" s="158">
        <f t="shared" si="12"/>
        <v>0</v>
      </c>
      <c r="K134" s="158"/>
      <c r="L134" s="334"/>
      <c r="M134" s="158">
        <f t="shared" si="21"/>
        <v>0</v>
      </c>
      <c r="N134" s="334"/>
      <c r="O134" s="158">
        <f t="shared" si="22"/>
        <v>0</v>
      </c>
      <c r="P134" s="158">
        <f t="shared" si="23"/>
        <v>0</v>
      </c>
    </row>
    <row r="135" spans="2:16">
      <c r="B135" s="9" t="str">
        <f t="shared" si="11"/>
        <v/>
      </c>
      <c r="C135" s="153">
        <f>IF(D93="","-",+C134+1)</f>
        <v>2050</v>
      </c>
      <c r="D135" s="154">
        <f>IF(F134+SUM(E$99:E134)=D$92,F134,D$92-SUM(E$99:E134))</f>
        <v>2467277.9901218084</v>
      </c>
      <c r="E135" s="160">
        <f t="shared" si="13"/>
        <v>351983.33333333331</v>
      </c>
      <c r="F135" s="159">
        <f t="shared" si="14"/>
        <v>2115294.6567884749</v>
      </c>
      <c r="G135" s="159">
        <f t="shared" si="15"/>
        <v>2291286.3234551419</v>
      </c>
      <c r="H135" s="163">
        <f t="shared" si="16"/>
        <v>630309.22301480139</v>
      </c>
      <c r="I135" s="253">
        <f t="shared" si="17"/>
        <v>630309.22301480139</v>
      </c>
      <c r="J135" s="158">
        <f t="shared" si="12"/>
        <v>0</v>
      </c>
      <c r="K135" s="158"/>
      <c r="L135" s="334"/>
      <c r="M135" s="158">
        <f t="shared" si="21"/>
        <v>0</v>
      </c>
      <c r="N135" s="334"/>
      <c r="O135" s="158">
        <f t="shared" si="22"/>
        <v>0</v>
      </c>
      <c r="P135" s="158">
        <f t="shared" si="23"/>
        <v>0</v>
      </c>
    </row>
    <row r="136" spans="2:16">
      <c r="B136" s="9" t="str">
        <f t="shared" si="11"/>
        <v/>
      </c>
      <c r="C136" s="153">
        <f>IF(D93="","-",+C135+1)</f>
        <v>2051</v>
      </c>
      <c r="D136" s="154">
        <f>IF(F135+SUM(E$99:E135)=D$92,F135,D$92-SUM(E$99:E135))</f>
        <v>2115294.6567884749</v>
      </c>
      <c r="E136" s="160">
        <f t="shared" si="13"/>
        <v>351983.33333333331</v>
      </c>
      <c r="F136" s="159">
        <f t="shared" si="14"/>
        <v>1763311.3234551416</v>
      </c>
      <c r="G136" s="159">
        <f t="shared" si="15"/>
        <v>1939302.9901218084</v>
      </c>
      <c r="H136" s="163">
        <f t="shared" si="16"/>
        <v>587553.29443433438</v>
      </c>
      <c r="I136" s="253">
        <f t="shared" si="17"/>
        <v>587553.29443433438</v>
      </c>
      <c r="J136" s="158">
        <f t="shared" si="12"/>
        <v>0</v>
      </c>
      <c r="K136" s="158"/>
      <c r="L136" s="334"/>
      <c r="M136" s="158">
        <f t="shared" si="21"/>
        <v>0</v>
      </c>
      <c r="N136" s="334"/>
      <c r="O136" s="158">
        <f t="shared" si="22"/>
        <v>0</v>
      </c>
      <c r="P136" s="158">
        <f t="shared" si="23"/>
        <v>0</v>
      </c>
    </row>
    <row r="137" spans="2:16">
      <c r="B137" s="9" t="str">
        <f t="shared" si="11"/>
        <v/>
      </c>
      <c r="C137" s="153">
        <f>IF(D93="","-",+C136+1)</f>
        <v>2052</v>
      </c>
      <c r="D137" s="154">
        <f>IF(F136+SUM(E$99:E136)=D$92,F136,D$92-SUM(E$99:E136))</f>
        <v>1763311.3234551416</v>
      </c>
      <c r="E137" s="160">
        <f t="shared" si="13"/>
        <v>351983.33333333331</v>
      </c>
      <c r="F137" s="159">
        <f t="shared" si="14"/>
        <v>1411327.9901218084</v>
      </c>
      <c r="G137" s="159">
        <f t="shared" si="15"/>
        <v>1587319.6567884749</v>
      </c>
      <c r="H137" s="163">
        <f t="shared" si="16"/>
        <v>544797.36585386749</v>
      </c>
      <c r="I137" s="253">
        <f t="shared" si="17"/>
        <v>544797.36585386749</v>
      </c>
      <c r="J137" s="158">
        <f t="shared" si="12"/>
        <v>0</v>
      </c>
      <c r="K137" s="158"/>
      <c r="L137" s="334"/>
      <c r="M137" s="158">
        <f t="shared" si="21"/>
        <v>0</v>
      </c>
      <c r="N137" s="334"/>
      <c r="O137" s="158">
        <f t="shared" si="22"/>
        <v>0</v>
      </c>
      <c r="P137" s="158">
        <f t="shared" si="23"/>
        <v>0</v>
      </c>
    </row>
    <row r="138" spans="2:16">
      <c r="B138" s="9" t="str">
        <f t="shared" si="11"/>
        <v/>
      </c>
      <c r="C138" s="153">
        <f>IF(D93="","-",+C137+1)</f>
        <v>2053</v>
      </c>
      <c r="D138" s="154">
        <f>IF(F137+SUM(E$99:E137)=D$92,F137,D$92-SUM(E$99:E137))</f>
        <v>1411327.9901218084</v>
      </c>
      <c r="E138" s="160">
        <f t="shared" si="13"/>
        <v>351983.33333333331</v>
      </c>
      <c r="F138" s="159">
        <f t="shared" si="14"/>
        <v>1059344.6567884751</v>
      </c>
      <c r="G138" s="159">
        <f t="shared" si="15"/>
        <v>1235336.3234551419</v>
      </c>
      <c r="H138" s="163">
        <f t="shared" si="16"/>
        <v>502041.43727340054</v>
      </c>
      <c r="I138" s="253">
        <f t="shared" si="17"/>
        <v>502041.43727340054</v>
      </c>
      <c r="J138" s="158">
        <f t="shared" si="12"/>
        <v>0</v>
      </c>
      <c r="K138" s="158"/>
      <c r="L138" s="334"/>
      <c r="M138" s="158">
        <f t="shared" si="21"/>
        <v>0</v>
      </c>
      <c r="N138" s="334"/>
      <c r="O138" s="158">
        <f t="shared" si="22"/>
        <v>0</v>
      </c>
      <c r="P138" s="158">
        <f t="shared" si="23"/>
        <v>0</v>
      </c>
    </row>
    <row r="139" spans="2:16">
      <c r="B139" s="9" t="str">
        <f t="shared" si="11"/>
        <v/>
      </c>
      <c r="C139" s="153">
        <f>IF(D93="","-",+C138+1)</f>
        <v>2054</v>
      </c>
      <c r="D139" s="154">
        <f>IF(F138+SUM(E$99:E138)=D$92,F138,D$92-SUM(E$99:E138))</f>
        <v>1059344.6567884751</v>
      </c>
      <c r="E139" s="160">
        <f t="shared" si="13"/>
        <v>351983.33333333331</v>
      </c>
      <c r="F139" s="159">
        <f t="shared" si="14"/>
        <v>707361.32345514186</v>
      </c>
      <c r="G139" s="159">
        <f t="shared" si="15"/>
        <v>883352.99012180849</v>
      </c>
      <c r="H139" s="163">
        <f t="shared" si="16"/>
        <v>459285.5086929336</v>
      </c>
      <c r="I139" s="253">
        <f t="shared" si="17"/>
        <v>459285.5086929336</v>
      </c>
      <c r="J139" s="158">
        <f t="shared" si="12"/>
        <v>0</v>
      </c>
      <c r="K139" s="158"/>
      <c r="L139" s="334"/>
      <c r="M139" s="158">
        <f t="shared" si="21"/>
        <v>0</v>
      </c>
      <c r="N139" s="334"/>
      <c r="O139" s="158">
        <f t="shared" si="22"/>
        <v>0</v>
      </c>
      <c r="P139" s="158">
        <f t="shared" si="23"/>
        <v>0</v>
      </c>
    </row>
    <row r="140" spans="2:16">
      <c r="B140" s="9" t="str">
        <f t="shared" si="11"/>
        <v/>
      </c>
      <c r="C140" s="153">
        <f>IF(D93="","-",+C139+1)</f>
        <v>2055</v>
      </c>
      <c r="D140" s="154">
        <f>IF(F139+SUM(E$99:E139)=D$92,F139,D$92-SUM(E$99:E139))</f>
        <v>707361.32345514186</v>
      </c>
      <c r="E140" s="160">
        <f t="shared" si="13"/>
        <v>351983.33333333331</v>
      </c>
      <c r="F140" s="159">
        <f t="shared" si="14"/>
        <v>355377.99012180854</v>
      </c>
      <c r="G140" s="159">
        <f t="shared" si="15"/>
        <v>531369.65678847523</v>
      </c>
      <c r="H140" s="163">
        <f t="shared" si="16"/>
        <v>416529.58011246665</v>
      </c>
      <c r="I140" s="253">
        <f t="shared" si="17"/>
        <v>416529.58011246665</v>
      </c>
      <c r="J140" s="158">
        <f t="shared" si="12"/>
        <v>0</v>
      </c>
      <c r="K140" s="158"/>
      <c r="L140" s="334"/>
      <c r="M140" s="158">
        <f t="shared" si="21"/>
        <v>0</v>
      </c>
      <c r="N140" s="334"/>
      <c r="O140" s="158">
        <f t="shared" si="22"/>
        <v>0</v>
      </c>
      <c r="P140" s="158">
        <f t="shared" si="23"/>
        <v>0</v>
      </c>
    </row>
    <row r="141" spans="2:16">
      <c r="B141" s="9" t="str">
        <f t="shared" si="11"/>
        <v/>
      </c>
      <c r="C141" s="153">
        <f>IF(D93="","-",+C140+1)</f>
        <v>2056</v>
      </c>
      <c r="D141" s="154">
        <f>IF(F140+SUM(E$99:E140)=D$92,F140,D$92-SUM(E$99:E140))</f>
        <v>355377.99012180854</v>
      </c>
      <c r="E141" s="160">
        <f t="shared" si="13"/>
        <v>351983.33333333331</v>
      </c>
      <c r="F141" s="159">
        <f t="shared" si="14"/>
        <v>3394.6567884752294</v>
      </c>
      <c r="G141" s="159">
        <f t="shared" si="15"/>
        <v>179386.32345514189</v>
      </c>
      <c r="H141" s="163">
        <f t="shared" si="16"/>
        <v>373773.6515319997</v>
      </c>
      <c r="I141" s="253">
        <f t="shared" si="17"/>
        <v>373773.6515319997</v>
      </c>
      <c r="J141" s="158">
        <f t="shared" si="12"/>
        <v>0</v>
      </c>
      <c r="K141" s="158"/>
      <c r="L141" s="334"/>
      <c r="M141" s="158">
        <f t="shared" si="21"/>
        <v>0</v>
      </c>
      <c r="N141" s="334"/>
      <c r="O141" s="158">
        <f t="shared" si="22"/>
        <v>0</v>
      </c>
      <c r="P141" s="158">
        <f t="shared" si="23"/>
        <v>0</v>
      </c>
    </row>
    <row r="142" spans="2:16">
      <c r="B142" s="9" t="str">
        <f t="shared" si="11"/>
        <v/>
      </c>
      <c r="C142" s="153">
        <f>IF(D93="","-",+C141+1)</f>
        <v>2057</v>
      </c>
      <c r="D142" s="154">
        <f>IF(F141+SUM(E$99:E141)=D$92,F141,D$92-SUM(E$99:E141))</f>
        <v>3394.6567884752294</v>
      </c>
      <c r="E142" s="160">
        <f t="shared" si="13"/>
        <v>3394.6567884752294</v>
      </c>
      <c r="F142" s="159">
        <f t="shared" si="14"/>
        <v>0</v>
      </c>
      <c r="G142" s="159">
        <f t="shared" si="15"/>
        <v>1697.3283942376147</v>
      </c>
      <c r="H142" s="163">
        <f t="shared" si="16"/>
        <v>3600.8337426916851</v>
      </c>
      <c r="I142" s="253">
        <f t="shared" si="17"/>
        <v>3600.8337426916851</v>
      </c>
      <c r="J142" s="158">
        <f t="shared" si="12"/>
        <v>0</v>
      </c>
      <c r="K142" s="158"/>
      <c r="L142" s="334"/>
      <c r="M142" s="158">
        <f t="shared" si="21"/>
        <v>0</v>
      </c>
      <c r="N142" s="334"/>
      <c r="O142" s="158">
        <f t="shared" si="22"/>
        <v>0</v>
      </c>
      <c r="P142" s="158">
        <f t="shared" si="23"/>
        <v>0</v>
      </c>
    </row>
    <row r="143" spans="2:16">
      <c r="B143" s="9" t="str">
        <f t="shared" si="11"/>
        <v/>
      </c>
      <c r="C143" s="153">
        <f>IF(D93="","-",+C142+1)</f>
        <v>2058</v>
      </c>
      <c r="D143" s="154">
        <f>IF(F142+SUM(E$99:E142)=D$92,F142,D$92-SUM(E$99:E142))</f>
        <v>0</v>
      </c>
      <c r="E143" s="160">
        <f t="shared" si="13"/>
        <v>0</v>
      </c>
      <c r="F143" s="159">
        <f t="shared" si="14"/>
        <v>0</v>
      </c>
      <c r="G143" s="159">
        <f t="shared" si="15"/>
        <v>0</v>
      </c>
      <c r="H143" s="163">
        <f t="shared" si="16"/>
        <v>0</v>
      </c>
      <c r="I143" s="253">
        <f t="shared" si="17"/>
        <v>0</v>
      </c>
      <c r="J143" s="158">
        <f t="shared" si="12"/>
        <v>0</v>
      </c>
      <c r="K143" s="158"/>
      <c r="L143" s="334"/>
      <c r="M143" s="158">
        <f t="shared" si="21"/>
        <v>0</v>
      </c>
      <c r="N143" s="334"/>
      <c r="O143" s="158">
        <f t="shared" si="22"/>
        <v>0</v>
      </c>
      <c r="P143" s="158">
        <f t="shared" si="23"/>
        <v>0</v>
      </c>
    </row>
    <row r="144" spans="2:16">
      <c r="B144" s="9" t="str">
        <f t="shared" si="11"/>
        <v/>
      </c>
      <c r="C144" s="153">
        <f>IF(D93="","-",+C143+1)</f>
        <v>2059</v>
      </c>
      <c r="D144" s="154">
        <f>IF(F143+SUM(E$99:E143)=D$92,F143,D$92-SUM(E$99:E143))</f>
        <v>0</v>
      </c>
      <c r="E144" s="160">
        <f t="shared" si="13"/>
        <v>0</v>
      </c>
      <c r="F144" s="159">
        <f t="shared" si="14"/>
        <v>0</v>
      </c>
      <c r="G144" s="159">
        <f t="shared" si="15"/>
        <v>0</v>
      </c>
      <c r="H144" s="163">
        <f t="shared" si="16"/>
        <v>0</v>
      </c>
      <c r="I144" s="253">
        <f t="shared" si="17"/>
        <v>0</v>
      </c>
      <c r="J144" s="158">
        <f t="shared" si="12"/>
        <v>0</v>
      </c>
      <c r="K144" s="158"/>
      <c r="L144" s="334"/>
      <c r="M144" s="158">
        <f t="shared" si="21"/>
        <v>0</v>
      </c>
      <c r="N144" s="334"/>
      <c r="O144" s="158">
        <f t="shared" si="22"/>
        <v>0</v>
      </c>
      <c r="P144" s="158">
        <f t="shared" si="23"/>
        <v>0</v>
      </c>
    </row>
    <row r="145" spans="2:16">
      <c r="B145" s="9" t="str">
        <f t="shared" si="11"/>
        <v/>
      </c>
      <c r="C145" s="153">
        <f>IF(D93="","-",+C144+1)</f>
        <v>2060</v>
      </c>
      <c r="D145" s="154">
        <f>IF(F144+SUM(E$99:E144)=D$92,F144,D$92-SUM(E$99:E144))</f>
        <v>0</v>
      </c>
      <c r="E145" s="160">
        <f t="shared" si="13"/>
        <v>0</v>
      </c>
      <c r="F145" s="159">
        <f t="shared" si="14"/>
        <v>0</v>
      </c>
      <c r="G145" s="159">
        <f t="shared" si="15"/>
        <v>0</v>
      </c>
      <c r="H145" s="163">
        <f t="shared" si="16"/>
        <v>0</v>
      </c>
      <c r="I145" s="253">
        <f t="shared" si="17"/>
        <v>0</v>
      </c>
      <c r="J145" s="158">
        <f t="shared" si="12"/>
        <v>0</v>
      </c>
      <c r="K145" s="158"/>
      <c r="L145" s="334"/>
      <c r="M145" s="158">
        <f t="shared" si="21"/>
        <v>0</v>
      </c>
      <c r="N145" s="334"/>
      <c r="O145" s="158">
        <f t="shared" si="22"/>
        <v>0</v>
      </c>
      <c r="P145" s="158">
        <f t="shared" si="23"/>
        <v>0</v>
      </c>
    </row>
    <row r="146" spans="2:16">
      <c r="B146" s="9" t="str">
        <f t="shared" si="11"/>
        <v/>
      </c>
      <c r="C146" s="153">
        <f>IF(D93="","-",+C145+1)</f>
        <v>2061</v>
      </c>
      <c r="D146" s="154">
        <f>IF(F145+SUM(E$99:E145)=D$92,F145,D$92-SUM(E$99:E145))</f>
        <v>0</v>
      </c>
      <c r="E146" s="160">
        <f t="shared" si="13"/>
        <v>0</v>
      </c>
      <c r="F146" s="159">
        <f t="shared" si="14"/>
        <v>0</v>
      </c>
      <c r="G146" s="159">
        <f t="shared" si="15"/>
        <v>0</v>
      </c>
      <c r="H146" s="163">
        <f t="shared" si="16"/>
        <v>0</v>
      </c>
      <c r="I146" s="253">
        <f t="shared" si="17"/>
        <v>0</v>
      </c>
      <c r="J146" s="158">
        <f t="shared" si="12"/>
        <v>0</v>
      </c>
      <c r="K146" s="158"/>
      <c r="L146" s="334"/>
      <c r="M146" s="158">
        <f t="shared" si="21"/>
        <v>0</v>
      </c>
      <c r="N146" s="334"/>
      <c r="O146" s="158">
        <f t="shared" si="22"/>
        <v>0</v>
      </c>
      <c r="P146" s="158">
        <f t="shared" si="23"/>
        <v>0</v>
      </c>
    </row>
    <row r="147" spans="2:16">
      <c r="B147" s="9" t="str">
        <f t="shared" si="11"/>
        <v/>
      </c>
      <c r="C147" s="153">
        <f>IF(D93="","-",+C146+1)</f>
        <v>2062</v>
      </c>
      <c r="D147" s="154">
        <f>IF(F146+SUM(E$99:E146)=D$92,F146,D$92-SUM(E$99:E146))</f>
        <v>0</v>
      </c>
      <c r="E147" s="160">
        <f t="shared" si="13"/>
        <v>0</v>
      </c>
      <c r="F147" s="159">
        <f t="shared" si="14"/>
        <v>0</v>
      </c>
      <c r="G147" s="159">
        <f t="shared" si="15"/>
        <v>0</v>
      </c>
      <c r="H147" s="163">
        <f t="shared" si="16"/>
        <v>0</v>
      </c>
      <c r="I147" s="253">
        <f t="shared" si="17"/>
        <v>0</v>
      </c>
      <c r="J147" s="158">
        <f t="shared" si="12"/>
        <v>0</v>
      </c>
      <c r="K147" s="158"/>
      <c r="L147" s="334"/>
      <c r="M147" s="158">
        <f t="shared" si="21"/>
        <v>0</v>
      </c>
      <c r="N147" s="334"/>
      <c r="O147" s="158">
        <f t="shared" si="22"/>
        <v>0</v>
      </c>
      <c r="P147" s="158">
        <f t="shared" si="23"/>
        <v>0</v>
      </c>
    </row>
    <row r="148" spans="2:16">
      <c r="B148" s="9" t="str">
        <f t="shared" si="11"/>
        <v/>
      </c>
      <c r="C148" s="153">
        <f>IF(D93="","-",+C147+1)</f>
        <v>2063</v>
      </c>
      <c r="D148" s="154">
        <f>IF(F147+SUM(E$99:E147)=D$92,F147,D$92-SUM(E$99:E147))</f>
        <v>0</v>
      </c>
      <c r="E148" s="160">
        <f t="shared" si="13"/>
        <v>0</v>
      </c>
      <c r="F148" s="159">
        <f t="shared" si="14"/>
        <v>0</v>
      </c>
      <c r="G148" s="159">
        <f t="shared" si="15"/>
        <v>0</v>
      </c>
      <c r="H148" s="163">
        <f t="shared" si="16"/>
        <v>0</v>
      </c>
      <c r="I148" s="253">
        <f t="shared" si="17"/>
        <v>0</v>
      </c>
      <c r="J148" s="158">
        <f t="shared" si="12"/>
        <v>0</v>
      </c>
      <c r="K148" s="158"/>
      <c r="L148" s="334"/>
      <c r="M148" s="158">
        <f t="shared" si="21"/>
        <v>0</v>
      </c>
      <c r="N148" s="334"/>
      <c r="O148" s="158">
        <f t="shared" si="22"/>
        <v>0</v>
      </c>
      <c r="P148" s="158">
        <f t="shared" si="23"/>
        <v>0</v>
      </c>
    </row>
    <row r="149" spans="2:16">
      <c r="B149" s="9" t="str">
        <f t="shared" si="11"/>
        <v/>
      </c>
      <c r="C149" s="153">
        <f>IF(D93="","-",+C148+1)</f>
        <v>2064</v>
      </c>
      <c r="D149" s="154">
        <f>IF(F148+SUM(E$99:E148)=D$92,F148,D$92-SUM(E$99:E148))</f>
        <v>0</v>
      </c>
      <c r="E149" s="160">
        <f t="shared" si="13"/>
        <v>0</v>
      </c>
      <c r="F149" s="159">
        <f t="shared" si="14"/>
        <v>0</v>
      </c>
      <c r="G149" s="159">
        <f t="shared" si="15"/>
        <v>0</v>
      </c>
      <c r="H149" s="163">
        <f t="shared" si="16"/>
        <v>0</v>
      </c>
      <c r="I149" s="253">
        <f t="shared" si="17"/>
        <v>0</v>
      </c>
      <c r="J149" s="158">
        <f t="shared" si="12"/>
        <v>0</v>
      </c>
      <c r="K149" s="158"/>
      <c r="L149" s="334"/>
      <c r="M149" s="158">
        <f t="shared" si="21"/>
        <v>0</v>
      </c>
      <c r="N149" s="334"/>
      <c r="O149" s="158">
        <f t="shared" si="22"/>
        <v>0</v>
      </c>
      <c r="P149" s="158">
        <f t="shared" si="23"/>
        <v>0</v>
      </c>
    </row>
    <row r="150" spans="2:16">
      <c r="B150" s="9" t="str">
        <f t="shared" si="11"/>
        <v/>
      </c>
      <c r="C150" s="153">
        <f>IF(D93="","-",+C149+1)</f>
        <v>2065</v>
      </c>
      <c r="D150" s="154">
        <f>IF(F149+SUM(E$99:E149)=D$92,F149,D$92-SUM(E$99:E149))</f>
        <v>0</v>
      </c>
      <c r="E150" s="160">
        <f t="shared" si="13"/>
        <v>0</v>
      </c>
      <c r="F150" s="159">
        <f t="shared" si="14"/>
        <v>0</v>
      </c>
      <c r="G150" s="159">
        <f t="shared" si="15"/>
        <v>0</v>
      </c>
      <c r="H150" s="163">
        <f t="shared" si="16"/>
        <v>0</v>
      </c>
      <c r="I150" s="253">
        <f t="shared" si="17"/>
        <v>0</v>
      </c>
      <c r="J150" s="158">
        <f t="shared" si="12"/>
        <v>0</v>
      </c>
      <c r="K150" s="158"/>
      <c r="L150" s="334"/>
      <c r="M150" s="158">
        <f t="shared" si="21"/>
        <v>0</v>
      </c>
      <c r="N150" s="334"/>
      <c r="O150" s="158">
        <f t="shared" si="22"/>
        <v>0</v>
      </c>
      <c r="P150" s="158">
        <f t="shared" si="23"/>
        <v>0</v>
      </c>
    </row>
    <row r="151" spans="2:16">
      <c r="B151" s="9" t="str">
        <f t="shared" si="11"/>
        <v/>
      </c>
      <c r="C151" s="153">
        <f>IF(D93="","-",+C150+1)</f>
        <v>2066</v>
      </c>
      <c r="D151" s="154">
        <f>IF(F150+SUM(E$99:E150)=D$92,F150,D$92-SUM(E$99:E150))</f>
        <v>0</v>
      </c>
      <c r="E151" s="160">
        <f t="shared" si="13"/>
        <v>0</v>
      </c>
      <c r="F151" s="159">
        <f t="shared" si="14"/>
        <v>0</v>
      </c>
      <c r="G151" s="159">
        <f t="shared" si="15"/>
        <v>0</v>
      </c>
      <c r="H151" s="163">
        <f t="shared" si="16"/>
        <v>0</v>
      </c>
      <c r="I151" s="253">
        <f t="shared" si="17"/>
        <v>0</v>
      </c>
      <c r="J151" s="158">
        <f t="shared" si="12"/>
        <v>0</v>
      </c>
      <c r="K151" s="158"/>
      <c r="L151" s="334"/>
      <c r="M151" s="158">
        <f t="shared" si="21"/>
        <v>0</v>
      </c>
      <c r="N151" s="334"/>
      <c r="O151" s="158">
        <f t="shared" si="22"/>
        <v>0</v>
      </c>
      <c r="P151" s="158">
        <f t="shared" si="23"/>
        <v>0</v>
      </c>
    </row>
    <row r="152" spans="2:16">
      <c r="B152" s="9" t="str">
        <f t="shared" si="11"/>
        <v/>
      </c>
      <c r="C152" s="153">
        <f>IF(D93="","-",+C151+1)</f>
        <v>2067</v>
      </c>
      <c r="D152" s="154">
        <f>IF(F151+SUM(E$99:E151)=D$92,F151,D$92-SUM(E$99:E151))</f>
        <v>0</v>
      </c>
      <c r="E152" s="160">
        <f t="shared" si="13"/>
        <v>0</v>
      </c>
      <c r="F152" s="159">
        <f t="shared" si="14"/>
        <v>0</v>
      </c>
      <c r="G152" s="159">
        <f t="shared" si="15"/>
        <v>0</v>
      </c>
      <c r="H152" s="163">
        <f t="shared" si="16"/>
        <v>0</v>
      </c>
      <c r="I152" s="253">
        <f t="shared" si="17"/>
        <v>0</v>
      </c>
      <c r="J152" s="158">
        <f t="shared" si="12"/>
        <v>0</v>
      </c>
      <c r="K152" s="158"/>
      <c r="L152" s="334"/>
      <c r="M152" s="158">
        <f t="shared" si="21"/>
        <v>0</v>
      </c>
      <c r="N152" s="334"/>
      <c r="O152" s="158">
        <f t="shared" si="22"/>
        <v>0</v>
      </c>
      <c r="P152" s="158">
        <f t="shared" si="23"/>
        <v>0</v>
      </c>
    </row>
    <row r="153" spans="2:16">
      <c r="B153" s="9" t="str">
        <f t="shared" si="11"/>
        <v/>
      </c>
      <c r="C153" s="153">
        <f>IF(D93="","-",+C152+1)</f>
        <v>2068</v>
      </c>
      <c r="D153" s="154">
        <f>IF(F152+SUM(E$99:E152)=D$92,F152,D$92-SUM(E$99:E152))</f>
        <v>0</v>
      </c>
      <c r="E153" s="160">
        <f t="shared" si="13"/>
        <v>0</v>
      </c>
      <c r="F153" s="159">
        <f t="shared" si="14"/>
        <v>0</v>
      </c>
      <c r="G153" s="159">
        <f t="shared" si="15"/>
        <v>0</v>
      </c>
      <c r="H153" s="163">
        <f t="shared" si="16"/>
        <v>0</v>
      </c>
      <c r="I153" s="253">
        <f t="shared" si="17"/>
        <v>0</v>
      </c>
      <c r="J153" s="158">
        <f t="shared" si="12"/>
        <v>0</v>
      </c>
      <c r="K153" s="158"/>
      <c r="L153" s="334"/>
      <c r="M153" s="158">
        <f t="shared" si="21"/>
        <v>0</v>
      </c>
      <c r="N153" s="334"/>
      <c r="O153" s="158">
        <f t="shared" si="22"/>
        <v>0</v>
      </c>
      <c r="P153" s="158">
        <f t="shared" si="23"/>
        <v>0</v>
      </c>
    </row>
    <row r="154" spans="2:16" ht="13.5" thickBot="1">
      <c r="B154" s="9" t="str">
        <f t="shared" si="11"/>
        <v/>
      </c>
      <c r="C154" s="164">
        <f>IF(D93="","-",+C153+1)</f>
        <v>2069</v>
      </c>
      <c r="D154" s="154">
        <f>IF(F153+SUM(E$99:E153)=D$92,F153,D$92-SUM(E$99:E153))</f>
        <v>0</v>
      </c>
      <c r="E154" s="160">
        <f t="shared" si="13"/>
        <v>0</v>
      </c>
      <c r="F154" s="159">
        <f t="shared" si="14"/>
        <v>0</v>
      </c>
      <c r="G154" s="159">
        <f t="shared" si="15"/>
        <v>0</v>
      </c>
      <c r="H154" s="163">
        <f t="shared" si="16"/>
        <v>0</v>
      </c>
      <c r="I154" s="253">
        <f t="shared" si="17"/>
        <v>0</v>
      </c>
      <c r="J154" s="158">
        <f t="shared" si="12"/>
        <v>0</v>
      </c>
      <c r="K154" s="158"/>
      <c r="L154" s="335"/>
      <c r="M154" s="169">
        <f t="shared" si="21"/>
        <v>0</v>
      </c>
      <c r="N154" s="335"/>
      <c r="O154" s="169">
        <f t="shared" si="22"/>
        <v>0</v>
      </c>
      <c r="P154" s="169">
        <f t="shared" si="23"/>
        <v>0</v>
      </c>
    </row>
    <row r="155" spans="2:16">
      <c r="C155" s="154" t="s">
        <v>73</v>
      </c>
      <c r="D155" s="111"/>
      <c r="E155" s="111">
        <f>SUM(E99:E154)</f>
        <v>14783300.000000002</v>
      </c>
      <c r="F155" s="111"/>
      <c r="G155" s="111"/>
      <c r="H155" s="111">
        <f>SUM(H99:H154)</f>
        <v>53783966.646445841</v>
      </c>
      <c r="I155" s="111">
        <f>SUM(I99:I154)</f>
        <v>53783966.646445841</v>
      </c>
      <c r="J155" s="111">
        <f>SUM(J99:J154)</f>
        <v>0</v>
      </c>
      <c r="K155" s="111"/>
      <c r="L155" s="111"/>
      <c r="M155" s="111"/>
      <c r="N155" s="111"/>
      <c r="O155" s="111"/>
      <c r="P155" s="1"/>
    </row>
    <row r="156" spans="2:16">
      <c r="C156" t="s">
        <v>87</v>
      </c>
      <c r="D156" s="2"/>
      <c r="E156" s="1"/>
      <c r="F156" s="1"/>
      <c r="G156" s="1"/>
      <c r="H156" s="1"/>
      <c r="I156" s="3"/>
      <c r="J156" s="3"/>
      <c r="K156" s="111"/>
      <c r="L156" s="3"/>
      <c r="M156" s="3"/>
      <c r="N156" s="3"/>
      <c r="O156" s="3"/>
      <c r="P156" s="1"/>
    </row>
    <row r="157" spans="2:16">
      <c r="C157" s="216"/>
      <c r="D157" s="2"/>
      <c r="E157" s="1"/>
      <c r="F157" s="1"/>
      <c r="G157" s="1"/>
      <c r="H157" s="1"/>
      <c r="I157" s="3"/>
      <c r="J157" s="3"/>
      <c r="K157" s="111"/>
      <c r="L157" s="3"/>
      <c r="M157" s="3"/>
      <c r="N157" s="3"/>
      <c r="O157" s="3"/>
      <c r="P157" s="1"/>
    </row>
    <row r="158" spans="2:16">
      <c r="C158" s="248" t="s">
        <v>127</v>
      </c>
      <c r="D158" s="2"/>
      <c r="E158" s="1"/>
      <c r="F158" s="1"/>
      <c r="G158" s="1"/>
      <c r="H158" s="1"/>
      <c r="I158" s="3"/>
      <c r="J158" s="3"/>
      <c r="K158" s="111"/>
      <c r="L158" s="3"/>
      <c r="M158" s="3"/>
      <c r="N158" s="3"/>
      <c r="O158" s="3"/>
      <c r="P158" s="1"/>
    </row>
    <row r="159" spans="2:16">
      <c r="C159" s="121" t="s">
        <v>74</v>
      </c>
      <c r="D159" s="154"/>
      <c r="E159" s="154"/>
      <c r="F159" s="154"/>
      <c r="G159" s="154"/>
      <c r="H159" s="111"/>
      <c r="I159" s="111"/>
      <c r="J159" s="171"/>
      <c r="K159" s="171"/>
      <c r="L159" s="171"/>
      <c r="M159" s="171"/>
      <c r="N159" s="171"/>
      <c r="O159" s="171"/>
      <c r="P159" s="1"/>
    </row>
    <row r="160" spans="2:16">
      <c r="C160" s="217" t="s">
        <v>75</v>
      </c>
      <c r="D160" s="154"/>
      <c r="E160" s="154"/>
      <c r="F160" s="154"/>
      <c r="G160" s="154"/>
      <c r="H160" s="111"/>
      <c r="I160" s="111"/>
      <c r="J160" s="171"/>
      <c r="K160" s="171"/>
      <c r="L160" s="171"/>
      <c r="M160" s="171"/>
      <c r="N160" s="171"/>
      <c r="O160" s="171"/>
      <c r="P160" s="1"/>
    </row>
    <row r="161" spans="3:16">
      <c r="C161" s="217"/>
      <c r="D161" s="154"/>
      <c r="E161" s="154"/>
      <c r="F161" s="154"/>
      <c r="G161" s="154"/>
      <c r="H161" s="111"/>
      <c r="I161" s="111"/>
      <c r="J161" s="171"/>
      <c r="K161" s="171"/>
      <c r="L161" s="171"/>
      <c r="M161" s="171"/>
      <c r="N161" s="171"/>
      <c r="O161" s="171"/>
      <c r="P161" s="1"/>
    </row>
    <row r="162" spans="3:16" ht="18">
      <c r="C162" s="217"/>
      <c r="D162" s="154"/>
      <c r="E162" s="154"/>
      <c r="F162" s="154"/>
      <c r="G162" s="154"/>
      <c r="H162" s="111"/>
      <c r="I162" s="111"/>
      <c r="J162" s="171"/>
      <c r="K162" s="171"/>
      <c r="L162" s="171"/>
      <c r="M162" s="171"/>
      <c r="N162" s="171"/>
      <c r="P162" s="245" t="s">
        <v>126</v>
      </c>
    </row>
  </sheetData>
  <conditionalFormatting sqref="C17:C72">
    <cfRule type="cellIs" dxfId="78" priority="1" stopIfTrue="1" operator="equal">
      <formula>$I$10</formula>
    </cfRule>
  </conditionalFormatting>
  <conditionalFormatting sqref="C99:C154">
    <cfRule type="cellIs" dxfId="77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3">
    <tabColor theme="9" tint="-0.249977111117893"/>
  </sheetPr>
  <dimension ref="A1:P162"/>
  <sheetViews>
    <sheetView view="pageBreakPreview" zoomScale="82" zoomScaleNormal="100" zoomScaleSheetLayoutView="82" workbookViewId="0">
      <selection activeCell="C19" sqref="C19"/>
    </sheetView>
  </sheetViews>
  <sheetFormatPr defaultRowHeight="12.75" customHeight="1"/>
  <cols>
    <col min="1" max="1" width="4.7109375" customWidth="1"/>
    <col min="2" max="2" width="6.7109375" customWidth="1"/>
    <col min="3" max="3" width="23.28515625" customWidth="1"/>
    <col min="4" max="8" width="17.7109375" customWidth="1"/>
    <col min="9" max="9" width="20.42578125" customWidth="1"/>
    <col min="10" max="10" width="16.42578125" customWidth="1"/>
    <col min="11" max="11" width="17.7109375" customWidth="1"/>
    <col min="12" max="12" width="16.140625" customWidth="1"/>
    <col min="13" max="13" width="17.7109375" customWidth="1"/>
    <col min="14" max="14" width="16.7109375" customWidth="1"/>
    <col min="15" max="15" width="16.85546875" customWidth="1"/>
    <col min="16" max="16" width="24.42578125" customWidth="1"/>
    <col min="17" max="17" width="9.140625" customWidth="1"/>
    <col min="23" max="23" width="9.140625" customWidth="1"/>
  </cols>
  <sheetData>
    <row r="1" spans="1:16" ht="20.25">
      <c r="A1" s="243" t="s">
        <v>128</v>
      </c>
      <c r="B1" s="1"/>
      <c r="C1" s="21"/>
      <c r="D1" s="2"/>
      <c r="E1" s="1"/>
      <c r="F1" s="99"/>
      <c r="G1" s="1"/>
      <c r="H1" s="3"/>
      <c r="J1" s="7"/>
      <c r="K1" s="109"/>
      <c r="L1" s="109"/>
      <c r="M1" s="109"/>
      <c r="P1" s="249" t="str">
        <f ca="1">"SWEPCO Project "&amp;RIGHT(MID(CELL("filename",$A$1),FIND("]",CELL("filename",$A$1))+1,256),2)&amp;" of "&amp;COUNT('S.001:S.xyz - blank'!$P$3)-1</f>
        <v>SWEPCO Project 44 of 73</v>
      </c>
    </row>
    <row r="2" spans="1:16" ht="18">
      <c r="B2" s="1"/>
      <c r="C2" s="1"/>
      <c r="D2" s="2"/>
      <c r="E2" s="1"/>
      <c r="F2" s="1"/>
      <c r="G2" s="1"/>
      <c r="H2" s="3"/>
      <c r="I2" s="1"/>
      <c r="J2" s="4"/>
      <c r="K2" s="1"/>
      <c r="L2" s="1"/>
      <c r="M2" s="1"/>
      <c r="N2" s="1"/>
      <c r="P2" s="244" t="s">
        <v>124</v>
      </c>
    </row>
    <row r="3" spans="1:16" ht="18.75">
      <c r="B3" s="5" t="s">
        <v>40</v>
      </c>
      <c r="C3" s="68" t="s">
        <v>41</v>
      </c>
      <c r="D3" s="2"/>
      <c r="E3" s="1"/>
      <c r="F3" s="1"/>
      <c r="G3" s="1"/>
      <c r="H3" s="3"/>
      <c r="I3" s="3"/>
      <c r="J3" s="111"/>
      <c r="K3" s="3"/>
      <c r="L3" s="3"/>
      <c r="M3" s="3"/>
      <c r="N3" s="3"/>
      <c r="O3" s="1"/>
      <c r="P3" s="240">
        <v>1</v>
      </c>
    </row>
    <row r="4" spans="1:16" ht="15.75" thickBot="1">
      <c r="C4" s="67"/>
      <c r="D4" s="2"/>
      <c r="E4" s="1"/>
      <c r="F4" s="1"/>
      <c r="G4" s="1"/>
      <c r="H4" s="3"/>
      <c r="I4" s="3"/>
      <c r="J4" s="111"/>
      <c r="K4" s="3"/>
      <c r="L4" s="3"/>
      <c r="M4" s="3"/>
      <c r="N4" s="3"/>
      <c r="O4" s="1"/>
      <c r="P4" s="1"/>
    </row>
    <row r="5" spans="1:16" ht="15">
      <c r="C5" s="112" t="s">
        <v>42</v>
      </c>
      <c r="D5" s="2"/>
      <c r="E5" s="1"/>
      <c r="F5" s="1"/>
      <c r="G5" s="113"/>
      <c r="H5" s="1" t="s">
        <v>43</v>
      </c>
      <c r="I5" s="1"/>
      <c r="J5" s="4"/>
      <c r="K5" s="268" t="s">
        <v>152</v>
      </c>
      <c r="L5" s="114"/>
      <c r="M5" s="115"/>
      <c r="N5" s="116">
        <f>VLOOKUP(I10,C17:I72,5)</f>
        <v>2776246.7302931701</v>
      </c>
      <c r="P5" s="1"/>
    </row>
    <row r="6" spans="1:16" ht="15.75">
      <c r="C6" s="8"/>
      <c r="D6" s="2"/>
      <c r="E6" s="1"/>
      <c r="F6" s="1"/>
      <c r="G6" s="1"/>
      <c r="H6" s="117"/>
      <c r="I6" s="117"/>
      <c r="J6" s="118"/>
      <c r="K6" s="269" t="s">
        <v>153</v>
      </c>
      <c r="L6" s="119"/>
      <c r="M6" s="4"/>
      <c r="N6" s="120">
        <f>VLOOKUP(I10,C17:I72,6)</f>
        <v>2776246.7302931701</v>
      </c>
      <c r="O6" s="1"/>
      <c r="P6" s="1"/>
    </row>
    <row r="7" spans="1:16" ht="13.5" thickBot="1">
      <c r="C7" s="121" t="s">
        <v>44</v>
      </c>
      <c r="D7" s="386" t="s">
        <v>318</v>
      </c>
      <c r="E7" s="379"/>
      <c r="F7" s="379"/>
      <c r="G7" s="379"/>
      <c r="H7" s="383"/>
      <c r="I7" s="3"/>
      <c r="J7" s="111"/>
      <c r="K7" s="122" t="s">
        <v>45</v>
      </c>
      <c r="L7" s="123"/>
      <c r="M7" s="123"/>
      <c r="N7" s="124">
        <f>+N6-N5</f>
        <v>0</v>
      </c>
      <c r="O7" s="1"/>
      <c r="P7" s="1"/>
    </row>
    <row r="8" spans="1:16" ht="13.5" thickBot="1">
      <c r="C8" s="125"/>
      <c r="D8" s="418" t="s">
        <v>344</v>
      </c>
      <c r="E8" s="126"/>
      <c r="F8" s="126"/>
      <c r="G8" s="126"/>
      <c r="H8" s="126"/>
      <c r="I8" s="126"/>
      <c r="J8" s="101"/>
      <c r="K8" s="126"/>
      <c r="L8" s="126"/>
      <c r="M8" s="126"/>
      <c r="N8" s="126"/>
      <c r="O8" s="101"/>
      <c r="P8" s="21"/>
    </row>
    <row r="9" spans="1:16" ht="13.5" thickBot="1">
      <c r="C9" s="127" t="s">
        <v>46</v>
      </c>
      <c r="D9" s="225" t="s">
        <v>317</v>
      </c>
      <c r="E9" s="401" t="s">
        <v>431</v>
      </c>
      <c r="F9" s="128"/>
      <c r="G9" s="128"/>
      <c r="H9" s="128"/>
      <c r="I9" s="129"/>
      <c r="J9" s="130"/>
      <c r="O9" s="131"/>
      <c r="P9" s="4"/>
    </row>
    <row r="10" spans="1:16">
      <c r="C10" s="132" t="s">
        <v>47</v>
      </c>
      <c r="D10" s="133">
        <v>29107362.050000001</v>
      </c>
      <c r="E10" s="61" t="s">
        <v>459</v>
      </c>
      <c r="F10" s="131"/>
      <c r="G10" s="134"/>
      <c r="H10" s="134"/>
      <c r="I10" s="135">
        <f>+SWE.WS.F.BPU.ATRR.Projected!K17</f>
        <v>2019</v>
      </c>
      <c r="J10" s="130"/>
      <c r="K10" s="111" t="s">
        <v>48</v>
      </c>
      <c r="O10" s="4"/>
      <c r="P10" s="4"/>
    </row>
    <row r="11" spans="1:16">
      <c r="C11" s="136" t="s">
        <v>49</v>
      </c>
      <c r="D11" s="137">
        <v>2007</v>
      </c>
      <c r="E11" s="136" t="s">
        <v>50</v>
      </c>
      <c r="F11" s="134"/>
      <c r="G11" s="7"/>
      <c r="H11" s="7"/>
      <c r="I11" s="138">
        <f>IF(G5="",0,SWE.WS.F.BPU.ATRR.Projected!F$11)</f>
        <v>0</v>
      </c>
      <c r="J11" s="139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4"/>
      <c r="P11" s="4"/>
    </row>
    <row r="12" spans="1:16">
      <c r="C12" s="136" t="s">
        <v>51</v>
      </c>
      <c r="D12" s="133">
        <v>11</v>
      </c>
      <c r="E12" s="136" t="s">
        <v>52</v>
      </c>
      <c r="F12" s="134"/>
      <c r="G12" s="7"/>
      <c r="H12" s="7"/>
      <c r="I12" s="140">
        <f>SWE.WS.F.BPU.ATRR.Projected!$F$76</f>
        <v>9.9555672459071778E-2</v>
      </c>
      <c r="J12" s="141"/>
      <c r="K12" t="s">
        <v>53</v>
      </c>
      <c r="O12" s="4"/>
      <c r="P12" s="4"/>
    </row>
    <row r="13" spans="1:16">
      <c r="C13" s="136" t="s">
        <v>54</v>
      </c>
      <c r="D13" s="138">
        <f>+SWE.WS.F.BPU.ATRR.Projected!F$87</f>
        <v>43</v>
      </c>
      <c r="E13" s="136" t="s">
        <v>55</v>
      </c>
      <c r="F13" s="134"/>
      <c r="G13" s="7"/>
      <c r="H13" s="7"/>
      <c r="I13" s="140">
        <f>IF(G5="",I12,SWE.WS.F.BPU.ATRR.Projected!$F$75)</f>
        <v>9.9555672459071778E-2</v>
      </c>
      <c r="J13" s="141"/>
      <c r="K13" s="111" t="s">
        <v>56</v>
      </c>
      <c r="L13" s="58"/>
      <c r="M13" s="58"/>
      <c r="N13" s="58"/>
      <c r="O13" s="4"/>
      <c r="P13" s="4"/>
    </row>
    <row r="14" spans="1:16" ht="13.5" thickBot="1">
      <c r="C14" s="136" t="s">
        <v>57</v>
      </c>
      <c r="D14" s="137" t="s">
        <v>58</v>
      </c>
      <c r="E14" s="4" t="s">
        <v>59</v>
      </c>
      <c r="F14" s="134"/>
      <c r="G14" s="7"/>
      <c r="H14" s="7"/>
      <c r="I14" s="142">
        <f>IF(D10=0,0,D10/D13)</f>
        <v>676915.39651162794</v>
      </c>
      <c r="J14" s="111"/>
      <c r="K14" s="111"/>
      <c r="L14" s="111"/>
      <c r="M14" s="111"/>
      <c r="N14" s="111"/>
      <c r="O14" s="4"/>
      <c r="P14" s="4"/>
    </row>
    <row r="15" spans="1:16" ht="38.25">
      <c r="C15" s="143" t="s">
        <v>47</v>
      </c>
      <c r="D15" s="144" t="s">
        <v>60</v>
      </c>
      <c r="E15" s="144" t="s">
        <v>61</v>
      </c>
      <c r="F15" s="144" t="s">
        <v>62</v>
      </c>
      <c r="G15" s="434" t="s">
        <v>378</v>
      </c>
      <c r="H15" s="435" t="s">
        <v>379</v>
      </c>
      <c r="I15" s="143" t="s">
        <v>63</v>
      </c>
      <c r="J15" s="145"/>
      <c r="K15" s="271" t="s">
        <v>219</v>
      </c>
      <c r="L15" s="146" t="s">
        <v>64</v>
      </c>
      <c r="M15" s="271" t="s">
        <v>219</v>
      </c>
      <c r="N15" s="146" t="s">
        <v>64</v>
      </c>
      <c r="O15" s="146" t="s">
        <v>65</v>
      </c>
      <c r="P15" s="4"/>
    </row>
    <row r="16" spans="1:16" ht="13.5" thickBot="1">
      <c r="C16" s="147" t="s">
        <v>66</v>
      </c>
      <c r="D16" s="147" t="s">
        <v>67</v>
      </c>
      <c r="E16" s="147" t="s">
        <v>68</v>
      </c>
      <c r="F16" s="147" t="s">
        <v>67</v>
      </c>
      <c r="G16" s="408" t="s">
        <v>69</v>
      </c>
      <c r="H16" s="148" t="s">
        <v>70</v>
      </c>
      <c r="I16" s="149" t="s">
        <v>89</v>
      </c>
      <c r="J16" s="150" t="s">
        <v>71</v>
      </c>
      <c r="K16" s="151" t="s">
        <v>72</v>
      </c>
      <c r="L16" s="151" t="s">
        <v>72</v>
      </c>
      <c r="M16" s="151" t="s">
        <v>90</v>
      </c>
      <c r="N16" s="152" t="s">
        <v>90</v>
      </c>
      <c r="O16" s="151" t="s">
        <v>90</v>
      </c>
      <c r="P16" s="4"/>
    </row>
    <row r="17" spans="2:16">
      <c r="C17" s="153">
        <f>IF(D11= "","-",D11)</f>
        <v>2007</v>
      </c>
      <c r="D17" s="409">
        <v>29107362.050000001</v>
      </c>
      <c r="E17" s="415">
        <v>57752.702480158732</v>
      </c>
      <c r="F17" s="409">
        <v>29049609.347519841</v>
      </c>
      <c r="G17" s="415">
        <v>3976850.2640178553</v>
      </c>
      <c r="H17" s="416">
        <v>3976850.2640178553</v>
      </c>
      <c r="I17" s="156">
        <v>0</v>
      </c>
      <c r="J17" s="156"/>
      <c r="K17" s="256">
        <f>G17</f>
        <v>3976850.2640178553</v>
      </c>
      <c r="L17" s="172">
        <f>IF(K17&lt;&gt;0,+G17-K17,0)</f>
        <v>0</v>
      </c>
      <c r="M17" s="256">
        <f>H17</f>
        <v>3976850.2640178553</v>
      </c>
      <c r="N17" s="157">
        <f>IF(M17&lt;&gt;0,+H17-M17,0)</f>
        <v>0</v>
      </c>
      <c r="O17" s="158">
        <f>+N17-L17</f>
        <v>0</v>
      </c>
      <c r="P17" s="4"/>
    </row>
    <row r="18" spans="2:16">
      <c r="B18" s="9" t="str">
        <f>IF(D18=F17,"","IU")</f>
        <v/>
      </c>
      <c r="C18" s="153">
        <f>IF(D11="","-",+C17+1)</f>
        <v>2008</v>
      </c>
      <c r="D18" s="411">
        <v>29049609.347519841</v>
      </c>
      <c r="E18" s="410">
        <v>693032.42976190476</v>
      </c>
      <c r="F18" s="411">
        <v>28356576.917757936</v>
      </c>
      <c r="G18" s="410">
        <v>4518632.6339666937</v>
      </c>
      <c r="H18" s="416">
        <v>4518632.6339666937</v>
      </c>
      <c r="I18" s="156">
        <v>0</v>
      </c>
      <c r="J18" s="156"/>
      <c r="K18" s="258">
        <f>G18</f>
        <v>4518632.6339666937</v>
      </c>
      <c r="L18" s="257">
        <f>IF(K18&lt;&gt;0,+G18-K18,0)</f>
        <v>0</v>
      </c>
      <c r="M18" s="258">
        <f>H18</f>
        <v>4518632.6339666937</v>
      </c>
      <c r="N18" s="158">
        <f>IF(M18&lt;&gt;0,+H18-M18,0)</f>
        <v>0</v>
      </c>
      <c r="O18" s="158">
        <f>+N18-L18</f>
        <v>0</v>
      </c>
      <c r="P18" s="4"/>
    </row>
    <row r="19" spans="2:16">
      <c r="B19" s="9" t="str">
        <f>IF(D19=F18,"","IU")</f>
        <v/>
      </c>
      <c r="C19" s="153">
        <f>IF(D11="","-",+C18+1)</f>
        <v>2009</v>
      </c>
      <c r="D19" s="411">
        <v>28356576.917757936</v>
      </c>
      <c r="E19" s="410">
        <v>693032.42976190476</v>
      </c>
      <c r="F19" s="411">
        <v>27663544.487996031</v>
      </c>
      <c r="G19" s="410">
        <v>4425135.276633786</v>
      </c>
      <c r="H19" s="416">
        <v>4425135.276633786</v>
      </c>
      <c r="I19" s="156">
        <v>0</v>
      </c>
      <c r="J19" s="156"/>
      <c r="K19" s="258">
        <f t="shared" ref="K19:K24" si="0">G19</f>
        <v>4425135.276633786</v>
      </c>
      <c r="L19" s="257">
        <f t="shared" ref="L19:L24" si="1">IF(K19&lt;&gt;0,+G19-K19,0)</f>
        <v>0</v>
      </c>
      <c r="M19" s="258">
        <f t="shared" ref="M19:M24" si="2">H19</f>
        <v>4425135.276633786</v>
      </c>
      <c r="N19" s="158">
        <f t="shared" ref="N19:N24" si="3">IF(M19&lt;&gt;0,+H19-M19,0)</f>
        <v>0</v>
      </c>
      <c r="O19" s="158">
        <f t="shared" ref="O19:O24" si="4">+N19-L19</f>
        <v>0</v>
      </c>
      <c r="P19" s="4"/>
    </row>
    <row r="20" spans="2:16">
      <c r="B20" s="9" t="str">
        <f t="shared" ref="B20:B72" si="5">IF(D20=F19,"","IU")</f>
        <v/>
      </c>
      <c r="C20" s="153">
        <f>IF(D11="","-",+C19+1)</f>
        <v>2010</v>
      </c>
      <c r="D20" s="411">
        <v>27663544.487996031</v>
      </c>
      <c r="E20" s="410">
        <v>693032.42976190476</v>
      </c>
      <c r="F20" s="411">
        <v>26970512.058234125</v>
      </c>
      <c r="G20" s="410">
        <v>4331637.9193008794</v>
      </c>
      <c r="H20" s="416">
        <v>4331637.9193008794</v>
      </c>
      <c r="I20" s="156">
        <v>0</v>
      </c>
      <c r="J20" s="156"/>
      <c r="K20" s="258">
        <f t="shared" si="0"/>
        <v>4331637.9193008794</v>
      </c>
      <c r="L20" s="257">
        <f t="shared" si="1"/>
        <v>0</v>
      </c>
      <c r="M20" s="258">
        <f t="shared" si="2"/>
        <v>4331637.9193008794</v>
      </c>
      <c r="N20" s="158">
        <f t="shared" si="3"/>
        <v>0</v>
      </c>
      <c r="O20" s="158">
        <f t="shared" si="4"/>
        <v>0</v>
      </c>
      <c r="P20" s="4"/>
    </row>
    <row r="21" spans="2:16">
      <c r="B21" s="9" t="str">
        <f t="shared" si="5"/>
        <v/>
      </c>
      <c r="C21" s="153">
        <f>IF(D11="","-",+C20+1)</f>
        <v>2011</v>
      </c>
      <c r="D21" s="411">
        <v>26970512.058234125</v>
      </c>
      <c r="E21" s="410">
        <v>693032.42976190476</v>
      </c>
      <c r="F21" s="411">
        <v>26277479.62847222</v>
      </c>
      <c r="G21" s="410">
        <v>4238140.5619679717</v>
      </c>
      <c r="H21" s="416">
        <v>4238140.5619679717</v>
      </c>
      <c r="I21" s="156">
        <v>0</v>
      </c>
      <c r="J21" s="156"/>
      <c r="K21" s="258">
        <f t="shared" si="0"/>
        <v>4238140.5619679717</v>
      </c>
      <c r="L21" s="257">
        <f t="shared" si="1"/>
        <v>0</v>
      </c>
      <c r="M21" s="258">
        <f t="shared" si="2"/>
        <v>4238140.5619679717</v>
      </c>
      <c r="N21" s="158">
        <f t="shared" si="3"/>
        <v>0</v>
      </c>
      <c r="O21" s="158">
        <f t="shared" si="4"/>
        <v>0</v>
      </c>
      <c r="P21" s="4"/>
    </row>
    <row r="22" spans="2:16">
      <c r="B22" s="9" t="str">
        <f t="shared" si="5"/>
        <v/>
      </c>
      <c r="C22" s="153">
        <f>IF(D11="","-",+C21+1)</f>
        <v>2012</v>
      </c>
      <c r="D22" s="411">
        <v>26277479.62847222</v>
      </c>
      <c r="E22" s="410">
        <v>693032.42976190476</v>
      </c>
      <c r="F22" s="411">
        <v>25584447.198710315</v>
      </c>
      <c r="G22" s="410">
        <v>4144643.2046350646</v>
      </c>
      <c r="H22" s="416">
        <v>4144643.2046350646</v>
      </c>
      <c r="I22" s="156">
        <v>0</v>
      </c>
      <c r="J22" s="156"/>
      <c r="K22" s="258">
        <f t="shared" si="0"/>
        <v>4144643.2046350646</v>
      </c>
      <c r="L22" s="257">
        <f t="shared" si="1"/>
        <v>0</v>
      </c>
      <c r="M22" s="258">
        <f t="shared" si="2"/>
        <v>4144643.2046350646</v>
      </c>
      <c r="N22" s="158">
        <f t="shared" si="3"/>
        <v>0</v>
      </c>
      <c r="O22" s="158">
        <f t="shared" si="4"/>
        <v>0</v>
      </c>
      <c r="P22" s="4"/>
    </row>
    <row r="23" spans="2:16">
      <c r="B23" s="9" t="str">
        <f t="shared" si="5"/>
        <v/>
      </c>
      <c r="C23" s="153">
        <f>IF(D11="","-",+C22+1)</f>
        <v>2013</v>
      </c>
      <c r="D23" s="411">
        <v>25584447.198710315</v>
      </c>
      <c r="E23" s="410">
        <v>693032.42976190476</v>
      </c>
      <c r="F23" s="411">
        <v>24891414.76894841</v>
      </c>
      <c r="G23" s="410">
        <v>4051145.847302157</v>
      </c>
      <c r="H23" s="416">
        <v>4051145.847302157</v>
      </c>
      <c r="I23" s="156">
        <v>0</v>
      </c>
      <c r="J23" s="156"/>
      <c r="K23" s="258">
        <f t="shared" si="0"/>
        <v>4051145.847302157</v>
      </c>
      <c r="L23" s="257">
        <f t="shared" si="1"/>
        <v>0</v>
      </c>
      <c r="M23" s="258">
        <f t="shared" si="2"/>
        <v>4051145.847302157</v>
      </c>
      <c r="N23" s="158">
        <f t="shared" si="3"/>
        <v>0</v>
      </c>
      <c r="O23" s="158">
        <f t="shared" si="4"/>
        <v>0</v>
      </c>
      <c r="P23" s="4"/>
    </row>
    <row r="24" spans="2:16">
      <c r="B24" s="9" t="str">
        <f t="shared" si="5"/>
        <v/>
      </c>
      <c r="C24" s="153">
        <f>IF(D11="","-",+C23+1)</f>
        <v>2014</v>
      </c>
      <c r="D24" s="411">
        <v>24891414.76894841</v>
      </c>
      <c r="E24" s="410">
        <v>693032.42976190476</v>
      </c>
      <c r="F24" s="411">
        <v>24198382.339186504</v>
      </c>
      <c r="G24" s="410">
        <v>3957648.4899692498</v>
      </c>
      <c r="H24" s="416">
        <v>3957648.4899692498</v>
      </c>
      <c r="I24" s="156">
        <v>0</v>
      </c>
      <c r="J24" s="156"/>
      <c r="K24" s="258">
        <f t="shared" si="0"/>
        <v>3957648.4899692498</v>
      </c>
      <c r="L24" s="257">
        <f t="shared" si="1"/>
        <v>0</v>
      </c>
      <c r="M24" s="258">
        <f t="shared" si="2"/>
        <v>3957648.4899692498</v>
      </c>
      <c r="N24" s="158">
        <f t="shared" si="3"/>
        <v>0</v>
      </c>
      <c r="O24" s="158">
        <f t="shared" si="4"/>
        <v>0</v>
      </c>
      <c r="P24" s="4"/>
    </row>
    <row r="25" spans="2:16">
      <c r="B25" s="9" t="str">
        <f t="shared" si="5"/>
        <v/>
      </c>
      <c r="C25" s="153">
        <f>IF(D11="","-",+C24+1)</f>
        <v>2015</v>
      </c>
      <c r="D25" s="411">
        <v>24198382.339186504</v>
      </c>
      <c r="E25" s="410">
        <v>693032.42976190476</v>
      </c>
      <c r="F25" s="411">
        <v>23505349.909424599</v>
      </c>
      <c r="G25" s="410">
        <v>3788799.8614330222</v>
      </c>
      <c r="H25" s="416">
        <v>3788799.8614330222</v>
      </c>
      <c r="I25" s="156">
        <v>0</v>
      </c>
      <c r="J25" s="156"/>
      <c r="K25" s="258">
        <f>G25</f>
        <v>3788799.8614330222</v>
      </c>
      <c r="L25" s="257">
        <f>IF(K25&lt;&gt;0,+G25-K25,0)</f>
        <v>0</v>
      </c>
      <c r="M25" s="258">
        <f>H25</f>
        <v>3788799.8614330222</v>
      </c>
      <c r="N25" s="158">
        <f>IF(M25&lt;&gt;0,+H25-M25,0)</f>
        <v>0</v>
      </c>
      <c r="O25" s="158">
        <f>+N25-L25</f>
        <v>0</v>
      </c>
      <c r="P25" s="4"/>
    </row>
    <row r="26" spans="2:16">
      <c r="B26" s="9" t="str">
        <f t="shared" si="5"/>
        <v/>
      </c>
      <c r="C26" s="153">
        <f>IF(D11="","-",+C25+1)</f>
        <v>2016</v>
      </c>
      <c r="D26" s="411">
        <v>23505349.909424599</v>
      </c>
      <c r="E26" s="410">
        <v>693032.42976190476</v>
      </c>
      <c r="F26" s="411">
        <v>22812317.479662694</v>
      </c>
      <c r="G26" s="410">
        <v>3660458.1176400636</v>
      </c>
      <c r="H26" s="416">
        <v>3660458.1176400636</v>
      </c>
      <c r="I26" s="156">
        <f t="shared" ref="I26:I72" si="6">H26-G26</f>
        <v>0</v>
      </c>
      <c r="J26" s="156"/>
      <c r="K26" s="258">
        <f>G26</f>
        <v>3660458.1176400636</v>
      </c>
      <c r="L26" s="257">
        <f>IF(K26&lt;&gt;0,+G26-K26,0)</f>
        <v>0</v>
      </c>
      <c r="M26" s="258">
        <f>H26</f>
        <v>3660458.1176400636</v>
      </c>
      <c r="N26" s="158">
        <f>IF(M26&lt;&gt;0,+H26-M26,0)</f>
        <v>0</v>
      </c>
      <c r="O26" s="158">
        <f>+N26-L26</f>
        <v>0</v>
      </c>
      <c r="P26" s="4"/>
    </row>
    <row r="27" spans="2:16">
      <c r="B27" s="9" t="str">
        <f t="shared" si="5"/>
        <v/>
      </c>
      <c r="C27" s="153">
        <f>IF(D11="","-",+C26+1)</f>
        <v>2017</v>
      </c>
      <c r="D27" s="411">
        <v>22812317.479662694</v>
      </c>
      <c r="E27" s="410">
        <v>676915.39651162794</v>
      </c>
      <c r="F27" s="411">
        <v>22135402.083151065</v>
      </c>
      <c r="G27" s="410">
        <v>3461258.8249701741</v>
      </c>
      <c r="H27" s="416">
        <v>3461258.8249701741</v>
      </c>
      <c r="I27" s="156">
        <v>0</v>
      </c>
      <c r="J27" s="156"/>
      <c r="K27" s="258">
        <f>G27</f>
        <v>3461258.8249701741</v>
      </c>
      <c r="L27" s="257">
        <f>IF(K27&lt;&gt;0,+G27-K27,0)</f>
        <v>0</v>
      </c>
      <c r="M27" s="258">
        <f>H27</f>
        <v>3461258.8249701741</v>
      </c>
      <c r="N27" s="158">
        <f>IF(M27&lt;&gt;0,+H27-M27,0)</f>
        <v>0</v>
      </c>
      <c r="O27" s="158">
        <f>+N27-L27</f>
        <v>0</v>
      </c>
      <c r="P27" s="4"/>
    </row>
    <row r="28" spans="2:16">
      <c r="B28" s="9" t="str">
        <f t="shared" si="5"/>
        <v/>
      </c>
      <c r="C28" s="153">
        <f>IF(D11="","-",+C27+1)</f>
        <v>2018</v>
      </c>
      <c r="D28" s="411">
        <v>22135402.083151065</v>
      </c>
      <c r="E28" s="410">
        <v>709935.65975609759</v>
      </c>
      <c r="F28" s="411">
        <v>21425466.423394967</v>
      </c>
      <c r="G28" s="410">
        <v>3146822.340483089</v>
      </c>
      <c r="H28" s="416">
        <v>3146822.340483089</v>
      </c>
      <c r="I28" s="156">
        <f t="shared" si="6"/>
        <v>0</v>
      </c>
      <c r="J28" s="156"/>
      <c r="K28" s="258">
        <f>G28</f>
        <v>3146822.340483089</v>
      </c>
      <c r="L28" s="257">
        <f>IF(K28&lt;&gt;0,+G28-K28,0)</f>
        <v>0</v>
      </c>
      <c r="M28" s="258">
        <f>H28</f>
        <v>3146822.340483089</v>
      </c>
      <c r="N28" s="158">
        <f>IF(M28&lt;&gt;0,+H28-M28,0)</f>
        <v>0</v>
      </c>
      <c r="O28" s="158">
        <f>+N28-L28</f>
        <v>0</v>
      </c>
      <c r="P28" s="4"/>
    </row>
    <row r="29" spans="2:16">
      <c r="B29" s="9" t="str">
        <f t="shared" si="5"/>
        <v/>
      </c>
      <c r="C29" s="153">
        <f>IF(D11="","-",+C28+1)</f>
        <v>2019</v>
      </c>
      <c r="D29" s="159">
        <f>IF(F28+SUM(E$17:E28)=D$10,F28,D$10-SUM(E$17:E28))</f>
        <v>21425466.423394967</v>
      </c>
      <c r="E29" s="160">
        <f>IF(+I14&lt;F28,I14,D29)</f>
        <v>676915.39651162794</v>
      </c>
      <c r="F29" s="159">
        <f t="shared" ref="F29:F72" si="7">+D29-E29</f>
        <v>20748551.026883338</v>
      </c>
      <c r="G29" s="161">
        <f t="shared" ref="G29:G72" si="8">+I$12*((D29+F29)/2)+E29</f>
        <v>2776246.7302931701</v>
      </c>
      <c r="H29" s="142">
        <f t="shared" ref="H29:H72" si="9">+I$13*((D29+F29)/2)+E29</f>
        <v>2776246.7302931701</v>
      </c>
      <c r="I29" s="156">
        <f t="shared" si="6"/>
        <v>0</v>
      </c>
      <c r="J29" s="156"/>
      <c r="K29" s="334"/>
      <c r="L29" s="158">
        <f t="shared" ref="L29:L72" si="10">IF(K29&lt;&gt;0,+G29-K29,0)</f>
        <v>0</v>
      </c>
      <c r="M29" s="334"/>
      <c r="N29" s="158">
        <f t="shared" ref="N29:N72" si="11">IF(M29&lt;&gt;0,+H29-M29,0)</f>
        <v>0</v>
      </c>
      <c r="O29" s="158">
        <f t="shared" ref="O29:O72" si="12">+N29-L29</f>
        <v>0</v>
      </c>
      <c r="P29" s="4"/>
    </row>
    <row r="30" spans="2:16">
      <c r="B30" s="9" t="str">
        <f t="shared" si="5"/>
        <v/>
      </c>
      <c r="C30" s="153">
        <f>IF(D11="","-",+C29+1)</f>
        <v>2020</v>
      </c>
      <c r="D30" s="159">
        <f>IF(F29+SUM(E$17:E29)=D$10,F29,D$10-SUM(E$17:E29))</f>
        <v>20748551.026883338</v>
      </c>
      <c r="E30" s="160">
        <f>IF(+I14&lt;F29,I14,D30)</f>
        <v>676915.39651162794</v>
      </c>
      <c r="F30" s="159">
        <f t="shared" si="7"/>
        <v>20071635.630371708</v>
      </c>
      <c r="G30" s="161">
        <f t="shared" si="8"/>
        <v>2708855.9627955556</v>
      </c>
      <c r="H30" s="142">
        <f t="shared" si="9"/>
        <v>2708855.9627955556</v>
      </c>
      <c r="I30" s="156">
        <f t="shared" si="6"/>
        <v>0</v>
      </c>
      <c r="J30" s="156"/>
      <c r="K30" s="334"/>
      <c r="L30" s="158">
        <f t="shared" si="10"/>
        <v>0</v>
      </c>
      <c r="M30" s="334"/>
      <c r="N30" s="158">
        <f t="shared" si="11"/>
        <v>0</v>
      </c>
      <c r="O30" s="158">
        <f t="shared" si="12"/>
        <v>0</v>
      </c>
      <c r="P30" s="4"/>
    </row>
    <row r="31" spans="2:16">
      <c r="B31" s="9" t="str">
        <f t="shared" si="5"/>
        <v/>
      </c>
      <c r="C31" s="153">
        <f>IF(D11="","-",+C30+1)</f>
        <v>2021</v>
      </c>
      <c r="D31" s="159">
        <f>IF(F30+SUM(E$17:E30)=D$10,F30,D$10-SUM(E$17:E30))</f>
        <v>20071635.630371708</v>
      </c>
      <c r="E31" s="160">
        <f>IF(+I14&lt;F30,I14,D31)</f>
        <v>676915.39651162794</v>
      </c>
      <c r="F31" s="159">
        <f t="shared" si="7"/>
        <v>19394720.233860079</v>
      </c>
      <c r="G31" s="161">
        <f t="shared" si="8"/>
        <v>2641465.1952979411</v>
      </c>
      <c r="H31" s="142">
        <f t="shared" si="9"/>
        <v>2641465.1952979411</v>
      </c>
      <c r="I31" s="156">
        <f t="shared" si="6"/>
        <v>0</v>
      </c>
      <c r="J31" s="156"/>
      <c r="K31" s="334"/>
      <c r="L31" s="158">
        <f t="shared" si="10"/>
        <v>0</v>
      </c>
      <c r="M31" s="334"/>
      <c r="N31" s="158">
        <f t="shared" si="11"/>
        <v>0</v>
      </c>
      <c r="O31" s="158">
        <f t="shared" si="12"/>
        <v>0</v>
      </c>
      <c r="P31" s="4"/>
    </row>
    <row r="32" spans="2:16">
      <c r="B32" s="9" t="str">
        <f t="shared" si="5"/>
        <v/>
      </c>
      <c r="C32" s="153">
        <f>IF(D11="","-",+C31+1)</f>
        <v>2022</v>
      </c>
      <c r="D32" s="159">
        <f>IF(F31+SUM(E$17:E31)=D$10,F31,D$10-SUM(E$17:E31))</f>
        <v>19394720.233860079</v>
      </c>
      <c r="E32" s="160">
        <f>IF(+I14&lt;F31,I14,D32)</f>
        <v>676915.39651162794</v>
      </c>
      <c r="F32" s="159">
        <f t="shared" si="7"/>
        <v>18717804.83734845</v>
      </c>
      <c r="G32" s="161">
        <f t="shared" si="8"/>
        <v>2574074.4278003266</v>
      </c>
      <c r="H32" s="142">
        <f t="shared" si="9"/>
        <v>2574074.4278003266</v>
      </c>
      <c r="I32" s="156">
        <f t="shared" si="6"/>
        <v>0</v>
      </c>
      <c r="J32" s="156"/>
      <c r="K32" s="334"/>
      <c r="L32" s="158">
        <f t="shared" si="10"/>
        <v>0</v>
      </c>
      <c r="M32" s="334"/>
      <c r="N32" s="158">
        <f t="shared" si="11"/>
        <v>0</v>
      </c>
      <c r="O32" s="158">
        <f t="shared" si="12"/>
        <v>0</v>
      </c>
      <c r="P32" s="4"/>
    </row>
    <row r="33" spans="2:16">
      <c r="B33" s="9" t="str">
        <f t="shared" si="5"/>
        <v/>
      </c>
      <c r="C33" s="153">
        <f>IF(D11="","-",+C32+1)</f>
        <v>2023</v>
      </c>
      <c r="D33" s="159">
        <f>IF(F32+SUM(E$17:E32)=D$10,F32,D$10-SUM(E$17:E32))</f>
        <v>18717804.83734845</v>
      </c>
      <c r="E33" s="160">
        <f>IF(+I14&lt;F32,I14,D33)</f>
        <v>676915.39651162794</v>
      </c>
      <c r="F33" s="159">
        <f t="shared" si="7"/>
        <v>18040889.440836821</v>
      </c>
      <c r="G33" s="161">
        <f t="shared" si="8"/>
        <v>2506683.6603027121</v>
      </c>
      <c r="H33" s="142">
        <f t="shared" si="9"/>
        <v>2506683.6603027121</v>
      </c>
      <c r="I33" s="156">
        <f t="shared" si="6"/>
        <v>0</v>
      </c>
      <c r="J33" s="156"/>
      <c r="K33" s="334"/>
      <c r="L33" s="158">
        <f t="shared" si="10"/>
        <v>0</v>
      </c>
      <c r="M33" s="334"/>
      <c r="N33" s="158">
        <f t="shared" si="11"/>
        <v>0</v>
      </c>
      <c r="O33" s="158">
        <f t="shared" si="12"/>
        <v>0</v>
      </c>
      <c r="P33" s="4"/>
    </row>
    <row r="34" spans="2:16">
      <c r="B34" s="9" t="str">
        <f t="shared" si="5"/>
        <v/>
      </c>
      <c r="C34" s="153">
        <f>IF(D11="","-",+C33+1)</f>
        <v>2024</v>
      </c>
      <c r="D34" s="159">
        <f>IF(F33+SUM(E$17:E33)=D$10,F33,D$10-SUM(E$17:E33))</f>
        <v>18040889.440836821</v>
      </c>
      <c r="E34" s="160">
        <f>IF(+I14&lt;F33,I14,D34)</f>
        <v>676915.39651162794</v>
      </c>
      <c r="F34" s="159">
        <f t="shared" si="7"/>
        <v>17363974.044325192</v>
      </c>
      <c r="G34" s="161">
        <f t="shared" si="8"/>
        <v>2439292.8928050976</v>
      </c>
      <c r="H34" s="142">
        <f t="shared" si="9"/>
        <v>2439292.8928050976</v>
      </c>
      <c r="I34" s="156">
        <f t="shared" si="6"/>
        <v>0</v>
      </c>
      <c r="J34" s="156"/>
      <c r="K34" s="334"/>
      <c r="L34" s="158">
        <f t="shared" si="10"/>
        <v>0</v>
      </c>
      <c r="M34" s="334"/>
      <c r="N34" s="158">
        <f t="shared" si="11"/>
        <v>0</v>
      </c>
      <c r="O34" s="158">
        <f t="shared" si="12"/>
        <v>0</v>
      </c>
      <c r="P34" s="4"/>
    </row>
    <row r="35" spans="2:16">
      <c r="B35" s="9" t="str">
        <f t="shared" si="5"/>
        <v/>
      </c>
      <c r="C35" s="153">
        <f>IF(D11="","-",+C34+1)</f>
        <v>2025</v>
      </c>
      <c r="D35" s="159">
        <f>IF(F34+SUM(E$17:E34)=D$10,F34,D$10-SUM(E$17:E34))</f>
        <v>17363974.044325192</v>
      </c>
      <c r="E35" s="160">
        <f>IF(+I14&lt;F34,I14,D35)</f>
        <v>676915.39651162794</v>
      </c>
      <c r="F35" s="159">
        <f t="shared" si="7"/>
        <v>16687058.647813564</v>
      </c>
      <c r="G35" s="161">
        <f t="shared" si="8"/>
        <v>2371902.1253074836</v>
      </c>
      <c r="H35" s="142">
        <f t="shared" si="9"/>
        <v>2371902.1253074836</v>
      </c>
      <c r="I35" s="156">
        <f t="shared" si="6"/>
        <v>0</v>
      </c>
      <c r="J35" s="156"/>
      <c r="K35" s="334"/>
      <c r="L35" s="158">
        <f t="shared" si="10"/>
        <v>0</v>
      </c>
      <c r="M35" s="334"/>
      <c r="N35" s="158">
        <f t="shared" si="11"/>
        <v>0</v>
      </c>
      <c r="O35" s="158">
        <f t="shared" si="12"/>
        <v>0</v>
      </c>
      <c r="P35" s="4"/>
    </row>
    <row r="36" spans="2:16">
      <c r="B36" s="9" t="str">
        <f t="shared" si="5"/>
        <v/>
      </c>
      <c r="C36" s="153">
        <f>IF(D11="","-",+C35+1)</f>
        <v>2026</v>
      </c>
      <c r="D36" s="159">
        <f>IF(F35+SUM(E$17:E35)=D$10,F35,D$10-SUM(E$17:E35))</f>
        <v>16687058.647813564</v>
      </c>
      <c r="E36" s="160">
        <f>IF(+I14&lt;F35,I14,D36)</f>
        <v>676915.39651162794</v>
      </c>
      <c r="F36" s="159">
        <f t="shared" si="7"/>
        <v>16010143.251301937</v>
      </c>
      <c r="G36" s="161">
        <f t="shared" si="8"/>
        <v>2304511.3578098691</v>
      </c>
      <c r="H36" s="142">
        <f t="shared" si="9"/>
        <v>2304511.3578098691</v>
      </c>
      <c r="I36" s="156">
        <f t="shared" si="6"/>
        <v>0</v>
      </c>
      <c r="J36" s="156"/>
      <c r="K36" s="334"/>
      <c r="L36" s="158">
        <f t="shared" si="10"/>
        <v>0</v>
      </c>
      <c r="M36" s="334"/>
      <c r="N36" s="158">
        <f t="shared" si="11"/>
        <v>0</v>
      </c>
      <c r="O36" s="158">
        <f t="shared" si="12"/>
        <v>0</v>
      </c>
      <c r="P36" s="4"/>
    </row>
    <row r="37" spans="2:16">
      <c r="B37" s="9" t="str">
        <f t="shared" si="5"/>
        <v/>
      </c>
      <c r="C37" s="153">
        <f>IF(D11="","-",+C36+1)</f>
        <v>2027</v>
      </c>
      <c r="D37" s="159">
        <f>IF(F36+SUM(E$17:E36)=D$10,F36,D$10-SUM(E$17:E36))</f>
        <v>16010143.251301937</v>
      </c>
      <c r="E37" s="160">
        <f>IF(+I14&lt;F36,I14,D37)</f>
        <v>676915.39651162794</v>
      </c>
      <c r="F37" s="159">
        <f t="shared" si="7"/>
        <v>15333227.854790309</v>
      </c>
      <c r="G37" s="161">
        <f t="shared" si="8"/>
        <v>2237120.5903122546</v>
      </c>
      <c r="H37" s="142">
        <f t="shared" si="9"/>
        <v>2237120.5903122546</v>
      </c>
      <c r="I37" s="156">
        <f t="shared" si="6"/>
        <v>0</v>
      </c>
      <c r="J37" s="156"/>
      <c r="K37" s="334"/>
      <c r="L37" s="158">
        <f t="shared" si="10"/>
        <v>0</v>
      </c>
      <c r="M37" s="334"/>
      <c r="N37" s="158">
        <f t="shared" si="11"/>
        <v>0</v>
      </c>
      <c r="O37" s="158">
        <f t="shared" si="12"/>
        <v>0</v>
      </c>
      <c r="P37" s="4"/>
    </row>
    <row r="38" spans="2:16">
      <c r="B38" s="9" t="str">
        <f t="shared" si="5"/>
        <v/>
      </c>
      <c r="C38" s="153">
        <f>IF(D11="","-",+C37+1)</f>
        <v>2028</v>
      </c>
      <c r="D38" s="159">
        <f>IF(F37+SUM(E$17:E37)=D$10,F37,D$10-SUM(E$17:E37))</f>
        <v>15333227.854790309</v>
      </c>
      <c r="E38" s="160">
        <f>IF(+I14&lt;F37,I14,D38)</f>
        <v>676915.39651162794</v>
      </c>
      <c r="F38" s="159">
        <f t="shared" si="7"/>
        <v>14656312.458278682</v>
      </c>
      <c r="G38" s="161">
        <f t="shared" si="8"/>
        <v>2169729.8228146406</v>
      </c>
      <c r="H38" s="142">
        <f t="shared" si="9"/>
        <v>2169729.8228146406</v>
      </c>
      <c r="I38" s="156">
        <f t="shared" si="6"/>
        <v>0</v>
      </c>
      <c r="J38" s="156"/>
      <c r="K38" s="334"/>
      <c r="L38" s="158">
        <f t="shared" si="10"/>
        <v>0</v>
      </c>
      <c r="M38" s="334"/>
      <c r="N38" s="158">
        <f t="shared" si="11"/>
        <v>0</v>
      </c>
      <c r="O38" s="158">
        <f t="shared" si="12"/>
        <v>0</v>
      </c>
      <c r="P38" s="4"/>
    </row>
    <row r="39" spans="2:16">
      <c r="B39" s="9" t="str">
        <f t="shared" si="5"/>
        <v/>
      </c>
      <c r="C39" s="153">
        <f>IF(D11="","-",+C38+1)</f>
        <v>2029</v>
      </c>
      <c r="D39" s="159">
        <f>IF(F38+SUM(E$17:E38)=D$10,F38,D$10-SUM(E$17:E38))</f>
        <v>14656312.458278682</v>
      </c>
      <c r="E39" s="160">
        <f>IF(+I14&lt;F38,I14,D39)</f>
        <v>676915.39651162794</v>
      </c>
      <c r="F39" s="159">
        <f t="shared" si="7"/>
        <v>13979397.061767055</v>
      </c>
      <c r="G39" s="161">
        <f t="shared" si="8"/>
        <v>2102339.0553170261</v>
      </c>
      <c r="H39" s="142">
        <f t="shared" si="9"/>
        <v>2102339.0553170261</v>
      </c>
      <c r="I39" s="156">
        <f t="shared" si="6"/>
        <v>0</v>
      </c>
      <c r="J39" s="156"/>
      <c r="K39" s="334"/>
      <c r="L39" s="158">
        <f t="shared" si="10"/>
        <v>0</v>
      </c>
      <c r="M39" s="334"/>
      <c r="N39" s="158">
        <f t="shared" si="11"/>
        <v>0</v>
      </c>
      <c r="O39" s="158">
        <f t="shared" si="12"/>
        <v>0</v>
      </c>
      <c r="P39" s="4"/>
    </row>
    <row r="40" spans="2:16">
      <c r="B40" s="9" t="str">
        <f t="shared" si="5"/>
        <v/>
      </c>
      <c r="C40" s="153">
        <f>IF(D11="","-",+C39+1)</f>
        <v>2030</v>
      </c>
      <c r="D40" s="159">
        <f>IF(F39+SUM(E$17:E39)=D$10,F39,D$10-SUM(E$17:E39))</f>
        <v>13979397.061767055</v>
      </c>
      <c r="E40" s="160">
        <f>IF(+I14&lt;F39,I14,D40)</f>
        <v>676915.39651162794</v>
      </c>
      <c r="F40" s="159">
        <f t="shared" si="7"/>
        <v>13302481.665255427</v>
      </c>
      <c r="G40" s="161">
        <f t="shared" si="8"/>
        <v>2034948.2878194121</v>
      </c>
      <c r="H40" s="142">
        <f t="shared" si="9"/>
        <v>2034948.2878194121</v>
      </c>
      <c r="I40" s="156">
        <f t="shared" si="6"/>
        <v>0</v>
      </c>
      <c r="J40" s="156"/>
      <c r="K40" s="334"/>
      <c r="L40" s="158">
        <f t="shared" si="10"/>
        <v>0</v>
      </c>
      <c r="M40" s="334"/>
      <c r="N40" s="158">
        <f t="shared" si="11"/>
        <v>0</v>
      </c>
      <c r="O40" s="158">
        <f t="shared" si="12"/>
        <v>0</v>
      </c>
      <c r="P40" s="4"/>
    </row>
    <row r="41" spans="2:16">
      <c r="B41" s="9" t="str">
        <f t="shared" si="5"/>
        <v/>
      </c>
      <c r="C41" s="153">
        <f>IF(D11="","-",+C40+1)</f>
        <v>2031</v>
      </c>
      <c r="D41" s="159">
        <f>IF(F40+SUM(E$17:E40)=D$10,F40,D$10-SUM(E$17:E40))</f>
        <v>13302481.665255427</v>
      </c>
      <c r="E41" s="160">
        <f>IF(+I14&lt;F40,I14,D41)</f>
        <v>676915.39651162794</v>
      </c>
      <c r="F41" s="159">
        <f t="shared" si="7"/>
        <v>12625566.2687438</v>
      </c>
      <c r="G41" s="161">
        <f t="shared" si="8"/>
        <v>1967557.5203217976</v>
      </c>
      <c r="H41" s="142">
        <f t="shared" si="9"/>
        <v>1967557.5203217976</v>
      </c>
      <c r="I41" s="156">
        <f t="shared" si="6"/>
        <v>0</v>
      </c>
      <c r="J41" s="156"/>
      <c r="K41" s="334"/>
      <c r="L41" s="158">
        <f t="shared" si="10"/>
        <v>0</v>
      </c>
      <c r="M41" s="334"/>
      <c r="N41" s="158">
        <f t="shared" si="11"/>
        <v>0</v>
      </c>
      <c r="O41" s="158">
        <f t="shared" si="12"/>
        <v>0</v>
      </c>
      <c r="P41" s="4"/>
    </row>
    <row r="42" spans="2:16">
      <c r="B42" s="9" t="str">
        <f t="shared" si="5"/>
        <v/>
      </c>
      <c r="C42" s="153">
        <f>IF(D11="","-",+C41+1)</f>
        <v>2032</v>
      </c>
      <c r="D42" s="159">
        <f>IF(F41+SUM(E$17:E41)=D$10,F41,D$10-SUM(E$17:E41))</f>
        <v>12625566.2687438</v>
      </c>
      <c r="E42" s="160">
        <f>IF(+I14&lt;F41,I14,D42)</f>
        <v>676915.39651162794</v>
      </c>
      <c r="F42" s="159">
        <f t="shared" si="7"/>
        <v>11948650.872232173</v>
      </c>
      <c r="G42" s="161">
        <f t="shared" si="8"/>
        <v>1900166.7528241836</v>
      </c>
      <c r="H42" s="142">
        <f t="shared" si="9"/>
        <v>1900166.7528241836</v>
      </c>
      <c r="I42" s="156">
        <f t="shared" si="6"/>
        <v>0</v>
      </c>
      <c r="J42" s="156"/>
      <c r="K42" s="334"/>
      <c r="L42" s="158">
        <f t="shared" si="10"/>
        <v>0</v>
      </c>
      <c r="M42" s="334"/>
      <c r="N42" s="158">
        <f t="shared" si="11"/>
        <v>0</v>
      </c>
      <c r="O42" s="158">
        <f t="shared" si="12"/>
        <v>0</v>
      </c>
      <c r="P42" s="4"/>
    </row>
    <row r="43" spans="2:16">
      <c r="B43" s="9" t="str">
        <f t="shared" si="5"/>
        <v/>
      </c>
      <c r="C43" s="153">
        <f>IF(D11="","-",+C42+1)</f>
        <v>2033</v>
      </c>
      <c r="D43" s="159">
        <f>IF(F42+SUM(E$17:E42)=D$10,F42,D$10-SUM(E$17:E42))</f>
        <v>11948650.872232173</v>
      </c>
      <c r="E43" s="160">
        <f>IF(+I14&lt;F42,I14,D43)</f>
        <v>676915.39651162794</v>
      </c>
      <c r="F43" s="159">
        <f t="shared" si="7"/>
        <v>11271735.475720545</v>
      </c>
      <c r="G43" s="161">
        <f t="shared" si="8"/>
        <v>1832775.9853265691</v>
      </c>
      <c r="H43" s="142">
        <f t="shared" si="9"/>
        <v>1832775.9853265691</v>
      </c>
      <c r="I43" s="156">
        <f t="shared" si="6"/>
        <v>0</v>
      </c>
      <c r="J43" s="156"/>
      <c r="K43" s="334"/>
      <c r="L43" s="158">
        <f t="shared" si="10"/>
        <v>0</v>
      </c>
      <c r="M43" s="334"/>
      <c r="N43" s="158">
        <f t="shared" si="11"/>
        <v>0</v>
      </c>
      <c r="O43" s="158">
        <f t="shared" si="12"/>
        <v>0</v>
      </c>
      <c r="P43" s="4"/>
    </row>
    <row r="44" spans="2:16">
      <c r="B44" s="9" t="str">
        <f t="shared" si="5"/>
        <v/>
      </c>
      <c r="C44" s="153">
        <f>IF(D11="","-",+C43+1)</f>
        <v>2034</v>
      </c>
      <c r="D44" s="159">
        <f>IF(F43+SUM(E$17:E43)=D$10,F43,D$10-SUM(E$17:E43))</f>
        <v>11271735.475720545</v>
      </c>
      <c r="E44" s="160">
        <f>IF(+I14&lt;F43,I14,D44)</f>
        <v>676915.39651162794</v>
      </c>
      <c r="F44" s="159">
        <f t="shared" si="7"/>
        <v>10594820.079208918</v>
      </c>
      <c r="G44" s="161">
        <f t="shared" si="8"/>
        <v>1765385.217828955</v>
      </c>
      <c r="H44" s="142">
        <f t="shared" si="9"/>
        <v>1765385.217828955</v>
      </c>
      <c r="I44" s="156">
        <f t="shared" si="6"/>
        <v>0</v>
      </c>
      <c r="J44" s="156"/>
      <c r="K44" s="334"/>
      <c r="L44" s="158">
        <f t="shared" si="10"/>
        <v>0</v>
      </c>
      <c r="M44" s="334"/>
      <c r="N44" s="158">
        <f t="shared" si="11"/>
        <v>0</v>
      </c>
      <c r="O44" s="158">
        <f t="shared" si="12"/>
        <v>0</v>
      </c>
      <c r="P44" s="4"/>
    </row>
    <row r="45" spans="2:16">
      <c r="B45" s="9" t="str">
        <f t="shared" si="5"/>
        <v/>
      </c>
      <c r="C45" s="153">
        <f>IF(D11="","-",+C44+1)</f>
        <v>2035</v>
      </c>
      <c r="D45" s="159">
        <f>IF(F44+SUM(E$17:E44)=D$10,F44,D$10-SUM(E$17:E44))</f>
        <v>10594820.079208918</v>
      </c>
      <c r="E45" s="160">
        <f>IF(+I14&lt;F44,I14,D45)</f>
        <v>676915.39651162794</v>
      </c>
      <c r="F45" s="159">
        <f t="shared" si="7"/>
        <v>9917904.6826972906</v>
      </c>
      <c r="G45" s="161">
        <f t="shared" si="8"/>
        <v>1697994.4503313405</v>
      </c>
      <c r="H45" s="142">
        <f t="shared" si="9"/>
        <v>1697994.4503313405</v>
      </c>
      <c r="I45" s="156">
        <f t="shared" si="6"/>
        <v>0</v>
      </c>
      <c r="J45" s="156"/>
      <c r="K45" s="334"/>
      <c r="L45" s="158">
        <f t="shared" si="10"/>
        <v>0</v>
      </c>
      <c r="M45" s="334"/>
      <c r="N45" s="158">
        <f t="shared" si="11"/>
        <v>0</v>
      </c>
      <c r="O45" s="158">
        <f t="shared" si="12"/>
        <v>0</v>
      </c>
      <c r="P45" s="4"/>
    </row>
    <row r="46" spans="2:16">
      <c r="B46" s="9" t="str">
        <f t="shared" si="5"/>
        <v/>
      </c>
      <c r="C46" s="153">
        <f>IF(D11="","-",+C45+1)</f>
        <v>2036</v>
      </c>
      <c r="D46" s="159">
        <f>IF(F45+SUM(E$17:E45)=D$10,F45,D$10-SUM(E$17:E45))</f>
        <v>9917904.6826972906</v>
      </c>
      <c r="E46" s="160">
        <f>IF(+I14&lt;F45,I14,D46)</f>
        <v>676915.39651162794</v>
      </c>
      <c r="F46" s="159">
        <f t="shared" si="7"/>
        <v>9240989.2861856632</v>
      </c>
      <c r="G46" s="161">
        <f t="shared" si="8"/>
        <v>1630603.6828337265</v>
      </c>
      <c r="H46" s="142">
        <f t="shared" si="9"/>
        <v>1630603.6828337265</v>
      </c>
      <c r="I46" s="156">
        <f t="shared" si="6"/>
        <v>0</v>
      </c>
      <c r="J46" s="156"/>
      <c r="K46" s="334"/>
      <c r="L46" s="158">
        <f t="shared" si="10"/>
        <v>0</v>
      </c>
      <c r="M46" s="334"/>
      <c r="N46" s="158">
        <f t="shared" si="11"/>
        <v>0</v>
      </c>
      <c r="O46" s="158">
        <f t="shared" si="12"/>
        <v>0</v>
      </c>
      <c r="P46" s="4"/>
    </row>
    <row r="47" spans="2:16">
      <c r="B47" s="9" t="str">
        <f t="shared" si="5"/>
        <v/>
      </c>
      <c r="C47" s="153">
        <f>IF(D11="","-",+C46+1)</f>
        <v>2037</v>
      </c>
      <c r="D47" s="159">
        <f>IF(F46+SUM(E$17:E46)=D$10,F46,D$10-SUM(E$17:E46))</f>
        <v>9240989.2861856632</v>
      </c>
      <c r="E47" s="160">
        <f>IF(+I14&lt;F46,I14,D47)</f>
        <v>676915.39651162794</v>
      </c>
      <c r="F47" s="159">
        <f t="shared" si="7"/>
        <v>8564073.8896740358</v>
      </c>
      <c r="G47" s="161">
        <f t="shared" si="8"/>
        <v>1563212.915336112</v>
      </c>
      <c r="H47" s="142">
        <f t="shared" si="9"/>
        <v>1563212.915336112</v>
      </c>
      <c r="I47" s="156">
        <f t="shared" si="6"/>
        <v>0</v>
      </c>
      <c r="J47" s="156"/>
      <c r="K47" s="334"/>
      <c r="L47" s="158">
        <f t="shared" si="10"/>
        <v>0</v>
      </c>
      <c r="M47" s="334"/>
      <c r="N47" s="158">
        <f t="shared" si="11"/>
        <v>0</v>
      </c>
      <c r="O47" s="158">
        <f t="shared" si="12"/>
        <v>0</v>
      </c>
      <c r="P47" s="4"/>
    </row>
    <row r="48" spans="2:16">
      <c r="B48" s="9" t="str">
        <f t="shared" si="5"/>
        <v/>
      </c>
      <c r="C48" s="153">
        <f>IF(D11="","-",+C47+1)</f>
        <v>2038</v>
      </c>
      <c r="D48" s="159">
        <f>IF(F47+SUM(E$17:E47)=D$10,F47,D$10-SUM(E$17:E47))</f>
        <v>8564073.8896740358</v>
      </c>
      <c r="E48" s="160">
        <f>IF(+I14&lt;F47,I14,D48)</f>
        <v>676915.39651162794</v>
      </c>
      <c r="F48" s="159">
        <f t="shared" si="7"/>
        <v>7887158.4931624075</v>
      </c>
      <c r="G48" s="161">
        <f t="shared" si="8"/>
        <v>1495822.147838498</v>
      </c>
      <c r="H48" s="142">
        <f t="shared" si="9"/>
        <v>1495822.147838498</v>
      </c>
      <c r="I48" s="156">
        <f t="shared" si="6"/>
        <v>0</v>
      </c>
      <c r="J48" s="156"/>
      <c r="K48" s="334"/>
      <c r="L48" s="158">
        <f t="shared" si="10"/>
        <v>0</v>
      </c>
      <c r="M48" s="334"/>
      <c r="N48" s="158">
        <f t="shared" si="11"/>
        <v>0</v>
      </c>
      <c r="O48" s="158">
        <f t="shared" si="12"/>
        <v>0</v>
      </c>
      <c r="P48" s="4"/>
    </row>
    <row r="49" spans="2:16">
      <c r="B49" s="9" t="str">
        <f t="shared" si="5"/>
        <v/>
      </c>
      <c r="C49" s="153">
        <f>IF(D11="","-",+C48+1)</f>
        <v>2039</v>
      </c>
      <c r="D49" s="159">
        <f>IF(F48+SUM(E$17:E48)=D$10,F48,D$10-SUM(E$17:E48))</f>
        <v>7887158.4931624075</v>
      </c>
      <c r="E49" s="160">
        <f>IF(+I14&lt;F48,I14,D49)</f>
        <v>676915.39651162794</v>
      </c>
      <c r="F49" s="159">
        <f t="shared" si="7"/>
        <v>7210243.0966507792</v>
      </c>
      <c r="G49" s="161">
        <f t="shared" si="8"/>
        <v>1428431.3803408835</v>
      </c>
      <c r="H49" s="142">
        <f t="shared" si="9"/>
        <v>1428431.3803408835</v>
      </c>
      <c r="I49" s="156">
        <f t="shared" si="6"/>
        <v>0</v>
      </c>
      <c r="J49" s="156"/>
      <c r="K49" s="334"/>
      <c r="L49" s="158">
        <f t="shared" si="10"/>
        <v>0</v>
      </c>
      <c r="M49" s="334"/>
      <c r="N49" s="158">
        <f t="shared" si="11"/>
        <v>0</v>
      </c>
      <c r="O49" s="158">
        <f t="shared" si="12"/>
        <v>0</v>
      </c>
      <c r="P49" s="4"/>
    </row>
    <row r="50" spans="2:16">
      <c r="B50" s="9" t="str">
        <f t="shared" si="5"/>
        <v/>
      </c>
      <c r="C50" s="153">
        <f>IF(D11="","-",+C49+1)</f>
        <v>2040</v>
      </c>
      <c r="D50" s="159">
        <f>IF(F49+SUM(E$17:E49)=D$10,F49,D$10-SUM(E$17:E49))</f>
        <v>7210243.0966507792</v>
      </c>
      <c r="E50" s="160">
        <f>IF(+I14&lt;F49,I14,D50)</f>
        <v>676915.39651162794</v>
      </c>
      <c r="F50" s="159">
        <f t="shared" si="7"/>
        <v>6533327.700139151</v>
      </c>
      <c r="G50" s="161">
        <f t="shared" si="8"/>
        <v>1361040.612843269</v>
      </c>
      <c r="H50" s="142">
        <f t="shared" si="9"/>
        <v>1361040.612843269</v>
      </c>
      <c r="I50" s="156">
        <f t="shared" si="6"/>
        <v>0</v>
      </c>
      <c r="J50" s="156"/>
      <c r="K50" s="334"/>
      <c r="L50" s="158">
        <f t="shared" si="10"/>
        <v>0</v>
      </c>
      <c r="M50" s="334"/>
      <c r="N50" s="158">
        <f t="shared" si="11"/>
        <v>0</v>
      </c>
      <c r="O50" s="158">
        <f t="shared" si="12"/>
        <v>0</v>
      </c>
      <c r="P50" s="4"/>
    </row>
    <row r="51" spans="2:16">
      <c r="B51" s="9" t="str">
        <f t="shared" si="5"/>
        <v/>
      </c>
      <c r="C51" s="153">
        <f>IF(D11="","-",+C50+1)</f>
        <v>2041</v>
      </c>
      <c r="D51" s="159">
        <f>IF(F50+SUM(E$17:E50)=D$10,F50,D$10-SUM(E$17:E50))</f>
        <v>6533327.700139151</v>
      </c>
      <c r="E51" s="160">
        <f>IF(+I14&lt;F50,I14,D51)</f>
        <v>676915.39651162794</v>
      </c>
      <c r="F51" s="159">
        <f t="shared" si="7"/>
        <v>5856412.3036275227</v>
      </c>
      <c r="G51" s="161">
        <f t="shared" si="8"/>
        <v>1293649.845345655</v>
      </c>
      <c r="H51" s="142">
        <f t="shared" si="9"/>
        <v>1293649.845345655</v>
      </c>
      <c r="I51" s="156">
        <f t="shared" si="6"/>
        <v>0</v>
      </c>
      <c r="J51" s="156"/>
      <c r="K51" s="334"/>
      <c r="L51" s="158">
        <f t="shared" si="10"/>
        <v>0</v>
      </c>
      <c r="M51" s="334"/>
      <c r="N51" s="158">
        <f t="shared" si="11"/>
        <v>0</v>
      </c>
      <c r="O51" s="158">
        <f t="shared" si="12"/>
        <v>0</v>
      </c>
      <c r="P51" s="4"/>
    </row>
    <row r="52" spans="2:16">
      <c r="B52" s="9" t="str">
        <f t="shared" si="5"/>
        <v/>
      </c>
      <c r="C52" s="153">
        <f>IF(D11="","-",+C51+1)</f>
        <v>2042</v>
      </c>
      <c r="D52" s="159">
        <f>IF(F51+SUM(E$17:E51)=D$10,F51,D$10-SUM(E$17:E51))</f>
        <v>5856412.3036275227</v>
      </c>
      <c r="E52" s="160">
        <f>IF(+I14&lt;F51,I14,D52)</f>
        <v>676915.39651162794</v>
      </c>
      <c r="F52" s="159">
        <f t="shared" si="7"/>
        <v>5179496.9071158944</v>
      </c>
      <c r="G52" s="161">
        <f t="shared" si="8"/>
        <v>1226259.0778480405</v>
      </c>
      <c r="H52" s="142">
        <f t="shared" si="9"/>
        <v>1226259.0778480405</v>
      </c>
      <c r="I52" s="156">
        <f t="shared" si="6"/>
        <v>0</v>
      </c>
      <c r="J52" s="156"/>
      <c r="K52" s="334"/>
      <c r="L52" s="158">
        <f t="shared" si="10"/>
        <v>0</v>
      </c>
      <c r="M52" s="334"/>
      <c r="N52" s="158">
        <f t="shared" si="11"/>
        <v>0</v>
      </c>
      <c r="O52" s="158">
        <f t="shared" si="12"/>
        <v>0</v>
      </c>
      <c r="P52" s="4"/>
    </row>
    <row r="53" spans="2:16">
      <c r="B53" s="9" t="str">
        <f t="shared" si="5"/>
        <v/>
      </c>
      <c r="C53" s="153">
        <f>IF(D11="","-",+C52+1)</f>
        <v>2043</v>
      </c>
      <c r="D53" s="159">
        <f>IF(F52+SUM(E$17:E52)=D$10,F52,D$10-SUM(E$17:E52))</f>
        <v>5179496.9071158944</v>
      </c>
      <c r="E53" s="160">
        <f>IF(+I14&lt;F52,I14,D53)</f>
        <v>676915.39651162794</v>
      </c>
      <c r="F53" s="159">
        <f t="shared" si="7"/>
        <v>4502581.5106042661</v>
      </c>
      <c r="G53" s="161">
        <f t="shared" si="8"/>
        <v>1158868.310350426</v>
      </c>
      <c r="H53" s="142">
        <f t="shared" si="9"/>
        <v>1158868.310350426</v>
      </c>
      <c r="I53" s="156">
        <f t="shared" si="6"/>
        <v>0</v>
      </c>
      <c r="J53" s="156"/>
      <c r="K53" s="334"/>
      <c r="L53" s="158">
        <f t="shared" si="10"/>
        <v>0</v>
      </c>
      <c r="M53" s="334"/>
      <c r="N53" s="158">
        <f t="shared" si="11"/>
        <v>0</v>
      </c>
      <c r="O53" s="158">
        <f t="shared" si="12"/>
        <v>0</v>
      </c>
      <c r="P53" s="4"/>
    </row>
    <row r="54" spans="2:16">
      <c r="B54" s="9" t="str">
        <f t="shared" si="5"/>
        <v/>
      </c>
      <c r="C54" s="153">
        <f>IF(D11="","-",+C53+1)</f>
        <v>2044</v>
      </c>
      <c r="D54" s="159">
        <f>IF(F53+SUM(E$17:E53)=D$10,F53,D$10-SUM(E$17:E53))</f>
        <v>4502581.5106042661</v>
      </c>
      <c r="E54" s="160">
        <f>IF(+I14&lt;F53,I14,D54)</f>
        <v>676915.39651162794</v>
      </c>
      <c r="F54" s="159">
        <f t="shared" si="7"/>
        <v>3825666.1140926383</v>
      </c>
      <c r="G54" s="161">
        <f t="shared" si="8"/>
        <v>1091477.5428528117</v>
      </c>
      <c r="H54" s="142">
        <f t="shared" si="9"/>
        <v>1091477.5428528117</v>
      </c>
      <c r="I54" s="156">
        <f t="shared" si="6"/>
        <v>0</v>
      </c>
      <c r="J54" s="156"/>
      <c r="K54" s="334"/>
      <c r="L54" s="158">
        <f t="shared" si="10"/>
        <v>0</v>
      </c>
      <c r="M54" s="334"/>
      <c r="N54" s="158">
        <f t="shared" si="11"/>
        <v>0</v>
      </c>
      <c r="O54" s="158">
        <f t="shared" si="12"/>
        <v>0</v>
      </c>
      <c r="P54" s="4"/>
    </row>
    <row r="55" spans="2:16">
      <c r="B55" s="9" t="str">
        <f t="shared" si="5"/>
        <v/>
      </c>
      <c r="C55" s="153">
        <f>IF(D11="","-",+C54+1)</f>
        <v>2045</v>
      </c>
      <c r="D55" s="159">
        <f>IF(F54+SUM(E$17:E54)=D$10,F54,D$10-SUM(E$17:E54))</f>
        <v>3825666.1140926383</v>
      </c>
      <c r="E55" s="160">
        <f>IF(+I14&lt;F54,I14,D55)</f>
        <v>676915.39651162794</v>
      </c>
      <c r="F55" s="159">
        <f t="shared" si="7"/>
        <v>3148750.7175810104</v>
      </c>
      <c r="G55" s="161">
        <f t="shared" si="8"/>
        <v>1024086.7753551974</v>
      </c>
      <c r="H55" s="142">
        <f t="shared" si="9"/>
        <v>1024086.7753551974</v>
      </c>
      <c r="I55" s="156">
        <f t="shared" si="6"/>
        <v>0</v>
      </c>
      <c r="J55" s="156"/>
      <c r="K55" s="334"/>
      <c r="L55" s="158">
        <f t="shared" si="10"/>
        <v>0</v>
      </c>
      <c r="M55" s="334"/>
      <c r="N55" s="158">
        <f t="shared" si="11"/>
        <v>0</v>
      </c>
      <c r="O55" s="158">
        <f t="shared" si="12"/>
        <v>0</v>
      </c>
      <c r="P55" s="4"/>
    </row>
    <row r="56" spans="2:16">
      <c r="B56" s="9" t="str">
        <f t="shared" si="5"/>
        <v/>
      </c>
      <c r="C56" s="153">
        <f>IF(D11="","-",+C55+1)</f>
        <v>2046</v>
      </c>
      <c r="D56" s="159">
        <f>IF(F55+SUM(E$17:E55)=D$10,F55,D$10-SUM(E$17:E55))</f>
        <v>3148750.7175810104</v>
      </c>
      <c r="E56" s="160">
        <f>IF(+I14&lt;F55,I14,D56)</f>
        <v>676915.39651162794</v>
      </c>
      <c r="F56" s="159">
        <f t="shared" si="7"/>
        <v>2471835.3210693826</v>
      </c>
      <c r="G56" s="161">
        <f t="shared" si="8"/>
        <v>956696.00785758311</v>
      </c>
      <c r="H56" s="142">
        <f t="shared" si="9"/>
        <v>956696.00785758311</v>
      </c>
      <c r="I56" s="156">
        <f t="shared" si="6"/>
        <v>0</v>
      </c>
      <c r="J56" s="156"/>
      <c r="K56" s="334"/>
      <c r="L56" s="158">
        <f t="shared" si="10"/>
        <v>0</v>
      </c>
      <c r="M56" s="334"/>
      <c r="N56" s="158">
        <f t="shared" si="11"/>
        <v>0</v>
      </c>
      <c r="O56" s="158">
        <f t="shared" si="12"/>
        <v>0</v>
      </c>
      <c r="P56" s="4"/>
    </row>
    <row r="57" spans="2:16">
      <c r="B57" s="9" t="str">
        <f t="shared" si="5"/>
        <v/>
      </c>
      <c r="C57" s="153">
        <f>IF(D11="","-",+C56+1)</f>
        <v>2047</v>
      </c>
      <c r="D57" s="159">
        <f>IF(F56+SUM(E$17:E56)=D$10,F56,D$10-SUM(E$17:E56))</f>
        <v>2471835.3210693826</v>
      </c>
      <c r="E57" s="160">
        <f>IF(+I14&lt;F56,I14,D57)</f>
        <v>676915.39651162794</v>
      </c>
      <c r="F57" s="159">
        <f t="shared" si="7"/>
        <v>1794919.9245577548</v>
      </c>
      <c r="G57" s="161">
        <f t="shared" si="8"/>
        <v>889305.24035996874</v>
      </c>
      <c r="H57" s="142">
        <f t="shared" si="9"/>
        <v>889305.24035996874</v>
      </c>
      <c r="I57" s="156">
        <f t="shared" si="6"/>
        <v>0</v>
      </c>
      <c r="J57" s="156"/>
      <c r="K57" s="334"/>
      <c r="L57" s="158">
        <f t="shared" si="10"/>
        <v>0</v>
      </c>
      <c r="M57" s="334"/>
      <c r="N57" s="158">
        <f t="shared" si="11"/>
        <v>0</v>
      </c>
      <c r="O57" s="158">
        <f t="shared" si="12"/>
        <v>0</v>
      </c>
      <c r="P57" s="4"/>
    </row>
    <row r="58" spans="2:16">
      <c r="B58" s="9" t="str">
        <f t="shared" si="5"/>
        <v/>
      </c>
      <c r="C58" s="153">
        <f>IF(D11="","-",+C57+1)</f>
        <v>2048</v>
      </c>
      <c r="D58" s="159">
        <f>IF(F57+SUM(E$17:E57)=D$10,F57,D$10-SUM(E$17:E57))</f>
        <v>1794919.9245577548</v>
      </c>
      <c r="E58" s="160">
        <f>IF(+I14&lt;F57,I14,D58)</f>
        <v>676915.39651162794</v>
      </c>
      <c r="F58" s="159">
        <f t="shared" si="7"/>
        <v>1118004.5280461269</v>
      </c>
      <c r="G58" s="161">
        <f t="shared" si="8"/>
        <v>821914.47286235448</v>
      </c>
      <c r="H58" s="142">
        <f t="shared" si="9"/>
        <v>821914.47286235448</v>
      </c>
      <c r="I58" s="156">
        <f t="shared" si="6"/>
        <v>0</v>
      </c>
      <c r="J58" s="156"/>
      <c r="K58" s="334"/>
      <c r="L58" s="158">
        <f t="shared" si="10"/>
        <v>0</v>
      </c>
      <c r="M58" s="334"/>
      <c r="N58" s="158">
        <f t="shared" si="11"/>
        <v>0</v>
      </c>
      <c r="O58" s="158">
        <f t="shared" si="12"/>
        <v>0</v>
      </c>
      <c r="P58" s="4"/>
    </row>
    <row r="59" spans="2:16">
      <c r="B59" s="9" t="str">
        <f t="shared" si="5"/>
        <v/>
      </c>
      <c r="C59" s="153">
        <f>IF(D11="","-",+C58+1)</f>
        <v>2049</v>
      </c>
      <c r="D59" s="159">
        <f>IF(F58+SUM(E$17:E58)=D$10,F58,D$10-SUM(E$17:E58))</f>
        <v>1118004.5280461269</v>
      </c>
      <c r="E59" s="160">
        <f>IF(+I14&lt;F58,I14,D59)</f>
        <v>676915.39651162794</v>
      </c>
      <c r="F59" s="159">
        <f t="shared" si="7"/>
        <v>441089.131534499</v>
      </c>
      <c r="G59" s="161">
        <f t="shared" si="8"/>
        <v>754523.7053647401</v>
      </c>
      <c r="H59" s="142">
        <f t="shared" si="9"/>
        <v>754523.7053647401</v>
      </c>
      <c r="I59" s="156">
        <f t="shared" si="6"/>
        <v>0</v>
      </c>
      <c r="J59" s="156"/>
      <c r="K59" s="334"/>
      <c r="L59" s="158">
        <f t="shared" si="10"/>
        <v>0</v>
      </c>
      <c r="M59" s="334"/>
      <c r="N59" s="158">
        <f t="shared" si="11"/>
        <v>0</v>
      </c>
      <c r="O59" s="158">
        <f t="shared" si="12"/>
        <v>0</v>
      </c>
      <c r="P59" s="4"/>
    </row>
    <row r="60" spans="2:16">
      <c r="B60" s="9" t="str">
        <f t="shared" si="5"/>
        <v/>
      </c>
      <c r="C60" s="153">
        <f>IF(D11="","-",+C59+1)</f>
        <v>2050</v>
      </c>
      <c r="D60" s="159">
        <f>IF(F59+SUM(E$17:E59)=D$10,F59,D$10-SUM(E$17:E59))</f>
        <v>441089.131534499</v>
      </c>
      <c r="E60" s="160">
        <f>IF(+I14&lt;F59,I14,D60)</f>
        <v>441089.131534499</v>
      </c>
      <c r="F60" s="159">
        <f t="shared" si="7"/>
        <v>0</v>
      </c>
      <c r="G60" s="161">
        <f t="shared" si="8"/>
        <v>463045.59408665152</v>
      </c>
      <c r="H60" s="142">
        <f t="shared" si="9"/>
        <v>463045.59408665152</v>
      </c>
      <c r="I60" s="156">
        <f t="shared" si="6"/>
        <v>0</v>
      </c>
      <c r="J60" s="156"/>
      <c r="K60" s="334"/>
      <c r="L60" s="158">
        <f t="shared" si="10"/>
        <v>0</v>
      </c>
      <c r="M60" s="334"/>
      <c r="N60" s="158">
        <f t="shared" si="11"/>
        <v>0</v>
      </c>
      <c r="O60" s="158">
        <f t="shared" si="12"/>
        <v>0</v>
      </c>
      <c r="P60" s="4"/>
    </row>
    <row r="61" spans="2:16">
      <c r="B61" s="9" t="str">
        <f t="shared" si="5"/>
        <v/>
      </c>
      <c r="C61" s="153">
        <f>IF(D11="","-",+C60+1)</f>
        <v>2051</v>
      </c>
      <c r="D61" s="159">
        <f>IF(F60+SUM(E$17:E60)=D$10,F60,D$10-SUM(E$17:E60))</f>
        <v>0</v>
      </c>
      <c r="E61" s="160">
        <f>IF(+I14&lt;F60,I14,D61)</f>
        <v>0</v>
      </c>
      <c r="F61" s="159">
        <f t="shared" si="7"/>
        <v>0</v>
      </c>
      <c r="G61" s="161">
        <f t="shared" si="8"/>
        <v>0</v>
      </c>
      <c r="H61" s="142">
        <f t="shared" si="9"/>
        <v>0</v>
      </c>
      <c r="I61" s="156">
        <f t="shared" si="6"/>
        <v>0</v>
      </c>
      <c r="J61" s="156"/>
      <c r="K61" s="334"/>
      <c r="L61" s="158">
        <f t="shared" si="10"/>
        <v>0</v>
      </c>
      <c r="M61" s="334"/>
      <c r="N61" s="158">
        <f t="shared" si="11"/>
        <v>0</v>
      </c>
      <c r="O61" s="158">
        <f t="shared" si="12"/>
        <v>0</v>
      </c>
      <c r="P61" s="4"/>
    </row>
    <row r="62" spans="2:16">
      <c r="B62" s="9" t="str">
        <f t="shared" si="5"/>
        <v/>
      </c>
      <c r="C62" s="153">
        <f>IF(D11="","-",+C61+1)</f>
        <v>2052</v>
      </c>
      <c r="D62" s="159">
        <f>IF(F61+SUM(E$17:E61)=D$10,F61,D$10-SUM(E$17:E61))</f>
        <v>0</v>
      </c>
      <c r="E62" s="160">
        <f>IF(+I14&lt;F61,I14,D62)</f>
        <v>0</v>
      </c>
      <c r="F62" s="159">
        <f t="shared" si="7"/>
        <v>0</v>
      </c>
      <c r="G62" s="161">
        <f t="shared" si="8"/>
        <v>0</v>
      </c>
      <c r="H62" s="142">
        <f t="shared" si="9"/>
        <v>0</v>
      </c>
      <c r="I62" s="156">
        <f t="shared" si="6"/>
        <v>0</v>
      </c>
      <c r="J62" s="156"/>
      <c r="K62" s="334"/>
      <c r="L62" s="158">
        <f t="shared" si="10"/>
        <v>0</v>
      </c>
      <c r="M62" s="334"/>
      <c r="N62" s="158">
        <f t="shared" si="11"/>
        <v>0</v>
      </c>
      <c r="O62" s="158">
        <f t="shared" si="12"/>
        <v>0</v>
      </c>
      <c r="P62" s="4"/>
    </row>
    <row r="63" spans="2:16">
      <c r="B63" s="9" t="str">
        <f t="shared" si="5"/>
        <v/>
      </c>
      <c r="C63" s="153">
        <f>IF(D11="","-",+C62+1)</f>
        <v>2053</v>
      </c>
      <c r="D63" s="159">
        <f>IF(F62+SUM(E$17:E62)=D$10,F62,D$10-SUM(E$17:E62))</f>
        <v>0</v>
      </c>
      <c r="E63" s="160">
        <f>IF(+I14&lt;F62,I14,D63)</f>
        <v>0</v>
      </c>
      <c r="F63" s="159">
        <f t="shared" si="7"/>
        <v>0</v>
      </c>
      <c r="G63" s="161">
        <f t="shared" si="8"/>
        <v>0</v>
      </c>
      <c r="H63" s="142">
        <f t="shared" si="9"/>
        <v>0</v>
      </c>
      <c r="I63" s="156">
        <f t="shared" si="6"/>
        <v>0</v>
      </c>
      <c r="J63" s="156"/>
      <c r="K63" s="334"/>
      <c r="L63" s="158">
        <f t="shared" si="10"/>
        <v>0</v>
      </c>
      <c r="M63" s="334"/>
      <c r="N63" s="158">
        <f t="shared" si="11"/>
        <v>0</v>
      </c>
      <c r="O63" s="158">
        <f t="shared" si="12"/>
        <v>0</v>
      </c>
      <c r="P63" s="4"/>
    </row>
    <row r="64" spans="2:16">
      <c r="B64" s="9" t="str">
        <f t="shared" si="5"/>
        <v/>
      </c>
      <c r="C64" s="153">
        <f>IF(D11="","-",+C63+1)</f>
        <v>2054</v>
      </c>
      <c r="D64" s="159">
        <f>IF(F63+SUM(E$17:E63)=D$10,F63,D$10-SUM(E$17:E63))</f>
        <v>0</v>
      </c>
      <c r="E64" s="160">
        <f>IF(+I14&lt;F63,I14,D64)</f>
        <v>0</v>
      </c>
      <c r="F64" s="159">
        <f t="shared" si="7"/>
        <v>0</v>
      </c>
      <c r="G64" s="161">
        <f t="shared" si="8"/>
        <v>0</v>
      </c>
      <c r="H64" s="142">
        <f t="shared" si="9"/>
        <v>0</v>
      </c>
      <c r="I64" s="156">
        <f t="shared" si="6"/>
        <v>0</v>
      </c>
      <c r="J64" s="156"/>
      <c r="K64" s="334"/>
      <c r="L64" s="158">
        <f t="shared" si="10"/>
        <v>0</v>
      </c>
      <c r="M64" s="334"/>
      <c r="N64" s="158">
        <f t="shared" si="11"/>
        <v>0</v>
      </c>
      <c r="O64" s="158">
        <f t="shared" si="12"/>
        <v>0</v>
      </c>
      <c r="P64" s="4"/>
    </row>
    <row r="65" spans="2:16">
      <c r="B65" s="9" t="str">
        <f t="shared" si="5"/>
        <v/>
      </c>
      <c r="C65" s="153">
        <f>IF(D11="","-",+C64+1)</f>
        <v>2055</v>
      </c>
      <c r="D65" s="159">
        <f>IF(F64+SUM(E$17:E64)=D$10,F64,D$10-SUM(E$17:E64))</f>
        <v>0</v>
      </c>
      <c r="E65" s="160">
        <f>IF(+I14&lt;F64,I14,D65)</f>
        <v>0</v>
      </c>
      <c r="F65" s="159">
        <f t="shared" si="7"/>
        <v>0</v>
      </c>
      <c r="G65" s="161">
        <f t="shared" si="8"/>
        <v>0</v>
      </c>
      <c r="H65" s="142">
        <f t="shared" si="9"/>
        <v>0</v>
      </c>
      <c r="I65" s="156">
        <f t="shared" si="6"/>
        <v>0</v>
      </c>
      <c r="J65" s="156"/>
      <c r="K65" s="334"/>
      <c r="L65" s="158">
        <f t="shared" si="10"/>
        <v>0</v>
      </c>
      <c r="M65" s="334"/>
      <c r="N65" s="158">
        <f t="shared" si="11"/>
        <v>0</v>
      </c>
      <c r="O65" s="158">
        <f t="shared" si="12"/>
        <v>0</v>
      </c>
      <c r="P65" s="4"/>
    </row>
    <row r="66" spans="2:16">
      <c r="B66" s="9" t="str">
        <f t="shared" si="5"/>
        <v/>
      </c>
      <c r="C66" s="153">
        <f>IF(D11="","-",+C65+1)</f>
        <v>2056</v>
      </c>
      <c r="D66" s="159">
        <f>IF(F65+SUM(E$17:E65)=D$10,F65,D$10-SUM(E$17:E65))</f>
        <v>0</v>
      </c>
      <c r="E66" s="160">
        <f>IF(+I14&lt;F65,I14,D66)</f>
        <v>0</v>
      </c>
      <c r="F66" s="159">
        <f t="shared" si="7"/>
        <v>0</v>
      </c>
      <c r="G66" s="161">
        <f t="shared" si="8"/>
        <v>0</v>
      </c>
      <c r="H66" s="142">
        <f t="shared" si="9"/>
        <v>0</v>
      </c>
      <c r="I66" s="156">
        <f t="shared" si="6"/>
        <v>0</v>
      </c>
      <c r="J66" s="156"/>
      <c r="K66" s="334"/>
      <c r="L66" s="158">
        <f t="shared" si="10"/>
        <v>0</v>
      </c>
      <c r="M66" s="334"/>
      <c r="N66" s="158">
        <f t="shared" si="11"/>
        <v>0</v>
      </c>
      <c r="O66" s="158">
        <f t="shared" si="12"/>
        <v>0</v>
      </c>
      <c r="P66" s="4"/>
    </row>
    <row r="67" spans="2:16">
      <c r="B67" s="9" t="str">
        <f t="shared" si="5"/>
        <v/>
      </c>
      <c r="C67" s="153">
        <f>IF(D11="","-",+C66+1)</f>
        <v>2057</v>
      </c>
      <c r="D67" s="159">
        <f>IF(F66+SUM(E$17:E66)=D$10,F66,D$10-SUM(E$17:E66))</f>
        <v>0</v>
      </c>
      <c r="E67" s="160">
        <f>IF(+I14&lt;F66,I14,D67)</f>
        <v>0</v>
      </c>
      <c r="F67" s="159">
        <f t="shared" si="7"/>
        <v>0</v>
      </c>
      <c r="G67" s="161">
        <f t="shared" si="8"/>
        <v>0</v>
      </c>
      <c r="H67" s="142">
        <f t="shared" si="9"/>
        <v>0</v>
      </c>
      <c r="I67" s="156">
        <f t="shared" si="6"/>
        <v>0</v>
      </c>
      <c r="J67" s="156"/>
      <c r="K67" s="334"/>
      <c r="L67" s="158">
        <f t="shared" si="10"/>
        <v>0</v>
      </c>
      <c r="M67" s="334"/>
      <c r="N67" s="158">
        <f t="shared" si="11"/>
        <v>0</v>
      </c>
      <c r="O67" s="158">
        <f t="shared" si="12"/>
        <v>0</v>
      </c>
      <c r="P67" s="4"/>
    </row>
    <row r="68" spans="2:16">
      <c r="B68" s="9" t="str">
        <f t="shared" si="5"/>
        <v/>
      </c>
      <c r="C68" s="153">
        <f>IF(D11="","-",+C67+1)</f>
        <v>2058</v>
      </c>
      <c r="D68" s="159">
        <f>IF(F67+SUM(E$17:E67)=D$10,F67,D$10-SUM(E$17:E67))</f>
        <v>0</v>
      </c>
      <c r="E68" s="160">
        <f>IF(+I14&lt;F67,I14,D68)</f>
        <v>0</v>
      </c>
      <c r="F68" s="159">
        <f t="shared" si="7"/>
        <v>0</v>
      </c>
      <c r="G68" s="161">
        <f t="shared" si="8"/>
        <v>0</v>
      </c>
      <c r="H68" s="142">
        <f t="shared" si="9"/>
        <v>0</v>
      </c>
      <c r="I68" s="156">
        <f t="shared" si="6"/>
        <v>0</v>
      </c>
      <c r="J68" s="156"/>
      <c r="K68" s="334"/>
      <c r="L68" s="158">
        <f t="shared" si="10"/>
        <v>0</v>
      </c>
      <c r="M68" s="334"/>
      <c r="N68" s="158">
        <f t="shared" si="11"/>
        <v>0</v>
      </c>
      <c r="O68" s="158">
        <f t="shared" si="12"/>
        <v>0</v>
      </c>
      <c r="P68" s="4"/>
    </row>
    <row r="69" spans="2:16">
      <c r="B69" s="9" t="str">
        <f t="shared" si="5"/>
        <v/>
      </c>
      <c r="C69" s="153">
        <f>IF(D11="","-",+C68+1)</f>
        <v>2059</v>
      </c>
      <c r="D69" s="159">
        <f>IF(F68+SUM(E$17:E68)=D$10,F68,D$10-SUM(E$17:E68))</f>
        <v>0</v>
      </c>
      <c r="E69" s="160">
        <f>IF(+I14&lt;F68,I14,D69)</f>
        <v>0</v>
      </c>
      <c r="F69" s="159">
        <f t="shared" si="7"/>
        <v>0</v>
      </c>
      <c r="G69" s="161">
        <f t="shared" si="8"/>
        <v>0</v>
      </c>
      <c r="H69" s="142">
        <f t="shared" si="9"/>
        <v>0</v>
      </c>
      <c r="I69" s="156">
        <f t="shared" si="6"/>
        <v>0</v>
      </c>
      <c r="J69" s="156"/>
      <c r="K69" s="334"/>
      <c r="L69" s="158">
        <f t="shared" si="10"/>
        <v>0</v>
      </c>
      <c r="M69" s="334"/>
      <c r="N69" s="158">
        <f t="shared" si="11"/>
        <v>0</v>
      </c>
      <c r="O69" s="158">
        <f t="shared" si="12"/>
        <v>0</v>
      </c>
      <c r="P69" s="4"/>
    </row>
    <row r="70" spans="2:16">
      <c r="B70" s="9" t="str">
        <f t="shared" si="5"/>
        <v/>
      </c>
      <c r="C70" s="153">
        <f>IF(D11="","-",+C69+1)</f>
        <v>2060</v>
      </c>
      <c r="D70" s="159">
        <f>IF(F69+SUM(E$17:E69)=D$10,F69,D$10-SUM(E$17:E69))</f>
        <v>0</v>
      </c>
      <c r="E70" s="160">
        <f>IF(+I14&lt;F69,I14,D70)</f>
        <v>0</v>
      </c>
      <c r="F70" s="159">
        <f t="shared" si="7"/>
        <v>0</v>
      </c>
      <c r="G70" s="161">
        <f t="shared" si="8"/>
        <v>0</v>
      </c>
      <c r="H70" s="142">
        <f t="shared" si="9"/>
        <v>0</v>
      </c>
      <c r="I70" s="156">
        <f t="shared" si="6"/>
        <v>0</v>
      </c>
      <c r="J70" s="156"/>
      <c r="K70" s="334"/>
      <c r="L70" s="158">
        <f t="shared" si="10"/>
        <v>0</v>
      </c>
      <c r="M70" s="334"/>
      <c r="N70" s="158">
        <f t="shared" si="11"/>
        <v>0</v>
      </c>
      <c r="O70" s="158">
        <f t="shared" si="12"/>
        <v>0</v>
      </c>
      <c r="P70" s="4"/>
    </row>
    <row r="71" spans="2:16">
      <c r="B71" s="9" t="str">
        <f t="shared" si="5"/>
        <v/>
      </c>
      <c r="C71" s="153">
        <f>IF(D11="","-",+C70+1)</f>
        <v>2061</v>
      </c>
      <c r="D71" s="159">
        <f>IF(F70+SUM(E$17:E70)=D$10,F70,D$10-SUM(E$17:E70))</f>
        <v>0</v>
      </c>
      <c r="E71" s="160">
        <f>IF(+I14&lt;F70,I14,D71)</f>
        <v>0</v>
      </c>
      <c r="F71" s="159">
        <f t="shared" si="7"/>
        <v>0</v>
      </c>
      <c r="G71" s="161">
        <f t="shared" si="8"/>
        <v>0</v>
      </c>
      <c r="H71" s="142">
        <f t="shared" si="9"/>
        <v>0</v>
      </c>
      <c r="I71" s="156">
        <f t="shared" si="6"/>
        <v>0</v>
      </c>
      <c r="J71" s="156"/>
      <c r="K71" s="334"/>
      <c r="L71" s="158">
        <f t="shared" si="10"/>
        <v>0</v>
      </c>
      <c r="M71" s="334"/>
      <c r="N71" s="158">
        <f t="shared" si="11"/>
        <v>0</v>
      </c>
      <c r="O71" s="158">
        <f t="shared" si="12"/>
        <v>0</v>
      </c>
      <c r="P71" s="4"/>
    </row>
    <row r="72" spans="2:16" ht="13.5" thickBot="1">
      <c r="B72" s="9" t="str">
        <f t="shared" si="5"/>
        <v/>
      </c>
      <c r="C72" s="164">
        <f>IF(D11="","-",+C71+1)</f>
        <v>2062</v>
      </c>
      <c r="D72" s="165">
        <f>IF(F71+SUM(E$17:E71)=D$10,F71,D$10-SUM(E$17:E71))</f>
        <v>0</v>
      </c>
      <c r="E72" s="166">
        <f>IF(+I14&lt;F71,I14,D72)</f>
        <v>0</v>
      </c>
      <c r="F72" s="165">
        <f t="shared" si="7"/>
        <v>0</v>
      </c>
      <c r="G72" s="161">
        <f t="shared" si="8"/>
        <v>0</v>
      </c>
      <c r="H72" s="142">
        <f t="shared" si="9"/>
        <v>0</v>
      </c>
      <c r="I72" s="168">
        <f t="shared" si="6"/>
        <v>0</v>
      </c>
      <c r="J72" s="156"/>
      <c r="K72" s="335"/>
      <c r="L72" s="169">
        <f t="shared" si="10"/>
        <v>0</v>
      </c>
      <c r="M72" s="335"/>
      <c r="N72" s="169">
        <f t="shared" si="11"/>
        <v>0</v>
      </c>
      <c r="O72" s="169">
        <f t="shared" si="12"/>
        <v>0</v>
      </c>
      <c r="P72" s="4"/>
    </row>
    <row r="73" spans="2:16">
      <c r="C73" s="154" t="s">
        <v>73</v>
      </c>
      <c r="D73" s="111"/>
      <c r="E73" s="111">
        <f>SUM(E17:E72)</f>
        <v>29107362.050000008</v>
      </c>
      <c r="F73" s="111"/>
      <c r="G73" s="111">
        <f>SUM(G17:G72)</f>
        <v>102891160.68910432</v>
      </c>
      <c r="H73" s="111">
        <f>SUM(H17:H72)</f>
        <v>102891160.68910432</v>
      </c>
      <c r="I73" s="111">
        <f>SUM(I17:I72)</f>
        <v>0</v>
      </c>
      <c r="J73" s="111"/>
      <c r="K73" s="111"/>
      <c r="L73" s="111"/>
      <c r="M73" s="111"/>
      <c r="N73" s="111"/>
      <c r="O73" s="4"/>
      <c r="P73" s="4"/>
    </row>
    <row r="74" spans="2:16">
      <c r="D74" s="2"/>
      <c r="E74" s="1"/>
      <c r="F74" s="1"/>
      <c r="G74" s="1"/>
      <c r="H74" s="3"/>
      <c r="I74" s="3"/>
      <c r="J74" s="111"/>
      <c r="K74" s="3"/>
      <c r="L74" s="3"/>
      <c r="M74" s="3"/>
      <c r="N74" s="3"/>
      <c r="O74" s="1"/>
      <c r="P74" s="1"/>
    </row>
    <row r="75" spans="2:16">
      <c r="C75" s="170" t="s">
        <v>91</v>
      </c>
      <c r="D75" s="2"/>
      <c r="E75" s="1"/>
      <c r="F75" s="1"/>
      <c r="G75" s="1"/>
      <c r="H75" s="3"/>
      <c r="I75" s="3"/>
      <c r="J75" s="111"/>
      <c r="K75" s="3"/>
      <c r="L75" s="3"/>
      <c r="M75" s="3"/>
      <c r="N75" s="3"/>
      <c r="O75" s="1"/>
      <c r="P75" s="1"/>
    </row>
    <row r="76" spans="2:16">
      <c r="C76" s="121" t="s">
        <v>74</v>
      </c>
      <c r="D76" s="2"/>
      <c r="E76" s="1"/>
      <c r="F76" s="1"/>
      <c r="G76" s="1"/>
      <c r="H76" s="3"/>
      <c r="I76" s="3"/>
      <c r="J76" s="111"/>
      <c r="K76" s="3"/>
      <c r="L76" s="3"/>
      <c r="M76" s="3"/>
      <c r="N76" s="3"/>
      <c r="O76" s="4"/>
      <c r="P76" s="4"/>
    </row>
    <row r="77" spans="2:16">
      <c r="C77" s="121" t="s">
        <v>75</v>
      </c>
      <c r="D77" s="154"/>
      <c r="E77" s="154"/>
      <c r="F77" s="154"/>
      <c r="G77" s="111"/>
      <c r="H77" s="111"/>
      <c r="I77" s="171"/>
      <c r="J77" s="171"/>
      <c r="K77" s="171"/>
      <c r="L77" s="171"/>
      <c r="M77" s="171"/>
      <c r="N77" s="171"/>
      <c r="O77" s="4"/>
      <c r="P77" s="4"/>
    </row>
    <row r="78" spans="2:16">
      <c r="C78" s="121"/>
      <c r="D78" s="154"/>
      <c r="E78" s="154"/>
      <c r="F78" s="154"/>
      <c r="G78" s="111"/>
      <c r="H78" s="111"/>
      <c r="I78" s="171"/>
      <c r="J78" s="171"/>
      <c r="K78" s="171"/>
      <c r="L78" s="171"/>
      <c r="M78" s="171"/>
      <c r="N78" s="171"/>
      <c r="O78" s="4"/>
      <c r="P78" s="1"/>
    </row>
    <row r="79" spans="2:16">
      <c r="B79" s="1"/>
      <c r="C79" s="21"/>
      <c r="D79" s="2"/>
      <c r="E79" s="1"/>
      <c r="F79" s="107"/>
      <c r="G79" s="1"/>
      <c r="H79" s="3"/>
      <c r="I79" s="1"/>
      <c r="J79" s="4"/>
      <c r="K79" s="1"/>
      <c r="L79" s="1"/>
      <c r="M79" s="1"/>
      <c r="N79" s="1"/>
      <c r="O79" s="1"/>
      <c r="P79" s="1"/>
    </row>
    <row r="80" spans="2:16" ht="18">
      <c r="B80" s="1"/>
      <c r="C80" s="242"/>
      <c r="D80" s="2"/>
      <c r="E80" s="1"/>
      <c r="F80" s="107"/>
      <c r="G80" s="1"/>
      <c r="H80" s="3"/>
      <c r="I80" s="1"/>
      <c r="J80" s="4"/>
      <c r="K80" s="1"/>
      <c r="L80" s="1"/>
      <c r="M80" s="1"/>
      <c r="N80" s="1"/>
      <c r="P80" s="244" t="s">
        <v>125</v>
      </c>
    </row>
    <row r="81" spans="1:16">
      <c r="B81" s="1"/>
      <c r="C81" s="21"/>
      <c r="D81" s="2"/>
      <c r="E81" s="1"/>
      <c r="F81" s="107"/>
      <c r="G81" s="1"/>
      <c r="H81" s="3"/>
      <c r="I81" s="1"/>
      <c r="J81" s="4"/>
      <c r="K81" s="1"/>
      <c r="L81" s="1"/>
      <c r="M81" s="1"/>
      <c r="N81" s="1"/>
      <c r="O81" s="1"/>
      <c r="P81" s="1"/>
    </row>
    <row r="82" spans="1:16">
      <c r="B82" s="1"/>
      <c r="C82" s="21"/>
      <c r="D82" s="2"/>
      <c r="E82" s="1"/>
      <c r="F82" s="107"/>
      <c r="G82" s="1"/>
      <c r="H82" s="3"/>
      <c r="I82" s="1"/>
      <c r="J82" s="4"/>
      <c r="K82" s="1"/>
      <c r="L82" s="1"/>
      <c r="M82" s="1"/>
      <c r="N82" s="1"/>
      <c r="O82" s="1"/>
      <c r="P82" s="1"/>
    </row>
    <row r="83" spans="1:16" ht="20.25">
      <c r="A83" s="243" t="s">
        <v>129</v>
      </c>
      <c r="B83" s="1"/>
      <c r="C83" s="21"/>
      <c r="D83" s="2"/>
      <c r="E83" s="1"/>
      <c r="F83" s="99"/>
      <c r="G83" s="99"/>
      <c r="H83" s="1"/>
      <c r="I83" s="3"/>
      <c r="K83" s="7"/>
      <c r="L83" s="109"/>
      <c r="M83" s="109"/>
      <c r="P83" s="109" t="str">
        <f ca="1">P1</f>
        <v>SWEPCO Project 44 of 73</v>
      </c>
    </row>
    <row r="84" spans="1:16" ht="18">
      <c r="B84" s="1"/>
      <c r="C84" s="1"/>
      <c r="D84" s="2"/>
      <c r="E84" s="1"/>
      <c r="F84" s="1"/>
      <c r="G84" s="1"/>
      <c r="H84" s="1"/>
      <c r="I84" s="3"/>
      <c r="J84" s="1"/>
      <c r="K84" s="4"/>
      <c r="L84" s="1"/>
      <c r="M84" s="1"/>
      <c r="P84" s="244" t="s">
        <v>123</v>
      </c>
    </row>
    <row r="85" spans="1:16" ht="18.75" thickBot="1">
      <c r="B85" s="5" t="s">
        <v>40</v>
      </c>
      <c r="C85" s="197" t="s">
        <v>78</v>
      </c>
      <c r="D85" s="2"/>
      <c r="E85" s="1"/>
      <c r="F85" s="1"/>
      <c r="G85" s="1"/>
      <c r="H85" s="1"/>
      <c r="I85" s="3"/>
      <c r="J85" s="3"/>
      <c r="K85" s="111"/>
      <c r="L85" s="3"/>
      <c r="M85" s="3"/>
      <c r="N85" s="3"/>
      <c r="O85" s="111"/>
      <c r="P85" s="1"/>
    </row>
    <row r="86" spans="1:16" ht="15.75" thickBot="1">
      <c r="C86" s="67"/>
      <c r="D86" s="2"/>
      <c r="E86" s="1"/>
      <c r="F86" s="1"/>
      <c r="G86" s="1"/>
      <c r="H86" s="1"/>
      <c r="I86" s="3"/>
      <c r="J86" s="3"/>
      <c r="K86" s="111"/>
      <c r="L86" s="265">
        <f>+J92</f>
        <v>2017</v>
      </c>
      <c r="M86" s="266" t="s">
        <v>7</v>
      </c>
      <c r="N86" s="270" t="s">
        <v>154</v>
      </c>
      <c r="O86" s="267" t="s">
        <v>9</v>
      </c>
      <c r="P86" s="1"/>
    </row>
    <row r="87" spans="1:16" ht="15">
      <c r="C87" s="235" t="s">
        <v>42</v>
      </c>
      <c r="D87" s="2"/>
      <c r="E87" s="1"/>
      <c r="F87" s="1"/>
      <c r="G87" s="1"/>
      <c r="H87" s="113"/>
      <c r="I87" s="1" t="s">
        <v>43</v>
      </c>
      <c r="J87" s="1"/>
      <c r="K87" s="261"/>
      <c r="L87" s="259" t="s">
        <v>381</v>
      </c>
      <c r="M87" s="198">
        <f>IF(J92&lt;D11,0,VLOOKUP(J92,C17:O72,9))</f>
        <v>3461258.8249701741</v>
      </c>
      <c r="N87" s="198">
        <f>IF(J92&lt;D11,0,VLOOKUP(J92,C17:O72,11))</f>
        <v>3461258.8249701741</v>
      </c>
      <c r="O87" s="199">
        <f>+N87-M87</f>
        <v>0</v>
      </c>
      <c r="P87" s="1"/>
    </row>
    <row r="88" spans="1:16" ht="15.75">
      <c r="C88" s="8"/>
      <c r="D88" s="2"/>
      <c r="E88" s="1"/>
      <c r="F88" s="1"/>
      <c r="G88" s="1"/>
      <c r="H88" s="1"/>
      <c r="I88" s="117"/>
      <c r="J88" s="117"/>
      <c r="K88" s="263"/>
      <c r="L88" s="264" t="s">
        <v>382</v>
      </c>
      <c r="M88" s="200">
        <f>IF(J92&lt;D11,0,VLOOKUP(J92,C99:P154,6))</f>
        <v>4034442.3721004287</v>
      </c>
      <c r="N88" s="200">
        <f>IF(J92&lt;D11,0,VLOOKUP(J92,C99:P154,7))</f>
        <v>4034442.3721004287</v>
      </c>
      <c r="O88" s="201">
        <f>+N88-M88</f>
        <v>0</v>
      </c>
      <c r="P88" s="1"/>
    </row>
    <row r="89" spans="1:16" ht="13.5" thickBot="1">
      <c r="C89" s="121" t="s">
        <v>79</v>
      </c>
      <c r="D89" s="246" t="str">
        <f>+D7</f>
        <v>Pittsburg-Winnsboro-North Mineola</v>
      </c>
      <c r="E89" s="1"/>
      <c r="F89" s="1"/>
      <c r="G89" s="1"/>
      <c r="H89" s="1"/>
      <c r="I89" s="3"/>
      <c r="J89" s="3"/>
      <c r="K89" s="262"/>
      <c r="L89" s="260" t="s">
        <v>151</v>
      </c>
      <c r="M89" s="203">
        <f>+M88-M87</f>
        <v>573183.54713025456</v>
      </c>
      <c r="N89" s="203">
        <f>+N88-N87</f>
        <v>573183.54713025456</v>
      </c>
      <c r="O89" s="204">
        <f>+O88-O87</f>
        <v>0</v>
      </c>
      <c r="P89" s="1"/>
    </row>
    <row r="90" spans="1:16" ht="13.5" thickBot="1">
      <c r="C90" s="170"/>
      <c r="D90" s="421" t="s">
        <v>360</v>
      </c>
      <c r="E90" s="107"/>
      <c r="F90" s="107"/>
      <c r="G90" s="107"/>
      <c r="H90" s="126"/>
      <c r="I90" s="3"/>
      <c r="J90" s="3"/>
      <c r="K90" s="111"/>
      <c r="L90" s="3"/>
      <c r="M90" s="3"/>
      <c r="N90" s="3"/>
      <c r="O90" s="111"/>
      <c r="P90" s="1"/>
    </row>
    <row r="91" spans="1:16" ht="13.5" thickBot="1">
      <c r="A91" s="103"/>
      <c r="C91" s="205" t="s">
        <v>80</v>
      </c>
      <c r="D91" s="224" t="str">
        <f>+D9</f>
        <v>TP2002006</v>
      </c>
      <c r="E91" s="206"/>
      <c r="F91" s="206"/>
      <c r="G91" s="206"/>
      <c r="H91" s="206"/>
      <c r="I91" s="206"/>
      <c r="J91" s="206"/>
      <c r="K91" s="207"/>
      <c r="P91" s="131"/>
    </row>
    <row r="92" spans="1:16">
      <c r="C92" s="136" t="s">
        <v>47</v>
      </c>
      <c r="D92" s="417">
        <v>29107362</v>
      </c>
      <c r="E92" s="21" t="s">
        <v>81</v>
      </c>
      <c r="H92" s="134"/>
      <c r="I92" s="134"/>
      <c r="J92" s="135">
        <f>+'SWE.WS.G.BPU.ATRR.True-up'!M15</f>
        <v>2017</v>
      </c>
      <c r="K92" s="130"/>
      <c r="L92" s="111" t="s">
        <v>82</v>
      </c>
      <c r="P92" s="4"/>
    </row>
    <row r="93" spans="1:16">
      <c r="C93" s="136" t="s">
        <v>49</v>
      </c>
      <c r="D93" s="219">
        <v>2007</v>
      </c>
      <c r="E93" s="136" t="s">
        <v>50</v>
      </c>
      <c r="F93" s="134"/>
      <c r="G93" s="134"/>
      <c r="J93" s="138">
        <f>IF(H87="",0,'SWE.WS.G.BPU.ATRR.True-up'!$F$12)</f>
        <v>0</v>
      </c>
      <c r="K93" s="139"/>
      <c r="L93" t="str">
        <f>"          INPUT TRUE-UP ARR (WITH &amp; WITHOUT INCENTIVES) FROM EACH PRIOR YEAR"</f>
        <v xml:space="preserve">          INPUT TRUE-UP ARR (WITH &amp; WITHOUT INCENTIVES) FROM EACH PRIOR YEAR</v>
      </c>
      <c r="P93" s="4"/>
    </row>
    <row r="94" spans="1:16">
      <c r="C94" s="136" t="s">
        <v>51</v>
      </c>
      <c r="D94" s="219">
        <f>+D12</f>
        <v>11</v>
      </c>
      <c r="E94" s="136" t="s">
        <v>52</v>
      </c>
      <c r="F94" s="134"/>
      <c r="G94" s="134"/>
      <c r="J94" s="140">
        <f>'SWE.WS.G.BPU.ATRR.True-up'!$F$80</f>
        <v>0.12147145768398206</v>
      </c>
      <c r="K94" s="141"/>
      <c r="L94" t="s">
        <v>83</v>
      </c>
      <c r="P94" s="4"/>
    </row>
    <row r="95" spans="1:16">
      <c r="C95" s="136" t="s">
        <v>54</v>
      </c>
      <c r="D95" s="138">
        <f>'SWE.WS.G.BPU.ATRR.True-up'!F$92</f>
        <v>42</v>
      </c>
      <c r="E95" s="136" t="s">
        <v>55</v>
      </c>
      <c r="F95" s="134"/>
      <c r="G95" s="134"/>
      <c r="J95" s="140">
        <f>IF(H87="",J94,'SWE.WS.G.BPU.ATRR.True-up'!$F$79)</f>
        <v>0.12147145768398206</v>
      </c>
      <c r="K95" s="58"/>
      <c r="L95" s="111" t="s">
        <v>56</v>
      </c>
      <c r="M95" s="58"/>
      <c r="N95" s="58"/>
      <c r="O95" s="58"/>
      <c r="P95" s="4"/>
    </row>
    <row r="96" spans="1:16" ht="13.5" thickBot="1">
      <c r="C96" s="136" t="s">
        <v>57</v>
      </c>
      <c r="D96" s="220" t="str">
        <f>+D14</f>
        <v>No</v>
      </c>
      <c r="E96" s="202" t="s">
        <v>59</v>
      </c>
      <c r="F96" s="208"/>
      <c r="G96" s="208"/>
      <c r="H96" s="209"/>
      <c r="I96" s="209"/>
      <c r="J96" s="124">
        <f>IF(D92=0,0,D92/D95)</f>
        <v>693032.42857142852</v>
      </c>
      <c r="K96" s="111"/>
      <c r="L96" s="111"/>
      <c r="M96" s="111"/>
      <c r="N96" s="111"/>
      <c r="O96" s="111"/>
      <c r="P96" s="4"/>
    </row>
    <row r="97" spans="1:16" ht="38.25">
      <c r="A97" s="6"/>
      <c r="B97" s="6"/>
      <c r="C97" s="210" t="s">
        <v>47</v>
      </c>
      <c r="D97" s="211" t="s">
        <v>60</v>
      </c>
      <c r="E97" s="146" t="s">
        <v>61</v>
      </c>
      <c r="F97" s="146" t="s">
        <v>62</v>
      </c>
      <c r="G97" s="144" t="s">
        <v>84</v>
      </c>
      <c r="H97" s="434" t="s">
        <v>378</v>
      </c>
      <c r="I97" s="435" t="s">
        <v>379</v>
      </c>
      <c r="J97" s="210" t="s">
        <v>85</v>
      </c>
      <c r="K97" s="212"/>
      <c r="L97" s="271" t="s">
        <v>220</v>
      </c>
      <c r="M97" s="146" t="s">
        <v>86</v>
      </c>
      <c r="N97" s="271" t="s">
        <v>220</v>
      </c>
      <c r="O97" s="146" t="s">
        <v>86</v>
      </c>
      <c r="P97" s="146" t="s">
        <v>65</v>
      </c>
    </row>
    <row r="98" spans="1:16" ht="13.5" thickBot="1">
      <c r="C98" s="147" t="s">
        <v>66</v>
      </c>
      <c r="D98" s="213" t="s">
        <v>67</v>
      </c>
      <c r="E98" s="147" t="s">
        <v>68</v>
      </c>
      <c r="F98" s="147" t="s">
        <v>67</v>
      </c>
      <c r="G98" s="147" t="s">
        <v>67</v>
      </c>
      <c r="H98" s="407" t="s">
        <v>69</v>
      </c>
      <c r="I98" s="148" t="s">
        <v>70</v>
      </c>
      <c r="J98" s="149" t="s">
        <v>89</v>
      </c>
      <c r="K98" s="150"/>
      <c r="L98" s="151" t="s">
        <v>72</v>
      </c>
      <c r="M98" s="151" t="s">
        <v>72</v>
      </c>
      <c r="N98" s="151" t="s">
        <v>90</v>
      </c>
      <c r="O98" s="151" t="s">
        <v>90</v>
      </c>
      <c r="P98" s="151" t="s">
        <v>90</v>
      </c>
    </row>
    <row r="99" spans="1:16">
      <c r="C99" s="153">
        <f>IF(D93= "","-",D93)</f>
        <v>2007</v>
      </c>
      <c r="D99" s="350"/>
      <c r="E99" s="163"/>
      <c r="F99" s="162"/>
      <c r="G99" s="419"/>
      <c r="H99" s="251"/>
      <c r="I99" s="252"/>
      <c r="J99" s="257">
        <v>0</v>
      </c>
      <c r="K99" s="158"/>
      <c r="L99" s="258"/>
      <c r="M99" s="158">
        <f t="shared" ref="M99:M105" si="13">IF(L99&lt;&gt;0,+H99-L99,0)</f>
        <v>0</v>
      </c>
      <c r="N99" s="258"/>
      <c r="O99" s="158">
        <f t="shared" ref="O99:O105" si="14">IF(N99&lt;&gt;0,+I99-N99,0)</f>
        <v>0</v>
      </c>
      <c r="P99" s="158">
        <f t="shared" ref="P99:P105" si="15">+O99-M99</f>
        <v>0</v>
      </c>
    </row>
    <row r="100" spans="1:16">
      <c r="B100" s="9" t="str">
        <f>IF(D100=F99,"","IU")</f>
        <v/>
      </c>
      <c r="C100" s="153">
        <f>IF(D93="","-",+C99+1)</f>
        <v>2008</v>
      </c>
      <c r="D100" s="350"/>
      <c r="E100" s="420"/>
      <c r="F100" s="162"/>
      <c r="G100" s="162"/>
      <c r="H100" s="163"/>
      <c r="I100" s="253"/>
      <c r="J100" s="257">
        <v>0</v>
      </c>
      <c r="K100" s="158"/>
      <c r="L100" s="258"/>
      <c r="M100" s="158">
        <f t="shared" si="13"/>
        <v>0</v>
      </c>
      <c r="N100" s="258"/>
      <c r="O100" s="158">
        <f t="shared" si="14"/>
        <v>0</v>
      </c>
      <c r="P100" s="158">
        <f t="shared" si="15"/>
        <v>0</v>
      </c>
    </row>
    <row r="101" spans="1:16">
      <c r="B101" s="9" t="str">
        <f t="shared" ref="B101:B154" si="16">IF(D101=F100,"","IU")</f>
        <v/>
      </c>
      <c r="C101" s="153">
        <f>IF(D93="","-",+C100+1)</f>
        <v>2009</v>
      </c>
      <c r="D101" s="350"/>
      <c r="E101" s="420"/>
      <c r="F101" s="162"/>
      <c r="G101" s="162"/>
      <c r="H101" s="163"/>
      <c r="I101" s="253"/>
      <c r="J101" s="257">
        <v>0</v>
      </c>
      <c r="K101" s="158"/>
      <c r="L101" s="258"/>
      <c r="M101" s="158">
        <f t="shared" si="13"/>
        <v>0</v>
      </c>
      <c r="N101" s="258"/>
      <c r="O101" s="158">
        <f t="shared" si="14"/>
        <v>0</v>
      </c>
      <c r="P101" s="158">
        <f t="shared" si="15"/>
        <v>0</v>
      </c>
    </row>
    <row r="102" spans="1:16">
      <c r="B102" s="9" t="str">
        <f t="shared" si="16"/>
        <v/>
      </c>
      <c r="C102" s="153">
        <f>IF(D93="","-",+C101+1)</f>
        <v>2010</v>
      </c>
      <c r="D102" s="350"/>
      <c r="E102" s="420"/>
      <c r="F102" s="162"/>
      <c r="G102" s="162"/>
      <c r="H102" s="163"/>
      <c r="I102" s="253"/>
      <c r="J102" s="257">
        <v>0</v>
      </c>
      <c r="K102" s="158"/>
      <c r="L102" s="258"/>
      <c r="M102" s="158">
        <f t="shared" si="13"/>
        <v>0</v>
      </c>
      <c r="N102" s="258"/>
      <c r="O102" s="158">
        <f t="shared" si="14"/>
        <v>0</v>
      </c>
      <c r="P102" s="158">
        <f t="shared" si="15"/>
        <v>0</v>
      </c>
    </row>
    <row r="103" spans="1:16">
      <c r="B103" s="9" t="str">
        <f t="shared" si="16"/>
        <v/>
      </c>
      <c r="C103" s="153">
        <f>IF(D93="","-",+C102+1)</f>
        <v>2011</v>
      </c>
      <c r="D103" s="350"/>
      <c r="E103" s="420"/>
      <c r="F103" s="162"/>
      <c r="G103" s="162"/>
      <c r="H103" s="163"/>
      <c r="I103" s="253"/>
      <c r="J103" s="257">
        <v>0</v>
      </c>
      <c r="K103" s="158"/>
      <c r="L103" s="258"/>
      <c r="M103" s="158">
        <f t="shared" si="13"/>
        <v>0</v>
      </c>
      <c r="N103" s="258"/>
      <c r="O103" s="158">
        <f t="shared" si="14"/>
        <v>0</v>
      </c>
      <c r="P103" s="158">
        <f t="shared" si="15"/>
        <v>0</v>
      </c>
    </row>
    <row r="104" spans="1:16">
      <c r="B104" s="9" t="str">
        <f t="shared" si="16"/>
        <v/>
      </c>
      <c r="C104" s="153">
        <f>IF(D93="","-",+C103+1)</f>
        <v>2012</v>
      </c>
      <c r="D104" s="350"/>
      <c r="E104" s="420"/>
      <c r="F104" s="162"/>
      <c r="G104" s="162"/>
      <c r="H104" s="163"/>
      <c r="I104" s="253"/>
      <c r="J104" s="257">
        <v>0</v>
      </c>
      <c r="K104" s="158"/>
      <c r="L104" s="258"/>
      <c r="M104" s="158">
        <f t="shared" si="13"/>
        <v>0</v>
      </c>
      <c r="N104" s="258"/>
      <c r="O104" s="158">
        <f t="shared" si="14"/>
        <v>0</v>
      </c>
      <c r="P104" s="158">
        <f t="shared" si="15"/>
        <v>0</v>
      </c>
    </row>
    <row r="105" spans="1:16">
      <c r="B105" s="9" t="str">
        <f t="shared" si="16"/>
        <v/>
      </c>
      <c r="C105" s="153">
        <f>IF(D93="","-",+C104+1)</f>
        <v>2013</v>
      </c>
      <c r="D105" s="350"/>
      <c r="E105" s="420"/>
      <c r="F105" s="162"/>
      <c r="G105" s="162"/>
      <c r="H105" s="163"/>
      <c r="I105" s="253"/>
      <c r="J105" s="257">
        <v>0</v>
      </c>
      <c r="K105" s="158"/>
      <c r="L105" s="258"/>
      <c r="M105" s="158">
        <f t="shared" si="13"/>
        <v>0</v>
      </c>
      <c r="N105" s="258"/>
      <c r="O105" s="158">
        <f t="shared" si="14"/>
        <v>0</v>
      </c>
      <c r="P105" s="158">
        <f t="shared" si="15"/>
        <v>0</v>
      </c>
    </row>
    <row r="106" spans="1:16">
      <c r="B106" s="9" t="str">
        <f t="shared" si="16"/>
        <v/>
      </c>
      <c r="C106" s="153">
        <f>IF(D93="","-",+C105+1)</f>
        <v>2014</v>
      </c>
      <c r="D106" s="350"/>
      <c r="E106" s="420"/>
      <c r="F106" s="162"/>
      <c r="G106" s="162"/>
      <c r="H106" s="163"/>
      <c r="I106" s="253"/>
      <c r="J106" s="257">
        <v>0</v>
      </c>
      <c r="K106" s="158"/>
      <c r="L106" s="258"/>
      <c r="M106" s="158">
        <f t="shared" ref="M106:M130" si="17">IF(L106&lt;&gt;0,+H106-L106,0)</f>
        <v>0</v>
      </c>
      <c r="N106" s="258"/>
      <c r="O106" s="158">
        <f t="shared" ref="O106:O130" si="18">IF(N106&lt;&gt;0,+I106-N106,0)</f>
        <v>0</v>
      </c>
      <c r="P106" s="158">
        <f t="shared" ref="P106:P130" si="19">+O106-M106</f>
        <v>0</v>
      </c>
    </row>
    <row r="107" spans="1:16">
      <c r="B107" s="9" t="str">
        <f t="shared" si="16"/>
        <v>IU</v>
      </c>
      <c r="C107" s="153">
        <f>IF(D93="","-",+C106+1)</f>
        <v>2015</v>
      </c>
      <c r="D107" s="409">
        <v>24198382.339186504</v>
      </c>
      <c r="E107" s="410">
        <v>576151.96045682149</v>
      </c>
      <c r="F107" s="411">
        <v>23622230.378729682</v>
      </c>
      <c r="G107" s="411">
        <v>23910306.358958095</v>
      </c>
      <c r="H107" s="413">
        <v>3726786.1990239997</v>
      </c>
      <c r="I107" s="414">
        <v>3726786.1990239997</v>
      </c>
      <c r="J107" s="158">
        <f>+I107-H107</f>
        <v>0</v>
      </c>
      <c r="K107" s="158"/>
      <c r="L107" s="258">
        <f>+H107</f>
        <v>3726786.1990239997</v>
      </c>
      <c r="M107" s="158">
        <f t="shared" si="17"/>
        <v>0</v>
      </c>
      <c r="N107" s="258">
        <f>+I107</f>
        <v>3726786.1990239997</v>
      </c>
      <c r="O107" s="158">
        <f t="shared" si="18"/>
        <v>0</v>
      </c>
      <c r="P107" s="158">
        <f t="shared" si="19"/>
        <v>0</v>
      </c>
    </row>
    <row r="108" spans="1:16">
      <c r="B108" s="9" t="str">
        <f t="shared" si="16"/>
        <v>IU</v>
      </c>
      <c r="C108" s="153">
        <f>IF(D93="","-",+C107+1)</f>
        <v>2016</v>
      </c>
      <c r="D108" s="409">
        <v>28531210.039543178</v>
      </c>
      <c r="E108" s="410">
        <v>676915.39534883725</v>
      </c>
      <c r="F108" s="411">
        <v>27854294.644194342</v>
      </c>
      <c r="G108" s="411">
        <v>28192752.341868758</v>
      </c>
      <c r="H108" s="413">
        <v>4255984.9749657642</v>
      </c>
      <c r="I108" s="414">
        <v>4255984.9749657642</v>
      </c>
      <c r="J108" s="158">
        <v>0</v>
      </c>
      <c r="K108" s="158"/>
      <c r="L108" s="258">
        <f>+H108</f>
        <v>4255984.9749657642</v>
      </c>
      <c r="M108" s="158">
        <f>IF(L108&lt;&gt;0,+H108-L108,0)</f>
        <v>0</v>
      </c>
      <c r="N108" s="258">
        <f>+I108</f>
        <v>4255984.9749657642</v>
      </c>
      <c r="O108" s="158">
        <f>IF(N108&lt;&gt;0,+I108-N108,0)</f>
        <v>0</v>
      </c>
      <c r="P108" s="158">
        <f>+O108-M108</f>
        <v>0</v>
      </c>
    </row>
    <row r="109" spans="1:16">
      <c r="B109" s="9" t="str">
        <f t="shared" si="16"/>
        <v/>
      </c>
      <c r="C109" s="153">
        <f>IF(D93="","-",+C108+1)</f>
        <v>2017</v>
      </c>
      <c r="D109" s="154">
        <f>IF(F108+SUM(E$99:E108)=D$92,F108,D$92-SUM(E$99:E108))</f>
        <v>27854294.644194342</v>
      </c>
      <c r="E109" s="160">
        <f t="shared" ref="E109:E154" si="20">IF(+$J$96&lt;F108,$J$96,D109)</f>
        <v>693032.42857142852</v>
      </c>
      <c r="F109" s="159">
        <f t="shared" ref="F109:F154" si="21">+D109-E109</f>
        <v>27161262.215622913</v>
      </c>
      <c r="G109" s="159">
        <f t="shared" ref="G109:G154" si="22">+(F109+D109)/2</f>
        <v>27507778.429908626</v>
      </c>
      <c r="H109" s="163">
        <f t="shared" ref="H109:H154" si="23">+J$94*G109+E109</f>
        <v>4034442.3721004287</v>
      </c>
      <c r="I109" s="253">
        <f t="shared" ref="I109:I154" si="24">+J$95*G109+E109</f>
        <v>4034442.3721004287</v>
      </c>
      <c r="J109" s="158">
        <f t="shared" ref="J109:J154" si="25">+I109-H109</f>
        <v>0</v>
      </c>
      <c r="K109" s="158"/>
      <c r="L109" s="334"/>
      <c r="M109" s="158">
        <f t="shared" si="17"/>
        <v>0</v>
      </c>
      <c r="N109" s="334"/>
      <c r="O109" s="158">
        <f t="shared" si="18"/>
        <v>0</v>
      </c>
      <c r="P109" s="158">
        <f t="shared" si="19"/>
        <v>0</v>
      </c>
    </row>
    <row r="110" spans="1:16">
      <c r="B110" s="9" t="str">
        <f t="shared" si="16"/>
        <v/>
      </c>
      <c r="C110" s="153">
        <f>IF(D93="","-",+C109+1)</f>
        <v>2018</v>
      </c>
      <c r="D110" s="154">
        <f>IF(F109+SUM(E$99:E109)=D$92,F109,D$92-SUM(E$99:E109))</f>
        <v>27161262.215622913</v>
      </c>
      <c r="E110" s="160">
        <f t="shared" si="20"/>
        <v>693032.42857142852</v>
      </c>
      <c r="F110" s="159">
        <f t="shared" si="21"/>
        <v>26468229.787051484</v>
      </c>
      <c r="G110" s="159">
        <f t="shared" si="22"/>
        <v>26814746.0013372</v>
      </c>
      <c r="H110" s="163">
        <f t="shared" si="23"/>
        <v>3950258.7127795876</v>
      </c>
      <c r="I110" s="253">
        <f t="shared" si="24"/>
        <v>3950258.7127795876</v>
      </c>
      <c r="J110" s="158">
        <f t="shared" si="25"/>
        <v>0</v>
      </c>
      <c r="K110" s="158"/>
      <c r="L110" s="334"/>
      <c r="M110" s="158">
        <f t="shared" si="17"/>
        <v>0</v>
      </c>
      <c r="N110" s="334"/>
      <c r="O110" s="158">
        <f t="shared" si="18"/>
        <v>0</v>
      </c>
      <c r="P110" s="158">
        <f t="shared" si="19"/>
        <v>0</v>
      </c>
    </row>
    <row r="111" spans="1:16">
      <c r="B111" s="9" t="str">
        <f t="shared" si="16"/>
        <v/>
      </c>
      <c r="C111" s="153">
        <f>IF(D93="","-",+C110+1)</f>
        <v>2019</v>
      </c>
      <c r="D111" s="154">
        <f>IF(F110+SUM(E$99:E110)=D$92,F110,D$92-SUM(E$99:E110))</f>
        <v>26468229.787051484</v>
      </c>
      <c r="E111" s="160">
        <f t="shared" si="20"/>
        <v>693032.42857142852</v>
      </c>
      <c r="F111" s="159">
        <f t="shared" si="21"/>
        <v>25775197.358480055</v>
      </c>
      <c r="G111" s="159">
        <f t="shared" si="22"/>
        <v>26121713.572765768</v>
      </c>
      <c r="H111" s="163">
        <f t="shared" si="23"/>
        <v>3866075.0534587451</v>
      </c>
      <c r="I111" s="253">
        <f t="shared" si="24"/>
        <v>3866075.0534587451</v>
      </c>
      <c r="J111" s="158">
        <f t="shared" si="25"/>
        <v>0</v>
      </c>
      <c r="K111" s="158"/>
      <c r="L111" s="334"/>
      <c r="M111" s="158">
        <f t="shared" si="17"/>
        <v>0</v>
      </c>
      <c r="N111" s="334"/>
      <c r="O111" s="158">
        <f t="shared" si="18"/>
        <v>0</v>
      </c>
      <c r="P111" s="158">
        <f t="shared" si="19"/>
        <v>0</v>
      </c>
    </row>
    <row r="112" spans="1:16">
      <c r="B112" s="9" t="str">
        <f t="shared" si="16"/>
        <v/>
      </c>
      <c r="C112" s="153">
        <f>IF(D93="","-",+C111+1)</f>
        <v>2020</v>
      </c>
      <c r="D112" s="154">
        <f>IF(F111+SUM(E$99:E111)=D$92,F111,D$92-SUM(E$99:E111))</f>
        <v>25775197.358480055</v>
      </c>
      <c r="E112" s="160">
        <f t="shared" si="20"/>
        <v>693032.42857142852</v>
      </c>
      <c r="F112" s="159">
        <f t="shared" si="21"/>
        <v>25082164.929908626</v>
      </c>
      <c r="G112" s="159">
        <f t="shared" si="22"/>
        <v>25428681.144194342</v>
      </c>
      <c r="H112" s="163">
        <f t="shared" si="23"/>
        <v>3781891.394137904</v>
      </c>
      <c r="I112" s="253">
        <f t="shared" si="24"/>
        <v>3781891.394137904</v>
      </c>
      <c r="J112" s="158">
        <f t="shared" si="25"/>
        <v>0</v>
      </c>
      <c r="K112" s="158"/>
      <c r="L112" s="334"/>
      <c r="M112" s="158">
        <f t="shared" si="17"/>
        <v>0</v>
      </c>
      <c r="N112" s="334"/>
      <c r="O112" s="158">
        <f t="shared" si="18"/>
        <v>0</v>
      </c>
      <c r="P112" s="158">
        <f t="shared" si="19"/>
        <v>0</v>
      </c>
    </row>
    <row r="113" spans="2:16">
      <c r="B113" s="9" t="str">
        <f t="shared" si="16"/>
        <v/>
      </c>
      <c r="C113" s="153">
        <f>IF(D93="","-",+C112+1)</f>
        <v>2021</v>
      </c>
      <c r="D113" s="154">
        <f>IF(F112+SUM(E$99:E112)=D$92,F112,D$92-SUM(E$99:E112))</f>
        <v>25082164.929908626</v>
      </c>
      <c r="E113" s="160">
        <f t="shared" si="20"/>
        <v>693032.42857142852</v>
      </c>
      <c r="F113" s="159">
        <f t="shared" si="21"/>
        <v>24389132.501337197</v>
      </c>
      <c r="G113" s="159">
        <f t="shared" si="22"/>
        <v>24735648.715622909</v>
      </c>
      <c r="H113" s="163">
        <f t="shared" si="23"/>
        <v>3697707.734817062</v>
      </c>
      <c r="I113" s="253">
        <f t="shared" si="24"/>
        <v>3697707.734817062</v>
      </c>
      <c r="J113" s="158">
        <f t="shared" si="25"/>
        <v>0</v>
      </c>
      <c r="K113" s="158"/>
      <c r="L113" s="334"/>
      <c r="M113" s="158">
        <f t="shared" si="17"/>
        <v>0</v>
      </c>
      <c r="N113" s="334"/>
      <c r="O113" s="158">
        <f t="shared" si="18"/>
        <v>0</v>
      </c>
      <c r="P113" s="158">
        <f t="shared" si="19"/>
        <v>0</v>
      </c>
    </row>
    <row r="114" spans="2:16">
      <c r="B114" s="9" t="str">
        <f t="shared" si="16"/>
        <v/>
      </c>
      <c r="C114" s="153">
        <f>IF(D93="","-",+C113+1)</f>
        <v>2022</v>
      </c>
      <c r="D114" s="154">
        <f>IF(F113+SUM(E$99:E113)=D$92,F113,D$92-SUM(E$99:E113))</f>
        <v>24389132.501337197</v>
      </c>
      <c r="E114" s="160">
        <f t="shared" si="20"/>
        <v>693032.42857142852</v>
      </c>
      <c r="F114" s="159">
        <f t="shared" si="21"/>
        <v>23696100.072765768</v>
      </c>
      <c r="G114" s="159">
        <f t="shared" si="22"/>
        <v>24042616.287051484</v>
      </c>
      <c r="H114" s="163">
        <f t="shared" si="23"/>
        <v>3613524.075496221</v>
      </c>
      <c r="I114" s="253">
        <f t="shared" si="24"/>
        <v>3613524.075496221</v>
      </c>
      <c r="J114" s="158">
        <f t="shared" si="25"/>
        <v>0</v>
      </c>
      <c r="K114" s="158"/>
      <c r="L114" s="334"/>
      <c r="M114" s="158">
        <f t="shared" si="17"/>
        <v>0</v>
      </c>
      <c r="N114" s="334"/>
      <c r="O114" s="158">
        <f t="shared" si="18"/>
        <v>0</v>
      </c>
      <c r="P114" s="158">
        <f t="shared" si="19"/>
        <v>0</v>
      </c>
    </row>
    <row r="115" spans="2:16">
      <c r="B115" s="9" t="str">
        <f t="shared" si="16"/>
        <v/>
      </c>
      <c r="C115" s="153">
        <f>IF(D93="","-",+C114+1)</f>
        <v>2023</v>
      </c>
      <c r="D115" s="154">
        <f>IF(F114+SUM(E$99:E114)=D$92,F114,D$92-SUM(E$99:E114))</f>
        <v>23696100.072765768</v>
      </c>
      <c r="E115" s="160">
        <f t="shared" si="20"/>
        <v>693032.42857142852</v>
      </c>
      <c r="F115" s="159">
        <f t="shared" si="21"/>
        <v>23003067.644194338</v>
      </c>
      <c r="G115" s="159">
        <f t="shared" si="22"/>
        <v>23349583.858480051</v>
      </c>
      <c r="H115" s="163">
        <f t="shared" si="23"/>
        <v>3529340.4161753785</v>
      </c>
      <c r="I115" s="253">
        <f t="shared" si="24"/>
        <v>3529340.4161753785</v>
      </c>
      <c r="J115" s="158">
        <f t="shared" si="25"/>
        <v>0</v>
      </c>
      <c r="K115" s="158"/>
      <c r="L115" s="334"/>
      <c r="M115" s="158">
        <f t="shared" si="17"/>
        <v>0</v>
      </c>
      <c r="N115" s="334"/>
      <c r="O115" s="158">
        <f t="shared" si="18"/>
        <v>0</v>
      </c>
      <c r="P115" s="158">
        <f t="shared" si="19"/>
        <v>0</v>
      </c>
    </row>
    <row r="116" spans="2:16">
      <c r="B116" s="9" t="str">
        <f t="shared" si="16"/>
        <v/>
      </c>
      <c r="C116" s="153">
        <f>IF(D93="","-",+C115+1)</f>
        <v>2024</v>
      </c>
      <c r="D116" s="154">
        <f>IF(F115+SUM(E$99:E115)=D$92,F115,D$92-SUM(E$99:E115))</f>
        <v>23003067.644194338</v>
      </c>
      <c r="E116" s="160">
        <f t="shared" si="20"/>
        <v>693032.42857142852</v>
      </c>
      <c r="F116" s="159">
        <f t="shared" si="21"/>
        <v>22310035.215622909</v>
      </c>
      <c r="G116" s="159">
        <f t="shared" si="22"/>
        <v>22656551.429908626</v>
      </c>
      <c r="H116" s="163">
        <f t="shared" si="23"/>
        <v>3445156.7568545374</v>
      </c>
      <c r="I116" s="253">
        <f t="shared" si="24"/>
        <v>3445156.7568545374</v>
      </c>
      <c r="J116" s="158">
        <f t="shared" si="25"/>
        <v>0</v>
      </c>
      <c r="K116" s="158"/>
      <c r="L116" s="334"/>
      <c r="M116" s="158">
        <f t="shared" si="17"/>
        <v>0</v>
      </c>
      <c r="N116" s="334"/>
      <c r="O116" s="158">
        <f t="shared" si="18"/>
        <v>0</v>
      </c>
      <c r="P116" s="158">
        <f t="shared" si="19"/>
        <v>0</v>
      </c>
    </row>
    <row r="117" spans="2:16">
      <c r="B117" s="9" t="str">
        <f t="shared" si="16"/>
        <v/>
      </c>
      <c r="C117" s="153">
        <f>IF(D93="","-",+C116+1)</f>
        <v>2025</v>
      </c>
      <c r="D117" s="154">
        <f>IF(F116+SUM(E$99:E116)=D$92,F116,D$92-SUM(E$99:E116))</f>
        <v>22310035.215622909</v>
      </c>
      <c r="E117" s="160">
        <f t="shared" si="20"/>
        <v>693032.42857142852</v>
      </c>
      <c r="F117" s="159">
        <f t="shared" si="21"/>
        <v>21617002.78705148</v>
      </c>
      <c r="G117" s="159">
        <f t="shared" si="22"/>
        <v>21963519.001337193</v>
      </c>
      <c r="H117" s="163">
        <f t="shared" si="23"/>
        <v>3360973.0975336954</v>
      </c>
      <c r="I117" s="253">
        <f t="shared" si="24"/>
        <v>3360973.0975336954</v>
      </c>
      <c r="J117" s="158">
        <f t="shared" si="25"/>
        <v>0</v>
      </c>
      <c r="K117" s="158"/>
      <c r="L117" s="334"/>
      <c r="M117" s="158">
        <f t="shared" si="17"/>
        <v>0</v>
      </c>
      <c r="N117" s="334"/>
      <c r="O117" s="158">
        <f t="shared" si="18"/>
        <v>0</v>
      </c>
      <c r="P117" s="158">
        <f t="shared" si="19"/>
        <v>0</v>
      </c>
    </row>
    <row r="118" spans="2:16">
      <c r="B118" s="9" t="str">
        <f t="shared" si="16"/>
        <v/>
      </c>
      <c r="C118" s="153">
        <f>IF(D93="","-",+C117+1)</f>
        <v>2026</v>
      </c>
      <c r="D118" s="154">
        <f>IF(F117+SUM(E$99:E117)=D$92,F117,D$92-SUM(E$99:E117))</f>
        <v>21617002.78705148</v>
      </c>
      <c r="E118" s="160">
        <f t="shared" si="20"/>
        <v>693032.42857142852</v>
      </c>
      <c r="F118" s="159">
        <f t="shared" si="21"/>
        <v>20923970.358480051</v>
      </c>
      <c r="G118" s="159">
        <f t="shared" si="22"/>
        <v>21270486.572765768</v>
      </c>
      <c r="H118" s="163">
        <f t="shared" si="23"/>
        <v>3276789.4382128543</v>
      </c>
      <c r="I118" s="253">
        <f t="shared" si="24"/>
        <v>3276789.4382128543</v>
      </c>
      <c r="J118" s="158">
        <f t="shared" si="25"/>
        <v>0</v>
      </c>
      <c r="K118" s="158"/>
      <c r="L118" s="334"/>
      <c r="M118" s="158">
        <f t="shared" si="17"/>
        <v>0</v>
      </c>
      <c r="N118" s="334"/>
      <c r="O118" s="158">
        <f t="shared" si="18"/>
        <v>0</v>
      </c>
      <c r="P118" s="158">
        <f t="shared" si="19"/>
        <v>0</v>
      </c>
    </row>
    <row r="119" spans="2:16">
      <c r="B119" s="9" t="str">
        <f t="shared" si="16"/>
        <v/>
      </c>
      <c r="C119" s="153">
        <f>IF(D93="","-",+C118+1)</f>
        <v>2027</v>
      </c>
      <c r="D119" s="154">
        <f>IF(F118+SUM(E$99:E118)=D$92,F118,D$92-SUM(E$99:E118))</f>
        <v>20923970.358480051</v>
      </c>
      <c r="E119" s="160">
        <f t="shared" si="20"/>
        <v>693032.42857142852</v>
      </c>
      <c r="F119" s="159">
        <f t="shared" si="21"/>
        <v>20230937.929908622</v>
      </c>
      <c r="G119" s="159">
        <f t="shared" si="22"/>
        <v>20577454.144194335</v>
      </c>
      <c r="H119" s="163">
        <f t="shared" si="23"/>
        <v>3192605.7788920118</v>
      </c>
      <c r="I119" s="253">
        <f t="shared" si="24"/>
        <v>3192605.7788920118</v>
      </c>
      <c r="J119" s="158">
        <f t="shared" si="25"/>
        <v>0</v>
      </c>
      <c r="K119" s="158"/>
      <c r="L119" s="334"/>
      <c r="M119" s="158">
        <f t="shared" si="17"/>
        <v>0</v>
      </c>
      <c r="N119" s="334"/>
      <c r="O119" s="158">
        <f t="shared" si="18"/>
        <v>0</v>
      </c>
      <c r="P119" s="158">
        <f t="shared" si="19"/>
        <v>0</v>
      </c>
    </row>
    <row r="120" spans="2:16">
      <c r="B120" s="9" t="str">
        <f t="shared" si="16"/>
        <v/>
      </c>
      <c r="C120" s="153">
        <f>IF(D93="","-",+C119+1)</f>
        <v>2028</v>
      </c>
      <c r="D120" s="154">
        <f>IF(F119+SUM(E$99:E119)=D$92,F119,D$92-SUM(E$99:E119))</f>
        <v>20230937.929908622</v>
      </c>
      <c r="E120" s="160">
        <f t="shared" si="20"/>
        <v>693032.42857142852</v>
      </c>
      <c r="F120" s="159">
        <f t="shared" si="21"/>
        <v>19537905.501337193</v>
      </c>
      <c r="G120" s="159">
        <f t="shared" si="22"/>
        <v>19884421.715622909</v>
      </c>
      <c r="H120" s="163">
        <f t="shared" si="23"/>
        <v>3108422.1195711708</v>
      </c>
      <c r="I120" s="253">
        <f t="shared" si="24"/>
        <v>3108422.1195711708</v>
      </c>
      <c r="J120" s="158">
        <f t="shared" si="25"/>
        <v>0</v>
      </c>
      <c r="K120" s="158"/>
      <c r="L120" s="334"/>
      <c r="M120" s="158">
        <f t="shared" si="17"/>
        <v>0</v>
      </c>
      <c r="N120" s="334"/>
      <c r="O120" s="158">
        <f t="shared" si="18"/>
        <v>0</v>
      </c>
      <c r="P120" s="158">
        <f t="shared" si="19"/>
        <v>0</v>
      </c>
    </row>
    <row r="121" spans="2:16">
      <c r="B121" s="9" t="str">
        <f t="shared" si="16"/>
        <v/>
      </c>
      <c r="C121" s="153">
        <f>IF(D93="","-",+C120+1)</f>
        <v>2029</v>
      </c>
      <c r="D121" s="154">
        <f>IF(F120+SUM(E$99:E120)=D$92,F120,D$92-SUM(E$99:E120))</f>
        <v>19537905.501337193</v>
      </c>
      <c r="E121" s="160">
        <f t="shared" si="20"/>
        <v>693032.42857142852</v>
      </c>
      <c r="F121" s="159">
        <f t="shared" si="21"/>
        <v>18844873.072765764</v>
      </c>
      <c r="G121" s="159">
        <f t="shared" si="22"/>
        <v>19191389.287051477</v>
      </c>
      <c r="H121" s="163">
        <f t="shared" si="23"/>
        <v>3024238.4602503288</v>
      </c>
      <c r="I121" s="253">
        <f t="shared" si="24"/>
        <v>3024238.4602503288</v>
      </c>
      <c r="J121" s="158">
        <f t="shared" si="25"/>
        <v>0</v>
      </c>
      <c r="K121" s="158"/>
      <c r="L121" s="334"/>
      <c r="M121" s="158">
        <f t="shared" si="17"/>
        <v>0</v>
      </c>
      <c r="N121" s="334"/>
      <c r="O121" s="158">
        <f t="shared" si="18"/>
        <v>0</v>
      </c>
      <c r="P121" s="158">
        <f t="shared" si="19"/>
        <v>0</v>
      </c>
    </row>
    <row r="122" spans="2:16">
      <c r="B122" s="9" t="str">
        <f t="shared" si="16"/>
        <v/>
      </c>
      <c r="C122" s="153">
        <f>IF(D93="","-",+C121+1)</f>
        <v>2030</v>
      </c>
      <c r="D122" s="154">
        <f>IF(F121+SUM(E$99:E121)=D$92,F121,D$92-SUM(E$99:E121))</f>
        <v>18844873.072765764</v>
      </c>
      <c r="E122" s="160">
        <f t="shared" si="20"/>
        <v>693032.42857142852</v>
      </c>
      <c r="F122" s="159">
        <f t="shared" si="21"/>
        <v>18151840.644194335</v>
      </c>
      <c r="G122" s="159">
        <f t="shared" si="22"/>
        <v>18498356.858480051</v>
      </c>
      <c r="H122" s="163">
        <f t="shared" si="23"/>
        <v>2940054.8009294872</v>
      </c>
      <c r="I122" s="253">
        <f t="shared" si="24"/>
        <v>2940054.8009294872</v>
      </c>
      <c r="J122" s="158">
        <f t="shared" si="25"/>
        <v>0</v>
      </c>
      <c r="K122" s="158"/>
      <c r="L122" s="334"/>
      <c r="M122" s="158">
        <f t="shared" si="17"/>
        <v>0</v>
      </c>
      <c r="N122" s="334"/>
      <c r="O122" s="158">
        <f t="shared" si="18"/>
        <v>0</v>
      </c>
      <c r="P122" s="158">
        <f t="shared" si="19"/>
        <v>0</v>
      </c>
    </row>
    <row r="123" spans="2:16">
      <c r="B123" s="9" t="str">
        <f t="shared" si="16"/>
        <v/>
      </c>
      <c r="C123" s="153">
        <f>IF(D93="","-",+C122+1)</f>
        <v>2031</v>
      </c>
      <c r="D123" s="154">
        <f>IF(F122+SUM(E$99:E122)=D$92,F122,D$92-SUM(E$99:E122))</f>
        <v>18151840.644194335</v>
      </c>
      <c r="E123" s="160">
        <f t="shared" si="20"/>
        <v>693032.42857142852</v>
      </c>
      <c r="F123" s="159">
        <f t="shared" si="21"/>
        <v>17458808.215622906</v>
      </c>
      <c r="G123" s="159">
        <f t="shared" si="22"/>
        <v>17805324.429908618</v>
      </c>
      <c r="H123" s="163">
        <f t="shared" si="23"/>
        <v>2855871.1416086452</v>
      </c>
      <c r="I123" s="253">
        <f t="shared" si="24"/>
        <v>2855871.1416086452</v>
      </c>
      <c r="J123" s="158">
        <f t="shared" si="25"/>
        <v>0</v>
      </c>
      <c r="K123" s="158"/>
      <c r="L123" s="334"/>
      <c r="M123" s="158">
        <f t="shared" si="17"/>
        <v>0</v>
      </c>
      <c r="N123" s="334"/>
      <c r="O123" s="158">
        <f t="shared" si="18"/>
        <v>0</v>
      </c>
      <c r="P123" s="158">
        <f t="shared" si="19"/>
        <v>0</v>
      </c>
    </row>
    <row r="124" spans="2:16">
      <c r="B124" s="9" t="str">
        <f t="shared" si="16"/>
        <v/>
      </c>
      <c r="C124" s="153">
        <f>IF(D93="","-",+C123+1)</f>
        <v>2032</v>
      </c>
      <c r="D124" s="154">
        <f>IF(F123+SUM(E$99:E123)=D$92,F123,D$92-SUM(E$99:E123))</f>
        <v>17458808.215622906</v>
      </c>
      <c r="E124" s="160">
        <f t="shared" si="20"/>
        <v>693032.42857142852</v>
      </c>
      <c r="F124" s="159">
        <f t="shared" si="21"/>
        <v>16765775.787051477</v>
      </c>
      <c r="G124" s="159">
        <f t="shared" si="22"/>
        <v>17112292.001337193</v>
      </c>
      <c r="H124" s="163">
        <f t="shared" si="23"/>
        <v>2771687.4822878041</v>
      </c>
      <c r="I124" s="253">
        <f t="shared" si="24"/>
        <v>2771687.4822878041</v>
      </c>
      <c r="J124" s="158">
        <f t="shared" si="25"/>
        <v>0</v>
      </c>
      <c r="K124" s="158"/>
      <c r="L124" s="334"/>
      <c r="M124" s="158">
        <f t="shared" si="17"/>
        <v>0</v>
      </c>
      <c r="N124" s="334"/>
      <c r="O124" s="158">
        <f t="shared" si="18"/>
        <v>0</v>
      </c>
      <c r="P124" s="158">
        <f t="shared" si="19"/>
        <v>0</v>
      </c>
    </row>
    <row r="125" spans="2:16">
      <c r="B125" s="9" t="str">
        <f t="shared" si="16"/>
        <v/>
      </c>
      <c r="C125" s="153">
        <f>IF(D93="","-",+C124+1)</f>
        <v>2033</v>
      </c>
      <c r="D125" s="154">
        <f>IF(F124+SUM(E$99:E124)=D$92,F124,D$92-SUM(E$99:E124))</f>
        <v>16765775.787051477</v>
      </c>
      <c r="E125" s="160">
        <f t="shared" si="20"/>
        <v>693032.42857142852</v>
      </c>
      <c r="F125" s="159">
        <f t="shared" si="21"/>
        <v>16072743.358480047</v>
      </c>
      <c r="G125" s="159">
        <f t="shared" si="22"/>
        <v>16419259.572765762</v>
      </c>
      <c r="H125" s="163">
        <f t="shared" si="23"/>
        <v>2687503.8229669621</v>
      </c>
      <c r="I125" s="253">
        <f t="shared" si="24"/>
        <v>2687503.8229669621</v>
      </c>
      <c r="J125" s="158">
        <f t="shared" si="25"/>
        <v>0</v>
      </c>
      <c r="K125" s="158"/>
      <c r="L125" s="334"/>
      <c r="M125" s="158">
        <f t="shared" si="17"/>
        <v>0</v>
      </c>
      <c r="N125" s="334"/>
      <c r="O125" s="158">
        <f t="shared" si="18"/>
        <v>0</v>
      </c>
      <c r="P125" s="158">
        <f t="shared" si="19"/>
        <v>0</v>
      </c>
    </row>
    <row r="126" spans="2:16">
      <c r="B126" s="9" t="str">
        <f t="shared" si="16"/>
        <v/>
      </c>
      <c r="C126" s="153">
        <f>IF(D93="","-",+C125+1)</f>
        <v>2034</v>
      </c>
      <c r="D126" s="154">
        <f>IF(F125+SUM(E$99:E125)=D$92,F125,D$92-SUM(E$99:E125))</f>
        <v>16072743.358480047</v>
      </c>
      <c r="E126" s="160">
        <f t="shared" si="20"/>
        <v>693032.42857142852</v>
      </c>
      <c r="F126" s="159">
        <f t="shared" si="21"/>
        <v>15379710.929908618</v>
      </c>
      <c r="G126" s="159">
        <f t="shared" si="22"/>
        <v>15726227.144194333</v>
      </c>
      <c r="H126" s="163">
        <f t="shared" si="23"/>
        <v>2603320.1636461206</v>
      </c>
      <c r="I126" s="253">
        <f t="shared" si="24"/>
        <v>2603320.1636461206</v>
      </c>
      <c r="J126" s="158">
        <f t="shared" si="25"/>
        <v>0</v>
      </c>
      <c r="K126" s="158"/>
      <c r="L126" s="334"/>
      <c r="M126" s="158">
        <f t="shared" si="17"/>
        <v>0</v>
      </c>
      <c r="N126" s="334"/>
      <c r="O126" s="158">
        <f t="shared" si="18"/>
        <v>0</v>
      </c>
      <c r="P126" s="158">
        <f t="shared" si="19"/>
        <v>0</v>
      </c>
    </row>
    <row r="127" spans="2:16">
      <c r="B127" s="9" t="str">
        <f t="shared" si="16"/>
        <v/>
      </c>
      <c r="C127" s="153">
        <f>IF(D93="","-",+C126+1)</f>
        <v>2035</v>
      </c>
      <c r="D127" s="154">
        <f>IF(F126+SUM(E$99:E126)=D$92,F126,D$92-SUM(E$99:E126))</f>
        <v>15379710.929908618</v>
      </c>
      <c r="E127" s="160">
        <f t="shared" si="20"/>
        <v>693032.42857142852</v>
      </c>
      <c r="F127" s="159">
        <f t="shared" si="21"/>
        <v>14686678.501337189</v>
      </c>
      <c r="G127" s="159">
        <f t="shared" si="22"/>
        <v>15033194.715622904</v>
      </c>
      <c r="H127" s="163">
        <f t="shared" si="23"/>
        <v>2519136.5043252786</v>
      </c>
      <c r="I127" s="253">
        <f t="shared" si="24"/>
        <v>2519136.5043252786</v>
      </c>
      <c r="J127" s="158">
        <f t="shared" si="25"/>
        <v>0</v>
      </c>
      <c r="K127" s="158"/>
      <c r="L127" s="334"/>
      <c r="M127" s="158">
        <f t="shared" si="17"/>
        <v>0</v>
      </c>
      <c r="N127" s="334"/>
      <c r="O127" s="158">
        <f t="shared" si="18"/>
        <v>0</v>
      </c>
      <c r="P127" s="158">
        <f t="shared" si="19"/>
        <v>0</v>
      </c>
    </row>
    <row r="128" spans="2:16">
      <c r="B128" s="9" t="str">
        <f t="shared" si="16"/>
        <v/>
      </c>
      <c r="C128" s="153">
        <f>IF(D93="","-",+C127+1)</f>
        <v>2036</v>
      </c>
      <c r="D128" s="154">
        <f>IF(F127+SUM(E$99:E127)=D$92,F127,D$92-SUM(E$99:E127))</f>
        <v>14686678.501337189</v>
      </c>
      <c r="E128" s="160">
        <f t="shared" si="20"/>
        <v>693032.42857142852</v>
      </c>
      <c r="F128" s="159">
        <f t="shared" si="21"/>
        <v>13993646.07276576</v>
      </c>
      <c r="G128" s="159">
        <f t="shared" si="22"/>
        <v>14340162.287051475</v>
      </c>
      <c r="H128" s="163">
        <f t="shared" si="23"/>
        <v>2434952.845004437</v>
      </c>
      <c r="I128" s="253">
        <f t="shared" si="24"/>
        <v>2434952.845004437</v>
      </c>
      <c r="J128" s="158">
        <f t="shared" si="25"/>
        <v>0</v>
      </c>
      <c r="K128" s="158"/>
      <c r="L128" s="334"/>
      <c r="M128" s="158">
        <f t="shared" si="17"/>
        <v>0</v>
      </c>
      <c r="N128" s="334"/>
      <c r="O128" s="158">
        <f t="shared" si="18"/>
        <v>0</v>
      </c>
      <c r="P128" s="158">
        <f t="shared" si="19"/>
        <v>0</v>
      </c>
    </row>
    <row r="129" spans="2:16">
      <c r="B129" s="9" t="str">
        <f t="shared" si="16"/>
        <v/>
      </c>
      <c r="C129" s="153">
        <f>IF(D93="","-",+C128+1)</f>
        <v>2037</v>
      </c>
      <c r="D129" s="154">
        <f>IF(F128+SUM(E$99:E128)=D$92,F128,D$92-SUM(E$99:E128))</f>
        <v>13993646.07276576</v>
      </c>
      <c r="E129" s="160">
        <f t="shared" si="20"/>
        <v>693032.42857142852</v>
      </c>
      <c r="F129" s="159">
        <f t="shared" si="21"/>
        <v>13300613.644194331</v>
      </c>
      <c r="G129" s="159">
        <f t="shared" si="22"/>
        <v>13647129.858480046</v>
      </c>
      <c r="H129" s="163">
        <f t="shared" si="23"/>
        <v>2350769.1856835955</v>
      </c>
      <c r="I129" s="253">
        <f t="shared" si="24"/>
        <v>2350769.1856835955</v>
      </c>
      <c r="J129" s="158">
        <f t="shared" si="25"/>
        <v>0</v>
      </c>
      <c r="K129" s="158"/>
      <c r="L129" s="334"/>
      <c r="M129" s="158">
        <f t="shared" si="17"/>
        <v>0</v>
      </c>
      <c r="N129" s="334"/>
      <c r="O129" s="158">
        <f t="shared" si="18"/>
        <v>0</v>
      </c>
      <c r="P129" s="158">
        <f t="shared" si="19"/>
        <v>0</v>
      </c>
    </row>
    <row r="130" spans="2:16">
      <c r="B130" s="9" t="str">
        <f t="shared" si="16"/>
        <v/>
      </c>
      <c r="C130" s="153">
        <f>IF(D93="","-",+C129+1)</f>
        <v>2038</v>
      </c>
      <c r="D130" s="154">
        <f>IF(F129+SUM(E$99:E129)=D$92,F129,D$92-SUM(E$99:E129))</f>
        <v>13300613.644194331</v>
      </c>
      <c r="E130" s="160">
        <f t="shared" si="20"/>
        <v>693032.42857142852</v>
      </c>
      <c r="F130" s="159">
        <f t="shared" si="21"/>
        <v>12607581.215622902</v>
      </c>
      <c r="G130" s="159">
        <f t="shared" si="22"/>
        <v>12954097.429908616</v>
      </c>
      <c r="H130" s="163">
        <f t="shared" si="23"/>
        <v>2266585.5263627539</v>
      </c>
      <c r="I130" s="253">
        <f t="shared" si="24"/>
        <v>2266585.5263627539</v>
      </c>
      <c r="J130" s="158">
        <f t="shared" si="25"/>
        <v>0</v>
      </c>
      <c r="K130" s="158"/>
      <c r="L130" s="334"/>
      <c r="M130" s="158">
        <f t="shared" si="17"/>
        <v>0</v>
      </c>
      <c r="N130" s="334"/>
      <c r="O130" s="158">
        <f t="shared" si="18"/>
        <v>0</v>
      </c>
      <c r="P130" s="158">
        <f t="shared" si="19"/>
        <v>0</v>
      </c>
    </row>
    <row r="131" spans="2:16">
      <c r="B131" s="9" t="str">
        <f t="shared" si="16"/>
        <v/>
      </c>
      <c r="C131" s="153">
        <f>IF(D93="","-",+C130+1)</f>
        <v>2039</v>
      </c>
      <c r="D131" s="154">
        <f>IF(F130+SUM(E$99:E130)=D$92,F130,D$92-SUM(E$99:E130))</f>
        <v>12607581.215622902</v>
      </c>
      <c r="E131" s="160">
        <f t="shared" si="20"/>
        <v>693032.42857142852</v>
      </c>
      <c r="F131" s="159">
        <f t="shared" si="21"/>
        <v>11914548.787051473</v>
      </c>
      <c r="G131" s="159">
        <f t="shared" si="22"/>
        <v>12261065.001337187</v>
      </c>
      <c r="H131" s="163">
        <f t="shared" si="23"/>
        <v>2182401.8670419119</v>
      </c>
      <c r="I131" s="253">
        <f t="shared" si="24"/>
        <v>2182401.8670419119</v>
      </c>
      <c r="J131" s="158">
        <f t="shared" si="25"/>
        <v>0</v>
      </c>
      <c r="K131" s="158"/>
      <c r="L131" s="334"/>
      <c r="M131" s="158">
        <f t="shared" ref="M131:M154" si="26">IF(L541&lt;&gt;0,+H541-L541,0)</f>
        <v>0</v>
      </c>
      <c r="N131" s="334"/>
      <c r="O131" s="158">
        <f t="shared" ref="O131:O154" si="27">IF(N541&lt;&gt;0,+I541-N541,0)</f>
        <v>0</v>
      </c>
      <c r="P131" s="158">
        <f t="shared" ref="P131:P154" si="28">+O541-M541</f>
        <v>0</v>
      </c>
    </row>
    <row r="132" spans="2:16">
      <c r="B132" s="9" t="str">
        <f t="shared" si="16"/>
        <v/>
      </c>
      <c r="C132" s="153">
        <f>IF(D93="","-",+C131+1)</f>
        <v>2040</v>
      </c>
      <c r="D132" s="154">
        <f>IF(F131+SUM(E$99:E131)=D$92,F131,D$92-SUM(E$99:E131))</f>
        <v>11914548.787051473</v>
      </c>
      <c r="E132" s="160">
        <f t="shared" si="20"/>
        <v>693032.42857142852</v>
      </c>
      <c r="F132" s="159">
        <f t="shared" si="21"/>
        <v>11221516.358480044</v>
      </c>
      <c r="G132" s="159">
        <f t="shared" si="22"/>
        <v>11568032.572765758</v>
      </c>
      <c r="H132" s="163">
        <f t="shared" si="23"/>
        <v>2098218.2077210704</v>
      </c>
      <c r="I132" s="253">
        <f t="shared" si="24"/>
        <v>2098218.2077210704</v>
      </c>
      <c r="J132" s="158">
        <f t="shared" si="25"/>
        <v>0</v>
      </c>
      <c r="K132" s="158"/>
      <c r="L132" s="334"/>
      <c r="M132" s="158">
        <f t="shared" si="26"/>
        <v>0</v>
      </c>
      <c r="N132" s="334"/>
      <c r="O132" s="158">
        <f t="shared" si="27"/>
        <v>0</v>
      </c>
      <c r="P132" s="158">
        <f t="shared" si="28"/>
        <v>0</v>
      </c>
    </row>
    <row r="133" spans="2:16">
      <c r="B133" s="9" t="str">
        <f t="shared" si="16"/>
        <v/>
      </c>
      <c r="C133" s="153">
        <f>IF(D93="","-",+C132+1)</f>
        <v>2041</v>
      </c>
      <c r="D133" s="154">
        <f>IF(F132+SUM(E$99:E132)=D$92,F132,D$92-SUM(E$99:E132))</f>
        <v>11221516.358480044</v>
      </c>
      <c r="E133" s="160">
        <f t="shared" si="20"/>
        <v>693032.42857142852</v>
      </c>
      <c r="F133" s="159">
        <f t="shared" si="21"/>
        <v>10528483.929908615</v>
      </c>
      <c r="G133" s="159">
        <f t="shared" si="22"/>
        <v>10875000.144194329</v>
      </c>
      <c r="H133" s="163">
        <f t="shared" si="23"/>
        <v>2014034.5484002288</v>
      </c>
      <c r="I133" s="253">
        <f t="shared" si="24"/>
        <v>2014034.5484002288</v>
      </c>
      <c r="J133" s="158">
        <f t="shared" si="25"/>
        <v>0</v>
      </c>
      <c r="K133" s="158"/>
      <c r="L133" s="334"/>
      <c r="M133" s="158">
        <f t="shared" si="26"/>
        <v>0</v>
      </c>
      <c r="N133" s="334"/>
      <c r="O133" s="158">
        <f t="shared" si="27"/>
        <v>0</v>
      </c>
      <c r="P133" s="158">
        <f t="shared" si="28"/>
        <v>0</v>
      </c>
    </row>
    <row r="134" spans="2:16">
      <c r="B134" s="9" t="str">
        <f t="shared" si="16"/>
        <v/>
      </c>
      <c r="C134" s="153">
        <f>IF(D93="","-",+C133+1)</f>
        <v>2042</v>
      </c>
      <c r="D134" s="154">
        <f>IF(F133+SUM(E$99:E133)=D$92,F133,D$92-SUM(E$99:E133))</f>
        <v>10528483.929908615</v>
      </c>
      <c r="E134" s="160">
        <f t="shared" si="20"/>
        <v>693032.42857142852</v>
      </c>
      <c r="F134" s="159">
        <f t="shared" si="21"/>
        <v>9835451.5013371855</v>
      </c>
      <c r="G134" s="159">
        <f t="shared" si="22"/>
        <v>10181967.7156229</v>
      </c>
      <c r="H134" s="163">
        <f t="shared" si="23"/>
        <v>1929850.8890793873</v>
      </c>
      <c r="I134" s="253">
        <f t="shared" si="24"/>
        <v>1929850.8890793873</v>
      </c>
      <c r="J134" s="158">
        <f t="shared" si="25"/>
        <v>0</v>
      </c>
      <c r="K134" s="158"/>
      <c r="L134" s="334"/>
      <c r="M134" s="158">
        <f t="shared" si="26"/>
        <v>0</v>
      </c>
      <c r="N134" s="334"/>
      <c r="O134" s="158">
        <f t="shared" si="27"/>
        <v>0</v>
      </c>
      <c r="P134" s="158">
        <f t="shared" si="28"/>
        <v>0</v>
      </c>
    </row>
    <row r="135" spans="2:16">
      <c r="B135" s="9" t="str">
        <f t="shared" si="16"/>
        <v/>
      </c>
      <c r="C135" s="153">
        <f>IF(D93="","-",+C134+1)</f>
        <v>2043</v>
      </c>
      <c r="D135" s="154">
        <f>IF(F134+SUM(E$99:E134)=D$92,F134,D$92-SUM(E$99:E134))</f>
        <v>9835451.5013371855</v>
      </c>
      <c r="E135" s="160">
        <f t="shared" si="20"/>
        <v>693032.42857142852</v>
      </c>
      <c r="F135" s="159">
        <f t="shared" si="21"/>
        <v>9142419.0727657564</v>
      </c>
      <c r="G135" s="159">
        <f t="shared" si="22"/>
        <v>9488935.287051471</v>
      </c>
      <c r="H135" s="163">
        <f t="shared" si="23"/>
        <v>1845667.2297585453</v>
      </c>
      <c r="I135" s="253">
        <f t="shared" si="24"/>
        <v>1845667.2297585453</v>
      </c>
      <c r="J135" s="158">
        <f t="shared" si="25"/>
        <v>0</v>
      </c>
      <c r="K135" s="158"/>
      <c r="L135" s="334"/>
      <c r="M135" s="158">
        <f t="shared" si="26"/>
        <v>0</v>
      </c>
      <c r="N135" s="334"/>
      <c r="O135" s="158">
        <f t="shared" si="27"/>
        <v>0</v>
      </c>
      <c r="P135" s="158">
        <f t="shared" si="28"/>
        <v>0</v>
      </c>
    </row>
    <row r="136" spans="2:16">
      <c r="B136" s="9" t="str">
        <f t="shared" si="16"/>
        <v/>
      </c>
      <c r="C136" s="153">
        <f>IF(D93="","-",+C135+1)</f>
        <v>2044</v>
      </c>
      <c r="D136" s="154">
        <f>IF(F135+SUM(E$99:E135)=D$92,F135,D$92-SUM(E$99:E135))</f>
        <v>9142419.0727657564</v>
      </c>
      <c r="E136" s="160">
        <f t="shared" si="20"/>
        <v>693032.42857142852</v>
      </c>
      <c r="F136" s="159">
        <f t="shared" si="21"/>
        <v>8449386.6441943273</v>
      </c>
      <c r="G136" s="159">
        <f t="shared" si="22"/>
        <v>8795902.8584800418</v>
      </c>
      <c r="H136" s="163">
        <f t="shared" si="23"/>
        <v>1761483.5704377037</v>
      </c>
      <c r="I136" s="253">
        <f t="shared" si="24"/>
        <v>1761483.5704377037</v>
      </c>
      <c r="J136" s="158">
        <f t="shared" si="25"/>
        <v>0</v>
      </c>
      <c r="K136" s="158"/>
      <c r="L136" s="334"/>
      <c r="M136" s="158">
        <f t="shared" si="26"/>
        <v>0</v>
      </c>
      <c r="N136" s="334"/>
      <c r="O136" s="158">
        <f t="shared" si="27"/>
        <v>0</v>
      </c>
      <c r="P136" s="158">
        <f t="shared" si="28"/>
        <v>0</v>
      </c>
    </row>
    <row r="137" spans="2:16">
      <c r="B137" s="9" t="str">
        <f t="shared" si="16"/>
        <v/>
      </c>
      <c r="C137" s="153">
        <f>IF(D93="","-",+C136+1)</f>
        <v>2045</v>
      </c>
      <c r="D137" s="154">
        <f>IF(F136+SUM(E$99:E136)=D$92,F136,D$92-SUM(E$99:E136))</f>
        <v>8449386.6441943273</v>
      </c>
      <c r="E137" s="160">
        <f t="shared" si="20"/>
        <v>693032.42857142852</v>
      </c>
      <c r="F137" s="159">
        <f t="shared" si="21"/>
        <v>7756354.2156228991</v>
      </c>
      <c r="G137" s="159">
        <f t="shared" si="22"/>
        <v>8102870.4299086127</v>
      </c>
      <c r="H137" s="163">
        <f t="shared" si="23"/>
        <v>1677299.9111168622</v>
      </c>
      <c r="I137" s="253">
        <f t="shared" si="24"/>
        <v>1677299.9111168622</v>
      </c>
      <c r="J137" s="158">
        <f t="shared" si="25"/>
        <v>0</v>
      </c>
      <c r="K137" s="158"/>
      <c r="L137" s="334"/>
      <c r="M137" s="158">
        <f t="shared" si="26"/>
        <v>0</v>
      </c>
      <c r="N137" s="334"/>
      <c r="O137" s="158">
        <f t="shared" si="27"/>
        <v>0</v>
      </c>
      <c r="P137" s="158">
        <f t="shared" si="28"/>
        <v>0</v>
      </c>
    </row>
    <row r="138" spans="2:16">
      <c r="B138" s="9" t="str">
        <f t="shared" si="16"/>
        <v/>
      </c>
      <c r="C138" s="153">
        <f>IF(D93="","-",+C137+1)</f>
        <v>2046</v>
      </c>
      <c r="D138" s="154">
        <f>IF(F137+SUM(E$99:E137)=D$92,F137,D$92-SUM(E$99:E137))</f>
        <v>7756354.2156228991</v>
      </c>
      <c r="E138" s="160">
        <f t="shared" si="20"/>
        <v>693032.42857142852</v>
      </c>
      <c r="F138" s="159">
        <f t="shared" si="21"/>
        <v>7063321.787051471</v>
      </c>
      <c r="G138" s="159">
        <f t="shared" si="22"/>
        <v>7409838.0013371855</v>
      </c>
      <c r="H138" s="163">
        <f t="shared" si="23"/>
        <v>1593116.2517960207</v>
      </c>
      <c r="I138" s="253">
        <f t="shared" si="24"/>
        <v>1593116.2517960207</v>
      </c>
      <c r="J138" s="158">
        <f t="shared" si="25"/>
        <v>0</v>
      </c>
      <c r="K138" s="158"/>
      <c r="L138" s="334"/>
      <c r="M138" s="158">
        <f t="shared" si="26"/>
        <v>0</v>
      </c>
      <c r="N138" s="334"/>
      <c r="O138" s="158">
        <f t="shared" si="27"/>
        <v>0</v>
      </c>
      <c r="P138" s="158">
        <f t="shared" si="28"/>
        <v>0</v>
      </c>
    </row>
    <row r="139" spans="2:16">
      <c r="B139" s="9" t="str">
        <f t="shared" si="16"/>
        <v/>
      </c>
      <c r="C139" s="153">
        <f>IF(D93="","-",+C138+1)</f>
        <v>2047</v>
      </c>
      <c r="D139" s="154">
        <f>IF(F138+SUM(E$99:E138)=D$92,F138,D$92-SUM(E$99:E138))</f>
        <v>7063321.787051471</v>
      </c>
      <c r="E139" s="160">
        <f t="shared" si="20"/>
        <v>693032.42857142852</v>
      </c>
      <c r="F139" s="159">
        <f t="shared" si="21"/>
        <v>6370289.3584800428</v>
      </c>
      <c r="G139" s="159">
        <f t="shared" si="22"/>
        <v>6716805.5727657564</v>
      </c>
      <c r="H139" s="163">
        <f t="shared" si="23"/>
        <v>1508932.5924751791</v>
      </c>
      <c r="I139" s="253">
        <f t="shared" si="24"/>
        <v>1508932.5924751791</v>
      </c>
      <c r="J139" s="158">
        <f t="shared" si="25"/>
        <v>0</v>
      </c>
      <c r="K139" s="158"/>
      <c r="L139" s="334"/>
      <c r="M139" s="158">
        <f t="shared" si="26"/>
        <v>0</v>
      </c>
      <c r="N139" s="334"/>
      <c r="O139" s="158">
        <f t="shared" si="27"/>
        <v>0</v>
      </c>
      <c r="P139" s="158">
        <f t="shared" si="28"/>
        <v>0</v>
      </c>
    </row>
    <row r="140" spans="2:16">
      <c r="B140" s="9" t="str">
        <f t="shared" si="16"/>
        <v/>
      </c>
      <c r="C140" s="153">
        <f>IF(D93="","-",+C139+1)</f>
        <v>2048</v>
      </c>
      <c r="D140" s="154">
        <f>IF(F139+SUM(E$99:E139)=D$92,F139,D$92-SUM(E$99:E139))</f>
        <v>6370289.3584800428</v>
      </c>
      <c r="E140" s="160">
        <f t="shared" si="20"/>
        <v>693032.42857142852</v>
      </c>
      <c r="F140" s="159">
        <f t="shared" si="21"/>
        <v>5677256.9299086146</v>
      </c>
      <c r="G140" s="159">
        <f t="shared" si="22"/>
        <v>6023773.1441943292</v>
      </c>
      <c r="H140" s="163">
        <f t="shared" si="23"/>
        <v>1424748.9331543376</v>
      </c>
      <c r="I140" s="253">
        <f t="shared" si="24"/>
        <v>1424748.9331543376</v>
      </c>
      <c r="J140" s="158">
        <f t="shared" si="25"/>
        <v>0</v>
      </c>
      <c r="K140" s="158"/>
      <c r="L140" s="334"/>
      <c r="M140" s="158">
        <f t="shared" si="26"/>
        <v>0</v>
      </c>
      <c r="N140" s="334"/>
      <c r="O140" s="158">
        <f t="shared" si="27"/>
        <v>0</v>
      </c>
      <c r="P140" s="158">
        <f t="shared" si="28"/>
        <v>0</v>
      </c>
    </row>
    <row r="141" spans="2:16">
      <c r="B141" s="9" t="str">
        <f t="shared" si="16"/>
        <v/>
      </c>
      <c r="C141" s="153">
        <f>IF(D93="","-",+C140+1)</f>
        <v>2049</v>
      </c>
      <c r="D141" s="154">
        <f>IF(F140+SUM(E$99:E140)=D$92,F140,D$92-SUM(E$99:E140))</f>
        <v>5677256.9299086146</v>
      </c>
      <c r="E141" s="160">
        <f t="shared" si="20"/>
        <v>693032.42857142852</v>
      </c>
      <c r="F141" s="159">
        <f t="shared" si="21"/>
        <v>4984224.5013371864</v>
      </c>
      <c r="G141" s="159">
        <f t="shared" si="22"/>
        <v>5330740.7156229001</v>
      </c>
      <c r="H141" s="163">
        <f t="shared" si="23"/>
        <v>1340565.2738334958</v>
      </c>
      <c r="I141" s="253">
        <f t="shared" si="24"/>
        <v>1340565.2738334958</v>
      </c>
      <c r="J141" s="158">
        <f t="shared" si="25"/>
        <v>0</v>
      </c>
      <c r="K141" s="158"/>
      <c r="L141" s="334"/>
      <c r="M141" s="158">
        <f t="shared" si="26"/>
        <v>0</v>
      </c>
      <c r="N141" s="334"/>
      <c r="O141" s="158">
        <f t="shared" si="27"/>
        <v>0</v>
      </c>
      <c r="P141" s="158">
        <f t="shared" si="28"/>
        <v>0</v>
      </c>
    </row>
    <row r="142" spans="2:16">
      <c r="B142" s="9" t="str">
        <f t="shared" si="16"/>
        <v/>
      </c>
      <c r="C142" s="153">
        <f>IF(D93="","-",+C141+1)</f>
        <v>2050</v>
      </c>
      <c r="D142" s="154">
        <f>IF(F141+SUM(E$99:E141)=D$92,F141,D$92-SUM(E$99:E141))</f>
        <v>4984224.5013371864</v>
      </c>
      <c r="E142" s="160">
        <f t="shared" si="20"/>
        <v>693032.42857142852</v>
      </c>
      <c r="F142" s="159">
        <f t="shared" si="21"/>
        <v>4291192.0727657583</v>
      </c>
      <c r="G142" s="159">
        <f t="shared" si="22"/>
        <v>4637708.2870514728</v>
      </c>
      <c r="H142" s="163">
        <f t="shared" si="23"/>
        <v>1256381.6145126545</v>
      </c>
      <c r="I142" s="253">
        <f t="shared" si="24"/>
        <v>1256381.6145126545</v>
      </c>
      <c r="J142" s="158">
        <f t="shared" si="25"/>
        <v>0</v>
      </c>
      <c r="K142" s="158"/>
      <c r="L142" s="334"/>
      <c r="M142" s="158">
        <f t="shared" si="26"/>
        <v>0</v>
      </c>
      <c r="N142" s="334"/>
      <c r="O142" s="158">
        <f t="shared" si="27"/>
        <v>0</v>
      </c>
      <c r="P142" s="158">
        <f t="shared" si="28"/>
        <v>0</v>
      </c>
    </row>
    <row r="143" spans="2:16">
      <c r="B143" s="9" t="str">
        <f t="shared" si="16"/>
        <v/>
      </c>
      <c r="C143" s="153">
        <f>IF(D93="","-",+C142+1)</f>
        <v>2051</v>
      </c>
      <c r="D143" s="154">
        <f>IF(F142+SUM(E$99:E142)=D$92,F142,D$92-SUM(E$99:E142))</f>
        <v>4291192.0727657583</v>
      </c>
      <c r="E143" s="160">
        <f t="shared" si="20"/>
        <v>693032.42857142852</v>
      </c>
      <c r="F143" s="159">
        <f t="shared" si="21"/>
        <v>3598159.6441943296</v>
      </c>
      <c r="G143" s="159">
        <f t="shared" si="22"/>
        <v>3944675.8584800437</v>
      </c>
      <c r="H143" s="163">
        <f t="shared" si="23"/>
        <v>1172197.9551918127</v>
      </c>
      <c r="I143" s="253">
        <f t="shared" si="24"/>
        <v>1172197.9551918127</v>
      </c>
      <c r="J143" s="158">
        <f t="shared" si="25"/>
        <v>0</v>
      </c>
      <c r="K143" s="158"/>
      <c r="L143" s="334"/>
      <c r="M143" s="158">
        <f t="shared" si="26"/>
        <v>0</v>
      </c>
      <c r="N143" s="334"/>
      <c r="O143" s="158">
        <f t="shared" si="27"/>
        <v>0</v>
      </c>
      <c r="P143" s="158">
        <f t="shared" si="28"/>
        <v>0</v>
      </c>
    </row>
    <row r="144" spans="2:16">
      <c r="B144" s="9" t="str">
        <f t="shared" si="16"/>
        <v/>
      </c>
      <c r="C144" s="153">
        <f>IF(D93="","-",+C143+1)</f>
        <v>2052</v>
      </c>
      <c r="D144" s="154">
        <f>IF(F143+SUM(E$99:E143)=D$92,F143,D$92-SUM(E$99:E143))</f>
        <v>3598159.6441943296</v>
      </c>
      <c r="E144" s="160">
        <f t="shared" si="20"/>
        <v>693032.42857142852</v>
      </c>
      <c r="F144" s="159">
        <f t="shared" si="21"/>
        <v>2905127.215622901</v>
      </c>
      <c r="G144" s="159">
        <f t="shared" si="22"/>
        <v>3251643.4299086155</v>
      </c>
      <c r="H144" s="163">
        <f t="shared" si="23"/>
        <v>1088014.2958709712</v>
      </c>
      <c r="I144" s="253">
        <f t="shared" si="24"/>
        <v>1088014.2958709712</v>
      </c>
      <c r="J144" s="158">
        <f t="shared" si="25"/>
        <v>0</v>
      </c>
      <c r="K144" s="158"/>
      <c r="L144" s="334"/>
      <c r="M144" s="158">
        <f t="shared" si="26"/>
        <v>0</v>
      </c>
      <c r="N144" s="334"/>
      <c r="O144" s="158">
        <f t="shared" si="27"/>
        <v>0</v>
      </c>
      <c r="P144" s="158">
        <f t="shared" si="28"/>
        <v>0</v>
      </c>
    </row>
    <row r="145" spans="2:16">
      <c r="B145" s="9" t="str">
        <f t="shared" si="16"/>
        <v/>
      </c>
      <c r="C145" s="153">
        <f>IF(D93="","-",+C144+1)</f>
        <v>2053</v>
      </c>
      <c r="D145" s="154">
        <f>IF(F144+SUM(E$99:E144)=D$92,F144,D$92-SUM(E$99:E144))</f>
        <v>2905127.215622901</v>
      </c>
      <c r="E145" s="160">
        <f t="shared" si="20"/>
        <v>693032.42857142852</v>
      </c>
      <c r="F145" s="159">
        <f t="shared" si="21"/>
        <v>2212094.7870514723</v>
      </c>
      <c r="G145" s="159">
        <f t="shared" si="22"/>
        <v>2558611.0013371864</v>
      </c>
      <c r="H145" s="163">
        <f t="shared" si="23"/>
        <v>1003830.6365501295</v>
      </c>
      <c r="I145" s="253">
        <f t="shared" si="24"/>
        <v>1003830.6365501295</v>
      </c>
      <c r="J145" s="158">
        <f t="shared" si="25"/>
        <v>0</v>
      </c>
      <c r="K145" s="158"/>
      <c r="L145" s="334"/>
      <c r="M145" s="158">
        <f t="shared" si="26"/>
        <v>0</v>
      </c>
      <c r="N145" s="334"/>
      <c r="O145" s="158">
        <f t="shared" si="27"/>
        <v>0</v>
      </c>
      <c r="P145" s="158">
        <f t="shared" si="28"/>
        <v>0</v>
      </c>
    </row>
    <row r="146" spans="2:16">
      <c r="B146" s="9" t="str">
        <f t="shared" si="16"/>
        <v/>
      </c>
      <c r="C146" s="153">
        <f>IF(D93="","-",+C145+1)</f>
        <v>2054</v>
      </c>
      <c r="D146" s="154">
        <f>IF(F145+SUM(E$99:E145)=D$92,F145,D$92-SUM(E$99:E145))</f>
        <v>2212094.7870514723</v>
      </c>
      <c r="E146" s="160">
        <f t="shared" si="20"/>
        <v>693032.42857142852</v>
      </c>
      <c r="F146" s="159">
        <f t="shared" si="21"/>
        <v>1519062.3584800437</v>
      </c>
      <c r="G146" s="159">
        <f t="shared" si="22"/>
        <v>1865578.572765758</v>
      </c>
      <c r="H146" s="163">
        <f t="shared" si="23"/>
        <v>919646.97722928796</v>
      </c>
      <c r="I146" s="253">
        <f t="shared" si="24"/>
        <v>919646.97722928796</v>
      </c>
      <c r="J146" s="158">
        <f t="shared" si="25"/>
        <v>0</v>
      </c>
      <c r="K146" s="158"/>
      <c r="L146" s="334"/>
      <c r="M146" s="158">
        <f t="shared" si="26"/>
        <v>0</v>
      </c>
      <c r="N146" s="334"/>
      <c r="O146" s="158">
        <f t="shared" si="27"/>
        <v>0</v>
      </c>
      <c r="P146" s="158">
        <f t="shared" si="28"/>
        <v>0</v>
      </c>
    </row>
    <row r="147" spans="2:16">
      <c r="B147" s="9" t="str">
        <f t="shared" si="16"/>
        <v/>
      </c>
      <c r="C147" s="153">
        <f>IF(D93="","-",+C146+1)</f>
        <v>2055</v>
      </c>
      <c r="D147" s="154">
        <f>IF(F146+SUM(E$99:E146)=D$92,F146,D$92-SUM(E$99:E146))</f>
        <v>1519062.3584800437</v>
      </c>
      <c r="E147" s="160">
        <f t="shared" si="20"/>
        <v>693032.42857142852</v>
      </c>
      <c r="F147" s="159">
        <f t="shared" si="21"/>
        <v>826029.92990861519</v>
      </c>
      <c r="G147" s="159">
        <f t="shared" si="22"/>
        <v>1172546.1441943294</v>
      </c>
      <c r="H147" s="163">
        <f t="shared" si="23"/>
        <v>835463.3179084463</v>
      </c>
      <c r="I147" s="253">
        <f t="shared" si="24"/>
        <v>835463.3179084463</v>
      </c>
      <c r="J147" s="158">
        <f t="shared" si="25"/>
        <v>0</v>
      </c>
      <c r="K147" s="158"/>
      <c r="L147" s="334"/>
      <c r="M147" s="158">
        <f t="shared" si="26"/>
        <v>0</v>
      </c>
      <c r="N147" s="334"/>
      <c r="O147" s="158">
        <f t="shared" si="27"/>
        <v>0</v>
      </c>
      <c r="P147" s="158">
        <f t="shared" si="28"/>
        <v>0</v>
      </c>
    </row>
    <row r="148" spans="2:16">
      <c r="B148" s="9" t="str">
        <f t="shared" si="16"/>
        <v/>
      </c>
      <c r="C148" s="153">
        <f>IF(D93="","-",+C147+1)</f>
        <v>2056</v>
      </c>
      <c r="D148" s="154">
        <f>IF(F147+SUM(E$99:E147)=D$92,F147,D$92-SUM(E$99:E147))</f>
        <v>826029.92990861519</v>
      </c>
      <c r="E148" s="160">
        <f t="shared" si="20"/>
        <v>693032.42857142852</v>
      </c>
      <c r="F148" s="159">
        <f t="shared" si="21"/>
        <v>132997.50133718667</v>
      </c>
      <c r="G148" s="159">
        <f t="shared" si="22"/>
        <v>479513.71562290093</v>
      </c>
      <c r="H148" s="163">
        <f t="shared" si="23"/>
        <v>751279.65858760476</v>
      </c>
      <c r="I148" s="253">
        <f t="shared" si="24"/>
        <v>751279.65858760476</v>
      </c>
      <c r="J148" s="158">
        <f t="shared" si="25"/>
        <v>0</v>
      </c>
      <c r="K148" s="158"/>
      <c r="L148" s="334"/>
      <c r="M148" s="158">
        <f t="shared" si="26"/>
        <v>0</v>
      </c>
      <c r="N148" s="334"/>
      <c r="O148" s="158">
        <f t="shared" si="27"/>
        <v>0</v>
      </c>
      <c r="P148" s="158">
        <f t="shared" si="28"/>
        <v>0</v>
      </c>
    </row>
    <row r="149" spans="2:16">
      <c r="B149" s="9" t="str">
        <f t="shared" si="16"/>
        <v/>
      </c>
      <c r="C149" s="153">
        <f>IF(D93="","-",+C148+1)</f>
        <v>2057</v>
      </c>
      <c r="D149" s="154">
        <f>IF(F148+SUM(E$99:E148)=D$92,F148,D$92-SUM(E$99:E148))</f>
        <v>132997.50133718667</v>
      </c>
      <c r="E149" s="160">
        <f t="shared" si="20"/>
        <v>132997.50133718667</v>
      </c>
      <c r="F149" s="159">
        <f t="shared" si="21"/>
        <v>0</v>
      </c>
      <c r="G149" s="159">
        <f t="shared" si="22"/>
        <v>66498.750668593333</v>
      </c>
      <c r="H149" s="163">
        <f t="shared" si="23"/>
        <v>141075.20151506437</v>
      </c>
      <c r="I149" s="253">
        <f t="shared" si="24"/>
        <v>141075.20151506437</v>
      </c>
      <c r="J149" s="158">
        <f t="shared" si="25"/>
        <v>0</v>
      </c>
      <c r="K149" s="158"/>
      <c r="L149" s="334"/>
      <c r="M149" s="158">
        <f t="shared" si="26"/>
        <v>0</v>
      </c>
      <c r="N149" s="334"/>
      <c r="O149" s="158">
        <f t="shared" si="27"/>
        <v>0</v>
      </c>
      <c r="P149" s="158">
        <f t="shared" si="28"/>
        <v>0</v>
      </c>
    </row>
    <row r="150" spans="2:16">
      <c r="B150" s="9" t="str">
        <f t="shared" si="16"/>
        <v/>
      </c>
      <c r="C150" s="153">
        <f>IF(D93="","-",+C149+1)</f>
        <v>2058</v>
      </c>
      <c r="D150" s="154">
        <f>IF(F149+SUM(E$99:E149)=D$92,F149,D$92-SUM(E$99:E149))</f>
        <v>0</v>
      </c>
      <c r="E150" s="160">
        <f t="shared" si="20"/>
        <v>0</v>
      </c>
      <c r="F150" s="159">
        <f t="shared" si="21"/>
        <v>0</v>
      </c>
      <c r="G150" s="159">
        <f t="shared" si="22"/>
        <v>0</v>
      </c>
      <c r="H150" s="163">
        <f t="shared" si="23"/>
        <v>0</v>
      </c>
      <c r="I150" s="253">
        <f t="shared" si="24"/>
        <v>0</v>
      </c>
      <c r="J150" s="158">
        <f t="shared" si="25"/>
        <v>0</v>
      </c>
      <c r="K150" s="158"/>
      <c r="L150" s="334"/>
      <c r="M150" s="158">
        <f t="shared" si="26"/>
        <v>0</v>
      </c>
      <c r="N150" s="334"/>
      <c r="O150" s="158">
        <f t="shared" si="27"/>
        <v>0</v>
      </c>
      <c r="P150" s="158">
        <f t="shared" si="28"/>
        <v>0</v>
      </c>
    </row>
    <row r="151" spans="2:16">
      <c r="B151" s="9" t="str">
        <f t="shared" si="16"/>
        <v/>
      </c>
      <c r="C151" s="153">
        <f>IF(D93="","-",+C150+1)</f>
        <v>2059</v>
      </c>
      <c r="D151" s="154">
        <f>IF(F150+SUM(E$99:E150)=D$92,F150,D$92-SUM(E$99:E150))</f>
        <v>0</v>
      </c>
      <c r="E151" s="160">
        <f t="shared" si="20"/>
        <v>0</v>
      </c>
      <c r="F151" s="159">
        <f t="shared" si="21"/>
        <v>0</v>
      </c>
      <c r="G151" s="159">
        <f t="shared" si="22"/>
        <v>0</v>
      </c>
      <c r="H151" s="163">
        <f t="shared" si="23"/>
        <v>0</v>
      </c>
      <c r="I151" s="253">
        <f t="shared" si="24"/>
        <v>0</v>
      </c>
      <c r="J151" s="158">
        <f t="shared" si="25"/>
        <v>0</v>
      </c>
      <c r="K151" s="158"/>
      <c r="L151" s="334"/>
      <c r="M151" s="158">
        <f t="shared" si="26"/>
        <v>0</v>
      </c>
      <c r="N151" s="334"/>
      <c r="O151" s="158">
        <f t="shared" si="27"/>
        <v>0</v>
      </c>
      <c r="P151" s="158">
        <f t="shared" si="28"/>
        <v>0</v>
      </c>
    </row>
    <row r="152" spans="2:16">
      <c r="B152" s="9" t="str">
        <f t="shared" si="16"/>
        <v/>
      </c>
      <c r="C152" s="153">
        <f>IF(D93="","-",+C151+1)</f>
        <v>2060</v>
      </c>
      <c r="D152" s="154">
        <f>IF(F151+SUM(E$99:E151)=D$92,F151,D$92-SUM(E$99:E151))</f>
        <v>0</v>
      </c>
      <c r="E152" s="160">
        <f t="shared" si="20"/>
        <v>0</v>
      </c>
      <c r="F152" s="159">
        <f t="shared" si="21"/>
        <v>0</v>
      </c>
      <c r="G152" s="159">
        <f t="shared" si="22"/>
        <v>0</v>
      </c>
      <c r="H152" s="163">
        <f t="shared" si="23"/>
        <v>0</v>
      </c>
      <c r="I152" s="253">
        <f t="shared" si="24"/>
        <v>0</v>
      </c>
      <c r="J152" s="158">
        <f t="shared" si="25"/>
        <v>0</v>
      </c>
      <c r="K152" s="158"/>
      <c r="L152" s="334"/>
      <c r="M152" s="158">
        <f t="shared" si="26"/>
        <v>0</v>
      </c>
      <c r="N152" s="334"/>
      <c r="O152" s="158">
        <f t="shared" si="27"/>
        <v>0</v>
      </c>
      <c r="P152" s="158">
        <f t="shared" si="28"/>
        <v>0</v>
      </c>
    </row>
    <row r="153" spans="2:16">
      <c r="B153" s="9" t="str">
        <f t="shared" si="16"/>
        <v/>
      </c>
      <c r="C153" s="153">
        <f>IF(D93="","-",+C152+1)</f>
        <v>2061</v>
      </c>
      <c r="D153" s="154">
        <f>IF(F152+SUM(E$99:E152)=D$92,F152,D$92-SUM(E$99:E152))</f>
        <v>0</v>
      </c>
      <c r="E153" s="160">
        <f t="shared" si="20"/>
        <v>0</v>
      </c>
      <c r="F153" s="159">
        <f t="shared" si="21"/>
        <v>0</v>
      </c>
      <c r="G153" s="159">
        <f t="shared" si="22"/>
        <v>0</v>
      </c>
      <c r="H153" s="163">
        <f t="shared" si="23"/>
        <v>0</v>
      </c>
      <c r="I153" s="253">
        <f t="shared" si="24"/>
        <v>0</v>
      </c>
      <c r="J153" s="158">
        <f t="shared" si="25"/>
        <v>0</v>
      </c>
      <c r="K153" s="158"/>
      <c r="L153" s="334"/>
      <c r="M153" s="158">
        <f t="shared" si="26"/>
        <v>0</v>
      </c>
      <c r="N153" s="334"/>
      <c r="O153" s="158">
        <f t="shared" si="27"/>
        <v>0</v>
      </c>
      <c r="P153" s="158">
        <f t="shared" si="28"/>
        <v>0</v>
      </c>
    </row>
    <row r="154" spans="2:16" ht="13.5" thickBot="1">
      <c r="B154" s="9" t="str">
        <f t="shared" si="16"/>
        <v/>
      </c>
      <c r="C154" s="164">
        <f>IF(D93="","-",+C153+1)</f>
        <v>2062</v>
      </c>
      <c r="D154" s="154">
        <f>IF(F153+SUM(E$99:E153)=D$92,F153,D$92-SUM(E$99:E153))</f>
        <v>0</v>
      </c>
      <c r="E154" s="160">
        <f t="shared" si="20"/>
        <v>0</v>
      </c>
      <c r="F154" s="159">
        <f t="shared" si="21"/>
        <v>0</v>
      </c>
      <c r="G154" s="159">
        <f t="shared" si="22"/>
        <v>0</v>
      </c>
      <c r="H154" s="163">
        <f t="shared" si="23"/>
        <v>0</v>
      </c>
      <c r="I154" s="253">
        <f t="shared" si="24"/>
        <v>0</v>
      </c>
      <c r="J154" s="158">
        <f t="shared" si="25"/>
        <v>0</v>
      </c>
      <c r="K154" s="158"/>
      <c r="L154" s="335"/>
      <c r="M154" s="169">
        <f t="shared" si="26"/>
        <v>0</v>
      </c>
      <c r="N154" s="335"/>
      <c r="O154" s="169">
        <f t="shared" si="27"/>
        <v>0</v>
      </c>
      <c r="P154" s="169">
        <f t="shared" si="28"/>
        <v>0</v>
      </c>
    </row>
    <row r="155" spans="2:16">
      <c r="C155" s="154" t="s">
        <v>73</v>
      </c>
      <c r="D155" s="111"/>
      <c r="E155" s="111">
        <f>SUM(E99:E154)</f>
        <v>29107362</v>
      </c>
      <c r="F155" s="111"/>
      <c r="G155" s="111"/>
      <c r="H155" s="111">
        <f>SUM(H99:H154)</f>
        <v>103838286.98926549</v>
      </c>
      <c r="I155" s="111">
        <f>SUM(I99:I154)</f>
        <v>103838286.98926549</v>
      </c>
      <c r="J155" s="111">
        <f>SUM(J99:J154)</f>
        <v>0</v>
      </c>
      <c r="K155" s="111"/>
      <c r="L155" s="111"/>
      <c r="M155" s="111"/>
      <c r="N155" s="111"/>
      <c r="O155" s="111"/>
      <c r="P155" s="1"/>
    </row>
    <row r="156" spans="2:16">
      <c r="C156" t="s">
        <v>87</v>
      </c>
      <c r="D156" s="2"/>
      <c r="E156" s="1"/>
      <c r="F156" s="1"/>
      <c r="G156" s="1"/>
      <c r="H156" s="1"/>
      <c r="I156" s="3"/>
      <c r="J156" s="3"/>
      <c r="K156" s="111"/>
      <c r="L156" s="3"/>
      <c r="M156" s="3"/>
      <c r="N156" s="3"/>
      <c r="O156" s="3"/>
      <c r="P156" s="1"/>
    </row>
    <row r="157" spans="2:16">
      <c r="C157" s="216"/>
      <c r="D157" s="2"/>
      <c r="E157" s="1"/>
      <c r="F157" s="1"/>
      <c r="G157" s="1"/>
      <c r="H157" s="1"/>
      <c r="I157" s="3"/>
      <c r="J157" s="3"/>
      <c r="K157" s="111"/>
      <c r="L157" s="3"/>
      <c r="M157" s="3"/>
      <c r="N157" s="3"/>
      <c r="O157" s="3"/>
      <c r="P157" s="1"/>
    </row>
    <row r="158" spans="2:16">
      <c r="C158" s="248" t="s">
        <v>127</v>
      </c>
      <c r="D158" s="2"/>
      <c r="E158" s="1"/>
      <c r="F158" s="1"/>
      <c r="G158" s="1"/>
      <c r="H158" s="1"/>
      <c r="I158" s="3"/>
      <c r="J158" s="3"/>
      <c r="K158" s="111"/>
      <c r="L158" s="3"/>
      <c r="M158" s="3"/>
      <c r="N158" s="3"/>
      <c r="O158" s="3"/>
      <c r="P158" s="1"/>
    </row>
    <row r="159" spans="2:16">
      <c r="C159" s="121" t="s">
        <v>74</v>
      </c>
      <c r="D159" s="154"/>
      <c r="E159" s="154"/>
      <c r="F159" s="154"/>
      <c r="G159" s="154"/>
      <c r="H159" s="111"/>
      <c r="I159" s="111"/>
      <c r="J159" s="171"/>
      <c r="K159" s="171"/>
      <c r="L159" s="171"/>
      <c r="M159" s="171"/>
      <c r="N159" s="171"/>
      <c r="O159" s="171"/>
      <c r="P159" s="1"/>
    </row>
    <row r="160" spans="2:16">
      <c r="C160" s="217" t="s">
        <v>75</v>
      </c>
      <c r="D160" s="154"/>
      <c r="E160" s="154"/>
      <c r="F160" s="154"/>
      <c r="G160" s="154"/>
      <c r="H160" s="111"/>
      <c r="I160" s="111"/>
      <c r="J160" s="171"/>
      <c r="K160" s="171"/>
      <c r="L160" s="171"/>
      <c r="M160" s="171"/>
      <c r="N160" s="171"/>
      <c r="O160" s="171"/>
      <c r="P160" s="1"/>
    </row>
    <row r="161" spans="3:16">
      <c r="C161" s="217"/>
      <c r="D161" s="154"/>
      <c r="E161" s="154"/>
      <c r="F161" s="154"/>
      <c r="G161" s="154"/>
      <c r="H161" s="111"/>
      <c r="I161" s="111"/>
      <c r="J161" s="171"/>
      <c r="K161" s="171"/>
      <c r="L161" s="171"/>
      <c r="M161" s="171"/>
      <c r="N161" s="171"/>
      <c r="O161" s="171"/>
      <c r="P161" s="1"/>
    </row>
    <row r="162" spans="3:16" ht="18">
      <c r="C162" s="217"/>
      <c r="D162" s="154"/>
      <c r="E162" s="154"/>
      <c r="F162" s="154"/>
      <c r="G162" s="154"/>
      <c r="H162" s="111"/>
      <c r="I162" s="111"/>
      <c r="J162" s="171"/>
      <c r="K162" s="171"/>
      <c r="L162" s="171"/>
      <c r="M162" s="171"/>
      <c r="N162" s="171"/>
      <c r="P162" s="245" t="s">
        <v>126</v>
      </c>
    </row>
  </sheetData>
  <conditionalFormatting sqref="C17:C72">
    <cfRule type="cellIs" dxfId="76" priority="1" stopIfTrue="1" operator="equal">
      <formula>$I$10</formula>
    </cfRule>
  </conditionalFormatting>
  <conditionalFormatting sqref="C99:C154">
    <cfRule type="cellIs" dxfId="75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4">
    <tabColor theme="9" tint="-0.249977111117893"/>
  </sheetPr>
  <dimension ref="A1:P162"/>
  <sheetViews>
    <sheetView view="pageBreakPreview" zoomScale="82" zoomScaleNormal="100" zoomScaleSheetLayoutView="82" workbookViewId="0">
      <selection activeCell="C19" sqref="C19"/>
    </sheetView>
  </sheetViews>
  <sheetFormatPr defaultRowHeight="12.75" customHeight="1"/>
  <cols>
    <col min="1" max="1" width="4.7109375" customWidth="1"/>
    <col min="2" max="2" width="6.7109375" customWidth="1"/>
    <col min="3" max="3" width="23.28515625" customWidth="1"/>
    <col min="4" max="8" width="17.7109375" customWidth="1"/>
    <col min="9" max="9" width="20.42578125" customWidth="1"/>
    <col min="10" max="10" width="16.42578125" customWidth="1"/>
    <col min="11" max="11" width="17.7109375" customWidth="1"/>
    <col min="12" max="12" width="16.140625" customWidth="1"/>
    <col min="13" max="13" width="17.7109375" customWidth="1"/>
    <col min="14" max="14" width="16.7109375" customWidth="1"/>
    <col min="15" max="15" width="16.85546875" customWidth="1"/>
    <col min="16" max="16" width="24.42578125" customWidth="1"/>
    <col min="17" max="17" width="9.140625" customWidth="1"/>
    <col min="23" max="23" width="9.140625" customWidth="1"/>
  </cols>
  <sheetData>
    <row r="1" spans="1:16" ht="20.25">
      <c r="A1" s="243" t="s">
        <v>128</v>
      </c>
      <c r="B1" s="1"/>
      <c r="C1" s="21"/>
      <c r="D1" s="2"/>
      <c r="E1" s="1"/>
      <c r="F1" s="99"/>
      <c r="G1" s="1"/>
      <c r="H1" s="3"/>
      <c r="J1" s="7"/>
      <c r="K1" s="109"/>
      <c r="L1" s="109"/>
      <c r="M1" s="109"/>
      <c r="P1" s="249" t="str">
        <f ca="1">"SWEPCO Project "&amp;RIGHT(MID(CELL("filename",$A$1),FIND("]",CELL("filename",$A$1))+1,256),2)&amp;" of "&amp;COUNT('S.001:S.xyz - blank'!$P$3)-1</f>
        <v>SWEPCO Project 45 of 73</v>
      </c>
    </row>
    <row r="2" spans="1:16" ht="18">
      <c r="B2" s="1"/>
      <c r="C2" s="1"/>
      <c r="D2" s="2"/>
      <c r="E2" s="1"/>
      <c r="F2" s="1"/>
      <c r="G2" s="1"/>
      <c r="H2" s="3"/>
      <c r="I2" s="1"/>
      <c r="J2" s="4"/>
      <c r="K2" s="1"/>
      <c r="L2" s="1"/>
      <c r="M2" s="1"/>
      <c r="N2" s="1"/>
      <c r="P2" s="244" t="s">
        <v>124</v>
      </c>
    </row>
    <row r="3" spans="1:16" ht="18.75">
      <c r="B3" s="5" t="s">
        <v>40</v>
      </c>
      <c r="C3" s="68" t="s">
        <v>41</v>
      </c>
      <c r="D3" s="2"/>
      <c r="E3" s="1"/>
      <c r="F3" s="1"/>
      <c r="G3" s="1"/>
      <c r="H3" s="3"/>
      <c r="I3" s="3"/>
      <c r="J3" s="111"/>
      <c r="K3" s="3"/>
      <c r="L3" s="3"/>
      <c r="M3" s="3"/>
      <c r="N3" s="3"/>
      <c r="O3" s="1"/>
      <c r="P3" s="240">
        <v>1</v>
      </c>
    </row>
    <row r="4" spans="1:16" ht="15.75" thickBot="1">
      <c r="C4" s="67"/>
      <c r="D4" s="2"/>
      <c r="E4" s="1"/>
      <c r="F4" s="1"/>
      <c r="G4" s="1"/>
      <c r="H4" s="3"/>
      <c r="I4" s="3"/>
      <c r="J4" s="111"/>
      <c r="K4" s="3"/>
      <c r="L4" s="3"/>
      <c r="M4" s="3"/>
      <c r="N4" s="3"/>
      <c r="O4" s="1"/>
      <c r="P4" s="1"/>
    </row>
    <row r="5" spans="1:16" ht="15">
      <c r="C5" s="112" t="s">
        <v>42</v>
      </c>
      <c r="D5" s="2"/>
      <c r="E5" s="1"/>
      <c r="F5" s="1"/>
      <c r="G5" s="113"/>
      <c r="H5" s="1" t="s">
        <v>43</v>
      </c>
      <c r="I5" s="1"/>
      <c r="J5" s="4"/>
      <c r="K5" s="268" t="s">
        <v>152</v>
      </c>
      <c r="L5" s="114"/>
      <c r="M5" s="115"/>
      <c r="N5" s="116">
        <f>VLOOKUP(I10,C17:I72,5)</f>
        <v>249360.90673587442</v>
      </c>
      <c r="P5" s="1"/>
    </row>
    <row r="6" spans="1:16" ht="15.75">
      <c r="C6" s="8"/>
      <c r="D6" s="2"/>
      <c r="E6" s="1"/>
      <c r="F6" s="1"/>
      <c r="G6" s="1"/>
      <c r="H6" s="117"/>
      <c r="I6" s="117"/>
      <c r="J6" s="118"/>
      <c r="K6" s="269" t="s">
        <v>153</v>
      </c>
      <c r="L6" s="119"/>
      <c r="M6" s="4"/>
      <c r="N6" s="120">
        <f>VLOOKUP(I10,C17:I72,6)</f>
        <v>249360.90673587442</v>
      </c>
      <c r="O6" s="1"/>
      <c r="P6" s="1"/>
    </row>
    <row r="7" spans="1:16" ht="13.5" thickBot="1">
      <c r="C7" s="121" t="s">
        <v>44</v>
      </c>
      <c r="D7" s="386" t="s">
        <v>320</v>
      </c>
      <c r="E7" s="379"/>
      <c r="F7" s="379"/>
      <c r="G7" s="379"/>
      <c r="H7" s="383"/>
      <c r="I7" s="3"/>
      <c r="J7" s="111"/>
      <c r="K7" s="122" t="s">
        <v>45</v>
      </c>
      <c r="L7" s="123"/>
      <c r="M7" s="123"/>
      <c r="N7" s="124">
        <f>+N6-N5</f>
        <v>0</v>
      </c>
      <c r="O7" s="1"/>
      <c r="P7" s="1"/>
    </row>
    <row r="8" spans="1:16" ht="13.5" thickBot="1">
      <c r="C8" s="125"/>
      <c r="D8" s="418" t="s">
        <v>344</v>
      </c>
      <c r="E8" s="126"/>
      <c r="F8" s="126"/>
      <c r="G8" s="126"/>
      <c r="H8" s="126"/>
      <c r="I8" s="126"/>
      <c r="J8" s="101"/>
      <c r="K8" s="126"/>
      <c r="L8" s="126"/>
      <c r="M8" s="126"/>
      <c r="N8" s="126"/>
      <c r="O8" s="101"/>
      <c r="P8" s="21"/>
    </row>
    <row r="9" spans="1:16" ht="13.5" thickBot="1">
      <c r="C9" s="127" t="s">
        <v>46</v>
      </c>
      <c r="D9" s="225" t="s">
        <v>319</v>
      </c>
      <c r="E9" s="401" t="s">
        <v>432</v>
      </c>
      <c r="F9" s="128"/>
      <c r="G9" s="128"/>
      <c r="H9" s="128"/>
      <c r="I9" s="129"/>
      <c r="J9" s="130"/>
      <c r="O9" s="131"/>
      <c r="P9" s="4"/>
    </row>
    <row r="10" spans="1:16">
      <c r="C10" s="132" t="s">
        <v>47</v>
      </c>
      <c r="D10" s="133">
        <v>2658452</v>
      </c>
      <c r="E10" s="61" t="s">
        <v>459</v>
      </c>
      <c r="F10" s="131"/>
      <c r="G10" s="134"/>
      <c r="H10" s="134"/>
      <c r="I10" s="135">
        <f>+SWE.WS.F.BPU.ATRR.Projected!K17</f>
        <v>2019</v>
      </c>
      <c r="J10" s="130"/>
      <c r="K10" s="111" t="s">
        <v>48</v>
      </c>
      <c r="O10" s="4"/>
      <c r="P10" s="4"/>
    </row>
    <row r="11" spans="1:16">
      <c r="C11" s="136" t="s">
        <v>49</v>
      </c>
      <c r="D11" s="137">
        <v>2007</v>
      </c>
      <c r="E11" s="136" t="s">
        <v>50</v>
      </c>
      <c r="F11" s="134"/>
      <c r="G11" s="7"/>
      <c r="H11" s="7"/>
      <c r="I11" s="138">
        <f>IF(G5="",0,SWE.WS.F.BPU.ATRR.Projected!F$11)</f>
        <v>0</v>
      </c>
      <c r="J11" s="139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4"/>
      <c r="P11" s="4"/>
    </row>
    <row r="12" spans="1:16">
      <c r="C12" s="136" t="s">
        <v>51</v>
      </c>
      <c r="D12" s="133">
        <v>3</v>
      </c>
      <c r="E12" s="136" t="s">
        <v>52</v>
      </c>
      <c r="F12" s="134"/>
      <c r="G12" s="7"/>
      <c r="H12" s="7"/>
      <c r="I12" s="140">
        <f>SWE.WS.F.BPU.ATRR.Projected!$F$76</f>
        <v>9.9555672459071778E-2</v>
      </c>
      <c r="J12" s="141"/>
      <c r="K12" t="s">
        <v>53</v>
      </c>
      <c r="O12" s="4"/>
      <c r="P12" s="4"/>
    </row>
    <row r="13" spans="1:16">
      <c r="C13" s="136" t="s">
        <v>54</v>
      </c>
      <c r="D13" s="138">
        <f>+SWE.WS.F.BPU.ATRR.Projected!F$87</f>
        <v>43</v>
      </c>
      <c r="E13" s="136" t="s">
        <v>55</v>
      </c>
      <c r="F13" s="134"/>
      <c r="G13" s="7"/>
      <c r="H13" s="7"/>
      <c r="I13" s="140">
        <f>IF(G5="",I12,SWE.WS.F.BPU.ATRR.Projected!$F$75)</f>
        <v>9.9555672459071778E-2</v>
      </c>
      <c r="J13" s="141"/>
      <c r="K13" s="111" t="s">
        <v>56</v>
      </c>
      <c r="L13" s="58"/>
      <c r="M13" s="58"/>
      <c r="N13" s="58"/>
      <c r="O13" s="4"/>
      <c r="P13" s="4"/>
    </row>
    <row r="14" spans="1:16" ht="13.5" thickBot="1">
      <c r="C14" s="136" t="s">
        <v>57</v>
      </c>
      <c r="D14" s="137" t="s">
        <v>58</v>
      </c>
      <c r="E14" s="4" t="s">
        <v>59</v>
      </c>
      <c r="F14" s="134"/>
      <c r="G14" s="7"/>
      <c r="H14" s="7"/>
      <c r="I14" s="142">
        <f>IF(D10=0,0,D10/D13)</f>
        <v>61824.465116279069</v>
      </c>
      <c r="J14" s="111"/>
      <c r="K14" s="111"/>
      <c r="L14" s="111"/>
      <c r="M14" s="111"/>
      <c r="N14" s="111"/>
      <c r="O14" s="4"/>
      <c r="P14" s="4"/>
    </row>
    <row r="15" spans="1:16" ht="38.25">
      <c r="C15" s="143" t="s">
        <v>47</v>
      </c>
      <c r="D15" s="144" t="s">
        <v>60</v>
      </c>
      <c r="E15" s="144" t="s">
        <v>61</v>
      </c>
      <c r="F15" s="144" t="s">
        <v>62</v>
      </c>
      <c r="G15" s="434" t="s">
        <v>378</v>
      </c>
      <c r="H15" s="435" t="s">
        <v>379</v>
      </c>
      <c r="I15" s="143" t="s">
        <v>63</v>
      </c>
      <c r="J15" s="145"/>
      <c r="K15" s="271" t="s">
        <v>219</v>
      </c>
      <c r="L15" s="146" t="s">
        <v>64</v>
      </c>
      <c r="M15" s="271" t="s">
        <v>219</v>
      </c>
      <c r="N15" s="146" t="s">
        <v>64</v>
      </c>
      <c r="O15" s="146" t="s">
        <v>65</v>
      </c>
      <c r="P15" s="4"/>
    </row>
    <row r="16" spans="1:16" ht="13.5" thickBot="1">
      <c r="C16" s="147" t="s">
        <v>66</v>
      </c>
      <c r="D16" s="147" t="s">
        <v>67</v>
      </c>
      <c r="E16" s="147" t="s">
        <v>68</v>
      </c>
      <c r="F16" s="147" t="s">
        <v>67</v>
      </c>
      <c r="G16" s="408" t="s">
        <v>69</v>
      </c>
      <c r="H16" s="148" t="s">
        <v>70</v>
      </c>
      <c r="I16" s="149" t="s">
        <v>89</v>
      </c>
      <c r="J16" s="150" t="s">
        <v>71</v>
      </c>
      <c r="K16" s="151" t="s">
        <v>72</v>
      </c>
      <c r="L16" s="151" t="s">
        <v>72</v>
      </c>
      <c r="M16" s="151" t="s">
        <v>90</v>
      </c>
      <c r="N16" s="152" t="s">
        <v>90</v>
      </c>
      <c r="O16" s="151" t="s">
        <v>90</v>
      </c>
      <c r="P16" s="4"/>
    </row>
    <row r="17" spans="2:16">
      <c r="C17" s="153">
        <f>IF(D11= "","-",D11)</f>
        <v>2007</v>
      </c>
      <c r="D17" s="409">
        <v>2658452</v>
      </c>
      <c r="E17" s="415">
        <v>47472.357142857138</v>
      </c>
      <c r="F17" s="409">
        <v>2610979.6428571427</v>
      </c>
      <c r="G17" s="415">
        <v>399720.94779110374</v>
      </c>
      <c r="H17" s="416">
        <v>399720.94779110374</v>
      </c>
      <c r="I17" s="156">
        <v>0</v>
      </c>
      <c r="J17" s="156"/>
      <c r="K17" s="256">
        <f>G17</f>
        <v>399720.94779110374</v>
      </c>
      <c r="L17" s="172">
        <f>IF(K17&lt;&gt;0,+G17-K17,0)</f>
        <v>0</v>
      </c>
      <c r="M17" s="256">
        <f>H17</f>
        <v>399720.94779110374</v>
      </c>
      <c r="N17" s="157">
        <f>IF(M17&lt;&gt;0,+H17-M17,0)</f>
        <v>0</v>
      </c>
      <c r="O17" s="158">
        <f>+N17-L17</f>
        <v>0</v>
      </c>
      <c r="P17" s="4"/>
    </row>
    <row r="18" spans="2:16">
      <c r="B18" s="9" t="str">
        <f>IF(D18=F17,"","IU")</f>
        <v/>
      </c>
      <c r="C18" s="153">
        <f>IF(D11="","-",+C17+1)</f>
        <v>2008</v>
      </c>
      <c r="D18" s="411">
        <v>2610979.6428571427</v>
      </c>
      <c r="E18" s="410">
        <v>63296.476190476191</v>
      </c>
      <c r="F18" s="411">
        <v>2547683.1666666665</v>
      </c>
      <c r="G18" s="410">
        <v>407005.70706543193</v>
      </c>
      <c r="H18" s="416">
        <v>407005.70706543193</v>
      </c>
      <c r="I18" s="156">
        <v>0</v>
      </c>
      <c r="J18" s="156"/>
      <c r="K18" s="258">
        <f>G18</f>
        <v>407005.70706543193</v>
      </c>
      <c r="L18" s="257">
        <f>IF(K18&lt;&gt;0,+G18-K18,0)</f>
        <v>0</v>
      </c>
      <c r="M18" s="258">
        <f>H18</f>
        <v>407005.70706543193</v>
      </c>
      <c r="N18" s="158">
        <f>IF(M18&lt;&gt;0,+H18-M18,0)</f>
        <v>0</v>
      </c>
      <c r="O18" s="158">
        <f>+N18-L18</f>
        <v>0</v>
      </c>
      <c r="P18" s="4"/>
    </row>
    <row r="19" spans="2:16">
      <c r="B19" s="9" t="str">
        <f>IF(D19=F18,"","IU")</f>
        <v/>
      </c>
      <c r="C19" s="153">
        <f>IF(D11="","-",+C18+1)</f>
        <v>2009</v>
      </c>
      <c r="D19" s="411">
        <v>2547683.1666666665</v>
      </c>
      <c r="E19" s="410">
        <v>63296.476190476191</v>
      </c>
      <c r="F19" s="411">
        <v>2484386.6904761903</v>
      </c>
      <c r="G19" s="410">
        <v>398466.34729214112</v>
      </c>
      <c r="H19" s="416">
        <v>398466.34729214112</v>
      </c>
      <c r="I19" s="156">
        <v>0</v>
      </c>
      <c r="J19" s="156"/>
      <c r="K19" s="258">
        <f t="shared" ref="K19:K24" si="0">G19</f>
        <v>398466.34729214112</v>
      </c>
      <c r="L19" s="257">
        <f t="shared" ref="L19:L24" si="1">IF(K19&lt;&gt;0,+G19-K19,0)</f>
        <v>0</v>
      </c>
      <c r="M19" s="258">
        <f t="shared" ref="M19:M24" si="2">H19</f>
        <v>398466.34729214112</v>
      </c>
      <c r="N19" s="158">
        <f t="shared" ref="N19:N24" si="3">IF(M19&lt;&gt;0,+H19-M19,0)</f>
        <v>0</v>
      </c>
      <c r="O19" s="158">
        <f t="shared" ref="O19:O24" si="4">+N19-L19</f>
        <v>0</v>
      </c>
      <c r="P19" s="4"/>
    </row>
    <row r="20" spans="2:16">
      <c r="B20" s="9" t="str">
        <f t="shared" ref="B20:B72" si="5">IF(D20=F19,"","IU")</f>
        <v/>
      </c>
      <c r="C20" s="153">
        <f>IF(D11="","-",+C19+1)</f>
        <v>2010</v>
      </c>
      <c r="D20" s="411">
        <v>2484386.6904761903</v>
      </c>
      <c r="E20" s="410">
        <v>63296.476190476191</v>
      </c>
      <c r="F20" s="411">
        <v>2421090.2142857141</v>
      </c>
      <c r="G20" s="410">
        <v>389926.98751885031</v>
      </c>
      <c r="H20" s="416">
        <v>389926.98751885031</v>
      </c>
      <c r="I20" s="156">
        <v>0</v>
      </c>
      <c r="J20" s="156"/>
      <c r="K20" s="258">
        <f t="shared" si="0"/>
        <v>389926.98751885031</v>
      </c>
      <c r="L20" s="257">
        <f t="shared" si="1"/>
        <v>0</v>
      </c>
      <c r="M20" s="258">
        <f t="shared" si="2"/>
        <v>389926.98751885031</v>
      </c>
      <c r="N20" s="158">
        <f t="shared" si="3"/>
        <v>0</v>
      </c>
      <c r="O20" s="158">
        <f t="shared" si="4"/>
        <v>0</v>
      </c>
      <c r="P20" s="4"/>
    </row>
    <row r="21" spans="2:16">
      <c r="B21" s="9" t="str">
        <f t="shared" si="5"/>
        <v/>
      </c>
      <c r="C21" s="153">
        <f>IF(D11="","-",+C20+1)</f>
        <v>2011</v>
      </c>
      <c r="D21" s="411">
        <v>2421090.2142857141</v>
      </c>
      <c r="E21" s="410">
        <v>63296.476190476191</v>
      </c>
      <c r="F21" s="411">
        <v>2357793.7380952379</v>
      </c>
      <c r="G21" s="410">
        <v>381387.62774555944</v>
      </c>
      <c r="H21" s="416">
        <v>381387.62774555944</v>
      </c>
      <c r="I21" s="156">
        <v>0</v>
      </c>
      <c r="J21" s="156"/>
      <c r="K21" s="258">
        <f t="shared" si="0"/>
        <v>381387.62774555944</v>
      </c>
      <c r="L21" s="257">
        <f t="shared" si="1"/>
        <v>0</v>
      </c>
      <c r="M21" s="258">
        <f t="shared" si="2"/>
        <v>381387.62774555944</v>
      </c>
      <c r="N21" s="158">
        <f t="shared" si="3"/>
        <v>0</v>
      </c>
      <c r="O21" s="158">
        <f t="shared" si="4"/>
        <v>0</v>
      </c>
      <c r="P21" s="4"/>
    </row>
    <row r="22" spans="2:16">
      <c r="B22" s="9" t="str">
        <f t="shared" si="5"/>
        <v/>
      </c>
      <c r="C22" s="153">
        <f>IF(D11="","-",+C21+1)</f>
        <v>2012</v>
      </c>
      <c r="D22" s="411">
        <v>2357793.7380952379</v>
      </c>
      <c r="E22" s="410">
        <v>63296.476190476191</v>
      </c>
      <c r="F22" s="411">
        <v>2294497.2619047617</v>
      </c>
      <c r="G22" s="410">
        <v>372848.26797226863</v>
      </c>
      <c r="H22" s="416">
        <v>372848.26797226863</v>
      </c>
      <c r="I22" s="156">
        <v>0</v>
      </c>
      <c r="J22" s="156"/>
      <c r="K22" s="258">
        <f t="shared" si="0"/>
        <v>372848.26797226863</v>
      </c>
      <c r="L22" s="257">
        <f t="shared" si="1"/>
        <v>0</v>
      </c>
      <c r="M22" s="258">
        <f t="shared" si="2"/>
        <v>372848.26797226863</v>
      </c>
      <c r="N22" s="158">
        <f t="shared" si="3"/>
        <v>0</v>
      </c>
      <c r="O22" s="158">
        <f t="shared" si="4"/>
        <v>0</v>
      </c>
      <c r="P22" s="4"/>
    </row>
    <row r="23" spans="2:16">
      <c r="B23" s="9" t="str">
        <f t="shared" si="5"/>
        <v/>
      </c>
      <c r="C23" s="153">
        <f>IF(D11="","-",+C22+1)</f>
        <v>2013</v>
      </c>
      <c r="D23" s="411">
        <v>2294497.2619047617</v>
      </c>
      <c r="E23" s="410">
        <v>63296.476190476191</v>
      </c>
      <c r="F23" s="411">
        <v>2231200.7857142854</v>
      </c>
      <c r="G23" s="410">
        <v>364308.90819897782</v>
      </c>
      <c r="H23" s="416">
        <v>364308.90819897782</v>
      </c>
      <c r="I23" s="156">
        <v>0</v>
      </c>
      <c r="J23" s="156"/>
      <c r="K23" s="258">
        <f t="shared" si="0"/>
        <v>364308.90819897782</v>
      </c>
      <c r="L23" s="257">
        <f t="shared" si="1"/>
        <v>0</v>
      </c>
      <c r="M23" s="258">
        <f t="shared" si="2"/>
        <v>364308.90819897782</v>
      </c>
      <c r="N23" s="158">
        <f t="shared" si="3"/>
        <v>0</v>
      </c>
      <c r="O23" s="158">
        <f t="shared" si="4"/>
        <v>0</v>
      </c>
      <c r="P23" s="4"/>
    </row>
    <row r="24" spans="2:16">
      <c r="B24" s="9" t="str">
        <f t="shared" si="5"/>
        <v/>
      </c>
      <c r="C24" s="153">
        <f>IF(D11="","-",+C23+1)</f>
        <v>2014</v>
      </c>
      <c r="D24" s="411">
        <v>2231200.7857142854</v>
      </c>
      <c r="E24" s="410">
        <v>63296.476190476191</v>
      </c>
      <c r="F24" s="411">
        <v>2167904.3095238092</v>
      </c>
      <c r="G24" s="410">
        <v>355769.54842568695</v>
      </c>
      <c r="H24" s="416">
        <v>355769.54842568695</v>
      </c>
      <c r="I24" s="156">
        <v>0</v>
      </c>
      <c r="J24" s="156"/>
      <c r="K24" s="258">
        <f t="shared" si="0"/>
        <v>355769.54842568695</v>
      </c>
      <c r="L24" s="257">
        <f t="shared" si="1"/>
        <v>0</v>
      </c>
      <c r="M24" s="258">
        <f t="shared" si="2"/>
        <v>355769.54842568695</v>
      </c>
      <c r="N24" s="158">
        <f t="shared" si="3"/>
        <v>0</v>
      </c>
      <c r="O24" s="158">
        <f t="shared" si="4"/>
        <v>0</v>
      </c>
      <c r="P24" s="4"/>
    </row>
    <row r="25" spans="2:16">
      <c r="B25" s="9" t="str">
        <f t="shared" si="5"/>
        <v/>
      </c>
      <c r="C25" s="153">
        <f>IF(D11="","-",+C24+1)</f>
        <v>2015</v>
      </c>
      <c r="D25" s="411">
        <v>2167904.3095238092</v>
      </c>
      <c r="E25" s="410">
        <v>63296.476190476191</v>
      </c>
      <c r="F25" s="411">
        <v>2104607.833333333</v>
      </c>
      <c r="G25" s="410">
        <v>340483.43201030308</v>
      </c>
      <c r="H25" s="416">
        <v>340483.43201030308</v>
      </c>
      <c r="I25" s="156">
        <v>0</v>
      </c>
      <c r="J25" s="156"/>
      <c r="K25" s="258">
        <f>G25</f>
        <v>340483.43201030308</v>
      </c>
      <c r="L25" s="257">
        <f>IF(K25&lt;&gt;0,+G25-K25,0)</f>
        <v>0</v>
      </c>
      <c r="M25" s="258">
        <f>H25</f>
        <v>340483.43201030308</v>
      </c>
      <c r="N25" s="158">
        <f>IF(M25&lt;&gt;0,+H25-M25,0)</f>
        <v>0</v>
      </c>
      <c r="O25" s="158">
        <f>+N25-L25</f>
        <v>0</v>
      </c>
      <c r="P25" s="4"/>
    </row>
    <row r="26" spans="2:16">
      <c r="B26" s="9" t="str">
        <f t="shared" si="5"/>
        <v/>
      </c>
      <c r="C26" s="153">
        <f>IF(D11="","-",+C25+1)</f>
        <v>2016</v>
      </c>
      <c r="D26" s="411">
        <v>2104607.833333333</v>
      </c>
      <c r="E26" s="410">
        <v>63296.476190476191</v>
      </c>
      <c r="F26" s="411">
        <v>2041311.3571428568</v>
      </c>
      <c r="G26" s="410">
        <v>328830.20653345349</v>
      </c>
      <c r="H26" s="416">
        <v>328830.20653345349</v>
      </c>
      <c r="I26" s="156">
        <f>H26-G26</f>
        <v>0</v>
      </c>
      <c r="J26" s="156"/>
      <c r="K26" s="258">
        <f>G26</f>
        <v>328830.20653345349</v>
      </c>
      <c r="L26" s="257">
        <f>IF(K26&lt;&gt;0,+G26-K26,0)</f>
        <v>0</v>
      </c>
      <c r="M26" s="258">
        <f>H26</f>
        <v>328830.20653345349</v>
      </c>
      <c r="N26" s="158">
        <f>IF(M26&lt;&gt;0,+H26-M26,0)</f>
        <v>0</v>
      </c>
      <c r="O26" s="158">
        <f>+N26-L26</f>
        <v>0</v>
      </c>
      <c r="P26" s="4"/>
    </row>
    <row r="27" spans="2:16">
      <c r="B27" s="9" t="str">
        <f t="shared" si="5"/>
        <v/>
      </c>
      <c r="C27" s="153">
        <f>IF(D11="","-",+C26+1)</f>
        <v>2017</v>
      </c>
      <c r="D27" s="411">
        <v>2041311.3571428568</v>
      </c>
      <c r="E27" s="410">
        <v>61824.465116279069</v>
      </c>
      <c r="F27" s="411">
        <v>1979486.8920265778</v>
      </c>
      <c r="G27" s="410">
        <v>310897.9062413022</v>
      </c>
      <c r="H27" s="416">
        <v>310897.9062413022</v>
      </c>
      <c r="I27" s="156">
        <v>0</v>
      </c>
      <c r="J27" s="156"/>
      <c r="K27" s="258">
        <f>G27</f>
        <v>310897.9062413022</v>
      </c>
      <c r="L27" s="257">
        <f>IF(K27&lt;&gt;0,+G27-K27,0)</f>
        <v>0</v>
      </c>
      <c r="M27" s="258">
        <f>H27</f>
        <v>310897.9062413022</v>
      </c>
      <c r="N27" s="158">
        <f>IF(M27&lt;&gt;0,+H27-M27,0)</f>
        <v>0</v>
      </c>
      <c r="O27" s="158">
        <f>+N27-L27</f>
        <v>0</v>
      </c>
      <c r="P27" s="4"/>
    </row>
    <row r="28" spans="2:16">
      <c r="B28" s="9" t="str">
        <f t="shared" si="5"/>
        <v/>
      </c>
      <c r="C28" s="153">
        <f>IF(D11="","-",+C27+1)</f>
        <v>2018</v>
      </c>
      <c r="D28" s="411">
        <v>1979486.8920265778</v>
      </c>
      <c r="E28" s="410">
        <v>64840.292682926833</v>
      </c>
      <c r="F28" s="411">
        <v>1914646.599343651</v>
      </c>
      <c r="G28" s="410">
        <v>282686.31741650117</v>
      </c>
      <c r="H28" s="416">
        <v>282686.31741650117</v>
      </c>
      <c r="I28" s="156">
        <f t="shared" ref="I28:I72" si="6">H28-G28</f>
        <v>0</v>
      </c>
      <c r="J28" s="156"/>
      <c r="K28" s="258">
        <f>G28</f>
        <v>282686.31741650117</v>
      </c>
      <c r="L28" s="257">
        <f>IF(K28&lt;&gt;0,+G28-K28,0)</f>
        <v>0</v>
      </c>
      <c r="M28" s="258">
        <f>H28</f>
        <v>282686.31741650117</v>
      </c>
      <c r="N28" s="158">
        <f>IF(M28&lt;&gt;0,+H28-M28,0)</f>
        <v>0</v>
      </c>
      <c r="O28" s="158">
        <f>+N28-L28</f>
        <v>0</v>
      </c>
      <c r="P28" s="4"/>
    </row>
    <row r="29" spans="2:16">
      <c r="B29" s="9" t="str">
        <f t="shared" si="5"/>
        <v/>
      </c>
      <c r="C29" s="153">
        <f>IF(D11="","-",+C28+1)</f>
        <v>2019</v>
      </c>
      <c r="D29" s="159">
        <f>IF(F28+SUM(E$17:E28)=D$10,F28,D$10-SUM(E$17:E28))</f>
        <v>1914646.599343651</v>
      </c>
      <c r="E29" s="160">
        <f>IF(+I14&lt;F28,I14,D29)</f>
        <v>61824.465116279069</v>
      </c>
      <c r="F29" s="159">
        <f t="shared" ref="F29:F72" si="7">+D29-E29</f>
        <v>1852822.134227372</v>
      </c>
      <c r="G29" s="161">
        <f t="shared" ref="G29:G72" si="8">+I$12*((D29+F29)/2)+E29</f>
        <v>249360.90673587442</v>
      </c>
      <c r="H29" s="142">
        <f t="shared" ref="H29:H72" si="9">+I$13*((D29+F29)/2)+E29</f>
        <v>249360.90673587442</v>
      </c>
      <c r="I29" s="156">
        <f t="shared" si="6"/>
        <v>0</v>
      </c>
      <c r="J29" s="156"/>
      <c r="K29" s="334"/>
      <c r="L29" s="158">
        <f t="shared" ref="L29:L72" si="10">IF(K29&lt;&gt;0,+G29-K29,0)</f>
        <v>0</v>
      </c>
      <c r="M29" s="334"/>
      <c r="N29" s="158">
        <f t="shared" ref="N29:N72" si="11">IF(M29&lt;&gt;0,+H29-M29,0)</f>
        <v>0</v>
      </c>
      <c r="O29" s="158">
        <f t="shared" ref="O29:O72" si="12">+N29-L29</f>
        <v>0</v>
      </c>
      <c r="P29" s="4"/>
    </row>
    <row r="30" spans="2:16">
      <c r="B30" s="9" t="str">
        <f t="shared" si="5"/>
        <v/>
      </c>
      <c r="C30" s="153">
        <f>IF(D11="","-",+C29+1)</f>
        <v>2020</v>
      </c>
      <c r="D30" s="159">
        <f>IF(F29+SUM(E$17:E29)=D$10,F29,D$10-SUM(E$17:E29))</f>
        <v>1852822.134227372</v>
      </c>
      <c r="E30" s="160">
        <f>IF(+I14&lt;F29,I14,D30)</f>
        <v>61824.465116279069</v>
      </c>
      <c r="F30" s="159">
        <f t="shared" si="7"/>
        <v>1790997.669111093</v>
      </c>
      <c r="G30" s="161">
        <f t="shared" si="8"/>
        <v>243205.93053680088</v>
      </c>
      <c r="H30" s="142">
        <f t="shared" si="9"/>
        <v>243205.93053680088</v>
      </c>
      <c r="I30" s="156">
        <f t="shared" si="6"/>
        <v>0</v>
      </c>
      <c r="J30" s="156"/>
      <c r="K30" s="334"/>
      <c r="L30" s="158">
        <f t="shared" si="10"/>
        <v>0</v>
      </c>
      <c r="M30" s="334"/>
      <c r="N30" s="158">
        <f t="shared" si="11"/>
        <v>0</v>
      </c>
      <c r="O30" s="158">
        <f t="shared" si="12"/>
        <v>0</v>
      </c>
      <c r="P30" s="4"/>
    </row>
    <row r="31" spans="2:16">
      <c r="B31" s="9" t="str">
        <f t="shared" si="5"/>
        <v/>
      </c>
      <c r="C31" s="153">
        <f>IF(D11="","-",+C30+1)</f>
        <v>2021</v>
      </c>
      <c r="D31" s="159">
        <f>IF(F30+SUM(E$17:E30)=D$10,F30,D$10-SUM(E$17:E30))</f>
        <v>1790997.669111093</v>
      </c>
      <c r="E31" s="160">
        <f>IF(+I14&lt;F30,I14,D31)</f>
        <v>61824.465116279069</v>
      </c>
      <c r="F31" s="159">
        <f t="shared" si="7"/>
        <v>1729173.2039948141</v>
      </c>
      <c r="G31" s="161">
        <f t="shared" si="8"/>
        <v>237050.95433772728</v>
      </c>
      <c r="H31" s="142">
        <f t="shared" si="9"/>
        <v>237050.95433772728</v>
      </c>
      <c r="I31" s="156">
        <f t="shared" si="6"/>
        <v>0</v>
      </c>
      <c r="J31" s="156"/>
      <c r="K31" s="334"/>
      <c r="L31" s="158">
        <f t="shared" si="10"/>
        <v>0</v>
      </c>
      <c r="M31" s="334"/>
      <c r="N31" s="158">
        <f t="shared" si="11"/>
        <v>0</v>
      </c>
      <c r="O31" s="158">
        <f t="shared" si="12"/>
        <v>0</v>
      </c>
      <c r="P31" s="4"/>
    </row>
    <row r="32" spans="2:16">
      <c r="B32" s="9" t="str">
        <f t="shared" si="5"/>
        <v/>
      </c>
      <c r="C32" s="153">
        <f>IF(D11="","-",+C31+1)</f>
        <v>2022</v>
      </c>
      <c r="D32" s="159">
        <f>IF(F31+SUM(E$17:E31)=D$10,F31,D$10-SUM(E$17:E31))</f>
        <v>1729173.2039948141</v>
      </c>
      <c r="E32" s="160">
        <f>IF(+I14&lt;F31,I14,D32)</f>
        <v>61824.465116279069</v>
      </c>
      <c r="F32" s="159">
        <f t="shared" si="7"/>
        <v>1667348.7388785351</v>
      </c>
      <c r="G32" s="161">
        <f t="shared" si="8"/>
        <v>230895.97813865374</v>
      </c>
      <c r="H32" s="142">
        <f t="shared" si="9"/>
        <v>230895.97813865374</v>
      </c>
      <c r="I32" s="156">
        <f t="shared" si="6"/>
        <v>0</v>
      </c>
      <c r="J32" s="156"/>
      <c r="K32" s="334"/>
      <c r="L32" s="158">
        <f t="shared" si="10"/>
        <v>0</v>
      </c>
      <c r="M32" s="334"/>
      <c r="N32" s="158">
        <f t="shared" si="11"/>
        <v>0</v>
      </c>
      <c r="O32" s="158">
        <f t="shared" si="12"/>
        <v>0</v>
      </c>
      <c r="P32" s="4"/>
    </row>
    <row r="33" spans="2:16">
      <c r="B33" s="9" t="str">
        <f t="shared" si="5"/>
        <v/>
      </c>
      <c r="C33" s="153">
        <f>IF(D11="","-",+C32+1)</f>
        <v>2023</v>
      </c>
      <c r="D33" s="159">
        <f>IF(F32+SUM(E$17:E32)=D$10,F32,D$10-SUM(E$17:E32))</f>
        <v>1667348.7388785351</v>
      </c>
      <c r="E33" s="160">
        <f>IF(+I14&lt;F32,I14,D33)</f>
        <v>61824.465116279069</v>
      </c>
      <c r="F33" s="159">
        <f t="shared" si="7"/>
        <v>1605524.2737622561</v>
      </c>
      <c r="G33" s="161">
        <f t="shared" si="8"/>
        <v>224741.00193958014</v>
      </c>
      <c r="H33" s="142">
        <f t="shared" si="9"/>
        <v>224741.00193958014</v>
      </c>
      <c r="I33" s="156">
        <f t="shared" si="6"/>
        <v>0</v>
      </c>
      <c r="J33" s="156"/>
      <c r="K33" s="334"/>
      <c r="L33" s="158">
        <f t="shared" si="10"/>
        <v>0</v>
      </c>
      <c r="M33" s="334"/>
      <c r="N33" s="158">
        <f t="shared" si="11"/>
        <v>0</v>
      </c>
      <c r="O33" s="158">
        <f t="shared" si="12"/>
        <v>0</v>
      </c>
      <c r="P33" s="4"/>
    </row>
    <row r="34" spans="2:16">
      <c r="B34" s="9" t="str">
        <f t="shared" si="5"/>
        <v/>
      </c>
      <c r="C34" s="153">
        <f>IF(D11="","-",+C33+1)</f>
        <v>2024</v>
      </c>
      <c r="D34" s="159">
        <f>IF(F33+SUM(E$17:E33)=D$10,F33,D$10-SUM(E$17:E33))</f>
        <v>1605524.2737622561</v>
      </c>
      <c r="E34" s="160">
        <f>IF(+I14&lt;F33,I14,D34)</f>
        <v>61824.465116279069</v>
      </c>
      <c r="F34" s="159">
        <f t="shared" si="7"/>
        <v>1543699.8086459772</v>
      </c>
      <c r="G34" s="161">
        <f t="shared" si="8"/>
        <v>218586.02574050653</v>
      </c>
      <c r="H34" s="142">
        <f t="shared" si="9"/>
        <v>218586.02574050653</v>
      </c>
      <c r="I34" s="156">
        <f t="shared" si="6"/>
        <v>0</v>
      </c>
      <c r="J34" s="156"/>
      <c r="K34" s="334"/>
      <c r="L34" s="158">
        <f t="shared" si="10"/>
        <v>0</v>
      </c>
      <c r="M34" s="334"/>
      <c r="N34" s="158">
        <f t="shared" si="11"/>
        <v>0</v>
      </c>
      <c r="O34" s="158">
        <f t="shared" si="12"/>
        <v>0</v>
      </c>
      <c r="P34" s="4"/>
    </row>
    <row r="35" spans="2:16">
      <c r="B35" s="9" t="str">
        <f t="shared" si="5"/>
        <v/>
      </c>
      <c r="C35" s="153">
        <f>IF(D11="","-",+C34+1)</f>
        <v>2025</v>
      </c>
      <c r="D35" s="159">
        <f>IF(F34+SUM(E$17:E34)=D$10,F34,D$10-SUM(E$17:E34))</f>
        <v>1543699.8086459772</v>
      </c>
      <c r="E35" s="160">
        <f>IF(+I14&lt;F34,I14,D35)</f>
        <v>61824.465116279069</v>
      </c>
      <c r="F35" s="159">
        <f t="shared" si="7"/>
        <v>1481875.3435296982</v>
      </c>
      <c r="G35" s="161">
        <f t="shared" si="8"/>
        <v>212431.04954143293</v>
      </c>
      <c r="H35" s="142">
        <f t="shared" si="9"/>
        <v>212431.04954143293</v>
      </c>
      <c r="I35" s="156">
        <f t="shared" si="6"/>
        <v>0</v>
      </c>
      <c r="J35" s="156"/>
      <c r="K35" s="334"/>
      <c r="L35" s="158">
        <f t="shared" si="10"/>
        <v>0</v>
      </c>
      <c r="M35" s="334"/>
      <c r="N35" s="158">
        <f t="shared" si="11"/>
        <v>0</v>
      </c>
      <c r="O35" s="158">
        <f t="shared" si="12"/>
        <v>0</v>
      </c>
      <c r="P35" s="4"/>
    </row>
    <row r="36" spans="2:16">
      <c r="B36" s="9" t="str">
        <f t="shared" si="5"/>
        <v/>
      </c>
      <c r="C36" s="153">
        <f>IF(D11="","-",+C35+1)</f>
        <v>2026</v>
      </c>
      <c r="D36" s="159">
        <f>IF(F35+SUM(E$17:E35)=D$10,F35,D$10-SUM(E$17:E35))</f>
        <v>1481875.3435296982</v>
      </c>
      <c r="E36" s="160">
        <f>IF(+I14&lt;F35,I14,D36)</f>
        <v>61824.465116279069</v>
      </c>
      <c r="F36" s="159">
        <f t="shared" si="7"/>
        <v>1420050.8784134192</v>
      </c>
      <c r="G36" s="161">
        <f t="shared" si="8"/>
        <v>206276.07334235939</v>
      </c>
      <c r="H36" s="142">
        <f t="shared" si="9"/>
        <v>206276.07334235939</v>
      </c>
      <c r="I36" s="156">
        <f t="shared" si="6"/>
        <v>0</v>
      </c>
      <c r="J36" s="156"/>
      <c r="K36" s="334"/>
      <c r="L36" s="158">
        <f t="shared" si="10"/>
        <v>0</v>
      </c>
      <c r="M36" s="334"/>
      <c r="N36" s="158">
        <f t="shared" si="11"/>
        <v>0</v>
      </c>
      <c r="O36" s="158">
        <f t="shared" si="12"/>
        <v>0</v>
      </c>
      <c r="P36" s="4"/>
    </row>
    <row r="37" spans="2:16">
      <c r="B37" s="9" t="str">
        <f t="shared" si="5"/>
        <v/>
      </c>
      <c r="C37" s="153">
        <f>IF(D11="","-",+C36+1)</f>
        <v>2027</v>
      </c>
      <c r="D37" s="159">
        <f>IF(F36+SUM(E$17:E36)=D$10,F36,D$10-SUM(E$17:E36))</f>
        <v>1420050.8784134192</v>
      </c>
      <c r="E37" s="160">
        <f>IF(+I14&lt;F36,I14,D37)</f>
        <v>61824.465116279069</v>
      </c>
      <c r="F37" s="159">
        <f t="shared" si="7"/>
        <v>1358226.4132971403</v>
      </c>
      <c r="G37" s="161">
        <f t="shared" si="8"/>
        <v>200121.09714328579</v>
      </c>
      <c r="H37" s="142">
        <f t="shared" si="9"/>
        <v>200121.09714328579</v>
      </c>
      <c r="I37" s="156">
        <f t="shared" si="6"/>
        <v>0</v>
      </c>
      <c r="J37" s="156"/>
      <c r="K37" s="334"/>
      <c r="L37" s="158">
        <f t="shared" si="10"/>
        <v>0</v>
      </c>
      <c r="M37" s="334"/>
      <c r="N37" s="158">
        <f t="shared" si="11"/>
        <v>0</v>
      </c>
      <c r="O37" s="158">
        <f t="shared" si="12"/>
        <v>0</v>
      </c>
      <c r="P37" s="4"/>
    </row>
    <row r="38" spans="2:16">
      <c r="B38" s="9" t="str">
        <f t="shared" si="5"/>
        <v/>
      </c>
      <c r="C38" s="153">
        <f>IF(D11="","-",+C37+1)</f>
        <v>2028</v>
      </c>
      <c r="D38" s="159">
        <f>IF(F37+SUM(E$17:E37)=D$10,F37,D$10-SUM(E$17:E37))</f>
        <v>1358226.4132971403</v>
      </c>
      <c r="E38" s="160">
        <f>IF(+I14&lt;F37,I14,D38)</f>
        <v>61824.465116279069</v>
      </c>
      <c r="F38" s="159">
        <f t="shared" si="7"/>
        <v>1296401.9481808613</v>
      </c>
      <c r="G38" s="161">
        <f t="shared" si="8"/>
        <v>193966.12094421225</v>
      </c>
      <c r="H38" s="142">
        <f t="shared" si="9"/>
        <v>193966.12094421225</v>
      </c>
      <c r="I38" s="156">
        <f t="shared" si="6"/>
        <v>0</v>
      </c>
      <c r="J38" s="156"/>
      <c r="K38" s="334"/>
      <c r="L38" s="158">
        <f t="shared" si="10"/>
        <v>0</v>
      </c>
      <c r="M38" s="334"/>
      <c r="N38" s="158">
        <f t="shared" si="11"/>
        <v>0</v>
      </c>
      <c r="O38" s="158">
        <f t="shared" si="12"/>
        <v>0</v>
      </c>
      <c r="P38" s="4"/>
    </row>
    <row r="39" spans="2:16">
      <c r="B39" s="9" t="str">
        <f t="shared" si="5"/>
        <v/>
      </c>
      <c r="C39" s="153">
        <f>IF(D11="","-",+C38+1)</f>
        <v>2029</v>
      </c>
      <c r="D39" s="159">
        <f>IF(F38+SUM(E$17:E38)=D$10,F38,D$10-SUM(E$17:E38))</f>
        <v>1296401.9481808613</v>
      </c>
      <c r="E39" s="160">
        <f>IF(+I14&lt;F38,I14,D39)</f>
        <v>61824.465116279069</v>
      </c>
      <c r="F39" s="159">
        <f t="shared" si="7"/>
        <v>1234577.4830645823</v>
      </c>
      <c r="G39" s="161">
        <f t="shared" si="8"/>
        <v>187811.14474513865</v>
      </c>
      <c r="H39" s="142">
        <f t="shared" si="9"/>
        <v>187811.14474513865</v>
      </c>
      <c r="I39" s="156">
        <f t="shared" si="6"/>
        <v>0</v>
      </c>
      <c r="J39" s="156"/>
      <c r="K39" s="334"/>
      <c r="L39" s="158">
        <f t="shared" si="10"/>
        <v>0</v>
      </c>
      <c r="M39" s="334"/>
      <c r="N39" s="158">
        <f t="shared" si="11"/>
        <v>0</v>
      </c>
      <c r="O39" s="158">
        <f t="shared" si="12"/>
        <v>0</v>
      </c>
      <c r="P39" s="4"/>
    </row>
    <row r="40" spans="2:16">
      <c r="B40" s="9" t="str">
        <f t="shared" si="5"/>
        <v/>
      </c>
      <c r="C40" s="153">
        <f>IF(D11="","-",+C39+1)</f>
        <v>2030</v>
      </c>
      <c r="D40" s="159">
        <f>IF(F39+SUM(E$17:E39)=D$10,F39,D$10-SUM(E$17:E39))</f>
        <v>1234577.4830645823</v>
      </c>
      <c r="E40" s="160">
        <f>IF(+I14&lt;F39,I14,D40)</f>
        <v>61824.465116279069</v>
      </c>
      <c r="F40" s="159">
        <f t="shared" si="7"/>
        <v>1172753.0179483034</v>
      </c>
      <c r="G40" s="161">
        <f t="shared" si="8"/>
        <v>181656.16854606511</v>
      </c>
      <c r="H40" s="142">
        <f t="shared" si="9"/>
        <v>181656.16854606511</v>
      </c>
      <c r="I40" s="156">
        <f t="shared" si="6"/>
        <v>0</v>
      </c>
      <c r="J40" s="156"/>
      <c r="K40" s="334"/>
      <c r="L40" s="158">
        <f t="shared" si="10"/>
        <v>0</v>
      </c>
      <c r="M40" s="334"/>
      <c r="N40" s="158">
        <f t="shared" si="11"/>
        <v>0</v>
      </c>
      <c r="O40" s="158">
        <f t="shared" si="12"/>
        <v>0</v>
      </c>
      <c r="P40" s="4"/>
    </row>
    <row r="41" spans="2:16">
      <c r="B41" s="9" t="str">
        <f t="shared" si="5"/>
        <v/>
      </c>
      <c r="C41" s="153">
        <f>IF(D11="","-",+C40+1)</f>
        <v>2031</v>
      </c>
      <c r="D41" s="159">
        <f>IF(F40+SUM(E$17:E40)=D$10,F40,D$10-SUM(E$17:E40))</f>
        <v>1172753.0179483034</v>
      </c>
      <c r="E41" s="160">
        <f>IF(+I14&lt;F40,I14,D41)</f>
        <v>61824.465116279069</v>
      </c>
      <c r="F41" s="159">
        <f t="shared" si="7"/>
        <v>1110928.5528320244</v>
      </c>
      <c r="G41" s="161">
        <f t="shared" si="8"/>
        <v>175501.19234699151</v>
      </c>
      <c r="H41" s="142">
        <f t="shared" si="9"/>
        <v>175501.19234699151</v>
      </c>
      <c r="I41" s="156">
        <f t="shared" si="6"/>
        <v>0</v>
      </c>
      <c r="J41" s="156"/>
      <c r="K41" s="334"/>
      <c r="L41" s="158">
        <f t="shared" si="10"/>
        <v>0</v>
      </c>
      <c r="M41" s="334"/>
      <c r="N41" s="158">
        <f t="shared" si="11"/>
        <v>0</v>
      </c>
      <c r="O41" s="158">
        <f t="shared" si="12"/>
        <v>0</v>
      </c>
      <c r="P41" s="4"/>
    </row>
    <row r="42" spans="2:16">
      <c r="B42" s="9" t="str">
        <f t="shared" si="5"/>
        <v/>
      </c>
      <c r="C42" s="153">
        <f>IF(D11="","-",+C41+1)</f>
        <v>2032</v>
      </c>
      <c r="D42" s="159">
        <f>IF(F41+SUM(E$17:E41)=D$10,F41,D$10-SUM(E$17:E41))</f>
        <v>1110928.5528320244</v>
      </c>
      <c r="E42" s="160">
        <f>IF(+I14&lt;F41,I14,D42)</f>
        <v>61824.465116279069</v>
      </c>
      <c r="F42" s="159">
        <f t="shared" si="7"/>
        <v>1049104.0877157454</v>
      </c>
      <c r="G42" s="161">
        <f t="shared" si="8"/>
        <v>169346.21614791793</v>
      </c>
      <c r="H42" s="142">
        <f t="shared" si="9"/>
        <v>169346.21614791793</v>
      </c>
      <c r="I42" s="156">
        <f t="shared" si="6"/>
        <v>0</v>
      </c>
      <c r="J42" s="156"/>
      <c r="K42" s="334"/>
      <c r="L42" s="158">
        <f t="shared" si="10"/>
        <v>0</v>
      </c>
      <c r="M42" s="334"/>
      <c r="N42" s="158">
        <f t="shared" si="11"/>
        <v>0</v>
      </c>
      <c r="O42" s="158">
        <f t="shared" si="12"/>
        <v>0</v>
      </c>
      <c r="P42" s="4"/>
    </row>
    <row r="43" spans="2:16">
      <c r="B43" s="9" t="str">
        <f t="shared" si="5"/>
        <v/>
      </c>
      <c r="C43" s="153">
        <f>IF(D11="","-",+C42+1)</f>
        <v>2033</v>
      </c>
      <c r="D43" s="159">
        <f>IF(F42+SUM(E$17:E42)=D$10,F42,D$10-SUM(E$17:E42))</f>
        <v>1049104.0877157454</v>
      </c>
      <c r="E43" s="160">
        <f>IF(+I14&lt;F42,I14,D43)</f>
        <v>61824.465116279069</v>
      </c>
      <c r="F43" s="159">
        <f t="shared" si="7"/>
        <v>987279.62259946635</v>
      </c>
      <c r="G43" s="161">
        <f t="shared" si="8"/>
        <v>163191.23994884433</v>
      </c>
      <c r="H43" s="142">
        <f t="shared" si="9"/>
        <v>163191.23994884433</v>
      </c>
      <c r="I43" s="156">
        <f t="shared" si="6"/>
        <v>0</v>
      </c>
      <c r="J43" s="156"/>
      <c r="K43" s="334"/>
      <c r="L43" s="158">
        <f t="shared" si="10"/>
        <v>0</v>
      </c>
      <c r="M43" s="334"/>
      <c r="N43" s="158">
        <f t="shared" si="11"/>
        <v>0</v>
      </c>
      <c r="O43" s="158">
        <f t="shared" si="12"/>
        <v>0</v>
      </c>
      <c r="P43" s="4"/>
    </row>
    <row r="44" spans="2:16">
      <c r="B44" s="9" t="str">
        <f t="shared" si="5"/>
        <v/>
      </c>
      <c r="C44" s="153">
        <f>IF(D11="","-",+C43+1)</f>
        <v>2034</v>
      </c>
      <c r="D44" s="159">
        <f>IF(F43+SUM(E$17:E43)=D$10,F43,D$10-SUM(E$17:E43))</f>
        <v>987279.62259946635</v>
      </c>
      <c r="E44" s="160">
        <f>IF(+I14&lt;F43,I14,D44)</f>
        <v>61824.465116279069</v>
      </c>
      <c r="F44" s="159">
        <f t="shared" si="7"/>
        <v>925455.15748318727</v>
      </c>
      <c r="G44" s="161">
        <f t="shared" si="8"/>
        <v>157036.26374977076</v>
      </c>
      <c r="H44" s="142">
        <f t="shared" si="9"/>
        <v>157036.26374977076</v>
      </c>
      <c r="I44" s="156">
        <f t="shared" si="6"/>
        <v>0</v>
      </c>
      <c r="J44" s="156"/>
      <c r="K44" s="334"/>
      <c r="L44" s="158">
        <f t="shared" si="10"/>
        <v>0</v>
      </c>
      <c r="M44" s="334"/>
      <c r="N44" s="158">
        <f t="shared" si="11"/>
        <v>0</v>
      </c>
      <c r="O44" s="158">
        <f t="shared" si="12"/>
        <v>0</v>
      </c>
      <c r="P44" s="4"/>
    </row>
    <row r="45" spans="2:16">
      <c r="B45" s="9" t="str">
        <f t="shared" si="5"/>
        <v/>
      </c>
      <c r="C45" s="153">
        <f>IF(D11="","-",+C44+1)</f>
        <v>2035</v>
      </c>
      <c r="D45" s="159">
        <f>IF(F44+SUM(E$17:E44)=D$10,F44,D$10-SUM(E$17:E44))</f>
        <v>925455.15748318727</v>
      </c>
      <c r="E45" s="160">
        <f>IF(+I14&lt;F44,I14,D45)</f>
        <v>61824.465116279069</v>
      </c>
      <c r="F45" s="159">
        <f t="shared" si="7"/>
        <v>863630.69236690819</v>
      </c>
      <c r="G45" s="161">
        <f t="shared" si="8"/>
        <v>150881.28755069716</v>
      </c>
      <c r="H45" s="142">
        <f t="shared" si="9"/>
        <v>150881.28755069716</v>
      </c>
      <c r="I45" s="156">
        <f t="shared" si="6"/>
        <v>0</v>
      </c>
      <c r="J45" s="156"/>
      <c r="K45" s="334"/>
      <c r="L45" s="158">
        <f t="shared" si="10"/>
        <v>0</v>
      </c>
      <c r="M45" s="334"/>
      <c r="N45" s="158">
        <f t="shared" si="11"/>
        <v>0</v>
      </c>
      <c r="O45" s="158">
        <f t="shared" si="12"/>
        <v>0</v>
      </c>
      <c r="P45" s="4"/>
    </row>
    <row r="46" spans="2:16">
      <c r="B46" s="9" t="str">
        <f t="shared" si="5"/>
        <v/>
      </c>
      <c r="C46" s="153">
        <f>IF(D11="","-",+C45+1)</f>
        <v>2036</v>
      </c>
      <c r="D46" s="159">
        <f>IF(F45+SUM(E$17:E45)=D$10,F45,D$10-SUM(E$17:E45))</f>
        <v>863630.69236690819</v>
      </c>
      <c r="E46" s="160">
        <f>IF(+I14&lt;F45,I14,D46)</f>
        <v>61824.465116279069</v>
      </c>
      <c r="F46" s="159">
        <f t="shared" si="7"/>
        <v>801806.2272506291</v>
      </c>
      <c r="G46" s="161">
        <f t="shared" si="8"/>
        <v>144726.31135162356</v>
      </c>
      <c r="H46" s="142">
        <f t="shared" si="9"/>
        <v>144726.31135162356</v>
      </c>
      <c r="I46" s="156">
        <f t="shared" si="6"/>
        <v>0</v>
      </c>
      <c r="J46" s="156"/>
      <c r="K46" s="334"/>
      <c r="L46" s="158">
        <f t="shared" si="10"/>
        <v>0</v>
      </c>
      <c r="M46" s="334"/>
      <c r="N46" s="158">
        <f t="shared" si="11"/>
        <v>0</v>
      </c>
      <c r="O46" s="158">
        <f t="shared" si="12"/>
        <v>0</v>
      </c>
      <c r="P46" s="4"/>
    </row>
    <row r="47" spans="2:16">
      <c r="B47" s="9" t="str">
        <f t="shared" si="5"/>
        <v/>
      </c>
      <c r="C47" s="153">
        <f>IF(D11="","-",+C46+1)</f>
        <v>2037</v>
      </c>
      <c r="D47" s="159">
        <f>IF(F46+SUM(E$17:E46)=D$10,F46,D$10-SUM(E$17:E46))</f>
        <v>801806.2272506291</v>
      </c>
      <c r="E47" s="160">
        <f>IF(+I14&lt;F46,I14,D47)</f>
        <v>61824.465116279069</v>
      </c>
      <c r="F47" s="159">
        <f t="shared" si="7"/>
        <v>739981.76213435002</v>
      </c>
      <c r="G47" s="161">
        <f t="shared" si="8"/>
        <v>138571.33515254996</v>
      </c>
      <c r="H47" s="142">
        <f t="shared" si="9"/>
        <v>138571.33515254996</v>
      </c>
      <c r="I47" s="156">
        <f t="shared" si="6"/>
        <v>0</v>
      </c>
      <c r="J47" s="156"/>
      <c r="K47" s="334"/>
      <c r="L47" s="158">
        <f t="shared" si="10"/>
        <v>0</v>
      </c>
      <c r="M47" s="334"/>
      <c r="N47" s="158">
        <f t="shared" si="11"/>
        <v>0</v>
      </c>
      <c r="O47" s="158">
        <f t="shared" si="12"/>
        <v>0</v>
      </c>
      <c r="P47" s="4"/>
    </row>
    <row r="48" spans="2:16">
      <c r="B48" s="9" t="str">
        <f t="shared" si="5"/>
        <v/>
      </c>
      <c r="C48" s="153">
        <f>IF(D11="","-",+C47+1)</f>
        <v>2038</v>
      </c>
      <c r="D48" s="159">
        <f>IF(F47+SUM(E$17:E47)=D$10,F47,D$10-SUM(E$17:E47))</f>
        <v>739981.76213435002</v>
      </c>
      <c r="E48" s="160">
        <f>IF(+I14&lt;F47,I14,D48)</f>
        <v>61824.465116279069</v>
      </c>
      <c r="F48" s="159">
        <f t="shared" si="7"/>
        <v>678157.29701807094</v>
      </c>
      <c r="G48" s="161">
        <f t="shared" si="8"/>
        <v>132416.35895347639</v>
      </c>
      <c r="H48" s="142">
        <f t="shared" si="9"/>
        <v>132416.35895347639</v>
      </c>
      <c r="I48" s="156">
        <f t="shared" si="6"/>
        <v>0</v>
      </c>
      <c r="J48" s="156"/>
      <c r="K48" s="334"/>
      <c r="L48" s="158">
        <f t="shared" si="10"/>
        <v>0</v>
      </c>
      <c r="M48" s="334"/>
      <c r="N48" s="158">
        <f t="shared" si="11"/>
        <v>0</v>
      </c>
      <c r="O48" s="158">
        <f t="shared" si="12"/>
        <v>0</v>
      </c>
      <c r="P48" s="4"/>
    </row>
    <row r="49" spans="2:16">
      <c r="B49" s="9" t="str">
        <f t="shared" si="5"/>
        <v/>
      </c>
      <c r="C49" s="153">
        <f>IF(D11="","-",+C48+1)</f>
        <v>2039</v>
      </c>
      <c r="D49" s="159">
        <f>IF(F48+SUM(E$17:E48)=D$10,F48,D$10-SUM(E$17:E48))</f>
        <v>678157.29701807094</v>
      </c>
      <c r="E49" s="160">
        <f>IF(+I14&lt;F48,I14,D49)</f>
        <v>61824.465116279069</v>
      </c>
      <c r="F49" s="159">
        <f t="shared" si="7"/>
        <v>616332.83190179185</v>
      </c>
      <c r="G49" s="161">
        <f t="shared" si="8"/>
        <v>126261.38275440279</v>
      </c>
      <c r="H49" s="142">
        <f t="shared" si="9"/>
        <v>126261.38275440279</v>
      </c>
      <c r="I49" s="156">
        <f t="shared" si="6"/>
        <v>0</v>
      </c>
      <c r="J49" s="156"/>
      <c r="K49" s="334"/>
      <c r="L49" s="158">
        <f t="shared" si="10"/>
        <v>0</v>
      </c>
      <c r="M49" s="334"/>
      <c r="N49" s="158">
        <f t="shared" si="11"/>
        <v>0</v>
      </c>
      <c r="O49" s="158">
        <f t="shared" si="12"/>
        <v>0</v>
      </c>
      <c r="P49" s="4"/>
    </row>
    <row r="50" spans="2:16">
      <c r="B50" s="9" t="str">
        <f t="shared" si="5"/>
        <v/>
      </c>
      <c r="C50" s="153">
        <f>IF(D11="","-",+C49+1)</f>
        <v>2040</v>
      </c>
      <c r="D50" s="159">
        <f>IF(F49+SUM(E$17:E49)=D$10,F49,D$10-SUM(E$17:E49))</f>
        <v>616332.83190179185</v>
      </c>
      <c r="E50" s="160">
        <f>IF(+I14&lt;F49,I14,D50)</f>
        <v>61824.465116279069</v>
      </c>
      <c r="F50" s="159">
        <f t="shared" si="7"/>
        <v>554508.36678551277</v>
      </c>
      <c r="G50" s="161">
        <f t="shared" si="8"/>
        <v>120106.40655532922</v>
      </c>
      <c r="H50" s="142">
        <f t="shared" si="9"/>
        <v>120106.40655532922</v>
      </c>
      <c r="I50" s="156">
        <f t="shared" si="6"/>
        <v>0</v>
      </c>
      <c r="J50" s="156"/>
      <c r="K50" s="334"/>
      <c r="L50" s="158">
        <f t="shared" si="10"/>
        <v>0</v>
      </c>
      <c r="M50" s="334"/>
      <c r="N50" s="158">
        <f t="shared" si="11"/>
        <v>0</v>
      </c>
      <c r="O50" s="158">
        <f t="shared" si="12"/>
        <v>0</v>
      </c>
      <c r="P50" s="4"/>
    </row>
    <row r="51" spans="2:16">
      <c r="B51" s="9" t="str">
        <f t="shared" si="5"/>
        <v/>
      </c>
      <c r="C51" s="153">
        <f>IF(D11="","-",+C50+1)</f>
        <v>2041</v>
      </c>
      <c r="D51" s="159">
        <f>IF(F50+SUM(E$17:E50)=D$10,F50,D$10-SUM(E$17:E50))</f>
        <v>554508.36678551277</v>
      </c>
      <c r="E51" s="160">
        <f>IF(+I14&lt;F50,I14,D51)</f>
        <v>61824.465116279069</v>
      </c>
      <c r="F51" s="159">
        <f t="shared" si="7"/>
        <v>492683.90166923369</v>
      </c>
      <c r="G51" s="161">
        <f t="shared" si="8"/>
        <v>113951.43035625562</v>
      </c>
      <c r="H51" s="142">
        <f t="shared" si="9"/>
        <v>113951.43035625562</v>
      </c>
      <c r="I51" s="156">
        <f t="shared" si="6"/>
        <v>0</v>
      </c>
      <c r="J51" s="156"/>
      <c r="K51" s="334"/>
      <c r="L51" s="158">
        <f t="shared" si="10"/>
        <v>0</v>
      </c>
      <c r="M51" s="334"/>
      <c r="N51" s="158">
        <f t="shared" si="11"/>
        <v>0</v>
      </c>
      <c r="O51" s="158">
        <f t="shared" si="12"/>
        <v>0</v>
      </c>
      <c r="P51" s="4"/>
    </row>
    <row r="52" spans="2:16">
      <c r="B52" s="9" t="str">
        <f t="shared" si="5"/>
        <v/>
      </c>
      <c r="C52" s="153">
        <f>IF(D11="","-",+C51+1)</f>
        <v>2042</v>
      </c>
      <c r="D52" s="159">
        <f>IF(F51+SUM(E$17:E51)=D$10,F51,D$10-SUM(E$17:E51))</f>
        <v>492683.90166923369</v>
      </c>
      <c r="E52" s="160">
        <f>IF(+I14&lt;F51,I14,D52)</f>
        <v>61824.465116279069</v>
      </c>
      <c r="F52" s="159">
        <f t="shared" si="7"/>
        <v>430859.4365529546</v>
      </c>
      <c r="G52" s="161">
        <f t="shared" si="8"/>
        <v>107796.45415718203</v>
      </c>
      <c r="H52" s="142">
        <f t="shared" si="9"/>
        <v>107796.45415718203</v>
      </c>
      <c r="I52" s="156">
        <f t="shared" si="6"/>
        <v>0</v>
      </c>
      <c r="J52" s="156"/>
      <c r="K52" s="334"/>
      <c r="L52" s="158">
        <f t="shared" si="10"/>
        <v>0</v>
      </c>
      <c r="M52" s="334"/>
      <c r="N52" s="158">
        <f t="shared" si="11"/>
        <v>0</v>
      </c>
      <c r="O52" s="158">
        <f t="shared" si="12"/>
        <v>0</v>
      </c>
      <c r="P52" s="4"/>
    </row>
    <row r="53" spans="2:16">
      <c r="B53" s="9" t="str">
        <f t="shared" si="5"/>
        <v/>
      </c>
      <c r="C53" s="153">
        <f>IF(D11="","-",+C52+1)</f>
        <v>2043</v>
      </c>
      <c r="D53" s="159">
        <f>IF(F52+SUM(E$17:E52)=D$10,F52,D$10-SUM(E$17:E52))</f>
        <v>430859.4365529546</v>
      </c>
      <c r="E53" s="160">
        <f>IF(+I14&lt;F52,I14,D53)</f>
        <v>61824.465116279069</v>
      </c>
      <c r="F53" s="159">
        <f t="shared" si="7"/>
        <v>369034.97143667552</v>
      </c>
      <c r="G53" s="161">
        <f t="shared" si="8"/>
        <v>101641.47795810844</v>
      </c>
      <c r="H53" s="142">
        <f t="shared" si="9"/>
        <v>101641.47795810844</v>
      </c>
      <c r="I53" s="156">
        <f t="shared" si="6"/>
        <v>0</v>
      </c>
      <c r="J53" s="156"/>
      <c r="K53" s="334"/>
      <c r="L53" s="158">
        <f t="shared" si="10"/>
        <v>0</v>
      </c>
      <c r="M53" s="334"/>
      <c r="N53" s="158">
        <f t="shared" si="11"/>
        <v>0</v>
      </c>
      <c r="O53" s="158">
        <f t="shared" si="12"/>
        <v>0</v>
      </c>
      <c r="P53" s="4"/>
    </row>
    <row r="54" spans="2:16">
      <c r="B54" s="9" t="str">
        <f t="shared" si="5"/>
        <v/>
      </c>
      <c r="C54" s="153">
        <f>IF(D11="","-",+C53+1)</f>
        <v>2044</v>
      </c>
      <c r="D54" s="159">
        <f>IF(F53+SUM(E$17:E53)=D$10,F53,D$10-SUM(E$17:E53))</f>
        <v>369034.97143667552</v>
      </c>
      <c r="E54" s="160">
        <f>IF(+I14&lt;F53,I14,D54)</f>
        <v>61824.465116279069</v>
      </c>
      <c r="F54" s="159">
        <f t="shared" si="7"/>
        <v>307210.50632039644</v>
      </c>
      <c r="G54" s="161">
        <f t="shared" si="8"/>
        <v>95486.501759034843</v>
      </c>
      <c r="H54" s="142">
        <f t="shared" si="9"/>
        <v>95486.501759034843</v>
      </c>
      <c r="I54" s="156">
        <f t="shared" si="6"/>
        <v>0</v>
      </c>
      <c r="J54" s="156"/>
      <c r="K54" s="334"/>
      <c r="L54" s="158">
        <f t="shared" si="10"/>
        <v>0</v>
      </c>
      <c r="M54" s="334"/>
      <c r="N54" s="158">
        <f t="shared" si="11"/>
        <v>0</v>
      </c>
      <c r="O54" s="158">
        <f t="shared" si="12"/>
        <v>0</v>
      </c>
      <c r="P54" s="4"/>
    </row>
    <row r="55" spans="2:16">
      <c r="B55" s="9" t="str">
        <f t="shared" si="5"/>
        <v/>
      </c>
      <c r="C55" s="153">
        <f>IF(D11="","-",+C54+1)</f>
        <v>2045</v>
      </c>
      <c r="D55" s="159">
        <f>IF(F54+SUM(E$17:E54)=D$10,F54,D$10-SUM(E$17:E54))</f>
        <v>307210.50632039644</v>
      </c>
      <c r="E55" s="160">
        <f>IF(+I14&lt;F54,I14,D55)</f>
        <v>61824.465116279069</v>
      </c>
      <c r="F55" s="159">
        <f t="shared" si="7"/>
        <v>245386.04120411735</v>
      </c>
      <c r="G55" s="161">
        <f t="shared" si="8"/>
        <v>89331.525559961257</v>
      </c>
      <c r="H55" s="142">
        <f t="shared" si="9"/>
        <v>89331.525559961257</v>
      </c>
      <c r="I55" s="156">
        <f t="shared" si="6"/>
        <v>0</v>
      </c>
      <c r="J55" s="156"/>
      <c r="K55" s="334"/>
      <c r="L55" s="158">
        <f t="shared" si="10"/>
        <v>0</v>
      </c>
      <c r="M55" s="334"/>
      <c r="N55" s="158">
        <f t="shared" si="11"/>
        <v>0</v>
      </c>
      <c r="O55" s="158">
        <f t="shared" si="12"/>
        <v>0</v>
      </c>
      <c r="P55" s="4"/>
    </row>
    <row r="56" spans="2:16">
      <c r="B56" s="9" t="str">
        <f t="shared" si="5"/>
        <v/>
      </c>
      <c r="C56" s="153">
        <f>IF(D11="","-",+C55+1)</f>
        <v>2046</v>
      </c>
      <c r="D56" s="159">
        <f>IF(F55+SUM(E$17:E55)=D$10,F55,D$10-SUM(E$17:E55))</f>
        <v>245386.04120411735</v>
      </c>
      <c r="E56" s="160">
        <f>IF(+I14&lt;F55,I14,D56)</f>
        <v>61824.465116279069</v>
      </c>
      <c r="F56" s="159">
        <f t="shared" si="7"/>
        <v>183561.57608783827</v>
      </c>
      <c r="G56" s="161">
        <f t="shared" si="8"/>
        <v>83176.549360887671</v>
      </c>
      <c r="H56" s="142">
        <f t="shared" si="9"/>
        <v>83176.549360887671</v>
      </c>
      <c r="I56" s="156">
        <f t="shared" si="6"/>
        <v>0</v>
      </c>
      <c r="J56" s="156"/>
      <c r="K56" s="334"/>
      <c r="L56" s="158">
        <f t="shared" si="10"/>
        <v>0</v>
      </c>
      <c r="M56" s="334"/>
      <c r="N56" s="158">
        <f t="shared" si="11"/>
        <v>0</v>
      </c>
      <c r="O56" s="158">
        <f t="shared" si="12"/>
        <v>0</v>
      </c>
      <c r="P56" s="4"/>
    </row>
    <row r="57" spans="2:16">
      <c r="B57" s="9" t="str">
        <f t="shared" si="5"/>
        <v/>
      </c>
      <c r="C57" s="153">
        <f>IF(D11="","-",+C56+1)</f>
        <v>2047</v>
      </c>
      <c r="D57" s="159">
        <f>IF(F56+SUM(E$17:E56)=D$10,F56,D$10-SUM(E$17:E56))</f>
        <v>183561.57608783827</v>
      </c>
      <c r="E57" s="160">
        <f>IF(+I14&lt;F56,I14,D57)</f>
        <v>61824.465116279069</v>
      </c>
      <c r="F57" s="159">
        <f t="shared" si="7"/>
        <v>121737.1109715592</v>
      </c>
      <c r="G57" s="161">
        <f t="shared" si="8"/>
        <v>77021.573161814085</v>
      </c>
      <c r="H57" s="142">
        <f t="shared" si="9"/>
        <v>77021.573161814085</v>
      </c>
      <c r="I57" s="156">
        <f t="shared" si="6"/>
        <v>0</v>
      </c>
      <c r="J57" s="156"/>
      <c r="K57" s="334"/>
      <c r="L57" s="158">
        <f t="shared" si="10"/>
        <v>0</v>
      </c>
      <c r="M57" s="334"/>
      <c r="N57" s="158">
        <f t="shared" si="11"/>
        <v>0</v>
      </c>
      <c r="O57" s="158">
        <f t="shared" si="12"/>
        <v>0</v>
      </c>
      <c r="P57" s="4"/>
    </row>
    <row r="58" spans="2:16">
      <c r="B58" s="9" t="str">
        <f t="shared" si="5"/>
        <v/>
      </c>
      <c r="C58" s="153">
        <f>IF(D11="","-",+C57+1)</f>
        <v>2048</v>
      </c>
      <c r="D58" s="159">
        <f>IF(F57+SUM(E$17:E57)=D$10,F57,D$10-SUM(E$17:E57))</f>
        <v>121737.1109715592</v>
      </c>
      <c r="E58" s="160">
        <f>IF(+I14&lt;F57,I14,D58)</f>
        <v>61824.465116279069</v>
      </c>
      <c r="F58" s="159">
        <f t="shared" si="7"/>
        <v>59912.645855280134</v>
      </c>
      <c r="G58" s="161">
        <f t="shared" si="8"/>
        <v>70866.596962740499</v>
      </c>
      <c r="H58" s="142">
        <f t="shared" si="9"/>
        <v>70866.596962740499</v>
      </c>
      <c r="I58" s="156">
        <f t="shared" si="6"/>
        <v>0</v>
      </c>
      <c r="J58" s="156"/>
      <c r="K58" s="334"/>
      <c r="L58" s="158">
        <f t="shared" si="10"/>
        <v>0</v>
      </c>
      <c r="M58" s="334"/>
      <c r="N58" s="158">
        <f t="shared" si="11"/>
        <v>0</v>
      </c>
      <c r="O58" s="158">
        <f t="shared" si="12"/>
        <v>0</v>
      </c>
      <c r="P58" s="4"/>
    </row>
    <row r="59" spans="2:16">
      <c r="B59" s="9" t="str">
        <f t="shared" si="5"/>
        <v/>
      </c>
      <c r="C59" s="153">
        <f>IF(D11="","-",+C58+1)</f>
        <v>2049</v>
      </c>
      <c r="D59" s="159">
        <f>IF(F58+SUM(E$17:E58)=D$10,F58,D$10-SUM(E$17:E58))</f>
        <v>59912.645855280134</v>
      </c>
      <c r="E59" s="160">
        <f>IF(+I14&lt;F58,I14,D59)</f>
        <v>59912.645855280134</v>
      </c>
      <c r="F59" s="159">
        <f t="shared" si="7"/>
        <v>0</v>
      </c>
      <c r="G59" s="161">
        <f t="shared" si="8"/>
        <v>62894.967728742449</v>
      </c>
      <c r="H59" s="142">
        <f t="shared" si="9"/>
        <v>62894.967728742449</v>
      </c>
      <c r="I59" s="156">
        <f t="shared" si="6"/>
        <v>0</v>
      </c>
      <c r="J59" s="156"/>
      <c r="K59" s="334"/>
      <c r="L59" s="158">
        <f t="shared" si="10"/>
        <v>0</v>
      </c>
      <c r="M59" s="334"/>
      <c r="N59" s="158">
        <f t="shared" si="11"/>
        <v>0</v>
      </c>
      <c r="O59" s="158">
        <f t="shared" si="12"/>
        <v>0</v>
      </c>
      <c r="P59" s="4"/>
    </row>
    <row r="60" spans="2:16">
      <c r="B60" s="9" t="str">
        <f t="shared" si="5"/>
        <v/>
      </c>
      <c r="C60" s="153">
        <f>IF(D11="","-",+C59+1)</f>
        <v>2050</v>
      </c>
      <c r="D60" s="159">
        <f>IF(F59+SUM(E$17:E59)=D$10,F59,D$10-SUM(E$17:E59))</f>
        <v>0</v>
      </c>
      <c r="E60" s="160">
        <f>IF(+I14&lt;F59,I14,D60)</f>
        <v>0</v>
      </c>
      <c r="F60" s="159">
        <f t="shared" si="7"/>
        <v>0</v>
      </c>
      <c r="G60" s="161">
        <f t="shared" si="8"/>
        <v>0</v>
      </c>
      <c r="H60" s="142">
        <f t="shared" si="9"/>
        <v>0</v>
      </c>
      <c r="I60" s="156">
        <f t="shared" si="6"/>
        <v>0</v>
      </c>
      <c r="J60" s="156"/>
      <c r="K60" s="334"/>
      <c r="L60" s="158">
        <f t="shared" si="10"/>
        <v>0</v>
      </c>
      <c r="M60" s="334"/>
      <c r="N60" s="158">
        <f t="shared" si="11"/>
        <v>0</v>
      </c>
      <c r="O60" s="158">
        <f t="shared" si="12"/>
        <v>0</v>
      </c>
      <c r="P60" s="4"/>
    </row>
    <row r="61" spans="2:16">
      <c r="B61" s="9" t="str">
        <f t="shared" si="5"/>
        <v/>
      </c>
      <c r="C61" s="153">
        <f>IF(D11="","-",+C60+1)</f>
        <v>2051</v>
      </c>
      <c r="D61" s="159">
        <f>IF(F60+SUM(E$17:E60)=D$10,F60,D$10-SUM(E$17:E60))</f>
        <v>0</v>
      </c>
      <c r="E61" s="160">
        <f>IF(+I14&lt;F60,I14,D61)</f>
        <v>0</v>
      </c>
      <c r="F61" s="159">
        <f t="shared" si="7"/>
        <v>0</v>
      </c>
      <c r="G61" s="161">
        <f t="shared" si="8"/>
        <v>0</v>
      </c>
      <c r="H61" s="142">
        <f t="shared" si="9"/>
        <v>0</v>
      </c>
      <c r="I61" s="156">
        <f t="shared" si="6"/>
        <v>0</v>
      </c>
      <c r="J61" s="156"/>
      <c r="K61" s="334"/>
      <c r="L61" s="158">
        <f t="shared" si="10"/>
        <v>0</v>
      </c>
      <c r="M61" s="334"/>
      <c r="N61" s="158">
        <f t="shared" si="11"/>
        <v>0</v>
      </c>
      <c r="O61" s="158">
        <f t="shared" si="12"/>
        <v>0</v>
      </c>
      <c r="P61" s="4"/>
    </row>
    <row r="62" spans="2:16">
      <c r="B62" s="9" t="str">
        <f t="shared" si="5"/>
        <v/>
      </c>
      <c r="C62" s="153">
        <f>IF(D11="","-",+C61+1)</f>
        <v>2052</v>
      </c>
      <c r="D62" s="159">
        <f>IF(F61+SUM(E$17:E61)=D$10,F61,D$10-SUM(E$17:E61))</f>
        <v>0</v>
      </c>
      <c r="E62" s="160">
        <f>IF(+I14&lt;F61,I14,D62)</f>
        <v>0</v>
      </c>
      <c r="F62" s="159">
        <f t="shared" si="7"/>
        <v>0</v>
      </c>
      <c r="G62" s="161">
        <f t="shared" si="8"/>
        <v>0</v>
      </c>
      <c r="H62" s="142">
        <f t="shared" si="9"/>
        <v>0</v>
      </c>
      <c r="I62" s="156">
        <f t="shared" si="6"/>
        <v>0</v>
      </c>
      <c r="J62" s="156"/>
      <c r="K62" s="334"/>
      <c r="L62" s="158">
        <f t="shared" si="10"/>
        <v>0</v>
      </c>
      <c r="M62" s="334"/>
      <c r="N62" s="158">
        <f t="shared" si="11"/>
        <v>0</v>
      </c>
      <c r="O62" s="158">
        <f t="shared" si="12"/>
        <v>0</v>
      </c>
      <c r="P62" s="4"/>
    </row>
    <row r="63" spans="2:16">
      <c r="B63" s="9" t="str">
        <f t="shared" si="5"/>
        <v/>
      </c>
      <c r="C63" s="153">
        <f>IF(D11="","-",+C62+1)</f>
        <v>2053</v>
      </c>
      <c r="D63" s="159">
        <f>IF(F62+SUM(E$17:E62)=D$10,F62,D$10-SUM(E$17:E62))</f>
        <v>0</v>
      </c>
      <c r="E63" s="160">
        <f>IF(+I14&lt;F62,I14,D63)</f>
        <v>0</v>
      </c>
      <c r="F63" s="159">
        <f t="shared" si="7"/>
        <v>0</v>
      </c>
      <c r="G63" s="161">
        <f t="shared" si="8"/>
        <v>0</v>
      </c>
      <c r="H63" s="142">
        <f t="shared" si="9"/>
        <v>0</v>
      </c>
      <c r="I63" s="156">
        <f t="shared" si="6"/>
        <v>0</v>
      </c>
      <c r="J63" s="156"/>
      <c r="K63" s="334"/>
      <c r="L63" s="158">
        <f t="shared" si="10"/>
        <v>0</v>
      </c>
      <c r="M63" s="334"/>
      <c r="N63" s="158">
        <f t="shared" si="11"/>
        <v>0</v>
      </c>
      <c r="O63" s="158">
        <f t="shared" si="12"/>
        <v>0</v>
      </c>
      <c r="P63" s="4"/>
    </row>
    <row r="64" spans="2:16">
      <c r="B64" s="9" t="str">
        <f t="shared" si="5"/>
        <v/>
      </c>
      <c r="C64" s="153">
        <f>IF(D11="","-",+C63+1)</f>
        <v>2054</v>
      </c>
      <c r="D64" s="159">
        <f>IF(F63+SUM(E$17:E63)=D$10,F63,D$10-SUM(E$17:E63))</f>
        <v>0</v>
      </c>
      <c r="E64" s="160">
        <f>IF(+I14&lt;F63,I14,D64)</f>
        <v>0</v>
      </c>
      <c r="F64" s="159">
        <f t="shared" si="7"/>
        <v>0</v>
      </c>
      <c r="G64" s="161">
        <f t="shared" si="8"/>
        <v>0</v>
      </c>
      <c r="H64" s="142">
        <f t="shared" si="9"/>
        <v>0</v>
      </c>
      <c r="I64" s="156">
        <f t="shared" si="6"/>
        <v>0</v>
      </c>
      <c r="J64" s="156"/>
      <c r="K64" s="334"/>
      <c r="L64" s="158">
        <f t="shared" si="10"/>
        <v>0</v>
      </c>
      <c r="M64" s="334"/>
      <c r="N64" s="158">
        <f t="shared" si="11"/>
        <v>0</v>
      </c>
      <c r="O64" s="158">
        <f t="shared" si="12"/>
        <v>0</v>
      </c>
      <c r="P64" s="4"/>
    </row>
    <row r="65" spans="2:16">
      <c r="B65" s="9" t="str">
        <f t="shared" si="5"/>
        <v/>
      </c>
      <c r="C65" s="153">
        <f>IF(D11="","-",+C64+1)</f>
        <v>2055</v>
      </c>
      <c r="D65" s="159">
        <f>IF(F64+SUM(E$17:E64)=D$10,F64,D$10-SUM(E$17:E64))</f>
        <v>0</v>
      </c>
      <c r="E65" s="160">
        <f>IF(+I14&lt;F64,I14,D65)</f>
        <v>0</v>
      </c>
      <c r="F65" s="159">
        <f t="shared" si="7"/>
        <v>0</v>
      </c>
      <c r="G65" s="161">
        <f t="shared" si="8"/>
        <v>0</v>
      </c>
      <c r="H65" s="142">
        <f t="shared" si="9"/>
        <v>0</v>
      </c>
      <c r="I65" s="156">
        <f t="shared" si="6"/>
        <v>0</v>
      </c>
      <c r="J65" s="156"/>
      <c r="K65" s="334"/>
      <c r="L65" s="158">
        <f t="shared" si="10"/>
        <v>0</v>
      </c>
      <c r="M65" s="334"/>
      <c r="N65" s="158">
        <f t="shared" si="11"/>
        <v>0</v>
      </c>
      <c r="O65" s="158">
        <f t="shared" si="12"/>
        <v>0</v>
      </c>
      <c r="P65" s="4"/>
    </row>
    <row r="66" spans="2:16">
      <c r="B66" s="9" t="str">
        <f t="shared" si="5"/>
        <v/>
      </c>
      <c r="C66" s="153">
        <f>IF(D11="","-",+C65+1)</f>
        <v>2056</v>
      </c>
      <c r="D66" s="159">
        <f>IF(F65+SUM(E$17:E65)=D$10,F65,D$10-SUM(E$17:E65))</f>
        <v>0</v>
      </c>
      <c r="E66" s="160">
        <f>IF(+I14&lt;F65,I14,D66)</f>
        <v>0</v>
      </c>
      <c r="F66" s="159">
        <f t="shared" si="7"/>
        <v>0</v>
      </c>
      <c r="G66" s="161">
        <f t="shared" si="8"/>
        <v>0</v>
      </c>
      <c r="H66" s="142">
        <f t="shared" si="9"/>
        <v>0</v>
      </c>
      <c r="I66" s="156">
        <f t="shared" si="6"/>
        <v>0</v>
      </c>
      <c r="J66" s="156"/>
      <c r="K66" s="334"/>
      <c r="L66" s="158">
        <f t="shared" si="10"/>
        <v>0</v>
      </c>
      <c r="M66" s="334"/>
      <c r="N66" s="158">
        <f t="shared" si="11"/>
        <v>0</v>
      </c>
      <c r="O66" s="158">
        <f t="shared" si="12"/>
        <v>0</v>
      </c>
      <c r="P66" s="4"/>
    </row>
    <row r="67" spans="2:16">
      <c r="B67" s="9" t="str">
        <f t="shared" si="5"/>
        <v/>
      </c>
      <c r="C67" s="153">
        <f>IF(D11="","-",+C66+1)</f>
        <v>2057</v>
      </c>
      <c r="D67" s="159">
        <f>IF(F66+SUM(E$17:E66)=D$10,F66,D$10-SUM(E$17:E66))</f>
        <v>0</v>
      </c>
      <c r="E67" s="160">
        <f>IF(+I14&lt;F66,I14,D67)</f>
        <v>0</v>
      </c>
      <c r="F67" s="159">
        <f t="shared" si="7"/>
        <v>0</v>
      </c>
      <c r="G67" s="161">
        <f t="shared" si="8"/>
        <v>0</v>
      </c>
      <c r="H67" s="142">
        <f t="shared" si="9"/>
        <v>0</v>
      </c>
      <c r="I67" s="156">
        <f t="shared" si="6"/>
        <v>0</v>
      </c>
      <c r="J67" s="156"/>
      <c r="K67" s="334"/>
      <c r="L67" s="158">
        <f t="shared" si="10"/>
        <v>0</v>
      </c>
      <c r="M67" s="334"/>
      <c r="N67" s="158">
        <f t="shared" si="11"/>
        <v>0</v>
      </c>
      <c r="O67" s="158">
        <f t="shared" si="12"/>
        <v>0</v>
      </c>
      <c r="P67" s="4"/>
    </row>
    <row r="68" spans="2:16">
      <c r="B68" s="9" t="str">
        <f t="shared" si="5"/>
        <v/>
      </c>
      <c r="C68" s="153">
        <f>IF(D11="","-",+C67+1)</f>
        <v>2058</v>
      </c>
      <c r="D68" s="159">
        <f>IF(F67+SUM(E$17:E67)=D$10,F67,D$10-SUM(E$17:E67))</f>
        <v>0</v>
      </c>
      <c r="E68" s="160">
        <f>IF(+I14&lt;F67,I14,D68)</f>
        <v>0</v>
      </c>
      <c r="F68" s="159">
        <f t="shared" si="7"/>
        <v>0</v>
      </c>
      <c r="G68" s="161">
        <f t="shared" si="8"/>
        <v>0</v>
      </c>
      <c r="H68" s="142">
        <f t="shared" si="9"/>
        <v>0</v>
      </c>
      <c r="I68" s="156">
        <f t="shared" si="6"/>
        <v>0</v>
      </c>
      <c r="J68" s="156"/>
      <c r="K68" s="334"/>
      <c r="L68" s="158">
        <f t="shared" si="10"/>
        <v>0</v>
      </c>
      <c r="M68" s="334"/>
      <c r="N68" s="158">
        <f t="shared" si="11"/>
        <v>0</v>
      </c>
      <c r="O68" s="158">
        <f t="shared" si="12"/>
        <v>0</v>
      </c>
      <c r="P68" s="4"/>
    </row>
    <row r="69" spans="2:16">
      <c r="B69" s="9" t="str">
        <f t="shared" si="5"/>
        <v/>
      </c>
      <c r="C69" s="153">
        <f>IF(D11="","-",+C68+1)</f>
        <v>2059</v>
      </c>
      <c r="D69" s="159">
        <f>IF(F68+SUM(E$17:E68)=D$10,F68,D$10-SUM(E$17:E68))</f>
        <v>0</v>
      </c>
      <c r="E69" s="160">
        <f>IF(+I14&lt;F68,I14,D69)</f>
        <v>0</v>
      </c>
      <c r="F69" s="159">
        <f t="shared" si="7"/>
        <v>0</v>
      </c>
      <c r="G69" s="161">
        <f t="shared" si="8"/>
        <v>0</v>
      </c>
      <c r="H69" s="142">
        <f t="shared" si="9"/>
        <v>0</v>
      </c>
      <c r="I69" s="156">
        <f t="shared" si="6"/>
        <v>0</v>
      </c>
      <c r="J69" s="156"/>
      <c r="K69" s="334"/>
      <c r="L69" s="158">
        <f t="shared" si="10"/>
        <v>0</v>
      </c>
      <c r="M69" s="334"/>
      <c r="N69" s="158">
        <f t="shared" si="11"/>
        <v>0</v>
      </c>
      <c r="O69" s="158">
        <f t="shared" si="12"/>
        <v>0</v>
      </c>
      <c r="P69" s="4"/>
    </row>
    <row r="70" spans="2:16">
      <c r="B70" s="9" t="str">
        <f t="shared" si="5"/>
        <v/>
      </c>
      <c r="C70" s="153">
        <f>IF(D11="","-",+C69+1)</f>
        <v>2060</v>
      </c>
      <c r="D70" s="159">
        <f>IF(F69+SUM(E$17:E69)=D$10,F69,D$10-SUM(E$17:E69))</f>
        <v>0</v>
      </c>
      <c r="E70" s="160">
        <f>IF(+I14&lt;F69,I14,D70)</f>
        <v>0</v>
      </c>
      <c r="F70" s="159">
        <f t="shared" si="7"/>
        <v>0</v>
      </c>
      <c r="G70" s="161">
        <f t="shared" si="8"/>
        <v>0</v>
      </c>
      <c r="H70" s="142">
        <f t="shared" si="9"/>
        <v>0</v>
      </c>
      <c r="I70" s="156">
        <f t="shared" si="6"/>
        <v>0</v>
      </c>
      <c r="J70" s="156"/>
      <c r="K70" s="334"/>
      <c r="L70" s="158">
        <f t="shared" si="10"/>
        <v>0</v>
      </c>
      <c r="M70" s="334"/>
      <c r="N70" s="158">
        <f t="shared" si="11"/>
        <v>0</v>
      </c>
      <c r="O70" s="158">
        <f t="shared" si="12"/>
        <v>0</v>
      </c>
      <c r="P70" s="4"/>
    </row>
    <row r="71" spans="2:16">
      <c r="B71" s="9" t="str">
        <f t="shared" si="5"/>
        <v/>
      </c>
      <c r="C71" s="153">
        <f>IF(D11="","-",+C70+1)</f>
        <v>2061</v>
      </c>
      <c r="D71" s="159">
        <f>IF(F70+SUM(E$17:E70)=D$10,F70,D$10-SUM(E$17:E70))</f>
        <v>0</v>
      </c>
      <c r="E71" s="160">
        <f>IF(+I14&lt;F70,I14,D71)</f>
        <v>0</v>
      </c>
      <c r="F71" s="159">
        <f t="shared" si="7"/>
        <v>0</v>
      </c>
      <c r="G71" s="161">
        <f t="shared" si="8"/>
        <v>0</v>
      </c>
      <c r="H71" s="142">
        <f t="shared" si="9"/>
        <v>0</v>
      </c>
      <c r="I71" s="156">
        <f t="shared" si="6"/>
        <v>0</v>
      </c>
      <c r="J71" s="156"/>
      <c r="K71" s="334"/>
      <c r="L71" s="158">
        <f t="shared" si="10"/>
        <v>0</v>
      </c>
      <c r="M71" s="334"/>
      <c r="N71" s="158">
        <f t="shared" si="11"/>
        <v>0</v>
      </c>
      <c r="O71" s="158">
        <f t="shared" si="12"/>
        <v>0</v>
      </c>
      <c r="P71" s="4"/>
    </row>
    <row r="72" spans="2:16" ht="13.5" thickBot="1">
      <c r="B72" s="9" t="str">
        <f t="shared" si="5"/>
        <v/>
      </c>
      <c r="C72" s="164">
        <f>IF(D11="","-",+C71+1)</f>
        <v>2062</v>
      </c>
      <c r="D72" s="165">
        <f>IF(F71+SUM(E$17:E71)=D$10,F71,D$10-SUM(E$17:E71))</f>
        <v>0</v>
      </c>
      <c r="E72" s="166">
        <f>IF(+I14&lt;F71,I14,D72)</f>
        <v>0</v>
      </c>
      <c r="F72" s="165">
        <f t="shared" si="7"/>
        <v>0</v>
      </c>
      <c r="G72" s="161">
        <f t="shared" si="8"/>
        <v>0</v>
      </c>
      <c r="H72" s="142">
        <f t="shared" si="9"/>
        <v>0</v>
      </c>
      <c r="I72" s="168">
        <f t="shared" si="6"/>
        <v>0</v>
      </c>
      <c r="J72" s="156"/>
      <c r="K72" s="335"/>
      <c r="L72" s="169">
        <f t="shared" si="10"/>
        <v>0</v>
      </c>
      <c r="M72" s="335"/>
      <c r="N72" s="169">
        <f t="shared" si="11"/>
        <v>0</v>
      </c>
      <c r="O72" s="169">
        <f t="shared" si="12"/>
        <v>0</v>
      </c>
      <c r="P72" s="4"/>
    </row>
    <row r="73" spans="2:16">
      <c r="C73" s="154" t="s">
        <v>73</v>
      </c>
      <c r="D73" s="111"/>
      <c r="E73" s="111">
        <f>SUM(E17:E72)</f>
        <v>2658452.0000000005</v>
      </c>
      <c r="F73" s="111"/>
      <c r="G73" s="111">
        <f>SUM(G17:G72)</f>
        <v>9198639.7274195515</v>
      </c>
      <c r="H73" s="111">
        <f>SUM(H17:H72)</f>
        <v>9198639.7274195515</v>
      </c>
      <c r="I73" s="111">
        <f>SUM(I17:I72)</f>
        <v>0</v>
      </c>
      <c r="J73" s="111"/>
      <c r="K73" s="111"/>
      <c r="L73" s="111"/>
      <c r="M73" s="111"/>
      <c r="N73" s="111"/>
      <c r="O73" s="4"/>
      <c r="P73" s="4"/>
    </row>
    <row r="74" spans="2:16">
      <c r="D74" s="2"/>
      <c r="E74" s="1"/>
      <c r="F74" s="1"/>
      <c r="G74" s="1"/>
      <c r="H74" s="3"/>
      <c r="I74" s="3"/>
      <c r="J74" s="111"/>
      <c r="K74" s="3"/>
      <c r="L74" s="3"/>
      <c r="M74" s="3"/>
      <c r="N74" s="3"/>
      <c r="O74" s="1"/>
      <c r="P74" s="1"/>
    </row>
    <row r="75" spans="2:16">
      <c r="C75" s="170" t="s">
        <v>91</v>
      </c>
      <c r="D75" s="2"/>
      <c r="E75" s="1"/>
      <c r="F75" s="1"/>
      <c r="G75" s="1"/>
      <c r="H75" s="3"/>
      <c r="I75" s="3"/>
      <c r="J75" s="111"/>
      <c r="K75" s="3"/>
      <c r="L75" s="3"/>
      <c r="M75" s="3"/>
      <c r="N75" s="3"/>
      <c r="O75" s="1"/>
      <c r="P75" s="1"/>
    </row>
    <row r="76" spans="2:16">
      <c r="C76" s="121" t="s">
        <v>74</v>
      </c>
      <c r="D76" s="2"/>
      <c r="E76" s="1"/>
      <c r="F76" s="1"/>
      <c r="G76" s="1"/>
      <c r="H76" s="3"/>
      <c r="I76" s="3"/>
      <c r="J76" s="111"/>
      <c r="K76" s="3"/>
      <c r="L76" s="3"/>
      <c r="M76" s="3"/>
      <c r="N76" s="3"/>
      <c r="O76" s="4"/>
      <c r="P76" s="4"/>
    </row>
    <row r="77" spans="2:16">
      <c r="C77" s="121" t="s">
        <v>75</v>
      </c>
      <c r="D77" s="154"/>
      <c r="E77" s="154"/>
      <c r="F77" s="154"/>
      <c r="G77" s="111"/>
      <c r="H77" s="111"/>
      <c r="I77" s="171"/>
      <c r="J77" s="171"/>
      <c r="K77" s="171"/>
      <c r="L77" s="171"/>
      <c r="M77" s="171"/>
      <c r="N77" s="171"/>
      <c r="O77" s="4"/>
      <c r="P77" s="4"/>
    </row>
    <row r="78" spans="2:16">
      <c r="C78" s="121"/>
      <c r="D78" s="154"/>
      <c r="E78" s="154"/>
      <c r="F78" s="154"/>
      <c r="G78" s="111"/>
      <c r="H78" s="111"/>
      <c r="I78" s="171"/>
      <c r="J78" s="171"/>
      <c r="K78" s="171"/>
      <c r="L78" s="171"/>
      <c r="M78" s="171"/>
      <c r="N78" s="171"/>
      <c r="O78" s="4"/>
      <c r="P78" s="1"/>
    </row>
    <row r="79" spans="2:16">
      <c r="B79" s="1"/>
      <c r="C79" s="21"/>
      <c r="D79" s="2"/>
      <c r="E79" s="1"/>
      <c r="F79" s="107"/>
      <c r="G79" s="1"/>
      <c r="H79" s="3"/>
      <c r="I79" s="1"/>
      <c r="J79" s="4"/>
      <c r="K79" s="1"/>
      <c r="L79" s="1"/>
      <c r="M79" s="1"/>
      <c r="N79" s="1"/>
      <c r="O79" s="1"/>
      <c r="P79" s="1"/>
    </row>
    <row r="80" spans="2:16" ht="18">
      <c r="B80" s="1"/>
      <c r="C80" s="242"/>
      <c r="D80" s="2"/>
      <c r="E80" s="1"/>
      <c r="F80" s="107"/>
      <c r="G80" s="1"/>
      <c r="H80" s="3"/>
      <c r="I80" s="1"/>
      <c r="J80" s="4"/>
      <c r="K80" s="1"/>
      <c r="L80" s="1"/>
      <c r="M80" s="1"/>
      <c r="N80" s="1"/>
      <c r="P80" s="244" t="s">
        <v>125</v>
      </c>
    </row>
    <row r="81" spans="1:16">
      <c r="B81" s="1"/>
      <c r="C81" s="21"/>
      <c r="D81" s="2"/>
      <c r="E81" s="1"/>
      <c r="F81" s="107"/>
      <c r="G81" s="1"/>
      <c r="H81" s="3"/>
      <c r="I81" s="1"/>
      <c r="J81" s="4"/>
      <c r="K81" s="1"/>
      <c r="L81" s="1"/>
      <c r="M81" s="1"/>
      <c r="N81" s="1"/>
      <c r="O81" s="1"/>
      <c r="P81" s="1"/>
    </row>
    <row r="82" spans="1:16">
      <c r="B82" s="1"/>
      <c r="C82" s="21"/>
      <c r="D82" s="2"/>
      <c r="E82" s="1"/>
      <c r="F82" s="107"/>
      <c r="G82" s="1"/>
      <c r="H82" s="3"/>
      <c r="I82" s="1"/>
      <c r="J82" s="4"/>
      <c r="K82" s="1"/>
      <c r="L82" s="1"/>
      <c r="M82" s="1"/>
      <c r="N82" s="1"/>
      <c r="O82" s="1"/>
      <c r="P82" s="1"/>
    </row>
    <row r="83" spans="1:16" ht="20.25">
      <c r="A83" s="243" t="s">
        <v>129</v>
      </c>
      <c r="B83" s="1"/>
      <c r="C83" s="21"/>
      <c r="D83" s="2"/>
      <c r="E83" s="1"/>
      <c r="F83" s="99"/>
      <c r="G83" s="99"/>
      <c r="H83" s="1"/>
      <c r="I83" s="3"/>
      <c r="K83" s="7"/>
      <c r="L83" s="109"/>
      <c r="M83" s="109"/>
      <c r="P83" s="109" t="str">
        <f ca="1">P1</f>
        <v>SWEPCO Project 45 of 73</v>
      </c>
    </row>
    <row r="84" spans="1:16" ht="18">
      <c r="B84" s="1"/>
      <c r="C84" s="1"/>
      <c r="D84" s="2"/>
      <c r="E84" s="1"/>
      <c r="F84" s="1"/>
      <c r="G84" s="1"/>
      <c r="H84" s="1"/>
      <c r="I84" s="3"/>
      <c r="J84" s="1"/>
      <c r="K84" s="4"/>
      <c r="L84" s="1"/>
      <c r="M84" s="1"/>
      <c r="P84" s="244" t="s">
        <v>123</v>
      </c>
    </row>
    <row r="85" spans="1:16" ht="18.75" thickBot="1">
      <c r="B85" s="5" t="s">
        <v>40</v>
      </c>
      <c r="C85" s="197" t="s">
        <v>78</v>
      </c>
      <c r="D85" s="2"/>
      <c r="E85" s="1"/>
      <c r="F85" s="1"/>
      <c r="G85" s="1"/>
      <c r="H85" s="1"/>
      <c r="I85" s="3"/>
      <c r="J85" s="3"/>
      <c r="K85" s="111"/>
      <c r="L85" s="3"/>
      <c r="M85" s="3"/>
      <c r="N85" s="3"/>
      <c r="O85" s="111"/>
      <c r="P85" s="1"/>
    </row>
    <row r="86" spans="1:16" ht="15.75" thickBot="1">
      <c r="C86" s="67"/>
      <c r="D86" s="2"/>
      <c r="E86" s="1"/>
      <c r="F86" s="1"/>
      <c r="G86" s="1"/>
      <c r="H86" s="1"/>
      <c r="I86" s="3"/>
      <c r="J86" s="3"/>
      <c r="K86" s="111"/>
      <c r="L86" s="265">
        <f>+J92</f>
        <v>2017</v>
      </c>
      <c r="M86" s="266" t="s">
        <v>7</v>
      </c>
      <c r="N86" s="270" t="s">
        <v>154</v>
      </c>
      <c r="O86" s="267" t="s">
        <v>9</v>
      </c>
      <c r="P86" s="1"/>
    </row>
    <row r="87" spans="1:16" ht="15">
      <c r="C87" s="235" t="s">
        <v>42</v>
      </c>
      <c r="D87" s="2"/>
      <c r="E87" s="1"/>
      <c r="F87" s="1"/>
      <c r="G87" s="1"/>
      <c r="H87" s="113"/>
      <c r="I87" s="1" t="s">
        <v>43</v>
      </c>
      <c r="J87" s="1"/>
      <c r="K87" s="261"/>
      <c r="L87" s="259" t="s">
        <v>381</v>
      </c>
      <c r="M87" s="198">
        <f>IF(J92&lt;D11,0,VLOOKUP(J92,C17:O72,9))</f>
        <v>310897.9062413022</v>
      </c>
      <c r="N87" s="198">
        <f>IF(J92&lt;D11,0,VLOOKUP(J92,C17:O72,11))</f>
        <v>310897.9062413022</v>
      </c>
      <c r="O87" s="199">
        <f>+N87-M87</f>
        <v>0</v>
      </c>
      <c r="P87" s="1"/>
    </row>
    <row r="88" spans="1:16" ht="15.75">
      <c r="C88" s="8"/>
      <c r="D88" s="2"/>
      <c r="E88" s="1"/>
      <c r="F88" s="1"/>
      <c r="G88" s="1"/>
      <c r="H88" s="1"/>
      <c r="I88" s="117"/>
      <c r="J88" s="117"/>
      <c r="K88" s="263"/>
      <c r="L88" s="264" t="s">
        <v>382</v>
      </c>
      <c r="M88" s="200">
        <f>IF(J92&lt;D11,0,VLOOKUP(J92,C99:P154,6))</f>
        <v>368598.28609591222</v>
      </c>
      <c r="N88" s="200">
        <f>IF(J92&lt;D11,0,VLOOKUP(J92,C99:P154,7))</f>
        <v>368598.28609591222</v>
      </c>
      <c r="O88" s="201">
        <f>+N88-M88</f>
        <v>0</v>
      </c>
      <c r="P88" s="1"/>
    </row>
    <row r="89" spans="1:16" ht="13.5" thickBot="1">
      <c r="C89" s="121" t="s">
        <v>79</v>
      </c>
      <c r="D89" s="246" t="str">
        <f>+D7</f>
        <v>CHAMBER SPRINGS - TONTITOWN 161KV CKT 1</v>
      </c>
      <c r="E89" s="1"/>
      <c r="F89" s="1"/>
      <c r="G89" s="1"/>
      <c r="H89" s="1"/>
      <c r="I89" s="3"/>
      <c r="J89" s="3"/>
      <c r="K89" s="262"/>
      <c r="L89" s="260" t="s">
        <v>151</v>
      </c>
      <c r="M89" s="203">
        <f>+M88-M87</f>
        <v>57700.379854610015</v>
      </c>
      <c r="N89" s="203">
        <f>+N88-N87</f>
        <v>57700.379854610015</v>
      </c>
      <c r="O89" s="204">
        <f>+O88-O87</f>
        <v>0</v>
      </c>
      <c r="P89" s="1"/>
    </row>
    <row r="90" spans="1:16" ht="13.5" thickBot="1">
      <c r="C90" s="170"/>
      <c r="D90" s="421" t="str">
        <f>+S.044!D90</f>
        <v xml:space="preserve">***Sch. 11 recovery commenced in the 2015 rate year.  Beg Bal = to depreciated balance as of 1/1/15. *** </v>
      </c>
      <c r="E90" s="107"/>
      <c r="F90" s="107"/>
      <c r="G90" s="107"/>
      <c r="H90" s="126"/>
      <c r="I90" s="3"/>
      <c r="J90" s="3"/>
      <c r="K90" s="111"/>
      <c r="L90" s="3"/>
      <c r="M90" s="3"/>
      <c r="N90" s="3"/>
      <c r="O90" s="111"/>
      <c r="P90" s="1"/>
    </row>
    <row r="91" spans="1:16" ht="13.5" thickBot="1">
      <c r="A91" s="103"/>
      <c r="C91" s="205" t="s">
        <v>80</v>
      </c>
      <c r="D91" s="224" t="str">
        <f>+D9</f>
        <v>TP2005152</v>
      </c>
      <c r="E91" s="206"/>
      <c r="F91" s="206"/>
      <c r="G91" s="206"/>
      <c r="H91" s="206"/>
      <c r="I91" s="206"/>
      <c r="J91" s="206"/>
      <c r="K91" s="207"/>
      <c r="P91" s="131"/>
    </row>
    <row r="92" spans="1:16">
      <c r="C92" s="136" t="s">
        <v>47</v>
      </c>
      <c r="D92" s="417">
        <v>2658452</v>
      </c>
      <c r="E92" s="21" t="s">
        <v>81</v>
      </c>
      <c r="H92" s="134"/>
      <c r="I92" s="134"/>
      <c r="J92" s="135">
        <f>+'SWE.WS.G.BPU.ATRR.True-up'!M15</f>
        <v>2017</v>
      </c>
      <c r="K92" s="130"/>
      <c r="L92" s="111" t="s">
        <v>82</v>
      </c>
      <c r="P92" s="4"/>
    </row>
    <row r="93" spans="1:16">
      <c r="C93" s="136" t="s">
        <v>49</v>
      </c>
      <c r="D93" s="219">
        <f>D11</f>
        <v>2007</v>
      </c>
      <c r="E93" s="136" t="s">
        <v>50</v>
      </c>
      <c r="F93" s="134"/>
      <c r="G93" s="134"/>
      <c r="J93" s="138">
        <f>IF(H87="",0,'SWE.WS.G.BPU.ATRR.True-up'!$F$12)</f>
        <v>0</v>
      </c>
      <c r="K93" s="139"/>
      <c r="L93" t="str">
        <f>"          INPUT TRUE-UP ARR (WITH &amp; WITHOUT INCENTIVES) FROM EACH PRIOR YEAR"</f>
        <v xml:space="preserve">          INPUT TRUE-UP ARR (WITH &amp; WITHOUT INCENTIVES) FROM EACH PRIOR YEAR</v>
      </c>
      <c r="P93" s="4"/>
    </row>
    <row r="94" spans="1:16">
      <c r="C94" s="136" t="s">
        <v>51</v>
      </c>
      <c r="D94" s="219">
        <f>D12</f>
        <v>3</v>
      </c>
      <c r="E94" s="136" t="s">
        <v>52</v>
      </c>
      <c r="F94" s="134"/>
      <c r="G94" s="134"/>
      <c r="J94" s="140">
        <f>'SWE.WS.G.BPU.ATRR.True-up'!$F$80</f>
        <v>0.12147145768398206</v>
      </c>
      <c r="K94" s="141"/>
      <c r="L94" t="s">
        <v>83</v>
      </c>
      <c r="P94" s="4"/>
    </row>
    <row r="95" spans="1:16">
      <c r="C95" s="136" t="s">
        <v>54</v>
      </c>
      <c r="D95" s="138">
        <f>'SWE.WS.G.BPU.ATRR.True-up'!F$92</f>
        <v>42</v>
      </c>
      <c r="E95" s="136" t="s">
        <v>55</v>
      </c>
      <c r="F95" s="134"/>
      <c r="G95" s="134"/>
      <c r="J95" s="140">
        <f>IF(H87="",J94,'SWE.WS.G.BPU.ATRR.True-up'!$F$79)</f>
        <v>0.12147145768398206</v>
      </c>
      <c r="K95" s="58"/>
      <c r="L95" s="111" t="s">
        <v>56</v>
      </c>
      <c r="M95" s="58"/>
      <c r="N95" s="58"/>
      <c r="O95" s="58"/>
      <c r="P95" s="4"/>
    </row>
    <row r="96" spans="1:16" ht="13.5" thickBot="1">
      <c r="C96" s="136" t="s">
        <v>57</v>
      </c>
      <c r="D96" s="220" t="str">
        <f>+D14</f>
        <v>No</v>
      </c>
      <c r="E96" s="202" t="s">
        <v>59</v>
      </c>
      <c r="F96" s="208"/>
      <c r="G96" s="208"/>
      <c r="H96" s="209"/>
      <c r="I96" s="209"/>
      <c r="J96" s="124">
        <f>IF(D92=0,0,D92/D95)</f>
        <v>63296.476190476191</v>
      </c>
      <c r="K96" s="111"/>
      <c r="L96" s="111"/>
      <c r="M96" s="111"/>
      <c r="N96" s="111"/>
      <c r="O96" s="111"/>
      <c r="P96" s="4"/>
    </row>
    <row r="97" spans="1:16" ht="38.25">
      <c r="A97" s="6"/>
      <c r="B97" s="6"/>
      <c r="C97" s="210" t="s">
        <v>47</v>
      </c>
      <c r="D97" s="211" t="s">
        <v>60</v>
      </c>
      <c r="E97" s="146" t="s">
        <v>61</v>
      </c>
      <c r="F97" s="146" t="s">
        <v>62</v>
      </c>
      <c r="G97" s="144" t="s">
        <v>84</v>
      </c>
      <c r="H97" s="434" t="s">
        <v>378</v>
      </c>
      <c r="I97" s="435" t="s">
        <v>379</v>
      </c>
      <c r="J97" s="210" t="s">
        <v>85</v>
      </c>
      <c r="K97" s="212"/>
      <c r="L97" s="271" t="s">
        <v>220</v>
      </c>
      <c r="M97" s="146" t="s">
        <v>86</v>
      </c>
      <c r="N97" s="271" t="s">
        <v>220</v>
      </c>
      <c r="O97" s="146" t="s">
        <v>86</v>
      </c>
      <c r="P97" s="146" t="s">
        <v>65</v>
      </c>
    </row>
    <row r="98" spans="1:16" ht="13.5" thickBot="1">
      <c r="C98" s="147" t="s">
        <v>66</v>
      </c>
      <c r="D98" s="213" t="s">
        <v>67</v>
      </c>
      <c r="E98" s="147" t="s">
        <v>68</v>
      </c>
      <c r="F98" s="147" t="s">
        <v>67</v>
      </c>
      <c r="G98" s="147" t="s">
        <v>67</v>
      </c>
      <c r="H98" s="407" t="s">
        <v>69</v>
      </c>
      <c r="I98" s="148" t="s">
        <v>70</v>
      </c>
      <c r="J98" s="149" t="s">
        <v>89</v>
      </c>
      <c r="K98" s="150"/>
      <c r="L98" s="151" t="s">
        <v>72</v>
      </c>
      <c r="M98" s="151" t="s">
        <v>72</v>
      </c>
      <c r="N98" s="151" t="s">
        <v>90</v>
      </c>
      <c r="O98" s="151" t="s">
        <v>90</v>
      </c>
      <c r="P98" s="151" t="s">
        <v>90</v>
      </c>
    </row>
    <row r="99" spans="1:16">
      <c r="C99" s="153">
        <f>IF(D93= "","-",D93)</f>
        <v>2007</v>
      </c>
      <c r="D99" s="154"/>
      <c r="E99" s="161"/>
      <c r="F99" s="159"/>
      <c r="G99" s="214"/>
      <c r="H99" s="251"/>
      <c r="I99" s="252"/>
      <c r="J99" s="158">
        <f t="shared" ref="J99:J107" si="13">+I99-H99</f>
        <v>0</v>
      </c>
      <c r="K99" s="158"/>
      <c r="L99" s="256"/>
      <c r="M99" s="157">
        <f t="shared" ref="M99:M130" si="14">IF(L99&lt;&gt;0,+H99-L99,0)</f>
        <v>0</v>
      </c>
      <c r="N99" s="256"/>
      <c r="O99" s="157">
        <f t="shared" ref="O99:O130" si="15">IF(N99&lt;&gt;0,+I99-N99,0)</f>
        <v>0</v>
      </c>
      <c r="P99" s="157">
        <f t="shared" ref="P99:P130" si="16">+O99-M99</f>
        <v>0</v>
      </c>
    </row>
    <row r="100" spans="1:16">
      <c r="B100" s="9" t="str">
        <f>IF(D100=F99,"","IU")</f>
        <v/>
      </c>
      <c r="C100" s="153">
        <f>IF(D93="","-",+C99+1)</f>
        <v>2008</v>
      </c>
      <c r="D100" s="154"/>
      <c r="E100" s="160"/>
      <c r="F100" s="159"/>
      <c r="G100" s="159"/>
      <c r="H100" s="163"/>
      <c r="I100" s="253"/>
      <c r="J100" s="158">
        <f t="shared" si="13"/>
        <v>0</v>
      </c>
      <c r="K100" s="158"/>
      <c r="L100" s="258"/>
      <c r="M100" s="158">
        <f t="shared" si="14"/>
        <v>0</v>
      </c>
      <c r="N100" s="258"/>
      <c r="O100" s="158">
        <f t="shared" si="15"/>
        <v>0</v>
      </c>
      <c r="P100" s="158">
        <f t="shared" si="16"/>
        <v>0</v>
      </c>
    </row>
    <row r="101" spans="1:16">
      <c r="B101" s="9" t="str">
        <f t="shared" ref="B101:B154" si="17">IF(D101=F100,"","IU")</f>
        <v/>
      </c>
      <c r="C101" s="153">
        <f>IF(D93="","-",+C100+1)</f>
        <v>2009</v>
      </c>
      <c r="D101" s="154"/>
      <c r="E101" s="160"/>
      <c r="F101" s="159"/>
      <c r="G101" s="159"/>
      <c r="H101" s="163"/>
      <c r="I101" s="253"/>
      <c r="J101" s="158">
        <f t="shared" si="13"/>
        <v>0</v>
      </c>
      <c r="K101" s="158"/>
      <c r="L101" s="258"/>
      <c r="M101" s="158">
        <f t="shared" si="14"/>
        <v>0</v>
      </c>
      <c r="N101" s="258"/>
      <c r="O101" s="158">
        <f t="shared" si="15"/>
        <v>0</v>
      </c>
      <c r="P101" s="158">
        <f t="shared" si="16"/>
        <v>0</v>
      </c>
    </row>
    <row r="102" spans="1:16">
      <c r="B102" s="9" t="str">
        <f t="shared" si="17"/>
        <v/>
      </c>
      <c r="C102" s="153">
        <f>IF(D93="","-",+C101+1)</f>
        <v>2010</v>
      </c>
      <c r="D102" s="154"/>
      <c r="E102" s="160"/>
      <c r="F102" s="159"/>
      <c r="G102" s="159"/>
      <c r="H102" s="163"/>
      <c r="I102" s="253"/>
      <c r="J102" s="158">
        <f t="shared" si="13"/>
        <v>0</v>
      </c>
      <c r="K102" s="158"/>
      <c r="L102" s="258"/>
      <c r="M102" s="158">
        <f t="shared" si="14"/>
        <v>0</v>
      </c>
      <c r="N102" s="258"/>
      <c r="O102" s="158">
        <f t="shared" si="15"/>
        <v>0</v>
      </c>
      <c r="P102" s="158">
        <f t="shared" si="16"/>
        <v>0</v>
      </c>
    </row>
    <row r="103" spans="1:16">
      <c r="B103" s="9" t="str">
        <f t="shared" si="17"/>
        <v/>
      </c>
      <c r="C103" s="153">
        <f>IF(D93="","-",+C102+1)</f>
        <v>2011</v>
      </c>
      <c r="D103" s="154"/>
      <c r="E103" s="160"/>
      <c r="F103" s="159"/>
      <c r="G103" s="159"/>
      <c r="H103" s="163"/>
      <c r="I103" s="253"/>
      <c r="J103" s="158">
        <f t="shared" si="13"/>
        <v>0</v>
      </c>
      <c r="K103" s="158"/>
      <c r="L103" s="258"/>
      <c r="M103" s="158">
        <f t="shared" si="14"/>
        <v>0</v>
      </c>
      <c r="N103" s="258"/>
      <c r="O103" s="158">
        <f t="shared" si="15"/>
        <v>0</v>
      </c>
      <c r="P103" s="158">
        <f t="shared" si="16"/>
        <v>0</v>
      </c>
    </row>
    <row r="104" spans="1:16">
      <c r="B104" s="9" t="str">
        <f t="shared" si="17"/>
        <v/>
      </c>
      <c r="C104" s="153">
        <f>IF(D93="","-",+C103+1)</f>
        <v>2012</v>
      </c>
      <c r="D104" s="154"/>
      <c r="E104" s="160"/>
      <c r="F104" s="159"/>
      <c r="G104" s="159"/>
      <c r="H104" s="163"/>
      <c r="I104" s="253"/>
      <c r="J104" s="158">
        <f t="shared" si="13"/>
        <v>0</v>
      </c>
      <c r="K104" s="158"/>
      <c r="L104" s="258"/>
      <c r="M104" s="158">
        <f t="shared" si="14"/>
        <v>0</v>
      </c>
      <c r="N104" s="258"/>
      <c r="O104" s="158">
        <f t="shared" si="15"/>
        <v>0</v>
      </c>
      <c r="P104" s="158">
        <f t="shared" si="16"/>
        <v>0</v>
      </c>
    </row>
    <row r="105" spans="1:16">
      <c r="B105" s="9" t="str">
        <f t="shared" si="17"/>
        <v/>
      </c>
      <c r="C105" s="153">
        <f>IF(D93="","-",+C104+1)</f>
        <v>2013</v>
      </c>
      <c r="D105" s="154"/>
      <c r="E105" s="160"/>
      <c r="F105" s="159"/>
      <c r="G105" s="159"/>
      <c r="H105" s="163"/>
      <c r="I105" s="253"/>
      <c r="J105" s="158">
        <f t="shared" si="13"/>
        <v>0</v>
      </c>
      <c r="K105" s="158"/>
      <c r="L105" s="258"/>
      <c r="M105" s="158">
        <f t="shared" si="14"/>
        <v>0</v>
      </c>
      <c r="N105" s="258"/>
      <c r="O105" s="158">
        <f t="shared" si="15"/>
        <v>0</v>
      </c>
      <c r="P105" s="158">
        <f t="shared" si="16"/>
        <v>0</v>
      </c>
    </row>
    <row r="106" spans="1:16">
      <c r="B106" s="9" t="str">
        <f t="shared" si="17"/>
        <v/>
      </c>
      <c r="C106" s="153">
        <f>IF(D93="","-",+C105+1)</f>
        <v>2014</v>
      </c>
      <c r="D106" s="154"/>
      <c r="E106" s="160"/>
      <c r="F106" s="159"/>
      <c r="G106" s="159"/>
      <c r="H106" s="163"/>
      <c r="I106" s="253"/>
      <c r="J106" s="158">
        <f t="shared" si="13"/>
        <v>0</v>
      </c>
      <c r="K106" s="158"/>
      <c r="L106" s="258"/>
      <c r="M106" s="158">
        <f t="shared" si="14"/>
        <v>0</v>
      </c>
      <c r="N106" s="258"/>
      <c r="O106" s="158">
        <f t="shared" si="15"/>
        <v>0</v>
      </c>
      <c r="P106" s="158">
        <f t="shared" si="16"/>
        <v>0</v>
      </c>
    </row>
    <row r="107" spans="1:16">
      <c r="B107" s="9" t="str">
        <f t="shared" si="17"/>
        <v>IU</v>
      </c>
      <c r="C107" s="153">
        <f>IF(D93="","-",+C106+1)</f>
        <v>2015</v>
      </c>
      <c r="D107" s="409">
        <v>2167904.3095238092</v>
      </c>
      <c r="E107" s="410">
        <v>51616.769274376413</v>
      </c>
      <c r="F107" s="411">
        <v>2116287.5402494329</v>
      </c>
      <c r="G107" s="411">
        <v>2142095.9248866211</v>
      </c>
      <c r="H107" s="413">
        <v>333878.34559727815</v>
      </c>
      <c r="I107" s="414">
        <v>333878.34559727815</v>
      </c>
      <c r="J107" s="158">
        <f t="shared" si="13"/>
        <v>0</v>
      </c>
      <c r="K107" s="158"/>
      <c r="L107" s="258">
        <f>+H107</f>
        <v>333878.34559727815</v>
      </c>
      <c r="M107" s="158">
        <f t="shared" si="14"/>
        <v>0</v>
      </c>
      <c r="N107" s="258">
        <f>+I107</f>
        <v>333878.34559727815</v>
      </c>
      <c r="O107" s="158">
        <f t="shared" si="15"/>
        <v>0</v>
      </c>
      <c r="P107" s="158">
        <f t="shared" si="16"/>
        <v>0</v>
      </c>
    </row>
    <row r="108" spans="1:16">
      <c r="B108" s="9" t="str">
        <f t="shared" si="17"/>
        <v>IU</v>
      </c>
      <c r="C108" s="153">
        <f>IF(D93="","-",+C107+1)</f>
        <v>2016</v>
      </c>
      <c r="D108" s="409">
        <v>2606835.2307256237</v>
      </c>
      <c r="E108" s="410">
        <v>61824.465116279069</v>
      </c>
      <c r="F108" s="411">
        <v>2545010.7656093445</v>
      </c>
      <c r="G108" s="411">
        <v>2575922.9981674841</v>
      </c>
      <c r="H108" s="413">
        <v>388837.85956536332</v>
      </c>
      <c r="I108" s="414">
        <v>388837.85956536332</v>
      </c>
      <c r="J108" s="158">
        <v>0</v>
      </c>
      <c r="K108" s="158"/>
      <c r="L108" s="258">
        <f>+H108</f>
        <v>388837.85956536332</v>
      </c>
      <c r="M108" s="158">
        <f>IF(L108&lt;&gt;0,+H108-L108,0)</f>
        <v>0</v>
      </c>
      <c r="N108" s="258">
        <f>+I108</f>
        <v>388837.85956536332</v>
      </c>
      <c r="O108" s="158">
        <f>IF(N108&lt;&gt;0,+I108-N108,0)</f>
        <v>0</v>
      </c>
      <c r="P108" s="158">
        <f>+O108-M108</f>
        <v>0</v>
      </c>
    </row>
    <row r="109" spans="1:16">
      <c r="B109" s="9" t="str">
        <f t="shared" si="17"/>
        <v/>
      </c>
      <c r="C109" s="153">
        <f>IF(D93="","-",+C108+1)</f>
        <v>2017</v>
      </c>
      <c r="D109" s="154">
        <f>IF(F108+SUM(E$99:E108)=D$92,F108,D$92-SUM(E$99:E108))</f>
        <v>2545010.7656093445</v>
      </c>
      <c r="E109" s="160">
        <f t="shared" ref="E109:E154" si="18">IF(+$J$96&lt;F108,$J$96,D109)</f>
        <v>63296.476190476191</v>
      </c>
      <c r="F109" s="159">
        <f t="shared" ref="F109:F154" si="19">+D109-E109</f>
        <v>2481714.2894188683</v>
      </c>
      <c r="G109" s="159">
        <f t="shared" ref="G109:G154" si="20">+(F109+D109)/2</f>
        <v>2513362.5275141066</v>
      </c>
      <c r="H109" s="163">
        <f t="shared" ref="H109:H154" si="21">+J$94*G109+E109</f>
        <v>368598.28609591222</v>
      </c>
      <c r="I109" s="253">
        <f t="shared" ref="I109:I154" si="22">+J$95*G109+E109</f>
        <v>368598.28609591222</v>
      </c>
      <c r="J109" s="158">
        <f t="shared" ref="J109:J154" si="23">+I109-H109</f>
        <v>0</v>
      </c>
      <c r="K109" s="158"/>
      <c r="L109" s="334"/>
      <c r="M109" s="158">
        <f t="shared" si="14"/>
        <v>0</v>
      </c>
      <c r="N109" s="334"/>
      <c r="O109" s="158">
        <f t="shared" si="15"/>
        <v>0</v>
      </c>
      <c r="P109" s="158">
        <f t="shared" si="16"/>
        <v>0</v>
      </c>
    </row>
    <row r="110" spans="1:16">
      <c r="B110" s="9" t="str">
        <f t="shared" si="17"/>
        <v/>
      </c>
      <c r="C110" s="153">
        <f>IF(D93="","-",+C109+1)</f>
        <v>2018</v>
      </c>
      <c r="D110" s="154">
        <f>IF(F109+SUM(E$99:E109)=D$92,F109,D$92-SUM(E$99:E109))</f>
        <v>2481714.2894188683</v>
      </c>
      <c r="E110" s="160">
        <f t="shared" si="18"/>
        <v>63296.476190476191</v>
      </c>
      <c r="F110" s="159">
        <f t="shared" si="19"/>
        <v>2418417.813228392</v>
      </c>
      <c r="G110" s="159">
        <f t="shared" si="20"/>
        <v>2450066.0513236299</v>
      </c>
      <c r="H110" s="163">
        <f t="shared" si="21"/>
        <v>360909.57086679555</v>
      </c>
      <c r="I110" s="253">
        <f t="shared" si="22"/>
        <v>360909.57086679555</v>
      </c>
      <c r="J110" s="158">
        <f t="shared" si="23"/>
        <v>0</v>
      </c>
      <c r="K110" s="158"/>
      <c r="L110" s="334"/>
      <c r="M110" s="158">
        <f t="shared" si="14"/>
        <v>0</v>
      </c>
      <c r="N110" s="334"/>
      <c r="O110" s="158">
        <f t="shared" si="15"/>
        <v>0</v>
      </c>
      <c r="P110" s="158">
        <f t="shared" si="16"/>
        <v>0</v>
      </c>
    </row>
    <row r="111" spans="1:16">
      <c r="B111" s="9" t="str">
        <f t="shared" si="17"/>
        <v/>
      </c>
      <c r="C111" s="153">
        <f>IF(D93="","-",+C110+1)</f>
        <v>2019</v>
      </c>
      <c r="D111" s="154">
        <f>IF(F110+SUM(E$99:E110)=D$92,F110,D$92-SUM(E$99:E110))</f>
        <v>2418417.813228392</v>
      </c>
      <c r="E111" s="160">
        <f t="shared" si="18"/>
        <v>63296.476190476191</v>
      </c>
      <c r="F111" s="159">
        <f t="shared" si="19"/>
        <v>2355121.3370379158</v>
      </c>
      <c r="G111" s="159">
        <f t="shared" si="20"/>
        <v>2386769.5751331542</v>
      </c>
      <c r="H111" s="163">
        <f t="shared" si="21"/>
        <v>353220.85563767899</v>
      </c>
      <c r="I111" s="253">
        <f t="shared" si="22"/>
        <v>353220.85563767899</v>
      </c>
      <c r="J111" s="158">
        <f t="shared" si="23"/>
        <v>0</v>
      </c>
      <c r="K111" s="158"/>
      <c r="L111" s="334"/>
      <c r="M111" s="158">
        <f t="shared" si="14"/>
        <v>0</v>
      </c>
      <c r="N111" s="334"/>
      <c r="O111" s="158">
        <f t="shared" si="15"/>
        <v>0</v>
      </c>
      <c r="P111" s="158">
        <f t="shared" si="16"/>
        <v>0</v>
      </c>
    </row>
    <row r="112" spans="1:16">
      <c r="B112" s="9" t="str">
        <f t="shared" si="17"/>
        <v/>
      </c>
      <c r="C112" s="153">
        <f>IF(D93="","-",+C111+1)</f>
        <v>2020</v>
      </c>
      <c r="D112" s="154">
        <f>IF(F111+SUM(E$99:E111)=D$92,F111,D$92-SUM(E$99:E111))</f>
        <v>2355121.3370379158</v>
      </c>
      <c r="E112" s="160">
        <f t="shared" si="18"/>
        <v>63296.476190476191</v>
      </c>
      <c r="F112" s="159">
        <f t="shared" si="19"/>
        <v>2291824.8608474396</v>
      </c>
      <c r="G112" s="159">
        <f t="shared" si="20"/>
        <v>2323473.0989426775</v>
      </c>
      <c r="H112" s="163">
        <f t="shared" si="21"/>
        <v>345532.14040856232</v>
      </c>
      <c r="I112" s="253">
        <f t="shared" si="22"/>
        <v>345532.14040856232</v>
      </c>
      <c r="J112" s="158">
        <f t="shared" si="23"/>
        <v>0</v>
      </c>
      <c r="K112" s="158"/>
      <c r="L112" s="334"/>
      <c r="M112" s="158">
        <f t="shared" si="14"/>
        <v>0</v>
      </c>
      <c r="N112" s="334"/>
      <c r="O112" s="158">
        <f t="shared" si="15"/>
        <v>0</v>
      </c>
      <c r="P112" s="158">
        <f t="shared" si="16"/>
        <v>0</v>
      </c>
    </row>
    <row r="113" spans="2:16">
      <c r="B113" s="9" t="str">
        <f t="shared" si="17"/>
        <v/>
      </c>
      <c r="C113" s="153">
        <f>IF(D93="","-",+C112+1)</f>
        <v>2021</v>
      </c>
      <c r="D113" s="154">
        <f>IF(F112+SUM(E$99:E112)=D$92,F112,D$92-SUM(E$99:E112))</f>
        <v>2291824.8608474396</v>
      </c>
      <c r="E113" s="160">
        <f t="shared" si="18"/>
        <v>63296.476190476191</v>
      </c>
      <c r="F113" s="159">
        <f t="shared" si="19"/>
        <v>2228528.3846569634</v>
      </c>
      <c r="G113" s="159">
        <f t="shared" si="20"/>
        <v>2260176.6227522017</v>
      </c>
      <c r="H113" s="163">
        <f t="shared" si="21"/>
        <v>337843.42517944577</v>
      </c>
      <c r="I113" s="253">
        <f t="shared" si="22"/>
        <v>337843.42517944577</v>
      </c>
      <c r="J113" s="158">
        <f t="shared" si="23"/>
        <v>0</v>
      </c>
      <c r="K113" s="158"/>
      <c r="L113" s="334"/>
      <c r="M113" s="158">
        <f t="shared" si="14"/>
        <v>0</v>
      </c>
      <c r="N113" s="334"/>
      <c r="O113" s="158">
        <f t="shared" si="15"/>
        <v>0</v>
      </c>
      <c r="P113" s="158">
        <f t="shared" si="16"/>
        <v>0</v>
      </c>
    </row>
    <row r="114" spans="2:16">
      <c r="B114" s="9" t="str">
        <f t="shared" si="17"/>
        <v/>
      </c>
      <c r="C114" s="153">
        <f>IF(D93="","-",+C113+1)</f>
        <v>2022</v>
      </c>
      <c r="D114" s="154">
        <f>IF(F113+SUM(E$99:E113)=D$92,F113,D$92-SUM(E$99:E113))</f>
        <v>2228528.3846569634</v>
      </c>
      <c r="E114" s="160">
        <f t="shared" si="18"/>
        <v>63296.476190476191</v>
      </c>
      <c r="F114" s="159">
        <f t="shared" si="19"/>
        <v>2165231.9084664872</v>
      </c>
      <c r="G114" s="159">
        <f t="shared" si="20"/>
        <v>2196880.1465617251</v>
      </c>
      <c r="H114" s="163">
        <f t="shared" si="21"/>
        <v>330154.7099503291</v>
      </c>
      <c r="I114" s="253">
        <f t="shared" si="22"/>
        <v>330154.7099503291</v>
      </c>
      <c r="J114" s="158">
        <f t="shared" si="23"/>
        <v>0</v>
      </c>
      <c r="K114" s="158"/>
      <c r="L114" s="334"/>
      <c r="M114" s="158">
        <f t="shared" si="14"/>
        <v>0</v>
      </c>
      <c r="N114" s="334"/>
      <c r="O114" s="158">
        <f t="shared" si="15"/>
        <v>0</v>
      </c>
      <c r="P114" s="158">
        <f t="shared" si="16"/>
        <v>0</v>
      </c>
    </row>
    <row r="115" spans="2:16">
      <c r="B115" s="9" t="str">
        <f t="shared" si="17"/>
        <v/>
      </c>
      <c r="C115" s="153">
        <f>IF(D93="","-",+C114+1)</f>
        <v>2023</v>
      </c>
      <c r="D115" s="154">
        <f>IF(F114+SUM(E$99:E114)=D$92,F114,D$92-SUM(E$99:E114))</f>
        <v>2165231.9084664872</v>
      </c>
      <c r="E115" s="160">
        <f t="shared" si="18"/>
        <v>63296.476190476191</v>
      </c>
      <c r="F115" s="159">
        <f t="shared" si="19"/>
        <v>2101935.432276011</v>
      </c>
      <c r="G115" s="159">
        <f t="shared" si="20"/>
        <v>2133583.6703712493</v>
      </c>
      <c r="H115" s="163">
        <f t="shared" si="21"/>
        <v>322465.99472121254</v>
      </c>
      <c r="I115" s="253">
        <f t="shared" si="22"/>
        <v>322465.99472121254</v>
      </c>
      <c r="J115" s="158">
        <f t="shared" si="23"/>
        <v>0</v>
      </c>
      <c r="K115" s="158"/>
      <c r="L115" s="334"/>
      <c r="M115" s="158">
        <f t="shared" si="14"/>
        <v>0</v>
      </c>
      <c r="N115" s="334"/>
      <c r="O115" s="158">
        <f t="shared" si="15"/>
        <v>0</v>
      </c>
      <c r="P115" s="158">
        <f t="shared" si="16"/>
        <v>0</v>
      </c>
    </row>
    <row r="116" spans="2:16">
      <c r="B116" s="9" t="str">
        <f t="shared" si="17"/>
        <v/>
      </c>
      <c r="C116" s="153">
        <f>IF(D93="","-",+C115+1)</f>
        <v>2024</v>
      </c>
      <c r="D116" s="154">
        <f>IF(F115+SUM(E$99:E115)=D$92,F115,D$92-SUM(E$99:E115))</f>
        <v>2101935.432276011</v>
      </c>
      <c r="E116" s="160">
        <f t="shared" si="18"/>
        <v>63296.476190476191</v>
      </c>
      <c r="F116" s="159">
        <f t="shared" si="19"/>
        <v>2038638.9560855348</v>
      </c>
      <c r="G116" s="159">
        <f t="shared" si="20"/>
        <v>2070287.1941807729</v>
      </c>
      <c r="H116" s="163">
        <f t="shared" si="21"/>
        <v>314777.27949209587</v>
      </c>
      <c r="I116" s="253">
        <f t="shared" si="22"/>
        <v>314777.27949209587</v>
      </c>
      <c r="J116" s="158">
        <f t="shared" si="23"/>
        <v>0</v>
      </c>
      <c r="K116" s="158"/>
      <c r="L116" s="334"/>
      <c r="M116" s="158">
        <f t="shared" si="14"/>
        <v>0</v>
      </c>
      <c r="N116" s="334"/>
      <c r="O116" s="158">
        <f t="shared" si="15"/>
        <v>0</v>
      </c>
      <c r="P116" s="158">
        <f t="shared" si="16"/>
        <v>0</v>
      </c>
    </row>
    <row r="117" spans="2:16">
      <c r="B117" s="9" t="str">
        <f t="shared" si="17"/>
        <v/>
      </c>
      <c r="C117" s="153">
        <f>IF(D93="","-",+C116+1)</f>
        <v>2025</v>
      </c>
      <c r="D117" s="154">
        <f>IF(F116+SUM(E$99:E116)=D$92,F116,D$92-SUM(E$99:E116))</f>
        <v>2038638.9560855348</v>
      </c>
      <c r="E117" s="160">
        <f t="shared" si="18"/>
        <v>63296.476190476191</v>
      </c>
      <c r="F117" s="159">
        <f t="shared" si="19"/>
        <v>1975342.4798950586</v>
      </c>
      <c r="G117" s="159">
        <f t="shared" si="20"/>
        <v>2006990.7179902967</v>
      </c>
      <c r="H117" s="163">
        <f t="shared" si="21"/>
        <v>307088.56426297926</v>
      </c>
      <c r="I117" s="253">
        <f t="shared" si="22"/>
        <v>307088.56426297926</v>
      </c>
      <c r="J117" s="158">
        <f t="shared" si="23"/>
        <v>0</v>
      </c>
      <c r="K117" s="158"/>
      <c r="L117" s="334"/>
      <c r="M117" s="158">
        <f t="shared" si="14"/>
        <v>0</v>
      </c>
      <c r="N117" s="334"/>
      <c r="O117" s="158">
        <f t="shared" si="15"/>
        <v>0</v>
      </c>
      <c r="P117" s="158">
        <f t="shared" si="16"/>
        <v>0</v>
      </c>
    </row>
    <row r="118" spans="2:16">
      <c r="B118" s="9" t="str">
        <f t="shared" si="17"/>
        <v/>
      </c>
      <c r="C118" s="153">
        <f>IF(D93="","-",+C117+1)</f>
        <v>2026</v>
      </c>
      <c r="D118" s="154">
        <f>IF(F117+SUM(E$99:E117)=D$92,F117,D$92-SUM(E$99:E117))</f>
        <v>1975342.4798950586</v>
      </c>
      <c r="E118" s="160">
        <f t="shared" si="18"/>
        <v>63296.476190476191</v>
      </c>
      <c r="F118" s="159">
        <f t="shared" si="19"/>
        <v>1912046.0037045823</v>
      </c>
      <c r="G118" s="159">
        <f t="shared" si="20"/>
        <v>1943694.2417998204</v>
      </c>
      <c r="H118" s="163">
        <f t="shared" si="21"/>
        <v>299399.8490338627</v>
      </c>
      <c r="I118" s="253">
        <f t="shared" si="22"/>
        <v>299399.8490338627</v>
      </c>
      <c r="J118" s="158">
        <f t="shared" si="23"/>
        <v>0</v>
      </c>
      <c r="K118" s="158"/>
      <c r="L118" s="334"/>
      <c r="M118" s="158">
        <f t="shared" si="14"/>
        <v>0</v>
      </c>
      <c r="N118" s="334"/>
      <c r="O118" s="158">
        <f t="shared" si="15"/>
        <v>0</v>
      </c>
      <c r="P118" s="158">
        <f t="shared" si="16"/>
        <v>0</v>
      </c>
    </row>
    <row r="119" spans="2:16">
      <c r="B119" s="9" t="str">
        <f t="shared" si="17"/>
        <v/>
      </c>
      <c r="C119" s="153">
        <f>IF(D93="","-",+C118+1)</f>
        <v>2027</v>
      </c>
      <c r="D119" s="154">
        <f>IF(F118+SUM(E$99:E118)=D$92,F118,D$92-SUM(E$99:E118))</f>
        <v>1912046.0037045823</v>
      </c>
      <c r="E119" s="160">
        <f t="shared" si="18"/>
        <v>63296.476190476191</v>
      </c>
      <c r="F119" s="159">
        <f t="shared" si="19"/>
        <v>1848749.5275141061</v>
      </c>
      <c r="G119" s="159">
        <f t="shared" si="20"/>
        <v>1880397.7656093442</v>
      </c>
      <c r="H119" s="163">
        <f t="shared" si="21"/>
        <v>291711.13380474609</v>
      </c>
      <c r="I119" s="253">
        <f t="shared" si="22"/>
        <v>291711.13380474609</v>
      </c>
      <c r="J119" s="158">
        <f t="shared" si="23"/>
        <v>0</v>
      </c>
      <c r="K119" s="158"/>
      <c r="L119" s="334"/>
      <c r="M119" s="158">
        <f t="shared" si="14"/>
        <v>0</v>
      </c>
      <c r="N119" s="334"/>
      <c r="O119" s="158">
        <f t="shared" si="15"/>
        <v>0</v>
      </c>
      <c r="P119" s="158">
        <f t="shared" si="16"/>
        <v>0</v>
      </c>
    </row>
    <row r="120" spans="2:16">
      <c r="B120" s="9" t="str">
        <f t="shared" si="17"/>
        <v/>
      </c>
      <c r="C120" s="153">
        <f>IF(D93="","-",+C119+1)</f>
        <v>2028</v>
      </c>
      <c r="D120" s="154">
        <f>IF(F119+SUM(E$99:E119)=D$92,F119,D$92-SUM(E$99:E119))</f>
        <v>1848749.5275141061</v>
      </c>
      <c r="E120" s="160">
        <f t="shared" si="18"/>
        <v>63296.476190476191</v>
      </c>
      <c r="F120" s="159">
        <f t="shared" si="19"/>
        <v>1785453.0513236299</v>
      </c>
      <c r="G120" s="159">
        <f t="shared" si="20"/>
        <v>1817101.289418868</v>
      </c>
      <c r="H120" s="163">
        <f t="shared" si="21"/>
        <v>284022.41857562948</v>
      </c>
      <c r="I120" s="253">
        <f t="shared" si="22"/>
        <v>284022.41857562948</v>
      </c>
      <c r="J120" s="158">
        <f t="shared" si="23"/>
        <v>0</v>
      </c>
      <c r="K120" s="158"/>
      <c r="L120" s="334"/>
      <c r="M120" s="158">
        <f t="shared" si="14"/>
        <v>0</v>
      </c>
      <c r="N120" s="334"/>
      <c r="O120" s="158">
        <f t="shared" si="15"/>
        <v>0</v>
      </c>
      <c r="P120" s="158">
        <f t="shared" si="16"/>
        <v>0</v>
      </c>
    </row>
    <row r="121" spans="2:16">
      <c r="B121" s="9" t="str">
        <f t="shared" si="17"/>
        <v/>
      </c>
      <c r="C121" s="153">
        <f>IF(D93="","-",+C120+1)</f>
        <v>2029</v>
      </c>
      <c r="D121" s="154">
        <f>IF(F120+SUM(E$99:E120)=D$92,F120,D$92-SUM(E$99:E120))</f>
        <v>1785453.0513236299</v>
      </c>
      <c r="E121" s="160">
        <f t="shared" si="18"/>
        <v>63296.476190476191</v>
      </c>
      <c r="F121" s="159">
        <f t="shared" si="19"/>
        <v>1722156.5751331537</v>
      </c>
      <c r="G121" s="159">
        <f t="shared" si="20"/>
        <v>1753804.8132283918</v>
      </c>
      <c r="H121" s="163">
        <f t="shared" si="21"/>
        <v>276333.70334651286</v>
      </c>
      <c r="I121" s="253">
        <f t="shared" si="22"/>
        <v>276333.70334651286</v>
      </c>
      <c r="J121" s="158">
        <f t="shared" si="23"/>
        <v>0</v>
      </c>
      <c r="K121" s="158"/>
      <c r="L121" s="334"/>
      <c r="M121" s="158">
        <f t="shared" si="14"/>
        <v>0</v>
      </c>
      <c r="N121" s="334"/>
      <c r="O121" s="158">
        <f t="shared" si="15"/>
        <v>0</v>
      </c>
      <c r="P121" s="158">
        <f t="shared" si="16"/>
        <v>0</v>
      </c>
    </row>
    <row r="122" spans="2:16">
      <c r="B122" s="9" t="str">
        <f t="shared" si="17"/>
        <v/>
      </c>
      <c r="C122" s="153">
        <f>IF(D93="","-",+C121+1)</f>
        <v>2030</v>
      </c>
      <c r="D122" s="154">
        <f>IF(F121+SUM(E$99:E121)=D$92,F121,D$92-SUM(E$99:E121))</f>
        <v>1722156.5751331537</v>
      </c>
      <c r="E122" s="160">
        <f t="shared" si="18"/>
        <v>63296.476190476191</v>
      </c>
      <c r="F122" s="159">
        <f t="shared" si="19"/>
        <v>1658860.0989426775</v>
      </c>
      <c r="G122" s="159">
        <f t="shared" si="20"/>
        <v>1690508.3370379156</v>
      </c>
      <c r="H122" s="163">
        <f t="shared" si="21"/>
        <v>268644.98811739625</v>
      </c>
      <c r="I122" s="253">
        <f t="shared" si="22"/>
        <v>268644.98811739625</v>
      </c>
      <c r="J122" s="158">
        <f t="shared" si="23"/>
        <v>0</v>
      </c>
      <c r="K122" s="158"/>
      <c r="L122" s="334"/>
      <c r="M122" s="158">
        <f t="shared" si="14"/>
        <v>0</v>
      </c>
      <c r="N122" s="334"/>
      <c r="O122" s="158">
        <f t="shared" si="15"/>
        <v>0</v>
      </c>
      <c r="P122" s="158">
        <f t="shared" si="16"/>
        <v>0</v>
      </c>
    </row>
    <row r="123" spans="2:16">
      <c r="B123" s="9" t="str">
        <f t="shared" si="17"/>
        <v/>
      </c>
      <c r="C123" s="153">
        <f>IF(D93="","-",+C122+1)</f>
        <v>2031</v>
      </c>
      <c r="D123" s="154">
        <f>IF(F122+SUM(E$99:E122)=D$92,F122,D$92-SUM(E$99:E122))</f>
        <v>1658860.0989426775</v>
      </c>
      <c r="E123" s="160">
        <f t="shared" si="18"/>
        <v>63296.476190476191</v>
      </c>
      <c r="F123" s="159">
        <f t="shared" si="19"/>
        <v>1595563.6227522013</v>
      </c>
      <c r="G123" s="159">
        <f t="shared" si="20"/>
        <v>1627211.8608474394</v>
      </c>
      <c r="H123" s="163">
        <f t="shared" si="21"/>
        <v>260956.27288827961</v>
      </c>
      <c r="I123" s="253">
        <f t="shared" si="22"/>
        <v>260956.27288827961</v>
      </c>
      <c r="J123" s="158">
        <f t="shared" si="23"/>
        <v>0</v>
      </c>
      <c r="K123" s="158"/>
      <c r="L123" s="334"/>
      <c r="M123" s="158">
        <f t="shared" si="14"/>
        <v>0</v>
      </c>
      <c r="N123" s="334"/>
      <c r="O123" s="158">
        <f t="shared" si="15"/>
        <v>0</v>
      </c>
      <c r="P123" s="158">
        <f t="shared" si="16"/>
        <v>0</v>
      </c>
    </row>
    <row r="124" spans="2:16">
      <c r="B124" s="9" t="str">
        <f t="shared" si="17"/>
        <v/>
      </c>
      <c r="C124" s="153">
        <f>IF(D93="","-",+C123+1)</f>
        <v>2032</v>
      </c>
      <c r="D124" s="154">
        <f>IF(F123+SUM(E$99:E123)=D$92,F123,D$92-SUM(E$99:E123))</f>
        <v>1595563.6227522013</v>
      </c>
      <c r="E124" s="160">
        <f t="shared" si="18"/>
        <v>63296.476190476191</v>
      </c>
      <c r="F124" s="159">
        <f t="shared" si="19"/>
        <v>1532267.1465617251</v>
      </c>
      <c r="G124" s="159">
        <f t="shared" si="20"/>
        <v>1563915.3846569632</v>
      </c>
      <c r="H124" s="163">
        <f t="shared" si="21"/>
        <v>253267.55765916299</v>
      </c>
      <c r="I124" s="253">
        <f t="shared" si="22"/>
        <v>253267.55765916299</v>
      </c>
      <c r="J124" s="158">
        <f t="shared" si="23"/>
        <v>0</v>
      </c>
      <c r="K124" s="158"/>
      <c r="L124" s="334"/>
      <c r="M124" s="158">
        <f t="shared" si="14"/>
        <v>0</v>
      </c>
      <c r="N124" s="334"/>
      <c r="O124" s="158">
        <f t="shared" si="15"/>
        <v>0</v>
      </c>
      <c r="P124" s="158">
        <f t="shared" si="16"/>
        <v>0</v>
      </c>
    </row>
    <row r="125" spans="2:16">
      <c r="B125" s="9" t="str">
        <f t="shared" si="17"/>
        <v/>
      </c>
      <c r="C125" s="153">
        <f>IF(D93="","-",+C124+1)</f>
        <v>2033</v>
      </c>
      <c r="D125" s="154">
        <f>IF(F124+SUM(E$99:E124)=D$92,F124,D$92-SUM(E$99:E124))</f>
        <v>1532267.1465617251</v>
      </c>
      <c r="E125" s="160">
        <f t="shared" si="18"/>
        <v>63296.476190476191</v>
      </c>
      <c r="F125" s="159">
        <f t="shared" si="19"/>
        <v>1468970.6703712489</v>
      </c>
      <c r="G125" s="159">
        <f t="shared" si="20"/>
        <v>1500618.908466487</v>
      </c>
      <c r="H125" s="163">
        <f t="shared" si="21"/>
        <v>245578.84243004641</v>
      </c>
      <c r="I125" s="253">
        <f t="shared" si="22"/>
        <v>245578.84243004641</v>
      </c>
      <c r="J125" s="158">
        <f t="shared" si="23"/>
        <v>0</v>
      </c>
      <c r="K125" s="158"/>
      <c r="L125" s="334"/>
      <c r="M125" s="158">
        <f t="shared" si="14"/>
        <v>0</v>
      </c>
      <c r="N125" s="334"/>
      <c r="O125" s="158">
        <f t="shared" si="15"/>
        <v>0</v>
      </c>
      <c r="P125" s="158">
        <f t="shared" si="16"/>
        <v>0</v>
      </c>
    </row>
    <row r="126" spans="2:16">
      <c r="B126" s="9" t="str">
        <f t="shared" si="17"/>
        <v/>
      </c>
      <c r="C126" s="153">
        <f>IF(D93="","-",+C125+1)</f>
        <v>2034</v>
      </c>
      <c r="D126" s="154">
        <f>IF(F125+SUM(E$99:E125)=D$92,F125,D$92-SUM(E$99:E125))</f>
        <v>1468970.6703712489</v>
      </c>
      <c r="E126" s="160">
        <f t="shared" si="18"/>
        <v>63296.476190476191</v>
      </c>
      <c r="F126" s="159">
        <f t="shared" si="19"/>
        <v>1405674.1941807726</v>
      </c>
      <c r="G126" s="159">
        <f t="shared" si="20"/>
        <v>1437322.4322760107</v>
      </c>
      <c r="H126" s="163">
        <f t="shared" si="21"/>
        <v>237890.1272009298</v>
      </c>
      <c r="I126" s="253">
        <f t="shared" si="22"/>
        <v>237890.1272009298</v>
      </c>
      <c r="J126" s="158">
        <f t="shared" si="23"/>
        <v>0</v>
      </c>
      <c r="K126" s="158"/>
      <c r="L126" s="334"/>
      <c r="M126" s="158">
        <f t="shared" si="14"/>
        <v>0</v>
      </c>
      <c r="N126" s="334"/>
      <c r="O126" s="158">
        <f t="shared" si="15"/>
        <v>0</v>
      </c>
      <c r="P126" s="158">
        <f t="shared" si="16"/>
        <v>0</v>
      </c>
    </row>
    <row r="127" spans="2:16">
      <c r="B127" s="9" t="str">
        <f t="shared" si="17"/>
        <v/>
      </c>
      <c r="C127" s="153">
        <f>IF(D93="","-",+C126+1)</f>
        <v>2035</v>
      </c>
      <c r="D127" s="154">
        <f>IF(F126+SUM(E$99:E126)=D$92,F126,D$92-SUM(E$99:E126))</f>
        <v>1405674.1941807726</v>
      </c>
      <c r="E127" s="160">
        <f t="shared" si="18"/>
        <v>63296.476190476191</v>
      </c>
      <c r="F127" s="159">
        <f t="shared" si="19"/>
        <v>1342377.7179902964</v>
      </c>
      <c r="G127" s="159">
        <f t="shared" si="20"/>
        <v>1374025.9560855345</v>
      </c>
      <c r="H127" s="163">
        <f t="shared" si="21"/>
        <v>230201.41197181318</v>
      </c>
      <c r="I127" s="253">
        <f t="shared" si="22"/>
        <v>230201.41197181318</v>
      </c>
      <c r="J127" s="158">
        <f t="shared" si="23"/>
        <v>0</v>
      </c>
      <c r="K127" s="158"/>
      <c r="L127" s="334"/>
      <c r="M127" s="158">
        <f t="shared" si="14"/>
        <v>0</v>
      </c>
      <c r="N127" s="334"/>
      <c r="O127" s="158">
        <f t="shared" si="15"/>
        <v>0</v>
      </c>
      <c r="P127" s="158">
        <f t="shared" si="16"/>
        <v>0</v>
      </c>
    </row>
    <row r="128" spans="2:16">
      <c r="B128" s="9" t="str">
        <f t="shared" si="17"/>
        <v/>
      </c>
      <c r="C128" s="153">
        <f>IF(D93="","-",+C127+1)</f>
        <v>2036</v>
      </c>
      <c r="D128" s="154">
        <f>IF(F127+SUM(E$99:E127)=D$92,F127,D$92-SUM(E$99:E127))</f>
        <v>1342377.7179902964</v>
      </c>
      <c r="E128" s="160">
        <f t="shared" si="18"/>
        <v>63296.476190476191</v>
      </c>
      <c r="F128" s="159">
        <f t="shared" si="19"/>
        <v>1279081.2417998202</v>
      </c>
      <c r="G128" s="159">
        <f t="shared" si="20"/>
        <v>1310729.4798950583</v>
      </c>
      <c r="H128" s="163">
        <f t="shared" si="21"/>
        <v>222512.69674269657</v>
      </c>
      <c r="I128" s="253">
        <f t="shared" si="22"/>
        <v>222512.69674269657</v>
      </c>
      <c r="J128" s="158">
        <f t="shared" si="23"/>
        <v>0</v>
      </c>
      <c r="K128" s="158"/>
      <c r="L128" s="334"/>
      <c r="M128" s="158">
        <f t="shared" si="14"/>
        <v>0</v>
      </c>
      <c r="N128" s="334"/>
      <c r="O128" s="158">
        <f t="shared" si="15"/>
        <v>0</v>
      </c>
      <c r="P128" s="158">
        <f t="shared" si="16"/>
        <v>0</v>
      </c>
    </row>
    <row r="129" spans="2:16">
      <c r="B129" s="9" t="str">
        <f t="shared" si="17"/>
        <v/>
      </c>
      <c r="C129" s="153">
        <f>IF(D93="","-",+C128+1)</f>
        <v>2037</v>
      </c>
      <c r="D129" s="154">
        <f>IF(F128+SUM(E$99:E128)=D$92,F128,D$92-SUM(E$99:E128))</f>
        <v>1279081.2417998202</v>
      </c>
      <c r="E129" s="160">
        <f t="shared" si="18"/>
        <v>63296.476190476191</v>
      </c>
      <c r="F129" s="159">
        <f t="shared" si="19"/>
        <v>1215784.765609344</v>
      </c>
      <c r="G129" s="159">
        <f t="shared" si="20"/>
        <v>1247433.0037045821</v>
      </c>
      <c r="H129" s="163">
        <f t="shared" si="21"/>
        <v>214823.98151357996</v>
      </c>
      <c r="I129" s="253">
        <f t="shared" si="22"/>
        <v>214823.98151357996</v>
      </c>
      <c r="J129" s="158">
        <f t="shared" si="23"/>
        <v>0</v>
      </c>
      <c r="K129" s="158"/>
      <c r="L129" s="334"/>
      <c r="M129" s="158">
        <f t="shared" si="14"/>
        <v>0</v>
      </c>
      <c r="N129" s="334"/>
      <c r="O129" s="158">
        <f t="shared" si="15"/>
        <v>0</v>
      </c>
      <c r="P129" s="158">
        <f t="shared" si="16"/>
        <v>0</v>
      </c>
    </row>
    <row r="130" spans="2:16">
      <c r="B130" s="9" t="str">
        <f t="shared" si="17"/>
        <v/>
      </c>
      <c r="C130" s="153">
        <f>IF(D93="","-",+C129+1)</f>
        <v>2038</v>
      </c>
      <c r="D130" s="154">
        <f>IF(F129+SUM(E$99:E129)=D$92,F129,D$92-SUM(E$99:E129))</f>
        <v>1215784.765609344</v>
      </c>
      <c r="E130" s="160">
        <f t="shared" si="18"/>
        <v>63296.476190476191</v>
      </c>
      <c r="F130" s="159">
        <f t="shared" si="19"/>
        <v>1152488.2894188678</v>
      </c>
      <c r="G130" s="159">
        <f t="shared" si="20"/>
        <v>1184136.5275141059</v>
      </c>
      <c r="H130" s="163">
        <f t="shared" si="21"/>
        <v>207135.26628446335</v>
      </c>
      <c r="I130" s="253">
        <f t="shared" si="22"/>
        <v>207135.26628446335</v>
      </c>
      <c r="J130" s="158">
        <f t="shared" si="23"/>
        <v>0</v>
      </c>
      <c r="K130" s="158"/>
      <c r="L130" s="334"/>
      <c r="M130" s="158">
        <f t="shared" si="14"/>
        <v>0</v>
      </c>
      <c r="N130" s="334"/>
      <c r="O130" s="158">
        <f t="shared" si="15"/>
        <v>0</v>
      </c>
      <c r="P130" s="158">
        <f t="shared" si="16"/>
        <v>0</v>
      </c>
    </row>
    <row r="131" spans="2:16">
      <c r="B131" s="9" t="str">
        <f t="shared" si="17"/>
        <v/>
      </c>
      <c r="C131" s="153">
        <f>IF(D93="","-",+C130+1)</f>
        <v>2039</v>
      </c>
      <c r="D131" s="154">
        <f>IF(F130+SUM(E$99:E130)=D$92,F130,D$92-SUM(E$99:E130))</f>
        <v>1152488.2894188678</v>
      </c>
      <c r="E131" s="160">
        <f t="shared" si="18"/>
        <v>63296.476190476191</v>
      </c>
      <c r="F131" s="159">
        <f t="shared" si="19"/>
        <v>1089191.8132283916</v>
      </c>
      <c r="G131" s="159">
        <f t="shared" si="20"/>
        <v>1120840.0513236297</v>
      </c>
      <c r="H131" s="163">
        <f t="shared" si="21"/>
        <v>199446.55105534673</v>
      </c>
      <c r="I131" s="253">
        <f t="shared" si="22"/>
        <v>199446.55105534673</v>
      </c>
      <c r="J131" s="158">
        <f t="shared" si="23"/>
        <v>0</v>
      </c>
      <c r="K131" s="158"/>
      <c r="L131" s="334"/>
      <c r="M131" s="158">
        <f t="shared" ref="M131:M154" si="24">IF(L541&lt;&gt;0,+H541-L541,0)</f>
        <v>0</v>
      </c>
      <c r="N131" s="334"/>
      <c r="O131" s="158">
        <f t="shared" ref="O131:O154" si="25">IF(N541&lt;&gt;0,+I541-N541,0)</f>
        <v>0</v>
      </c>
      <c r="P131" s="158">
        <f t="shared" ref="P131:P154" si="26">+O541-M541</f>
        <v>0</v>
      </c>
    </row>
    <row r="132" spans="2:16">
      <c r="B132" s="9" t="str">
        <f t="shared" si="17"/>
        <v/>
      </c>
      <c r="C132" s="153">
        <f>IF(D93="","-",+C131+1)</f>
        <v>2040</v>
      </c>
      <c r="D132" s="154">
        <f>IF(F131+SUM(E$99:E131)=D$92,F131,D$92-SUM(E$99:E131))</f>
        <v>1089191.8132283916</v>
      </c>
      <c r="E132" s="160">
        <f t="shared" si="18"/>
        <v>63296.476190476191</v>
      </c>
      <c r="F132" s="159">
        <f t="shared" si="19"/>
        <v>1025895.3370379154</v>
      </c>
      <c r="G132" s="159">
        <f t="shared" si="20"/>
        <v>1057543.5751331535</v>
      </c>
      <c r="H132" s="163">
        <f t="shared" si="21"/>
        <v>191757.83582623015</v>
      </c>
      <c r="I132" s="253">
        <f t="shared" si="22"/>
        <v>191757.83582623015</v>
      </c>
      <c r="J132" s="158">
        <f t="shared" si="23"/>
        <v>0</v>
      </c>
      <c r="K132" s="158"/>
      <c r="L132" s="334"/>
      <c r="M132" s="158">
        <f t="shared" si="24"/>
        <v>0</v>
      </c>
      <c r="N132" s="334"/>
      <c r="O132" s="158">
        <f t="shared" si="25"/>
        <v>0</v>
      </c>
      <c r="P132" s="158">
        <f t="shared" si="26"/>
        <v>0</v>
      </c>
    </row>
    <row r="133" spans="2:16">
      <c r="B133" s="9" t="str">
        <f t="shared" si="17"/>
        <v/>
      </c>
      <c r="C133" s="153">
        <f>IF(D93="","-",+C132+1)</f>
        <v>2041</v>
      </c>
      <c r="D133" s="154">
        <f>IF(F132+SUM(E$99:E132)=D$92,F132,D$92-SUM(E$99:E132))</f>
        <v>1025895.3370379154</v>
      </c>
      <c r="E133" s="160">
        <f t="shared" si="18"/>
        <v>63296.476190476191</v>
      </c>
      <c r="F133" s="159">
        <f t="shared" si="19"/>
        <v>962598.86084743915</v>
      </c>
      <c r="G133" s="159">
        <f t="shared" si="20"/>
        <v>994247.09894267726</v>
      </c>
      <c r="H133" s="163">
        <f t="shared" si="21"/>
        <v>184069.12059711354</v>
      </c>
      <c r="I133" s="253">
        <f t="shared" si="22"/>
        <v>184069.12059711354</v>
      </c>
      <c r="J133" s="158">
        <f t="shared" si="23"/>
        <v>0</v>
      </c>
      <c r="K133" s="158"/>
      <c r="L133" s="334"/>
      <c r="M133" s="158">
        <f t="shared" si="24"/>
        <v>0</v>
      </c>
      <c r="N133" s="334"/>
      <c r="O133" s="158">
        <f t="shared" si="25"/>
        <v>0</v>
      </c>
      <c r="P133" s="158">
        <f t="shared" si="26"/>
        <v>0</v>
      </c>
    </row>
    <row r="134" spans="2:16">
      <c r="B134" s="9" t="str">
        <f t="shared" si="17"/>
        <v/>
      </c>
      <c r="C134" s="153">
        <f>IF(D93="","-",+C133+1)</f>
        <v>2042</v>
      </c>
      <c r="D134" s="154">
        <f>IF(F133+SUM(E$99:E133)=D$92,F133,D$92-SUM(E$99:E133))</f>
        <v>962598.86084743915</v>
      </c>
      <c r="E134" s="160">
        <f t="shared" si="18"/>
        <v>63296.476190476191</v>
      </c>
      <c r="F134" s="159">
        <f t="shared" si="19"/>
        <v>899302.38465696294</v>
      </c>
      <c r="G134" s="159">
        <f t="shared" si="20"/>
        <v>930950.62275220104</v>
      </c>
      <c r="H134" s="163">
        <f t="shared" si="21"/>
        <v>176380.40536799692</v>
      </c>
      <c r="I134" s="253">
        <f t="shared" si="22"/>
        <v>176380.40536799692</v>
      </c>
      <c r="J134" s="158">
        <f t="shared" si="23"/>
        <v>0</v>
      </c>
      <c r="K134" s="158"/>
      <c r="L134" s="334"/>
      <c r="M134" s="158">
        <f t="shared" si="24"/>
        <v>0</v>
      </c>
      <c r="N134" s="334"/>
      <c r="O134" s="158">
        <f t="shared" si="25"/>
        <v>0</v>
      </c>
      <c r="P134" s="158">
        <f t="shared" si="26"/>
        <v>0</v>
      </c>
    </row>
    <row r="135" spans="2:16">
      <c r="B135" s="9" t="str">
        <f t="shared" si="17"/>
        <v/>
      </c>
      <c r="C135" s="153">
        <f>IF(D93="","-",+C134+1)</f>
        <v>2043</v>
      </c>
      <c r="D135" s="154">
        <f>IF(F134+SUM(E$99:E134)=D$92,F134,D$92-SUM(E$99:E134))</f>
        <v>899302.38465696294</v>
      </c>
      <c r="E135" s="160">
        <f t="shared" si="18"/>
        <v>63296.476190476191</v>
      </c>
      <c r="F135" s="159">
        <f t="shared" si="19"/>
        <v>836005.90846648673</v>
      </c>
      <c r="G135" s="159">
        <f t="shared" si="20"/>
        <v>867654.14656172483</v>
      </c>
      <c r="H135" s="163">
        <f t="shared" si="21"/>
        <v>168691.69013888031</v>
      </c>
      <c r="I135" s="253">
        <f t="shared" si="22"/>
        <v>168691.69013888031</v>
      </c>
      <c r="J135" s="158">
        <f t="shared" si="23"/>
        <v>0</v>
      </c>
      <c r="K135" s="158"/>
      <c r="L135" s="334"/>
      <c r="M135" s="158">
        <f t="shared" si="24"/>
        <v>0</v>
      </c>
      <c r="N135" s="334"/>
      <c r="O135" s="158">
        <f t="shared" si="25"/>
        <v>0</v>
      </c>
      <c r="P135" s="158">
        <f t="shared" si="26"/>
        <v>0</v>
      </c>
    </row>
    <row r="136" spans="2:16">
      <c r="B136" s="9" t="str">
        <f t="shared" si="17"/>
        <v/>
      </c>
      <c r="C136" s="153">
        <f>IF(D93="","-",+C135+1)</f>
        <v>2044</v>
      </c>
      <c r="D136" s="154">
        <f>IF(F135+SUM(E$99:E135)=D$92,F135,D$92-SUM(E$99:E135))</f>
        <v>836005.90846648673</v>
      </c>
      <c r="E136" s="160">
        <f t="shared" si="18"/>
        <v>63296.476190476191</v>
      </c>
      <c r="F136" s="159">
        <f t="shared" si="19"/>
        <v>772709.43227601051</v>
      </c>
      <c r="G136" s="159">
        <f t="shared" si="20"/>
        <v>804357.67037124862</v>
      </c>
      <c r="H136" s="163">
        <f t="shared" si="21"/>
        <v>161002.9749097637</v>
      </c>
      <c r="I136" s="253">
        <f t="shared" si="22"/>
        <v>161002.9749097637</v>
      </c>
      <c r="J136" s="158">
        <f t="shared" si="23"/>
        <v>0</v>
      </c>
      <c r="K136" s="158"/>
      <c r="L136" s="334"/>
      <c r="M136" s="158">
        <f t="shared" si="24"/>
        <v>0</v>
      </c>
      <c r="N136" s="334"/>
      <c r="O136" s="158">
        <f t="shared" si="25"/>
        <v>0</v>
      </c>
      <c r="P136" s="158">
        <f t="shared" si="26"/>
        <v>0</v>
      </c>
    </row>
    <row r="137" spans="2:16">
      <c r="B137" s="9" t="str">
        <f t="shared" si="17"/>
        <v/>
      </c>
      <c r="C137" s="153">
        <f>IF(D93="","-",+C136+1)</f>
        <v>2045</v>
      </c>
      <c r="D137" s="154">
        <f>IF(F136+SUM(E$99:E136)=D$92,F136,D$92-SUM(E$99:E136))</f>
        <v>772709.43227601051</v>
      </c>
      <c r="E137" s="160">
        <f t="shared" si="18"/>
        <v>63296.476190476191</v>
      </c>
      <c r="F137" s="159">
        <f t="shared" si="19"/>
        <v>709412.9560855343</v>
      </c>
      <c r="G137" s="159">
        <f t="shared" si="20"/>
        <v>741061.19418077241</v>
      </c>
      <c r="H137" s="163">
        <f t="shared" si="21"/>
        <v>153314.25968064708</v>
      </c>
      <c r="I137" s="253">
        <f t="shared" si="22"/>
        <v>153314.25968064708</v>
      </c>
      <c r="J137" s="158">
        <f t="shared" si="23"/>
        <v>0</v>
      </c>
      <c r="K137" s="158"/>
      <c r="L137" s="334"/>
      <c r="M137" s="158">
        <f t="shared" si="24"/>
        <v>0</v>
      </c>
      <c r="N137" s="334"/>
      <c r="O137" s="158">
        <f t="shared" si="25"/>
        <v>0</v>
      </c>
      <c r="P137" s="158">
        <f t="shared" si="26"/>
        <v>0</v>
      </c>
    </row>
    <row r="138" spans="2:16">
      <c r="B138" s="9" t="str">
        <f t="shared" si="17"/>
        <v/>
      </c>
      <c r="C138" s="153">
        <f>IF(D93="","-",+C137+1)</f>
        <v>2046</v>
      </c>
      <c r="D138" s="154">
        <f>IF(F137+SUM(E$99:E137)=D$92,F137,D$92-SUM(E$99:E137))</f>
        <v>709412.9560855343</v>
      </c>
      <c r="E138" s="160">
        <f t="shared" si="18"/>
        <v>63296.476190476191</v>
      </c>
      <c r="F138" s="159">
        <f t="shared" si="19"/>
        <v>646116.47989505809</v>
      </c>
      <c r="G138" s="159">
        <f t="shared" si="20"/>
        <v>677764.71799029619</v>
      </c>
      <c r="H138" s="163">
        <f t="shared" si="21"/>
        <v>145625.5444515305</v>
      </c>
      <c r="I138" s="253">
        <f t="shared" si="22"/>
        <v>145625.5444515305</v>
      </c>
      <c r="J138" s="158">
        <f t="shared" si="23"/>
        <v>0</v>
      </c>
      <c r="K138" s="158"/>
      <c r="L138" s="334"/>
      <c r="M138" s="158">
        <f t="shared" si="24"/>
        <v>0</v>
      </c>
      <c r="N138" s="334"/>
      <c r="O138" s="158">
        <f t="shared" si="25"/>
        <v>0</v>
      </c>
      <c r="P138" s="158">
        <f t="shared" si="26"/>
        <v>0</v>
      </c>
    </row>
    <row r="139" spans="2:16">
      <c r="B139" s="9" t="str">
        <f t="shared" si="17"/>
        <v/>
      </c>
      <c r="C139" s="153">
        <f>IF(D93="","-",+C138+1)</f>
        <v>2047</v>
      </c>
      <c r="D139" s="154">
        <f>IF(F138+SUM(E$99:E138)=D$92,F138,D$92-SUM(E$99:E138))</f>
        <v>646116.47989505809</v>
      </c>
      <c r="E139" s="160">
        <f t="shared" si="18"/>
        <v>63296.476190476191</v>
      </c>
      <c r="F139" s="159">
        <f t="shared" si="19"/>
        <v>582820.00370458188</v>
      </c>
      <c r="G139" s="159">
        <f t="shared" si="20"/>
        <v>614468.24179981998</v>
      </c>
      <c r="H139" s="163">
        <f t="shared" si="21"/>
        <v>137936.82922241389</v>
      </c>
      <c r="I139" s="253">
        <f t="shared" si="22"/>
        <v>137936.82922241389</v>
      </c>
      <c r="J139" s="158">
        <f t="shared" si="23"/>
        <v>0</v>
      </c>
      <c r="K139" s="158"/>
      <c r="L139" s="334"/>
      <c r="M139" s="158">
        <f t="shared" si="24"/>
        <v>0</v>
      </c>
      <c r="N139" s="334"/>
      <c r="O139" s="158">
        <f t="shared" si="25"/>
        <v>0</v>
      </c>
      <c r="P139" s="158">
        <f t="shared" si="26"/>
        <v>0</v>
      </c>
    </row>
    <row r="140" spans="2:16">
      <c r="B140" s="9" t="str">
        <f t="shared" si="17"/>
        <v/>
      </c>
      <c r="C140" s="153">
        <f>IF(D93="","-",+C139+1)</f>
        <v>2048</v>
      </c>
      <c r="D140" s="154">
        <f>IF(F139+SUM(E$99:E139)=D$92,F139,D$92-SUM(E$99:E139))</f>
        <v>582820.00370458188</v>
      </c>
      <c r="E140" s="160">
        <f t="shared" si="18"/>
        <v>63296.476190476191</v>
      </c>
      <c r="F140" s="159">
        <f t="shared" si="19"/>
        <v>519523.52751410566</v>
      </c>
      <c r="G140" s="159">
        <f t="shared" si="20"/>
        <v>551171.76560934377</v>
      </c>
      <c r="H140" s="163">
        <f t="shared" si="21"/>
        <v>130248.11399329727</v>
      </c>
      <c r="I140" s="253">
        <f t="shared" si="22"/>
        <v>130248.11399329727</v>
      </c>
      <c r="J140" s="158">
        <f t="shared" si="23"/>
        <v>0</v>
      </c>
      <c r="K140" s="158"/>
      <c r="L140" s="334"/>
      <c r="M140" s="158">
        <f t="shared" si="24"/>
        <v>0</v>
      </c>
      <c r="N140" s="334"/>
      <c r="O140" s="158">
        <f t="shared" si="25"/>
        <v>0</v>
      </c>
      <c r="P140" s="158">
        <f t="shared" si="26"/>
        <v>0</v>
      </c>
    </row>
    <row r="141" spans="2:16">
      <c r="B141" s="9" t="str">
        <f t="shared" si="17"/>
        <v/>
      </c>
      <c r="C141" s="153">
        <f>IF(D93="","-",+C140+1)</f>
        <v>2049</v>
      </c>
      <c r="D141" s="154">
        <f>IF(F140+SUM(E$99:E140)=D$92,F140,D$92-SUM(E$99:E140))</f>
        <v>519523.52751410566</v>
      </c>
      <c r="E141" s="160">
        <f t="shared" si="18"/>
        <v>63296.476190476191</v>
      </c>
      <c r="F141" s="159">
        <f t="shared" si="19"/>
        <v>456227.05132362945</v>
      </c>
      <c r="G141" s="159">
        <f t="shared" si="20"/>
        <v>487875.28941886756</v>
      </c>
      <c r="H141" s="163">
        <f t="shared" si="21"/>
        <v>122559.39876418066</v>
      </c>
      <c r="I141" s="253">
        <f t="shared" si="22"/>
        <v>122559.39876418066</v>
      </c>
      <c r="J141" s="158">
        <f t="shared" si="23"/>
        <v>0</v>
      </c>
      <c r="K141" s="158"/>
      <c r="L141" s="334"/>
      <c r="M141" s="158">
        <f t="shared" si="24"/>
        <v>0</v>
      </c>
      <c r="N141" s="334"/>
      <c r="O141" s="158">
        <f t="shared" si="25"/>
        <v>0</v>
      </c>
      <c r="P141" s="158">
        <f t="shared" si="26"/>
        <v>0</v>
      </c>
    </row>
    <row r="142" spans="2:16">
      <c r="B142" s="9" t="str">
        <f t="shared" si="17"/>
        <v/>
      </c>
      <c r="C142" s="153">
        <f>IF(D93="","-",+C141+1)</f>
        <v>2050</v>
      </c>
      <c r="D142" s="154">
        <f>IF(F141+SUM(E$99:E141)=D$92,F141,D$92-SUM(E$99:E141))</f>
        <v>456227.05132362945</v>
      </c>
      <c r="E142" s="160">
        <f t="shared" si="18"/>
        <v>63296.476190476191</v>
      </c>
      <c r="F142" s="159">
        <f t="shared" si="19"/>
        <v>392930.57513315324</v>
      </c>
      <c r="G142" s="159">
        <f t="shared" si="20"/>
        <v>424578.81322839134</v>
      </c>
      <c r="H142" s="163">
        <f t="shared" si="21"/>
        <v>114870.68353506405</v>
      </c>
      <c r="I142" s="253">
        <f t="shared" si="22"/>
        <v>114870.68353506405</v>
      </c>
      <c r="J142" s="158">
        <f t="shared" si="23"/>
        <v>0</v>
      </c>
      <c r="K142" s="158"/>
      <c r="L142" s="334"/>
      <c r="M142" s="158">
        <f t="shared" si="24"/>
        <v>0</v>
      </c>
      <c r="N142" s="334"/>
      <c r="O142" s="158">
        <f t="shared" si="25"/>
        <v>0</v>
      </c>
      <c r="P142" s="158">
        <f t="shared" si="26"/>
        <v>0</v>
      </c>
    </row>
    <row r="143" spans="2:16">
      <c r="B143" s="9" t="str">
        <f t="shared" si="17"/>
        <v/>
      </c>
      <c r="C143" s="153">
        <f>IF(D93="","-",+C142+1)</f>
        <v>2051</v>
      </c>
      <c r="D143" s="154">
        <f>IF(F142+SUM(E$99:E142)=D$92,F142,D$92-SUM(E$99:E142))</f>
        <v>392930.57513315324</v>
      </c>
      <c r="E143" s="160">
        <f t="shared" si="18"/>
        <v>63296.476190476191</v>
      </c>
      <c r="F143" s="159">
        <f t="shared" si="19"/>
        <v>329634.09894267702</v>
      </c>
      <c r="G143" s="159">
        <f t="shared" si="20"/>
        <v>361282.33703791513</v>
      </c>
      <c r="H143" s="163">
        <f t="shared" si="21"/>
        <v>107181.96830594743</v>
      </c>
      <c r="I143" s="253">
        <f t="shared" si="22"/>
        <v>107181.96830594743</v>
      </c>
      <c r="J143" s="158">
        <f t="shared" si="23"/>
        <v>0</v>
      </c>
      <c r="K143" s="158"/>
      <c r="L143" s="334"/>
      <c r="M143" s="158">
        <f t="shared" si="24"/>
        <v>0</v>
      </c>
      <c r="N143" s="334"/>
      <c r="O143" s="158">
        <f t="shared" si="25"/>
        <v>0</v>
      </c>
      <c r="P143" s="158">
        <f t="shared" si="26"/>
        <v>0</v>
      </c>
    </row>
    <row r="144" spans="2:16">
      <c r="B144" s="9" t="str">
        <f t="shared" si="17"/>
        <v/>
      </c>
      <c r="C144" s="153">
        <f>IF(D93="","-",+C143+1)</f>
        <v>2052</v>
      </c>
      <c r="D144" s="154">
        <f>IF(F143+SUM(E$99:E143)=D$92,F143,D$92-SUM(E$99:E143))</f>
        <v>329634.09894267702</v>
      </c>
      <c r="E144" s="160">
        <f t="shared" si="18"/>
        <v>63296.476190476191</v>
      </c>
      <c r="F144" s="159">
        <f t="shared" si="19"/>
        <v>266337.62275220081</v>
      </c>
      <c r="G144" s="159">
        <f t="shared" si="20"/>
        <v>297985.86084743892</v>
      </c>
      <c r="H144" s="163">
        <f t="shared" si="21"/>
        <v>99493.253076830835</v>
      </c>
      <c r="I144" s="253">
        <f t="shared" si="22"/>
        <v>99493.253076830835</v>
      </c>
      <c r="J144" s="158">
        <f t="shared" si="23"/>
        <v>0</v>
      </c>
      <c r="K144" s="158"/>
      <c r="L144" s="334"/>
      <c r="M144" s="158">
        <f t="shared" si="24"/>
        <v>0</v>
      </c>
      <c r="N144" s="334"/>
      <c r="O144" s="158">
        <f t="shared" si="25"/>
        <v>0</v>
      </c>
      <c r="P144" s="158">
        <f t="shared" si="26"/>
        <v>0</v>
      </c>
    </row>
    <row r="145" spans="2:16">
      <c r="B145" s="9" t="str">
        <f t="shared" si="17"/>
        <v/>
      </c>
      <c r="C145" s="153">
        <f>IF(D93="","-",+C144+1)</f>
        <v>2053</v>
      </c>
      <c r="D145" s="154">
        <f>IF(F144+SUM(E$99:E144)=D$92,F144,D$92-SUM(E$99:E144))</f>
        <v>266337.62275220081</v>
      </c>
      <c r="E145" s="160">
        <f t="shared" si="18"/>
        <v>63296.476190476191</v>
      </c>
      <c r="F145" s="159">
        <f t="shared" si="19"/>
        <v>203041.14656172463</v>
      </c>
      <c r="G145" s="159">
        <f t="shared" si="20"/>
        <v>234689.38465696271</v>
      </c>
      <c r="H145" s="163">
        <f t="shared" si="21"/>
        <v>91804.537847714222</v>
      </c>
      <c r="I145" s="253">
        <f t="shared" si="22"/>
        <v>91804.537847714222</v>
      </c>
      <c r="J145" s="158">
        <f t="shared" si="23"/>
        <v>0</v>
      </c>
      <c r="K145" s="158"/>
      <c r="L145" s="334"/>
      <c r="M145" s="158">
        <f t="shared" si="24"/>
        <v>0</v>
      </c>
      <c r="N145" s="334"/>
      <c r="O145" s="158">
        <f t="shared" si="25"/>
        <v>0</v>
      </c>
      <c r="P145" s="158">
        <f t="shared" si="26"/>
        <v>0</v>
      </c>
    </row>
    <row r="146" spans="2:16">
      <c r="B146" s="9" t="str">
        <f t="shared" si="17"/>
        <v/>
      </c>
      <c r="C146" s="153">
        <f>IF(D93="","-",+C145+1)</f>
        <v>2054</v>
      </c>
      <c r="D146" s="154">
        <f>IF(F145+SUM(E$99:E145)=D$92,F145,D$92-SUM(E$99:E145))</f>
        <v>203041.14656172463</v>
      </c>
      <c r="E146" s="160">
        <f t="shared" si="18"/>
        <v>63296.476190476191</v>
      </c>
      <c r="F146" s="159">
        <f t="shared" si="19"/>
        <v>139744.67037124845</v>
      </c>
      <c r="G146" s="159">
        <f t="shared" si="20"/>
        <v>171392.90846648655</v>
      </c>
      <c r="H146" s="163">
        <f t="shared" si="21"/>
        <v>84115.822618597624</v>
      </c>
      <c r="I146" s="253">
        <f t="shared" si="22"/>
        <v>84115.822618597624</v>
      </c>
      <c r="J146" s="158">
        <f t="shared" si="23"/>
        <v>0</v>
      </c>
      <c r="K146" s="158"/>
      <c r="L146" s="334"/>
      <c r="M146" s="158">
        <f t="shared" si="24"/>
        <v>0</v>
      </c>
      <c r="N146" s="334"/>
      <c r="O146" s="158">
        <f t="shared" si="25"/>
        <v>0</v>
      </c>
      <c r="P146" s="158">
        <f t="shared" si="26"/>
        <v>0</v>
      </c>
    </row>
    <row r="147" spans="2:16">
      <c r="B147" s="9" t="str">
        <f t="shared" si="17"/>
        <v/>
      </c>
      <c r="C147" s="153">
        <f>IF(D93="","-",+C146+1)</f>
        <v>2055</v>
      </c>
      <c r="D147" s="154">
        <f>IF(F146+SUM(E$99:E146)=D$92,F146,D$92-SUM(E$99:E146))</f>
        <v>139744.67037124845</v>
      </c>
      <c r="E147" s="160">
        <f t="shared" si="18"/>
        <v>63296.476190476191</v>
      </c>
      <c r="F147" s="159">
        <f t="shared" si="19"/>
        <v>76448.194180772261</v>
      </c>
      <c r="G147" s="159">
        <f t="shared" si="20"/>
        <v>108096.43227601035</v>
      </c>
      <c r="H147" s="163">
        <f t="shared" si="21"/>
        <v>76427.107389481011</v>
      </c>
      <c r="I147" s="253">
        <f t="shared" si="22"/>
        <v>76427.107389481011</v>
      </c>
      <c r="J147" s="158">
        <f t="shared" si="23"/>
        <v>0</v>
      </c>
      <c r="K147" s="158"/>
      <c r="L147" s="334"/>
      <c r="M147" s="158">
        <f t="shared" si="24"/>
        <v>0</v>
      </c>
      <c r="N147" s="334"/>
      <c r="O147" s="158">
        <f t="shared" si="25"/>
        <v>0</v>
      </c>
      <c r="P147" s="158">
        <f t="shared" si="26"/>
        <v>0</v>
      </c>
    </row>
    <row r="148" spans="2:16">
      <c r="B148" s="9" t="str">
        <f t="shared" si="17"/>
        <v/>
      </c>
      <c r="C148" s="153">
        <f>IF(D93="","-",+C147+1)</f>
        <v>2056</v>
      </c>
      <c r="D148" s="154">
        <f>IF(F147+SUM(E$99:E147)=D$92,F147,D$92-SUM(E$99:E147))</f>
        <v>76448.194180772261</v>
      </c>
      <c r="E148" s="160">
        <f t="shared" si="18"/>
        <v>63296.476190476191</v>
      </c>
      <c r="F148" s="159">
        <f t="shared" si="19"/>
        <v>13151.717990296071</v>
      </c>
      <c r="G148" s="159">
        <f t="shared" si="20"/>
        <v>44799.95608553417</v>
      </c>
      <c r="H148" s="163">
        <f t="shared" si="21"/>
        <v>68738.392160364412</v>
      </c>
      <c r="I148" s="253">
        <f t="shared" si="22"/>
        <v>68738.392160364412</v>
      </c>
      <c r="J148" s="158">
        <f t="shared" si="23"/>
        <v>0</v>
      </c>
      <c r="K148" s="158"/>
      <c r="L148" s="334"/>
      <c r="M148" s="158">
        <f t="shared" si="24"/>
        <v>0</v>
      </c>
      <c r="N148" s="334"/>
      <c r="O148" s="158">
        <f t="shared" si="25"/>
        <v>0</v>
      </c>
      <c r="P148" s="158">
        <f t="shared" si="26"/>
        <v>0</v>
      </c>
    </row>
    <row r="149" spans="2:16">
      <c r="B149" s="9" t="str">
        <f t="shared" si="17"/>
        <v/>
      </c>
      <c r="C149" s="153">
        <f>IF(D93="","-",+C148+1)</f>
        <v>2057</v>
      </c>
      <c r="D149" s="154">
        <f>IF(F148+SUM(E$99:E148)=D$92,F148,D$92-SUM(E$99:E148))</f>
        <v>13151.717990296071</v>
      </c>
      <c r="E149" s="160">
        <f t="shared" si="18"/>
        <v>13151.717990296071</v>
      </c>
      <c r="F149" s="159">
        <f t="shared" si="19"/>
        <v>0</v>
      </c>
      <c r="G149" s="159">
        <f t="shared" si="20"/>
        <v>6575.8589951480353</v>
      </c>
      <c r="H149" s="163">
        <f t="shared" si="21"/>
        <v>13950.497167961028</v>
      </c>
      <c r="I149" s="253">
        <f t="shared" si="22"/>
        <v>13950.497167961028</v>
      </c>
      <c r="J149" s="158">
        <f t="shared" si="23"/>
        <v>0</v>
      </c>
      <c r="K149" s="158"/>
      <c r="L149" s="334"/>
      <c r="M149" s="158">
        <f t="shared" si="24"/>
        <v>0</v>
      </c>
      <c r="N149" s="334"/>
      <c r="O149" s="158">
        <f t="shared" si="25"/>
        <v>0</v>
      </c>
      <c r="P149" s="158">
        <f t="shared" si="26"/>
        <v>0</v>
      </c>
    </row>
    <row r="150" spans="2:16">
      <c r="B150" s="9" t="str">
        <f t="shared" si="17"/>
        <v/>
      </c>
      <c r="C150" s="153">
        <f>IF(D93="","-",+C149+1)</f>
        <v>2058</v>
      </c>
      <c r="D150" s="154">
        <f>IF(F149+SUM(E$99:E149)=D$92,F149,D$92-SUM(E$99:E149))</f>
        <v>0</v>
      </c>
      <c r="E150" s="160">
        <f t="shared" si="18"/>
        <v>0</v>
      </c>
      <c r="F150" s="159">
        <f t="shared" si="19"/>
        <v>0</v>
      </c>
      <c r="G150" s="159">
        <f t="shared" si="20"/>
        <v>0</v>
      </c>
      <c r="H150" s="163">
        <f t="shared" si="21"/>
        <v>0</v>
      </c>
      <c r="I150" s="253">
        <f t="shared" si="22"/>
        <v>0</v>
      </c>
      <c r="J150" s="158">
        <f t="shared" si="23"/>
        <v>0</v>
      </c>
      <c r="K150" s="158"/>
      <c r="L150" s="334"/>
      <c r="M150" s="158">
        <f t="shared" si="24"/>
        <v>0</v>
      </c>
      <c r="N150" s="334"/>
      <c r="O150" s="158">
        <f t="shared" si="25"/>
        <v>0</v>
      </c>
      <c r="P150" s="158">
        <f t="shared" si="26"/>
        <v>0</v>
      </c>
    </row>
    <row r="151" spans="2:16">
      <c r="B151" s="9" t="str">
        <f t="shared" si="17"/>
        <v/>
      </c>
      <c r="C151" s="153">
        <f>IF(D93="","-",+C150+1)</f>
        <v>2059</v>
      </c>
      <c r="D151" s="154">
        <f>IF(F150+SUM(E$99:E150)=D$92,F150,D$92-SUM(E$99:E150))</f>
        <v>0</v>
      </c>
      <c r="E151" s="160">
        <f t="shared" si="18"/>
        <v>0</v>
      </c>
      <c r="F151" s="159">
        <f t="shared" si="19"/>
        <v>0</v>
      </c>
      <c r="G151" s="159">
        <f t="shared" si="20"/>
        <v>0</v>
      </c>
      <c r="H151" s="163">
        <f t="shared" si="21"/>
        <v>0</v>
      </c>
      <c r="I151" s="253">
        <f t="shared" si="22"/>
        <v>0</v>
      </c>
      <c r="J151" s="158">
        <f t="shared" si="23"/>
        <v>0</v>
      </c>
      <c r="K151" s="158"/>
      <c r="L151" s="334"/>
      <c r="M151" s="158">
        <f t="shared" si="24"/>
        <v>0</v>
      </c>
      <c r="N151" s="334"/>
      <c r="O151" s="158">
        <f t="shared" si="25"/>
        <v>0</v>
      </c>
      <c r="P151" s="158">
        <f t="shared" si="26"/>
        <v>0</v>
      </c>
    </row>
    <row r="152" spans="2:16">
      <c r="B152" s="9" t="str">
        <f t="shared" si="17"/>
        <v/>
      </c>
      <c r="C152" s="153">
        <f>IF(D93="","-",+C151+1)</f>
        <v>2060</v>
      </c>
      <c r="D152" s="154">
        <f>IF(F151+SUM(E$99:E151)=D$92,F151,D$92-SUM(E$99:E151))</f>
        <v>0</v>
      </c>
      <c r="E152" s="160">
        <f t="shared" si="18"/>
        <v>0</v>
      </c>
      <c r="F152" s="159">
        <f t="shared" si="19"/>
        <v>0</v>
      </c>
      <c r="G152" s="159">
        <f t="shared" si="20"/>
        <v>0</v>
      </c>
      <c r="H152" s="163">
        <f t="shared" si="21"/>
        <v>0</v>
      </c>
      <c r="I152" s="253">
        <f t="shared" si="22"/>
        <v>0</v>
      </c>
      <c r="J152" s="158">
        <f t="shared" si="23"/>
        <v>0</v>
      </c>
      <c r="K152" s="158"/>
      <c r="L152" s="334"/>
      <c r="M152" s="158">
        <f t="shared" si="24"/>
        <v>0</v>
      </c>
      <c r="N152" s="334"/>
      <c r="O152" s="158">
        <f t="shared" si="25"/>
        <v>0</v>
      </c>
      <c r="P152" s="158">
        <f t="shared" si="26"/>
        <v>0</v>
      </c>
    </row>
    <row r="153" spans="2:16">
      <c r="B153" s="9" t="str">
        <f t="shared" si="17"/>
        <v/>
      </c>
      <c r="C153" s="153">
        <f>IF(D93="","-",+C152+1)</f>
        <v>2061</v>
      </c>
      <c r="D153" s="154">
        <f>IF(F152+SUM(E$99:E152)=D$92,F152,D$92-SUM(E$99:E152))</f>
        <v>0</v>
      </c>
      <c r="E153" s="160">
        <f t="shared" si="18"/>
        <v>0</v>
      </c>
      <c r="F153" s="159">
        <f t="shared" si="19"/>
        <v>0</v>
      </c>
      <c r="G153" s="159">
        <f t="shared" si="20"/>
        <v>0</v>
      </c>
      <c r="H153" s="163">
        <f t="shared" si="21"/>
        <v>0</v>
      </c>
      <c r="I153" s="253">
        <f t="shared" si="22"/>
        <v>0</v>
      </c>
      <c r="J153" s="158">
        <f t="shared" si="23"/>
        <v>0</v>
      </c>
      <c r="K153" s="158"/>
      <c r="L153" s="334"/>
      <c r="M153" s="158">
        <f t="shared" si="24"/>
        <v>0</v>
      </c>
      <c r="N153" s="334"/>
      <c r="O153" s="158">
        <f t="shared" si="25"/>
        <v>0</v>
      </c>
      <c r="P153" s="158">
        <f t="shared" si="26"/>
        <v>0</v>
      </c>
    </row>
    <row r="154" spans="2:16" ht="13.5" thickBot="1">
      <c r="B154" s="9" t="str">
        <f t="shared" si="17"/>
        <v/>
      </c>
      <c r="C154" s="164">
        <f>IF(D93="","-",+C153+1)</f>
        <v>2062</v>
      </c>
      <c r="D154" s="154">
        <f>IF(F153+SUM(E$99:E153)=D$92,F153,D$92-SUM(E$99:E153))</f>
        <v>0</v>
      </c>
      <c r="E154" s="160">
        <f t="shared" si="18"/>
        <v>0</v>
      </c>
      <c r="F154" s="159">
        <f t="shared" si="19"/>
        <v>0</v>
      </c>
      <c r="G154" s="159">
        <f t="shared" si="20"/>
        <v>0</v>
      </c>
      <c r="H154" s="163">
        <f t="shared" si="21"/>
        <v>0</v>
      </c>
      <c r="I154" s="253">
        <f t="shared" si="22"/>
        <v>0</v>
      </c>
      <c r="J154" s="158">
        <f t="shared" si="23"/>
        <v>0</v>
      </c>
      <c r="K154" s="158"/>
      <c r="L154" s="335"/>
      <c r="M154" s="169">
        <f t="shared" si="24"/>
        <v>0</v>
      </c>
      <c r="N154" s="335"/>
      <c r="O154" s="169">
        <f t="shared" si="25"/>
        <v>0</v>
      </c>
      <c r="P154" s="169">
        <f t="shared" si="26"/>
        <v>0</v>
      </c>
    </row>
    <row r="155" spans="2:16">
      <c r="C155" s="154" t="s">
        <v>73</v>
      </c>
      <c r="D155" s="111"/>
      <c r="E155" s="111">
        <f>SUM(E99:E154)</f>
        <v>2658451.9999999995</v>
      </c>
      <c r="F155" s="111"/>
      <c r="G155" s="111"/>
      <c r="H155" s="111">
        <f>SUM(H99:H154)</f>
        <v>9483400.2674561348</v>
      </c>
      <c r="I155" s="111">
        <f>SUM(I99:I154)</f>
        <v>9483400.2674561348</v>
      </c>
      <c r="J155" s="111">
        <f>SUM(J99:J154)</f>
        <v>0</v>
      </c>
      <c r="K155" s="111"/>
      <c r="L155" s="111"/>
      <c r="M155" s="111"/>
      <c r="N155" s="111"/>
      <c r="O155" s="111"/>
      <c r="P155" s="1"/>
    </row>
    <row r="156" spans="2:16">
      <c r="C156" t="s">
        <v>87</v>
      </c>
      <c r="D156" s="2"/>
      <c r="E156" s="1"/>
      <c r="F156" s="1"/>
      <c r="G156" s="1"/>
      <c r="H156" s="1"/>
      <c r="I156" s="3"/>
      <c r="J156" s="3"/>
      <c r="K156" s="111"/>
      <c r="L156" s="3"/>
      <c r="M156" s="3"/>
      <c r="N156" s="3"/>
      <c r="O156" s="3"/>
      <c r="P156" s="1"/>
    </row>
    <row r="157" spans="2:16">
      <c r="C157" s="216"/>
      <c r="D157" s="2"/>
      <c r="E157" s="1"/>
      <c r="F157" s="1"/>
      <c r="G157" s="1"/>
      <c r="H157" s="1"/>
      <c r="I157" s="3"/>
      <c r="J157" s="3"/>
      <c r="K157" s="111"/>
      <c r="L157" s="3"/>
      <c r="M157" s="3"/>
      <c r="N157" s="3"/>
      <c r="O157" s="3"/>
      <c r="P157" s="1"/>
    </row>
    <row r="158" spans="2:16">
      <c r="C158" s="248" t="s">
        <v>127</v>
      </c>
      <c r="D158" s="2"/>
      <c r="E158" s="1"/>
      <c r="F158" s="1"/>
      <c r="G158" s="1"/>
      <c r="H158" s="1"/>
      <c r="I158" s="3"/>
      <c r="J158" s="3"/>
      <c r="K158" s="111"/>
      <c r="L158" s="3"/>
      <c r="M158" s="3"/>
      <c r="N158" s="3"/>
      <c r="O158" s="3"/>
      <c r="P158" s="1"/>
    </row>
    <row r="159" spans="2:16">
      <c r="C159" s="121" t="s">
        <v>74</v>
      </c>
      <c r="D159" s="154"/>
      <c r="E159" s="154"/>
      <c r="F159" s="154"/>
      <c r="G159" s="154"/>
      <c r="H159" s="111"/>
      <c r="I159" s="111"/>
      <c r="J159" s="171"/>
      <c r="K159" s="171"/>
      <c r="L159" s="171"/>
      <c r="M159" s="171"/>
      <c r="N159" s="171"/>
      <c r="O159" s="171"/>
      <c r="P159" s="1"/>
    </row>
    <row r="160" spans="2:16">
      <c r="C160" s="217" t="s">
        <v>75</v>
      </c>
      <c r="D160" s="154"/>
      <c r="E160" s="154"/>
      <c r="F160" s="154"/>
      <c r="G160" s="154"/>
      <c r="H160" s="111"/>
      <c r="I160" s="111"/>
      <c r="J160" s="171"/>
      <c r="K160" s="171"/>
      <c r="L160" s="171"/>
      <c r="M160" s="171"/>
      <c r="N160" s="171"/>
      <c r="O160" s="171"/>
      <c r="P160" s="1"/>
    </row>
    <row r="161" spans="3:16">
      <c r="C161" s="217"/>
      <c r="D161" s="154"/>
      <c r="E161" s="154"/>
      <c r="F161" s="154"/>
      <c r="G161" s="154"/>
      <c r="H161" s="111"/>
      <c r="I161" s="111"/>
      <c r="J161" s="171"/>
      <c r="K161" s="171"/>
      <c r="L161" s="171"/>
      <c r="M161" s="171"/>
      <c r="N161" s="171"/>
      <c r="O161" s="171"/>
      <c r="P161" s="1"/>
    </row>
    <row r="162" spans="3:16" ht="18">
      <c r="C162" s="217"/>
      <c r="D162" s="154"/>
      <c r="E162" s="154"/>
      <c r="F162" s="154"/>
      <c r="G162" s="154"/>
      <c r="H162" s="111"/>
      <c r="I162" s="111"/>
      <c r="J162" s="171"/>
      <c r="K162" s="171"/>
      <c r="L162" s="171"/>
      <c r="M162" s="171"/>
      <c r="N162" s="171"/>
      <c r="P162" s="245" t="s">
        <v>126</v>
      </c>
    </row>
  </sheetData>
  <conditionalFormatting sqref="C17:C72">
    <cfRule type="cellIs" dxfId="74" priority="1" stopIfTrue="1" operator="equal">
      <formula>$I$10</formula>
    </cfRule>
  </conditionalFormatting>
  <conditionalFormatting sqref="C99:C154">
    <cfRule type="cellIs" dxfId="73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5">
    <tabColor theme="9" tint="-0.249977111117893"/>
  </sheetPr>
  <dimension ref="A1:P162"/>
  <sheetViews>
    <sheetView view="pageBreakPreview" zoomScale="82" zoomScaleNormal="100" zoomScaleSheetLayoutView="82" workbookViewId="0">
      <selection activeCell="C19" sqref="C19"/>
    </sheetView>
  </sheetViews>
  <sheetFormatPr defaultRowHeight="12.75" customHeight="1"/>
  <cols>
    <col min="1" max="1" width="4.7109375" customWidth="1"/>
    <col min="2" max="2" width="6.7109375" customWidth="1"/>
    <col min="3" max="3" width="23.28515625" customWidth="1"/>
    <col min="4" max="8" width="17.7109375" customWidth="1"/>
    <col min="9" max="9" width="20.42578125" customWidth="1"/>
    <col min="10" max="10" width="16.42578125" customWidth="1"/>
    <col min="11" max="11" width="17.7109375" customWidth="1"/>
    <col min="12" max="12" width="16.140625" customWidth="1"/>
    <col min="13" max="13" width="17.7109375" customWidth="1"/>
    <col min="14" max="14" width="16.7109375" customWidth="1"/>
    <col min="15" max="15" width="16.85546875" customWidth="1"/>
    <col min="16" max="16" width="24.42578125" customWidth="1"/>
    <col min="17" max="17" width="9.140625" customWidth="1"/>
    <col min="23" max="23" width="9.140625" customWidth="1"/>
  </cols>
  <sheetData>
    <row r="1" spans="1:16" ht="20.25">
      <c r="A1" s="243" t="s">
        <v>128</v>
      </c>
      <c r="B1" s="1"/>
      <c r="C1" s="21"/>
      <c r="D1" s="2"/>
      <c r="E1" s="1"/>
      <c r="F1" s="99"/>
      <c r="G1" s="1"/>
      <c r="H1" s="3"/>
      <c r="J1" s="7"/>
      <c r="K1" s="109"/>
      <c r="L1" s="109"/>
      <c r="M1" s="109"/>
      <c r="P1" s="249" t="str">
        <f ca="1">"SWEPCO Project "&amp;RIGHT(MID(CELL("filename",$A$1),FIND("]",CELL("filename",$A$1))+1,256),2)&amp;" of "&amp;COUNT('S.001:S.xyz - blank'!$P$3)-1</f>
        <v>SWEPCO Project 46 of 73</v>
      </c>
    </row>
    <row r="2" spans="1:16" ht="18">
      <c r="B2" s="1"/>
      <c r="C2" s="1"/>
      <c r="D2" s="2"/>
      <c r="E2" s="1"/>
      <c r="F2" s="1"/>
      <c r="G2" s="1"/>
      <c r="H2" s="3"/>
      <c r="I2" s="1"/>
      <c r="J2" s="4"/>
      <c r="K2" s="1"/>
      <c r="L2" s="1"/>
      <c r="M2" s="1"/>
      <c r="N2" s="1"/>
      <c r="P2" s="244" t="s">
        <v>124</v>
      </c>
    </row>
    <row r="3" spans="1:16" ht="18.75">
      <c r="B3" s="5" t="s">
        <v>40</v>
      </c>
      <c r="C3" s="68" t="s">
        <v>41</v>
      </c>
      <c r="D3" s="2"/>
      <c r="E3" s="1"/>
      <c r="F3" s="1"/>
      <c r="G3" s="1"/>
      <c r="H3" s="3"/>
      <c r="I3" s="3"/>
      <c r="J3" s="111"/>
      <c r="K3" s="3"/>
      <c r="L3" s="3"/>
      <c r="M3" s="3"/>
      <c r="N3" s="3"/>
      <c r="O3" s="1"/>
      <c r="P3" s="240">
        <v>1</v>
      </c>
    </row>
    <row r="4" spans="1:16" ht="15.75" thickBot="1">
      <c r="C4" s="67"/>
      <c r="D4" s="2"/>
      <c r="E4" s="1"/>
      <c r="F4" s="1"/>
      <c r="G4" s="1"/>
      <c r="H4" s="3"/>
      <c r="I4" s="3"/>
      <c r="J4" s="111"/>
      <c r="K4" s="3"/>
      <c r="L4" s="3"/>
      <c r="M4" s="3"/>
      <c r="N4" s="3"/>
      <c r="O4" s="1"/>
      <c r="P4" s="1"/>
    </row>
    <row r="5" spans="1:16" ht="15">
      <c r="C5" s="112" t="s">
        <v>42</v>
      </c>
      <c r="D5" s="2"/>
      <c r="E5" s="1"/>
      <c r="F5" s="1"/>
      <c r="G5" s="113"/>
      <c r="H5" s="1" t="s">
        <v>43</v>
      </c>
      <c r="I5" s="1"/>
      <c r="J5" s="4"/>
      <c r="K5" s="268" t="s">
        <v>152</v>
      </c>
      <c r="L5" s="114"/>
      <c r="M5" s="115"/>
      <c r="N5" s="116">
        <f>VLOOKUP(I10,C17:I72,5)</f>
        <v>1575824.6681806555</v>
      </c>
      <c r="P5" s="1"/>
    </row>
    <row r="6" spans="1:16" ht="15.75">
      <c r="C6" s="8"/>
      <c r="D6" s="2"/>
      <c r="E6" s="1"/>
      <c r="F6" s="1"/>
      <c r="G6" s="1"/>
      <c r="H6" s="117"/>
      <c r="I6" s="117"/>
      <c r="J6" s="118"/>
      <c r="K6" s="269" t="s">
        <v>153</v>
      </c>
      <c r="L6" s="119"/>
      <c r="M6" s="4"/>
      <c r="N6" s="120">
        <f>VLOOKUP(I10,C17:I72,6)</f>
        <v>1575824.6681806555</v>
      </c>
      <c r="O6" s="1"/>
      <c r="P6" s="1"/>
    </row>
    <row r="7" spans="1:16" ht="13.5" thickBot="1">
      <c r="C7" s="121" t="s">
        <v>44</v>
      </c>
      <c r="D7" s="386" t="s">
        <v>322</v>
      </c>
      <c r="E7" s="379"/>
      <c r="F7" s="379"/>
      <c r="G7" s="379"/>
      <c r="H7" s="383"/>
      <c r="I7" s="3"/>
      <c r="J7" s="111"/>
      <c r="K7" s="122" t="s">
        <v>45</v>
      </c>
      <c r="L7" s="123"/>
      <c r="M7" s="123"/>
      <c r="N7" s="124">
        <f>+N6-N5</f>
        <v>0</v>
      </c>
      <c r="O7" s="1"/>
      <c r="P7" s="1"/>
    </row>
    <row r="8" spans="1:16" ht="13.5" thickBot="1">
      <c r="C8" s="125"/>
      <c r="D8" s="418" t="s">
        <v>344</v>
      </c>
      <c r="E8" s="126"/>
      <c r="F8" s="126"/>
      <c r="G8" s="126"/>
      <c r="H8" s="126"/>
      <c r="I8" s="126"/>
      <c r="J8" s="101"/>
      <c r="K8" s="126"/>
      <c r="L8" s="126"/>
      <c r="M8" s="126"/>
      <c r="N8" s="126"/>
      <c r="O8" s="101"/>
      <c r="P8" s="21"/>
    </row>
    <row r="9" spans="1:16" ht="13.5" thickBot="1">
      <c r="C9" s="127" t="s">
        <v>46</v>
      </c>
      <c r="D9" s="225" t="s">
        <v>321</v>
      </c>
      <c r="E9" s="401" t="s">
        <v>433</v>
      </c>
      <c r="F9" s="128"/>
      <c r="G9" s="128"/>
      <c r="H9" s="128"/>
      <c r="I9" s="129"/>
      <c r="J9" s="130"/>
      <c r="O9" s="131"/>
      <c r="P9" s="4"/>
    </row>
    <row r="10" spans="1:16">
      <c r="C10" s="132" t="s">
        <v>47</v>
      </c>
      <c r="D10" s="133">
        <v>16318844</v>
      </c>
      <c r="E10" s="61" t="s">
        <v>459</v>
      </c>
      <c r="F10" s="131"/>
      <c r="G10" s="134"/>
      <c r="H10" s="134"/>
      <c r="I10" s="135">
        <f>+SWE.WS.F.BPU.ATRR.Projected!K17</f>
        <v>2019</v>
      </c>
      <c r="J10" s="130"/>
      <c r="K10" s="111" t="s">
        <v>48</v>
      </c>
      <c r="O10" s="4"/>
      <c r="P10" s="4"/>
    </row>
    <row r="11" spans="1:16">
      <c r="C11" s="136" t="s">
        <v>49</v>
      </c>
      <c r="D11" s="137">
        <v>2008</v>
      </c>
      <c r="E11" s="136" t="s">
        <v>50</v>
      </c>
      <c r="F11" s="134"/>
      <c r="G11" s="7"/>
      <c r="H11" s="7"/>
      <c r="I11" s="138">
        <f>IF(G5="",0,SWE.WS.F.BPU.ATRR.Projected!F$11)</f>
        <v>0</v>
      </c>
      <c r="J11" s="139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4"/>
      <c r="P11" s="4"/>
    </row>
    <row r="12" spans="1:16">
      <c r="C12" s="136" t="s">
        <v>51</v>
      </c>
      <c r="D12" s="133">
        <v>5</v>
      </c>
      <c r="E12" s="136" t="s">
        <v>52</v>
      </c>
      <c r="F12" s="134"/>
      <c r="G12" s="7"/>
      <c r="H12" s="7"/>
      <c r="I12" s="140">
        <f>SWE.WS.F.BPU.ATRR.Projected!$F$76</f>
        <v>9.9555672459071778E-2</v>
      </c>
      <c r="J12" s="141"/>
      <c r="K12" t="s">
        <v>53</v>
      </c>
      <c r="O12" s="4"/>
      <c r="P12" s="4"/>
    </row>
    <row r="13" spans="1:16">
      <c r="C13" s="136" t="s">
        <v>54</v>
      </c>
      <c r="D13" s="138">
        <f>+SWE.WS.F.BPU.ATRR.Projected!F$87</f>
        <v>43</v>
      </c>
      <c r="E13" s="136" t="s">
        <v>55</v>
      </c>
      <c r="F13" s="134"/>
      <c r="G13" s="7"/>
      <c r="H13" s="7"/>
      <c r="I13" s="140">
        <f>IF(G5="",I12,SWE.WS.F.BPU.ATRR.Projected!$F$75)</f>
        <v>9.9555672459071778E-2</v>
      </c>
      <c r="J13" s="141"/>
      <c r="K13" s="111" t="s">
        <v>56</v>
      </c>
      <c r="L13" s="58"/>
      <c r="M13" s="58"/>
      <c r="N13" s="58"/>
      <c r="O13" s="4"/>
      <c r="P13" s="4"/>
    </row>
    <row r="14" spans="1:16" ht="13.5" thickBot="1">
      <c r="C14" s="136" t="s">
        <v>57</v>
      </c>
      <c r="D14" s="137" t="s">
        <v>58</v>
      </c>
      <c r="E14" s="4" t="s">
        <v>59</v>
      </c>
      <c r="F14" s="134"/>
      <c r="G14" s="7"/>
      <c r="H14" s="7"/>
      <c r="I14" s="142">
        <f>IF(D10=0,0,D10/D13)</f>
        <v>379508</v>
      </c>
      <c r="J14" s="111"/>
      <c r="K14" s="111"/>
      <c r="L14" s="111"/>
      <c r="M14" s="111"/>
      <c r="N14" s="111"/>
      <c r="O14" s="4"/>
      <c r="P14" s="4"/>
    </row>
    <row r="15" spans="1:16" ht="38.25">
      <c r="C15" s="143" t="s">
        <v>47</v>
      </c>
      <c r="D15" s="144" t="s">
        <v>60</v>
      </c>
      <c r="E15" s="144" t="s">
        <v>61</v>
      </c>
      <c r="F15" s="144" t="s">
        <v>62</v>
      </c>
      <c r="G15" s="434" t="s">
        <v>378</v>
      </c>
      <c r="H15" s="435" t="s">
        <v>379</v>
      </c>
      <c r="I15" s="143" t="s">
        <v>63</v>
      </c>
      <c r="J15" s="145"/>
      <c r="K15" s="271" t="s">
        <v>219</v>
      </c>
      <c r="L15" s="146" t="s">
        <v>64</v>
      </c>
      <c r="M15" s="271" t="s">
        <v>219</v>
      </c>
      <c r="N15" s="146" t="s">
        <v>64</v>
      </c>
      <c r="O15" s="146" t="s">
        <v>65</v>
      </c>
      <c r="P15" s="4"/>
    </row>
    <row r="16" spans="1:16" ht="13.5" thickBot="1">
      <c r="C16" s="147" t="s">
        <v>66</v>
      </c>
      <c r="D16" s="147" t="s">
        <v>67</v>
      </c>
      <c r="E16" s="147" t="s">
        <v>68</v>
      </c>
      <c r="F16" s="147" t="s">
        <v>67</v>
      </c>
      <c r="G16" s="408" t="s">
        <v>69</v>
      </c>
      <c r="H16" s="148" t="s">
        <v>70</v>
      </c>
      <c r="I16" s="149" t="s">
        <v>89</v>
      </c>
      <c r="J16" s="150" t="s">
        <v>71</v>
      </c>
      <c r="K16" s="151" t="s">
        <v>72</v>
      </c>
      <c r="L16" s="151" t="s">
        <v>72</v>
      </c>
      <c r="M16" s="151" t="s">
        <v>90</v>
      </c>
      <c r="N16" s="152" t="s">
        <v>90</v>
      </c>
      <c r="O16" s="151" t="s">
        <v>90</v>
      </c>
      <c r="P16" s="4"/>
    </row>
    <row r="17" spans="2:16">
      <c r="C17" s="153">
        <f>IF(D11= "","-",D11)</f>
        <v>2008</v>
      </c>
      <c r="D17" s="409">
        <v>16318844</v>
      </c>
      <c r="E17" s="415">
        <v>226650.61111111109</v>
      </c>
      <c r="F17" s="409">
        <v>16092193.388888888</v>
      </c>
      <c r="G17" s="415">
        <v>2397656.6000633142</v>
      </c>
      <c r="H17" s="416">
        <v>2397656.6000633142</v>
      </c>
      <c r="I17" s="156">
        <v>0</v>
      </c>
      <c r="J17" s="156"/>
      <c r="K17" s="256">
        <f t="shared" ref="K17:K23" si="0">G17</f>
        <v>2397656.6000633142</v>
      </c>
      <c r="L17" s="172">
        <f t="shared" ref="L17:L23" si="1">IF(K17&lt;&gt;0,+G17-K17,0)</f>
        <v>0</v>
      </c>
      <c r="M17" s="256">
        <f t="shared" ref="M17:M23" si="2">H17</f>
        <v>2397656.6000633142</v>
      </c>
      <c r="N17" s="157">
        <f t="shared" ref="N17:N23" si="3">IF(M17&lt;&gt;0,+H17-M17,0)</f>
        <v>0</v>
      </c>
      <c r="O17" s="158">
        <f t="shared" ref="O17:O23" si="4">+N17-L17</f>
        <v>0</v>
      </c>
      <c r="P17" s="4"/>
    </row>
    <row r="18" spans="2:16">
      <c r="B18" s="9" t="str">
        <f>IF(D18=F17,"","IU")</f>
        <v/>
      </c>
      <c r="C18" s="153">
        <f>IF(D11="","-",+C17+1)</f>
        <v>2009</v>
      </c>
      <c r="D18" s="411">
        <v>16092193.388888888</v>
      </c>
      <c r="E18" s="410">
        <v>388543.90476190473</v>
      </c>
      <c r="F18" s="411">
        <v>15703649.484126983</v>
      </c>
      <c r="G18" s="410">
        <v>2507131.2380452421</v>
      </c>
      <c r="H18" s="416">
        <v>2507131.2380452421</v>
      </c>
      <c r="I18" s="156">
        <v>0</v>
      </c>
      <c r="J18" s="156"/>
      <c r="K18" s="258">
        <f t="shared" si="0"/>
        <v>2507131.2380452421</v>
      </c>
      <c r="L18" s="257">
        <f t="shared" si="1"/>
        <v>0</v>
      </c>
      <c r="M18" s="258">
        <f t="shared" si="2"/>
        <v>2507131.2380452421</v>
      </c>
      <c r="N18" s="158">
        <f t="shared" si="3"/>
        <v>0</v>
      </c>
      <c r="O18" s="158">
        <f t="shared" si="4"/>
        <v>0</v>
      </c>
      <c r="P18" s="4"/>
    </row>
    <row r="19" spans="2:16">
      <c r="B19" s="9" t="str">
        <f>IF(D19=F18,"","IU")</f>
        <v/>
      </c>
      <c r="C19" s="153">
        <f>IF(D11="","-",+C18+1)</f>
        <v>2010</v>
      </c>
      <c r="D19" s="411">
        <v>15703649.484126983</v>
      </c>
      <c r="E19" s="410">
        <v>388543.90476190473</v>
      </c>
      <c r="F19" s="411">
        <v>15315105.579365078</v>
      </c>
      <c r="G19" s="410">
        <v>2454712.5823763758</v>
      </c>
      <c r="H19" s="416">
        <v>2454712.5823763758</v>
      </c>
      <c r="I19" s="156">
        <v>0</v>
      </c>
      <c r="J19" s="156"/>
      <c r="K19" s="258">
        <f t="shared" si="0"/>
        <v>2454712.5823763758</v>
      </c>
      <c r="L19" s="257">
        <f t="shared" si="1"/>
        <v>0</v>
      </c>
      <c r="M19" s="258">
        <f t="shared" si="2"/>
        <v>2454712.5823763758</v>
      </c>
      <c r="N19" s="158">
        <f t="shared" si="3"/>
        <v>0</v>
      </c>
      <c r="O19" s="158">
        <f t="shared" si="4"/>
        <v>0</v>
      </c>
      <c r="P19" s="4"/>
    </row>
    <row r="20" spans="2:16">
      <c r="B20" s="9" t="str">
        <f t="shared" ref="B20:B72" si="5">IF(D20=F19,"","IU")</f>
        <v/>
      </c>
      <c r="C20" s="153">
        <f>IF(D11="","-",+C19+1)</f>
        <v>2011</v>
      </c>
      <c r="D20" s="411">
        <v>15315105.579365078</v>
      </c>
      <c r="E20" s="410">
        <v>388543.90476190473</v>
      </c>
      <c r="F20" s="411">
        <v>14926561.674603174</v>
      </c>
      <c r="G20" s="410">
        <v>2402293.9267075099</v>
      </c>
      <c r="H20" s="416">
        <v>2402293.9267075099</v>
      </c>
      <c r="I20" s="156">
        <v>0</v>
      </c>
      <c r="J20" s="156"/>
      <c r="K20" s="258">
        <f t="shared" si="0"/>
        <v>2402293.9267075099</v>
      </c>
      <c r="L20" s="257">
        <f t="shared" si="1"/>
        <v>0</v>
      </c>
      <c r="M20" s="258">
        <f t="shared" si="2"/>
        <v>2402293.9267075099</v>
      </c>
      <c r="N20" s="158">
        <f t="shared" si="3"/>
        <v>0</v>
      </c>
      <c r="O20" s="158">
        <f t="shared" si="4"/>
        <v>0</v>
      </c>
      <c r="P20" s="4"/>
    </row>
    <row r="21" spans="2:16">
      <c r="B21" s="9" t="str">
        <f t="shared" si="5"/>
        <v/>
      </c>
      <c r="C21" s="153">
        <f>IF(D11="","-",+C20+1)</f>
        <v>2012</v>
      </c>
      <c r="D21" s="411">
        <v>14926561.674603174</v>
      </c>
      <c r="E21" s="410">
        <v>388543.90476190473</v>
      </c>
      <c r="F21" s="411">
        <v>14538017.769841269</v>
      </c>
      <c r="G21" s="410">
        <v>2349875.2710386436</v>
      </c>
      <c r="H21" s="416">
        <v>2349875.2710386436</v>
      </c>
      <c r="I21" s="156">
        <v>0</v>
      </c>
      <c r="J21" s="156"/>
      <c r="K21" s="258">
        <f t="shared" si="0"/>
        <v>2349875.2710386436</v>
      </c>
      <c r="L21" s="257">
        <f t="shared" si="1"/>
        <v>0</v>
      </c>
      <c r="M21" s="258">
        <f t="shared" si="2"/>
        <v>2349875.2710386436</v>
      </c>
      <c r="N21" s="158">
        <f t="shared" si="3"/>
        <v>0</v>
      </c>
      <c r="O21" s="158">
        <f t="shared" si="4"/>
        <v>0</v>
      </c>
      <c r="P21" s="4"/>
    </row>
    <row r="22" spans="2:16">
      <c r="B22" s="9" t="str">
        <f t="shared" si="5"/>
        <v/>
      </c>
      <c r="C22" s="153">
        <f>IF(D11="","-",+C21+1)</f>
        <v>2013</v>
      </c>
      <c r="D22" s="411">
        <v>14538017.769841269</v>
      </c>
      <c r="E22" s="410">
        <v>388543.90476190473</v>
      </c>
      <c r="F22" s="411">
        <v>14149473.865079364</v>
      </c>
      <c r="G22" s="410">
        <v>2297456.6153697777</v>
      </c>
      <c r="H22" s="416">
        <v>2297456.6153697777</v>
      </c>
      <c r="I22" s="156">
        <v>0</v>
      </c>
      <c r="J22" s="156"/>
      <c r="K22" s="258">
        <f t="shared" si="0"/>
        <v>2297456.6153697777</v>
      </c>
      <c r="L22" s="257">
        <f t="shared" si="1"/>
        <v>0</v>
      </c>
      <c r="M22" s="258">
        <f t="shared" si="2"/>
        <v>2297456.6153697777</v>
      </c>
      <c r="N22" s="158">
        <f t="shared" si="3"/>
        <v>0</v>
      </c>
      <c r="O22" s="158">
        <f t="shared" si="4"/>
        <v>0</v>
      </c>
      <c r="P22" s="4"/>
    </row>
    <row r="23" spans="2:16">
      <c r="B23" s="9" t="str">
        <f t="shared" si="5"/>
        <v/>
      </c>
      <c r="C23" s="153">
        <f>IF(D11="","-",+C22+1)</f>
        <v>2014</v>
      </c>
      <c r="D23" s="411">
        <v>14149473.865079364</v>
      </c>
      <c r="E23" s="410">
        <v>388543.90476190473</v>
      </c>
      <c r="F23" s="411">
        <v>13760929.960317459</v>
      </c>
      <c r="G23" s="410">
        <v>2245037.9597009113</v>
      </c>
      <c r="H23" s="416">
        <v>2245037.9597009113</v>
      </c>
      <c r="I23" s="156">
        <v>0</v>
      </c>
      <c r="J23" s="156"/>
      <c r="K23" s="258">
        <f t="shared" si="0"/>
        <v>2245037.9597009113</v>
      </c>
      <c r="L23" s="257">
        <f t="shared" si="1"/>
        <v>0</v>
      </c>
      <c r="M23" s="258">
        <f t="shared" si="2"/>
        <v>2245037.9597009113</v>
      </c>
      <c r="N23" s="158">
        <f t="shared" si="3"/>
        <v>0</v>
      </c>
      <c r="O23" s="158">
        <f t="shared" si="4"/>
        <v>0</v>
      </c>
      <c r="P23" s="4"/>
    </row>
    <row r="24" spans="2:16">
      <c r="B24" s="9" t="str">
        <f t="shared" si="5"/>
        <v/>
      </c>
      <c r="C24" s="153">
        <f>IF(D11="","-",+C23+1)</f>
        <v>2015</v>
      </c>
      <c r="D24" s="411">
        <v>13760929.960317459</v>
      </c>
      <c r="E24" s="410">
        <v>388543.90476190473</v>
      </c>
      <c r="F24" s="411">
        <v>13372386.055555554</v>
      </c>
      <c r="G24" s="410">
        <v>2149751.3487712028</v>
      </c>
      <c r="H24" s="416">
        <v>2149751.3487712028</v>
      </c>
      <c r="I24" s="156">
        <v>0</v>
      </c>
      <c r="J24" s="156"/>
      <c r="K24" s="258">
        <f>G24</f>
        <v>2149751.3487712028</v>
      </c>
      <c r="L24" s="257">
        <f>IF(K24&lt;&gt;0,+G24-K24,0)</f>
        <v>0</v>
      </c>
      <c r="M24" s="258">
        <f>H24</f>
        <v>2149751.3487712028</v>
      </c>
      <c r="N24" s="158">
        <f>IF(M24&lt;&gt;0,+H24-M24,0)</f>
        <v>0</v>
      </c>
      <c r="O24" s="158">
        <f>+N24-L24</f>
        <v>0</v>
      </c>
      <c r="P24" s="4"/>
    </row>
    <row r="25" spans="2:16">
      <c r="B25" s="9" t="str">
        <f t="shared" si="5"/>
        <v/>
      </c>
      <c r="C25" s="153">
        <f>IF(D11="","-",+C24+1)</f>
        <v>2016</v>
      </c>
      <c r="D25" s="411">
        <v>13372386.055555554</v>
      </c>
      <c r="E25" s="410">
        <v>388543.90476190473</v>
      </c>
      <c r="F25" s="411">
        <v>12983842.150793649</v>
      </c>
      <c r="G25" s="410">
        <v>2077481.7673867224</v>
      </c>
      <c r="H25" s="416">
        <v>2077481.7673867224</v>
      </c>
      <c r="I25" s="156">
        <f t="shared" ref="I25:I33" si="6">H25-G25</f>
        <v>0</v>
      </c>
      <c r="J25" s="156"/>
      <c r="K25" s="258">
        <f>G25</f>
        <v>2077481.7673867224</v>
      </c>
      <c r="L25" s="257">
        <f>IF(K25&lt;&gt;0,+G25-K25,0)</f>
        <v>0</v>
      </c>
      <c r="M25" s="258">
        <f>H25</f>
        <v>2077481.7673867224</v>
      </c>
      <c r="N25" s="158">
        <f>IF(M25&lt;&gt;0,+H25-M25,0)</f>
        <v>0</v>
      </c>
      <c r="O25" s="158">
        <f>+N25-L25</f>
        <v>0</v>
      </c>
      <c r="P25" s="4"/>
    </row>
    <row r="26" spans="2:16">
      <c r="B26" s="9" t="str">
        <f t="shared" si="5"/>
        <v/>
      </c>
      <c r="C26" s="153">
        <f>IF(D11="","-",+C25+1)</f>
        <v>2017</v>
      </c>
      <c r="D26" s="411">
        <v>12983842.150793649</v>
      </c>
      <c r="E26" s="410">
        <v>379508</v>
      </c>
      <c r="F26" s="411">
        <v>12604334.150793649</v>
      </c>
      <c r="G26" s="410">
        <v>1964599.9963135775</v>
      </c>
      <c r="H26" s="416">
        <v>1964599.9963135775</v>
      </c>
      <c r="I26" s="156">
        <v>0</v>
      </c>
      <c r="J26" s="156"/>
      <c r="K26" s="258">
        <f>G26</f>
        <v>1964599.9963135775</v>
      </c>
      <c r="L26" s="257">
        <f>IF(K26&lt;&gt;0,+G26-K26,0)</f>
        <v>0</v>
      </c>
      <c r="M26" s="258">
        <f>H26</f>
        <v>1964599.9963135775</v>
      </c>
      <c r="N26" s="158">
        <f>IF(M26&lt;&gt;0,+H26-M26,0)</f>
        <v>0</v>
      </c>
      <c r="O26" s="158">
        <f>+N26-L26</f>
        <v>0</v>
      </c>
      <c r="P26" s="4"/>
    </row>
    <row r="27" spans="2:16">
      <c r="B27" s="9" t="str">
        <f t="shared" si="5"/>
        <v/>
      </c>
      <c r="C27" s="153">
        <f>IF(D11="","-",+C26+1)</f>
        <v>2018</v>
      </c>
      <c r="D27" s="411">
        <v>12604334.150793649</v>
      </c>
      <c r="E27" s="410">
        <v>398020.58536585368</v>
      </c>
      <c r="F27" s="411">
        <v>12206313.565427795</v>
      </c>
      <c r="G27" s="410">
        <v>1785980.4455046374</v>
      </c>
      <c r="H27" s="416">
        <v>1785980.4455046374</v>
      </c>
      <c r="I27" s="156">
        <f t="shared" si="6"/>
        <v>0</v>
      </c>
      <c r="J27" s="156"/>
      <c r="K27" s="258">
        <f>G27</f>
        <v>1785980.4455046374</v>
      </c>
      <c r="L27" s="257">
        <f>IF(K27&lt;&gt;0,+G27-K27,0)</f>
        <v>0</v>
      </c>
      <c r="M27" s="258">
        <f>H27</f>
        <v>1785980.4455046374</v>
      </c>
      <c r="N27" s="158">
        <f>IF(M27&lt;&gt;0,+H27-M27,0)</f>
        <v>0</v>
      </c>
      <c r="O27" s="158">
        <f>+N27-L27</f>
        <v>0</v>
      </c>
      <c r="P27" s="4"/>
    </row>
    <row r="28" spans="2:16">
      <c r="B28" s="9" t="str">
        <f t="shared" si="5"/>
        <v/>
      </c>
      <c r="C28" s="153">
        <f>IF(D11="","-",+C27+1)</f>
        <v>2019</v>
      </c>
      <c r="D28" s="159">
        <f>IF(F27+SUM(E$17:E27)=D$10,F27,D$10-SUM(E$17:E27))</f>
        <v>12206313.565427795</v>
      </c>
      <c r="E28" s="160">
        <f>IF(+I14&lt;F27,I14,D28)</f>
        <v>379508</v>
      </c>
      <c r="F28" s="159">
        <f t="shared" ref="F28:F33" si="7">+D28-E28</f>
        <v>11826805.565427795</v>
      </c>
      <c r="G28" s="161">
        <f t="shared" ref="G28:G72" si="8">+I$12*((D28+F28)/2)+E28</f>
        <v>1575824.6681806555</v>
      </c>
      <c r="H28" s="142">
        <f t="shared" ref="H28:H72" si="9">+I$13*((D28+F28)/2)+E28</f>
        <v>1575824.6681806555</v>
      </c>
      <c r="I28" s="156">
        <f t="shared" si="6"/>
        <v>0</v>
      </c>
      <c r="J28" s="156"/>
      <c r="K28" s="334"/>
      <c r="L28" s="158">
        <f t="shared" ref="L28:L72" si="10">IF(K28&lt;&gt;0,+G28-K28,0)</f>
        <v>0</v>
      </c>
      <c r="M28" s="334"/>
      <c r="N28" s="158">
        <f t="shared" ref="N28:N72" si="11">IF(M28&lt;&gt;0,+H28-M28,0)</f>
        <v>0</v>
      </c>
      <c r="O28" s="158">
        <f t="shared" ref="O28:O72" si="12">+N28-L28</f>
        <v>0</v>
      </c>
      <c r="P28" s="4"/>
    </row>
    <row r="29" spans="2:16">
      <c r="B29" s="9" t="str">
        <f t="shared" si="5"/>
        <v/>
      </c>
      <c r="C29" s="153">
        <f>IF(D11="","-",+C28+1)</f>
        <v>2020</v>
      </c>
      <c r="D29" s="159">
        <f>IF(F28+SUM(E$17:E28)=D$10,F28,D$10-SUM(E$17:E28))</f>
        <v>11826805.565427795</v>
      </c>
      <c r="E29" s="160">
        <f>IF(+I14&lt;F28,I14,D29)</f>
        <v>379508</v>
      </c>
      <c r="F29" s="159">
        <f t="shared" si="7"/>
        <v>11447297.565427795</v>
      </c>
      <c r="G29" s="161">
        <f t="shared" si="8"/>
        <v>1538042.494037058</v>
      </c>
      <c r="H29" s="142">
        <f t="shared" si="9"/>
        <v>1538042.494037058</v>
      </c>
      <c r="I29" s="156">
        <f t="shared" si="6"/>
        <v>0</v>
      </c>
      <c r="J29" s="156"/>
      <c r="K29" s="334"/>
      <c r="L29" s="158">
        <f t="shared" si="10"/>
        <v>0</v>
      </c>
      <c r="M29" s="334"/>
      <c r="N29" s="158">
        <f t="shared" si="11"/>
        <v>0</v>
      </c>
      <c r="O29" s="158">
        <f t="shared" si="12"/>
        <v>0</v>
      </c>
      <c r="P29" s="4"/>
    </row>
    <row r="30" spans="2:16">
      <c r="B30" s="9" t="str">
        <f t="shared" si="5"/>
        <v/>
      </c>
      <c r="C30" s="153">
        <f>IF(D11="","-",+C29+1)</f>
        <v>2021</v>
      </c>
      <c r="D30" s="159">
        <f>IF(F29+SUM(E$17:E29)=D$10,F29,D$10-SUM(E$17:E29))</f>
        <v>11447297.565427795</v>
      </c>
      <c r="E30" s="160">
        <f>IF(+I14&lt;F29,I14,D30)</f>
        <v>379508</v>
      </c>
      <c r="F30" s="159">
        <f t="shared" si="7"/>
        <v>11067789.565427795</v>
      </c>
      <c r="G30" s="161">
        <f t="shared" si="8"/>
        <v>1500260.3198934607</v>
      </c>
      <c r="H30" s="142">
        <f t="shared" si="9"/>
        <v>1500260.3198934607</v>
      </c>
      <c r="I30" s="156">
        <f t="shared" si="6"/>
        <v>0</v>
      </c>
      <c r="J30" s="156"/>
      <c r="K30" s="334"/>
      <c r="L30" s="158">
        <f t="shared" si="10"/>
        <v>0</v>
      </c>
      <c r="M30" s="334"/>
      <c r="N30" s="158">
        <f t="shared" si="11"/>
        <v>0</v>
      </c>
      <c r="O30" s="158">
        <f t="shared" si="12"/>
        <v>0</v>
      </c>
      <c r="P30" s="4"/>
    </row>
    <row r="31" spans="2:16">
      <c r="B31" s="9" t="str">
        <f t="shared" si="5"/>
        <v/>
      </c>
      <c r="C31" s="153">
        <f>IF(D11="","-",+C30+1)</f>
        <v>2022</v>
      </c>
      <c r="D31" s="159">
        <f>IF(F30+SUM(E$17:E30)=D$10,F30,D$10-SUM(E$17:E30))</f>
        <v>11067789.565427795</v>
      </c>
      <c r="E31" s="160">
        <f>IF(+I14&lt;F30,I14,D31)</f>
        <v>379508</v>
      </c>
      <c r="F31" s="159">
        <f t="shared" si="7"/>
        <v>10688281.565427795</v>
      </c>
      <c r="G31" s="161">
        <f t="shared" si="8"/>
        <v>1462478.1457498632</v>
      </c>
      <c r="H31" s="142">
        <f t="shared" si="9"/>
        <v>1462478.1457498632</v>
      </c>
      <c r="I31" s="156">
        <f t="shared" si="6"/>
        <v>0</v>
      </c>
      <c r="J31" s="156"/>
      <c r="K31" s="334"/>
      <c r="L31" s="158">
        <f t="shared" si="10"/>
        <v>0</v>
      </c>
      <c r="M31" s="334"/>
      <c r="N31" s="158">
        <f t="shared" si="11"/>
        <v>0</v>
      </c>
      <c r="O31" s="158">
        <f t="shared" si="12"/>
        <v>0</v>
      </c>
      <c r="P31" s="4"/>
    </row>
    <row r="32" spans="2:16">
      <c r="B32" s="9" t="str">
        <f t="shared" si="5"/>
        <v/>
      </c>
      <c r="C32" s="153">
        <f>IF(D11="","-",+C31+1)</f>
        <v>2023</v>
      </c>
      <c r="D32" s="159">
        <f>IF(F31+SUM(E$17:E31)=D$10,F31,D$10-SUM(E$17:E31))</f>
        <v>10688281.565427795</v>
      </c>
      <c r="E32" s="160">
        <f>IF(+I14&lt;F31,I14,D32)</f>
        <v>379508</v>
      </c>
      <c r="F32" s="159">
        <f t="shared" si="7"/>
        <v>10308773.565427795</v>
      </c>
      <c r="G32" s="161">
        <f t="shared" si="8"/>
        <v>1424695.9716062658</v>
      </c>
      <c r="H32" s="142">
        <f t="shared" si="9"/>
        <v>1424695.9716062658</v>
      </c>
      <c r="I32" s="156">
        <f t="shared" si="6"/>
        <v>0</v>
      </c>
      <c r="J32" s="156"/>
      <c r="K32" s="334"/>
      <c r="L32" s="158">
        <f t="shared" si="10"/>
        <v>0</v>
      </c>
      <c r="M32" s="334"/>
      <c r="N32" s="158">
        <f t="shared" si="11"/>
        <v>0</v>
      </c>
      <c r="O32" s="158">
        <f t="shared" si="12"/>
        <v>0</v>
      </c>
      <c r="P32" s="4"/>
    </row>
    <row r="33" spans="2:16">
      <c r="B33" s="9" t="str">
        <f t="shared" si="5"/>
        <v/>
      </c>
      <c r="C33" s="153">
        <f>IF(D11="","-",+C32+1)</f>
        <v>2024</v>
      </c>
      <c r="D33" s="159">
        <f>IF(F32+SUM(E$17:E32)=D$10,F32,D$10-SUM(E$17:E32))</f>
        <v>10308773.565427795</v>
      </c>
      <c r="E33" s="160">
        <f>IF(+I14&lt;F32,I14,D33)</f>
        <v>379508</v>
      </c>
      <c r="F33" s="159">
        <f t="shared" si="7"/>
        <v>9929265.5654277951</v>
      </c>
      <c r="G33" s="161">
        <f t="shared" si="8"/>
        <v>1386913.7974626683</v>
      </c>
      <c r="H33" s="142">
        <f t="shared" si="9"/>
        <v>1386913.7974626683</v>
      </c>
      <c r="I33" s="156">
        <f t="shared" si="6"/>
        <v>0</v>
      </c>
      <c r="J33" s="156"/>
      <c r="K33" s="334"/>
      <c r="L33" s="158">
        <f t="shared" si="10"/>
        <v>0</v>
      </c>
      <c r="M33" s="334"/>
      <c r="N33" s="158">
        <f t="shared" si="11"/>
        <v>0</v>
      </c>
      <c r="O33" s="158">
        <f t="shared" si="12"/>
        <v>0</v>
      </c>
      <c r="P33" s="4"/>
    </row>
    <row r="34" spans="2:16">
      <c r="B34" s="9" t="str">
        <f t="shared" si="5"/>
        <v/>
      </c>
      <c r="C34" s="153">
        <f>IF(D11="","-",+C33+1)</f>
        <v>2025</v>
      </c>
      <c r="D34" s="159">
        <f>IF(F33+SUM(E$17:E33)=D$10,F33,D$10-SUM(E$17:E33))</f>
        <v>9929265.5654277951</v>
      </c>
      <c r="E34" s="160">
        <f>IF(+I14&lt;F33,I14,D34)</f>
        <v>379508</v>
      </c>
      <c r="F34" s="159">
        <f t="shared" ref="F34:F72" si="13">+D34-E34</f>
        <v>9549757.5654277951</v>
      </c>
      <c r="G34" s="161">
        <f t="shared" si="8"/>
        <v>1349131.623319071</v>
      </c>
      <c r="H34" s="142">
        <f t="shared" si="9"/>
        <v>1349131.623319071</v>
      </c>
      <c r="I34" s="156">
        <f t="shared" ref="I34:I72" si="14">H34-G34</f>
        <v>0</v>
      </c>
      <c r="J34" s="156"/>
      <c r="K34" s="334"/>
      <c r="L34" s="158">
        <f t="shared" si="10"/>
        <v>0</v>
      </c>
      <c r="M34" s="334"/>
      <c r="N34" s="158">
        <f t="shared" si="11"/>
        <v>0</v>
      </c>
      <c r="O34" s="158">
        <f t="shared" si="12"/>
        <v>0</v>
      </c>
      <c r="P34" s="4"/>
    </row>
    <row r="35" spans="2:16">
      <c r="B35" s="9" t="str">
        <f t="shared" si="5"/>
        <v/>
      </c>
      <c r="C35" s="153">
        <f>IF(D11="","-",+C34+1)</f>
        <v>2026</v>
      </c>
      <c r="D35" s="159">
        <f>IF(F34+SUM(E$17:E34)=D$10,F34,D$10-SUM(E$17:E34))</f>
        <v>9549757.5654277951</v>
      </c>
      <c r="E35" s="160">
        <f>IF(+I14&lt;F34,I14,D35)</f>
        <v>379508</v>
      </c>
      <c r="F35" s="159">
        <f t="shared" si="13"/>
        <v>9170249.5654277951</v>
      </c>
      <c r="G35" s="161">
        <f t="shared" si="8"/>
        <v>1311349.4491754735</v>
      </c>
      <c r="H35" s="142">
        <f t="shared" si="9"/>
        <v>1311349.4491754735</v>
      </c>
      <c r="I35" s="156">
        <f t="shared" si="14"/>
        <v>0</v>
      </c>
      <c r="J35" s="156"/>
      <c r="K35" s="334"/>
      <c r="L35" s="158">
        <f t="shared" si="10"/>
        <v>0</v>
      </c>
      <c r="M35" s="334"/>
      <c r="N35" s="158">
        <f t="shared" si="11"/>
        <v>0</v>
      </c>
      <c r="O35" s="158">
        <f t="shared" si="12"/>
        <v>0</v>
      </c>
      <c r="P35" s="4"/>
    </row>
    <row r="36" spans="2:16">
      <c r="B36" s="9" t="str">
        <f t="shared" si="5"/>
        <v/>
      </c>
      <c r="C36" s="153">
        <f>IF(D11="","-",+C35+1)</f>
        <v>2027</v>
      </c>
      <c r="D36" s="159">
        <f>IF(F35+SUM(E$17:E35)=D$10,F35,D$10-SUM(E$17:E35))</f>
        <v>9170249.5654277951</v>
      </c>
      <c r="E36" s="160">
        <f>IF(+I14&lt;F35,I14,D36)</f>
        <v>379508</v>
      </c>
      <c r="F36" s="159">
        <f t="shared" si="13"/>
        <v>8790741.5654277951</v>
      </c>
      <c r="G36" s="161">
        <f t="shared" si="8"/>
        <v>1273567.2750318763</v>
      </c>
      <c r="H36" s="142">
        <f t="shared" si="9"/>
        <v>1273567.2750318763</v>
      </c>
      <c r="I36" s="156">
        <f t="shared" si="14"/>
        <v>0</v>
      </c>
      <c r="J36" s="156"/>
      <c r="K36" s="334"/>
      <c r="L36" s="158">
        <f t="shared" si="10"/>
        <v>0</v>
      </c>
      <c r="M36" s="334"/>
      <c r="N36" s="158">
        <f t="shared" si="11"/>
        <v>0</v>
      </c>
      <c r="O36" s="158">
        <f t="shared" si="12"/>
        <v>0</v>
      </c>
      <c r="P36" s="4"/>
    </row>
    <row r="37" spans="2:16">
      <c r="B37" s="9" t="str">
        <f t="shared" si="5"/>
        <v/>
      </c>
      <c r="C37" s="153">
        <f>IF(D11="","-",+C36+1)</f>
        <v>2028</v>
      </c>
      <c r="D37" s="159">
        <f>IF(F36+SUM(E$17:E36)=D$10,F36,D$10-SUM(E$17:E36))</f>
        <v>8790741.5654277951</v>
      </c>
      <c r="E37" s="160">
        <f>IF(+I14&lt;F36,I14,D37)</f>
        <v>379508</v>
      </c>
      <c r="F37" s="159">
        <f t="shared" si="13"/>
        <v>8411233.5654277951</v>
      </c>
      <c r="G37" s="161">
        <f t="shared" si="8"/>
        <v>1235785.1008882788</v>
      </c>
      <c r="H37" s="142">
        <f t="shared" si="9"/>
        <v>1235785.1008882788</v>
      </c>
      <c r="I37" s="156">
        <f t="shared" si="14"/>
        <v>0</v>
      </c>
      <c r="J37" s="156"/>
      <c r="K37" s="334"/>
      <c r="L37" s="158">
        <f t="shared" si="10"/>
        <v>0</v>
      </c>
      <c r="M37" s="334"/>
      <c r="N37" s="158">
        <f t="shared" si="11"/>
        <v>0</v>
      </c>
      <c r="O37" s="158">
        <f t="shared" si="12"/>
        <v>0</v>
      </c>
      <c r="P37" s="4"/>
    </row>
    <row r="38" spans="2:16">
      <c r="B38" s="9" t="str">
        <f t="shared" si="5"/>
        <v/>
      </c>
      <c r="C38" s="153">
        <f>IF(D11="","-",+C37+1)</f>
        <v>2029</v>
      </c>
      <c r="D38" s="159">
        <f>IF(F37+SUM(E$17:E37)=D$10,F37,D$10-SUM(E$17:E37))</f>
        <v>8411233.5654277951</v>
      </c>
      <c r="E38" s="160">
        <f>IF(+I14&lt;F37,I14,D38)</f>
        <v>379508</v>
      </c>
      <c r="F38" s="159">
        <f t="shared" si="13"/>
        <v>8031725.5654277951</v>
      </c>
      <c r="G38" s="161">
        <f t="shared" si="8"/>
        <v>1198002.9267446813</v>
      </c>
      <c r="H38" s="142">
        <f t="shared" si="9"/>
        <v>1198002.9267446813</v>
      </c>
      <c r="I38" s="156">
        <f t="shared" si="14"/>
        <v>0</v>
      </c>
      <c r="J38" s="156"/>
      <c r="K38" s="334"/>
      <c r="L38" s="158">
        <f t="shared" si="10"/>
        <v>0</v>
      </c>
      <c r="M38" s="334"/>
      <c r="N38" s="158">
        <f t="shared" si="11"/>
        <v>0</v>
      </c>
      <c r="O38" s="158">
        <f t="shared" si="12"/>
        <v>0</v>
      </c>
      <c r="P38" s="4"/>
    </row>
    <row r="39" spans="2:16">
      <c r="B39" s="9" t="str">
        <f t="shared" si="5"/>
        <v/>
      </c>
      <c r="C39" s="153">
        <f>IF(D11="","-",+C38+1)</f>
        <v>2030</v>
      </c>
      <c r="D39" s="159">
        <f>IF(F38+SUM(E$17:E38)=D$10,F38,D$10-SUM(E$17:E38))</f>
        <v>8031725.5654277951</v>
      </c>
      <c r="E39" s="160">
        <f>IF(+I14&lt;F38,I14,D39)</f>
        <v>379508</v>
      </c>
      <c r="F39" s="159">
        <f t="shared" si="13"/>
        <v>7652217.5654277951</v>
      </c>
      <c r="G39" s="161">
        <f t="shared" si="8"/>
        <v>1160220.7526010838</v>
      </c>
      <c r="H39" s="142">
        <f t="shared" si="9"/>
        <v>1160220.7526010838</v>
      </c>
      <c r="I39" s="156">
        <f t="shared" si="14"/>
        <v>0</v>
      </c>
      <c r="J39" s="156"/>
      <c r="K39" s="334"/>
      <c r="L39" s="158">
        <f t="shared" si="10"/>
        <v>0</v>
      </c>
      <c r="M39" s="334"/>
      <c r="N39" s="158">
        <f t="shared" si="11"/>
        <v>0</v>
      </c>
      <c r="O39" s="158">
        <f t="shared" si="12"/>
        <v>0</v>
      </c>
      <c r="P39" s="4"/>
    </row>
    <row r="40" spans="2:16">
      <c r="B40" s="9" t="str">
        <f t="shared" si="5"/>
        <v/>
      </c>
      <c r="C40" s="153">
        <f>IF(D11="","-",+C39+1)</f>
        <v>2031</v>
      </c>
      <c r="D40" s="159">
        <f>IF(F39+SUM(E$17:E39)=D$10,F39,D$10-SUM(E$17:E39))</f>
        <v>7652217.5654277951</v>
      </c>
      <c r="E40" s="160">
        <f>IF(+I14&lt;F39,I14,D40)</f>
        <v>379508</v>
      </c>
      <c r="F40" s="159">
        <f t="shared" si="13"/>
        <v>7272709.5654277951</v>
      </c>
      <c r="G40" s="161">
        <f t="shared" si="8"/>
        <v>1122438.5784574864</v>
      </c>
      <c r="H40" s="142">
        <f t="shared" si="9"/>
        <v>1122438.5784574864</v>
      </c>
      <c r="I40" s="156">
        <f t="shared" si="14"/>
        <v>0</v>
      </c>
      <c r="J40" s="156"/>
      <c r="K40" s="334"/>
      <c r="L40" s="158">
        <f t="shared" si="10"/>
        <v>0</v>
      </c>
      <c r="M40" s="334"/>
      <c r="N40" s="158">
        <f t="shared" si="11"/>
        <v>0</v>
      </c>
      <c r="O40" s="158">
        <f t="shared" si="12"/>
        <v>0</v>
      </c>
      <c r="P40" s="4"/>
    </row>
    <row r="41" spans="2:16">
      <c r="B41" s="9" t="str">
        <f t="shared" si="5"/>
        <v/>
      </c>
      <c r="C41" s="153">
        <f>IF(D11="","-",+C40+1)</f>
        <v>2032</v>
      </c>
      <c r="D41" s="159">
        <f>IF(F40+SUM(E$17:E40)=D$10,F40,D$10-SUM(E$17:E40))</f>
        <v>7272709.5654277951</v>
      </c>
      <c r="E41" s="160">
        <f>IF(+I14&lt;F40,I14,D41)</f>
        <v>379508</v>
      </c>
      <c r="F41" s="159">
        <f t="shared" si="13"/>
        <v>6893201.5654277951</v>
      </c>
      <c r="G41" s="161">
        <f t="shared" si="8"/>
        <v>1084656.4043138891</v>
      </c>
      <c r="H41" s="142">
        <f t="shared" si="9"/>
        <v>1084656.4043138891</v>
      </c>
      <c r="I41" s="156">
        <f t="shared" si="14"/>
        <v>0</v>
      </c>
      <c r="J41" s="156"/>
      <c r="K41" s="334"/>
      <c r="L41" s="158">
        <f t="shared" si="10"/>
        <v>0</v>
      </c>
      <c r="M41" s="334"/>
      <c r="N41" s="158">
        <f t="shared" si="11"/>
        <v>0</v>
      </c>
      <c r="O41" s="158">
        <f t="shared" si="12"/>
        <v>0</v>
      </c>
      <c r="P41" s="4"/>
    </row>
    <row r="42" spans="2:16">
      <c r="B42" s="9" t="str">
        <f t="shared" si="5"/>
        <v/>
      </c>
      <c r="C42" s="153">
        <f>IF(D11="","-",+C41+1)</f>
        <v>2033</v>
      </c>
      <c r="D42" s="159">
        <f>IF(F41+SUM(E$17:E41)=D$10,F41,D$10-SUM(E$17:E41))</f>
        <v>6893201.5654277951</v>
      </c>
      <c r="E42" s="160">
        <f>IF(+I14&lt;F41,I14,D42)</f>
        <v>379508</v>
      </c>
      <c r="F42" s="159">
        <f t="shared" si="13"/>
        <v>6513693.5654277951</v>
      </c>
      <c r="G42" s="161">
        <f t="shared" si="8"/>
        <v>1046874.2301702917</v>
      </c>
      <c r="H42" s="142">
        <f t="shared" si="9"/>
        <v>1046874.2301702917</v>
      </c>
      <c r="I42" s="156">
        <f t="shared" si="14"/>
        <v>0</v>
      </c>
      <c r="J42" s="156"/>
      <c r="K42" s="334"/>
      <c r="L42" s="158">
        <f t="shared" si="10"/>
        <v>0</v>
      </c>
      <c r="M42" s="334"/>
      <c r="N42" s="158">
        <f t="shared" si="11"/>
        <v>0</v>
      </c>
      <c r="O42" s="158">
        <f t="shared" si="12"/>
        <v>0</v>
      </c>
      <c r="P42" s="4"/>
    </row>
    <row r="43" spans="2:16">
      <c r="B43" s="9" t="str">
        <f t="shared" si="5"/>
        <v/>
      </c>
      <c r="C43" s="153">
        <f>IF(D11="","-",+C42+1)</f>
        <v>2034</v>
      </c>
      <c r="D43" s="159">
        <f>IF(F42+SUM(E$17:E42)=D$10,F42,D$10-SUM(E$17:E42))</f>
        <v>6513693.5654277951</v>
      </c>
      <c r="E43" s="160">
        <f>IF(+I14&lt;F42,I14,D43)</f>
        <v>379508</v>
      </c>
      <c r="F43" s="159">
        <f t="shared" si="13"/>
        <v>6134185.5654277951</v>
      </c>
      <c r="G43" s="161">
        <f t="shared" si="8"/>
        <v>1009092.0560266942</v>
      </c>
      <c r="H43" s="142">
        <f t="shared" si="9"/>
        <v>1009092.0560266942</v>
      </c>
      <c r="I43" s="156">
        <f t="shared" si="14"/>
        <v>0</v>
      </c>
      <c r="J43" s="156"/>
      <c r="K43" s="334"/>
      <c r="L43" s="158">
        <f t="shared" si="10"/>
        <v>0</v>
      </c>
      <c r="M43" s="334"/>
      <c r="N43" s="158">
        <f t="shared" si="11"/>
        <v>0</v>
      </c>
      <c r="O43" s="158">
        <f t="shared" si="12"/>
        <v>0</v>
      </c>
      <c r="P43" s="4"/>
    </row>
    <row r="44" spans="2:16">
      <c r="B44" s="9" t="str">
        <f t="shared" si="5"/>
        <v/>
      </c>
      <c r="C44" s="153">
        <f>IF(D11="","-",+C43+1)</f>
        <v>2035</v>
      </c>
      <c r="D44" s="159">
        <f>IF(F43+SUM(E$17:E43)=D$10,F43,D$10-SUM(E$17:E43))</f>
        <v>6134185.5654277951</v>
      </c>
      <c r="E44" s="160">
        <f>IF(+I14&lt;F43,I14,D44)</f>
        <v>379508</v>
      </c>
      <c r="F44" s="159">
        <f t="shared" si="13"/>
        <v>5754677.5654277951</v>
      </c>
      <c r="G44" s="161">
        <f t="shared" si="8"/>
        <v>971309.88188309688</v>
      </c>
      <c r="H44" s="142">
        <f t="shared" si="9"/>
        <v>971309.88188309688</v>
      </c>
      <c r="I44" s="156">
        <f t="shared" si="14"/>
        <v>0</v>
      </c>
      <c r="J44" s="156"/>
      <c r="K44" s="334"/>
      <c r="L44" s="158">
        <f t="shared" si="10"/>
        <v>0</v>
      </c>
      <c r="M44" s="334"/>
      <c r="N44" s="158">
        <f t="shared" si="11"/>
        <v>0</v>
      </c>
      <c r="O44" s="158">
        <f t="shared" si="12"/>
        <v>0</v>
      </c>
      <c r="P44" s="4"/>
    </row>
    <row r="45" spans="2:16">
      <c r="B45" s="9" t="str">
        <f t="shared" si="5"/>
        <v/>
      </c>
      <c r="C45" s="153">
        <f>IF(D11="","-",+C44+1)</f>
        <v>2036</v>
      </c>
      <c r="D45" s="159">
        <f>IF(F44+SUM(E$17:E44)=D$10,F44,D$10-SUM(E$17:E44))</f>
        <v>5754677.5654277951</v>
      </c>
      <c r="E45" s="160">
        <f>IF(+I14&lt;F44,I14,D45)</f>
        <v>379508</v>
      </c>
      <c r="F45" s="159">
        <f t="shared" si="13"/>
        <v>5375169.5654277951</v>
      </c>
      <c r="G45" s="161">
        <f t="shared" si="8"/>
        <v>933527.70773949951</v>
      </c>
      <c r="H45" s="142">
        <f t="shared" si="9"/>
        <v>933527.70773949951</v>
      </c>
      <c r="I45" s="156">
        <f t="shared" si="14"/>
        <v>0</v>
      </c>
      <c r="J45" s="156"/>
      <c r="K45" s="334"/>
      <c r="L45" s="158">
        <f t="shared" si="10"/>
        <v>0</v>
      </c>
      <c r="M45" s="334"/>
      <c r="N45" s="158">
        <f t="shared" si="11"/>
        <v>0</v>
      </c>
      <c r="O45" s="158">
        <f t="shared" si="12"/>
        <v>0</v>
      </c>
      <c r="P45" s="4"/>
    </row>
    <row r="46" spans="2:16">
      <c r="B46" s="9" t="str">
        <f t="shared" si="5"/>
        <v/>
      </c>
      <c r="C46" s="153">
        <f>IF(D11="","-",+C45+1)</f>
        <v>2037</v>
      </c>
      <c r="D46" s="159">
        <f>IF(F45+SUM(E$17:E45)=D$10,F45,D$10-SUM(E$17:E45))</f>
        <v>5375169.5654277951</v>
      </c>
      <c r="E46" s="160">
        <f>IF(+I14&lt;F45,I14,D46)</f>
        <v>379508</v>
      </c>
      <c r="F46" s="159">
        <f t="shared" si="13"/>
        <v>4995661.5654277951</v>
      </c>
      <c r="G46" s="161">
        <f t="shared" si="8"/>
        <v>895745.53359590203</v>
      </c>
      <c r="H46" s="142">
        <f t="shared" si="9"/>
        <v>895745.53359590203</v>
      </c>
      <c r="I46" s="156">
        <f t="shared" si="14"/>
        <v>0</v>
      </c>
      <c r="J46" s="156"/>
      <c r="K46" s="334"/>
      <c r="L46" s="158">
        <f t="shared" si="10"/>
        <v>0</v>
      </c>
      <c r="M46" s="334"/>
      <c r="N46" s="158">
        <f t="shared" si="11"/>
        <v>0</v>
      </c>
      <c r="O46" s="158">
        <f t="shared" si="12"/>
        <v>0</v>
      </c>
      <c r="P46" s="4"/>
    </row>
    <row r="47" spans="2:16">
      <c r="B47" s="9" t="str">
        <f t="shared" si="5"/>
        <v/>
      </c>
      <c r="C47" s="153">
        <f>IF(D11="","-",+C46+1)</f>
        <v>2038</v>
      </c>
      <c r="D47" s="159">
        <f>IF(F46+SUM(E$17:E46)=D$10,F46,D$10-SUM(E$17:E46))</f>
        <v>4995661.5654277951</v>
      </c>
      <c r="E47" s="160">
        <f>IF(+I14&lt;F46,I14,D47)</f>
        <v>379508</v>
      </c>
      <c r="F47" s="159">
        <f t="shared" si="13"/>
        <v>4616153.5654277951</v>
      </c>
      <c r="G47" s="161">
        <f t="shared" si="8"/>
        <v>857963.35945230466</v>
      </c>
      <c r="H47" s="142">
        <f t="shared" si="9"/>
        <v>857963.35945230466</v>
      </c>
      <c r="I47" s="156">
        <f t="shared" si="14"/>
        <v>0</v>
      </c>
      <c r="J47" s="156"/>
      <c r="K47" s="334"/>
      <c r="L47" s="158">
        <f t="shared" si="10"/>
        <v>0</v>
      </c>
      <c r="M47" s="334"/>
      <c r="N47" s="158">
        <f t="shared" si="11"/>
        <v>0</v>
      </c>
      <c r="O47" s="158">
        <f t="shared" si="12"/>
        <v>0</v>
      </c>
      <c r="P47" s="4"/>
    </row>
    <row r="48" spans="2:16">
      <c r="B48" s="9" t="str">
        <f t="shared" si="5"/>
        <v/>
      </c>
      <c r="C48" s="153">
        <f>IF(D11="","-",+C47+1)</f>
        <v>2039</v>
      </c>
      <c r="D48" s="159">
        <f>IF(F47+SUM(E$17:E47)=D$10,F47,D$10-SUM(E$17:E47))</f>
        <v>4616153.5654277951</v>
      </c>
      <c r="E48" s="160">
        <f>IF(+I14&lt;F47,I14,D48)</f>
        <v>379508</v>
      </c>
      <c r="F48" s="159">
        <f t="shared" si="13"/>
        <v>4236645.5654277951</v>
      </c>
      <c r="G48" s="161">
        <f t="shared" si="8"/>
        <v>820181.18530870718</v>
      </c>
      <c r="H48" s="142">
        <f t="shared" si="9"/>
        <v>820181.18530870718</v>
      </c>
      <c r="I48" s="156">
        <f t="shared" si="14"/>
        <v>0</v>
      </c>
      <c r="J48" s="156"/>
      <c r="K48" s="334"/>
      <c r="L48" s="158">
        <f t="shared" si="10"/>
        <v>0</v>
      </c>
      <c r="M48" s="334"/>
      <c r="N48" s="158">
        <f t="shared" si="11"/>
        <v>0</v>
      </c>
      <c r="O48" s="158">
        <f t="shared" si="12"/>
        <v>0</v>
      </c>
      <c r="P48" s="4"/>
    </row>
    <row r="49" spans="2:16">
      <c r="B49" s="9" t="str">
        <f t="shared" si="5"/>
        <v/>
      </c>
      <c r="C49" s="153">
        <f>IF(D11="","-",+C48+1)</f>
        <v>2040</v>
      </c>
      <c r="D49" s="159">
        <f>IF(F48+SUM(E$17:E48)=D$10,F48,D$10-SUM(E$17:E48))</f>
        <v>4236645.5654277951</v>
      </c>
      <c r="E49" s="160">
        <f>IF(+I14&lt;F48,I14,D49)</f>
        <v>379508</v>
      </c>
      <c r="F49" s="159">
        <f t="shared" si="13"/>
        <v>3857137.5654277951</v>
      </c>
      <c r="G49" s="161">
        <f t="shared" si="8"/>
        <v>782399.01116510981</v>
      </c>
      <c r="H49" s="142">
        <f t="shared" si="9"/>
        <v>782399.01116510981</v>
      </c>
      <c r="I49" s="156">
        <f t="shared" si="14"/>
        <v>0</v>
      </c>
      <c r="J49" s="156"/>
      <c r="K49" s="334"/>
      <c r="L49" s="158">
        <f t="shared" si="10"/>
        <v>0</v>
      </c>
      <c r="M49" s="334"/>
      <c r="N49" s="158">
        <f t="shared" si="11"/>
        <v>0</v>
      </c>
      <c r="O49" s="158">
        <f t="shared" si="12"/>
        <v>0</v>
      </c>
      <c r="P49" s="4"/>
    </row>
    <row r="50" spans="2:16">
      <c r="B50" s="9" t="str">
        <f t="shared" si="5"/>
        <v/>
      </c>
      <c r="C50" s="153">
        <f>IF(D11="","-",+C49+1)</f>
        <v>2041</v>
      </c>
      <c r="D50" s="159">
        <f>IF(F49+SUM(E$17:E49)=D$10,F49,D$10-SUM(E$17:E49))</f>
        <v>3857137.5654277951</v>
      </c>
      <c r="E50" s="160">
        <f>IF(+I14&lt;F49,I14,D50)</f>
        <v>379508</v>
      </c>
      <c r="F50" s="159">
        <f t="shared" si="13"/>
        <v>3477629.5654277951</v>
      </c>
      <c r="G50" s="161">
        <f t="shared" si="8"/>
        <v>744616.83702151245</v>
      </c>
      <c r="H50" s="142">
        <f t="shared" si="9"/>
        <v>744616.83702151245</v>
      </c>
      <c r="I50" s="156">
        <f t="shared" si="14"/>
        <v>0</v>
      </c>
      <c r="J50" s="156"/>
      <c r="K50" s="334"/>
      <c r="L50" s="158">
        <f t="shared" si="10"/>
        <v>0</v>
      </c>
      <c r="M50" s="334"/>
      <c r="N50" s="158">
        <f t="shared" si="11"/>
        <v>0</v>
      </c>
      <c r="O50" s="158">
        <f t="shared" si="12"/>
        <v>0</v>
      </c>
      <c r="P50" s="4"/>
    </row>
    <row r="51" spans="2:16">
      <c r="B51" s="9" t="str">
        <f t="shared" si="5"/>
        <v/>
      </c>
      <c r="C51" s="153">
        <f>IF(D11="","-",+C50+1)</f>
        <v>2042</v>
      </c>
      <c r="D51" s="159">
        <f>IF(F50+SUM(E$17:E50)=D$10,F50,D$10-SUM(E$17:E50))</f>
        <v>3477629.5654277951</v>
      </c>
      <c r="E51" s="160">
        <f>IF(+I14&lt;F50,I14,D51)</f>
        <v>379508</v>
      </c>
      <c r="F51" s="159">
        <f t="shared" si="13"/>
        <v>3098121.5654277951</v>
      </c>
      <c r="G51" s="161">
        <f t="shared" si="8"/>
        <v>706834.66287791496</v>
      </c>
      <c r="H51" s="142">
        <f t="shared" si="9"/>
        <v>706834.66287791496</v>
      </c>
      <c r="I51" s="156">
        <f t="shared" si="14"/>
        <v>0</v>
      </c>
      <c r="J51" s="156"/>
      <c r="K51" s="334"/>
      <c r="L51" s="158">
        <f t="shared" si="10"/>
        <v>0</v>
      </c>
      <c r="M51" s="334"/>
      <c r="N51" s="158">
        <f t="shared" si="11"/>
        <v>0</v>
      </c>
      <c r="O51" s="158">
        <f t="shared" si="12"/>
        <v>0</v>
      </c>
      <c r="P51" s="4"/>
    </row>
    <row r="52" spans="2:16">
      <c r="B52" s="9" t="str">
        <f t="shared" si="5"/>
        <v/>
      </c>
      <c r="C52" s="153">
        <f>IF(D11="","-",+C51+1)</f>
        <v>2043</v>
      </c>
      <c r="D52" s="159">
        <f>IF(F51+SUM(E$17:E51)=D$10,F51,D$10-SUM(E$17:E51))</f>
        <v>3098121.5654277951</v>
      </c>
      <c r="E52" s="160">
        <f>IF(+I14&lt;F51,I14,D52)</f>
        <v>379508</v>
      </c>
      <c r="F52" s="159">
        <f t="shared" si="13"/>
        <v>2718613.5654277951</v>
      </c>
      <c r="G52" s="161">
        <f t="shared" si="8"/>
        <v>669052.48873431759</v>
      </c>
      <c r="H52" s="142">
        <f t="shared" si="9"/>
        <v>669052.48873431759</v>
      </c>
      <c r="I52" s="156">
        <f t="shared" si="14"/>
        <v>0</v>
      </c>
      <c r="J52" s="156"/>
      <c r="K52" s="334"/>
      <c r="L52" s="158">
        <f t="shared" si="10"/>
        <v>0</v>
      </c>
      <c r="M52" s="334"/>
      <c r="N52" s="158">
        <f t="shared" si="11"/>
        <v>0</v>
      </c>
      <c r="O52" s="158">
        <f t="shared" si="12"/>
        <v>0</v>
      </c>
      <c r="P52" s="4"/>
    </row>
    <row r="53" spans="2:16">
      <c r="B53" s="9" t="str">
        <f t="shared" si="5"/>
        <v/>
      </c>
      <c r="C53" s="153">
        <f>IF(D11="","-",+C52+1)</f>
        <v>2044</v>
      </c>
      <c r="D53" s="159">
        <f>IF(F52+SUM(E$17:E52)=D$10,F52,D$10-SUM(E$17:E52))</f>
        <v>2718613.5654277951</v>
      </c>
      <c r="E53" s="160">
        <f>IF(+I14&lt;F52,I14,D53)</f>
        <v>379508</v>
      </c>
      <c r="F53" s="159">
        <f t="shared" si="13"/>
        <v>2339105.5654277951</v>
      </c>
      <c r="G53" s="161">
        <f t="shared" si="8"/>
        <v>631270.31459072023</v>
      </c>
      <c r="H53" s="142">
        <f t="shared" si="9"/>
        <v>631270.31459072023</v>
      </c>
      <c r="I53" s="156">
        <f t="shared" si="14"/>
        <v>0</v>
      </c>
      <c r="J53" s="156"/>
      <c r="K53" s="334"/>
      <c r="L53" s="158">
        <f t="shared" si="10"/>
        <v>0</v>
      </c>
      <c r="M53" s="334"/>
      <c r="N53" s="158">
        <f t="shared" si="11"/>
        <v>0</v>
      </c>
      <c r="O53" s="158">
        <f t="shared" si="12"/>
        <v>0</v>
      </c>
      <c r="P53" s="4"/>
    </row>
    <row r="54" spans="2:16">
      <c r="B54" s="9" t="str">
        <f t="shared" si="5"/>
        <v/>
      </c>
      <c r="C54" s="153">
        <f>IF(D11="","-",+C53+1)</f>
        <v>2045</v>
      </c>
      <c r="D54" s="159">
        <f>IF(F53+SUM(E$17:E53)=D$10,F53,D$10-SUM(E$17:E53))</f>
        <v>2339105.5654277951</v>
      </c>
      <c r="E54" s="160">
        <f>IF(+I14&lt;F53,I14,D54)</f>
        <v>379508</v>
      </c>
      <c r="F54" s="159">
        <f t="shared" si="13"/>
        <v>1959597.5654277951</v>
      </c>
      <c r="G54" s="161">
        <f t="shared" si="8"/>
        <v>593488.14044712274</v>
      </c>
      <c r="H54" s="142">
        <f t="shared" si="9"/>
        <v>593488.14044712274</v>
      </c>
      <c r="I54" s="156">
        <f t="shared" si="14"/>
        <v>0</v>
      </c>
      <c r="J54" s="156"/>
      <c r="K54" s="334"/>
      <c r="L54" s="158">
        <f t="shared" si="10"/>
        <v>0</v>
      </c>
      <c r="M54" s="334"/>
      <c r="N54" s="158">
        <f t="shared" si="11"/>
        <v>0</v>
      </c>
      <c r="O54" s="158">
        <f t="shared" si="12"/>
        <v>0</v>
      </c>
      <c r="P54" s="4"/>
    </row>
    <row r="55" spans="2:16">
      <c r="B55" s="9" t="str">
        <f t="shared" si="5"/>
        <v/>
      </c>
      <c r="C55" s="153">
        <f>IF(D11="","-",+C54+1)</f>
        <v>2046</v>
      </c>
      <c r="D55" s="159">
        <f>IF(F54+SUM(E$17:E54)=D$10,F54,D$10-SUM(E$17:E54))</f>
        <v>1959597.5654277951</v>
      </c>
      <c r="E55" s="160">
        <f>IF(+I14&lt;F54,I14,D55)</f>
        <v>379508</v>
      </c>
      <c r="F55" s="159">
        <f t="shared" si="13"/>
        <v>1580089.5654277951</v>
      </c>
      <c r="G55" s="161">
        <f t="shared" si="8"/>
        <v>555705.96630352538</v>
      </c>
      <c r="H55" s="142">
        <f t="shared" si="9"/>
        <v>555705.96630352538</v>
      </c>
      <c r="I55" s="156">
        <f t="shared" si="14"/>
        <v>0</v>
      </c>
      <c r="J55" s="156"/>
      <c r="K55" s="334"/>
      <c r="L55" s="158">
        <f t="shared" si="10"/>
        <v>0</v>
      </c>
      <c r="M55" s="334"/>
      <c r="N55" s="158">
        <f t="shared" si="11"/>
        <v>0</v>
      </c>
      <c r="O55" s="158">
        <f t="shared" si="12"/>
        <v>0</v>
      </c>
      <c r="P55" s="4"/>
    </row>
    <row r="56" spans="2:16">
      <c r="B56" s="9" t="str">
        <f t="shared" si="5"/>
        <v/>
      </c>
      <c r="C56" s="153">
        <f>IF(D11="","-",+C55+1)</f>
        <v>2047</v>
      </c>
      <c r="D56" s="159">
        <f>IF(F55+SUM(E$17:E55)=D$10,F55,D$10-SUM(E$17:E55))</f>
        <v>1580089.5654277951</v>
      </c>
      <c r="E56" s="160">
        <f>IF(+I14&lt;F55,I14,D56)</f>
        <v>379508</v>
      </c>
      <c r="F56" s="159">
        <f t="shared" si="13"/>
        <v>1200581.5654277951</v>
      </c>
      <c r="G56" s="161">
        <f t="shared" si="8"/>
        <v>517923.79215992789</v>
      </c>
      <c r="H56" s="142">
        <f t="shared" si="9"/>
        <v>517923.79215992789</v>
      </c>
      <c r="I56" s="156">
        <f t="shared" si="14"/>
        <v>0</v>
      </c>
      <c r="J56" s="156"/>
      <c r="K56" s="334"/>
      <c r="L56" s="158">
        <f t="shared" si="10"/>
        <v>0</v>
      </c>
      <c r="M56" s="334"/>
      <c r="N56" s="158">
        <f t="shared" si="11"/>
        <v>0</v>
      </c>
      <c r="O56" s="158">
        <f t="shared" si="12"/>
        <v>0</v>
      </c>
      <c r="P56" s="4"/>
    </row>
    <row r="57" spans="2:16">
      <c r="B57" s="9" t="str">
        <f t="shared" si="5"/>
        <v/>
      </c>
      <c r="C57" s="153">
        <f>IF(D11="","-",+C56+1)</f>
        <v>2048</v>
      </c>
      <c r="D57" s="159">
        <f>IF(F56+SUM(E$17:E56)=D$10,F56,D$10-SUM(E$17:E56))</f>
        <v>1200581.5654277951</v>
      </c>
      <c r="E57" s="160">
        <f>IF(+I14&lt;F56,I14,D57)</f>
        <v>379508</v>
      </c>
      <c r="F57" s="159">
        <f t="shared" si="13"/>
        <v>821073.56542779505</v>
      </c>
      <c r="G57" s="161">
        <f t="shared" si="8"/>
        <v>480141.61801633053</v>
      </c>
      <c r="H57" s="142">
        <f t="shared" si="9"/>
        <v>480141.61801633053</v>
      </c>
      <c r="I57" s="156">
        <f t="shared" si="14"/>
        <v>0</v>
      </c>
      <c r="J57" s="156"/>
      <c r="K57" s="334"/>
      <c r="L57" s="158">
        <f t="shared" si="10"/>
        <v>0</v>
      </c>
      <c r="M57" s="334"/>
      <c r="N57" s="158">
        <f t="shared" si="11"/>
        <v>0</v>
      </c>
      <c r="O57" s="158">
        <f t="shared" si="12"/>
        <v>0</v>
      </c>
      <c r="P57" s="4"/>
    </row>
    <row r="58" spans="2:16">
      <c r="B58" s="9" t="str">
        <f t="shared" si="5"/>
        <v/>
      </c>
      <c r="C58" s="153">
        <f>IF(D11="","-",+C57+1)</f>
        <v>2049</v>
      </c>
      <c r="D58" s="159">
        <f>IF(F57+SUM(E$17:E57)=D$10,F57,D$10-SUM(E$17:E57))</f>
        <v>821073.56542779505</v>
      </c>
      <c r="E58" s="160">
        <f>IF(+I14&lt;F57,I14,D58)</f>
        <v>379508</v>
      </c>
      <c r="F58" s="159">
        <f t="shared" si="13"/>
        <v>441565.56542779505</v>
      </c>
      <c r="G58" s="161">
        <f t="shared" si="8"/>
        <v>442359.4438727331</v>
      </c>
      <c r="H58" s="142">
        <f t="shared" si="9"/>
        <v>442359.4438727331</v>
      </c>
      <c r="I58" s="156">
        <f t="shared" si="14"/>
        <v>0</v>
      </c>
      <c r="J58" s="156"/>
      <c r="K58" s="334"/>
      <c r="L58" s="158">
        <f t="shared" si="10"/>
        <v>0</v>
      </c>
      <c r="M58" s="334"/>
      <c r="N58" s="158">
        <f t="shared" si="11"/>
        <v>0</v>
      </c>
      <c r="O58" s="158">
        <f t="shared" si="12"/>
        <v>0</v>
      </c>
      <c r="P58" s="4"/>
    </row>
    <row r="59" spans="2:16">
      <c r="B59" s="9" t="str">
        <f t="shared" si="5"/>
        <v/>
      </c>
      <c r="C59" s="153">
        <f>IF(D11="","-",+C58+1)</f>
        <v>2050</v>
      </c>
      <c r="D59" s="159">
        <f>IF(F58+SUM(E$17:E58)=D$10,F58,D$10-SUM(E$17:E58))</f>
        <v>441565.56542779505</v>
      </c>
      <c r="E59" s="160">
        <f>IF(+I14&lt;F58,I14,D59)</f>
        <v>379508</v>
      </c>
      <c r="F59" s="159">
        <f t="shared" si="13"/>
        <v>62057.565427795053</v>
      </c>
      <c r="G59" s="161">
        <f t="shared" si="8"/>
        <v>404577.26972913567</v>
      </c>
      <c r="H59" s="142">
        <f t="shared" si="9"/>
        <v>404577.26972913567</v>
      </c>
      <c r="I59" s="156">
        <f t="shared" si="14"/>
        <v>0</v>
      </c>
      <c r="J59" s="156"/>
      <c r="K59" s="334"/>
      <c r="L59" s="158">
        <f t="shared" si="10"/>
        <v>0</v>
      </c>
      <c r="M59" s="334"/>
      <c r="N59" s="158">
        <f t="shared" si="11"/>
        <v>0</v>
      </c>
      <c r="O59" s="158">
        <f t="shared" si="12"/>
        <v>0</v>
      </c>
      <c r="P59" s="4"/>
    </row>
    <row r="60" spans="2:16">
      <c r="B60" s="9" t="str">
        <f t="shared" si="5"/>
        <v/>
      </c>
      <c r="C60" s="153">
        <f>IF(D11="","-",+C59+1)</f>
        <v>2051</v>
      </c>
      <c r="D60" s="159">
        <f>IF(F59+SUM(E$17:E59)=D$10,F59,D$10-SUM(E$17:E59))</f>
        <v>62057.565427795053</v>
      </c>
      <c r="E60" s="160">
        <f>IF(+I14&lt;F59,I14,D60)</f>
        <v>62057.565427795053</v>
      </c>
      <c r="F60" s="159">
        <f t="shared" si="13"/>
        <v>0</v>
      </c>
      <c r="G60" s="161">
        <f t="shared" si="8"/>
        <v>65146.656756463541</v>
      </c>
      <c r="H60" s="142">
        <f t="shared" si="9"/>
        <v>65146.656756463541</v>
      </c>
      <c r="I60" s="156">
        <f t="shared" si="14"/>
        <v>0</v>
      </c>
      <c r="J60" s="156"/>
      <c r="K60" s="334"/>
      <c r="L60" s="158">
        <f t="shared" si="10"/>
        <v>0</v>
      </c>
      <c r="M60" s="334"/>
      <c r="N60" s="158">
        <f t="shared" si="11"/>
        <v>0</v>
      </c>
      <c r="O60" s="158">
        <f t="shared" si="12"/>
        <v>0</v>
      </c>
      <c r="P60" s="4"/>
    </row>
    <row r="61" spans="2:16">
      <c r="B61" s="9" t="str">
        <f t="shared" si="5"/>
        <v/>
      </c>
      <c r="C61" s="153">
        <f>IF(D11="","-",+C60+1)</f>
        <v>2052</v>
      </c>
      <c r="D61" s="159">
        <f>IF(F60+SUM(E$17:E60)=D$10,F60,D$10-SUM(E$17:E60))</f>
        <v>0</v>
      </c>
      <c r="E61" s="160">
        <f>IF(+I14&lt;F60,I14,D61)</f>
        <v>0</v>
      </c>
      <c r="F61" s="159">
        <f t="shared" si="13"/>
        <v>0</v>
      </c>
      <c r="G61" s="161">
        <f t="shared" si="8"/>
        <v>0</v>
      </c>
      <c r="H61" s="142">
        <f t="shared" si="9"/>
        <v>0</v>
      </c>
      <c r="I61" s="156">
        <f t="shared" si="14"/>
        <v>0</v>
      </c>
      <c r="J61" s="156"/>
      <c r="K61" s="334"/>
      <c r="L61" s="158">
        <f t="shared" si="10"/>
        <v>0</v>
      </c>
      <c r="M61" s="334"/>
      <c r="N61" s="158">
        <f t="shared" si="11"/>
        <v>0</v>
      </c>
      <c r="O61" s="158">
        <f t="shared" si="12"/>
        <v>0</v>
      </c>
      <c r="P61" s="4"/>
    </row>
    <row r="62" spans="2:16">
      <c r="B62" s="9" t="str">
        <f t="shared" si="5"/>
        <v/>
      </c>
      <c r="C62" s="153">
        <f>IF(D11="","-",+C61+1)</f>
        <v>2053</v>
      </c>
      <c r="D62" s="159">
        <f>IF(F61+SUM(E$17:E61)=D$10,F61,D$10-SUM(E$17:E61))</f>
        <v>0</v>
      </c>
      <c r="E62" s="160">
        <f>IF(+I14&lt;F61,I14,D62)</f>
        <v>0</v>
      </c>
      <c r="F62" s="159">
        <f t="shared" si="13"/>
        <v>0</v>
      </c>
      <c r="G62" s="161">
        <f t="shared" si="8"/>
        <v>0</v>
      </c>
      <c r="H62" s="142">
        <f t="shared" si="9"/>
        <v>0</v>
      </c>
      <c r="I62" s="156">
        <f t="shared" si="14"/>
        <v>0</v>
      </c>
      <c r="J62" s="156"/>
      <c r="K62" s="334"/>
      <c r="L62" s="158">
        <f t="shared" si="10"/>
        <v>0</v>
      </c>
      <c r="M62" s="334"/>
      <c r="N62" s="158">
        <f t="shared" si="11"/>
        <v>0</v>
      </c>
      <c r="O62" s="158">
        <f t="shared" si="12"/>
        <v>0</v>
      </c>
      <c r="P62" s="4"/>
    </row>
    <row r="63" spans="2:16">
      <c r="B63" s="9" t="str">
        <f t="shared" si="5"/>
        <v/>
      </c>
      <c r="C63" s="153">
        <f>IF(D11="","-",+C62+1)</f>
        <v>2054</v>
      </c>
      <c r="D63" s="159">
        <f>IF(F62+SUM(E$17:E62)=D$10,F62,D$10-SUM(E$17:E62))</f>
        <v>0</v>
      </c>
      <c r="E63" s="160">
        <f>IF(+I14&lt;F62,I14,D63)</f>
        <v>0</v>
      </c>
      <c r="F63" s="159">
        <f t="shared" si="13"/>
        <v>0</v>
      </c>
      <c r="G63" s="161">
        <f t="shared" si="8"/>
        <v>0</v>
      </c>
      <c r="H63" s="142">
        <f t="shared" si="9"/>
        <v>0</v>
      </c>
      <c r="I63" s="156">
        <f t="shared" si="14"/>
        <v>0</v>
      </c>
      <c r="J63" s="156"/>
      <c r="K63" s="334"/>
      <c r="L63" s="158">
        <f t="shared" si="10"/>
        <v>0</v>
      </c>
      <c r="M63" s="334"/>
      <c r="N63" s="158">
        <f t="shared" si="11"/>
        <v>0</v>
      </c>
      <c r="O63" s="158">
        <f t="shared" si="12"/>
        <v>0</v>
      </c>
      <c r="P63" s="4"/>
    </row>
    <row r="64" spans="2:16">
      <c r="B64" s="9" t="str">
        <f t="shared" si="5"/>
        <v/>
      </c>
      <c r="C64" s="153">
        <f>IF(D11="","-",+C63+1)</f>
        <v>2055</v>
      </c>
      <c r="D64" s="159">
        <f>IF(F63+SUM(E$17:E63)=D$10,F63,D$10-SUM(E$17:E63))</f>
        <v>0</v>
      </c>
      <c r="E64" s="160">
        <f>IF(+I14&lt;F63,I14,D64)</f>
        <v>0</v>
      </c>
      <c r="F64" s="159">
        <f t="shared" si="13"/>
        <v>0</v>
      </c>
      <c r="G64" s="161">
        <f t="shared" si="8"/>
        <v>0</v>
      </c>
      <c r="H64" s="142">
        <f t="shared" si="9"/>
        <v>0</v>
      </c>
      <c r="I64" s="156">
        <f t="shared" si="14"/>
        <v>0</v>
      </c>
      <c r="J64" s="156"/>
      <c r="K64" s="334"/>
      <c r="L64" s="158">
        <f t="shared" si="10"/>
        <v>0</v>
      </c>
      <c r="M64" s="334"/>
      <c r="N64" s="158">
        <f t="shared" si="11"/>
        <v>0</v>
      </c>
      <c r="O64" s="158">
        <f t="shared" si="12"/>
        <v>0</v>
      </c>
      <c r="P64" s="4"/>
    </row>
    <row r="65" spans="2:16">
      <c r="B65" s="9" t="str">
        <f t="shared" si="5"/>
        <v/>
      </c>
      <c r="C65" s="153">
        <f>IF(D11="","-",+C64+1)</f>
        <v>2056</v>
      </c>
      <c r="D65" s="159">
        <f>IF(F64+SUM(E$17:E64)=D$10,F64,D$10-SUM(E$17:E64))</f>
        <v>0</v>
      </c>
      <c r="E65" s="160">
        <f>IF(+I14&lt;F64,I14,D65)</f>
        <v>0</v>
      </c>
      <c r="F65" s="159">
        <f t="shared" si="13"/>
        <v>0</v>
      </c>
      <c r="G65" s="161">
        <f t="shared" si="8"/>
        <v>0</v>
      </c>
      <c r="H65" s="142">
        <f t="shared" si="9"/>
        <v>0</v>
      </c>
      <c r="I65" s="156">
        <f t="shared" si="14"/>
        <v>0</v>
      </c>
      <c r="J65" s="156"/>
      <c r="K65" s="334"/>
      <c r="L65" s="158">
        <f t="shared" si="10"/>
        <v>0</v>
      </c>
      <c r="M65" s="334"/>
      <c r="N65" s="158">
        <f t="shared" si="11"/>
        <v>0</v>
      </c>
      <c r="O65" s="158">
        <f t="shared" si="12"/>
        <v>0</v>
      </c>
      <c r="P65" s="4"/>
    </row>
    <row r="66" spans="2:16">
      <c r="B66" s="9" t="str">
        <f t="shared" si="5"/>
        <v/>
      </c>
      <c r="C66" s="153">
        <f>IF(D11="","-",+C65+1)</f>
        <v>2057</v>
      </c>
      <c r="D66" s="159">
        <f>IF(F65+SUM(E$17:E65)=D$10,F65,D$10-SUM(E$17:E65))</f>
        <v>0</v>
      </c>
      <c r="E66" s="160">
        <f>IF(+I14&lt;F65,I14,D66)</f>
        <v>0</v>
      </c>
      <c r="F66" s="159">
        <f t="shared" si="13"/>
        <v>0</v>
      </c>
      <c r="G66" s="161">
        <f t="shared" si="8"/>
        <v>0</v>
      </c>
      <c r="H66" s="142">
        <f t="shared" si="9"/>
        <v>0</v>
      </c>
      <c r="I66" s="156">
        <f t="shared" si="14"/>
        <v>0</v>
      </c>
      <c r="J66" s="156"/>
      <c r="K66" s="334"/>
      <c r="L66" s="158">
        <f t="shared" si="10"/>
        <v>0</v>
      </c>
      <c r="M66" s="334"/>
      <c r="N66" s="158">
        <f t="shared" si="11"/>
        <v>0</v>
      </c>
      <c r="O66" s="158">
        <f t="shared" si="12"/>
        <v>0</v>
      </c>
      <c r="P66" s="4"/>
    </row>
    <row r="67" spans="2:16">
      <c r="B67" s="9" t="str">
        <f t="shared" si="5"/>
        <v/>
      </c>
      <c r="C67" s="153">
        <f>IF(D11="","-",+C66+1)</f>
        <v>2058</v>
      </c>
      <c r="D67" s="159">
        <f>IF(F66+SUM(E$17:E66)=D$10,F66,D$10-SUM(E$17:E66))</f>
        <v>0</v>
      </c>
      <c r="E67" s="160">
        <f>IF(+I14&lt;F66,I14,D67)</f>
        <v>0</v>
      </c>
      <c r="F67" s="159">
        <f t="shared" si="13"/>
        <v>0</v>
      </c>
      <c r="G67" s="161">
        <f t="shared" si="8"/>
        <v>0</v>
      </c>
      <c r="H67" s="142">
        <f t="shared" si="9"/>
        <v>0</v>
      </c>
      <c r="I67" s="156">
        <f t="shared" si="14"/>
        <v>0</v>
      </c>
      <c r="J67" s="156"/>
      <c r="K67" s="334"/>
      <c r="L67" s="158">
        <f t="shared" si="10"/>
        <v>0</v>
      </c>
      <c r="M67" s="334"/>
      <c r="N67" s="158">
        <f t="shared" si="11"/>
        <v>0</v>
      </c>
      <c r="O67" s="158">
        <f t="shared" si="12"/>
        <v>0</v>
      </c>
      <c r="P67" s="4"/>
    </row>
    <row r="68" spans="2:16">
      <c r="B68" s="9" t="str">
        <f t="shared" si="5"/>
        <v/>
      </c>
      <c r="C68" s="153">
        <f>IF(D11="","-",+C67+1)</f>
        <v>2059</v>
      </c>
      <c r="D68" s="159">
        <f>IF(F67+SUM(E$17:E67)=D$10,F67,D$10-SUM(E$17:E67))</f>
        <v>0</v>
      </c>
      <c r="E68" s="160">
        <f>IF(+I14&lt;F67,I14,D68)</f>
        <v>0</v>
      </c>
      <c r="F68" s="159">
        <f t="shared" si="13"/>
        <v>0</v>
      </c>
      <c r="G68" s="161">
        <f t="shared" si="8"/>
        <v>0</v>
      </c>
      <c r="H68" s="142">
        <f t="shared" si="9"/>
        <v>0</v>
      </c>
      <c r="I68" s="156">
        <f t="shared" si="14"/>
        <v>0</v>
      </c>
      <c r="J68" s="156"/>
      <c r="K68" s="334"/>
      <c r="L68" s="158">
        <f t="shared" si="10"/>
        <v>0</v>
      </c>
      <c r="M68" s="334"/>
      <c r="N68" s="158">
        <f t="shared" si="11"/>
        <v>0</v>
      </c>
      <c r="O68" s="158">
        <f t="shared" si="12"/>
        <v>0</v>
      </c>
      <c r="P68" s="4"/>
    </row>
    <row r="69" spans="2:16">
      <c r="B69" s="9" t="str">
        <f t="shared" si="5"/>
        <v/>
      </c>
      <c r="C69" s="153">
        <f>IF(D11="","-",+C68+1)</f>
        <v>2060</v>
      </c>
      <c r="D69" s="159">
        <f>IF(F68+SUM(E$17:E68)=D$10,F68,D$10-SUM(E$17:E68))</f>
        <v>0</v>
      </c>
      <c r="E69" s="160">
        <f>IF(+I14&lt;F68,I14,D69)</f>
        <v>0</v>
      </c>
      <c r="F69" s="159">
        <f t="shared" si="13"/>
        <v>0</v>
      </c>
      <c r="G69" s="161">
        <f t="shared" si="8"/>
        <v>0</v>
      </c>
      <c r="H69" s="142">
        <f t="shared" si="9"/>
        <v>0</v>
      </c>
      <c r="I69" s="156">
        <f t="shared" si="14"/>
        <v>0</v>
      </c>
      <c r="J69" s="156"/>
      <c r="K69" s="334"/>
      <c r="L69" s="158">
        <f t="shared" si="10"/>
        <v>0</v>
      </c>
      <c r="M69" s="334"/>
      <c r="N69" s="158">
        <f t="shared" si="11"/>
        <v>0</v>
      </c>
      <c r="O69" s="158">
        <f t="shared" si="12"/>
        <v>0</v>
      </c>
      <c r="P69" s="4"/>
    </row>
    <row r="70" spans="2:16">
      <c r="B70" s="9" t="str">
        <f t="shared" si="5"/>
        <v/>
      </c>
      <c r="C70" s="153">
        <f>IF(D11="","-",+C69+1)</f>
        <v>2061</v>
      </c>
      <c r="D70" s="159">
        <f>IF(F69+SUM(E$17:E69)=D$10,F69,D$10-SUM(E$17:E69))</f>
        <v>0</v>
      </c>
      <c r="E70" s="160">
        <f>IF(+I14&lt;F69,I14,D70)</f>
        <v>0</v>
      </c>
      <c r="F70" s="159">
        <f t="shared" si="13"/>
        <v>0</v>
      </c>
      <c r="G70" s="161">
        <f t="shared" si="8"/>
        <v>0</v>
      </c>
      <c r="H70" s="142">
        <f t="shared" si="9"/>
        <v>0</v>
      </c>
      <c r="I70" s="156">
        <f t="shared" si="14"/>
        <v>0</v>
      </c>
      <c r="J70" s="156"/>
      <c r="K70" s="334"/>
      <c r="L70" s="158">
        <f t="shared" si="10"/>
        <v>0</v>
      </c>
      <c r="M70" s="334"/>
      <c r="N70" s="158">
        <f t="shared" si="11"/>
        <v>0</v>
      </c>
      <c r="O70" s="158">
        <f t="shared" si="12"/>
        <v>0</v>
      </c>
      <c r="P70" s="4"/>
    </row>
    <row r="71" spans="2:16">
      <c r="B71" s="9" t="str">
        <f t="shared" si="5"/>
        <v/>
      </c>
      <c r="C71" s="153">
        <f>IF(D11="","-",+C70+1)</f>
        <v>2062</v>
      </c>
      <c r="D71" s="159">
        <f>IF(F70+SUM(E$17:E70)=D$10,F70,D$10-SUM(E$17:E70))</f>
        <v>0</v>
      </c>
      <c r="E71" s="160">
        <f>IF(+I14&lt;F70,I14,D71)</f>
        <v>0</v>
      </c>
      <c r="F71" s="159">
        <f t="shared" si="13"/>
        <v>0</v>
      </c>
      <c r="G71" s="161">
        <f t="shared" si="8"/>
        <v>0</v>
      </c>
      <c r="H71" s="142">
        <f t="shared" si="9"/>
        <v>0</v>
      </c>
      <c r="I71" s="156">
        <f t="shared" si="14"/>
        <v>0</v>
      </c>
      <c r="J71" s="156"/>
      <c r="K71" s="334"/>
      <c r="L71" s="158">
        <f t="shared" si="10"/>
        <v>0</v>
      </c>
      <c r="M71" s="334"/>
      <c r="N71" s="158">
        <f t="shared" si="11"/>
        <v>0</v>
      </c>
      <c r="O71" s="158">
        <f t="shared" si="12"/>
        <v>0</v>
      </c>
      <c r="P71" s="4"/>
    </row>
    <row r="72" spans="2:16" ht="13.5" thickBot="1">
      <c r="B72" s="9" t="str">
        <f t="shared" si="5"/>
        <v/>
      </c>
      <c r="C72" s="164">
        <f>IF(D11="","-",+C71+1)</f>
        <v>2063</v>
      </c>
      <c r="D72" s="165">
        <f>IF(F71+SUM(E$17:E71)=D$10,F71,D$10-SUM(E$17:E71))</f>
        <v>0</v>
      </c>
      <c r="E72" s="166">
        <f>IF(+I14&lt;F71,I14,D72)</f>
        <v>0</v>
      </c>
      <c r="F72" s="165">
        <f t="shared" si="13"/>
        <v>0</v>
      </c>
      <c r="G72" s="161">
        <f t="shared" si="8"/>
        <v>0</v>
      </c>
      <c r="H72" s="142">
        <f t="shared" si="9"/>
        <v>0</v>
      </c>
      <c r="I72" s="168">
        <f t="shared" si="14"/>
        <v>0</v>
      </c>
      <c r="J72" s="156"/>
      <c r="K72" s="335"/>
      <c r="L72" s="169">
        <f t="shared" si="10"/>
        <v>0</v>
      </c>
      <c r="M72" s="335"/>
      <c r="N72" s="169">
        <f t="shared" si="11"/>
        <v>0</v>
      </c>
      <c r="O72" s="169">
        <f t="shared" si="12"/>
        <v>0</v>
      </c>
      <c r="P72" s="4"/>
    </row>
    <row r="73" spans="2:16">
      <c r="C73" s="154" t="s">
        <v>73</v>
      </c>
      <c r="D73" s="111"/>
      <c r="E73" s="111">
        <f>SUM(E17:E72)</f>
        <v>16318843.999999998</v>
      </c>
      <c r="F73" s="111"/>
      <c r="G73" s="111">
        <f>SUM(G17:G72)</f>
        <v>56383555.414591104</v>
      </c>
      <c r="H73" s="111">
        <f>SUM(H17:H72)</f>
        <v>56383555.414591104</v>
      </c>
      <c r="I73" s="111">
        <f>SUM(I17:I72)</f>
        <v>0</v>
      </c>
      <c r="J73" s="111"/>
      <c r="K73" s="111"/>
      <c r="L73" s="111"/>
      <c r="M73" s="111"/>
      <c r="N73" s="111"/>
      <c r="O73" s="4"/>
      <c r="P73" s="4"/>
    </row>
    <row r="74" spans="2:16">
      <c r="D74" s="2"/>
      <c r="E74" s="1"/>
      <c r="F74" s="1"/>
      <c r="G74" s="1"/>
      <c r="H74" s="3"/>
      <c r="I74" s="3"/>
      <c r="J74" s="111"/>
      <c r="K74" s="3"/>
      <c r="L74" s="3"/>
      <c r="M74" s="3"/>
      <c r="N74" s="3"/>
      <c r="O74" s="1"/>
      <c r="P74" s="1"/>
    </row>
    <row r="75" spans="2:16">
      <c r="C75" s="170" t="s">
        <v>91</v>
      </c>
      <c r="D75" s="2"/>
      <c r="E75" s="1"/>
      <c r="F75" s="1"/>
      <c r="G75" s="1"/>
      <c r="H75" s="3"/>
      <c r="I75" s="3"/>
      <c r="J75" s="111"/>
      <c r="K75" s="3"/>
      <c r="L75" s="3"/>
      <c r="M75" s="3"/>
      <c r="N75" s="3"/>
      <c r="O75" s="1"/>
      <c r="P75" s="1"/>
    </row>
    <row r="76" spans="2:16">
      <c r="C76" s="121" t="s">
        <v>74</v>
      </c>
      <c r="D76" s="2"/>
      <c r="E76" s="1"/>
      <c r="F76" s="1"/>
      <c r="G76" s="1"/>
      <c r="H76" s="3"/>
      <c r="I76" s="3"/>
      <c r="J76" s="111"/>
      <c r="K76" s="3"/>
      <c r="L76" s="3"/>
      <c r="M76" s="3"/>
      <c r="N76" s="3"/>
      <c r="O76" s="4"/>
      <c r="P76" s="4"/>
    </row>
    <row r="77" spans="2:16">
      <c r="C77" s="121" t="s">
        <v>75</v>
      </c>
      <c r="D77" s="154"/>
      <c r="E77" s="154"/>
      <c r="F77" s="154"/>
      <c r="G77" s="111"/>
      <c r="H77" s="111"/>
      <c r="I77" s="171"/>
      <c r="J77" s="171"/>
      <c r="K77" s="171"/>
      <c r="L77" s="171"/>
      <c r="M77" s="171"/>
      <c r="N77" s="171"/>
      <c r="O77" s="4"/>
      <c r="P77" s="4"/>
    </row>
    <row r="78" spans="2:16">
      <c r="C78" s="121"/>
      <c r="D78" s="154"/>
      <c r="E78" s="154"/>
      <c r="F78" s="154"/>
      <c r="G78" s="111"/>
      <c r="H78" s="111"/>
      <c r="I78" s="171"/>
      <c r="J78" s="171"/>
      <c r="K78" s="171"/>
      <c r="L78" s="171"/>
      <c r="M78" s="171"/>
      <c r="N78" s="171"/>
      <c r="O78" s="4"/>
      <c r="P78" s="1"/>
    </row>
    <row r="79" spans="2:16">
      <c r="B79" s="1"/>
      <c r="C79" s="21"/>
      <c r="D79" s="2"/>
      <c r="E79" s="1"/>
      <c r="F79" s="107"/>
      <c r="G79" s="1"/>
      <c r="H79" s="3"/>
      <c r="I79" s="1"/>
      <c r="J79" s="4"/>
      <c r="K79" s="1"/>
      <c r="L79" s="1"/>
      <c r="M79" s="1"/>
      <c r="N79" s="1"/>
      <c r="O79" s="1"/>
      <c r="P79" s="1"/>
    </row>
    <row r="80" spans="2:16" ht="18">
      <c r="B80" s="1"/>
      <c r="C80" s="242"/>
      <c r="D80" s="2"/>
      <c r="E80" s="1"/>
      <c r="F80" s="107"/>
      <c r="G80" s="1"/>
      <c r="H80" s="3"/>
      <c r="I80" s="1"/>
      <c r="J80" s="4"/>
      <c r="K80" s="1"/>
      <c r="L80" s="1"/>
      <c r="M80" s="1"/>
      <c r="N80" s="1"/>
      <c r="P80" s="244" t="s">
        <v>125</v>
      </c>
    </row>
    <row r="81" spans="1:16">
      <c r="B81" s="1"/>
      <c r="C81" s="21"/>
      <c r="D81" s="2"/>
      <c r="E81" s="1"/>
      <c r="F81" s="107"/>
      <c r="G81" s="1"/>
      <c r="H81" s="3"/>
      <c r="I81" s="1"/>
      <c r="J81" s="4"/>
      <c r="K81" s="1"/>
      <c r="L81" s="1"/>
      <c r="M81" s="1"/>
      <c r="N81" s="1"/>
      <c r="O81" s="1"/>
      <c r="P81" s="1"/>
    </row>
    <row r="82" spans="1:16">
      <c r="B82" s="1"/>
      <c r="C82" s="21"/>
      <c r="D82" s="2"/>
      <c r="E82" s="1"/>
      <c r="F82" s="107"/>
      <c r="G82" s="1"/>
      <c r="H82" s="3"/>
      <c r="I82" s="1"/>
      <c r="J82" s="4"/>
      <c r="K82" s="1"/>
      <c r="L82" s="1"/>
      <c r="M82" s="1"/>
      <c r="N82" s="1"/>
      <c r="O82" s="1"/>
      <c r="P82" s="1"/>
    </row>
    <row r="83" spans="1:16" ht="20.25">
      <c r="A83" s="243" t="s">
        <v>129</v>
      </c>
      <c r="B83" s="1"/>
      <c r="C83" s="21"/>
      <c r="D83" s="2"/>
      <c r="E83" s="1"/>
      <c r="F83" s="99"/>
      <c r="G83" s="99"/>
      <c r="H83" s="1"/>
      <c r="I83" s="3"/>
      <c r="K83" s="7"/>
      <c r="L83" s="109"/>
      <c r="M83" s="109"/>
      <c r="P83" s="109" t="str">
        <f ca="1">P1</f>
        <v>SWEPCO Project 46 of 73</v>
      </c>
    </row>
    <row r="84" spans="1:16" ht="18">
      <c r="B84" s="1"/>
      <c r="C84" s="1"/>
      <c r="D84" s="2"/>
      <c r="E84" s="1"/>
      <c r="F84" s="1"/>
      <c r="G84" s="1"/>
      <c r="H84" s="1"/>
      <c r="I84" s="3"/>
      <c r="J84" s="1"/>
      <c r="K84" s="4"/>
      <c r="L84" s="1"/>
      <c r="M84" s="1"/>
      <c r="P84" s="244" t="s">
        <v>123</v>
      </c>
    </row>
    <row r="85" spans="1:16" ht="18.75" thickBot="1">
      <c r="B85" s="5" t="s">
        <v>40</v>
      </c>
      <c r="C85" s="197" t="s">
        <v>78</v>
      </c>
      <c r="D85" s="2"/>
      <c r="E85" s="1"/>
      <c r="F85" s="1"/>
      <c r="G85" s="1"/>
      <c r="H85" s="1"/>
      <c r="I85" s="3"/>
      <c r="J85" s="3"/>
      <c r="K85" s="111"/>
      <c r="L85" s="3"/>
      <c r="M85" s="3"/>
      <c r="N85" s="3"/>
      <c r="O85" s="111"/>
      <c r="P85" s="1"/>
    </row>
    <row r="86" spans="1:16" ht="15.75" thickBot="1">
      <c r="C86" s="67"/>
      <c r="D86" s="2"/>
      <c r="E86" s="1"/>
      <c r="F86" s="1"/>
      <c r="G86" s="1"/>
      <c r="H86" s="1"/>
      <c r="I86" s="3"/>
      <c r="J86" s="3"/>
      <c r="K86" s="111"/>
      <c r="L86" s="265">
        <f>+J92</f>
        <v>2017</v>
      </c>
      <c r="M86" s="266" t="s">
        <v>7</v>
      </c>
      <c r="N86" s="270" t="s">
        <v>154</v>
      </c>
      <c r="O86" s="267" t="s">
        <v>9</v>
      </c>
      <c r="P86" s="1"/>
    </row>
    <row r="87" spans="1:16" ht="15">
      <c r="C87" s="235" t="s">
        <v>42</v>
      </c>
      <c r="D87" s="2"/>
      <c r="E87" s="1"/>
      <c r="F87" s="1"/>
      <c r="G87" s="1"/>
      <c r="H87" s="113"/>
      <c r="I87" s="1" t="s">
        <v>43</v>
      </c>
      <c r="J87" s="1"/>
      <c r="K87" s="261"/>
      <c r="L87" s="259" t="s">
        <v>381</v>
      </c>
      <c r="M87" s="198">
        <f>IF(J92&lt;D11,0,VLOOKUP(J92,C17:O72,9))</f>
        <v>1964599.9963135775</v>
      </c>
      <c r="N87" s="198">
        <f>IF(J92&lt;D11,0,VLOOKUP(J92,C17:O72,11))</f>
        <v>1964599.9963135775</v>
      </c>
      <c r="O87" s="199">
        <f>+N87-M87</f>
        <v>0</v>
      </c>
      <c r="P87" s="1"/>
    </row>
    <row r="88" spans="1:16" ht="15.75">
      <c r="C88" s="8"/>
      <c r="D88" s="2"/>
      <c r="E88" s="1"/>
      <c r="F88" s="1"/>
      <c r="G88" s="1"/>
      <c r="H88" s="1"/>
      <c r="I88" s="117"/>
      <c r="J88" s="117"/>
      <c r="K88" s="263"/>
      <c r="L88" s="264" t="s">
        <v>382</v>
      </c>
      <c r="M88" s="200">
        <f>IF(J92&lt;D11,0,VLOOKUP(J92,C99:P154,6))</f>
        <v>2261320.7330641602</v>
      </c>
      <c r="N88" s="200">
        <f>IF(J92&lt;D11,0,VLOOKUP(J92,C99:P154,7))</f>
        <v>2261320.7330641602</v>
      </c>
      <c r="O88" s="201">
        <f>+N88-M88</f>
        <v>0</v>
      </c>
      <c r="P88" s="1"/>
    </row>
    <row r="89" spans="1:16" ht="13.5" thickBot="1">
      <c r="C89" s="121" t="s">
        <v>79</v>
      </c>
      <c r="D89" s="246" t="str">
        <f>+D7</f>
        <v>CHAMBER SPRINGS - TONTITOWN 345KV CKT 1</v>
      </c>
      <c r="E89" s="1"/>
      <c r="F89" s="1"/>
      <c r="G89" s="1"/>
      <c r="H89" s="1"/>
      <c r="I89" s="3"/>
      <c r="J89" s="3"/>
      <c r="K89" s="262"/>
      <c r="L89" s="260" t="s">
        <v>151</v>
      </c>
      <c r="M89" s="203">
        <f>+M88-M87</f>
        <v>296720.7367505827</v>
      </c>
      <c r="N89" s="203">
        <f>+N88-N87</f>
        <v>296720.7367505827</v>
      </c>
      <c r="O89" s="204">
        <f>+O88-O87</f>
        <v>0</v>
      </c>
      <c r="P89" s="1"/>
    </row>
    <row r="90" spans="1:16" ht="13.5" thickBot="1">
      <c r="C90" s="170"/>
      <c r="D90" s="421" t="str">
        <f>S.045!D90</f>
        <v xml:space="preserve">***Sch. 11 recovery commenced in the 2015 rate year.  Beg Bal = to depreciated balance as of 1/1/15. *** </v>
      </c>
      <c r="E90" s="107"/>
      <c r="F90" s="107"/>
      <c r="G90" s="107"/>
      <c r="H90" s="126"/>
      <c r="I90" s="3"/>
      <c r="J90" s="3"/>
      <c r="K90" s="111"/>
      <c r="L90" s="3"/>
      <c r="M90" s="3"/>
      <c r="N90" s="3"/>
      <c r="O90" s="111"/>
      <c r="P90" s="1"/>
    </row>
    <row r="91" spans="1:16" ht="13.5" thickBot="1">
      <c r="A91" s="103"/>
      <c r="C91" s="205" t="s">
        <v>80</v>
      </c>
      <c r="D91" s="224" t="str">
        <f>+D9</f>
        <v>TP2002123</v>
      </c>
      <c r="E91" s="206"/>
      <c r="F91" s="206"/>
      <c r="G91" s="206"/>
      <c r="H91" s="206"/>
      <c r="I91" s="206"/>
      <c r="J91" s="206"/>
      <c r="K91" s="207"/>
      <c r="P91" s="131"/>
    </row>
    <row r="92" spans="1:16">
      <c r="C92" s="136" t="s">
        <v>47</v>
      </c>
      <c r="D92" s="417">
        <v>16318844</v>
      </c>
      <c r="E92" s="21" t="s">
        <v>81</v>
      </c>
      <c r="H92" s="134"/>
      <c r="I92" s="134"/>
      <c r="J92" s="135">
        <f>+'SWE.WS.G.BPU.ATRR.True-up'!M15</f>
        <v>2017</v>
      </c>
      <c r="K92" s="130"/>
      <c r="L92" s="111" t="s">
        <v>82</v>
      </c>
      <c r="P92" s="4"/>
    </row>
    <row r="93" spans="1:16">
      <c r="C93" s="136" t="s">
        <v>49</v>
      </c>
      <c r="D93" s="219">
        <f>D11</f>
        <v>2008</v>
      </c>
      <c r="E93" s="136" t="s">
        <v>50</v>
      </c>
      <c r="F93" s="134"/>
      <c r="G93" s="134"/>
      <c r="J93" s="138">
        <f>IF(H87="",0,'SWE.WS.G.BPU.ATRR.True-up'!$F$12)</f>
        <v>0</v>
      </c>
      <c r="K93" s="139"/>
      <c r="L93" t="str">
        <f>"          INPUT TRUE-UP ARR (WITH &amp; WITHOUT INCENTIVES) FROM EACH PRIOR YEAR"</f>
        <v xml:space="preserve">          INPUT TRUE-UP ARR (WITH &amp; WITHOUT INCENTIVES) FROM EACH PRIOR YEAR</v>
      </c>
      <c r="P93" s="4"/>
    </row>
    <row r="94" spans="1:16">
      <c r="C94" s="136" t="s">
        <v>51</v>
      </c>
      <c r="D94" s="219">
        <f>D12</f>
        <v>5</v>
      </c>
      <c r="E94" s="136" t="s">
        <v>52</v>
      </c>
      <c r="F94" s="134"/>
      <c r="G94" s="134"/>
      <c r="J94" s="140">
        <f>'SWE.WS.G.BPU.ATRR.True-up'!$F$80</f>
        <v>0.12147145768398206</v>
      </c>
      <c r="K94" s="141"/>
      <c r="L94" t="s">
        <v>83</v>
      </c>
      <c r="P94" s="4"/>
    </row>
    <row r="95" spans="1:16">
      <c r="C95" s="136" t="s">
        <v>54</v>
      </c>
      <c r="D95" s="138">
        <f>'SWE.WS.G.BPU.ATRR.True-up'!F$92</f>
        <v>42</v>
      </c>
      <c r="E95" s="136" t="s">
        <v>55</v>
      </c>
      <c r="F95" s="134"/>
      <c r="G95" s="134"/>
      <c r="J95" s="140">
        <f>IF(H87="",J94,'SWE.WS.G.BPU.ATRR.True-up'!$F$79)</f>
        <v>0.12147145768398206</v>
      </c>
      <c r="K95" s="58"/>
      <c r="L95" s="111" t="s">
        <v>56</v>
      </c>
      <c r="M95" s="58"/>
      <c r="N95" s="58"/>
      <c r="O95" s="58"/>
      <c r="P95" s="4"/>
    </row>
    <row r="96" spans="1:16" ht="13.5" thickBot="1">
      <c r="C96" s="136" t="s">
        <v>57</v>
      </c>
      <c r="D96" s="220" t="str">
        <f>+D14</f>
        <v>No</v>
      </c>
      <c r="E96" s="202" t="s">
        <v>59</v>
      </c>
      <c r="F96" s="208"/>
      <c r="G96" s="208"/>
      <c r="H96" s="209"/>
      <c r="I96" s="209"/>
      <c r="J96" s="124">
        <f>IF(D92=0,0,D92/D95)</f>
        <v>388543.90476190473</v>
      </c>
      <c r="K96" s="111"/>
      <c r="L96" s="111"/>
      <c r="M96" s="111"/>
      <c r="N96" s="111"/>
      <c r="O96" s="111"/>
      <c r="P96" s="4"/>
    </row>
    <row r="97" spans="1:16" ht="38.25">
      <c r="A97" s="6"/>
      <c r="B97" s="6"/>
      <c r="C97" s="210" t="s">
        <v>47</v>
      </c>
      <c r="D97" s="211" t="s">
        <v>60</v>
      </c>
      <c r="E97" s="146" t="s">
        <v>61</v>
      </c>
      <c r="F97" s="146" t="s">
        <v>62</v>
      </c>
      <c r="G97" s="144" t="s">
        <v>84</v>
      </c>
      <c r="H97" s="434" t="s">
        <v>378</v>
      </c>
      <c r="I97" s="435" t="s">
        <v>379</v>
      </c>
      <c r="J97" s="210" t="s">
        <v>85</v>
      </c>
      <c r="K97" s="212"/>
      <c r="L97" s="271" t="s">
        <v>220</v>
      </c>
      <c r="M97" s="146" t="s">
        <v>86</v>
      </c>
      <c r="N97" s="271" t="s">
        <v>220</v>
      </c>
      <c r="O97" s="146" t="s">
        <v>86</v>
      </c>
      <c r="P97" s="146" t="s">
        <v>65</v>
      </c>
    </row>
    <row r="98" spans="1:16" ht="13.5" thickBot="1">
      <c r="C98" s="147" t="s">
        <v>66</v>
      </c>
      <c r="D98" s="213" t="s">
        <v>67</v>
      </c>
      <c r="E98" s="147" t="s">
        <v>68</v>
      </c>
      <c r="F98" s="147" t="s">
        <v>67</v>
      </c>
      <c r="G98" s="147" t="s">
        <v>67</v>
      </c>
      <c r="H98" s="407" t="s">
        <v>69</v>
      </c>
      <c r="I98" s="148" t="s">
        <v>70</v>
      </c>
      <c r="J98" s="149" t="s">
        <v>89</v>
      </c>
      <c r="K98" s="150"/>
      <c r="L98" s="151" t="s">
        <v>72</v>
      </c>
      <c r="M98" s="151" t="s">
        <v>72</v>
      </c>
      <c r="N98" s="151" t="s">
        <v>90</v>
      </c>
      <c r="O98" s="151" t="s">
        <v>90</v>
      </c>
      <c r="P98" s="151" t="s">
        <v>90</v>
      </c>
    </row>
    <row r="99" spans="1:16">
      <c r="C99" s="153">
        <f>IF(D93= "","-",D93)</f>
        <v>2008</v>
      </c>
      <c r="D99" s="154"/>
      <c r="E99" s="161"/>
      <c r="F99" s="159"/>
      <c r="G99" s="214"/>
      <c r="H99" s="251"/>
      <c r="I99" s="252"/>
      <c r="J99" s="158"/>
      <c r="K99" s="158"/>
      <c r="L99" s="256"/>
      <c r="M99" s="157">
        <f t="shared" ref="M99:M130" si="15">IF(L99&lt;&gt;0,+H99-L99,0)</f>
        <v>0</v>
      </c>
      <c r="N99" s="256"/>
      <c r="O99" s="157">
        <f t="shared" ref="O99:O130" si="16">IF(N99&lt;&gt;0,+I99-N99,0)</f>
        <v>0</v>
      </c>
      <c r="P99" s="157">
        <f t="shared" ref="P99:P130" si="17">+O99-M99</f>
        <v>0</v>
      </c>
    </row>
    <row r="100" spans="1:16">
      <c r="B100" s="9" t="str">
        <f>IF(D100=F99,"","IU")</f>
        <v/>
      </c>
      <c r="C100" s="153">
        <f>IF(D93="","-",+C99+1)</f>
        <v>2009</v>
      </c>
      <c r="D100" s="154"/>
      <c r="E100" s="160"/>
      <c r="F100" s="159"/>
      <c r="G100" s="159"/>
      <c r="H100" s="163"/>
      <c r="I100" s="253"/>
      <c r="J100" s="158"/>
      <c r="K100" s="158"/>
      <c r="L100" s="258"/>
      <c r="M100" s="158">
        <f t="shared" si="15"/>
        <v>0</v>
      </c>
      <c r="N100" s="258"/>
      <c r="O100" s="158">
        <f t="shared" si="16"/>
        <v>0</v>
      </c>
      <c r="P100" s="158">
        <f t="shared" si="17"/>
        <v>0</v>
      </c>
    </row>
    <row r="101" spans="1:16">
      <c r="B101" s="9" t="str">
        <f t="shared" ref="B101:B154" si="18">IF(D101=F100,"","IU")</f>
        <v/>
      </c>
      <c r="C101" s="153">
        <f>IF(D93="","-",+C100+1)</f>
        <v>2010</v>
      </c>
      <c r="D101" s="154"/>
      <c r="E101" s="160"/>
      <c r="F101" s="159"/>
      <c r="G101" s="159"/>
      <c r="H101" s="163"/>
      <c r="I101" s="253"/>
      <c r="J101" s="158"/>
      <c r="K101" s="158"/>
      <c r="L101" s="258"/>
      <c r="M101" s="158">
        <f t="shared" si="15"/>
        <v>0</v>
      </c>
      <c r="N101" s="258"/>
      <c r="O101" s="158">
        <f t="shared" si="16"/>
        <v>0</v>
      </c>
      <c r="P101" s="158">
        <f t="shared" si="17"/>
        <v>0</v>
      </c>
    </row>
    <row r="102" spans="1:16">
      <c r="B102" s="9" t="str">
        <f t="shared" si="18"/>
        <v/>
      </c>
      <c r="C102" s="153">
        <f>IF(D93="","-",+C101+1)</f>
        <v>2011</v>
      </c>
      <c r="D102" s="154"/>
      <c r="E102" s="160"/>
      <c r="F102" s="159"/>
      <c r="G102" s="159"/>
      <c r="H102" s="163"/>
      <c r="I102" s="253"/>
      <c r="J102" s="158"/>
      <c r="K102" s="158"/>
      <c r="L102" s="258"/>
      <c r="M102" s="158">
        <f t="shared" si="15"/>
        <v>0</v>
      </c>
      <c r="N102" s="258"/>
      <c r="O102" s="158">
        <f t="shared" si="16"/>
        <v>0</v>
      </c>
      <c r="P102" s="158">
        <f t="shared" si="17"/>
        <v>0</v>
      </c>
    </row>
    <row r="103" spans="1:16">
      <c r="B103" s="9" t="str">
        <f t="shared" si="18"/>
        <v/>
      </c>
      <c r="C103" s="153">
        <f>IF(D93="","-",+C102+1)</f>
        <v>2012</v>
      </c>
      <c r="D103" s="154"/>
      <c r="E103" s="160"/>
      <c r="F103" s="159"/>
      <c r="G103" s="159"/>
      <c r="H103" s="163"/>
      <c r="I103" s="253"/>
      <c r="J103" s="158"/>
      <c r="K103" s="158"/>
      <c r="L103" s="258"/>
      <c r="M103" s="158">
        <f t="shared" si="15"/>
        <v>0</v>
      </c>
      <c r="N103" s="258"/>
      <c r="O103" s="158">
        <f t="shared" si="16"/>
        <v>0</v>
      </c>
      <c r="P103" s="158">
        <f t="shared" si="17"/>
        <v>0</v>
      </c>
    </row>
    <row r="104" spans="1:16">
      <c r="B104" s="9" t="str">
        <f t="shared" si="18"/>
        <v/>
      </c>
      <c r="C104" s="153">
        <f>IF(D93="","-",+C103+1)</f>
        <v>2013</v>
      </c>
      <c r="D104" s="154"/>
      <c r="E104" s="160"/>
      <c r="F104" s="159"/>
      <c r="G104" s="159"/>
      <c r="H104" s="163"/>
      <c r="I104" s="253"/>
      <c r="J104" s="158"/>
      <c r="K104" s="158"/>
      <c r="L104" s="258"/>
      <c r="M104" s="158">
        <f t="shared" si="15"/>
        <v>0</v>
      </c>
      <c r="N104" s="258"/>
      <c r="O104" s="158">
        <f t="shared" si="16"/>
        <v>0</v>
      </c>
      <c r="P104" s="158">
        <f t="shared" si="17"/>
        <v>0</v>
      </c>
    </row>
    <row r="105" spans="1:16">
      <c r="B105" s="9" t="str">
        <f t="shared" si="18"/>
        <v/>
      </c>
      <c r="C105" s="153">
        <f>IF(D93="","-",+C104+1)</f>
        <v>2014</v>
      </c>
      <c r="D105" s="154"/>
      <c r="E105" s="160"/>
      <c r="F105" s="159"/>
      <c r="G105" s="159"/>
      <c r="H105" s="163"/>
      <c r="I105" s="253"/>
      <c r="J105" s="158"/>
      <c r="K105" s="158"/>
      <c r="L105" s="258"/>
      <c r="M105" s="158">
        <f t="shared" si="15"/>
        <v>0</v>
      </c>
      <c r="N105" s="258"/>
      <c r="O105" s="158">
        <f t="shared" si="16"/>
        <v>0</v>
      </c>
      <c r="P105" s="158">
        <f t="shared" si="17"/>
        <v>0</v>
      </c>
    </row>
    <row r="106" spans="1:16">
      <c r="B106" s="9" t="str">
        <f t="shared" si="18"/>
        <v>IU</v>
      </c>
      <c r="C106" s="153">
        <f>IF(D93="","-",+C105+1)</f>
        <v>2015</v>
      </c>
      <c r="D106" s="409">
        <v>13760929.960317459</v>
      </c>
      <c r="E106" s="410">
        <v>327641.18953136809</v>
      </c>
      <c r="F106" s="411">
        <v>13433288.770786092</v>
      </c>
      <c r="G106" s="411">
        <v>13597109.365551775</v>
      </c>
      <c r="H106" s="413">
        <v>2119317.0329736611</v>
      </c>
      <c r="I106" s="414">
        <v>2119317.0329736611</v>
      </c>
      <c r="J106" s="158">
        <f>+I106-H106</f>
        <v>0</v>
      </c>
      <c r="K106" s="158"/>
      <c r="L106" s="258">
        <f>+H106</f>
        <v>2119317.0329736611</v>
      </c>
      <c r="M106" s="158">
        <f t="shared" si="15"/>
        <v>0</v>
      </c>
      <c r="N106" s="258">
        <f>+I106</f>
        <v>2119317.0329736611</v>
      </c>
      <c r="O106" s="158">
        <f t="shared" si="16"/>
        <v>0</v>
      </c>
      <c r="P106" s="158">
        <f t="shared" si="17"/>
        <v>0</v>
      </c>
    </row>
    <row r="107" spans="1:16">
      <c r="B107" s="9" t="str">
        <f t="shared" si="18"/>
        <v>IU</v>
      </c>
      <c r="C107" s="153">
        <f>IF(D93="","-",+C106+1)</f>
        <v>2016</v>
      </c>
      <c r="D107" s="409">
        <v>15991202.810468633</v>
      </c>
      <c r="E107" s="410">
        <v>379508</v>
      </c>
      <c r="F107" s="411">
        <v>15611694.810468633</v>
      </c>
      <c r="G107" s="411">
        <v>15801448.810468633</v>
      </c>
      <c r="H107" s="413">
        <v>2385501.7414281433</v>
      </c>
      <c r="I107" s="414">
        <v>2385501.7414281433</v>
      </c>
      <c r="J107" s="158">
        <v>0</v>
      </c>
      <c r="K107" s="158"/>
      <c r="L107" s="258">
        <f>+H107</f>
        <v>2385501.7414281433</v>
      </c>
      <c r="M107" s="158">
        <f>IF(L107&lt;&gt;0,+H107-L107,0)</f>
        <v>0</v>
      </c>
      <c r="N107" s="258">
        <f>+I107</f>
        <v>2385501.7414281433</v>
      </c>
      <c r="O107" s="158">
        <f>IF(N107&lt;&gt;0,+I107-N107,0)</f>
        <v>0</v>
      </c>
      <c r="P107" s="158">
        <f>+O107-M107</f>
        <v>0</v>
      </c>
    </row>
    <row r="108" spans="1:16">
      <c r="B108" s="9" t="str">
        <f t="shared" si="18"/>
        <v/>
      </c>
      <c r="C108" s="153">
        <f>IF(D93="","-",+C107+1)</f>
        <v>2017</v>
      </c>
      <c r="D108" s="154">
        <f>IF(F107+SUM(E$99:E107)=D$92,F107,D$92-SUM(E$99:E107))</f>
        <v>15611694.810468633</v>
      </c>
      <c r="E108" s="160">
        <f t="shared" ref="E108:E154" si="19">IF(+$J$96&lt;F107,$J$96,D108)</f>
        <v>388543.90476190473</v>
      </c>
      <c r="F108" s="159">
        <f t="shared" ref="F108:F154" si="20">+D108-E108</f>
        <v>15223150.905706728</v>
      </c>
      <c r="G108" s="159">
        <f t="shared" ref="G108:G154" si="21">+(F108+D108)/2</f>
        <v>15417422.858087681</v>
      </c>
      <c r="H108" s="163">
        <f t="shared" ref="H108:H154" si="22">+J$94*G108+E108</f>
        <v>2261320.7330641602</v>
      </c>
      <c r="I108" s="253">
        <f t="shared" ref="I108:I154" si="23">+J$95*G108+E108</f>
        <v>2261320.7330641602</v>
      </c>
      <c r="J108" s="158">
        <f t="shared" ref="J108:J154" si="24">+I108-H108</f>
        <v>0</v>
      </c>
      <c r="K108" s="158"/>
      <c r="L108" s="334"/>
      <c r="M108" s="158">
        <f t="shared" si="15"/>
        <v>0</v>
      </c>
      <c r="N108" s="334"/>
      <c r="O108" s="158">
        <f t="shared" si="16"/>
        <v>0</v>
      </c>
      <c r="P108" s="158">
        <f t="shared" si="17"/>
        <v>0</v>
      </c>
    </row>
    <row r="109" spans="1:16">
      <c r="B109" s="9" t="str">
        <f t="shared" si="18"/>
        <v/>
      </c>
      <c r="C109" s="153">
        <f>IF(D93="","-",+C108+1)</f>
        <v>2018</v>
      </c>
      <c r="D109" s="154">
        <f>IF(F108+SUM(E$99:E108)=D$92,F108,D$92-SUM(E$99:E108))</f>
        <v>15223150.905706728</v>
      </c>
      <c r="E109" s="160">
        <f t="shared" si="19"/>
        <v>388543.90476190473</v>
      </c>
      <c r="F109" s="159">
        <f t="shared" si="20"/>
        <v>14834607.000944823</v>
      </c>
      <c r="G109" s="159">
        <f t="shared" si="21"/>
        <v>15028878.953325775</v>
      </c>
      <c r="H109" s="163">
        <f t="shared" si="22"/>
        <v>2214123.7385785049</v>
      </c>
      <c r="I109" s="253">
        <f t="shared" si="23"/>
        <v>2214123.7385785049</v>
      </c>
      <c r="J109" s="158">
        <f t="shared" si="24"/>
        <v>0</v>
      </c>
      <c r="K109" s="158"/>
      <c r="L109" s="334"/>
      <c r="M109" s="158">
        <f t="shared" si="15"/>
        <v>0</v>
      </c>
      <c r="N109" s="334"/>
      <c r="O109" s="158">
        <f t="shared" si="16"/>
        <v>0</v>
      </c>
      <c r="P109" s="158">
        <f t="shared" si="17"/>
        <v>0</v>
      </c>
    </row>
    <row r="110" spans="1:16">
      <c r="B110" s="9" t="str">
        <f t="shared" si="18"/>
        <v/>
      </c>
      <c r="C110" s="153">
        <f>IF(D93="","-",+C109+1)</f>
        <v>2019</v>
      </c>
      <c r="D110" s="154">
        <f>IF(F109+SUM(E$99:E109)=D$92,F109,D$92-SUM(E$99:E109))</f>
        <v>14834607.000944823</v>
      </c>
      <c r="E110" s="160">
        <f t="shared" si="19"/>
        <v>388543.90476190473</v>
      </c>
      <c r="F110" s="159">
        <f t="shared" si="20"/>
        <v>14446063.096182918</v>
      </c>
      <c r="G110" s="159">
        <f t="shared" si="21"/>
        <v>14640335.048563872</v>
      </c>
      <c r="H110" s="163">
        <f t="shared" si="22"/>
        <v>2166926.7440928505</v>
      </c>
      <c r="I110" s="253">
        <f t="shared" si="23"/>
        <v>2166926.7440928505</v>
      </c>
      <c r="J110" s="158">
        <f t="shared" si="24"/>
        <v>0</v>
      </c>
      <c r="K110" s="158"/>
      <c r="L110" s="334"/>
      <c r="M110" s="158">
        <f t="shared" si="15"/>
        <v>0</v>
      </c>
      <c r="N110" s="334"/>
      <c r="O110" s="158">
        <f t="shared" si="16"/>
        <v>0</v>
      </c>
      <c r="P110" s="158">
        <f t="shared" si="17"/>
        <v>0</v>
      </c>
    </row>
    <row r="111" spans="1:16">
      <c r="B111" s="9" t="str">
        <f t="shared" si="18"/>
        <v/>
      </c>
      <c r="C111" s="153">
        <f>IF(D93="","-",+C110+1)</f>
        <v>2020</v>
      </c>
      <c r="D111" s="154">
        <f>IF(F110+SUM(E$99:E110)=D$92,F110,D$92-SUM(E$99:E110))</f>
        <v>14446063.096182918</v>
      </c>
      <c r="E111" s="160">
        <f t="shared" si="19"/>
        <v>388543.90476190473</v>
      </c>
      <c r="F111" s="159">
        <f t="shared" si="20"/>
        <v>14057519.191421013</v>
      </c>
      <c r="G111" s="159">
        <f t="shared" si="21"/>
        <v>14251791.143801965</v>
      </c>
      <c r="H111" s="163">
        <f t="shared" si="22"/>
        <v>2119729.7496071951</v>
      </c>
      <c r="I111" s="253">
        <f t="shared" si="23"/>
        <v>2119729.7496071951</v>
      </c>
      <c r="J111" s="158">
        <f t="shared" si="24"/>
        <v>0</v>
      </c>
      <c r="K111" s="158"/>
      <c r="L111" s="334"/>
      <c r="M111" s="158">
        <f t="shared" si="15"/>
        <v>0</v>
      </c>
      <c r="N111" s="334"/>
      <c r="O111" s="158">
        <f t="shared" si="16"/>
        <v>0</v>
      </c>
      <c r="P111" s="158">
        <f t="shared" si="17"/>
        <v>0</v>
      </c>
    </row>
    <row r="112" spans="1:16">
      <c r="B112" s="9" t="str">
        <f t="shared" si="18"/>
        <v/>
      </c>
      <c r="C112" s="153">
        <f>IF(D93="","-",+C111+1)</f>
        <v>2021</v>
      </c>
      <c r="D112" s="154">
        <f>IF(F111+SUM(E$99:E111)=D$92,F111,D$92-SUM(E$99:E111))</f>
        <v>14057519.191421013</v>
      </c>
      <c r="E112" s="160">
        <f t="shared" si="19"/>
        <v>388543.90476190473</v>
      </c>
      <c r="F112" s="159">
        <f t="shared" si="20"/>
        <v>13668975.286659108</v>
      </c>
      <c r="G112" s="159">
        <f t="shared" si="21"/>
        <v>13863247.239040062</v>
      </c>
      <c r="H112" s="163">
        <f t="shared" si="22"/>
        <v>2072532.7551215407</v>
      </c>
      <c r="I112" s="253">
        <f t="shared" si="23"/>
        <v>2072532.7551215407</v>
      </c>
      <c r="J112" s="158">
        <f t="shared" si="24"/>
        <v>0</v>
      </c>
      <c r="K112" s="158"/>
      <c r="L112" s="334"/>
      <c r="M112" s="158">
        <f t="shared" si="15"/>
        <v>0</v>
      </c>
      <c r="N112" s="334"/>
      <c r="O112" s="158">
        <f t="shared" si="16"/>
        <v>0</v>
      </c>
      <c r="P112" s="158">
        <f t="shared" si="17"/>
        <v>0</v>
      </c>
    </row>
    <row r="113" spans="2:16">
      <c r="B113" s="9" t="str">
        <f t="shared" si="18"/>
        <v/>
      </c>
      <c r="C113" s="153">
        <f>IF(D93="","-",+C112+1)</f>
        <v>2022</v>
      </c>
      <c r="D113" s="154">
        <f>IF(F112+SUM(E$99:E112)=D$92,F112,D$92-SUM(E$99:E112))</f>
        <v>13668975.286659108</v>
      </c>
      <c r="E113" s="160">
        <f t="shared" si="19"/>
        <v>388543.90476190473</v>
      </c>
      <c r="F113" s="159">
        <f t="shared" si="20"/>
        <v>13280431.381897204</v>
      </c>
      <c r="G113" s="159">
        <f t="shared" si="21"/>
        <v>13474703.334278155</v>
      </c>
      <c r="H113" s="163">
        <f t="shared" si="22"/>
        <v>2025335.7606358854</v>
      </c>
      <c r="I113" s="253">
        <f t="shared" si="23"/>
        <v>2025335.7606358854</v>
      </c>
      <c r="J113" s="158">
        <f t="shared" si="24"/>
        <v>0</v>
      </c>
      <c r="K113" s="158"/>
      <c r="L113" s="334"/>
      <c r="M113" s="158">
        <f t="shared" si="15"/>
        <v>0</v>
      </c>
      <c r="N113" s="334"/>
      <c r="O113" s="158">
        <f t="shared" si="16"/>
        <v>0</v>
      </c>
      <c r="P113" s="158">
        <f t="shared" si="17"/>
        <v>0</v>
      </c>
    </row>
    <row r="114" spans="2:16">
      <c r="B114" s="9" t="str">
        <f t="shared" si="18"/>
        <v/>
      </c>
      <c r="C114" s="153">
        <f>IF(D93="","-",+C113+1)</f>
        <v>2023</v>
      </c>
      <c r="D114" s="154">
        <f>IF(F113+SUM(E$99:E113)=D$92,F113,D$92-SUM(E$99:E113))</f>
        <v>13280431.381897204</v>
      </c>
      <c r="E114" s="160">
        <f t="shared" si="19"/>
        <v>388543.90476190473</v>
      </c>
      <c r="F114" s="159">
        <f t="shared" si="20"/>
        <v>12891887.477135299</v>
      </c>
      <c r="G114" s="159">
        <f t="shared" si="21"/>
        <v>13086159.429516252</v>
      </c>
      <c r="H114" s="163">
        <f t="shared" si="22"/>
        <v>1978138.766150231</v>
      </c>
      <c r="I114" s="253">
        <f t="shared" si="23"/>
        <v>1978138.766150231</v>
      </c>
      <c r="J114" s="158">
        <f t="shared" si="24"/>
        <v>0</v>
      </c>
      <c r="K114" s="158"/>
      <c r="L114" s="334"/>
      <c r="M114" s="158">
        <f t="shared" si="15"/>
        <v>0</v>
      </c>
      <c r="N114" s="334"/>
      <c r="O114" s="158">
        <f t="shared" si="16"/>
        <v>0</v>
      </c>
      <c r="P114" s="158">
        <f t="shared" si="17"/>
        <v>0</v>
      </c>
    </row>
    <row r="115" spans="2:16">
      <c r="B115" s="9" t="str">
        <f t="shared" si="18"/>
        <v/>
      </c>
      <c r="C115" s="153">
        <f>IF(D93="","-",+C114+1)</f>
        <v>2024</v>
      </c>
      <c r="D115" s="154">
        <f>IF(F114+SUM(E$99:E114)=D$92,F114,D$92-SUM(E$99:E114))</f>
        <v>12891887.477135299</v>
      </c>
      <c r="E115" s="160">
        <f t="shared" si="19"/>
        <v>388543.90476190473</v>
      </c>
      <c r="F115" s="159">
        <f t="shared" si="20"/>
        <v>12503343.572373394</v>
      </c>
      <c r="G115" s="159">
        <f t="shared" si="21"/>
        <v>12697615.524754345</v>
      </c>
      <c r="H115" s="163">
        <f t="shared" si="22"/>
        <v>1930941.7716645757</v>
      </c>
      <c r="I115" s="253">
        <f t="shared" si="23"/>
        <v>1930941.7716645757</v>
      </c>
      <c r="J115" s="158">
        <f t="shared" si="24"/>
        <v>0</v>
      </c>
      <c r="K115" s="158"/>
      <c r="L115" s="334"/>
      <c r="M115" s="158">
        <f t="shared" si="15"/>
        <v>0</v>
      </c>
      <c r="N115" s="334"/>
      <c r="O115" s="158">
        <f t="shared" si="16"/>
        <v>0</v>
      </c>
      <c r="P115" s="158">
        <f t="shared" si="17"/>
        <v>0</v>
      </c>
    </row>
    <row r="116" spans="2:16">
      <c r="B116" s="9" t="str">
        <f t="shared" si="18"/>
        <v/>
      </c>
      <c r="C116" s="153">
        <f>IF(D93="","-",+C115+1)</f>
        <v>2025</v>
      </c>
      <c r="D116" s="154">
        <f>IF(F115+SUM(E$99:E115)=D$92,F115,D$92-SUM(E$99:E115))</f>
        <v>12503343.572373394</v>
      </c>
      <c r="E116" s="160">
        <f t="shared" si="19"/>
        <v>388543.90476190473</v>
      </c>
      <c r="F116" s="159">
        <f t="shared" si="20"/>
        <v>12114799.667611489</v>
      </c>
      <c r="G116" s="159">
        <f t="shared" si="21"/>
        <v>12309071.619992442</v>
      </c>
      <c r="H116" s="163">
        <f t="shared" si="22"/>
        <v>1883744.7771789213</v>
      </c>
      <c r="I116" s="253">
        <f t="shared" si="23"/>
        <v>1883744.7771789213</v>
      </c>
      <c r="J116" s="158">
        <f t="shared" si="24"/>
        <v>0</v>
      </c>
      <c r="K116" s="158"/>
      <c r="L116" s="334"/>
      <c r="M116" s="158">
        <f t="shared" si="15"/>
        <v>0</v>
      </c>
      <c r="N116" s="334"/>
      <c r="O116" s="158">
        <f t="shared" si="16"/>
        <v>0</v>
      </c>
      <c r="P116" s="158">
        <f t="shared" si="17"/>
        <v>0</v>
      </c>
    </row>
    <row r="117" spans="2:16">
      <c r="B117" s="9" t="str">
        <f t="shared" si="18"/>
        <v/>
      </c>
      <c r="C117" s="153">
        <f>IF(D93="","-",+C116+1)</f>
        <v>2026</v>
      </c>
      <c r="D117" s="154">
        <f>IF(F116+SUM(E$99:E116)=D$92,F116,D$92-SUM(E$99:E116))</f>
        <v>12114799.667611489</v>
      </c>
      <c r="E117" s="160">
        <f t="shared" si="19"/>
        <v>388543.90476190473</v>
      </c>
      <c r="F117" s="159">
        <f t="shared" si="20"/>
        <v>11726255.762849584</v>
      </c>
      <c r="G117" s="159">
        <f t="shared" si="21"/>
        <v>11920527.715230536</v>
      </c>
      <c r="H117" s="163">
        <f t="shared" si="22"/>
        <v>1836547.7826932659</v>
      </c>
      <c r="I117" s="253">
        <f t="shared" si="23"/>
        <v>1836547.7826932659</v>
      </c>
      <c r="J117" s="158">
        <f t="shared" si="24"/>
        <v>0</v>
      </c>
      <c r="K117" s="158"/>
      <c r="L117" s="334"/>
      <c r="M117" s="158">
        <f t="shared" si="15"/>
        <v>0</v>
      </c>
      <c r="N117" s="334"/>
      <c r="O117" s="158">
        <f t="shared" si="16"/>
        <v>0</v>
      </c>
      <c r="P117" s="158">
        <f t="shared" si="17"/>
        <v>0</v>
      </c>
    </row>
    <row r="118" spans="2:16">
      <c r="B118" s="9" t="str">
        <f t="shared" si="18"/>
        <v/>
      </c>
      <c r="C118" s="153">
        <f>IF(D93="","-",+C117+1)</f>
        <v>2027</v>
      </c>
      <c r="D118" s="154">
        <f>IF(F117+SUM(E$99:E117)=D$92,F117,D$92-SUM(E$99:E117))</f>
        <v>11726255.762849584</v>
      </c>
      <c r="E118" s="160">
        <f t="shared" si="19"/>
        <v>388543.90476190473</v>
      </c>
      <c r="F118" s="159">
        <f t="shared" si="20"/>
        <v>11337711.858087679</v>
      </c>
      <c r="G118" s="159">
        <f t="shared" si="21"/>
        <v>11531983.810468633</v>
      </c>
      <c r="H118" s="163">
        <f t="shared" si="22"/>
        <v>1789350.7882076115</v>
      </c>
      <c r="I118" s="253">
        <f t="shared" si="23"/>
        <v>1789350.7882076115</v>
      </c>
      <c r="J118" s="158">
        <f t="shared" si="24"/>
        <v>0</v>
      </c>
      <c r="K118" s="158"/>
      <c r="L118" s="334"/>
      <c r="M118" s="158">
        <f t="shared" si="15"/>
        <v>0</v>
      </c>
      <c r="N118" s="334"/>
      <c r="O118" s="158">
        <f t="shared" si="16"/>
        <v>0</v>
      </c>
      <c r="P118" s="158">
        <f t="shared" si="17"/>
        <v>0</v>
      </c>
    </row>
    <row r="119" spans="2:16">
      <c r="B119" s="9" t="str">
        <f t="shared" si="18"/>
        <v/>
      </c>
      <c r="C119" s="153">
        <f>IF(D93="","-",+C118+1)</f>
        <v>2028</v>
      </c>
      <c r="D119" s="154">
        <f>IF(F118+SUM(E$99:E118)=D$92,F118,D$92-SUM(E$99:E118))</f>
        <v>11337711.858087679</v>
      </c>
      <c r="E119" s="160">
        <f t="shared" si="19"/>
        <v>388543.90476190473</v>
      </c>
      <c r="F119" s="159">
        <f t="shared" si="20"/>
        <v>10949167.953325775</v>
      </c>
      <c r="G119" s="159">
        <f t="shared" si="21"/>
        <v>11143439.905706726</v>
      </c>
      <c r="H119" s="163">
        <f t="shared" si="22"/>
        <v>1742153.7937219562</v>
      </c>
      <c r="I119" s="253">
        <f t="shared" si="23"/>
        <v>1742153.7937219562</v>
      </c>
      <c r="J119" s="158">
        <f t="shared" si="24"/>
        <v>0</v>
      </c>
      <c r="K119" s="158"/>
      <c r="L119" s="334"/>
      <c r="M119" s="158">
        <f t="shared" si="15"/>
        <v>0</v>
      </c>
      <c r="N119" s="334"/>
      <c r="O119" s="158">
        <f t="shared" si="16"/>
        <v>0</v>
      </c>
      <c r="P119" s="158">
        <f t="shared" si="17"/>
        <v>0</v>
      </c>
    </row>
    <row r="120" spans="2:16">
      <c r="B120" s="9" t="str">
        <f t="shared" si="18"/>
        <v/>
      </c>
      <c r="C120" s="153">
        <f>IF(D93="","-",+C119+1)</f>
        <v>2029</v>
      </c>
      <c r="D120" s="154">
        <f>IF(F119+SUM(E$99:E119)=D$92,F119,D$92-SUM(E$99:E119))</f>
        <v>10949167.953325775</v>
      </c>
      <c r="E120" s="160">
        <f t="shared" si="19"/>
        <v>388543.90476190473</v>
      </c>
      <c r="F120" s="159">
        <f t="shared" si="20"/>
        <v>10560624.04856387</v>
      </c>
      <c r="G120" s="159">
        <f t="shared" si="21"/>
        <v>10754896.000944823</v>
      </c>
      <c r="H120" s="163">
        <f t="shared" si="22"/>
        <v>1694956.7992363018</v>
      </c>
      <c r="I120" s="253">
        <f t="shared" si="23"/>
        <v>1694956.7992363018</v>
      </c>
      <c r="J120" s="158">
        <f t="shared" si="24"/>
        <v>0</v>
      </c>
      <c r="K120" s="158"/>
      <c r="L120" s="334"/>
      <c r="M120" s="158">
        <f t="shared" si="15"/>
        <v>0</v>
      </c>
      <c r="N120" s="334"/>
      <c r="O120" s="158">
        <f t="shared" si="16"/>
        <v>0</v>
      </c>
      <c r="P120" s="158">
        <f t="shared" si="17"/>
        <v>0</v>
      </c>
    </row>
    <row r="121" spans="2:16">
      <c r="B121" s="9" t="str">
        <f t="shared" si="18"/>
        <v/>
      </c>
      <c r="C121" s="153">
        <f>IF(D93="","-",+C120+1)</f>
        <v>2030</v>
      </c>
      <c r="D121" s="154">
        <f>IF(F120+SUM(E$99:E120)=D$92,F120,D$92-SUM(E$99:E120))</f>
        <v>10560624.04856387</v>
      </c>
      <c r="E121" s="160">
        <f t="shared" si="19"/>
        <v>388543.90476190473</v>
      </c>
      <c r="F121" s="159">
        <f t="shared" si="20"/>
        <v>10172080.143801965</v>
      </c>
      <c r="G121" s="159">
        <f t="shared" si="21"/>
        <v>10366352.096182916</v>
      </c>
      <c r="H121" s="163">
        <f t="shared" si="22"/>
        <v>1647759.8047506465</v>
      </c>
      <c r="I121" s="253">
        <f t="shared" si="23"/>
        <v>1647759.8047506465</v>
      </c>
      <c r="J121" s="158">
        <f t="shared" si="24"/>
        <v>0</v>
      </c>
      <c r="K121" s="158"/>
      <c r="L121" s="334"/>
      <c r="M121" s="158">
        <f t="shared" si="15"/>
        <v>0</v>
      </c>
      <c r="N121" s="334"/>
      <c r="O121" s="158">
        <f t="shared" si="16"/>
        <v>0</v>
      </c>
      <c r="P121" s="158">
        <f t="shared" si="17"/>
        <v>0</v>
      </c>
    </row>
    <row r="122" spans="2:16">
      <c r="B122" s="9" t="str">
        <f t="shared" si="18"/>
        <v/>
      </c>
      <c r="C122" s="153">
        <f>IF(D93="","-",+C121+1)</f>
        <v>2031</v>
      </c>
      <c r="D122" s="154">
        <f>IF(F121+SUM(E$99:E121)=D$92,F121,D$92-SUM(E$99:E121))</f>
        <v>10172080.143801965</v>
      </c>
      <c r="E122" s="160">
        <f t="shared" si="19"/>
        <v>388543.90476190473</v>
      </c>
      <c r="F122" s="159">
        <f t="shared" si="20"/>
        <v>9783536.23904006</v>
      </c>
      <c r="G122" s="159">
        <f t="shared" si="21"/>
        <v>9977808.1914210133</v>
      </c>
      <c r="H122" s="163">
        <f t="shared" si="22"/>
        <v>1600562.8102649921</v>
      </c>
      <c r="I122" s="253">
        <f t="shared" si="23"/>
        <v>1600562.8102649921</v>
      </c>
      <c r="J122" s="158">
        <f t="shared" si="24"/>
        <v>0</v>
      </c>
      <c r="K122" s="158"/>
      <c r="L122" s="334"/>
      <c r="M122" s="158">
        <f t="shared" si="15"/>
        <v>0</v>
      </c>
      <c r="N122" s="334"/>
      <c r="O122" s="158">
        <f t="shared" si="16"/>
        <v>0</v>
      </c>
      <c r="P122" s="158">
        <f t="shared" si="17"/>
        <v>0</v>
      </c>
    </row>
    <row r="123" spans="2:16">
      <c r="B123" s="9" t="str">
        <f t="shared" si="18"/>
        <v/>
      </c>
      <c r="C123" s="153">
        <f>IF(D93="","-",+C122+1)</f>
        <v>2032</v>
      </c>
      <c r="D123" s="154">
        <f>IF(F122+SUM(E$99:E122)=D$92,F122,D$92-SUM(E$99:E122))</f>
        <v>9783536.23904006</v>
      </c>
      <c r="E123" s="160">
        <f t="shared" si="19"/>
        <v>388543.90476190473</v>
      </c>
      <c r="F123" s="159">
        <f t="shared" si="20"/>
        <v>9394992.3342781551</v>
      </c>
      <c r="G123" s="159">
        <f t="shared" si="21"/>
        <v>9589264.2866591066</v>
      </c>
      <c r="H123" s="163">
        <f t="shared" si="22"/>
        <v>1553365.8157793367</v>
      </c>
      <c r="I123" s="253">
        <f t="shared" si="23"/>
        <v>1553365.8157793367</v>
      </c>
      <c r="J123" s="158">
        <f t="shared" si="24"/>
        <v>0</v>
      </c>
      <c r="K123" s="158"/>
      <c r="L123" s="334"/>
      <c r="M123" s="158">
        <f t="shared" si="15"/>
        <v>0</v>
      </c>
      <c r="N123" s="334"/>
      <c r="O123" s="158">
        <f t="shared" si="16"/>
        <v>0</v>
      </c>
      <c r="P123" s="158">
        <f t="shared" si="17"/>
        <v>0</v>
      </c>
    </row>
    <row r="124" spans="2:16">
      <c r="B124" s="9" t="str">
        <f t="shared" si="18"/>
        <v/>
      </c>
      <c r="C124" s="153">
        <f>IF(D93="","-",+C123+1)</f>
        <v>2033</v>
      </c>
      <c r="D124" s="154">
        <f>IF(F123+SUM(E$99:E123)=D$92,F123,D$92-SUM(E$99:E123))</f>
        <v>9394992.3342781551</v>
      </c>
      <c r="E124" s="160">
        <f t="shared" si="19"/>
        <v>388543.90476190473</v>
      </c>
      <c r="F124" s="159">
        <f t="shared" si="20"/>
        <v>9006448.4295162503</v>
      </c>
      <c r="G124" s="159">
        <f t="shared" si="21"/>
        <v>9200720.3818972036</v>
      </c>
      <c r="H124" s="163">
        <f t="shared" si="22"/>
        <v>1506168.8212936823</v>
      </c>
      <c r="I124" s="253">
        <f t="shared" si="23"/>
        <v>1506168.8212936823</v>
      </c>
      <c r="J124" s="158">
        <f t="shared" si="24"/>
        <v>0</v>
      </c>
      <c r="K124" s="158"/>
      <c r="L124" s="334"/>
      <c r="M124" s="158">
        <f t="shared" si="15"/>
        <v>0</v>
      </c>
      <c r="N124" s="334"/>
      <c r="O124" s="158">
        <f t="shared" si="16"/>
        <v>0</v>
      </c>
      <c r="P124" s="158">
        <f t="shared" si="17"/>
        <v>0</v>
      </c>
    </row>
    <row r="125" spans="2:16">
      <c r="B125" s="9" t="str">
        <f t="shared" si="18"/>
        <v/>
      </c>
      <c r="C125" s="153">
        <f>IF(D93="","-",+C124+1)</f>
        <v>2034</v>
      </c>
      <c r="D125" s="154">
        <f>IF(F124+SUM(E$99:E124)=D$92,F124,D$92-SUM(E$99:E124))</f>
        <v>9006448.4295162503</v>
      </c>
      <c r="E125" s="160">
        <f t="shared" si="19"/>
        <v>388543.90476190473</v>
      </c>
      <c r="F125" s="159">
        <f t="shared" si="20"/>
        <v>8617904.5247543454</v>
      </c>
      <c r="G125" s="159">
        <f t="shared" si="21"/>
        <v>8812176.4771352969</v>
      </c>
      <c r="H125" s="163">
        <f t="shared" si="22"/>
        <v>1458971.826808027</v>
      </c>
      <c r="I125" s="253">
        <f t="shared" si="23"/>
        <v>1458971.826808027</v>
      </c>
      <c r="J125" s="158">
        <f t="shared" si="24"/>
        <v>0</v>
      </c>
      <c r="K125" s="158"/>
      <c r="L125" s="334"/>
      <c r="M125" s="158">
        <f t="shared" si="15"/>
        <v>0</v>
      </c>
      <c r="N125" s="334"/>
      <c r="O125" s="158">
        <f t="shared" si="16"/>
        <v>0</v>
      </c>
      <c r="P125" s="158">
        <f t="shared" si="17"/>
        <v>0</v>
      </c>
    </row>
    <row r="126" spans="2:16">
      <c r="B126" s="9" t="str">
        <f t="shared" si="18"/>
        <v/>
      </c>
      <c r="C126" s="153">
        <f>IF(D93="","-",+C125+1)</f>
        <v>2035</v>
      </c>
      <c r="D126" s="154">
        <f>IF(F125+SUM(E$99:E125)=D$92,F125,D$92-SUM(E$99:E125))</f>
        <v>8617904.5247543454</v>
      </c>
      <c r="E126" s="160">
        <f t="shared" si="19"/>
        <v>388543.90476190473</v>
      </c>
      <c r="F126" s="159">
        <f t="shared" si="20"/>
        <v>8229360.6199924406</v>
      </c>
      <c r="G126" s="159">
        <f t="shared" si="21"/>
        <v>8423632.5723733939</v>
      </c>
      <c r="H126" s="163">
        <f t="shared" si="22"/>
        <v>1411774.8323223724</v>
      </c>
      <c r="I126" s="253">
        <f t="shared" si="23"/>
        <v>1411774.8323223724</v>
      </c>
      <c r="J126" s="158">
        <f t="shared" si="24"/>
        <v>0</v>
      </c>
      <c r="K126" s="158"/>
      <c r="L126" s="334"/>
      <c r="M126" s="158">
        <f t="shared" si="15"/>
        <v>0</v>
      </c>
      <c r="N126" s="334"/>
      <c r="O126" s="158">
        <f t="shared" si="16"/>
        <v>0</v>
      </c>
      <c r="P126" s="158">
        <f t="shared" si="17"/>
        <v>0</v>
      </c>
    </row>
    <row r="127" spans="2:16">
      <c r="B127" s="9" t="str">
        <f t="shared" si="18"/>
        <v/>
      </c>
      <c r="C127" s="153">
        <f>IF(D93="","-",+C126+1)</f>
        <v>2036</v>
      </c>
      <c r="D127" s="154">
        <f>IF(F126+SUM(E$99:E126)=D$92,F126,D$92-SUM(E$99:E126))</f>
        <v>8229360.6199924406</v>
      </c>
      <c r="E127" s="160">
        <f t="shared" si="19"/>
        <v>388543.90476190473</v>
      </c>
      <c r="F127" s="159">
        <f t="shared" si="20"/>
        <v>7840816.7152305357</v>
      </c>
      <c r="G127" s="159">
        <f t="shared" si="21"/>
        <v>8035088.6676114881</v>
      </c>
      <c r="H127" s="163">
        <f t="shared" si="22"/>
        <v>1364577.8378367173</v>
      </c>
      <c r="I127" s="253">
        <f t="shared" si="23"/>
        <v>1364577.8378367173</v>
      </c>
      <c r="J127" s="158">
        <f t="shared" si="24"/>
        <v>0</v>
      </c>
      <c r="K127" s="158"/>
      <c r="L127" s="334"/>
      <c r="M127" s="158">
        <f t="shared" si="15"/>
        <v>0</v>
      </c>
      <c r="N127" s="334"/>
      <c r="O127" s="158">
        <f t="shared" si="16"/>
        <v>0</v>
      </c>
      <c r="P127" s="158">
        <f t="shared" si="17"/>
        <v>0</v>
      </c>
    </row>
    <row r="128" spans="2:16">
      <c r="B128" s="9" t="str">
        <f t="shared" si="18"/>
        <v/>
      </c>
      <c r="C128" s="153">
        <f>IF(D93="","-",+C127+1)</f>
        <v>2037</v>
      </c>
      <c r="D128" s="154">
        <f>IF(F127+SUM(E$99:E127)=D$92,F127,D$92-SUM(E$99:E127))</f>
        <v>7840816.7152305357</v>
      </c>
      <c r="E128" s="160">
        <f t="shared" si="19"/>
        <v>388543.90476190473</v>
      </c>
      <c r="F128" s="159">
        <f t="shared" si="20"/>
        <v>7452272.8104686309</v>
      </c>
      <c r="G128" s="159">
        <f t="shared" si="21"/>
        <v>7646544.7628495833</v>
      </c>
      <c r="H128" s="163">
        <f t="shared" si="22"/>
        <v>1317380.8433510624</v>
      </c>
      <c r="I128" s="253">
        <f t="shared" si="23"/>
        <v>1317380.8433510624</v>
      </c>
      <c r="J128" s="158">
        <f t="shared" si="24"/>
        <v>0</v>
      </c>
      <c r="K128" s="158"/>
      <c r="L128" s="334"/>
      <c r="M128" s="158">
        <f t="shared" si="15"/>
        <v>0</v>
      </c>
      <c r="N128" s="334"/>
      <c r="O128" s="158">
        <f t="shared" si="16"/>
        <v>0</v>
      </c>
      <c r="P128" s="158">
        <f t="shared" si="17"/>
        <v>0</v>
      </c>
    </row>
    <row r="129" spans="2:16">
      <c r="B129" s="9" t="str">
        <f t="shared" si="18"/>
        <v/>
      </c>
      <c r="C129" s="153">
        <f>IF(D93="","-",+C128+1)</f>
        <v>2038</v>
      </c>
      <c r="D129" s="154">
        <f>IF(F128+SUM(E$99:E128)=D$92,F128,D$92-SUM(E$99:E128))</f>
        <v>7452272.8104686309</v>
      </c>
      <c r="E129" s="160">
        <f t="shared" si="19"/>
        <v>388543.90476190473</v>
      </c>
      <c r="F129" s="159">
        <f t="shared" si="20"/>
        <v>7063728.905706726</v>
      </c>
      <c r="G129" s="159">
        <f t="shared" si="21"/>
        <v>7258000.8580876784</v>
      </c>
      <c r="H129" s="163">
        <f t="shared" si="22"/>
        <v>1270183.8488654075</v>
      </c>
      <c r="I129" s="253">
        <f t="shared" si="23"/>
        <v>1270183.8488654075</v>
      </c>
      <c r="J129" s="158">
        <f t="shared" si="24"/>
        <v>0</v>
      </c>
      <c r="K129" s="158"/>
      <c r="L129" s="334"/>
      <c r="M129" s="158">
        <f t="shared" si="15"/>
        <v>0</v>
      </c>
      <c r="N129" s="334"/>
      <c r="O129" s="158">
        <f t="shared" si="16"/>
        <v>0</v>
      </c>
      <c r="P129" s="158">
        <f t="shared" si="17"/>
        <v>0</v>
      </c>
    </row>
    <row r="130" spans="2:16">
      <c r="B130" s="9" t="str">
        <f t="shared" si="18"/>
        <v/>
      </c>
      <c r="C130" s="153">
        <f>IF(D93="","-",+C129+1)</f>
        <v>2039</v>
      </c>
      <c r="D130" s="154">
        <f>IF(F129+SUM(E$99:E129)=D$92,F129,D$92-SUM(E$99:E129))</f>
        <v>7063728.905706726</v>
      </c>
      <c r="E130" s="160">
        <f t="shared" si="19"/>
        <v>388543.90476190473</v>
      </c>
      <c r="F130" s="159">
        <f t="shared" si="20"/>
        <v>6675185.0009448212</v>
      </c>
      <c r="G130" s="159">
        <f t="shared" si="21"/>
        <v>6869456.9533257736</v>
      </c>
      <c r="H130" s="163">
        <f t="shared" si="22"/>
        <v>1222986.8543797527</v>
      </c>
      <c r="I130" s="253">
        <f t="shared" si="23"/>
        <v>1222986.8543797527</v>
      </c>
      <c r="J130" s="158">
        <f t="shared" si="24"/>
        <v>0</v>
      </c>
      <c r="K130" s="158"/>
      <c r="L130" s="334"/>
      <c r="M130" s="158">
        <f t="shared" si="15"/>
        <v>0</v>
      </c>
      <c r="N130" s="334"/>
      <c r="O130" s="158">
        <f t="shared" si="16"/>
        <v>0</v>
      </c>
      <c r="P130" s="158">
        <f t="shared" si="17"/>
        <v>0</v>
      </c>
    </row>
    <row r="131" spans="2:16">
      <c r="B131" s="9" t="str">
        <f t="shared" si="18"/>
        <v/>
      </c>
      <c r="C131" s="153">
        <f>IF(D93="","-",+C130+1)</f>
        <v>2040</v>
      </c>
      <c r="D131" s="154">
        <f>IF(F130+SUM(E$99:E130)=D$92,F130,D$92-SUM(E$99:E130))</f>
        <v>6675185.0009448212</v>
      </c>
      <c r="E131" s="160">
        <f t="shared" si="19"/>
        <v>388543.90476190473</v>
      </c>
      <c r="F131" s="159">
        <f t="shared" si="20"/>
        <v>6286641.0961829163</v>
      </c>
      <c r="G131" s="159">
        <f t="shared" si="21"/>
        <v>6480913.0485638687</v>
      </c>
      <c r="H131" s="163">
        <f t="shared" si="22"/>
        <v>1175789.8598940978</v>
      </c>
      <c r="I131" s="253">
        <f t="shared" si="23"/>
        <v>1175789.8598940978</v>
      </c>
      <c r="J131" s="158">
        <f t="shared" si="24"/>
        <v>0</v>
      </c>
      <c r="K131" s="158"/>
      <c r="L131" s="334"/>
      <c r="M131" s="158">
        <f t="shared" ref="M131:M154" si="25">IF(L541&lt;&gt;0,+H541-L541,0)</f>
        <v>0</v>
      </c>
      <c r="N131" s="334"/>
      <c r="O131" s="158">
        <f t="shared" ref="O131:O154" si="26">IF(N541&lt;&gt;0,+I541-N541,0)</f>
        <v>0</v>
      </c>
      <c r="P131" s="158">
        <f t="shared" ref="P131:P154" si="27">+O541-M541</f>
        <v>0</v>
      </c>
    </row>
    <row r="132" spans="2:16">
      <c r="B132" s="9" t="str">
        <f t="shared" si="18"/>
        <v/>
      </c>
      <c r="C132" s="153">
        <f>IF(D93="","-",+C131+1)</f>
        <v>2041</v>
      </c>
      <c r="D132" s="154">
        <f>IF(F131+SUM(E$99:E131)=D$92,F131,D$92-SUM(E$99:E131))</f>
        <v>6286641.0961829163</v>
      </c>
      <c r="E132" s="160">
        <f t="shared" si="19"/>
        <v>388543.90476190473</v>
      </c>
      <c r="F132" s="159">
        <f t="shared" si="20"/>
        <v>5898097.1914210115</v>
      </c>
      <c r="G132" s="159">
        <f t="shared" si="21"/>
        <v>6092369.1438019639</v>
      </c>
      <c r="H132" s="163">
        <f t="shared" si="22"/>
        <v>1128592.8654084429</v>
      </c>
      <c r="I132" s="253">
        <f t="shared" si="23"/>
        <v>1128592.8654084429</v>
      </c>
      <c r="J132" s="158">
        <f t="shared" si="24"/>
        <v>0</v>
      </c>
      <c r="K132" s="158"/>
      <c r="L132" s="334"/>
      <c r="M132" s="158">
        <f t="shared" si="25"/>
        <v>0</v>
      </c>
      <c r="N132" s="334"/>
      <c r="O132" s="158">
        <f t="shared" si="26"/>
        <v>0</v>
      </c>
      <c r="P132" s="158">
        <f t="shared" si="27"/>
        <v>0</v>
      </c>
    </row>
    <row r="133" spans="2:16">
      <c r="B133" s="9" t="str">
        <f t="shared" si="18"/>
        <v/>
      </c>
      <c r="C133" s="153">
        <f>IF(D93="","-",+C132+1)</f>
        <v>2042</v>
      </c>
      <c r="D133" s="154">
        <f>IF(F132+SUM(E$99:E132)=D$92,F132,D$92-SUM(E$99:E132))</f>
        <v>5898097.1914210115</v>
      </c>
      <c r="E133" s="160">
        <f t="shared" si="19"/>
        <v>388543.90476190473</v>
      </c>
      <c r="F133" s="159">
        <f t="shared" si="20"/>
        <v>5509553.2866591066</v>
      </c>
      <c r="G133" s="159">
        <f t="shared" si="21"/>
        <v>5703825.239040059</v>
      </c>
      <c r="H133" s="163">
        <f t="shared" si="22"/>
        <v>1081395.870922788</v>
      </c>
      <c r="I133" s="253">
        <f t="shared" si="23"/>
        <v>1081395.870922788</v>
      </c>
      <c r="J133" s="158">
        <f t="shared" si="24"/>
        <v>0</v>
      </c>
      <c r="K133" s="158"/>
      <c r="L133" s="334"/>
      <c r="M133" s="158">
        <f t="shared" si="25"/>
        <v>0</v>
      </c>
      <c r="N133" s="334"/>
      <c r="O133" s="158">
        <f t="shared" si="26"/>
        <v>0</v>
      </c>
      <c r="P133" s="158">
        <f t="shared" si="27"/>
        <v>0</v>
      </c>
    </row>
    <row r="134" spans="2:16">
      <c r="B134" s="9" t="str">
        <f t="shared" si="18"/>
        <v/>
      </c>
      <c r="C134" s="153">
        <f>IF(D93="","-",+C133+1)</f>
        <v>2043</v>
      </c>
      <c r="D134" s="154">
        <f>IF(F133+SUM(E$99:E133)=D$92,F133,D$92-SUM(E$99:E133))</f>
        <v>5509553.2866591066</v>
      </c>
      <c r="E134" s="160">
        <f t="shared" si="19"/>
        <v>388543.90476190473</v>
      </c>
      <c r="F134" s="159">
        <f t="shared" si="20"/>
        <v>5121009.3818972018</v>
      </c>
      <c r="G134" s="159">
        <f t="shared" si="21"/>
        <v>5315281.3342781542</v>
      </c>
      <c r="H134" s="163">
        <f t="shared" si="22"/>
        <v>1034198.8764371332</v>
      </c>
      <c r="I134" s="253">
        <f t="shared" si="23"/>
        <v>1034198.8764371332</v>
      </c>
      <c r="J134" s="158">
        <f t="shared" si="24"/>
        <v>0</v>
      </c>
      <c r="K134" s="158"/>
      <c r="L134" s="334"/>
      <c r="M134" s="158">
        <f t="shared" si="25"/>
        <v>0</v>
      </c>
      <c r="N134" s="334"/>
      <c r="O134" s="158">
        <f t="shared" si="26"/>
        <v>0</v>
      </c>
      <c r="P134" s="158">
        <f t="shared" si="27"/>
        <v>0</v>
      </c>
    </row>
    <row r="135" spans="2:16">
      <c r="B135" s="9" t="str">
        <f t="shared" si="18"/>
        <v/>
      </c>
      <c r="C135" s="153">
        <f>IF(D93="","-",+C134+1)</f>
        <v>2044</v>
      </c>
      <c r="D135" s="154">
        <f>IF(F134+SUM(E$99:E134)=D$92,F134,D$92-SUM(E$99:E134))</f>
        <v>5121009.3818972018</v>
      </c>
      <c r="E135" s="160">
        <f t="shared" si="19"/>
        <v>388543.90476190473</v>
      </c>
      <c r="F135" s="159">
        <f t="shared" si="20"/>
        <v>4732465.4771352969</v>
      </c>
      <c r="G135" s="159">
        <f t="shared" si="21"/>
        <v>4926737.4295162493</v>
      </c>
      <c r="H135" s="163">
        <f t="shared" si="22"/>
        <v>987001.88195147831</v>
      </c>
      <c r="I135" s="253">
        <f t="shared" si="23"/>
        <v>987001.88195147831</v>
      </c>
      <c r="J135" s="158">
        <f t="shared" si="24"/>
        <v>0</v>
      </c>
      <c r="K135" s="158"/>
      <c r="L135" s="334"/>
      <c r="M135" s="158">
        <f t="shared" si="25"/>
        <v>0</v>
      </c>
      <c r="N135" s="334"/>
      <c r="O135" s="158">
        <f t="shared" si="26"/>
        <v>0</v>
      </c>
      <c r="P135" s="158">
        <f t="shared" si="27"/>
        <v>0</v>
      </c>
    </row>
    <row r="136" spans="2:16">
      <c r="B136" s="9" t="str">
        <f t="shared" si="18"/>
        <v/>
      </c>
      <c r="C136" s="153">
        <f>IF(D93="","-",+C135+1)</f>
        <v>2045</v>
      </c>
      <c r="D136" s="154">
        <f>IF(F135+SUM(E$99:E135)=D$92,F135,D$92-SUM(E$99:E135))</f>
        <v>4732465.4771352969</v>
      </c>
      <c r="E136" s="160">
        <f t="shared" si="19"/>
        <v>388543.90476190473</v>
      </c>
      <c r="F136" s="159">
        <f t="shared" si="20"/>
        <v>4343921.5723733921</v>
      </c>
      <c r="G136" s="159">
        <f t="shared" si="21"/>
        <v>4538193.5247543445</v>
      </c>
      <c r="H136" s="163">
        <f t="shared" si="22"/>
        <v>939804.88746582344</v>
      </c>
      <c r="I136" s="253">
        <f t="shared" si="23"/>
        <v>939804.88746582344</v>
      </c>
      <c r="J136" s="158">
        <f t="shared" si="24"/>
        <v>0</v>
      </c>
      <c r="K136" s="158"/>
      <c r="L136" s="334"/>
      <c r="M136" s="158">
        <f t="shared" si="25"/>
        <v>0</v>
      </c>
      <c r="N136" s="334"/>
      <c r="O136" s="158">
        <f t="shared" si="26"/>
        <v>0</v>
      </c>
      <c r="P136" s="158">
        <f t="shared" si="27"/>
        <v>0</v>
      </c>
    </row>
    <row r="137" spans="2:16">
      <c r="B137" s="9" t="str">
        <f t="shared" si="18"/>
        <v/>
      </c>
      <c r="C137" s="153">
        <f>IF(D93="","-",+C136+1)</f>
        <v>2046</v>
      </c>
      <c r="D137" s="154">
        <f>IF(F136+SUM(E$99:E136)=D$92,F136,D$92-SUM(E$99:E136))</f>
        <v>4343921.5723733921</v>
      </c>
      <c r="E137" s="160">
        <f t="shared" si="19"/>
        <v>388543.90476190473</v>
      </c>
      <c r="F137" s="159">
        <f t="shared" si="20"/>
        <v>3955377.6676114872</v>
      </c>
      <c r="G137" s="159">
        <f t="shared" si="21"/>
        <v>4149649.6199924396</v>
      </c>
      <c r="H137" s="163">
        <f t="shared" si="22"/>
        <v>892607.89298016857</v>
      </c>
      <c r="I137" s="253">
        <f t="shared" si="23"/>
        <v>892607.89298016857</v>
      </c>
      <c r="J137" s="158">
        <f t="shared" si="24"/>
        <v>0</v>
      </c>
      <c r="K137" s="158"/>
      <c r="L137" s="334"/>
      <c r="M137" s="158">
        <f t="shared" si="25"/>
        <v>0</v>
      </c>
      <c r="N137" s="334"/>
      <c r="O137" s="158">
        <f t="shared" si="26"/>
        <v>0</v>
      </c>
      <c r="P137" s="158">
        <f t="shared" si="27"/>
        <v>0</v>
      </c>
    </row>
    <row r="138" spans="2:16">
      <c r="B138" s="9" t="str">
        <f t="shared" si="18"/>
        <v/>
      </c>
      <c r="C138" s="153">
        <f>IF(D93="","-",+C137+1)</f>
        <v>2047</v>
      </c>
      <c r="D138" s="154">
        <f>IF(F137+SUM(E$99:E137)=D$92,F137,D$92-SUM(E$99:E137))</f>
        <v>3955377.6676114872</v>
      </c>
      <c r="E138" s="160">
        <f t="shared" si="19"/>
        <v>388543.90476190473</v>
      </c>
      <c r="F138" s="159">
        <f t="shared" si="20"/>
        <v>3566833.7628495824</v>
      </c>
      <c r="G138" s="159">
        <f t="shared" si="21"/>
        <v>3761105.7152305348</v>
      </c>
      <c r="H138" s="163">
        <f t="shared" si="22"/>
        <v>845410.89849451371</v>
      </c>
      <c r="I138" s="253">
        <f t="shared" si="23"/>
        <v>845410.89849451371</v>
      </c>
      <c r="J138" s="158">
        <f t="shared" si="24"/>
        <v>0</v>
      </c>
      <c r="K138" s="158"/>
      <c r="L138" s="334"/>
      <c r="M138" s="158">
        <f t="shared" si="25"/>
        <v>0</v>
      </c>
      <c r="N138" s="334"/>
      <c r="O138" s="158">
        <f t="shared" si="26"/>
        <v>0</v>
      </c>
      <c r="P138" s="158">
        <f t="shared" si="27"/>
        <v>0</v>
      </c>
    </row>
    <row r="139" spans="2:16">
      <c r="B139" s="9" t="str">
        <f t="shared" si="18"/>
        <v/>
      </c>
      <c r="C139" s="153">
        <f>IF(D93="","-",+C138+1)</f>
        <v>2048</v>
      </c>
      <c r="D139" s="154">
        <f>IF(F138+SUM(E$99:E138)=D$92,F138,D$92-SUM(E$99:E138))</f>
        <v>3566833.7628495824</v>
      </c>
      <c r="E139" s="160">
        <f t="shared" si="19"/>
        <v>388543.90476190473</v>
      </c>
      <c r="F139" s="159">
        <f t="shared" si="20"/>
        <v>3178289.8580876775</v>
      </c>
      <c r="G139" s="159">
        <f t="shared" si="21"/>
        <v>3372561.8104686299</v>
      </c>
      <c r="H139" s="163">
        <f t="shared" si="22"/>
        <v>798213.90400885884</v>
      </c>
      <c r="I139" s="253">
        <f t="shared" si="23"/>
        <v>798213.90400885884</v>
      </c>
      <c r="J139" s="158">
        <f t="shared" si="24"/>
        <v>0</v>
      </c>
      <c r="K139" s="158"/>
      <c r="L139" s="334"/>
      <c r="M139" s="158">
        <f t="shared" si="25"/>
        <v>0</v>
      </c>
      <c r="N139" s="334"/>
      <c r="O139" s="158">
        <f t="shared" si="26"/>
        <v>0</v>
      </c>
      <c r="P139" s="158">
        <f t="shared" si="27"/>
        <v>0</v>
      </c>
    </row>
    <row r="140" spans="2:16">
      <c r="B140" s="9" t="str">
        <f t="shared" si="18"/>
        <v/>
      </c>
      <c r="C140" s="153">
        <f>IF(D93="","-",+C139+1)</f>
        <v>2049</v>
      </c>
      <c r="D140" s="154">
        <f>IF(F139+SUM(E$99:E139)=D$92,F139,D$92-SUM(E$99:E139))</f>
        <v>3178289.8580876775</v>
      </c>
      <c r="E140" s="160">
        <f t="shared" si="19"/>
        <v>388543.90476190473</v>
      </c>
      <c r="F140" s="159">
        <f t="shared" si="20"/>
        <v>2789745.9533257727</v>
      </c>
      <c r="G140" s="159">
        <f t="shared" si="21"/>
        <v>2984017.9057067251</v>
      </c>
      <c r="H140" s="163">
        <f t="shared" si="22"/>
        <v>751016.90952320397</v>
      </c>
      <c r="I140" s="253">
        <f t="shared" si="23"/>
        <v>751016.90952320397</v>
      </c>
      <c r="J140" s="158">
        <f t="shared" si="24"/>
        <v>0</v>
      </c>
      <c r="K140" s="158"/>
      <c r="L140" s="334"/>
      <c r="M140" s="158">
        <f t="shared" si="25"/>
        <v>0</v>
      </c>
      <c r="N140" s="334"/>
      <c r="O140" s="158">
        <f t="shared" si="26"/>
        <v>0</v>
      </c>
      <c r="P140" s="158">
        <f t="shared" si="27"/>
        <v>0</v>
      </c>
    </row>
    <row r="141" spans="2:16">
      <c r="B141" s="9" t="str">
        <f t="shared" si="18"/>
        <v/>
      </c>
      <c r="C141" s="153">
        <f>IF(D93="","-",+C140+1)</f>
        <v>2050</v>
      </c>
      <c r="D141" s="154">
        <f>IF(F140+SUM(E$99:E140)=D$92,F140,D$92-SUM(E$99:E140))</f>
        <v>2789745.9533257727</v>
      </c>
      <c r="E141" s="160">
        <f t="shared" si="19"/>
        <v>388543.90476190473</v>
      </c>
      <c r="F141" s="159">
        <f t="shared" si="20"/>
        <v>2401202.0485638678</v>
      </c>
      <c r="G141" s="159">
        <f t="shared" si="21"/>
        <v>2595474.0009448202</v>
      </c>
      <c r="H141" s="163">
        <f t="shared" si="22"/>
        <v>703819.9150375491</v>
      </c>
      <c r="I141" s="253">
        <f t="shared" si="23"/>
        <v>703819.9150375491</v>
      </c>
      <c r="J141" s="158">
        <f t="shared" si="24"/>
        <v>0</v>
      </c>
      <c r="K141" s="158"/>
      <c r="L141" s="334"/>
      <c r="M141" s="158">
        <f t="shared" si="25"/>
        <v>0</v>
      </c>
      <c r="N141" s="334"/>
      <c r="O141" s="158">
        <f t="shared" si="26"/>
        <v>0</v>
      </c>
      <c r="P141" s="158">
        <f t="shared" si="27"/>
        <v>0</v>
      </c>
    </row>
    <row r="142" spans="2:16">
      <c r="B142" s="9" t="str">
        <f t="shared" si="18"/>
        <v/>
      </c>
      <c r="C142" s="153">
        <f>IF(D93="","-",+C141+1)</f>
        <v>2051</v>
      </c>
      <c r="D142" s="154">
        <f>IF(F141+SUM(E$99:E141)=D$92,F141,D$92-SUM(E$99:E141))</f>
        <v>2401202.0485638678</v>
      </c>
      <c r="E142" s="160">
        <f t="shared" si="19"/>
        <v>388543.90476190473</v>
      </c>
      <c r="F142" s="159">
        <f t="shared" si="20"/>
        <v>2012658.143801963</v>
      </c>
      <c r="G142" s="159">
        <f t="shared" si="21"/>
        <v>2206930.0961829154</v>
      </c>
      <c r="H142" s="163">
        <f t="shared" si="22"/>
        <v>656622.92055189423</v>
      </c>
      <c r="I142" s="253">
        <f t="shared" si="23"/>
        <v>656622.92055189423</v>
      </c>
      <c r="J142" s="158">
        <f t="shared" si="24"/>
        <v>0</v>
      </c>
      <c r="K142" s="158"/>
      <c r="L142" s="334"/>
      <c r="M142" s="158">
        <f t="shared" si="25"/>
        <v>0</v>
      </c>
      <c r="N142" s="334"/>
      <c r="O142" s="158">
        <f t="shared" si="26"/>
        <v>0</v>
      </c>
      <c r="P142" s="158">
        <f t="shared" si="27"/>
        <v>0</v>
      </c>
    </row>
    <row r="143" spans="2:16">
      <c r="B143" s="9" t="str">
        <f t="shared" si="18"/>
        <v/>
      </c>
      <c r="C143" s="153">
        <f>IF(D93="","-",+C142+1)</f>
        <v>2052</v>
      </c>
      <c r="D143" s="154">
        <f>IF(F142+SUM(E$99:E142)=D$92,F142,D$92-SUM(E$99:E142))</f>
        <v>2012658.143801963</v>
      </c>
      <c r="E143" s="160">
        <f t="shared" si="19"/>
        <v>388543.90476190473</v>
      </c>
      <c r="F143" s="159">
        <f t="shared" si="20"/>
        <v>1624114.2390400581</v>
      </c>
      <c r="G143" s="159">
        <f t="shared" si="21"/>
        <v>1818386.1914210105</v>
      </c>
      <c r="H143" s="163">
        <f t="shared" si="22"/>
        <v>609425.92606623936</v>
      </c>
      <c r="I143" s="253">
        <f t="shared" si="23"/>
        <v>609425.92606623936</v>
      </c>
      <c r="J143" s="158">
        <f t="shared" si="24"/>
        <v>0</v>
      </c>
      <c r="K143" s="158"/>
      <c r="L143" s="334"/>
      <c r="M143" s="158">
        <f t="shared" si="25"/>
        <v>0</v>
      </c>
      <c r="N143" s="334"/>
      <c r="O143" s="158">
        <f t="shared" si="26"/>
        <v>0</v>
      </c>
      <c r="P143" s="158">
        <f t="shared" si="27"/>
        <v>0</v>
      </c>
    </row>
    <row r="144" spans="2:16">
      <c r="B144" s="9" t="str">
        <f t="shared" si="18"/>
        <v/>
      </c>
      <c r="C144" s="153">
        <f>IF(D93="","-",+C143+1)</f>
        <v>2053</v>
      </c>
      <c r="D144" s="154">
        <f>IF(F143+SUM(E$99:E143)=D$92,F143,D$92-SUM(E$99:E143))</f>
        <v>1624114.2390400581</v>
      </c>
      <c r="E144" s="160">
        <f t="shared" si="19"/>
        <v>388543.90476190473</v>
      </c>
      <c r="F144" s="159">
        <f t="shared" si="20"/>
        <v>1235570.3342781533</v>
      </c>
      <c r="G144" s="159">
        <f t="shared" si="21"/>
        <v>1429842.2866591057</v>
      </c>
      <c r="H144" s="163">
        <f t="shared" si="22"/>
        <v>562228.9315805845</v>
      </c>
      <c r="I144" s="253">
        <f t="shared" si="23"/>
        <v>562228.9315805845</v>
      </c>
      <c r="J144" s="158">
        <f t="shared" si="24"/>
        <v>0</v>
      </c>
      <c r="K144" s="158"/>
      <c r="L144" s="334"/>
      <c r="M144" s="158">
        <f t="shared" si="25"/>
        <v>0</v>
      </c>
      <c r="N144" s="334"/>
      <c r="O144" s="158">
        <f t="shared" si="26"/>
        <v>0</v>
      </c>
      <c r="P144" s="158">
        <f t="shared" si="27"/>
        <v>0</v>
      </c>
    </row>
    <row r="145" spans="2:16">
      <c r="B145" s="9" t="str">
        <f t="shared" si="18"/>
        <v/>
      </c>
      <c r="C145" s="153">
        <f>IF(D93="","-",+C144+1)</f>
        <v>2054</v>
      </c>
      <c r="D145" s="154">
        <f>IF(F144+SUM(E$99:E144)=D$92,F144,D$92-SUM(E$99:E144))</f>
        <v>1235570.3342781533</v>
      </c>
      <c r="E145" s="160">
        <f t="shared" si="19"/>
        <v>388543.90476190473</v>
      </c>
      <c r="F145" s="159">
        <f t="shared" si="20"/>
        <v>847026.42951624852</v>
      </c>
      <c r="G145" s="159">
        <f t="shared" si="21"/>
        <v>1041298.3818972008</v>
      </c>
      <c r="H145" s="163">
        <f t="shared" si="22"/>
        <v>515031.93709492957</v>
      </c>
      <c r="I145" s="253">
        <f t="shared" si="23"/>
        <v>515031.93709492957</v>
      </c>
      <c r="J145" s="158">
        <f t="shared" si="24"/>
        <v>0</v>
      </c>
      <c r="K145" s="158"/>
      <c r="L145" s="334"/>
      <c r="M145" s="158">
        <f t="shared" si="25"/>
        <v>0</v>
      </c>
      <c r="N145" s="334"/>
      <c r="O145" s="158">
        <f t="shared" si="26"/>
        <v>0</v>
      </c>
      <c r="P145" s="158">
        <f t="shared" si="27"/>
        <v>0</v>
      </c>
    </row>
    <row r="146" spans="2:16">
      <c r="B146" s="9" t="str">
        <f t="shared" si="18"/>
        <v/>
      </c>
      <c r="C146" s="153">
        <f>IF(D93="","-",+C145+1)</f>
        <v>2055</v>
      </c>
      <c r="D146" s="154">
        <f>IF(F145+SUM(E$99:E145)=D$92,F145,D$92-SUM(E$99:E145))</f>
        <v>847026.42951624852</v>
      </c>
      <c r="E146" s="160">
        <f t="shared" si="19"/>
        <v>388543.90476190473</v>
      </c>
      <c r="F146" s="159">
        <f t="shared" si="20"/>
        <v>458482.52475434379</v>
      </c>
      <c r="G146" s="159">
        <f t="shared" si="21"/>
        <v>652754.47713529621</v>
      </c>
      <c r="H146" s="163">
        <f t="shared" si="22"/>
        <v>467834.9426092747</v>
      </c>
      <c r="I146" s="253">
        <f t="shared" si="23"/>
        <v>467834.9426092747</v>
      </c>
      <c r="J146" s="158">
        <f t="shared" si="24"/>
        <v>0</v>
      </c>
      <c r="K146" s="158"/>
      <c r="L146" s="334"/>
      <c r="M146" s="158">
        <f t="shared" si="25"/>
        <v>0</v>
      </c>
      <c r="N146" s="334"/>
      <c r="O146" s="158">
        <f t="shared" si="26"/>
        <v>0</v>
      </c>
      <c r="P146" s="158">
        <f t="shared" si="27"/>
        <v>0</v>
      </c>
    </row>
    <row r="147" spans="2:16">
      <c r="B147" s="9" t="str">
        <f t="shared" si="18"/>
        <v/>
      </c>
      <c r="C147" s="153">
        <f>IF(D93="","-",+C146+1)</f>
        <v>2056</v>
      </c>
      <c r="D147" s="154">
        <f>IF(F146+SUM(E$99:E146)=D$92,F146,D$92-SUM(E$99:E146))</f>
        <v>458482.52475434379</v>
      </c>
      <c r="E147" s="160">
        <f t="shared" si="19"/>
        <v>388543.90476190473</v>
      </c>
      <c r="F147" s="159">
        <f t="shared" si="20"/>
        <v>69938.619992439053</v>
      </c>
      <c r="G147" s="159">
        <f t="shared" si="21"/>
        <v>264210.57237339142</v>
      </c>
      <c r="H147" s="163">
        <f t="shared" si="22"/>
        <v>420637.94812361983</v>
      </c>
      <c r="I147" s="253">
        <f t="shared" si="23"/>
        <v>420637.94812361983</v>
      </c>
      <c r="J147" s="158">
        <f t="shared" si="24"/>
        <v>0</v>
      </c>
      <c r="K147" s="158"/>
      <c r="L147" s="334"/>
      <c r="M147" s="158">
        <f t="shared" si="25"/>
        <v>0</v>
      </c>
      <c r="N147" s="334"/>
      <c r="O147" s="158">
        <f t="shared" si="26"/>
        <v>0</v>
      </c>
      <c r="P147" s="158">
        <f t="shared" si="27"/>
        <v>0</v>
      </c>
    </row>
    <row r="148" spans="2:16">
      <c r="B148" s="9" t="str">
        <f t="shared" si="18"/>
        <v/>
      </c>
      <c r="C148" s="153">
        <f>IF(D93="","-",+C147+1)</f>
        <v>2057</v>
      </c>
      <c r="D148" s="154">
        <f>IF(F147+SUM(E$99:E147)=D$92,F147,D$92-SUM(E$99:E147))</f>
        <v>69938.619992439053</v>
      </c>
      <c r="E148" s="160">
        <f t="shared" si="19"/>
        <v>69938.619992439053</v>
      </c>
      <c r="F148" s="159">
        <f t="shared" si="20"/>
        <v>0</v>
      </c>
      <c r="G148" s="159">
        <f t="shared" si="21"/>
        <v>34969.309996219527</v>
      </c>
      <c r="H148" s="163">
        <f t="shared" si="22"/>
        <v>74186.393051882886</v>
      </c>
      <c r="I148" s="253">
        <f t="shared" si="23"/>
        <v>74186.393051882886</v>
      </c>
      <c r="J148" s="158">
        <f t="shared" si="24"/>
        <v>0</v>
      </c>
      <c r="K148" s="158"/>
      <c r="L148" s="334"/>
      <c r="M148" s="158">
        <f t="shared" si="25"/>
        <v>0</v>
      </c>
      <c r="N148" s="334"/>
      <c r="O148" s="158">
        <f t="shared" si="26"/>
        <v>0</v>
      </c>
      <c r="P148" s="158">
        <f t="shared" si="27"/>
        <v>0</v>
      </c>
    </row>
    <row r="149" spans="2:16">
      <c r="B149" s="9" t="str">
        <f t="shared" si="18"/>
        <v/>
      </c>
      <c r="C149" s="153">
        <f>IF(D93="","-",+C148+1)</f>
        <v>2058</v>
      </c>
      <c r="D149" s="154">
        <f>IF(F148+SUM(E$99:E148)=D$92,F148,D$92-SUM(E$99:E148))</f>
        <v>0</v>
      </c>
      <c r="E149" s="160">
        <f t="shared" si="19"/>
        <v>0</v>
      </c>
      <c r="F149" s="159">
        <f t="shared" si="20"/>
        <v>0</v>
      </c>
      <c r="G149" s="159">
        <f t="shared" si="21"/>
        <v>0</v>
      </c>
      <c r="H149" s="163">
        <f t="shared" si="22"/>
        <v>0</v>
      </c>
      <c r="I149" s="253">
        <f t="shared" si="23"/>
        <v>0</v>
      </c>
      <c r="J149" s="158">
        <f t="shared" si="24"/>
        <v>0</v>
      </c>
      <c r="K149" s="158"/>
      <c r="L149" s="334"/>
      <c r="M149" s="158">
        <f t="shared" si="25"/>
        <v>0</v>
      </c>
      <c r="N149" s="334"/>
      <c r="O149" s="158">
        <f t="shared" si="26"/>
        <v>0</v>
      </c>
      <c r="P149" s="158">
        <f t="shared" si="27"/>
        <v>0</v>
      </c>
    </row>
    <row r="150" spans="2:16">
      <c r="B150" s="9" t="str">
        <f t="shared" si="18"/>
        <v/>
      </c>
      <c r="C150" s="153">
        <f>IF(D93="","-",+C149+1)</f>
        <v>2059</v>
      </c>
      <c r="D150" s="154">
        <f>IF(F149+SUM(E$99:E149)=D$92,F149,D$92-SUM(E$99:E149))</f>
        <v>0</v>
      </c>
      <c r="E150" s="160">
        <f t="shared" si="19"/>
        <v>0</v>
      </c>
      <c r="F150" s="159">
        <f t="shared" si="20"/>
        <v>0</v>
      </c>
      <c r="G150" s="159">
        <f t="shared" si="21"/>
        <v>0</v>
      </c>
      <c r="H150" s="163">
        <f t="shared" si="22"/>
        <v>0</v>
      </c>
      <c r="I150" s="253">
        <f t="shared" si="23"/>
        <v>0</v>
      </c>
      <c r="J150" s="158">
        <f t="shared" si="24"/>
        <v>0</v>
      </c>
      <c r="K150" s="158"/>
      <c r="L150" s="334"/>
      <c r="M150" s="158">
        <f t="shared" si="25"/>
        <v>0</v>
      </c>
      <c r="N150" s="334"/>
      <c r="O150" s="158">
        <f t="shared" si="26"/>
        <v>0</v>
      </c>
      <c r="P150" s="158">
        <f t="shared" si="27"/>
        <v>0</v>
      </c>
    </row>
    <row r="151" spans="2:16">
      <c r="B151" s="9" t="str">
        <f t="shared" si="18"/>
        <v/>
      </c>
      <c r="C151" s="153">
        <f>IF(D93="","-",+C150+1)</f>
        <v>2060</v>
      </c>
      <c r="D151" s="154">
        <f>IF(F150+SUM(E$99:E150)=D$92,F150,D$92-SUM(E$99:E150))</f>
        <v>0</v>
      </c>
      <c r="E151" s="160">
        <f t="shared" si="19"/>
        <v>0</v>
      </c>
      <c r="F151" s="159">
        <f t="shared" si="20"/>
        <v>0</v>
      </c>
      <c r="G151" s="159">
        <f t="shared" si="21"/>
        <v>0</v>
      </c>
      <c r="H151" s="163">
        <f t="shared" si="22"/>
        <v>0</v>
      </c>
      <c r="I151" s="253">
        <f t="shared" si="23"/>
        <v>0</v>
      </c>
      <c r="J151" s="158">
        <f t="shared" si="24"/>
        <v>0</v>
      </c>
      <c r="K151" s="158"/>
      <c r="L151" s="334"/>
      <c r="M151" s="158">
        <f t="shared" si="25"/>
        <v>0</v>
      </c>
      <c r="N151" s="334"/>
      <c r="O151" s="158">
        <f t="shared" si="26"/>
        <v>0</v>
      </c>
      <c r="P151" s="158">
        <f t="shared" si="27"/>
        <v>0</v>
      </c>
    </row>
    <row r="152" spans="2:16">
      <c r="B152" s="9" t="str">
        <f t="shared" si="18"/>
        <v/>
      </c>
      <c r="C152" s="153">
        <f>IF(D93="","-",+C151+1)</f>
        <v>2061</v>
      </c>
      <c r="D152" s="154">
        <f>IF(F151+SUM(E$99:E151)=D$92,F151,D$92-SUM(E$99:E151))</f>
        <v>0</v>
      </c>
      <c r="E152" s="160">
        <f t="shared" si="19"/>
        <v>0</v>
      </c>
      <c r="F152" s="159">
        <f t="shared" si="20"/>
        <v>0</v>
      </c>
      <c r="G152" s="159">
        <f t="shared" si="21"/>
        <v>0</v>
      </c>
      <c r="H152" s="163">
        <f t="shared" si="22"/>
        <v>0</v>
      </c>
      <c r="I152" s="253">
        <f t="shared" si="23"/>
        <v>0</v>
      </c>
      <c r="J152" s="158">
        <f t="shared" si="24"/>
        <v>0</v>
      </c>
      <c r="K152" s="158"/>
      <c r="L152" s="334"/>
      <c r="M152" s="158">
        <f t="shared" si="25"/>
        <v>0</v>
      </c>
      <c r="N152" s="334"/>
      <c r="O152" s="158">
        <f t="shared" si="26"/>
        <v>0</v>
      </c>
      <c r="P152" s="158">
        <f t="shared" si="27"/>
        <v>0</v>
      </c>
    </row>
    <row r="153" spans="2:16">
      <c r="B153" s="9" t="str">
        <f t="shared" si="18"/>
        <v/>
      </c>
      <c r="C153" s="153">
        <f>IF(D93="","-",+C152+1)</f>
        <v>2062</v>
      </c>
      <c r="D153" s="154">
        <f>IF(F152+SUM(E$99:E152)=D$92,F152,D$92-SUM(E$99:E152))</f>
        <v>0</v>
      </c>
      <c r="E153" s="160">
        <f t="shared" si="19"/>
        <v>0</v>
      </c>
      <c r="F153" s="159">
        <f t="shared" si="20"/>
        <v>0</v>
      </c>
      <c r="G153" s="159">
        <f t="shared" si="21"/>
        <v>0</v>
      </c>
      <c r="H153" s="163">
        <f t="shared" si="22"/>
        <v>0</v>
      </c>
      <c r="I153" s="253">
        <f t="shared" si="23"/>
        <v>0</v>
      </c>
      <c r="J153" s="158">
        <f t="shared" si="24"/>
        <v>0</v>
      </c>
      <c r="K153" s="158"/>
      <c r="L153" s="334"/>
      <c r="M153" s="158">
        <f t="shared" si="25"/>
        <v>0</v>
      </c>
      <c r="N153" s="334"/>
      <c r="O153" s="158">
        <f t="shared" si="26"/>
        <v>0</v>
      </c>
      <c r="P153" s="158">
        <f t="shared" si="27"/>
        <v>0</v>
      </c>
    </row>
    <row r="154" spans="2:16" ht="13.5" thickBot="1">
      <c r="B154" s="9" t="str">
        <f t="shared" si="18"/>
        <v/>
      </c>
      <c r="C154" s="164">
        <f>IF(D93="","-",+C153+1)</f>
        <v>2063</v>
      </c>
      <c r="D154" s="154">
        <f>IF(F153+SUM(E$99:E153)=D$92,F153,D$92-SUM(E$99:E153))</f>
        <v>0</v>
      </c>
      <c r="E154" s="160">
        <f t="shared" si="19"/>
        <v>0</v>
      </c>
      <c r="F154" s="159">
        <f t="shared" si="20"/>
        <v>0</v>
      </c>
      <c r="G154" s="159">
        <f t="shared" si="21"/>
        <v>0</v>
      </c>
      <c r="H154" s="163">
        <f t="shared" si="22"/>
        <v>0</v>
      </c>
      <c r="I154" s="253">
        <f t="shared" si="23"/>
        <v>0</v>
      </c>
      <c r="J154" s="158">
        <f t="shared" si="24"/>
        <v>0</v>
      </c>
      <c r="K154" s="158"/>
      <c r="L154" s="335"/>
      <c r="M154" s="169">
        <f t="shared" si="25"/>
        <v>0</v>
      </c>
      <c r="N154" s="335"/>
      <c r="O154" s="169">
        <f t="shared" si="26"/>
        <v>0</v>
      </c>
      <c r="P154" s="169">
        <f t="shared" si="27"/>
        <v>0</v>
      </c>
    </row>
    <row r="155" spans="2:16">
      <c r="C155" s="154" t="s">
        <v>73</v>
      </c>
      <c r="D155" s="111"/>
      <c r="E155" s="111">
        <f>SUM(E99:E154)</f>
        <v>16318844</v>
      </c>
      <c r="F155" s="111"/>
      <c r="G155" s="111"/>
      <c r="H155" s="111">
        <f>SUM(H99:H154)</f>
        <v>58218178.791209295</v>
      </c>
      <c r="I155" s="111">
        <f>SUM(I99:I154)</f>
        <v>58218178.791209295</v>
      </c>
      <c r="J155" s="111">
        <f>SUM(J99:J154)</f>
        <v>0</v>
      </c>
      <c r="K155" s="111"/>
      <c r="L155" s="111"/>
      <c r="M155" s="111"/>
      <c r="N155" s="111"/>
      <c r="O155" s="111"/>
      <c r="P155" s="1"/>
    </row>
    <row r="156" spans="2:16">
      <c r="C156" t="s">
        <v>87</v>
      </c>
      <c r="D156" s="2"/>
      <c r="E156" s="1"/>
      <c r="F156" s="1"/>
      <c r="G156" s="1"/>
      <c r="H156" s="1"/>
      <c r="I156" s="3"/>
      <c r="J156" s="3"/>
      <c r="K156" s="111"/>
      <c r="L156" s="3"/>
      <c r="M156" s="3"/>
      <c r="N156" s="3"/>
      <c r="O156" s="3"/>
      <c r="P156" s="1"/>
    </row>
    <row r="157" spans="2:16">
      <c r="C157" s="216"/>
      <c r="D157" s="2"/>
      <c r="E157" s="1"/>
      <c r="F157" s="1"/>
      <c r="G157" s="1"/>
      <c r="H157" s="1"/>
      <c r="I157" s="3"/>
      <c r="J157" s="3"/>
      <c r="K157" s="111"/>
      <c r="L157" s="3"/>
      <c r="M157" s="3"/>
      <c r="N157" s="3"/>
      <c r="O157" s="3"/>
      <c r="P157" s="1"/>
    </row>
    <row r="158" spans="2:16">
      <c r="C158" s="248" t="s">
        <v>127</v>
      </c>
      <c r="D158" s="2"/>
      <c r="E158" s="1"/>
      <c r="F158" s="1"/>
      <c r="G158" s="1"/>
      <c r="H158" s="1"/>
      <c r="I158" s="3"/>
      <c r="J158" s="3"/>
      <c r="K158" s="111"/>
      <c r="L158" s="3"/>
      <c r="M158" s="3"/>
      <c r="N158" s="3"/>
      <c r="O158" s="3"/>
      <c r="P158" s="1"/>
    </row>
    <row r="159" spans="2:16">
      <c r="C159" s="121" t="s">
        <v>74</v>
      </c>
      <c r="D159" s="154"/>
      <c r="E159" s="154"/>
      <c r="F159" s="154"/>
      <c r="G159" s="154"/>
      <c r="H159" s="111"/>
      <c r="I159" s="111"/>
      <c r="J159" s="171"/>
      <c r="K159" s="171"/>
      <c r="L159" s="171"/>
      <c r="M159" s="171"/>
      <c r="N159" s="171"/>
      <c r="O159" s="171"/>
      <c r="P159" s="1"/>
    </row>
    <row r="160" spans="2:16">
      <c r="C160" s="217" t="s">
        <v>75</v>
      </c>
      <c r="D160" s="154"/>
      <c r="E160" s="154"/>
      <c r="F160" s="154"/>
      <c r="G160" s="154"/>
      <c r="H160" s="111"/>
      <c r="I160" s="111"/>
      <c r="J160" s="171"/>
      <c r="K160" s="171"/>
      <c r="L160" s="171"/>
      <c r="M160" s="171"/>
      <c r="N160" s="171"/>
      <c r="O160" s="171"/>
      <c r="P160" s="1"/>
    </row>
    <row r="161" spans="3:16">
      <c r="C161" s="217"/>
      <c r="D161" s="154"/>
      <c r="E161" s="154"/>
      <c r="F161" s="154"/>
      <c r="G161" s="154"/>
      <c r="H161" s="111"/>
      <c r="I161" s="111"/>
      <c r="J161" s="171"/>
      <c r="K161" s="171"/>
      <c r="L161" s="171"/>
      <c r="M161" s="171"/>
      <c r="N161" s="171"/>
      <c r="O161" s="171"/>
      <c r="P161" s="1"/>
    </row>
    <row r="162" spans="3:16" ht="18">
      <c r="C162" s="217"/>
      <c r="D162" s="154"/>
      <c r="E162" s="154"/>
      <c r="F162" s="154"/>
      <c r="G162" s="154"/>
      <c r="H162" s="111"/>
      <c r="I162" s="111"/>
      <c r="J162" s="171"/>
      <c r="K162" s="171"/>
      <c r="L162" s="171"/>
      <c r="M162" s="171"/>
      <c r="N162" s="171"/>
      <c r="P162" s="245" t="s">
        <v>126</v>
      </c>
    </row>
  </sheetData>
  <conditionalFormatting sqref="C17:C72">
    <cfRule type="cellIs" dxfId="72" priority="1" stopIfTrue="1" operator="equal">
      <formula>$I$10</formula>
    </cfRule>
  </conditionalFormatting>
  <conditionalFormatting sqref="C99:C154">
    <cfRule type="cellIs" dxfId="71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/>
  <dimension ref="A1:Q162"/>
  <sheetViews>
    <sheetView view="pageBreakPreview" zoomScale="82" zoomScaleNormal="100" zoomScaleSheetLayoutView="82" workbookViewId="0">
      <selection activeCell="C19" sqref="C19"/>
    </sheetView>
  </sheetViews>
  <sheetFormatPr defaultRowHeight="12.75" customHeight="1"/>
  <cols>
    <col min="1" max="1" width="4.7109375" customWidth="1"/>
    <col min="2" max="2" width="6.7109375" customWidth="1"/>
    <col min="3" max="3" width="23.28515625" customWidth="1"/>
    <col min="4" max="8" width="17.7109375" customWidth="1"/>
    <col min="9" max="9" width="20.42578125" customWidth="1"/>
    <col min="10" max="10" width="16.42578125" customWidth="1"/>
    <col min="11" max="11" width="17.7109375" customWidth="1"/>
    <col min="12" max="12" width="16.140625" customWidth="1"/>
    <col min="13" max="13" width="17.7109375" customWidth="1"/>
    <col min="14" max="14" width="16.140625" customWidth="1"/>
    <col min="15" max="15" width="16.85546875" customWidth="1"/>
    <col min="16" max="16" width="24.42578125" customWidth="1"/>
    <col min="17" max="17" width="4.7109375" customWidth="1"/>
    <col min="23" max="23" width="9.140625" customWidth="1"/>
  </cols>
  <sheetData>
    <row r="1" spans="1:17" ht="20.25">
      <c r="A1" s="243" t="s">
        <v>128</v>
      </c>
      <c r="B1" s="1"/>
      <c r="C1" s="21"/>
      <c r="D1" s="2"/>
      <c r="E1" s="1"/>
      <c r="F1" s="99"/>
      <c r="G1" s="1"/>
      <c r="H1" s="3"/>
      <c r="J1" s="7"/>
      <c r="K1" s="109"/>
      <c r="L1" s="109"/>
      <c r="M1" s="109"/>
      <c r="P1" s="249" t="str">
        <f ca="1">"SWEPCO Project "&amp;RIGHT(MID(CELL("filename",$A$1),FIND("]",CELL("filename",$A$1))+1,256),1)&amp;" of "&amp;COUNT('S.001:S.xyz - blank'!$P$3)-1</f>
        <v>SWEPCO Project 2 of 73</v>
      </c>
      <c r="Q1" s="108"/>
    </row>
    <row r="2" spans="1:17" ht="18">
      <c r="B2" s="1"/>
      <c r="C2" s="1"/>
      <c r="D2" s="2"/>
      <c r="E2" s="1"/>
      <c r="F2" s="1"/>
      <c r="G2" s="1"/>
      <c r="H2" s="3"/>
      <c r="I2" s="1"/>
      <c r="J2" s="4"/>
      <c r="K2" s="1"/>
      <c r="L2" s="1"/>
      <c r="M2" s="1"/>
      <c r="N2" s="1"/>
      <c r="P2" s="237" t="s">
        <v>124</v>
      </c>
    </row>
    <row r="3" spans="1:17" ht="18.75">
      <c r="B3" s="5" t="s">
        <v>40</v>
      </c>
      <c r="C3" s="68" t="s">
        <v>41</v>
      </c>
      <c r="D3" s="2"/>
      <c r="E3" s="1"/>
      <c r="F3" s="1"/>
      <c r="G3" s="1"/>
      <c r="H3" s="3"/>
      <c r="I3" s="3"/>
      <c r="J3" s="111"/>
      <c r="K3" s="3"/>
      <c r="L3" s="3"/>
      <c r="M3" s="3"/>
      <c r="N3" s="3"/>
      <c r="O3" s="1" t="str">
        <f>RIGHT(N3,3)</f>
        <v/>
      </c>
      <c r="P3" s="239">
        <v>1</v>
      </c>
    </row>
    <row r="4" spans="1:17" ht="15.75" thickBot="1">
      <c r="C4" s="67"/>
      <c r="D4" s="2"/>
      <c r="E4" s="1"/>
      <c r="F4" s="1"/>
      <c r="G4" s="1"/>
      <c r="H4" s="3"/>
      <c r="I4" s="3"/>
      <c r="J4" s="111"/>
      <c r="K4" s="3"/>
      <c r="L4" s="3"/>
      <c r="M4" s="3"/>
      <c r="N4" s="3"/>
      <c r="O4" s="1"/>
      <c r="P4" s="1"/>
    </row>
    <row r="5" spans="1:17" ht="15">
      <c r="C5" s="112" t="s">
        <v>42</v>
      </c>
      <c r="D5" s="2"/>
      <c r="E5" s="1"/>
      <c r="F5" s="1"/>
      <c r="G5" s="113"/>
      <c r="H5" s="1" t="s">
        <v>43</v>
      </c>
      <c r="I5" s="1"/>
      <c r="J5" s="4"/>
      <c r="K5" s="268" t="s">
        <v>152</v>
      </c>
      <c r="L5" s="114"/>
      <c r="M5" s="115"/>
      <c r="N5" s="116">
        <f>VLOOKUP(I10,C17:I72,5)</f>
        <v>810809.88193395641</v>
      </c>
      <c r="P5" s="1"/>
    </row>
    <row r="6" spans="1:17" ht="15.75">
      <c r="C6" s="8"/>
      <c r="D6" s="2"/>
      <c r="E6" s="1"/>
      <c r="F6" s="1"/>
      <c r="G6" s="1"/>
      <c r="H6" s="117"/>
      <c r="I6" s="117"/>
      <c r="J6" s="118"/>
      <c r="K6" s="269" t="s">
        <v>153</v>
      </c>
      <c r="L6" s="119"/>
      <c r="M6" s="4"/>
      <c r="N6" s="120">
        <f>VLOOKUP(I10,C17:I72,6)</f>
        <v>810809.88193395641</v>
      </c>
      <c r="O6" s="1"/>
      <c r="P6" s="1"/>
    </row>
    <row r="7" spans="1:17" ht="13.5" thickBot="1">
      <c r="C7" s="121" t="s">
        <v>44</v>
      </c>
      <c r="D7" s="273" t="s">
        <v>218</v>
      </c>
      <c r="E7" s="1"/>
      <c r="F7" s="1"/>
      <c r="G7" s="1"/>
      <c r="H7" s="3"/>
      <c r="I7" s="3"/>
      <c r="J7" s="111"/>
      <c r="K7" s="122" t="s">
        <v>45</v>
      </c>
      <c r="L7" s="123"/>
      <c r="M7" s="123"/>
      <c r="N7" s="124">
        <f>+N6-N5</f>
        <v>0</v>
      </c>
      <c r="O7" s="1"/>
      <c r="P7" s="1"/>
    </row>
    <row r="8" spans="1:17" ht="13.5" thickBot="1">
      <c r="C8" s="125"/>
      <c r="D8" s="247" t="str">
        <f>IF(D10&lt;100000,"DOES NOT MEET SPP $100,000 MINIMUM INVESTMENT FOR REGIONAL BPU SHARING.","")</f>
        <v/>
      </c>
      <c r="E8" s="126"/>
      <c r="F8" s="126"/>
      <c r="G8" s="126"/>
      <c r="H8" s="126"/>
      <c r="I8" s="126"/>
      <c r="J8" s="101"/>
      <c r="K8" s="126"/>
      <c r="L8" s="126"/>
      <c r="M8" s="126"/>
      <c r="N8" s="126"/>
      <c r="O8" s="101"/>
      <c r="P8" s="21"/>
    </row>
    <row r="9" spans="1:17" ht="13.5" thickBot="1">
      <c r="A9" s="103"/>
      <c r="C9" s="127" t="s">
        <v>46</v>
      </c>
      <c r="D9" s="225" t="s">
        <v>136</v>
      </c>
      <c r="E9" s="401" t="s">
        <v>396</v>
      </c>
      <c r="F9" s="128"/>
      <c r="G9" s="128"/>
      <c r="H9" s="128"/>
      <c r="I9" s="129"/>
      <c r="J9" s="130"/>
      <c r="O9" s="131"/>
      <c r="P9" s="4"/>
    </row>
    <row r="10" spans="1:17">
      <c r="C10" s="132" t="s">
        <v>47</v>
      </c>
      <c r="D10" s="133">
        <v>8402687.4800000004</v>
      </c>
      <c r="E10" s="61" t="s">
        <v>459</v>
      </c>
      <c r="F10" s="131"/>
      <c r="G10" s="134"/>
      <c r="H10" s="134"/>
      <c r="I10" s="135">
        <f>+SWE.WS.F.BPU.ATRR.Projected!K17</f>
        <v>2019</v>
      </c>
      <c r="J10" s="130"/>
      <c r="K10" s="111" t="s">
        <v>48</v>
      </c>
      <c r="O10" s="4"/>
      <c r="P10" s="4"/>
    </row>
    <row r="11" spans="1:17">
      <c r="C11" s="136" t="s">
        <v>49</v>
      </c>
      <c r="D11" s="137">
        <v>2009</v>
      </c>
      <c r="E11" s="136" t="s">
        <v>50</v>
      </c>
      <c r="F11" s="134"/>
      <c r="G11" s="7"/>
      <c r="H11" s="7"/>
      <c r="I11" s="138">
        <v>0</v>
      </c>
      <c r="J11" s="139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4"/>
      <c r="P11" s="4"/>
    </row>
    <row r="12" spans="1:17">
      <c r="C12" s="136" t="s">
        <v>51</v>
      </c>
      <c r="D12" s="133">
        <v>1</v>
      </c>
      <c r="E12" s="136" t="s">
        <v>52</v>
      </c>
      <c r="F12" s="134"/>
      <c r="G12" s="7"/>
      <c r="H12" s="7"/>
      <c r="I12" s="140">
        <f>SWE.WS.F.BPU.ATRR.Projected!$F$76</f>
        <v>9.9555672459071778E-2</v>
      </c>
      <c r="J12" s="141"/>
      <c r="K12" t="s">
        <v>53</v>
      </c>
      <c r="O12" s="4"/>
      <c r="P12" s="4"/>
    </row>
    <row r="13" spans="1:17">
      <c r="C13" s="136" t="s">
        <v>54</v>
      </c>
      <c r="D13" s="138">
        <f>+SWE.WS.F.BPU.ATRR.Projected!F$87</f>
        <v>43</v>
      </c>
      <c r="E13" s="136" t="s">
        <v>55</v>
      </c>
      <c r="F13" s="134"/>
      <c r="G13" s="7"/>
      <c r="H13" s="7"/>
      <c r="I13" s="140">
        <f>IF(G5="",I12,SWE.WS.F.BPU.ATRR.Projected!$F$75)</f>
        <v>9.9555672459071778E-2</v>
      </c>
      <c r="J13" s="141"/>
      <c r="K13" s="111" t="s">
        <v>56</v>
      </c>
      <c r="L13" s="58"/>
      <c r="M13" s="58"/>
      <c r="N13" s="58"/>
      <c r="O13" s="4"/>
      <c r="P13" s="4"/>
    </row>
    <row r="14" spans="1:17" ht="13.5" thickBot="1">
      <c r="C14" s="136" t="s">
        <v>57</v>
      </c>
      <c r="D14" s="137" t="s">
        <v>58</v>
      </c>
      <c r="E14" s="4" t="s">
        <v>59</v>
      </c>
      <c r="F14" s="134"/>
      <c r="G14" s="7"/>
      <c r="H14" s="7"/>
      <c r="I14" s="142">
        <f>IF(D10=0,0,D10/D13)</f>
        <v>195411.33674418606</v>
      </c>
      <c r="J14" s="111"/>
      <c r="K14" s="111"/>
      <c r="L14" s="111"/>
      <c r="M14" s="111"/>
      <c r="N14" s="111"/>
      <c r="O14" s="4"/>
      <c r="P14" s="4"/>
    </row>
    <row r="15" spans="1:17" ht="38.25">
      <c r="C15" s="143" t="s">
        <v>47</v>
      </c>
      <c r="D15" s="144" t="s">
        <v>60</v>
      </c>
      <c r="E15" s="144" t="s">
        <v>61</v>
      </c>
      <c r="F15" s="144" t="s">
        <v>62</v>
      </c>
      <c r="G15" s="434" t="s">
        <v>378</v>
      </c>
      <c r="H15" s="435" t="s">
        <v>379</v>
      </c>
      <c r="I15" s="351" t="s">
        <v>249</v>
      </c>
      <c r="J15" s="145"/>
      <c r="K15" s="271" t="s">
        <v>219</v>
      </c>
      <c r="L15" s="146" t="s">
        <v>64</v>
      </c>
      <c r="M15" s="271" t="s">
        <v>219</v>
      </c>
      <c r="N15" s="146" t="s">
        <v>64</v>
      </c>
      <c r="O15" s="146" t="s">
        <v>65</v>
      </c>
      <c r="P15" s="4"/>
    </row>
    <row r="16" spans="1:17" ht="13.5" thickBot="1">
      <c r="C16" s="147" t="s">
        <v>66</v>
      </c>
      <c r="D16" s="147" t="s">
        <v>67</v>
      </c>
      <c r="E16" s="147" t="s">
        <v>68</v>
      </c>
      <c r="F16" s="147" t="s">
        <v>67</v>
      </c>
      <c r="G16" s="408" t="s">
        <v>69</v>
      </c>
      <c r="H16" s="148" t="s">
        <v>70</v>
      </c>
      <c r="I16" s="149" t="s">
        <v>89</v>
      </c>
      <c r="J16" s="150" t="s">
        <v>71</v>
      </c>
      <c r="K16" s="151" t="s">
        <v>72</v>
      </c>
      <c r="L16" s="151" t="s">
        <v>72</v>
      </c>
      <c r="M16" s="151" t="s">
        <v>90</v>
      </c>
      <c r="N16" s="152" t="s">
        <v>90</v>
      </c>
      <c r="O16" s="151" t="s">
        <v>90</v>
      </c>
      <c r="P16" s="4"/>
    </row>
    <row r="17" spans="2:16">
      <c r="C17" s="153">
        <f>IF(D11= "","-",D11)</f>
        <v>2009</v>
      </c>
      <c r="D17" s="357">
        <v>11979500</v>
      </c>
      <c r="E17" s="358">
        <v>296789</v>
      </c>
      <c r="F17" s="357">
        <v>11682711</v>
      </c>
      <c r="G17" s="358">
        <v>2087310</v>
      </c>
      <c r="H17" s="359">
        <v>2087310</v>
      </c>
      <c r="I17" s="156">
        <f>H17-G17</f>
        <v>0</v>
      </c>
      <c r="J17" s="156"/>
      <c r="K17" s="256">
        <v>2087310</v>
      </c>
      <c r="L17" s="157">
        <f t="shared" ref="L17:L48" si="0">IF(K17&lt;&gt;0,+G17-K17,0)</f>
        <v>0</v>
      </c>
      <c r="M17" s="256">
        <v>2087310</v>
      </c>
      <c r="N17" s="157">
        <f t="shared" ref="N17:N48" si="1">IF(M17&lt;&gt;0,+H17-M17,0)</f>
        <v>0</v>
      </c>
      <c r="O17" s="158">
        <f t="shared" ref="O17:O48" si="2">+N17-L17</f>
        <v>0</v>
      </c>
      <c r="P17" s="4"/>
    </row>
    <row r="18" spans="2:16">
      <c r="B18" s="9" t="str">
        <f>IF(D18=F17,"","IU")</f>
        <v>IU</v>
      </c>
      <c r="C18" s="153">
        <f>IF(D11="","-",+C17+1)</f>
        <v>2010</v>
      </c>
      <c r="D18" s="361">
        <v>8105898</v>
      </c>
      <c r="E18" s="360">
        <v>221123</v>
      </c>
      <c r="F18" s="361">
        <v>7884775</v>
      </c>
      <c r="G18" s="360">
        <v>1354678</v>
      </c>
      <c r="H18" s="359">
        <v>1354678</v>
      </c>
      <c r="I18" s="368">
        <v>0</v>
      </c>
      <c r="J18" s="156"/>
      <c r="K18" s="258">
        <f t="shared" ref="K18:K23" si="3">G18</f>
        <v>1354678</v>
      </c>
      <c r="L18" s="257">
        <f t="shared" si="0"/>
        <v>0</v>
      </c>
      <c r="M18" s="258">
        <f t="shared" ref="M18:M23" si="4">H18</f>
        <v>1354678</v>
      </c>
      <c r="N18" s="158">
        <f t="shared" si="1"/>
        <v>0</v>
      </c>
      <c r="O18" s="158">
        <f t="shared" si="2"/>
        <v>0</v>
      </c>
      <c r="P18" s="4"/>
    </row>
    <row r="19" spans="2:16">
      <c r="B19" s="9" t="str">
        <f>IF(D19=F18,"","IU")</f>
        <v>IU</v>
      </c>
      <c r="C19" s="153">
        <f>IF(D11="","-",+C18+1)</f>
        <v>2011</v>
      </c>
      <c r="D19" s="361">
        <v>7884775.4800000004</v>
      </c>
      <c r="E19" s="360">
        <v>204943.59707317073</v>
      </c>
      <c r="F19" s="361">
        <v>7679831.8829268301</v>
      </c>
      <c r="G19" s="360">
        <v>1404473.3146370691</v>
      </c>
      <c r="H19" s="359">
        <v>1404473.3146370691</v>
      </c>
      <c r="I19" s="368">
        <v>0</v>
      </c>
      <c r="J19" s="156"/>
      <c r="K19" s="258">
        <f t="shared" si="3"/>
        <v>1404473.3146370691</v>
      </c>
      <c r="L19" s="257">
        <f t="shared" si="0"/>
        <v>0</v>
      </c>
      <c r="M19" s="258">
        <f t="shared" si="4"/>
        <v>1404473.3146370691</v>
      </c>
      <c r="N19" s="158">
        <f t="shared" si="1"/>
        <v>0</v>
      </c>
      <c r="O19" s="158">
        <f t="shared" si="2"/>
        <v>0</v>
      </c>
      <c r="P19" s="4"/>
    </row>
    <row r="20" spans="2:16">
      <c r="B20" s="9" t="str">
        <f t="shared" ref="B20:B72" si="5">IF(D20=F19,"","IU")</f>
        <v/>
      </c>
      <c r="C20" s="153">
        <f>IF(D11="","-",+C19+1)</f>
        <v>2012</v>
      </c>
      <c r="D20" s="361">
        <v>7679831.8829268301</v>
      </c>
      <c r="E20" s="377">
        <v>200063.98761904764</v>
      </c>
      <c r="F20" s="361">
        <v>7479767.8953077821</v>
      </c>
      <c r="G20" s="360">
        <v>1312456.1166807273</v>
      </c>
      <c r="H20" s="359">
        <v>1312456.1166807273</v>
      </c>
      <c r="I20" s="368">
        <v>0</v>
      </c>
      <c r="J20" s="156"/>
      <c r="K20" s="258">
        <f t="shared" si="3"/>
        <v>1312456.1166807273</v>
      </c>
      <c r="L20" s="257">
        <f t="shared" si="0"/>
        <v>0</v>
      </c>
      <c r="M20" s="258">
        <f t="shared" si="4"/>
        <v>1312456.1166807273</v>
      </c>
      <c r="N20" s="158">
        <f t="shared" si="1"/>
        <v>0</v>
      </c>
      <c r="O20" s="158">
        <f t="shared" si="2"/>
        <v>0</v>
      </c>
      <c r="P20" s="4"/>
    </row>
    <row r="21" spans="2:16">
      <c r="B21" s="9" t="str">
        <f t="shared" si="5"/>
        <v/>
      </c>
      <c r="C21" s="153">
        <f t="shared" ref="C21:C72" si="6">IF(D12="","-",+C20+1)</f>
        <v>2013</v>
      </c>
      <c r="D21" s="361">
        <v>7479767.8953077821</v>
      </c>
      <c r="E21" s="377">
        <v>200063.98761904764</v>
      </c>
      <c r="F21" s="361">
        <v>7279703.9076887341</v>
      </c>
      <c r="G21" s="360">
        <v>1219128.4960322082</v>
      </c>
      <c r="H21" s="359">
        <v>1219128.4960322082</v>
      </c>
      <c r="I21" s="156">
        <f t="shared" ref="I21:I72" si="7">H21-G21</f>
        <v>0</v>
      </c>
      <c r="J21" s="156"/>
      <c r="K21" s="258">
        <f t="shared" si="3"/>
        <v>1219128.4960322082</v>
      </c>
      <c r="L21" s="257">
        <f t="shared" ref="L21:L26" si="8">IF(K21&lt;&gt;0,+G21-K21,0)</f>
        <v>0</v>
      </c>
      <c r="M21" s="258">
        <f t="shared" si="4"/>
        <v>1219128.4960322082</v>
      </c>
      <c r="N21" s="158">
        <f t="shared" ref="N21:N26" si="9">IF(M21&lt;&gt;0,+H21-M21,0)</f>
        <v>0</v>
      </c>
      <c r="O21" s="158">
        <f t="shared" ref="O21:O26" si="10">+N21-L21</f>
        <v>0</v>
      </c>
      <c r="P21" s="4"/>
    </row>
    <row r="22" spans="2:16">
      <c r="B22" s="9" t="str">
        <f t="shared" si="5"/>
        <v/>
      </c>
      <c r="C22" s="153">
        <f t="shared" si="6"/>
        <v>2014</v>
      </c>
      <c r="D22" s="361">
        <v>7279703.9076887341</v>
      </c>
      <c r="E22" s="377">
        <v>200063.98761904764</v>
      </c>
      <c r="F22" s="361">
        <v>7079639.9200696861</v>
      </c>
      <c r="G22" s="360">
        <v>1155181.8074626003</v>
      </c>
      <c r="H22" s="359">
        <v>1155181.8074626003</v>
      </c>
      <c r="I22" s="156">
        <v>0</v>
      </c>
      <c r="J22" s="156"/>
      <c r="K22" s="258">
        <f t="shared" si="3"/>
        <v>1155181.8074626003</v>
      </c>
      <c r="L22" s="257">
        <f t="shared" si="8"/>
        <v>0</v>
      </c>
      <c r="M22" s="258">
        <f t="shared" si="4"/>
        <v>1155181.8074626003</v>
      </c>
      <c r="N22" s="158">
        <f t="shared" si="9"/>
        <v>0</v>
      </c>
      <c r="O22" s="158">
        <f t="shared" si="10"/>
        <v>0</v>
      </c>
      <c r="P22" s="4"/>
    </row>
    <row r="23" spans="2:16">
      <c r="B23" s="9" t="str">
        <f t="shared" si="5"/>
        <v/>
      </c>
      <c r="C23" s="153">
        <f t="shared" si="6"/>
        <v>2015</v>
      </c>
      <c r="D23" s="361">
        <v>7079639.9200696861</v>
      </c>
      <c r="E23" s="377">
        <v>200063.98761904764</v>
      </c>
      <c r="F23" s="361">
        <v>6879575.9324506382</v>
      </c>
      <c r="G23" s="360">
        <v>1106137.1665956248</v>
      </c>
      <c r="H23" s="359">
        <v>1106137.1665956248</v>
      </c>
      <c r="I23" s="156">
        <v>0</v>
      </c>
      <c r="J23" s="156"/>
      <c r="K23" s="258">
        <f t="shared" si="3"/>
        <v>1106137.1665956248</v>
      </c>
      <c r="L23" s="257">
        <f t="shared" si="8"/>
        <v>0</v>
      </c>
      <c r="M23" s="258">
        <f t="shared" si="4"/>
        <v>1106137.1665956248</v>
      </c>
      <c r="N23" s="158">
        <f t="shared" si="9"/>
        <v>0</v>
      </c>
      <c r="O23" s="158">
        <f t="shared" si="10"/>
        <v>0</v>
      </c>
      <c r="P23" s="4"/>
    </row>
    <row r="24" spans="2:16">
      <c r="B24" s="9" t="str">
        <f t="shared" si="5"/>
        <v/>
      </c>
      <c r="C24" s="153">
        <f t="shared" si="6"/>
        <v>2016</v>
      </c>
      <c r="D24" s="361">
        <v>6879575.9324506382</v>
      </c>
      <c r="E24" s="377">
        <v>200063.98761904764</v>
      </c>
      <c r="F24" s="361">
        <v>6679511.9448315902</v>
      </c>
      <c r="G24" s="360">
        <v>1068934.7345413081</v>
      </c>
      <c r="H24" s="359">
        <v>1068934.7345413081</v>
      </c>
      <c r="I24" s="156">
        <f t="shared" si="7"/>
        <v>0</v>
      </c>
      <c r="J24" s="156"/>
      <c r="K24" s="258">
        <f>G24</f>
        <v>1068934.7345413081</v>
      </c>
      <c r="L24" s="257">
        <f t="shared" si="8"/>
        <v>0</v>
      </c>
      <c r="M24" s="258">
        <f>H24</f>
        <v>1068934.7345413081</v>
      </c>
      <c r="N24" s="158">
        <f t="shared" si="9"/>
        <v>0</v>
      </c>
      <c r="O24" s="158">
        <f t="shared" si="10"/>
        <v>0</v>
      </c>
      <c r="P24" s="4"/>
    </row>
    <row r="25" spans="2:16">
      <c r="B25" s="9" t="str">
        <f t="shared" si="5"/>
        <v/>
      </c>
      <c r="C25" s="153">
        <f t="shared" si="6"/>
        <v>2017</v>
      </c>
      <c r="D25" s="361">
        <v>6679511.9448315902</v>
      </c>
      <c r="E25" s="377">
        <v>195411.33674418606</v>
      </c>
      <c r="F25" s="361">
        <v>6484100.6080874037</v>
      </c>
      <c r="G25" s="360">
        <v>1010847.9921071748</v>
      </c>
      <c r="H25" s="359">
        <v>1010847.9921071748</v>
      </c>
      <c r="I25" s="156">
        <v>0</v>
      </c>
      <c r="J25" s="156"/>
      <c r="K25" s="258">
        <f>G25</f>
        <v>1010847.9921071748</v>
      </c>
      <c r="L25" s="257">
        <f t="shared" si="8"/>
        <v>0</v>
      </c>
      <c r="M25" s="258">
        <f>H25</f>
        <v>1010847.9921071748</v>
      </c>
      <c r="N25" s="158">
        <f t="shared" si="9"/>
        <v>0</v>
      </c>
      <c r="O25" s="158">
        <f t="shared" si="10"/>
        <v>0</v>
      </c>
      <c r="P25" s="4"/>
    </row>
    <row r="26" spans="2:16">
      <c r="B26" s="9" t="str">
        <f t="shared" si="5"/>
        <v/>
      </c>
      <c r="C26" s="153">
        <f t="shared" si="6"/>
        <v>2018</v>
      </c>
      <c r="D26" s="361">
        <v>6484100.6080874037</v>
      </c>
      <c r="E26" s="377">
        <v>204943.59707317073</v>
      </c>
      <c r="F26" s="361">
        <v>6279157.0110142333</v>
      </c>
      <c r="G26" s="360">
        <v>918947.09518988477</v>
      </c>
      <c r="H26" s="359">
        <v>918947.09518988477</v>
      </c>
      <c r="I26" s="156">
        <f t="shared" si="7"/>
        <v>0</v>
      </c>
      <c r="J26" s="156"/>
      <c r="K26" s="258">
        <f>G26</f>
        <v>918947.09518988477</v>
      </c>
      <c r="L26" s="257">
        <f t="shared" si="8"/>
        <v>0</v>
      </c>
      <c r="M26" s="258">
        <f>H26</f>
        <v>918947.09518988477</v>
      </c>
      <c r="N26" s="158">
        <f t="shared" si="9"/>
        <v>0</v>
      </c>
      <c r="O26" s="158">
        <f t="shared" si="10"/>
        <v>0</v>
      </c>
      <c r="P26" s="4"/>
    </row>
    <row r="27" spans="2:16">
      <c r="B27" s="9" t="str">
        <f t="shared" si="5"/>
        <v/>
      </c>
      <c r="C27" s="153">
        <f t="shared" si="6"/>
        <v>2019</v>
      </c>
      <c r="D27" s="162">
        <f>IF(F26+SUM(E$17:E26)=D$10,F26,D$10-SUM(E$17:E26))</f>
        <v>6279157.0110142333</v>
      </c>
      <c r="E27" s="160">
        <f t="shared" ref="E27:E72" si="11">IF(+I$14&lt;F26,I$14,D27)</f>
        <v>195411.33674418606</v>
      </c>
      <c r="F27" s="159">
        <f t="shared" ref="F27:F72" si="12">+D27-E27</f>
        <v>6083745.6742700469</v>
      </c>
      <c r="G27" s="161">
        <f>+I$12*((D27+F27)/2)+E27</f>
        <v>810809.88193395641</v>
      </c>
      <c r="H27" s="142">
        <f>+I$13*((D27+F27)/2)+E27</f>
        <v>810809.88193395641</v>
      </c>
      <c r="I27" s="156">
        <f t="shared" si="7"/>
        <v>0</v>
      </c>
      <c r="J27" s="156"/>
      <c r="K27" s="334"/>
      <c r="L27" s="158">
        <f t="shared" si="0"/>
        <v>0</v>
      </c>
      <c r="M27" s="334"/>
      <c r="N27" s="158">
        <f t="shared" si="1"/>
        <v>0</v>
      </c>
      <c r="O27" s="158">
        <f t="shared" si="2"/>
        <v>0</v>
      </c>
      <c r="P27" s="4"/>
    </row>
    <row r="28" spans="2:16">
      <c r="B28" s="9" t="str">
        <f t="shared" si="5"/>
        <v/>
      </c>
      <c r="C28" s="153">
        <f t="shared" si="6"/>
        <v>2020</v>
      </c>
      <c r="D28" s="159">
        <f>IF(F27+SUM(E$17:E27)=D$10,F27,D$10-SUM(E$17:E27))</f>
        <v>6083745.6742700469</v>
      </c>
      <c r="E28" s="160">
        <f t="shared" si="11"/>
        <v>195411.33674418606</v>
      </c>
      <c r="F28" s="159">
        <f t="shared" si="12"/>
        <v>5888334.3375258604</v>
      </c>
      <c r="G28" s="161">
        <f t="shared" ref="G28:G72" si="13">+I$12*((D28+F28)/2)+E28</f>
        <v>791355.57489826297</v>
      </c>
      <c r="H28" s="142">
        <f t="shared" ref="H28:H72" si="14">+I$13*((D28+F28)/2)+E28</f>
        <v>791355.57489826297</v>
      </c>
      <c r="I28" s="156">
        <f t="shared" si="7"/>
        <v>0</v>
      </c>
      <c r="J28" s="156"/>
      <c r="K28" s="334"/>
      <c r="L28" s="158">
        <f t="shared" si="0"/>
        <v>0</v>
      </c>
      <c r="M28" s="334"/>
      <c r="N28" s="158">
        <f t="shared" si="1"/>
        <v>0</v>
      </c>
      <c r="O28" s="158">
        <f t="shared" si="2"/>
        <v>0</v>
      </c>
      <c r="P28" s="4"/>
    </row>
    <row r="29" spans="2:16">
      <c r="B29" s="9" t="str">
        <f t="shared" si="5"/>
        <v/>
      </c>
      <c r="C29" s="153">
        <f t="shared" si="6"/>
        <v>2021</v>
      </c>
      <c r="D29" s="159">
        <f>IF(F28+SUM(E$17:E28)=D$10,F28,D$10-SUM(E$17:E28))</f>
        <v>5888334.3375258604</v>
      </c>
      <c r="E29" s="160">
        <f t="shared" si="11"/>
        <v>195411.33674418606</v>
      </c>
      <c r="F29" s="159">
        <f t="shared" si="12"/>
        <v>5692923.0007816739</v>
      </c>
      <c r="G29" s="161">
        <f t="shared" si="13"/>
        <v>771901.26786256908</v>
      </c>
      <c r="H29" s="142">
        <f t="shared" si="14"/>
        <v>771901.26786256908</v>
      </c>
      <c r="I29" s="156">
        <f t="shared" si="7"/>
        <v>0</v>
      </c>
      <c r="J29" s="156"/>
      <c r="K29" s="334"/>
      <c r="L29" s="158">
        <f t="shared" si="0"/>
        <v>0</v>
      </c>
      <c r="M29" s="334"/>
      <c r="N29" s="158">
        <f t="shared" si="1"/>
        <v>0</v>
      </c>
      <c r="O29" s="158">
        <f t="shared" si="2"/>
        <v>0</v>
      </c>
      <c r="P29" s="4"/>
    </row>
    <row r="30" spans="2:16">
      <c r="B30" s="9" t="str">
        <f t="shared" si="5"/>
        <v/>
      </c>
      <c r="C30" s="153">
        <f t="shared" si="6"/>
        <v>2022</v>
      </c>
      <c r="D30" s="159">
        <f>IF(F29+SUM(E$17:E29)=D$10,F29,D$10-SUM(E$17:E29))</f>
        <v>5692923.0007816739</v>
      </c>
      <c r="E30" s="160">
        <f t="shared" si="11"/>
        <v>195411.33674418606</v>
      </c>
      <c r="F30" s="159">
        <f t="shared" si="12"/>
        <v>5497511.6640374875</v>
      </c>
      <c r="G30" s="161">
        <f t="shared" si="13"/>
        <v>752446.96082687564</v>
      </c>
      <c r="H30" s="142">
        <f t="shared" si="14"/>
        <v>752446.96082687564</v>
      </c>
      <c r="I30" s="156">
        <f t="shared" si="7"/>
        <v>0</v>
      </c>
      <c r="J30" s="156"/>
      <c r="K30" s="334"/>
      <c r="L30" s="158">
        <f t="shared" si="0"/>
        <v>0</v>
      </c>
      <c r="M30" s="334"/>
      <c r="N30" s="158">
        <f t="shared" si="1"/>
        <v>0</v>
      </c>
      <c r="O30" s="158">
        <f t="shared" si="2"/>
        <v>0</v>
      </c>
      <c r="P30" s="4"/>
    </row>
    <row r="31" spans="2:16">
      <c r="B31" s="9"/>
      <c r="C31" s="153">
        <f t="shared" si="6"/>
        <v>2023</v>
      </c>
      <c r="D31" s="159">
        <f>IF(F30+SUM(E$17:E30)=D$10,F30,D$10-SUM(E$17:E30))</f>
        <v>5497511.6640374875</v>
      </c>
      <c r="E31" s="160">
        <f t="shared" si="11"/>
        <v>195411.33674418606</v>
      </c>
      <c r="F31" s="159">
        <f t="shared" si="12"/>
        <v>5302100.327293301</v>
      </c>
      <c r="G31" s="161">
        <f t="shared" si="13"/>
        <v>732992.65379118198</v>
      </c>
      <c r="H31" s="142">
        <f t="shared" si="14"/>
        <v>732992.65379118198</v>
      </c>
      <c r="I31" s="156">
        <f t="shared" si="7"/>
        <v>0</v>
      </c>
      <c r="J31" s="156"/>
      <c r="K31" s="334"/>
      <c r="L31" s="158">
        <f t="shared" si="0"/>
        <v>0</v>
      </c>
      <c r="M31" s="334"/>
      <c r="N31" s="158">
        <f t="shared" si="1"/>
        <v>0</v>
      </c>
      <c r="O31" s="158">
        <f t="shared" si="2"/>
        <v>0</v>
      </c>
      <c r="P31" s="4"/>
    </row>
    <row r="32" spans="2:16">
      <c r="B32" s="374" t="str">
        <f t="shared" si="5"/>
        <v/>
      </c>
      <c r="C32" s="153">
        <f t="shared" si="6"/>
        <v>2024</v>
      </c>
      <c r="D32" s="159">
        <f>IF(F31+SUM(E$17:E31)=D$10,F31,D$10-SUM(E$17:E31))</f>
        <v>5302100.327293301</v>
      </c>
      <c r="E32" s="160">
        <f t="shared" si="11"/>
        <v>195411.33674418606</v>
      </c>
      <c r="F32" s="159">
        <f t="shared" si="12"/>
        <v>5106688.9905491145</v>
      </c>
      <c r="G32" s="161">
        <f t="shared" si="13"/>
        <v>713538.34675548843</v>
      </c>
      <c r="H32" s="142">
        <f t="shared" si="14"/>
        <v>713538.34675548843</v>
      </c>
      <c r="I32" s="156">
        <f t="shared" si="7"/>
        <v>0</v>
      </c>
      <c r="J32" s="156"/>
      <c r="K32" s="334"/>
      <c r="L32" s="158">
        <f t="shared" si="0"/>
        <v>0</v>
      </c>
      <c r="M32" s="334"/>
      <c r="N32" s="158">
        <f t="shared" si="1"/>
        <v>0</v>
      </c>
      <c r="O32" s="158">
        <f t="shared" si="2"/>
        <v>0</v>
      </c>
      <c r="P32" s="4"/>
    </row>
    <row r="33" spans="2:16">
      <c r="B33" s="9" t="str">
        <f t="shared" si="5"/>
        <v/>
      </c>
      <c r="C33" s="153">
        <f t="shared" si="6"/>
        <v>2025</v>
      </c>
      <c r="D33" s="159">
        <f>IF(F32+SUM(E$17:E32)=D$10,F32,D$10-SUM(E$17:E32))</f>
        <v>5106688.9905491145</v>
      </c>
      <c r="E33" s="160">
        <f t="shared" si="11"/>
        <v>195411.33674418606</v>
      </c>
      <c r="F33" s="159">
        <f t="shared" si="12"/>
        <v>4911277.6538049281</v>
      </c>
      <c r="G33" s="161">
        <f t="shared" si="13"/>
        <v>694084.03971979476</v>
      </c>
      <c r="H33" s="142">
        <f t="shared" si="14"/>
        <v>694084.03971979476</v>
      </c>
      <c r="I33" s="156">
        <f t="shared" si="7"/>
        <v>0</v>
      </c>
      <c r="J33" s="156"/>
      <c r="K33" s="334"/>
      <c r="L33" s="158">
        <f t="shared" si="0"/>
        <v>0</v>
      </c>
      <c r="M33" s="334"/>
      <c r="N33" s="158">
        <f t="shared" si="1"/>
        <v>0</v>
      </c>
      <c r="O33" s="158">
        <f t="shared" si="2"/>
        <v>0</v>
      </c>
      <c r="P33" s="4"/>
    </row>
    <row r="34" spans="2:16">
      <c r="B34" s="9" t="str">
        <f t="shared" si="5"/>
        <v/>
      </c>
      <c r="C34" s="153">
        <f t="shared" si="6"/>
        <v>2026</v>
      </c>
      <c r="D34" s="159">
        <f>IF(F33+SUM(E$17:E33)=D$10,F33,D$10-SUM(E$17:E33))</f>
        <v>4911277.6538049337</v>
      </c>
      <c r="E34" s="160">
        <f t="shared" si="11"/>
        <v>195411.33674418606</v>
      </c>
      <c r="F34" s="159">
        <f t="shared" si="12"/>
        <v>4715866.3170607472</v>
      </c>
      <c r="G34" s="161">
        <f t="shared" si="13"/>
        <v>674629.73268410179</v>
      </c>
      <c r="H34" s="142">
        <f t="shared" si="14"/>
        <v>674629.73268410179</v>
      </c>
      <c r="I34" s="156">
        <f t="shared" si="7"/>
        <v>0</v>
      </c>
      <c r="J34" s="156"/>
      <c r="K34" s="334"/>
      <c r="L34" s="158">
        <f t="shared" si="0"/>
        <v>0</v>
      </c>
      <c r="M34" s="334"/>
      <c r="N34" s="158">
        <f t="shared" si="1"/>
        <v>0</v>
      </c>
      <c r="O34" s="158">
        <f t="shared" si="2"/>
        <v>0</v>
      </c>
      <c r="P34" s="4"/>
    </row>
    <row r="35" spans="2:16">
      <c r="B35" s="9" t="str">
        <f t="shared" si="5"/>
        <v/>
      </c>
      <c r="C35" s="153">
        <f t="shared" si="6"/>
        <v>2027</v>
      </c>
      <c r="D35" s="159">
        <f>IF(F34+SUM(E$17:E34)=D$10,F34,D$10-SUM(E$17:E34))</f>
        <v>4715866.3170607472</v>
      </c>
      <c r="E35" s="160">
        <f t="shared" si="11"/>
        <v>195411.33674418606</v>
      </c>
      <c r="F35" s="159">
        <f t="shared" si="12"/>
        <v>4520454.9803165607</v>
      </c>
      <c r="G35" s="161">
        <f t="shared" si="13"/>
        <v>655175.42564840813</v>
      </c>
      <c r="H35" s="142">
        <f t="shared" si="14"/>
        <v>655175.42564840813</v>
      </c>
      <c r="I35" s="156">
        <f t="shared" si="7"/>
        <v>0</v>
      </c>
      <c r="J35" s="156"/>
      <c r="K35" s="334"/>
      <c r="L35" s="158">
        <f t="shared" si="0"/>
        <v>0</v>
      </c>
      <c r="M35" s="334"/>
      <c r="N35" s="158">
        <f t="shared" si="1"/>
        <v>0</v>
      </c>
      <c r="O35" s="158">
        <f t="shared" si="2"/>
        <v>0</v>
      </c>
      <c r="P35" s="4"/>
    </row>
    <row r="36" spans="2:16">
      <c r="B36" s="9" t="str">
        <f t="shared" si="5"/>
        <v/>
      </c>
      <c r="C36" s="153">
        <f t="shared" si="6"/>
        <v>2028</v>
      </c>
      <c r="D36" s="159">
        <f>IF(F35+SUM(E$17:E35)=D$10,F35,D$10-SUM(E$17:E35))</f>
        <v>4520454.9803165607</v>
      </c>
      <c r="E36" s="160">
        <f t="shared" si="11"/>
        <v>195411.33674418606</v>
      </c>
      <c r="F36" s="159">
        <f t="shared" si="12"/>
        <v>4325043.6435723742</v>
      </c>
      <c r="G36" s="161">
        <f t="shared" si="13"/>
        <v>635721.11861271458</v>
      </c>
      <c r="H36" s="142">
        <f t="shared" si="14"/>
        <v>635721.11861271458</v>
      </c>
      <c r="I36" s="156">
        <f t="shared" si="7"/>
        <v>0</v>
      </c>
      <c r="J36" s="156"/>
      <c r="K36" s="334"/>
      <c r="L36" s="158">
        <f t="shared" si="0"/>
        <v>0</v>
      </c>
      <c r="M36" s="334"/>
      <c r="N36" s="158">
        <f t="shared" si="1"/>
        <v>0</v>
      </c>
      <c r="O36" s="158">
        <f t="shared" si="2"/>
        <v>0</v>
      </c>
      <c r="P36" s="4"/>
    </row>
    <row r="37" spans="2:16">
      <c r="B37" s="9" t="str">
        <f t="shared" si="5"/>
        <v/>
      </c>
      <c r="C37" s="153">
        <f t="shared" si="6"/>
        <v>2029</v>
      </c>
      <c r="D37" s="159">
        <f>IF(F36+SUM(E$17:E36)=D$10,F36,D$10-SUM(E$17:E36))</f>
        <v>4325043.6435723742</v>
      </c>
      <c r="E37" s="160">
        <f t="shared" si="11"/>
        <v>195411.33674418606</v>
      </c>
      <c r="F37" s="159">
        <f t="shared" si="12"/>
        <v>4129632.3068281882</v>
      </c>
      <c r="G37" s="161">
        <f t="shared" si="13"/>
        <v>616266.81157702091</v>
      </c>
      <c r="H37" s="142">
        <f t="shared" si="14"/>
        <v>616266.81157702091</v>
      </c>
      <c r="I37" s="156">
        <f t="shared" si="7"/>
        <v>0</v>
      </c>
      <c r="J37" s="156"/>
      <c r="K37" s="334"/>
      <c r="L37" s="158">
        <f t="shared" si="0"/>
        <v>0</v>
      </c>
      <c r="M37" s="334"/>
      <c r="N37" s="158">
        <f t="shared" si="1"/>
        <v>0</v>
      </c>
      <c r="O37" s="158">
        <f t="shared" si="2"/>
        <v>0</v>
      </c>
      <c r="P37" s="4"/>
    </row>
    <row r="38" spans="2:16">
      <c r="B38" s="9" t="str">
        <f t="shared" si="5"/>
        <v/>
      </c>
      <c r="C38" s="153">
        <f t="shared" si="6"/>
        <v>2030</v>
      </c>
      <c r="D38" s="159">
        <f>IF(F37+SUM(E$17:E37)=D$10,F37,D$10-SUM(E$17:E37))</f>
        <v>4129632.3068281882</v>
      </c>
      <c r="E38" s="160">
        <f t="shared" si="11"/>
        <v>195411.33674418606</v>
      </c>
      <c r="F38" s="159">
        <f t="shared" si="12"/>
        <v>3934220.9700840022</v>
      </c>
      <c r="G38" s="161">
        <f t="shared" si="13"/>
        <v>596812.50454132736</v>
      </c>
      <c r="H38" s="142">
        <f t="shared" si="14"/>
        <v>596812.50454132736</v>
      </c>
      <c r="I38" s="156">
        <f t="shared" si="7"/>
        <v>0</v>
      </c>
      <c r="J38" s="156"/>
      <c r="K38" s="334"/>
      <c r="L38" s="158">
        <f t="shared" si="0"/>
        <v>0</v>
      </c>
      <c r="M38" s="334"/>
      <c r="N38" s="158">
        <f t="shared" si="1"/>
        <v>0</v>
      </c>
      <c r="O38" s="158">
        <f t="shared" si="2"/>
        <v>0</v>
      </c>
      <c r="P38" s="4"/>
    </row>
    <row r="39" spans="2:16">
      <c r="B39" s="9" t="str">
        <f t="shared" si="5"/>
        <v/>
      </c>
      <c r="C39" s="153">
        <f t="shared" si="6"/>
        <v>2031</v>
      </c>
      <c r="D39" s="159">
        <f>IF(F38+SUM(E$17:E38)=D$10,F38,D$10-SUM(E$17:E38))</f>
        <v>3934220.9700840022</v>
      </c>
      <c r="E39" s="160">
        <f t="shared" si="11"/>
        <v>195411.33674418606</v>
      </c>
      <c r="F39" s="159">
        <f t="shared" si="12"/>
        <v>3738809.6333398162</v>
      </c>
      <c r="G39" s="161">
        <f t="shared" si="13"/>
        <v>577358.19750563381</v>
      </c>
      <c r="H39" s="142">
        <f t="shared" si="14"/>
        <v>577358.19750563381</v>
      </c>
      <c r="I39" s="156">
        <f t="shared" si="7"/>
        <v>0</v>
      </c>
      <c r="J39" s="156"/>
      <c r="K39" s="334"/>
      <c r="L39" s="158">
        <f t="shared" si="0"/>
        <v>0</v>
      </c>
      <c r="M39" s="334"/>
      <c r="N39" s="158">
        <f t="shared" si="1"/>
        <v>0</v>
      </c>
      <c r="O39" s="158">
        <f t="shared" si="2"/>
        <v>0</v>
      </c>
      <c r="P39" s="4"/>
    </row>
    <row r="40" spans="2:16">
      <c r="B40" s="9" t="str">
        <f t="shared" si="5"/>
        <v/>
      </c>
      <c r="C40" s="153">
        <f t="shared" si="6"/>
        <v>2032</v>
      </c>
      <c r="D40" s="159">
        <f>IF(F39+SUM(E$17:E39)=D$10,F39,D$10-SUM(E$17:E39))</f>
        <v>3738809.6333398162</v>
      </c>
      <c r="E40" s="160">
        <f t="shared" si="11"/>
        <v>195411.33674418606</v>
      </c>
      <c r="F40" s="159">
        <f t="shared" si="12"/>
        <v>3543398.2965956302</v>
      </c>
      <c r="G40" s="161">
        <f t="shared" si="13"/>
        <v>557903.89046994026</v>
      </c>
      <c r="H40" s="142">
        <f t="shared" si="14"/>
        <v>557903.89046994026</v>
      </c>
      <c r="I40" s="156">
        <f t="shared" si="7"/>
        <v>0</v>
      </c>
      <c r="J40" s="156"/>
      <c r="K40" s="334"/>
      <c r="L40" s="158">
        <f t="shared" si="0"/>
        <v>0</v>
      </c>
      <c r="M40" s="334"/>
      <c r="N40" s="158">
        <f t="shared" si="1"/>
        <v>0</v>
      </c>
      <c r="O40" s="158">
        <f t="shared" si="2"/>
        <v>0</v>
      </c>
      <c r="P40" s="4"/>
    </row>
    <row r="41" spans="2:16">
      <c r="B41" s="9" t="str">
        <f t="shared" si="5"/>
        <v/>
      </c>
      <c r="C41" s="153">
        <f t="shared" si="6"/>
        <v>2033</v>
      </c>
      <c r="D41" s="159">
        <f>IF(F40+SUM(E$17:E40)=D$10,F40,D$10-SUM(E$17:E40))</f>
        <v>3543398.2965956302</v>
      </c>
      <c r="E41" s="160">
        <f t="shared" si="11"/>
        <v>195411.33674418606</v>
      </c>
      <c r="F41" s="159">
        <f t="shared" si="12"/>
        <v>3347986.9598514442</v>
      </c>
      <c r="G41" s="161">
        <f t="shared" si="13"/>
        <v>538449.58343424671</v>
      </c>
      <c r="H41" s="142">
        <f t="shared" si="14"/>
        <v>538449.58343424671</v>
      </c>
      <c r="I41" s="156">
        <f t="shared" si="7"/>
        <v>0</v>
      </c>
      <c r="J41" s="156"/>
      <c r="K41" s="334"/>
      <c r="L41" s="158">
        <f t="shared" si="0"/>
        <v>0</v>
      </c>
      <c r="M41" s="334"/>
      <c r="N41" s="158">
        <f t="shared" si="1"/>
        <v>0</v>
      </c>
      <c r="O41" s="158">
        <f t="shared" si="2"/>
        <v>0</v>
      </c>
      <c r="P41" s="4"/>
    </row>
    <row r="42" spans="2:16">
      <c r="B42" s="9" t="str">
        <f t="shared" si="5"/>
        <v/>
      </c>
      <c r="C42" s="153">
        <f t="shared" si="6"/>
        <v>2034</v>
      </c>
      <c r="D42" s="159">
        <f>IF(F41+SUM(E$17:E41)=D$10,F41,D$10-SUM(E$17:E41))</f>
        <v>3347986.9598514442</v>
      </c>
      <c r="E42" s="160">
        <f t="shared" si="11"/>
        <v>195411.33674418606</v>
      </c>
      <c r="F42" s="159">
        <f t="shared" si="12"/>
        <v>3152575.6231072582</v>
      </c>
      <c r="G42" s="161">
        <f t="shared" si="13"/>
        <v>518995.27639855316</v>
      </c>
      <c r="H42" s="142">
        <f t="shared" si="14"/>
        <v>518995.27639855316</v>
      </c>
      <c r="I42" s="156">
        <f t="shared" si="7"/>
        <v>0</v>
      </c>
      <c r="J42" s="156"/>
      <c r="K42" s="334"/>
      <c r="L42" s="158">
        <f t="shared" si="0"/>
        <v>0</v>
      </c>
      <c r="M42" s="334"/>
      <c r="N42" s="158">
        <f t="shared" si="1"/>
        <v>0</v>
      </c>
      <c r="O42" s="158">
        <f t="shared" si="2"/>
        <v>0</v>
      </c>
      <c r="P42" s="4"/>
    </row>
    <row r="43" spans="2:16">
      <c r="B43" s="9" t="str">
        <f t="shared" si="5"/>
        <v/>
      </c>
      <c r="C43" s="153">
        <f t="shared" si="6"/>
        <v>2035</v>
      </c>
      <c r="D43" s="159">
        <f>IF(F42+SUM(E$17:E42)=D$10,F42,D$10-SUM(E$17:E42))</f>
        <v>3152575.6231072582</v>
      </c>
      <c r="E43" s="160">
        <f t="shared" si="11"/>
        <v>195411.33674418606</v>
      </c>
      <c r="F43" s="159">
        <f t="shared" si="12"/>
        <v>2957164.2863630722</v>
      </c>
      <c r="G43" s="161">
        <f t="shared" si="13"/>
        <v>499540.96936285961</v>
      </c>
      <c r="H43" s="142">
        <f t="shared" si="14"/>
        <v>499540.96936285961</v>
      </c>
      <c r="I43" s="156">
        <f t="shared" si="7"/>
        <v>0</v>
      </c>
      <c r="J43" s="156"/>
      <c r="K43" s="334"/>
      <c r="L43" s="158">
        <f t="shared" si="0"/>
        <v>0</v>
      </c>
      <c r="M43" s="334"/>
      <c r="N43" s="158">
        <f t="shared" si="1"/>
        <v>0</v>
      </c>
      <c r="O43" s="158">
        <f t="shared" si="2"/>
        <v>0</v>
      </c>
      <c r="P43" s="4"/>
    </row>
    <row r="44" spans="2:16">
      <c r="B44" s="9" t="str">
        <f t="shared" si="5"/>
        <v/>
      </c>
      <c r="C44" s="153">
        <f t="shared" si="6"/>
        <v>2036</v>
      </c>
      <c r="D44" s="159">
        <f>IF(F43+SUM(E$17:E43)=D$10,F43,D$10-SUM(E$17:E43))</f>
        <v>2957164.2863630722</v>
      </c>
      <c r="E44" s="160">
        <f t="shared" si="11"/>
        <v>195411.33674418606</v>
      </c>
      <c r="F44" s="159">
        <f t="shared" si="12"/>
        <v>2761752.9496188862</v>
      </c>
      <c r="G44" s="161">
        <f t="shared" si="13"/>
        <v>480086.66232716601</v>
      </c>
      <c r="H44" s="142">
        <f t="shared" si="14"/>
        <v>480086.66232716601</v>
      </c>
      <c r="I44" s="156">
        <f t="shared" si="7"/>
        <v>0</v>
      </c>
      <c r="J44" s="156"/>
      <c r="K44" s="334"/>
      <c r="L44" s="158">
        <f t="shared" si="0"/>
        <v>0</v>
      </c>
      <c r="M44" s="334"/>
      <c r="N44" s="158">
        <f t="shared" si="1"/>
        <v>0</v>
      </c>
      <c r="O44" s="158">
        <f t="shared" si="2"/>
        <v>0</v>
      </c>
      <c r="P44" s="4"/>
    </row>
    <row r="45" spans="2:16">
      <c r="B45" s="9" t="str">
        <f t="shared" si="5"/>
        <v/>
      </c>
      <c r="C45" s="153">
        <f t="shared" si="6"/>
        <v>2037</v>
      </c>
      <c r="D45" s="159">
        <f>IF(F44+SUM(E$17:E44)=D$10,F44,D$10-SUM(E$17:E44))</f>
        <v>2761752.9496188862</v>
      </c>
      <c r="E45" s="160">
        <f t="shared" si="11"/>
        <v>195411.33674418606</v>
      </c>
      <c r="F45" s="159">
        <f t="shared" si="12"/>
        <v>2566341.6128747002</v>
      </c>
      <c r="G45" s="161">
        <f t="shared" si="13"/>
        <v>460632.35529147252</v>
      </c>
      <c r="H45" s="142">
        <f t="shared" si="14"/>
        <v>460632.35529147252</v>
      </c>
      <c r="I45" s="156">
        <f t="shared" si="7"/>
        <v>0</v>
      </c>
      <c r="J45" s="156"/>
      <c r="K45" s="334"/>
      <c r="L45" s="158">
        <f t="shared" si="0"/>
        <v>0</v>
      </c>
      <c r="M45" s="334"/>
      <c r="N45" s="158">
        <f t="shared" si="1"/>
        <v>0</v>
      </c>
      <c r="O45" s="158">
        <f t="shared" si="2"/>
        <v>0</v>
      </c>
      <c r="P45" s="4"/>
    </row>
    <row r="46" spans="2:16">
      <c r="B46" s="9" t="str">
        <f t="shared" si="5"/>
        <v/>
      </c>
      <c r="C46" s="153">
        <f t="shared" si="6"/>
        <v>2038</v>
      </c>
      <c r="D46" s="159">
        <f>IF(F45+SUM(E$17:E45)=D$10,F45,D$10-SUM(E$17:E45))</f>
        <v>2566341.6128747002</v>
      </c>
      <c r="E46" s="160">
        <f t="shared" si="11"/>
        <v>195411.33674418606</v>
      </c>
      <c r="F46" s="159">
        <f t="shared" si="12"/>
        <v>2370930.2761305142</v>
      </c>
      <c r="G46" s="161">
        <f t="shared" si="13"/>
        <v>441178.04825577891</v>
      </c>
      <c r="H46" s="142">
        <f t="shared" si="14"/>
        <v>441178.04825577891</v>
      </c>
      <c r="I46" s="156">
        <f t="shared" si="7"/>
        <v>0</v>
      </c>
      <c r="J46" s="156"/>
      <c r="K46" s="334"/>
      <c r="L46" s="158">
        <f t="shared" si="0"/>
        <v>0</v>
      </c>
      <c r="M46" s="334"/>
      <c r="N46" s="158">
        <f t="shared" si="1"/>
        <v>0</v>
      </c>
      <c r="O46" s="158">
        <f t="shared" si="2"/>
        <v>0</v>
      </c>
      <c r="P46" s="4"/>
    </row>
    <row r="47" spans="2:16">
      <c r="B47" s="9" t="str">
        <f t="shared" si="5"/>
        <v/>
      </c>
      <c r="C47" s="153">
        <f t="shared" si="6"/>
        <v>2039</v>
      </c>
      <c r="D47" s="159">
        <f>IF(F46+SUM(E$17:E46)=D$10,F46,D$10-SUM(E$17:E46))</f>
        <v>2370930.2761305142</v>
      </c>
      <c r="E47" s="160">
        <f t="shared" si="11"/>
        <v>195411.33674418606</v>
      </c>
      <c r="F47" s="159">
        <f t="shared" si="12"/>
        <v>2175518.9393863282</v>
      </c>
      <c r="G47" s="161">
        <f t="shared" si="13"/>
        <v>421723.74122008542</v>
      </c>
      <c r="H47" s="142">
        <f t="shared" si="14"/>
        <v>421723.74122008542</v>
      </c>
      <c r="I47" s="156">
        <f t="shared" si="7"/>
        <v>0</v>
      </c>
      <c r="J47" s="156"/>
      <c r="K47" s="334"/>
      <c r="L47" s="158">
        <f t="shared" si="0"/>
        <v>0</v>
      </c>
      <c r="M47" s="334"/>
      <c r="N47" s="158">
        <f t="shared" si="1"/>
        <v>0</v>
      </c>
      <c r="O47" s="158">
        <f t="shared" si="2"/>
        <v>0</v>
      </c>
      <c r="P47" s="4"/>
    </row>
    <row r="48" spans="2:16">
      <c r="B48" s="9" t="str">
        <f t="shared" si="5"/>
        <v/>
      </c>
      <c r="C48" s="153">
        <f t="shared" si="6"/>
        <v>2040</v>
      </c>
      <c r="D48" s="159">
        <f>IF(F47+SUM(E$17:E47)=D$10,F47,D$10-SUM(E$17:E47))</f>
        <v>2175518.9393863282</v>
      </c>
      <c r="E48" s="160">
        <f t="shared" si="11"/>
        <v>195411.33674418606</v>
      </c>
      <c r="F48" s="159">
        <f t="shared" si="12"/>
        <v>1980107.6026421422</v>
      </c>
      <c r="G48" s="161">
        <f t="shared" si="13"/>
        <v>402269.43418439181</v>
      </c>
      <c r="H48" s="142">
        <f t="shared" si="14"/>
        <v>402269.43418439181</v>
      </c>
      <c r="I48" s="156">
        <f t="shared" si="7"/>
        <v>0</v>
      </c>
      <c r="J48" s="156"/>
      <c r="K48" s="334"/>
      <c r="L48" s="158">
        <f t="shared" si="0"/>
        <v>0</v>
      </c>
      <c r="M48" s="334"/>
      <c r="N48" s="158">
        <f t="shared" si="1"/>
        <v>0</v>
      </c>
      <c r="O48" s="158">
        <f t="shared" si="2"/>
        <v>0</v>
      </c>
      <c r="P48" s="4"/>
    </row>
    <row r="49" spans="2:17">
      <c r="B49" s="9" t="str">
        <f t="shared" si="5"/>
        <v/>
      </c>
      <c r="C49" s="153">
        <f t="shared" si="6"/>
        <v>2041</v>
      </c>
      <c r="D49" s="159">
        <f>IF(F48+SUM(E$17:E48)=D$10,F48,D$10-SUM(E$17:E48))</f>
        <v>1980107.6026421422</v>
      </c>
      <c r="E49" s="160">
        <f t="shared" si="11"/>
        <v>195411.33674418606</v>
      </c>
      <c r="F49" s="159">
        <f t="shared" si="12"/>
        <v>1784696.2658979562</v>
      </c>
      <c r="G49" s="161">
        <f t="shared" si="13"/>
        <v>382815.1271486982</v>
      </c>
      <c r="H49" s="142">
        <f t="shared" si="14"/>
        <v>382815.1271486982</v>
      </c>
      <c r="I49" s="156">
        <f t="shared" si="7"/>
        <v>0</v>
      </c>
      <c r="J49" s="156"/>
      <c r="K49" s="334"/>
      <c r="L49" s="158">
        <f t="shared" ref="L49:L72" si="15">IF(K49&lt;&gt;0,+G49-K49,0)</f>
        <v>0</v>
      </c>
      <c r="M49" s="334"/>
      <c r="N49" s="158">
        <f t="shared" ref="N49:N72" si="16">IF(M49&lt;&gt;0,+H49-M49,0)</f>
        <v>0</v>
      </c>
      <c r="O49" s="158">
        <f t="shared" ref="O49:O72" si="17">+N49-L49</f>
        <v>0</v>
      </c>
      <c r="P49" s="4"/>
    </row>
    <row r="50" spans="2:17">
      <c r="B50" s="9" t="str">
        <f t="shared" si="5"/>
        <v>IU</v>
      </c>
      <c r="C50" s="153">
        <f t="shared" si="6"/>
        <v>2042</v>
      </c>
      <c r="D50" s="159">
        <f>IF(F49+SUM(E$17:E49)=D$10,F49,D$10-SUM(E$17:E49))</f>
        <v>1784696.2658979511</v>
      </c>
      <c r="E50" s="160">
        <f t="shared" si="11"/>
        <v>195411.33674418606</v>
      </c>
      <c r="F50" s="159">
        <f t="shared" si="12"/>
        <v>1589284.9291537651</v>
      </c>
      <c r="G50" s="161">
        <f t="shared" si="13"/>
        <v>363360.82011300419</v>
      </c>
      <c r="H50" s="142">
        <f t="shared" si="14"/>
        <v>363360.82011300419</v>
      </c>
      <c r="I50" s="156">
        <f t="shared" si="7"/>
        <v>0</v>
      </c>
      <c r="J50" s="156"/>
      <c r="K50" s="334"/>
      <c r="L50" s="158">
        <f t="shared" si="15"/>
        <v>0</v>
      </c>
      <c r="M50" s="334"/>
      <c r="N50" s="158">
        <f t="shared" si="16"/>
        <v>0</v>
      </c>
      <c r="O50" s="158">
        <f t="shared" si="17"/>
        <v>0</v>
      </c>
      <c r="P50" s="4"/>
    </row>
    <row r="51" spans="2:17">
      <c r="B51" s="9" t="str">
        <f t="shared" si="5"/>
        <v/>
      </c>
      <c r="C51" s="153">
        <f t="shared" si="6"/>
        <v>2043</v>
      </c>
      <c r="D51" s="159">
        <f>IF(F50+SUM(E$17:E50)=D$10,F50,D$10-SUM(E$17:E50))</f>
        <v>1589284.9291537651</v>
      </c>
      <c r="E51" s="160">
        <f t="shared" si="11"/>
        <v>195411.33674418606</v>
      </c>
      <c r="F51" s="159">
        <f t="shared" si="12"/>
        <v>1393873.5924095791</v>
      </c>
      <c r="G51" s="161">
        <f t="shared" si="13"/>
        <v>343906.51307731064</v>
      </c>
      <c r="H51" s="142">
        <f t="shared" si="14"/>
        <v>343906.51307731064</v>
      </c>
      <c r="I51" s="156">
        <f t="shared" si="7"/>
        <v>0</v>
      </c>
      <c r="J51" s="156"/>
      <c r="K51" s="334"/>
      <c r="L51" s="158">
        <f t="shared" si="15"/>
        <v>0</v>
      </c>
      <c r="M51" s="334"/>
      <c r="N51" s="158">
        <f t="shared" si="16"/>
        <v>0</v>
      </c>
      <c r="O51" s="158">
        <f t="shared" si="17"/>
        <v>0</v>
      </c>
      <c r="P51" s="4"/>
    </row>
    <row r="52" spans="2:17">
      <c r="B52" s="9" t="str">
        <f t="shared" si="5"/>
        <v/>
      </c>
      <c r="C52" s="153">
        <f t="shared" si="6"/>
        <v>2044</v>
      </c>
      <c r="D52" s="159">
        <f>IF(F51+SUM(E$17:E51)=D$10,F51,D$10-SUM(E$17:E51))</f>
        <v>1393873.5924095791</v>
      </c>
      <c r="E52" s="160">
        <f t="shared" si="11"/>
        <v>195411.33674418606</v>
      </c>
      <c r="F52" s="159">
        <f t="shared" si="12"/>
        <v>1198462.2556653931</v>
      </c>
      <c r="G52" s="161">
        <f t="shared" si="13"/>
        <v>324452.20604161709</v>
      </c>
      <c r="H52" s="142">
        <f t="shared" si="14"/>
        <v>324452.20604161709</v>
      </c>
      <c r="I52" s="156">
        <f t="shared" si="7"/>
        <v>0</v>
      </c>
      <c r="J52" s="156"/>
      <c r="K52" s="334"/>
      <c r="L52" s="158">
        <f t="shared" si="15"/>
        <v>0</v>
      </c>
      <c r="M52" s="334"/>
      <c r="N52" s="158">
        <f t="shared" si="16"/>
        <v>0</v>
      </c>
      <c r="O52" s="158">
        <f t="shared" si="17"/>
        <v>0</v>
      </c>
      <c r="P52" s="4"/>
    </row>
    <row r="53" spans="2:17">
      <c r="B53" s="9" t="str">
        <f t="shared" si="5"/>
        <v/>
      </c>
      <c r="C53" s="153">
        <f t="shared" si="6"/>
        <v>2045</v>
      </c>
      <c r="D53" s="159">
        <f>IF(F52+SUM(E$17:E52)=D$10,F52,D$10-SUM(E$17:E52))</f>
        <v>1198462.2556653931</v>
      </c>
      <c r="E53" s="160">
        <f t="shared" si="11"/>
        <v>195411.33674418606</v>
      </c>
      <c r="F53" s="159">
        <f t="shared" si="12"/>
        <v>1003050.9189212071</v>
      </c>
      <c r="G53" s="161">
        <f t="shared" si="13"/>
        <v>304997.89900592348</v>
      </c>
      <c r="H53" s="142">
        <f t="shared" si="14"/>
        <v>304997.89900592348</v>
      </c>
      <c r="I53" s="156">
        <f t="shared" si="7"/>
        <v>0</v>
      </c>
      <c r="J53" s="156"/>
      <c r="K53" s="334"/>
      <c r="L53" s="158">
        <f t="shared" si="15"/>
        <v>0</v>
      </c>
      <c r="M53" s="334"/>
      <c r="N53" s="158">
        <f t="shared" si="16"/>
        <v>0</v>
      </c>
      <c r="O53" s="158">
        <f t="shared" si="17"/>
        <v>0</v>
      </c>
      <c r="P53" s="4"/>
    </row>
    <row r="54" spans="2:17">
      <c r="B54" s="374" t="str">
        <f t="shared" si="5"/>
        <v/>
      </c>
      <c r="C54" s="153">
        <f t="shared" si="6"/>
        <v>2046</v>
      </c>
      <c r="D54" s="159">
        <f>IF(F53+SUM(E$17:E53)=D$10,F53,D$10-SUM(E$17:E53))</f>
        <v>1003050.9189212071</v>
      </c>
      <c r="E54" s="160">
        <f t="shared" si="11"/>
        <v>195411.33674418606</v>
      </c>
      <c r="F54" s="159">
        <f t="shared" si="12"/>
        <v>807639.58217702108</v>
      </c>
      <c r="G54" s="161">
        <f t="shared" si="13"/>
        <v>285543.59197022993</v>
      </c>
      <c r="H54" s="142">
        <f t="shared" si="14"/>
        <v>285543.59197022993</v>
      </c>
      <c r="I54" s="156">
        <f t="shared" si="7"/>
        <v>0</v>
      </c>
      <c r="J54" s="156"/>
      <c r="K54" s="334"/>
      <c r="L54" s="158">
        <f t="shared" si="15"/>
        <v>0</v>
      </c>
      <c r="M54" s="334"/>
      <c r="N54" s="158">
        <f t="shared" si="16"/>
        <v>0</v>
      </c>
      <c r="O54" s="158">
        <f t="shared" si="17"/>
        <v>0</v>
      </c>
      <c r="P54" s="4"/>
    </row>
    <row r="55" spans="2:17">
      <c r="B55" s="9" t="str">
        <f t="shared" si="5"/>
        <v/>
      </c>
      <c r="C55" s="153">
        <f t="shared" si="6"/>
        <v>2047</v>
      </c>
      <c r="D55" s="159">
        <f>IF(F54+SUM(E$17:E54)=D$10,F54,D$10-SUM(E$17:E54))</f>
        <v>807639.58217702108</v>
      </c>
      <c r="E55" s="160">
        <f t="shared" si="11"/>
        <v>195411.33674418606</v>
      </c>
      <c r="F55" s="159">
        <f t="shared" si="12"/>
        <v>612228.24543283507</v>
      </c>
      <c r="G55" s="161">
        <f t="shared" si="13"/>
        <v>266089.28493453638</v>
      </c>
      <c r="H55" s="142">
        <f t="shared" si="14"/>
        <v>266089.28493453638</v>
      </c>
      <c r="I55" s="156">
        <f t="shared" si="7"/>
        <v>0</v>
      </c>
      <c r="J55" s="156"/>
      <c r="K55" s="334"/>
      <c r="L55" s="158">
        <f t="shared" si="15"/>
        <v>0</v>
      </c>
      <c r="M55" s="334"/>
      <c r="N55" s="158">
        <f t="shared" si="16"/>
        <v>0</v>
      </c>
      <c r="O55" s="158">
        <f t="shared" si="17"/>
        <v>0</v>
      </c>
      <c r="P55" s="4"/>
    </row>
    <row r="56" spans="2:17">
      <c r="B56" s="9" t="str">
        <f t="shared" si="5"/>
        <v/>
      </c>
      <c r="C56" s="153">
        <f t="shared" si="6"/>
        <v>2048</v>
      </c>
      <c r="D56" s="159">
        <f>IF(F55+SUM(E$17:E55)=D$10,F55,D$10-SUM(E$17:E55))</f>
        <v>612228.24543283507</v>
      </c>
      <c r="E56" s="160">
        <f t="shared" si="11"/>
        <v>195411.33674418606</v>
      </c>
      <c r="F56" s="159">
        <f t="shared" si="12"/>
        <v>416816.90868864901</v>
      </c>
      <c r="G56" s="161">
        <f t="shared" si="13"/>
        <v>246634.97789884283</v>
      </c>
      <c r="H56" s="142">
        <f t="shared" si="14"/>
        <v>246634.97789884283</v>
      </c>
      <c r="I56" s="156">
        <f t="shared" si="7"/>
        <v>0</v>
      </c>
      <c r="J56" s="156"/>
      <c r="K56" s="334"/>
      <c r="L56" s="158">
        <f t="shared" si="15"/>
        <v>0</v>
      </c>
      <c r="M56" s="334"/>
      <c r="N56" s="158">
        <f t="shared" si="16"/>
        <v>0</v>
      </c>
      <c r="O56" s="158">
        <f t="shared" si="17"/>
        <v>0</v>
      </c>
      <c r="P56" s="4"/>
    </row>
    <row r="57" spans="2:17">
      <c r="B57" s="9" t="str">
        <f t="shared" si="5"/>
        <v/>
      </c>
      <c r="C57" s="153">
        <f t="shared" si="6"/>
        <v>2049</v>
      </c>
      <c r="D57" s="159">
        <f>IF(F56+SUM(E$17:E56)=D$10,F56,D$10-SUM(E$17:E56))</f>
        <v>416816.90868864901</v>
      </c>
      <c r="E57" s="160">
        <f t="shared" si="11"/>
        <v>195411.33674418606</v>
      </c>
      <c r="F57" s="159">
        <f t="shared" si="12"/>
        <v>221405.57194446295</v>
      </c>
      <c r="G57" s="161">
        <f t="shared" si="13"/>
        <v>227180.67086314925</v>
      </c>
      <c r="H57" s="142">
        <f t="shared" si="14"/>
        <v>227180.67086314925</v>
      </c>
      <c r="I57" s="156">
        <f t="shared" si="7"/>
        <v>0</v>
      </c>
      <c r="J57" s="156"/>
      <c r="K57" s="334"/>
      <c r="L57" s="158">
        <f t="shared" si="15"/>
        <v>0</v>
      </c>
      <c r="M57" s="334"/>
      <c r="N57" s="158">
        <f t="shared" si="16"/>
        <v>0</v>
      </c>
      <c r="O57" s="158">
        <f t="shared" si="17"/>
        <v>0</v>
      </c>
      <c r="P57" s="4"/>
    </row>
    <row r="58" spans="2:17">
      <c r="B58" s="9" t="str">
        <f t="shared" si="5"/>
        <v/>
      </c>
      <c r="C58" s="153">
        <f t="shared" si="6"/>
        <v>2050</v>
      </c>
      <c r="D58" s="159">
        <f>IF(F57+SUM(E$17:E57)=D$10,F57,D$10-SUM(E$17:E57))</f>
        <v>221405.57194446295</v>
      </c>
      <c r="E58" s="160">
        <f t="shared" si="11"/>
        <v>195411.33674418606</v>
      </c>
      <c r="F58" s="159">
        <f t="shared" si="12"/>
        <v>25994.235200276889</v>
      </c>
      <c r="G58" s="161">
        <f t="shared" si="13"/>
        <v>207726.36382745567</v>
      </c>
      <c r="H58" s="142">
        <f t="shared" si="14"/>
        <v>207726.36382745567</v>
      </c>
      <c r="I58" s="156">
        <f t="shared" si="7"/>
        <v>0</v>
      </c>
      <c r="J58" s="156"/>
      <c r="K58" s="334"/>
      <c r="L58" s="158">
        <f t="shared" si="15"/>
        <v>0</v>
      </c>
      <c r="M58" s="334"/>
      <c r="N58" s="158">
        <f t="shared" si="16"/>
        <v>0</v>
      </c>
      <c r="O58" s="158">
        <f t="shared" si="17"/>
        <v>0</v>
      </c>
      <c r="P58" s="4"/>
      <c r="Q58" t="str">
        <f>IF(ROUND(Q57,0)=ROUND(SUM(Q18:Q56),0),"","Error -- check allocations above).")</f>
        <v/>
      </c>
    </row>
    <row r="59" spans="2:17">
      <c r="B59" s="9" t="str">
        <f t="shared" si="5"/>
        <v/>
      </c>
      <c r="C59" s="153">
        <f t="shared" si="6"/>
        <v>2051</v>
      </c>
      <c r="D59" s="159">
        <f>IF(F58+SUM(E$17:E58)=D$10,F58,D$10-SUM(E$17:E58))</f>
        <v>25994.235200276889</v>
      </c>
      <c r="E59" s="160">
        <f t="shared" si="11"/>
        <v>25994.235200276889</v>
      </c>
      <c r="F59" s="159">
        <f t="shared" si="12"/>
        <v>0</v>
      </c>
      <c r="G59" s="161">
        <f t="shared" si="13"/>
        <v>27288.171982988308</v>
      </c>
      <c r="H59" s="142">
        <f t="shared" si="14"/>
        <v>27288.171982988308</v>
      </c>
      <c r="I59" s="156">
        <f t="shared" si="7"/>
        <v>0</v>
      </c>
      <c r="J59" s="156"/>
      <c r="K59" s="334"/>
      <c r="L59" s="158">
        <f t="shared" si="15"/>
        <v>0</v>
      </c>
      <c r="M59" s="334"/>
      <c r="N59" s="158">
        <f t="shared" si="16"/>
        <v>0</v>
      </c>
      <c r="O59" s="158">
        <f t="shared" si="17"/>
        <v>0</v>
      </c>
      <c r="P59" s="4"/>
    </row>
    <row r="60" spans="2:17">
      <c r="B60" s="9" t="str">
        <f t="shared" si="5"/>
        <v/>
      </c>
      <c r="C60" s="153">
        <f t="shared" si="6"/>
        <v>2052</v>
      </c>
      <c r="D60" s="159">
        <f>IF(F59+SUM(E$17:E59)=D$10,F59,D$10-SUM(E$17:E59))</f>
        <v>0</v>
      </c>
      <c r="E60" s="160">
        <f t="shared" si="11"/>
        <v>0</v>
      </c>
      <c r="F60" s="159">
        <f t="shared" si="12"/>
        <v>0</v>
      </c>
      <c r="G60" s="161">
        <f t="shared" si="13"/>
        <v>0</v>
      </c>
      <c r="H60" s="142">
        <f t="shared" si="14"/>
        <v>0</v>
      </c>
      <c r="I60" s="156">
        <f t="shared" si="7"/>
        <v>0</v>
      </c>
      <c r="J60" s="156"/>
      <c r="K60" s="334"/>
      <c r="L60" s="158">
        <f t="shared" si="15"/>
        <v>0</v>
      </c>
      <c r="M60" s="334"/>
      <c r="N60" s="158">
        <f t="shared" si="16"/>
        <v>0</v>
      </c>
      <c r="O60" s="158">
        <f t="shared" si="17"/>
        <v>0</v>
      </c>
      <c r="P60" s="4"/>
    </row>
    <row r="61" spans="2:17">
      <c r="B61" s="9" t="str">
        <f t="shared" si="5"/>
        <v/>
      </c>
      <c r="C61" s="153">
        <f t="shared" si="6"/>
        <v>2053</v>
      </c>
      <c r="D61" s="159">
        <f>IF(F60+SUM(E$17:E60)=D$10,F60,D$10-SUM(E$17:E60))</f>
        <v>0</v>
      </c>
      <c r="E61" s="160">
        <f t="shared" si="11"/>
        <v>0</v>
      </c>
      <c r="F61" s="159">
        <f t="shared" si="12"/>
        <v>0</v>
      </c>
      <c r="G61" s="163">
        <f t="shared" si="13"/>
        <v>0</v>
      </c>
      <c r="H61" s="142">
        <f t="shared" si="14"/>
        <v>0</v>
      </c>
      <c r="I61" s="156">
        <f t="shared" si="7"/>
        <v>0</v>
      </c>
      <c r="J61" s="156"/>
      <c r="K61" s="334"/>
      <c r="L61" s="158">
        <f t="shared" si="15"/>
        <v>0</v>
      </c>
      <c r="M61" s="334"/>
      <c r="N61" s="158">
        <f t="shared" si="16"/>
        <v>0</v>
      </c>
      <c r="O61" s="158">
        <f t="shared" si="17"/>
        <v>0</v>
      </c>
      <c r="P61" s="4"/>
    </row>
    <row r="62" spans="2:17">
      <c r="B62" s="9" t="str">
        <f t="shared" si="5"/>
        <v/>
      </c>
      <c r="C62" s="153">
        <f t="shared" si="6"/>
        <v>2054</v>
      </c>
      <c r="D62" s="159">
        <f>IF(F61+SUM(E$17:E61)=D$10,F61,D$10-SUM(E$17:E61))</f>
        <v>0</v>
      </c>
      <c r="E62" s="160">
        <f t="shared" si="11"/>
        <v>0</v>
      </c>
      <c r="F62" s="159">
        <f t="shared" si="12"/>
        <v>0</v>
      </c>
      <c r="G62" s="163">
        <f t="shared" si="13"/>
        <v>0</v>
      </c>
      <c r="H62" s="142">
        <f t="shared" si="14"/>
        <v>0</v>
      </c>
      <c r="I62" s="156">
        <f t="shared" si="7"/>
        <v>0</v>
      </c>
      <c r="J62" s="156"/>
      <c r="K62" s="334"/>
      <c r="L62" s="158">
        <f t="shared" si="15"/>
        <v>0</v>
      </c>
      <c r="M62" s="334"/>
      <c r="N62" s="158">
        <f t="shared" si="16"/>
        <v>0</v>
      </c>
      <c r="O62" s="158">
        <f t="shared" si="17"/>
        <v>0</v>
      </c>
      <c r="P62" s="4"/>
    </row>
    <row r="63" spans="2:17">
      <c r="B63" s="9" t="str">
        <f t="shared" si="5"/>
        <v/>
      </c>
      <c r="C63" s="153">
        <f t="shared" si="6"/>
        <v>2055</v>
      </c>
      <c r="D63" s="159">
        <f>IF(F62+SUM(E$17:E62)=D$10,F62,D$10-SUM(E$17:E62))</f>
        <v>0</v>
      </c>
      <c r="E63" s="160">
        <f t="shared" si="11"/>
        <v>0</v>
      </c>
      <c r="F63" s="159">
        <f t="shared" si="12"/>
        <v>0</v>
      </c>
      <c r="G63" s="163">
        <f t="shared" si="13"/>
        <v>0</v>
      </c>
      <c r="H63" s="142">
        <f t="shared" si="14"/>
        <v>0</v>
      </c>
      <c r="I63" s="156">
        <f t="shared" si="7"/>
        <v>0</v>
      </c>
      <c r="J63" s="156"/>
      <c r="K63" s="334"/>
      <c r="L63" s="158">
        <f t="shared" si="15"/>
        <v>0</v>
      </c>
      <c r="M63" s="334"/>
      <c r="N63" s="158">
        <f t="shared" si="16"/>
        <v>0</v>
      </c>
      <c r="O63" s="158">
        <f t="shared" si="17"/>
        <v>0</v>
      </c>
      <c r="P63" s="4"/>
    </row>
    <row r="64" spans="2:17">
      <c r="B64" s="9" t="str">
        <f t="shared" si="5"/>
        <v/>
      </c>
      <c r="C64" s="153">
        <f t="shared" si="6"/>
        <v>2056</v>
      </c>
      <c r="D64" s="159">
        <f>IF(F63+SUM(E$17:E63)=D$10,F63,D$10-SUM(E$17:E63))</f>
        <v>0</v>
      </c>
      <c r="E64" s="160">
        <f t="shared" si="11"/>
        <v>0</v>
      </c>
      <c r="F64" s="159">
        <f t="shared" si="12"/>
        <v>0</v>
      </c>
      <c r="G64" s="163">
        <f t="shared" si="13"/>
        <v>0</v>
      </c>
      <c r="H64" s="142">
        <f t="shared" si="14"/>
        <v>0</v>
      </c>
      <c r="I64" s="156">
        <f t="shared" si="7"/>
        <v>0</v>
      </c>
      <c r="J64" s="156"/>
      <c r="K64" s="334"/>
      <c r="L64" s="158">
        <f t="shared" si="15"/>
        <v>0</v>
      </c>
      <c r="M64" s="334"/>
      <c r="N64" s="158">
        <f t="shared" si="16"/>
        <v>0</v>
      </c>
      <c r="O64" s="158">
        <f t="shared" si="17"/>
        <v>0</v>
      </c>
      <c r="P64" s="4"/>
    </row>
    <row r="65" spans="1:16">
      <c r="B65" s="9" t="str">
        <f t="shared" si="5"/>
        <v/>
      </c>
      <c r="C65" s="153">
        <f t="shared" si="6"/>
        <v>2057</v>
      </c>
      <c r="D65" s="159">
        <f>IF(F64+SUM(E$17:E64)=D$10,F64,D$10-SUM(E$17:E64))</f>
        <v>0</v>
      </c>
      <c r="E65" s="160">
        <f t="shared" si="11"/>
        <v>0</v>
      </c>
      <c r="F65" s="159">
        <f t="shared" si="12"/>
        <v>0</v>
      </c>
      <c r="G65" s="163">
        <f t="shared" si="13"/>
        <v>0</v>
      </c>
      <c r="H65" s="142">
        <f t="shared" si="14"/>
        <v>0</v>
      </c>
      <c r="I65" s="156">
        <f t="shared" si="7"/>
        <v>0</v>
      </c>
      <c r="J65" s="156"/>
      <c r="K65" s="334"/>
      <c r="L65" s="158">
        <f t="shared" si="15"/>
        <v>0</v>
      </c>
      <c r="M65" s="334"/>
      <c r="N65" s="158">
        <f t="shared" si="16"/>
        <v>0</v>
      </c>
      <c r="O65" s="158">
        <f t="shared" si="17"/>
        <v>0</v>
      </c>
      <c r="P65" s="4"/>
    </row>
    <row r="66" spans="1:16">
      <c r="B66" s="9" t="str">
        <f t="shared" si="5"/>
        <v/>
      </c>
      <c r="C66" s="153">
        <f t="shared" si="6"/>
        <v>2058</v>
      </c>
      <c r="D66" s="159">
        <f>IF(F65+SUM(E$17:E65)=D$10,F65,D$10-SUM(E$17:E65))</f>
        <v>0</v>
      </c>
      <c r="E66" s="160">
        <f t="shared" si="11"/>
        <v>0</v>
      </c>
      <c r="F66" s="159">
        <f t="shared" si="12"/>
        <v>0</v>
      </c>
      <c r="G66" s="163">
        <f t="shared" si="13"/>
        <v>0</v>
      </c>
      <c r="H66" s="142">
        <f t="shared" si="14"/>
        <v>0</v>
      </c>
      <c r="I66" s="156">
        <f t="shared" si="7"/>
        <v>0</v>
      </c>
      <c r="J66" s="156"/>
      <c r="K66" s="334"/>
      <c r="L66" s="158">
        <f t="shared" si="15"/>
        <v>0</v>
      </c>
      <c r="M66" s="334"/>
      <c r="N66" s="158">
        <f t="shared" si="16"/>
        <v>0</v>
      </c>
      <c r="O66" s="158">
        <f t="shared" si="17"/>
        <v>0</v>
      </c>
      <c r="P66" s="4"/>
    </row>
    <row r="67" spans="1:16">
      <c r="B67" s="9" t="str">
        <f t="shared" si="5"/>
        <v/>
      </c>
      <c r="C67" s="153">
        <f t="shared" si="6"/>
        <v>2059</v>
      </c>
      <c r="D67" s="159">
        <f>IF(F66+SUM(E$17:E66)=D$10,F66,D$10-SUM(E$17:E66))</f>
        <v>0</v>
      </c>
      <c r="E67" s="160">
        <f t="shared" si="11"/>
        <v>0</v>
      </c>
      <c r="F67" s="159">
        <f t="shared" si="12"/>
        <v>0</v>
      </c>
      <c r="G67" s="163">
        <f t="shared" si="13"/>
        <v>0</v>
      </c>
      <c r="H67" s="142">
        <f t="shared" si="14"/>
        <v>0</v>
      </c>
      <c r="I67" s="156">
        <f t="shared" si="7"/>
        <v>0</v>
      </c>
      <c r="J67" s="156"/>
      <c r="K67" s="334"/>
      <c r="L67" s="158">
        <f t="shared" si="15"/>
        <v>0</v>
      </c>
      <c r="M67" s="334"/>
      <c r="N67" s="158">
        <f t="shared" si="16"/>
        <v>0</v>
      </c>
      <c r="O67" s="158">
        <f t="shared" si="17"/>
        <v>0</v>
      </c>
      <c r="P67" s="4"/>
    </row>
    <row r="68" spans="1:16">
      <c r="B68" s="9" t="str">
        <f t="shared" si="5"/>
        <v/>
      </c>
      <c r="C68" s="153">
        <f t="shared" si="6"/>
        <v>2060</v>
      </c>
      <c r="D68" s="159">
        <f>IF(F67+SUM(E$17:E67)=D$10,F67,D$10-SUM(E$17:E67))</f>
        <v>0</v>
      </c>
      <c r="E68" s="160">
        <f t="shared" si="11"/>
        <v>0</v>
      </c>
      <c r="F68" s="159">
        <f t="shared" si="12"/>
        <v>0</v>
      </c>
      <c r="G68" s="163">
        <f t="shared" si="13"/>
        <v>0</v>
      </c>
      <c r="H68" s="142">
        <f t="shared" si="14"/>
        <v>0</v>
      </c>
      <c r="I68" s="156">
        <f t="shared" si="7"/>
        <v>0</v>
      </c>
      <c r="J68" s="156"/>
      <c r="K68" s="334"/>
      <c r="L68" s="158">
        <f t="shared" si="15"/>
        <v>0</v>
      </c>
      <c r="M68" s="334"/>
      <c r="N68" s="158">
        <f t="shared" si="16"/>
        <v>0</v>
      </c>
      <c r="O68" s="158">
        <f t="shared" si="17"/>
        <v>0</v>
      </c>
      <c r="P68" s="4"/>
    </row>
    <row r="69" spans="1:16">
      <c r="B69" s="9" t="str">
        <f t="shared" si="5"/>
        <v/>
      </c>
      <c r="C69" s="153">
        <f t="shared" si="6"/>
        <v>2061</v>
      </c>
      <c r="D69" s="159">
        <f>IF(F68+SUM(E$17:E68)=D$10,F68,D$10-SUM(E$17:E68))</f>
        <v>0</v>
      </c>
      <c r="E69" s="160">
        <f t="shared" si="11"/>
        <v>0</v>
      </c>
      <c r="F69" s="159">
        <f t="shared" si="12"/>
        <v>0</v>
      </c>
      <c r="G69" s="163">
        <f t="shared" si="13"/>
        <v>0</v>
      </c>
      <c r="H69" s="142">
        <f t="shared" si="14"/>
        <v>0</v>
      </c>
      <c r="I69" s="156">
        <f t="shared" si="7"/>
        <v>0</v>
      </c>
      <c r="J69" s="156"/>
      <c r="K69" s="334"/>
      <c r="L69" s="158">
        <f t="shared" si="15"/>
        <v>0</v>
      </c>
      <c r="M69" s="334"/>
      <c r="N69" s="158">
        <f t="shared" si="16"/>
        <v>0</v>
      </c>
      <c r="O69" s="158">
        <f t="shared" si="17"/>
        <v>0</v>
      </c>
      <c r="P69" s="4"/>
    </row>
    <row r="70" spans="1:16">
      <c r="B70" s="9" t="str">
        <f t="shared" si="5"/>
        <v/>
      </c>
      <c r="C70" s="153">
        <f t="shared" si="6"/>
        <v>2062</v>
      </c>
      <c r="D70" s="159">
        <f>IF(F69+SUM(E$17:E69)=D$10,F69,D$10-SUM(E$17:E69))</f>
        <v>0</v>
      </c>
      <c r="E70" s="160">
        <f t="shared" si="11"/>
        <v>0</v>
      </c>
      <c r="F70" s="159">
        <f t="shared" si="12"/>
        <v>0</v>
      </c>
      <c r="G70" s="163">
        <f t="shared" si="13"/>
        <v>0</v>
      </c>
      <c r="H70" s="142">
        <f t="shared" si="14"/>
        <v>0</v>
      </c>
      <c r="I70" s="156">
        <f t="shared" si="7"/>
        <v>0</v>
      </c>
      <c r="J70" s="156"/>
      <c r="K70" s="334"/>
      <c r="L70" s="158">
        <f t="shared" si="15"/>
        <v>0</v>
      </c>
      <c r="M70" s="334"/>
      <c r="N70" s="158">
        <f t="shared" si="16"/>
        <v>0</v>
      </c>
      <c r="O70" s="158">
        <f t="shared" si="17"/>
        <v>0</v>
      </c>
      <c r="P70" s="4"/>
    </row>
    <row r="71" spans="1:16">
      <c r="B71" s="9" t="str">
        <f t="shared" si="5"/>
        <v/>
      </c>
      <c r="C71" s="153">
        <f t="shared" si="6"/>
        <v>2063</v>
      </c>
      <c r="D71" s="159">
        <f>IF(F70+SUM(E$17:E70)=D$10,F70,D$10-SUM(E$17:E70))</f>
        <v>0</v>
      </c>
      <c r="E71" s="160">
        <f t="shared" si="11"/>
        <v>0</v>
      </c>
      <c r="F71" s="159">
        <f t="shared" si="12"/>
        <v>0</v>
      </c>
      <c r="G71" s="163">
        <f t="shared" si="13"/>
        <v>0</v>
      </c>
      <c r="H71" s="142">
        <f t="shared" si="14"/>
        <v>0</v>
      </c>
      <c r="I71" s="156">
        <f t="shared" si="7"/>
        <v>0</v>
      </c>
      <c r="J71" s="156"/>
      <c r="K71" s="334"/>
      <c r="L71" s="158">
        <f t="shared" si="15"/>
        <v>0</v>
      </c>
      <c r="M71" s="334"/>
      <c r="N71" s="158">
        <f t="shared" si="16"/>
        <v>0</v>
      </c>
      <c r="O71" s="158">
        <f t="shared" si="17"/>
        <v>0</v>
      </c>
      <c r="P71" s="4"/>
    </row>
    <row r="72" spans="1:16" ht="13.5" thickBot="1">
      <c r="B72" s="9" t="str">
        <f t="shared" si="5"/>
        <v/>
      </c>
      <c r="C72" s="164">
        <f t="shared" si="6"/>
        <v>2064</v>
      </c>
      <c r="D72" s="165">
        <f>IF(F71+SUM(E$17:E71)=D$10,F71,D$10-SUM(E$17:E71))</f>
        <v>0</v>
      </c>
      <c r="E72" s="166">
        <f t="shared" si="11"/>
        <v>0</v>
      </c>
      <c r="F72" s="165">
        <f t="shared" si="12"/>
        <v>0</v>
      </c>
      <c r="G72" s="167">
        <f t="shared" si="13"/>
        <v>0</v>
      </c>
      <c r="H72" s="124">
        <f t="shared" si="14"/>
        <v>0</v>
      </c>
      <c r="I72" s="168">
        <f t="shared" si="7"/>
        <v>0</v>
      </c>
      <c r="J72" s="156"/>
      <c r="K72" s="335"/>
      <c r="L72" s="169">
        <f t="shared" si="15"/>
        <v>0</v>
      </c>
      <c r="M72" s="335"/>
      <c r="N72" s="169">
        <f t="shared" si="16"/>
        <v>0</v>
      </c>
      <c r="O72" s="169">
        <f t="shared" si="17"/>
        <v>0</v>
      </c>
      <c r="P72" s="4"/>
    </row>
    <row r="73" spans="1:16">
      <c r="C73" s="154" t="s">
        <v>73</v>
      </c>
      <c r="D73" s="111"/>
      <c r="E73" s="111">
        <f>SUM(E17:E72)</f>
        <v>8402687.4800000042</v>
      </c>
      <c r="F73" s="111"/>
      <c r="G73" s="111">
        <f>SUM(G17:G72)</f>
        <v>28961962.827412184</v>
      </c>
      <c r="H73" s="111">
        <f>SUM(H17:H72)</f>
        <v>28961962.827412184</v>
      </c>
      <c r="I73" s="111">
        <f>SUM(I17:I72)</f>
        <v>0</v>
      </c>
      <c r="J73" s="111"/>
      <c r="K73" s="111"/>
      <c r="L73" s="111"/>
      <c r="M73" s="111"/>
      <c r="N73" s="111"/>
      <c r="O73" s="4"/>
      <c r="P73" s="4"/>
    </row>
    <row r="74" spans="1:16">
      <c r="D74" s="2"/>
      <c r="E74" s="1"/>
      <c r="F74" s="1"/>
      <c r="G74" s="1"/>
      <c r="H74" s="3"/>
      <c r="I74" s="3"/>
      <c r="J74" s="111"/>
      <c r="K74" s="3"/>
      <c r="L74" s="3"/>
      <c r="M74" s="3"/>
      <c r="N74" s="3"/>
      <c r="O74" s="1"/>
      <c r="P74" s="1"/>
    </row>
    <row r="75" spans="1:16">
      <c r="C75" s="170" t="s">
        <v>91</v>
      </c>
      <c r="D75" s="2"/>
      <c r="E75" s="1"/>
      <c r="F75" s="1"/>
      <c r="G75" s="1"/>
      <c r="H75" s="3"/>
      <c r="I75" s="3"/>
      <c r="J75" s="111"/>
      <c r="K75" s="3"/>
      <c r="L75" s="3"/>
      <c r="M75" s="3"/>
      <c r="N75" s="3"/>
      <c r="O75" s="1"/>
      <c r="P75" s="1"/>
    </row>
    <row r="76" spans="1:16">
      <c r="C76" s="121" t="s">
        <v>74</v>
      </c>
      <c r="D76" s="2"/>
      <c r="E76" s="1"/>
      <c r="F76" s="1"/>
      <c r="G76" s="1"/>
      <c r="H76" s="3"/>
      <c r="I76" s="3"/>
      <c r="J76" s="111"/>
      <c r="K76" s="3"/>
      <c r="L76" s="3"/>
      <c r="M76" s="3"/>
      <c r="N76" s="3"/>
      <c r="O76" s="4"/>
      <c r="P76" s="4"/>
    </row>
    <row r="77" spans="1:16" ht="18">
      <c r="C77" s="121" t="s">
        <v>75</v>
      </c>
      <c r="D77" s="154"/>
      <c r="E77" s="154"/>
      <c r="F77" s="154"/>
      <c r="G77" s="111"/>
      <c r="H77" s="111"/>
      <c r="I77" s="171"/>
      <c r="J77" s="171"/>
      <c r="K77" s="171"/>
      <c r="L77" s="171"/>
      <c r="M77" s="171"/>
      <c r="N77" s="171"/>
      <c r="O77" s="110"/>
      <c r="P77" s="4"/>
    </row>
    <row r="78" spans="1:16">
      <c r="C78" s="121"/>
      <c r="D78" s="154"/>
      <c r="E78" s="154"/>
      <c r="F78" s="154"/>
      <c r="G78" s="111"/>
      <c r="H78" s="111"/>
      <c r="I78" s="171"/>
      <c r="J78" s="171"/>
      <c r="K78" s="171"/>
      <c r="L78" s="171"/>
      <c r="M78" s="171"/>
      <c r="N78" s="171"/>
      <c r="O78" s="4"/>
      <c r="P78" s="1"/>
    </row>
    <row r="79" spans="1:16" ht="15">
      <c r="A79" s="241"/>
      <c r="B79" s="1"/>
      <c r="C79" s="21"/>
      <c r="D79" s="2"/>
      <c r="E79" s="1"/>
      <c r="F79" s="107"/>
      <c r="G79" s="1"/>
      <c r="H79" s="3"/>
      <c r="I79" s="1"/>
      <c r="J79" s="4"/>
      <c r="K79" s="1"/>
      <c r="L79" s="1"/>
      <c r="M79" s="1"/>
      <c r="N79" s="1"/>
    </row>
    <row r="80" spans="1:16" ht="18">
      <c r="B80" s="1"/>
      <c r="C80" s="242"/>
      <c r="D80" s="2"/>
      <c r="E80" s="1"/>
      <c r="F80" s="107"/>
      <c r="G80" s="1"/>
      <c r="H80" s="3"/>
      <c r="I80" s="1"/>
      <c r="J80" s="4"/>
      <c r="K80" s="1"/>
      <c r="L80" s="1"/>
      <c r="M80" s="1"/>
      <c r="N80" s="1"/>
      <c r="P80" s="244" t="s">
        <v>125</v>
      </c>
    </row>
    <row r="81" spans="1:17">
      <c r="B81" s="1"/>
      <c r="C81" s="242"/>
      <c r="D81" s="2"/>
      <c r="E81" s="1"/>
      <c r="F81" s="107"/>
      <c r="G81" s="1"/>
      <c r="H81" s="3"/>
      <c r="I81" s="1"/>
      <c r="J81" s="4"/>
      <c r="K81" s="1"/>
      <c r="L81" s="1"/>
      <c r="M81" s="1"/>
      <c r="N81" s="1"/>
      <c r="O81" s="1"/>
      <c r="P81" s="1"/>
    </row>
    <row r="82" spans="1:17">
      <c r="B82" s="1"/>
      <c r="C82" s="21"/>
      <c r="D82" s="2"/>
      <c r="E82" s="1"/>
      <c r="F82" s="107"/>
      <c r="G82" s="1"/>
      <c r="H82" s="3"/>
      <c r="I82" s="1"/>
      <c r="J82" s="4"/>
      <c r="K82" s="1"/>
      <c r="L82" s="1"/>
      <c r="M82" s="1"/>
      <c r="N82" s="1"/>
      <c r="O82" s="1"/>
      <c r="P82" s="1"/>
      <c r="Q82" s="1"/>
    </row>
    <row r="83" spans="1:17" ht="20.25">
      <c r="A83" s="243" t="s">
        <v>129</v>
      </c>
      <c r="B83" s="1"/>
      <c r="C83" s="21"/>
      <c r="D83" s="2"/>
      <c r="E83" s="1"/>
      <c r="F83" s="99"/>
      <c r="G83" s="99"/>
      <c r="H83" s="1"/>
      <c r="I83" s="3"/>
      <c r="K83" s="7"/>
      <c r="L83" s="109"/>
      <c r="M83" s="109"/>
      <c r="P83" s="110" t="str">
        <f ca="1">P1</f>
        <v>SWEPCO Project 2 of 73</v>
      </c>
      <c r="Q83" s="1"/>
    </row>
    <row r="84" spans="1:17" ht="18">
      <c r="B84" s="1"/>
      <c r="C84" s="1"/>
      <c r="D84" s="2"/>
      <c r="E84" s="1"/>
      <c r="F84" s="1"/>
      <c r="G84" s="1"/>
      <c r="H84" s="1"/>
      <c r="I84" s="3"/>
      <c r="J84" s="1"/>
      <c r="K84" s="4"/>
      <c r="L84" s="1"/>
      <c r="M84" s="1"/>
      <c r="P84" s="237" t="s">
        <v>123</v>
      </c>
      <c r="Q84" s="1"/>
    </row>
    <row r="85" spans="1:17" ht="18.75" thickBot="1">
      <c r="B85" s="5" t="s">
        <v>40</v>
      </c>
      <c r="C85" s="197" t="s">
        <v>78</v>
      </c>
      <c r="D85" s="2"/>
      <c r="E85" s="1"/>
      <c r="F85" s="1"/>
      <c r="G85" s="1"/>
      <c r="H85" s="1"/>
      <c r="I85" s="3"/>
      <c r="J85" s="3"/>
      <c r="K85" s="111"/>
      <c r="L85" s="3"/>
      <c r="M85" s="3"/>
      <c r="N85" s="3"/>
      <c r="O85" s="111"/>
      <c r="P85" s="1"/>
      <c r="Q85" s="1"/>
    </row>
    <row r="86" spans="1:17" ht="15.75" thickBot="1">
      <c r="C86" s="67"/>
      <c r="D86" s="2"/>
      <c r="E86" s="1"/>
      <c r="F86" s="1"/>
      <c r="G86" s="1"/>
      <c r="H86" s="1"/>
      <c r="I86" s="3"/>
      <c r="J86" s="3"/>
      <c r="K86" s="111"/>
      <c r="L86" s="265">
        <f>+J92</f>
        <v>2017</v>
      </c>
      <c r="M86" s="266" t="s">
        <v>7</v>
      </c>
      <c r="N86" s="270" t="s">
        <v>154</v>
      </c>
      <c r="O86" s="267" t="s">
        <v>9</v>
      </c>
      <c r="P86" s="1"/>
      <c r="Q86" s="1"/>
    </row>
    <row r="87" spans="1:17" ht="15">
      <c r="C87" s="235" t="s">
        <v>42</v>
      </c>
      <c r="D87" s="2"/>
      <c r="E87" s="1"/>
      <c r="F87" s="1"/>
      <c r="G87" s="1"/>
      <c r="H87" s="113"/>
      <c r="I87" s="1" t="s">
        <v>43</v>
      </c>
      <c r="J87" s="1"/>
      <c r="K87" s="261"/>
      <c r="L87" s="259" t="s">
        <v>381</v>
      </c>
      <c r="M87" s="198">
        <f>IF(J92&lt;D11,0,VLOOKUP(J92,C17:O72,9))</f>
        <v>1010847.9921071748</v>
      </c>
      <c r="N87" s="198">
        <f>IF(J92&lt;D11,0,VLOOKUP(J92,C17:O72,11))</f>
        <v>1010847.9921071748</v>
      </c>
      <c r="O87" s="199">
        <f>+N87-M87</f>
        <v>0</v>
      </c>
      <c r="P87" s="1"/>
      <c r="Q87" s="1"/>
    </row>
    <row r="88" spans="1:17" ht="15.75">
      <c r="C88" s="8"/>
      <c r="D88" s="2"/>
      <c r="E88" s="1"/>
      <c r="F88" s="1"/>
      <c r="G88" s="1"/>
      <c r="H88" s="1"/>
      <c r="I88" s="117"/>
      <c r="J88" s="117"/>
      <c r="K88" s="263"/>
      <c r="L88" s="264" t="s">
        <v>382</v>
      </c>
      <c r="M88" s="200">
        <f>IF(J92&lt;D11,0,VLOOKUP(J92,C99:P154,6))</f>
        <v>1013835.8551552552</v>
      </c>
      <c r="N88" s="200">
        <f>IF(J92&lt;D11,0,VLOOKUP(J92,C99:P154,7))</f>
        <v>1013835.8551552552</v>
      </c>
      <c r="O88" s="201">
        <f>+N88-M88</f>
        <v>0</v>
      </c>
      <c r="P88" s="1"/>
      <c r="Q88" s="1"/>
    </row>
    <row r="89" spans="1:17" ht="13.5" thickBot="1">
      <c r="C89" s="121" t="s">
        <v>79</v>
      </c>
      <c r="D89" s="246" t="str">
        <f>+D7</f>
        <v>SW Shreveport (sub work &amp; tap)</v>
      </c>
      <c r="E89" s="1"/>
      <c r="F89" s="1"/>
      <c r="G89" s="1"/>
      <c r="H89" s="1"/>
      <c r="I89" s="3"/>
      <c r="J89" s="3"/>
      <c r="K89" s="262"/>
      <c r="L89" s="260" t="s">
        <v>151</v>
      </c>
      <c r="M89" s="203">
        <f>+M88-M87</f>
        <v>2987.8630480803549</v>
      </c>
      <c r="N89" s="203">
        <f>+N88-N87</f>
        <v>2987.8630480803549</v>
      </c>
      <c r="O89" s="204">
        <f>+O88-O87</f>
        <v>0</v>
      </c>
      <c r="P89" s="1"/>
      <c r="Q89" s="1"/>
    </row>
    <row r="90" spans="1:17" ht="13.5" thickBot="1">
      <c r="C90" s="170"/>
      <c r="D90" s="173" t="str">
        <f>D8</f>
        <v/>
      </c>
      <c r="E90" s="107"/>
      <c r="F90" s="107"/>
      <c r="G90" s="107"/>
      <c r="H90" s="126"/>
      <c r="I90" s="3"/>
      <c r="J90" s="3"/>
      <c r="K90" s="111"/>
      <c r="L90" s="3"/>
      <c r="M90" s="3"/>
      <c r="N90" s="3"/>
      <c r="O90" s="111"/>
      <c r="P90" s="1"/>
      <c r="Q90" s="1"/>
    </row>
    <row r="91" spans="1:17" ht="13.5" thickBot="1">
      <c r="A91" s="103"/>
      <c r="C91" s="205" t="s">
        <v>80</v>
      </c>
      <c r="D91" s="224" t="str">
        <f>+D9</f>
        <v>TP2007060</v>
      </c>
      <c r="E91" s="206"/>
      <c r="F91" s="206"/>
      <c r="G91" s="206"/>
      <c r="H91" s="206"/>
      <c r="I91" s="206"/>
      <c r="J91" s="238"/>
      <c r="K91" s="207"/>
      <c r="P91" s="131"/>
      <c r="Q91" s="1"/>
    </row>
    <row r="92" spans="1:17">
      <c r="C92" s="136" t="s">
        <v>47</v>
      </c>
      <c r="D92" s="133">
        <v>8402687.4800000004</v>
      </c>
      <c r="E92" s="21" t="s">
        <v>81</v>
      </c>
      <c r="H92" s="134"/>
      <c r="I92" s="134"/>
      <c r="J92" s="135">
        <f>+'SWE.WS.G.BPU.ATRR.True-up'!M15</f>
        <v>2017</v>
      </c>
      <c r="K92" s="130"/>
      <c r="L92" s="111" t="s">
        <v>82</v>
      </c>
      <c r="P92" s="4"/>
      <c r="Q92" s="1"/>
    </row>
    <row r="93" spans="1:17">
      <c r="C93" s="136" t="s">
        <v>49</v>
      </c>
      <c r="D93" s="219">
        <f>IF(D11=I10,"",D11)</f>
        <v>2009</v>
      </c>
      <c r="E93" s="136" t="s">
        <v>50</v>
      </c>
      <c r="F93" s="134"/>
      <c r="G93" s="134"/>
      <c r="J93" s="138">
        <f>IF(H87="",0,'SWE.WS.G.BPU.ATRR.True-up'!$F$12)</f>
        <v>0</v>
      </c>
      <c r="K93" s="139"/>
      <c r="L93" t="str">
        <f>"          INPUT TRUE-UP ARR (WITH &amp; WITHOUT INCENTIVES) FROM EACH PRIOR YEAR"</f>
        <v xml:space="preserve">          INPUT TRUE-UP ARR (WITH &amp; WITHOUT INCENTIVES) FROM EACH PRIOR YEAR</v>
      </c>
      <c r="P93" s="4"/>
      <c r="Q93" s="1"/>
    </row>
    <row r="94" spans="1:17">
      <c r="C94" s="136" t="s">
        <v>51</v>
      </c>
      <c r="D94" s="218">
        <f>IF(D11=I10,"",D12)</f>
        <v>1</v>
      </c>
      <c r="E94" s="136" t="s">
        <v>52</v>
      </c>
      <c r="F94" s="134"/>
      <c r="G94" s="134"/>
      <c r="J94" s="140">
        <f>'SWE.WS.G.BPU.ATRR.True-up'!$F$80</f>
        <v>0.12147145768398206</v>
      </c>
      <c r="K94" s="141"/>
      <c r="L94" t="s">
        <v>83</v>
      </c>
      <c r="P94" s="4"/>
      <c r="Q94" s="1"/>
    </row>
    <row r="95" spans="1:17">
      <c r="C95" s="136" t="s">
        <v>54</v>
      </c>
      <c r="D95" s="138">
        <f>'SWE.WS.G.BPU.ATRR.True-up'!F$92</f>
        <v>42</v>
      </c>
      <c r="E95" s="136" t="s">
        <v>55</v>
      </c>
      <c r="F95" s="134"/>
      <c r="G95" s="134"/>
      <c r="J95" s="140">
        <f>IF(H87="",J94,'SWE.WS.G.BPU.ATRR.True-up'!$F$79)</f>
        <v>0.12147145768398206</v>
      </c>
      <c r="K95" s="58"/>
      <c r="L95" s="111" t="s">
        <v>56</v>
      </c>
      <c r="M95" s="58"/>
      <c r="N95" s="58"/>
      <c r="O95" s="58"/>
      <c r="P95" s="4"/>
      <c r="Q95" s="1"/>
    </row>
    <row r="96" spans="1:17" ht="13.5" thickBot="1">
      <c r="C96" s="136" t="s">
        <v>57</v>
      </c>
      <c r="D96" s="220" t="str">
        <f>+D14</f>
        <v>No</v>
      </c>
      <c r="E96" s="202" t="s">
        <v>59</v>
      </c>
      <c r="F96" s="208"/>
      <c r="G96" s="208"/>
      <c r="H96" s="209"/>
      <c r="I96" s="209"/>
      <c r="J96" s="124">
        <f>IF(D92=0,0,D92/D95)</f>
        <v>200063.98761904764</v>
      </c>
      <c r="K96" s="111"/>
      <c r="L96" s="111"/>
      <c r="M96" s="111"/>
      <c r="N96" s="111"/>
      <c r="O96" s="111"/>
      <c r="P96" s="4"/>
      <c r="Q96" s="1"/>
    </row>
    <row r="97" spans="1:17" ht="38.25">
      <c r="A97" s="6"/>
      <c r="B97" s="6"/>
      <c r="C97" s="210" t="s">
        <v>47</v>
      </c>
      <c r="D97" s="211" t="s">
        <v>60</v>
      </c>
      <c r="E97" s="146" t="s">
        <v>61</v>
      </c>
      <c r="F97" s="146" t="s">
        <v>62</v>
      </c>
      <c r="G97" s="144" t="s">
        <v>84</v>
      </c>
      <c r="H97" s="434" t="s">
        <v>378</v>
      </c>
      <c r="I97" s="435" t="s">
        <v>379</v>
      </c>
      <c r="J97" s="210" t="s">
        <v>85</v>
      </c>
      <c r="K97" s="212"/>
      <c r="L97" s="271" t="s">
        <v>220</v>
      </c>
      <c r="M97" s="146" t="s">
        <v>86</v>
      </c>
      <c r="N97" s="271" t="s">
        <v>220</v>
      </c>
      <c r="O97" s="146" t="s">
        <v>86</v>
      </c>
      <c r="P97" s="146" t="s">
        <v>65</v>
      </c>
      <c r="Q97" s="1"/>
    </row>
    <row r="98" spans="1:17" ht="13.5" thickBot="1">
      <c r="C98" s="147" t="s">
        <v>66</v>
      </c>
      <c r="D98" s="213" t="s">
        <v>67</v>
      </c>
      <c r="E98" s="147" t="s">
        <v>68</v>
      </c>
      <c r="F98" s="147" t="s">
        <v>67</v>
      </c>
      <c r="G98" s="147" t="s">
        <v>67</v>
      </c>
      <c r="H98" s="407" t="s">
        <v>69</v>
      </c>
      <c r="I98" s="148" t="s">
        <v>70</v>
      </c>
      <c r="J98" s="149" t="s">
        <v>89</v>
      </c>
      <c r="K98" s="150"/>
      <c r="L98" s="151" t="s">
        <v>72</v>
      </c>
      <c r="M98" s="151" t="s">
        <v>72</v>
      </c>
      <c r="N98" s="151" t="s">
        <v>90</v>
      </c>
      <c r="O98" s="151" t="s">
        <v>90</v>
      </c>
      <c r="P98" s="151" t="s">
        <v>90</v>
      </c>
      <c r="Q98" s="1"/>
    </row>
    <row r="99" spans="1:17">
      <c r="C99" s="153">
        <f>IF(D93= "","-",D93)</f>
        <v>2009</v>
      </c>
      <c r="D99" s="357">
        <v>0</v>
      </c>
      <c r="E99" s="360">
        <v>202696</v>
      </c>
      <c r="F99" s="361">
        <v>8199991</v>
      </c>
      <c r="G99" s="365">
        <v>4099995</v>
      </c>
      <c r="H99" s="362">
        <v>796120</v>
      </c>
      <c r="I99" s="363">
        <v>796120</v>
      </c>
      <c r="J99" s="158">
        <f t="shared" ref="J99:J130" si="18">+I99-H99</f>
        <v>0</v>
      </c>
      <c r="K99" s="158"/>
      <c r="L99" s="256">
        <f t="shared" ref="L99:L104" si="19">H99</f>
        <v>796120</v>
      </c>
      <c r="M99" s="157">
        <f t="shared" ref="M99:M130" si="20">IF(L99&lt;&gt;0,+H99-L99,0)</f>
        <v>0</v>
      </c>
      <c r="N99" s="256">
        <f t="shared" ref="N99:N104" si="21">I99</f>
        <v>796120</v>
      </c>
      <c r="O99" s="157">
        <f t="shared" ref="O99:O130" si="22">IF(N99&lt;&gt;0,+I99-N99,0)</f>
        <v>0</v>
      </c>
      <c r="P99" s="157">
        <f t="shared" ref="P99:P130" si="23">+O99-M99</f>
        <v>0</v>
      </c>
      <c r="Q99" s="1"/>
    </row>
    <row r="100" spans="1:17">
      <c r="B100" s="9" t="str">
        <f>IF(D100=F99,"","IU")</f>
        <v>IU</v>
      </c>
      <c r="C100" s="153">
        <f>IF(D93="","-",+C99+1)</f>
        <v>2010</v>
      </c>
      <c r="D100" s="357">
        <v>8199991.4800000004</v>
      </c>
      <c r="E100" s="360">
        <v>204943.59707317073</v>
      </c>
      <c r="F100" s="361">
        <v>7995047.8829268301</v>
      </c>
      <c r="G100" s="361">
        <v>8097519.6814634148</v>
      </c>
      <c r="H100" s="360">
        <v>1541731.3961161568</v>
      </c>
      <c r="I100" s="359">
        <v>1541731.3961161568</v>
      </c>
      <c r="J100" s="158">
        <f t="shared" si="18"/>
        <v>0</v>
      </c>
      <c r="K100" s="158"/>
      <c r="L100" s="258">
        <f t="shared" si="19"/>
        <v>1541731.3961161568</v>
      </c>
      <c r="M100" s="257">
        <f t="shared" si="20"/>
        <v>0</v>
      </c>
      <c r="N100" s="258">
        <f t="shared" si="21"/>
        <v>1541731.3961161568</v>
      </c>
      <c r="O100" s="158">
        <f t="shared" si="22"/>
        <v>0</v>
      </c>
      <c r="P100" s="158">
        <f t="shared" si="23"/>
        <v>0</v>
      </c>
      <c r="Q100" s="1"/>
    </row>
    <row r="101" spans="1:17">
      <c r="B101" s="9" t="str">
        <f t="shared" ref="B101:B154" si="24">IF(D101=F100,"","IU")</f>
        <v/>
      </c>
      <c r="C101" s="153">
        <f>IF(D93="","-",+C100+1)</f>
        <v>2011</v>
      </c>
      <c r="D101" s="357">
        <v>7995047.8829268301</v>
      </c>
      <c r="E101" s="377">
        <v>200063.98761904764</v>
      </c>
      <c r="F101" s="361">
        <v>7794983.8953077821</v>
      </c>
      <c r="G101" s="361">
        <v>7895015.8891173061</v>
      </c>
      <c r="H101" s="360">
        <v>1387315.6975317788</v>
      </c>
      <c r="I101" s="359">
        <v>1387315.6975317788</v>
      </c>
      <c r="J101" s="158">
        <f t="shared" si="18"/>
        <v>0</v>
      </c>
      <c r="K101" s="158"/>
      <c r="L101" s="258">
        <f t="shared" si="19"/>
        <v>1387315.6975317788</v>
      </c>
      <c r="M101" s="257">
        <f t="shared" si="20"/>
        <v>0</v>
      </c>
      <c r="N101" s="258">
        <f t="shared" si="21"/>
        <v>1387315.6975317788</v>
      </c>
      <c r="O101" s="158">
        <f t="shared" si="22"/>
        <v>0</v>
      </c>
      <c r="P101" s="158">
        <f t="shared" si="23"/>
        <v>0</v>
      </c>
      <c r="Q101" s="1"/>
    </row>
    <row r="102" spans="1:17">
      <c r="B102" s="9" t="str">
        <f t="shared" si="24"/>
        <v/>
      </c>
      <c r="C102" s="153">
        <f>IF(D93="","-",+C101+1)</f>
        <v>2012</v>
      </c>
      <c r="D102" s="357">
        <v>7794983.8953077821</v>
      </c>
      <c r="E102" s="360">
        <v>200063.98761904764</v>
      </c>
      <c r="F102" s="361">
        <v>7594919.9076887341</v>
      </c>
      <c r="G102" s="361">
        <v>7694951.9014982581</v>
      </c>
      <c r="H102" s="360">
        <v>1332406.4149067886</v>
      </c>
      <c r="I102" s="359">
        <v>1332406.4149067886</v>
      </c>
      <c r="J102" s="158">
        <f t="shared" si="18"/>
        <v>0</v>
      </c>
      <c r="K102" s="158"/>
      <c r="L102" s="258">
        <f t="shared" si="19"/>
        <v>1332406.4149067886</v>
      </c>
      <c r="M102" s="257">
        <f t="shared" si="20"/>
        <v>0</v>
      </c>
      <c r="N102" s="258">
        <f t="shared" si="21"/>
        <v>1332406.4149067886</v>
      </c>
      <c r="O102" s="158">
        <f t="shared" si="22"/>
        <v>0</v>
      </c>
      <c r="P102" s="158">
        <f t="shared" si="23"/>
        <v>0</v>
      </c>
      <c r="Q102" s="1"/>
    </row>
    <row r="103" spans="1:17">
      <c r="B103" s="9" t="str">
        <f t="shared" si="24"/>
        <v/>
      </c>
      <c r="C103" s="153">
        <f>IF(D93="","-",+C102+1)</f>
        <v>2013</v>
      </c>
      <c r="D103" s="357">
        <v>7594919.9076887341</v>
      </c>
      <c r="E103" s="360">
        <v>200063.98761904764</v>
      </c>
      <c r="F103" s="361">
        <v>7394855.9200696861</v>
      </c>
      <c r="G103" s="361">
        <v>7494887.9138792101</v>
      </c>
      <c r="H103" s="360">
        <v>1214060.1321062704</v>
      </c>
      <c r="I103" s="359">
        <v>1214060.1321062704</v>
      </c>
      <c r="J103" s="158">
        <v>0</v>
      </c>
      <c r="K103" s="158"/>
      <c r="L103" s="258">
        <f t="shared" si="19"/>
        <v>1214060.1321062704</v>
      </c>
      <c r="M103" s="257">
        <f>IF(L103&lt;&gt;0,+H103-L103,0)</f>
        <v>0</v>
      </c>
      <c r="N103" s="258">
        <f t="shared" si="21"/>
        <v>1214060.1321062704</v>
      </c>
      <c r="O103" s="158">
        <f>IF(N103&lt;&gt;0,+I103-N103,0)</f>
        <v>0</v>
      </c>
      <c r="P103" s="158">
        <f>+O103-M103</f>
        <v>0</v>
      </c>
      <c r="Q103" s="1"/>
    </row>
    <row r="104" spans="1:17">
      <c r="B104" s="9" t="str">
        <f t="shared" si="24"/>
        <v/>
      </c>
      <c r="C104" s="153">
        <f>IF(D93="","-",+C103+1)</f>
        <v>2014</v>
      </c>
      <c r="D104" s="357">
        <v>7394855.9200696861</v>
      </c>
      <c r="E104" s="360">
        <v>200063.98761904764</v>
      </c>
      <c r="F104" s="361">
        <v>7194791.9324506382</v>
      </c>
      <c r="G104" s="361">
        <v>7294823.9262601621</v>
      </c>
      <c r="H104" s="360">
        <v>1191601.6940490135</v>
      </c>
      <c r="I104" s="359">
        <v>1191601.6940490135</v>
      </c>
      <c r="J104" s="158">
        <v>0</v>
      </c>
      <c r="K104" s="158"/>
      <c r="L104" s="258">
        <f t="shared" si="19"/>
        <v>1191601.6940490135</v>
      </c>
      <c r="M104" s="257">
        <f>IF(L104&lt;&gt;0,+H104-L104,0)</f>
        <v>0</v>
      </c>
      <c r="N104" s="258">
        <f t="shared" si="21"/>
        <v>1191601.6940490135</v>
      </c>
      <c r="O104" s="158">
        <f>IF(N104&lt;&gt;0,+I104-N104,0)</f>
        <v>0</v>
      </c>
      <c r="P104" s="158">
        <f>+O104-M104</f>
        <v>0</v>
      </c>
      <c r="Q104" s="1"/>
    </row>
    <row r="105" spans="1:17">
      <c r="B105" s="9" t="str">
        <f t="shared" si="24"/>
        <v/>
      </c>
      <c r="C105" s="153">
        <f>IF(D93="","-",+C104+1)</f>
        <v>2015</v>
      </c>
      <c r="D105" s="357">
        <v>7194791.9324506382</v>
      </c>
      <c r="E105" s="360">
        <v>200063.98761904764</v>
      </c>
      <c r="F105" s="361">
        <v>6994727.9448315902</v>
      </c>
      <c r="G105" s="361">
        <v>7094759.9386411142</v>
      </c>
      <c r="H105" s="360">
        <v>1134932.5435262297</v>
      </c>
      <c r="I105" s="359">
        <v>1134932.5435262297</v>
      </c>
      <c r="J105" s="158">
        <f t="shared" si="18"/>
        <v>0</v>
      </c>
      <c r="K105" s="158"/>
      <c r="L105" s="258">
        <f>H105</f>
        <v>1134932.5435262297</v>
      </c>
      <c r="M105" s="257">
        <f>IF(L105&lt;&gt;0,+H105-L105,0)</f>
        <v>0</v>
      </c>
      <c r="N105" s="258">
        <f>I105</f>
        <v>1134932.5435262297</v>
      </c>
      <c r="O105" s="158">
        <f>IF(N105&lt;&gt;0,+I105-N105,0)</f>
        <v>0</v>
      </c>
      <c r="P105" s="158">
        <f>+O105-M105</f>
        <v>0</v>
      </c>
      <c r="Q105" s="1"/>
    </row>
    <row r="106" spans="1:17">
      <c r="B106" s="9" t="str">
        <f t="shared" si="24"/>
        <v/>
      </c>
      <c r="C106" s="153">
        <f>IF(D93="","-",+C105+1)</f>
        <v>2016</v>
      </c>
      <c r="D106" s="357">
        <v>6994727.9448315902</v>
      </c>
      <c r="E106" s="360">
        <v>195411.33674418606</v>
      </c>
      <c r="F106" s="361">
        <v>6799316.6080874037</v>
      </c>
      <c r="G106" s="361">
        <v>6897022.2764594965</v>
      </c>
      <c r="H106" s="360">
        <v>1070988.2339652905</v>
      </c>
      <c r="I106" s="359">
        <v>1070988.2339652905</v>
      </c>
      <c r="J106" s="158">
        <v>0</v>
      </c>
      <c r="K106" s="158"/>
      <c r="L106" s="258">
        <f>H106</f>
        <v>1070988.2339652905</v>
      </c>
      <c r="M106" s="257">
        <f>IF(L106&lt;&gt;0,+H106-L106,0)</f>
        <v>0</v>
      </c>
      <c r="N106" s="258">
        <f>I106</f>
        <v>1070988.2339652905</v>
      </c>
      <c r="O106" s="158">
        <f>IF(N106&lt;&gt;0,+I106-N106,0)</f>
        <v>0</v>
      </c>
      <c r="P106" s="158">
        <f>+O106-M106</f>
        <v>0</v>
      </c>
      <c r="Q106" s="1"/>
    </row>
    <row r="107" spans="1:17">
      <c r="B107" s="9" t="str">
        <f t="shared" si="24"/>
        <v/>
      </c>
      <c r="C107" s="153">
        <f>IF(D93="","-",+C106+1)</f>
        <v>2017</v>
      </c>
      <c r="D107" s="154">
        <f>IF(F106+SUM(E$99:E106)=D$92,F106,D$92-SUM(E$99:E106))</f>
        <v>6799316.6080874037</v>
      </c>
      <c r="E107" s="160">
        <f>IF(+J96&lt;F106,J96,D107)</f>
        <v>200063.98761904764</v>
      </c>
      <c r="F107" s="159">
        <f t="shared" ref="F107:F130" si="25">+D107-E107</f>
        <v>6599252.6204683557</v>
      </c>
      <c r="G107" s="159">
        <f t="shared" ref="G107:G130" si="26">+(F107+D107)/2</f>
        <v>6699284.6142778797</v>
      </c>
      <c r="H107" s="163">
        <f t="shared" ref="H107:H112" si="27">+J$94*G107+E107</f>
        <v>1013835.8551552552</v>
      </c>
      <c r="I107" s="253">
        <f t="shared" ref="I107:I112" si="28">+J$95*G107+E107</f>
        <v>1013835.8551552552</v>
      </c>
      <c r="J107" s="158">
        <f t="shared" si="18"/>
        <v>0</v>
      </c>
      <c r="K107" s="158"/>
      <c r="L107" s="334"/>
      <c r="M107" s="158">
        <f t="shared" si="20"/>
        <v>0</v>
      </c>
      <c r="N107" s="334"/>
      <c r="O107" s="158">
        <f t="shared" si="22"/>
        <v>0</v>
      </c>
      <c r="P107" s="158">
        <f t="shared" si="23"/>
        <v>0</v>
      </c>
      <c r="Q107" s="1"/>
    </row>
    <row r="108" spans="1:17">
      <c r="B108" s="9" t="str">
        <f t="shared" si="24"/>
        <v/>
      </c>
      <c r="C108" s="153">
        <f>IF(D93="","-",+C107+1)</f>
        <v>2018</v>
      </c>
      <c r="D108" s="154">
        <f>IF(F107+SUM(E$99:E107)=D$92,F107,D$92-SUM(E$99:E107))</f>
        <v>6599252.6204683557</v>
      </c>
      <c r="E108" s="160">
        <f>IF(+J96&lt;F107,J96,D108)</f>
        <v>200063.98761904764</v>
      </c>
      <c r="F108" s="159">
        <f t="shared" si="25"/>
        <v>6399188.6328493077</v>
      </c>
      <c r="G108" s="159">
        <f t="shared" si="26"/>
        <v>6499220.6266588317</v>
      </c>
      <c r="H108" s="163">
        <f t="shared" si="27"/>
        <v>989533.79094909923</v>
      </c>
      <c r="I108" s="253">
        <f t="shared" si="28"/>
        <v>989533.79094909923</v>
      </c>
      <c r="J108" s="158">
        <f t="shared" si="18"/>
        <v>0</v>
      </c>
      <c r="K108" s="158"/>
      <c r="L108" s="334"/>
      <c r="M108" s="158">
        <f t="shared" si="20"/>
        <v>0</v>
      </c>
      <c r="N108" s="334"/>
      <c r="O108" s="158">
        <f t="shared" si="22"/>
        <v>0</v>
      </c>
      <c r="P108" s="158">
        <f t="shared" si="23"/>
        <v>0</v>
      </c>
      <c r="Q108" s="1"/>
    </row>
    <row r="109" spans="1:17">
      <c r="B109" s="9" t="str">
        <f t="shared" si="24"/>
        <v/>
      </c>
      <c r="C109" s="153">
        <f>IF(D93="","-",+C108+1)</f>
        <v>2019</v>
      </c>
      <c r="D109" s="154">
        <f>IF(F108+SUM(E$99:E108)=D$92,F108,D$92-SUM(E$99:E108))</f>
        <v>6399188.6328493077</v>
      </c>
      <c r="E109" s="160">
        <f>IF(+J96&lt;F108,J96,D109)</f>
        <v>200063.98761904764</v>
      </c>
      <c r="F109" s="159">
        <f t="shared" si="25"/>
        <v>6199124.6452302597</v>
      </c>
      <c r="G109" s="159">
        <f t="shared" si="26"/>
        <v>6299156.6390397837</v>
      </c>
      <c r="H109" s="163">
        <f t="shared" si="27"/>
        <v>965231.7267429434</v>
      </c>
      <c r="I109" s="253">
        <f t="shared" si="28"/>
        <v>965231.7267429434</v>
      </c>
      <c r="J109" s="158">
        <f t="shared" si="18"/>
        <v>0</v>
      </c>
      <c r="K109" s="158"/>
      <c r="L109" s="334"/>
      <c r="M109" s="158">
        <f t="shared" si="20"/>
        <v>0</v>
      </c>
      <c r="N109" s="334"/>
      <c r="O109" s="158">
        <f t="shared" si="22"/>
        <v>0</v>
      </c>
      <c r="P109" s="158">
        <f t="shared" si="23"/>
        <v>0</v>
      </c>
      <c r="Q109" s="1"/>
    </row>
    <row r="110" spans="1:17">
      <c r="B110" s="9" t="str">
        <f t="shared" si="24"/>
        <v/>
      </c>
      <c r="C110" s="153">
        <f>IF(D93="","-",+C109+1)</f>
        <v>2020</v>
      </c>
      <c r="D110" s="154">
        <f>IF(F109+SUM(E$99:E109)=D$92,F109,D$92-SUM(E$99:E109))</f>
        <v>6199124.6452302597</v>
      </c>
      <c r="E110" s="160">
        <f>IF(+J96&lt;F109,J96,D110)</f>
        <v>200063.98761904764</v>
      </c>
      <c r="F110" s="159">
        <f t="shared" si="25"/>
        <v>5999060.6576112118</v>
      </c>
      <c r="G110" s="159">
        <f t="shared" si="26"/>
        <v>6099092.6514207358</v>
      </c>
      <c r="H110" s="163">
        <f t="shared" si="27"/>
        <v>940929.66253678745</v>
      </c>
      <c r="I110" s="253">
        <f t="shared" si="28"/>
        <v>940929.66253678745</v>
      </c>
      <c r="J110" s="158">
        <f t="shared" si="18"/>
        <v>0</v>
      </c>
      <c r="K110" s="158"/>
      <c r="L110" s="334"/>
      <c r="M110" s="158">
        <f t="shared" si="20"/>
        <v>0</v>
      </c>
      <c r="N110" s="334"/>
      <c r="O110" s="158">
        <f t="shared" si="22"/>
        <v>0</v>
      </c>
      <c r="P110" s="158">
        <f t="shared" si="23"/>
        <v>0</v>
      </c>
      <c r="Q110" s="1"/>
    </row>
    <row r="111" spans="1:17">
      <c r="B111" s="9" t="str">
        <f t="shared" si="24"/>
        <v/>
      </c>
      <c r="C111" s="153">
        <f>IF(D93="","-",+C110+1)</f>
        <v>2021</v>
      </c>
      <c r="D111" s="154">
        <f>IF(F110+SUM(E$99:E110)=D$92,F110,D$92-SUM(E$99:E110))</f>
        <v>5999060.6576112118</v>
      </c>
      <c r="E111" s="160">
        <f>IF(+J96&lt;F110,J96,D111)</f>
        <v>200063.98761904764</v>
      </c>
      <c r="F111" s="159">
        <f t="shared" si="25"/>
        <v>5798996.6699921638</v>
      </c>
      <c r="G111" s="159">
        <f t="shared" si="26"/>
        <v>5899028.6638016878</v>
      </c>
      <c r="H111" s="163">
        <f t="shared" si="27"/>
        <v>916627.59833063162</v>
      </c>
      <c r="I111" s="253">
        <f t="shared" si="28"/>
        <v>916627.59833063162</v>
      </c>
      <c r="J111" s="158">
        <f t="shared" si="18"/>
        <v>0</v>
      </c>
      <c r="K111" s="158"/>
      <c r="L111" s="334"/>
      <c r="M111" s="158">
        <f t="shared" si="20"/>
        <v>0</v>
      </c>
      <c r="N111" s="334"/>
      <c r="O111" s="158">
        <f t="shared" si="22"/>
        <v>0</v>
      </c>
      <c r="P111" s="158">
        <f t="shared" si="23"/>
        <v>0</v>
      </c>
      <c r="Q111" s="1"/>
    </row>
    <row r="112" spans="1:17">
      <c r="B112" s="9"/>
      <c r="C112" s="153">
        <f>IF(D93="","-",+C111+1)</f>
        <v>2022</v>
      </c>
      <c r="D112" s="154">
        <f>IF(F111+SUM(E$99:E111)=D$92,F111,D$92-SUM(E$99:E111))</f>
        <v>5798996.6699921638</v>
      </c>
      <c r="E112" s="160">
        <f>IF(+J96&lt;F111,J96,D112)</f>
        <v>200063.98761904764</v>
      </c>
      <c r="F112" s="159">
        <f t="shared" si="25"/>
        <v>5598932.6823731158</v>
      </c>
      <c r="G112" s="159">
        <f t="shared" si="26"/>
        <v>5698964.6761826398</v>
      </c>
      <c r="H112" s="163">
        <f t="shared" si="27"/>
        <v>892325.53412447567</v>
      </c>
      <c r="I112" s="253">
        <f t="shared" si="28"/>
        <v>892325.53412447567</v>
      </c>
      <c r="J112" s="158">
        <f t="shared" si="18"/>
        <v>0</v>
      </c>
      <c r="K112" s="158"/>
      <c r="L112" s="334"/>
      <c r="M112" s="158">
        <f t="shared" si="20"/>
        <v>0</v>
      </c>
      <c r="N112" s="334"/>
      <c r="O112" s="158">
        <f t="shared" si="22"/>
        <v>0</v>
      </c>
      <c r="P112" s="158">
        <f t="shared" si="23"/>
        <v>0</v>
      </c>
      <c r="Q112" s="1"/>
    </row>
    <row r="113" spans="2:17">
      <c r="B113" s="9" t="str">
        <f t="shared" si="24"/>
        <v/>
      </c>
      <c r="C113" s="153">
        <f>IF(D93="","-",+C112+1)</f>
        <v>2023</v>
      </c>
      <c r="D113" s="154">
        <f>IF(F112+SUM(E$99:E112)=D$92,F112,D$92-SUM(E$99:E112))</f>
        <v>5598932.6823731158</v>
      </c>
      <c r="E113" s="160">
        <f>IF(+J96&lt;F112,J96,D113)</f>
        <v>200063.98761904764</v>
      </c>
      <c r="F113" s="159">
        <f t="shared" si="25"/>
        <v>5398868.6947540678</v>
      </c>
      <c r="G113" s="159">
        <f t="shared" si="26"/>
        <v>5498900.6885635918</v>
      </c>
      <c r="H113" s="163">
        <f t="shared" ref="H113:H154" si="29">+J$94*G113+E113</f>
        <v>868023.46991831972</v>
      </c>
      <c r="I113" s="253">
        <f t="shared" ref="I113:I154" si="30">+J$95*G113+E113</f>
        <v>868023.46991831972</v>
      </c>
      <c r="J113" s="158">
        <f t="shared" si="18"/>
        <v>0</v>
      </c>
      <c r="K113" s="158"/>
      <c r="L113" s="334"/>
      <c r="M113" s="158">
        <f t="shared" si="20"/>
        <v>0</v>
      </c>
      <c r="N113" s="334"/>
      <c r="O113" s="158">
        <f t="shared" si="22"/>
        <v>0</v>
      </c>
      <c r="P113" s="158">
        <f t="shared" si="23"/>
        <v>0</v>
      </c>
      <c r="Q113" s="1"/>
    </row>
    <row r="114" spans="2:17">
      <c r="B114" s="9" t="str">
        <f t="shared" si="24"/>
        <v/>
      </c>
      <c r="C114" s="153">
        <f>IF(D93="","-",+C113+1)</f>
        <v>2024</v>
      </c>
      <c r="D114" s="154">
        <f>IF(F113+SUM(E$99:E113)=D$92,F113,D$92-SUM(E$99:E113))</f>
        <v>5398868.6947540734</v>
      </c>
      <c r="E114" s="160">
        <f>IF(+J96&lt;F113,J96,D114)</f>
        <v>200063.98761904764</v>
      </c>
      <c r="F114" s="159">
        <f t="shared" si="25"/>
        <v>5198804.7071350254</v>
      </c>
      <c r="G114" s="159">
        <f t="shared" si="26"/>
        <v>5298836.7009445494</v>
      </c>
      <c r="H114" s="163">
        <f t="shared" si="29"/>
        <v>843721.40571216459</v>
      </c>
      <c r="I114" s="253">
        <f t="shared" si="30"/>
        <v>843721.40571216459</v>
      </c>
      <c r="J114" s="158">
        <f t="shared" si="18"/>
        <v>0</v>
      </c>
      <c r="K114" s="158"/>
      <c r="L114" s="334"/>
      <c r="M114" s="158">
        <f t="shared" si="20"/>
        <v>0</v>
      </c>
      <c r="N114" s="334"/>
      <c r="O114" s="158">
        <f t="shared" si="22"/>
        <v>0</v>
      </c>
      <c r="P114" s="158">
        <f t="shared" si="23"/>
        <v>0</v>
      </c>
      <c r="Q114" s="1"/>
    </row>
    <row r="115" spans="2:17">
      <c r="B115" s="9" t="str">
        <f t="shared" si="24"/>
        <v/>
      </c>
      <c r="C115" s="153">
        <f>IF(D93="","-",+C114+1)</f>
        <v>2025</v>
      </c>
      <c r="D115" s="154">
        <f>IF(F114+SUM(E$99:E114)=D$92,F114,D$92-SUM(E$99:E114))</f>
        <v>5198804.7071350254</v>
      </c>
      <c r="E115" s="160">
        <f>IF(+J96&lt;F114,J96,D115)</f>
        <v>200063.98761904764</v>
      </c>
      <c r="F115" s="159">
        <f t="shared" si="25"/>
        <v>4998740.7195159774</v>
      </c>
      <c r="G115" s="159">
        <f t="shared" si="26"/>
        <v>5098772.7133255014</v>
      </c>
      <c r="H115" s="163">
        <f t="shared" si="29"/>
        <v>819419.34150600864</v>
      </c>
      <c r="I115" s="253">
        <f t="shared" si="30"/>
        <v>819419.34150600864</v>
      </c>
      <c r="J115" s="158">
        <f t="shared" si="18"/>
        <v>0</v>
      </c>
      <c r="K115" s="158"/>
      <c r="L115" s="334"/>
      <c r="M115" s="158">
        <f t="shared" si="20"/>
        <v>0</v>
      </c>
      <c r="N115" s="334"/>
      <c r="O115" s="158">
        <f t="shared" si="22"/>
        <v>0</v>
      </c>
      <c r="P115" s="158">
        <f t="shared" si="23"/>
        <v>0</v>
      </c>
      <c r="Q115" s="1"/>
    </row>
    <row r="116" spans="2:17">
      <c r="B116" s="9" t="str">
        <f t="shared" si="24"/>
        <v/>
      </c>
      <c r="C116" s="153">
        <f>IF(D93="","-",+C115+1)</f>
        <v>2026</v>
      </c>
      <c r="D116" s="154">
        <f>IF(F115+SUM(E$99:E115)=D$92,F115,D$92-SUM(E$99:E115))</f>
        <v>4998740.7195159774</v>
      </c>
      <c r="E116" s="160">
        <f>IF(+J96&lt;F115,J96,D116)</f>
        <v>200063.98761904764</v>
      </c>
      <c r="F116" s="159">
        <f t="shared" si="25"/>
        <v>4798676.7318969294</v>
      </c>
      <c r="G116" s="159">
        <f t="shared" si="26"/>
        <v>4898708.7257064534</v>
      </c>
      <c r="H116" s="163">
        <f t="shared" si="29"/>
        <v>795117.27729985281</v>
      </c>
      <c r="I116" s="253">
        <f t="shared" si="30"/>
        <v>795117.27729985281</v>
      </c>
      <c r="J116" s="158">
        <f t="shared" si="18"/>
        <v>0</v>
      </c>
      <c r="K116" s="158"/>
      <c r="L116" s="334"/>
      <c r="M116" s="158">
        <f t="shared" si="20"/>
        <v>0</v>
      </c>
      <c r="N116" s="334"/>
      <c r="O116" s="158">
        <f t="shared" si="22"/>
        <v>0</v>
      </c>
      <c r="P116" s="158">
        <f t="shared" si="23"/>
        <v>0</v>
      </c>
      <c r="Q116" s="1"/>
    </row>
    <row r="117" spans="2:17">
      <c r="B117" s="9" t="str">
        <f t="shared" si="24"/>
        <v/>
      </c>
      <c r="C117" s="153">
        <f>IF(D93="","-",+C116+1)</f>
        <v>2027</v>
      </c>
      <c r="D117" s="154">
        <f>IF(F116+SUM(E$99:E116)=D$92,F116,D$92-SUM(E$99:E116))</f>
        <v>4798676.7318969294</v>
      </c>
      <c r="E117" s="160">
        <f>IF(+J96&lt;F116,J96,D117)</f>
        <v>200063.98761904764</v>
      </c>
      <c r="F117" s="159">
        <f t="shared" si="25"/>
        <v>4598612.7442778815</v>
      </c>
      <c r="G117" s="159">
        <f t="shared" si="26"/>
        <v>4698644.7380874055</v>
      </c>
      <c r="H117" s="163">
        <f t="shared" si="29"/>
        <v>770815.21309369686</v>
      </c>
      <c r="I117" s="253">
        <f t="shared" si="30"/>
        <v>770815.21309369686</v>
      </c>
      <c r="J117" s="158">
        <f t="shared" si="18"/>
        <v>0</v>
      </c>
      <c r="K117" s="158"/>
      <c r="L117" s="334"/>
      <c r="M117" s="158">
        <f t="shared" si="20"/>
        <v>0</v>
      </c>
      <c r="N117" s="334"/>
      <c r="O117" s="158">
        <f t="shared" si="22"/>
        <v>0</v>
      </c>
      <c r="P117" s="158">
        <f t="shared" si="23"/>
        <v>0</v>
      </c>
      <c r="Q117" s="1"/>
    </row>
    <row r="118" spans="2:17">
      <c r="B118" s="9" t="str">
        <f t="shared" si="24"/>
        <v/>
      </c>
      <c r="C118" s="153">
        <f>IF(D93="","-",+C117+1)</f>
        <v>2028</v>
      </c>
      <c r="D118" s="154">
        <f>IF(F117+SUM(E$99:E117)=D$92,F117,D$92-SUM(E$99:E117))</f>
        <v>4598612.7442778815</v>
      </c>
      <c r="E118" s="160">
        <f>IF(+J96&lt;F117,J96,D118)</f>
        <v>200063.98761904764</v>
      </c>
      <c r="F118" s="159">
        <f t="shared" si="25"/>
        <v>4398548.7566588335</v>
      </c>
      <c r="G118" s="159">
        <f t="shared" si="26"/>
        <v>4498580.7504683575</v>
      </c>
      <c r="H118" s="163">
        <f t="shared" si="29"/>
        <v>746513.14888754091</v>
      </c>
      <c r="I118" s="253">
        <f t="shared" si="30"/>
        <v>746513.14888754091</v>
      </c>
      <c r="J118" s="158">
        <f t="shared" si="18"/>
        <v>0</v>
      </c>
      <c r="K118" s="158"/>
      <c r="L118" s="334"/>
      <c r="M118" s="158">
        <f t="shared" si="20"/>
        <v>0</v>
      </c>
      <c r="N118" s="334"/>
      <c r="O118" s="158">
        <f t="shared" si="22"/>
        <v>0</v>
      </c>
      <c r="P118" s="158">
        <f t="shared" si="23"/>
        <v>0</v>
      </c>
      <c r="Q118" s="1"/>
    </row>
    <row r="119" spans="2:17">
      <c r="B119" s="9" t="str">
        <f t="shared" si="24"/>
        <v/>
      </c>
      <c r="C119" s="153">
        <f>IF(D93="","-",+C118+1)</f>
        <v>2029</v>
      </c>
      <c r="D119" s="154">
        <f>IF(F118+SUM(E$99:E118)=D$92,F118,D$92-SUM(E$99:E118))</f>
        <v>4398548.7566588335</v>
      </c>
      <c r="E119" s="160">
        <f>IF(+J96&lt;F118,J96,D119)</f>
        <v>200063.98761904764</v>
      </c>
      <c r="F119" s="159">
        <f t="shared" si="25"/>
        <v>4198484.7690397855</v>
      </c>
      <c r="G119" s="159">
        <f t="shared" si="26"/>
        <v>4298516.7628493095</v>
      </c>
      <c r="H119" s="163">
        <f t="shared" si="29"/>
        <v>722211.08468138508</v>
      </c>
      <c r="I119" s="253">
        <f t="shared" si="30"/>
        <v>722211.08468138508</v>
      </c>
      <c r="J119" s="158">
        <f t="shared" si="18"/>
        <v>0</v>
      </c>
      <c r="K119" s="158"/>
      <c r="L119" s="334"/>
      <c r="M119" s="158">
        <f t="shared" si="20"/>
        <v>0</v>
      </c>
      <c r="N119" s="334"/>
      <c r="O119" s="158">
        <f t="shared" si="22"/>
        <v>0</v>
      </c>
      <c r="P119" s="158">
        <f t="shared" si="23"/>
        <v>0</v>
      </c>
      <c r="Q119" s="1"/>
    </row>
    <row r="120" spans="2:17">
      <c r="B120" s="9" t="str">
        <f t="shared" si="24"/>
        <v/>
      </c>
      <c r="C120" s="153">
        <f>IF(D93="","-",+C119+1)</f>
        <v>2030</v>
      </c>
      <c r="D120" s="154">
        <f>IF(F119+SUM(E$99:E119)=D$92,F119,D$92-SUM(E$99:E119))</f>
        <v>4198484.7690397855</v>
      </c>
      <c r="E120" s="160">
        <f>IF(+J96&lt;F119,J96,D120)</f>
        <v>200063.98761904764</v>
      </c>
      <c r="F120" s="159">
        <f t="shared" si="25"/>
        <v>3998420.781420738</v>
      </c>
      <c r="G120" s="159">
        <f t="shared" si="26"/>
        <v>4098452.7752302615</v>
      </c>
      <c r="H120" s="163">
        <f t="shared" si="29"/>
        <v>697909.02047522925</v>
      </c>
      <c r="I120" s="253">
        <f t="shared" si="30"/>
        <v>697909.02047522925</v>
      </c>
      <c r="J120" s="158">
        <f t="shared" si="18"/>
        <v>0</v>
      </c>
      <c r="K120" s="158"/>
      <c r="L120" s="334"/>
      <c r="M120" s="158">
        <f t="shared" si="20"/>
        <v>0</v>
      </c>
      <c r="N120" s="334"/>
      <c r="O120" s="158">
        <f t="shared" si="22"/>
        <v>0</v>
      </c>
      <c r="P120" s="158">
        <f t="shared" si="23"/>
        <v>0</v>
      </c>
      <c r="Q120" s="1"/>
    </row>
    <row r="121" spans="2:17">
      <c r="B121" s="9" t="str">
        <f t="shared" si="24"/>
        <v/>
      </c>
      <c r="C121" s="153">
        <f>IF(D93="","-",+C120+1)</f>
        <v>2031</v>
      </c>
      <c r="D121" s="154">
        <f>IF(F120+SUM(E$99:E120)=D$92,F120,D$92-SUM(E$99:E120))</f>
        <v>3998420.781420738</v>
      </c>
      <c r="E121" s="160">
        <f>IF(+J96&lt;F120,J96,D121)</f>
        <v>200063.98761904764</v>
      </c>
      <c r="F121" s="159">
        <f t="shared" si="25"/>
        <v>3798356.7938016905</v>
      </c>
      <c r="G121" s="159">
        <f t="shared" si="26"/>
        <v>3898388.7876112144</v>
      </c>
      <c r="H121" s="163">
        <f t="shared" si="29"/>
        <v>673606.9562690733</v>
      </c>
      <c r="I121" s="253">
        <f t="shared" si="30"/>
        <v>673606.9562690733</v>
      </c>
      <c r="J121" s="158">
        <f t="shared" si="18"/>
        <v>0</v>
      </c>
      <c r="K121" s="158"/>
      <c r="L121" s="334"/>
      <c r="M121" s="158">
        <f t="shared" si="20"/>
        <v>0</v>
      </c>
      <c r="N121" s="334"/>
      <c r="O121" s="158">
        <f t="shared" si="22"/>
        <v>0</v>
      </c>
      <c r="P121" s="158">
        <f t="shared" si="23"/>
        <v>0</v>
      </c>
      <c r="Q121" s="1"/>
    </row>
    <row r="122" spans="2:17">
      <c r="B122" s="9" t="str">
        <f t="shared" si="24"/>
        <v/>
      </c>
      <c r="C122" s="153">
        <f>IF(D93="","-",+C121+1)</f>
        <v>2032</v>
      </c>
      <c r="D122" s="154">
        <f>IF(F121+SUM(E$99:E121)=D$92,F121,D$92-SUM(E$99:E121))</f>
        <v>3798356.7938016905</v>
      </c>
      <c r="E122" s="160">
        <f>IF(+J96&lt;F121,J96,D122)</f>
        <v>200063.98761904764</v>
      </c>
      <c r="F122" s="159">
        <f t="shared" si="25"/>
        <v>3598292.8061826429</v>
      </c>
      <c r="G122" s="159">
        <f t="shared" si="26"/>
        <v>3698324.7999921665</v>
      </c>
      <c r="H122" s="163">
        <f t="shared" si="29"/>
        <v>649304.89206291747</v>
      </c>
      <c r="I122" s="253">
        <f t="shared" si="30"/>
        <v>649304.89206291747</v>
      </c>
      <c r="J122" s="158">
        <f t="shared" si="18"/>
        <v>0</v>
      </c>
      <c r="K122" s="158"/>
      <c r="L122" s="334"/>
      <c r="M122" s="158">
        <f t="shared" si="20"/>
        <v>0</v>
      </c>
      <c r="N122" s="334"/>
      <c r="O122" s="158">
        <f t="shared" si="22"/>
        <v>0</v>
      </c>
      <c r="P122" s="158">
        <f t="shared" si="23"/>
        <v>0</v>
      </c>
      <c r="Q122" s="1"/>
    </row>
    <row r="123" spans="2:17">
      <c r="B123" s="9" t="str">
        <f t="shared" si="24"/>
        <v/>
      </c>
      <c r="C123" s="153">
        <f>IF(D93="","-",+C122+1)</f>
        <v>2033</v>
      </c>
      <c r="D123" s="154">
        <f>IF(F122+SUM(E$99:E122)=D$92,F122,D$92-SUM(E$99:E122))</f>
        <v>3598292.8061826429</v>
      </c>
      <c r="E123" s="160">
        <f>IF(+J96&lt;F122,J96,D123)</f>
        <v>200063.98761904764</v>
      </c>
      <c r="F123" s="159">
        <f t="shared" si="25"/>
        <v>3398228.8185635954</v>
      </c>
      <c r="G123" s="159">
        <f t="shared" si="26"/>
        <v>3498260.8123731194</v>
      </c>
      <c r="H123" s="163">
        <f t="shared" si="29"/>
        <v>625002.82785676164</v>
      </c>
      <c r="I123" s="253">
        <f t="shared" si="30"/>
        <v>625002.82785676164</v>
      </c>
      <c r="J123" s="158">
        <f t="shared" si="18"/>
        <v>0</v>
      </c>
      <c r="K123" s="158"/>
      <c r="L123" s="334"/>
      <c r="M123" s="158">
        <f t="shared" si="20"/>
        <v>0</v>
      </c>
      <c r="N123" s="334"/>
      <c r="O123" s="158">
        <f t="shared" si="22"/>
        <v>0</v>
      </c>
      <c r="P123" s="158">
        <f t="shared" si="23"/>
        <v>0</v>
      </c>
      <c r="Q123" s="1"/>
    </row>
    <row r="124" spans="2:17">
      <c r="B124" s="9" t="str">
        <f t="shared" si="24"/>
        <v/>
      </c>
      <c r="C124" s="153">
        <f>IF(D93="","-",+C123+1)</f>
        <v>2034</v>
      </c>
      <c r="D124" s="154">
        <f>IF(F123+SUM(E$99:E123)=D$92,F123,D$92-SUM(E$99:E123))</f>
        <v>3398228.8185635954</v>
      </c>
      <c r="E124" s="160">
        <f>IF(+J96&lt;F123,J96,D124)</f>
        <v>200063.98761904764</v>
      </c>
      <c r="F124" s="159">
        <f t="shared" si="25"/>
        <v>3198164.8309445479</v>
      </c>
      <c r="G124" s="159">
        <f t="shared" si="26"/>
        <v>3298196.8247540714</v>
      </c>
      <c r="H124" s="163">
        <f t="shared" si="29"/>
        <v>600700.7636506058</v>
      </c>
      <c r="I124" s="253">
        <f t="shared" si="30"/>
        <v>600700.7636506058</v>
      </c>
      <c r="J124" s="158">
        <f t="shared" si="18"/>
        <v>0</v>
      </c>
      <c r="K124" s="158"/>
      <c r="L124" s="334"/>
      <c r="M124" s="158">
        <f t="shared" si="20"/>
        <v>0</v>
      </c>
      <c r="N124" s="334"/>
      <c r="O124" s="158">
        <f t="shared" si="22"/>
        <v>0</v>
      </c>
      <c r="P124" s="158">
        <f t="shared" si="23"/>
        <v>0</v>
      </c>
      <c r="Q124" s="1"/>
    </row>
    <row r="125" spans="2:17">
      <c r="B125" s="9" t="str">
        <f t="shared" si="24"/>
        <v/>
      </c>
      <c r="C125" s="153">
        <f>IF(D93="","-",+C124+1)</f>
        <v>2035</v>
      </c>
      <c r="D125" s="154">
        <f>IF(F124+SUM(E$99:E124)=D$92,F124,D$92-SUM(E$99:E124))</f>
        <v>3198164.8309445479</v>
      </c>
      <c r="E125" s="160">
        <f>IF(+J96&lt;F124,J96,D125)</f>
        <v>200063.98761904764</v>
      </c>
      <c r="F125" s="159">
        <f t="shared" si="25"/>
        <v>2998100.8433255004</v>
      </c>
      <c r="G125" s="159">
        <f t="shared" si="26"/>
        <v>3098132.8371350244</v>
      </c>
      <c r="H125" s="163">
        <f t="shared" si="29"/>
        <v>576398.69944444997</v>
      </c>
      <c r="I125" s="253">
        <f t="shared" si="30"/>
        <v>576398.69944444997</v>
      </c>
      <c r="J125" s="158">
        <f t="shared" si="18"/>
        <v>0</v>
      </c>
      <c r="K125" s="158"/>
      <c r="L125" s="334"/>
      <c r="M125" s="158">
        <f t="shared" si="20"/>
        <v>0</v>
      </c>
      <c r="N125" s="334"/>
      <c r="O125" s="158">
        <f t="shared" si="22"/>
        <v>0</v>
      </c>
      <c r="P125" s="158">
        <f t="shared" si="23"/>
        <v>0</v>
      </c>
      <c r="Q125" s="1"/>
    </row>
    <row r="126" spans="2:17">
      <c r="B126" s="9" t="str">
        <f t="shared" si="24"/>
        <v/>
      </c>
      <c r="C126" s="153">
        <f>IF(D93="","-",+C125+1)</f>
        <v>2036</v>
      </c>
      <c r="D126" s="154">
        <f>IF(F125+SUM(E$99:E125)=D$92,F125,D$92-SUM(E$99:E125))</f>
        <v>2998100.8433255004</v>
      </c>
      <c r="E126" s="160">
        <f>IF(+J96&lt;F125,J96,D126)</f>
        <v>200063.98761904764</v>
      </c>
      <c r="F126" s="159">
        <f t="shared" si="25"/>
        <v>2798036.8557064529</v>
      </c>
      <c r="G126" s="159">
        <f t="shared" si="26"/>
        <v>2898068.8495159764</v>
      </c>
      <c r="H126" s="163">
        <f t="shared" si="29"/>
        <v>552096.63523829414</v>
      </c>
      <c r="I126" s="253">
        <f t="shared" si="30"/>
        <v>552096.63523829414</v>
      </c>
      <c r="J126" s="158">
        <f t="shared" si="18"/>
        <v>0</v>
      </c>
      <c r="K126" s="158"/>
      <c r="L126" s="334"/>
      <c r="M126" s="158">
        <f t="shared" si="20"/>
        <v>0</v>
      </c>
      <c r="N126" s="334"/>
      <c r="O126" s="158">
        <f t="shared" si="22"/>
        <v>0</v>
      </c>
      <c r="P126" s="158">
        <f t="shared" si="23"/>
        <v>0</v>
      </c>
      <c r="Q126" s="1"/>
    </row>
    <row r="127" spans="2:17">
      <c r="B127" s="9" t="str">
        <f t="shared" si="24"/>
        <v/>
      </c>
      <c r="C127" s="153">
        <f>IF(D93="","-",+C126+1)</f>
        <v>2037</v>
      </c>
      <c r="D127" s="154">
        <f>IF(F126+SUM(E$99:E126)=D$92,F126,D$92-SUM(E$99:E126))</f>
        <v>2798036.8557064529</v>
      </c>
      <c r="E127" s="160">
        <f>IF(+J96&lt;F126,J96,D127)</f>
        <v>200063.98761904764</v>
      </c>
      <c r="F127" s="159">
        <f t="shared" si="25"/>
        <v>2597972.8680874053</v>
      </c>
      <c r="G127" s="159">
        <f t="shared" si="26"/>
        <v>2698004.8618969293</v>
      </c>
      <c r="H127" s="163">
        <f t="shared" si="29"/>
        <v>527794.57103213831</v>
      </c>
      <c r="I127" s="253">
        <f t="shared" si="30"/>
        <v>527794.57103213831</v>
      </c>
      <c r="J127" s="158">
        <f t="shared" si="18"/>
        <v>0</v>
      </c>
      <c r="K127" s="158"/>
      <c r="L127" s="334"/>
      <c r="M127" s="158">
        <f t="shared" si="20"/>
        <v>0</v>
      </c>
      <c r="N127" s="334"/>
      <c r="O127" s="158">
        <f t="shared" si="22"/>
        <v>0</v>
      </c>
      <c r="P127" s="158">
        <f t="shared" si="23"/>
        <v>0</v>
      </c>
      <c r="Q127" s="1"/>
    </row>
    <row r="128" spans="2:17">
      <c r="B128" s="9" t="str">
        <f t="shared" si="24"/>
        <v/>
      </c>
      <c r="C128" s="153">
        <f>IF(D93="","-",+C127+1)</f>
        <v>2038</v>
      </c>
      <c r="D128" s="154">
        <f>IF(F127+SUM(E$99:E127)=D$92,F127,D$92-SUM(E$99:E127))</f>
        <v>2597972.8680874053</v>
      </c>
      <c r="E128" s="160">
        <f>IF(+J96&lt;F127,J96,D128)</f>
        <v>200063.98761904764</v>
      </c>
      <c r="F128" s="159">
        <f t="shared" si="25"/>
        <v>2397908.8804683578</v>
      </c>
      <c r="G128" s="159">
        <f t="shared" si="26"/>
        <v>2497940.8742778813</v>
      </c>
      <c r="H128" s="163">
        <f t="shared" si="29"/>
        <v>503492.50682598242</v>
      </c>
      <c r="I128" s="253">
        <f t="shared" si="30"/>
        <v>503492.50682598242</v>
      </c>
      <c r="J128" s="158">
        <f t="shared" si="18"/>
        <v>0</v>
      </c>
      <c r="K128" s="158"/>
      <c r="L128" s="334"/>
      <c r="M128" s="158">
        <f t="shared" si="20"/>
        <v>0</v>
      </c>
      <c r="N128" s="334"/>
      <c r="O128" s="158">
        <f t="shared" si="22"/>
        <v>0</v>
      </c>
      <c r="P128" s="158">
        <f t="shared" si="23"/>
        <v>0</v>
      </c>
      <c r="Q128" s="1"/>
    </row>
    <row r="129" spans="2:17">
      <c r="B129" s="9" t="str">
        <f t="shared" si="24"/>
        <v/>
      </c>
      <c r="C129" s="153">
        <f>IF(D93="","-",+C128+1)</f>
        <v>2039</v>
      </c>
      <c r="D129" s="154">
        <f>IF(F128+SUM(E$99:E128)=D$92,F128,D$92-SUM(E$99:E128))</f>
        <v>2397908.8804683578</v>
      </c>
      <c r="E129" s="160">
        <f>IF(+J96&lt;F128,J96,D129)</f>
        <v>200063.98761904764</v>
      </c>
      <c r="F129" s="159">
        <f t="shared" si="25"/>
        <v>2197844.8928493103</v>
      </c>
      <c r="G129" s="159">
        <f t="shared" si="26"/>
        <v>2297876.8866588343</v>
      </c>
      <c r="H129" s="163">
        <f t="shared" si="29"/>
        <v>479190.44261982664</v>
      </c>
      <c r="I129" s="253">
        <f t="shared" si="30"/>
        <v>479190.44261982664</v>
      </c>
      <c r="J129" s="158">
        <f t="shared" si="18"/>
        <v>0</v>
      </c>
      <c r="K129" s="158"/>
      <c r="L129" s="334"/>
      <c r="M129" s="158">
        <f t="shared" si="20"/>
        <v>0</v>
      </c>
      <c r="N129" s="334"/>
      <c r="O129" s="158">
        <f t="shared" si="22"/>
        <v>0</v>
      </c>
      <c r="P129" s="158">
        <f t="shared" si="23"/>
        <v>0</v>
      </c>
      <c r="Q129" s="1"/>
    </row>
    <row r="130" spans="2:17">
      <c r="B130" s="9" t="str">
        <f t="shared" si="24"/>
        <v/>
      </c>
      <c r="C130" s="153">
        <f>IF(D93="","-",+C129+1)</f>
        <v>2040</v>
      </c>
      <c r="D130" s="154">
        <f>IF(F129+SUM(E$99:E129)=D$92,F129,D$92-SUM(E$99:E129))</f>
        <v>2197844.8928493103</v>
      </c>
      <c r="E130" s="160">
        <f>IF(+J96&lt;F129,J96,D130)</f>
        <v>200063.98761904764</v>
      </c>
      <c r="F130" s="159">
        <f t="shared" si="25"/>
        <v>1997780.9052302628</v>
      </c>
      <c r="G130" s="159">
        <f t="shared" si="26"/>
        <v>2097812.8990397863</v>
      </c>
      <c r="H130" s="163">
        <f t="shared" si="29"/>
        <v>454888.37841367075</v>
      </c>
      <c r="I130" s="253">
        <f t="shared" si="30"/>
        <v>454888.37841367075</v>
      </c>
      <c r="J130" s="158">
        <f t="shared" si="18"/>
        <v>0</v>
      </c>
      <c r="K130" s="158"/>
      <c r="L130" s="334"/>
      <c r="M130" s="158">
        <f t="shared" si="20"/>
        <v>0</v>
      </c>
      <c r="N130" s="334"/>
      <c r="O130" s="158">
        <f t="shared" si="22"/>
        <v>0</v>
      </c>
      <c r="P130" s="158">
        <f t="shared" si="23"/>
        <v>0</v>
      </c>
      <c r="Q130" s="1"/>
    </row>
    <row r="131" spans="2:17">
      <c r="B131" s="9" t="str">
        <f t="shared" si="24"/>
        <v/>
      </c>
      <c r="C131" s="153">
        <f>IF(D93="","-",+C130+1)</f>
        <v>2041</v>
      </c>
      <c r="D131" s="154">
        <f>IF(F130+SUM(E$99:E130)=D$92,F130,D$92-SUM(E$99:E130))</f>
        <v>1997780.9052302628</v>
      </c>
      <c r="E131" s="160">
        <f>IF(+J96&lt;F130,J96,D131)</f>
        <v>200063.98761904764</v>
      </c>
      <c r="F131" s="159">
        <f t="shared" ref="F131:F154" si="31">+D131-E131</f>
        <v>1797716.9176112153</v>
      </c>
      <c r="G131" s="159">
        <f t="shared" ref="G131:G154" si="32">+(F131+D131)/2</f>
        <v>1897748.911420739</v>
      </c>
      <c r="H131" s="163">
        <f t="shared" si="29"/>
        <v>430586.31420751498</v>
      </c>
      <c r="I131" s="253">
        <f t="shared" si="30"/>
        <v>430586.31420751498</v>
      </c>
      <c r="J131" s="158">
        <f t="shared" ref="J131:J154" si="33">+I131-H131</f>
        <v>0</v>
      </c>
      <c r="K131" s="158"/>
      <c r="L131" s="334"/>
      <c r="M131" s="158">
        <f t="shared" ref="M131:M154" si="34">IF(L131&lt;&gt;0,+H131-L131,0)</f>
        <v>0</v>
      </c>
      <c r="N131" s="334"/>
      <c r="O131" s="158">
        <f t="shared" ref="O131:O154" si="35">IF(N131&lt;&gt;0,+I131-N131,0)</f>
        <v>0</v>
      </c>
      <c r="P131" s="158">
        <f t="shared" ref="P131:P154" si="36">+O131-M131</f>
        <v>0</v>
      </c>
      <c r="Q131" s="1"/>
    </row>
    <row r="132" spans="2:17">
      <c r="B132" s="9" t="str">
        <f t="shared" si="24"/>
        <v/>
      </c>
      <c r="C132" s="153">
        <f>IF(D93="","-",+C131+1)</f>
        <v>2042</v>
      </c>
      <c r="D132" s="154">
        <f>IF(F131+SUM(E$99:E131)=D$92,F131,D$92-SUM(E$99:E131))</f>
        <v>1797716.9176112153</v>
      </c>
      <c r="E132" s="160">
        <f>IF(+J96&lt;F131,J96,D132)</f>
        <v>200063.98761904764</v>
      </c>
      <c r="F132" s="159">
        <f t="shared" si="31"/>
        <v>1597652.9299921677</v>
      </c>
      <c r="G132" s="159">
        <f t="shared" si="32"/>
        <v>1697684.9238016915</v>
      </c>
      <c r="H132" s="163">
        <f t="shared" si="29"/>
        <v>406284.25000135915</v>
      </c>
      <c r="I132" s="253">
        <f t="shared" si="30"/>
        <v>406284.25000135915</v>
      </c>
      <c r="J132" s="158">
        <f t="shared" si="33"/>
        <v>0</v>
      </c>
      <c r="K132" s="158"/>
      <c r="L132" s="334"/>
      <c r="M132" s="158">
        <f t="shared" si="34"/>
        <v>0</v>
      </c>
      <c r="N132" s="334"/>
      <c r="O132" s="158">
        <f t="shared" si="35"/>
        <v>0</v>
      </c>
      <c r="P132" s="158">
        <f t="shared" si="36"/>
        <v>0</v>
      </c>
      <c r="Q132" s="1"/>
    </row>
    <row r="133" spans="2:17">
      <c r="B133" s="9" t="str">
        <f t="shared" si="24"/>
        <v/>
      </c>
      <c r="C133" s="153">
        <f>IF(D93="","-",+C132+1)</f>
        <v>2043</v>
      </c>
      <c r="D133" s="154">
        <f>IF(F132+SUM(E$99:E132)=D$92,F132,D$92-SUM(E$99:E132))</f>
        <v>1597652.9299921677</v>
      </c>
      <c r="E133" s="160">
        <f>IF(+J96&lt;F132,J96,D133)</f>
        <v>200063.98761904764</v>
      </c>
      <c r="F133" s="159">
        <f t="shared" si="31"/>
        <v>1397588.9423731202</v>
      </c>
      <c r="G133" s="159">
        <f t="shared" si="32"/>
        <v>1497620.936182644</v>
      </c>
      <c r="H133" s="163">
        <f t="shared" si="29"/>
        <v>381982.18579520326</v>
      </c>
      <c r="I133" s="253">
        <f t="shared" si="30"/>
        <v>381982.18579520326</v>
      </c>
      <c r="J133" s="158">
        <f t="shared" si="33"/>
        <v>0</v>
      </c>
      <c r="K133" s="158"/>
      <c r="L133" s="334"/>
      <c r="M133" s="158">
        <f t="shared" si="34"/>
        <v>0</v>
      </c>
      <c r="N133" s="334"/>
      <c r="O133" s="158">
        <f t="shared" si="35"/>
        <v>0</v>
      </c>
      <c r="P133" s="158">
        <f t="shared" si="36"/>
        <v>0</v>
      </c>
      <c r="Q133" s="1"/>
    </row>
    <row r="134" spans="2:17">
      <c r="B134" s="9" t="str">
        <f t="shared" si="24"/>
        <v/>
      </c>
      <c r="C134" s="153">
        <f>IF(D93="","-",+C133+1)</f>
        <v>2044</v>
      </c>
      <c r="D134" s="154">
        <f>IF(F133+SUM(E$99:E133)=D$92,F133,D$92-SUM(E$99:E133))</f>
        <v>1397588.9423731202</v>
      </c>
      <c r="E134" s="160">
        <f>IF(+J96&lt;F133,J96,D134)</f>
        <v>200063.98761904764</v>
      </c>
      <c r="F134" s="159">
        <f t="shared" si="31"/>
        <v>1197524.9547540727</v>
      </c>
      <c r="G134" s="159">
        <f t="shared" si="32"/>
        <v>1297556.9485635965</v>
      </c>
      <c r="H134" s="163">
        <f t="shared" si="29"/>
        <v>357680.12158904743</v>
      </c>
      <c r="I134" s="253">
        <f t="shared" si="30"/>
        <v>357680.12158904743</v>
      </c>
      <c r="J134" s="158">
        <f t="shared" si="33"/>
        <v>0</v>
      </c>
      <c r="K134" s="158"/>
      <c r="L134" s="334"/>
      <c r="M134" s="158">
        <f t="shared" si="34"/>
        <v>0</v>
      </c>
      <c r="N134" s="334"/>
      <c r="O134" s="158">
        <f t="shared" si="35"/>
        <v>0</v>
      </c>
      <c r="P134" s="158">
        <f t="shared" si="36"/>
        <v>0</v>
      </c>
      <c r="Q134" s="1"/>
    </row>
    <row r="135" spans="2:17">
      <c r="B135" s="9" t="str">
        <f t="shared" si="24"/>
        <v/>
      </c>
      <c r="C135" s="153">
        <f>IF(D93="","-",+C134+1)</f>
        <v>2045</v>
      </c>
      <c r="D135" s="154">
        <f>IF(F134+SUM(E$99:E134)=D$92,F134,D$92-SUM(E$99:E134))</f>
        <v>1197524.9547540676</v>
      </c>
      <c r="E135" s="160">
        <f>IF(+J96&lt;F134,J96,D135)</f>
        <v>200063.98761904764</v>
      </c>
      <c r="F135" s="159">
        <f t="shared" si="31"/>
        <v>997460.96713501995</v>
      </c>
      <c r="G135" s="159">
        <f t="shared" si="32"/>
        <v>1097492.9609445438</v>
      </c>
      <c r="H135" s="163">
        <f t="shared" si="29"/>
        <v>333378.05738289095</v>
      </c>
      <c r="I135" s="253">
        <f t="shared" si="30"/>
        <v>333378.05738289095</v>
      </c>
      <c r="J135" s="158">
        <f t="shared" si="33"/>
        <v>0</v>
      </c>
      <c r="K135" s="158"/>
      <c r="L135" s="334"/>
      <c r="M135" s="158">
        <f t="shared" si="34"/>
        <v>0</v>
      </c>
      <c r="N135" s="334"/>
      <c r="O135" s="158">
        <f t="shared" si="35"/>
        <v>0</v>
      </c>
      <c r="P135" s="158">
        <f t="shared" si="36"/>
        <v>0</v>
      </c>
      <c r="Q135" s="1"/>
    </row>
    <row r="136" spans="2:17">
      <c r="B136" s="9"/>
      <c r="C136" s="153">
        <f>IF(D93="","-",+C135+1)</f>
        <v>2046</v>
      </c>
      <c r="D136" s="154">
        <f>IF(F135+SUM(E$99:E135)=D$92,F135,D$92-SUM(E$99:E135))</f>
        <v>997460.96713501995</v>
      </c>
      <c r="E136" s="160">
        <f>IF(+J96&lt;F135,J96,D136)</f>
        <v>200063.98761904764</v>
      </c>
      <c r="F136" s="159">
        <f t="shared" si="31"/>
        <v>797396.97951597231</v>
      </c>
      <c r="G136" s="159">
        <f t="shared" si="32"/>
        <v>897428.97332549607</v>
      </c>
      <c r="H136" s="163">
        <f t="shared" si="29"/>
        <v>309075.99317673512</v>
      </c>
      <c r="I136" s="253">
        <f t="shared" si="30"/>
        <v>309075.99317673512</v>
      </c>
      <c r="J136" s="158">
        <f t="shared" si="33"/>
        <v>0</v>
      </c>
      <c r="K136" s="158"/>
      <c r="L136" s="334"/>
      <c r="M136" s="158">
        <f t="shared" si="34"/>
        <v>0</v>
      </c>
      <c r="N136" s="334"/>
      <c r="O136" s="158">
        <f t="shared" si="35"/>
        <v>0</v>
      </c>
      <c r="P136" s="158">
        <f t="shared" si="36"/>
        <v>0</v>
      </c>
      <c r="Q136" s="1"/>
    </row>
    <row r="137" spans="2:17">
      <c r="B137" s="9" t="str">
        <f t="shared" si="24"/>
        <v/>
      </c>
      <c r="C137" s="153">
        <f>IF(D93="","-",+C136+1)</f>
        <v>2047</v>
      </c>
      <c r="D137" s="154">
        <f>IF(F136+SUM(E$99:E136)=D$92,F136,D$92-SUM(E$99:E136))</f>
        <v>797396.97951597231</v>
      </c>
      <c r="E137" s="160">
        <f>IF(+J96&lt;F136,J96,D137)</f>
        <v>200063.98761904764</v>
      </c>
      <c r="F137" s="159">
        <f t="shared" si="31"/>
        <v>597332.99189692468</v>
      </c>
      <c r="G137" s="159">
        <f t="shared" si="32"/>
        <v>697364.98570644855</v>
      </c>
      <c r="H137" s="163">
        <f t="shared" si="29"/>
        <v>284773.92897057923</v>
      </c>
      <c r="I137" s="253">
        <f t="shared" si="30"/>
        <v>284773.92897057923</v>
      </c>
      <c r="J137" s="158">
        <f t="shared" si="33"/>
        <v>0</v>
      </c>
      <c r="K137" s="158"/>
      <c r="L137" s="334"/>
      <c r="M137" s="158">
        <f t="shared" si="34"/>
        <v>0</v>
      </c>
      <c r="N137" s="334"/>
      <c r="O137" s="158">
        <f t="shared" si="35"/>
        <v>0</v>
      </c>
      <c r="P137" s="158">
        <f t="shared" si="36"/>
        <v>0</v>
      </c>
      <c r="Q137" s="1"/>
    </row>
    <row r="138" spans="2:17">
      <c r="B138" s="9" t="str">
        <f t="shared" si="24"/>
        <v/>
      </c>
      <c r="C138" s="153">
        <f>IF(D93="","-",+C137+1)</f>
        <v>2048</v>
      </c>
      <c r="D138" s="154">
        <f>IF(F137+SUM(E$99:E137)=D$92,F137,D$92-SUM(E$99:E137))</f>
        <v>597332.99189692468</v>
      </c>
      <c r="E138" s="160">
        <f>IF(+J96&lt;F137,J96,D138)</f>
        <v>200063.98761904764</v>
      </c>
      <c r="F138" s="159">
        <f t="shared" si="31"/>
        <v>397269.00427787704</v>
      </c>
      <c r="G138" s="159">
        <f t="shared" si="32"/>
        <v>497300.99808740086</v>
      </c>
      <c r="H138" s="163">
        <f t="shared" si="29"/>
        <v>260471.8647644234</v>
      </c>
      <c r="I138" s="253">
        <f t="shared" si="30"/>
        <v>260471.8647644234</v>
      </c>
      <c r="J138" s="158">
        <f t="shared" si="33"/>
        <v>0</v>
      </c>
      <c r="K138" s="158"/>
      <c r="L138" s="334"/>
      <c r="M138" s="158">
        <f t="shared" si="34"/>
        <v>0</v>
      </c>
      <c r="N138" s="334"/>
      <c r="O138" s="158">
        <f t="shared" si="35"/>
        <v>0</v>
      </c>
      <c r="P138" s="158">
        <f t="shared" si="36"/>
        <v>0</v>
      </c>
      <c r="Q138" s="1"/>
    </row>
    <row r="139" spans="2:17">
      <c r="B139" s="9" t="str">
        <f t="shared" si="24"/>
        <v/>
      </c>
      <c r="C139" s="153">
        <f>IF(D93="","-",+C138+1)</f>
        <v>2049</v>
      </c>
      <c r="D139" s="154">
        <f>IF(F138+SUM(E$99:E138)=D$92,F138,D$92-SUM(E$99:E138))</f>
        <v>397269.00427787704</v>
      </c>
      <c r="E139" s="160">
        <f>IF(+J96&lt;F138,J96,D139)</f>
        <v>200063.98761904764</v>
      </c>
      <c r="F139" s="159">
        <f t="shared" si="31"/>
        <v>197205.01665882941</v>
      </c>
      <c r="G139" s="159">
        <f t="shared" si="32"/>
        <v>297237.01046835323</v>
      </c>
      <c r="H139" s="163">
        <f t="shared" si="29"/>
        <v>236169.80055826754</v>
      </c>
      <c r="I139" s="253">
        <f t="shared" si="30"/>
        <v>236169.80055826754</v>
      </c>
      <c r="J139" s="158">
        <f t="shared" si="33"/>
        <v>0</v>
      </c>
      <c r="K139" s="158"/>
      <c r="L139" s="334"/>
      <c r="M139" s="158">
        <f t="shared" si="34"/>
        <v>0</v>
      </c>
      <c r="N139" s="334"/>
      <c r="O139" s="158">
        <f t="shared" si="35"/>
        <v>0</v>
      </c>
      <c r="P139" s="158">
        <f t="shared" si="36"/>
        <v>0</v>
      </c>
      <c r="Q139" s="1"/>
    </row>
    <row r="140" spans="2:17">
      <c r="B140" s="9" t="str">
        <f t="shared" si="24"/>
        <v/>
      </c>
      <c r="C140" s="153">
        <f>IF(D93="","-",+C139+1)</f>
        <v>2050</v>
      </c>
      <c r="D140" s="154">
        <f>IF(F139+SUM(E$99:E139)=D$92,F139,D$92-SUM(E$99:E139))</f>
        <v>197205.01665882941</v>
      </c>
      <c r="E140" s="160">
        <f>IF(+J96&lt;F139,J96,D140)</f>
        <v>197205.01665882941</v>
      </c>
      <c r="F140" s="159">
        <f t="shared" si="31"/>
        <v>0</v>
      </c>
      <c r="G140" s="159">
        <f t="shared" si="32"/>
        <v>98602.508329414704</v>
      </c>
      <c r="H140" s="163">
        <f t="shared" si="29"/>
        <v>209182.40707690039</v>
      </c>
      <c r="I140" s="253">
        <f t="shared" si="30"/>
        <v>209182.40707690039</v>
      </c>
      <c r="J140" s="158">
        <f t="shared" si="33"/>
        <v>0</v>
      </c>
      <c r="K140" s="158"/>
      <c r="L140" s="334"/>
      <c r="M140" s="158">
        <f t="shared" si="34"/>
        <v>0</v>
      </c>
      <c r="N140" s="334"/>
      <c r="O140" s="158">
        <f t="shared" si="35"/>
        <v>0</v>
      </c>
      <c r="P140" s="158">
        <f t="shared" si="36"/>
        <v>0</v>
      </c>
      <c r="Q140" s="1"/>
    </row>
    <row r="141" spans="2:17">
      <c r="B141" s="9" t="str">
        <f t="shared" si="24"/>
        <v/>
      </c>
      <c r="C141" s="153">
        <f>IF(D93="","-",+C140+1)</f>
        <v>2051</v>
      </c>
      <c r="D141" s="154">
        <f>IF(F140+SUM(E$99:E140)=D$92,F140,D$92-SUM(E$99:E140))</f>
        <v>0</v>
      </c>
      <c r="E141" s="160">
        <f>IF(+J96&lt;F140,J96,D141)</f>
        <v>0</v>
      </c>
      <c r="F141" s="159">
        <f t="shared" si="31"/>
        <v>0</v>
      </c>
      <c r="G141" s="159">
        <f t="shared" si="32"/>
        <v>0</v>
      </c>
      <c r="H141" s="163">
        <f t="shared" si="29"/>
        <v>0</v>
      </c>
      <c r="I141" s="253">
        <f t="shared" si="30"/>
        <v>0</v>
      </c>
      <c r="J141" s="158">
        <f t="shared" si="33"/>
        <v>0</v>
      </c>
      <c r="K141" s="158"/>
      <c r="L141" s="334"/>
      <c r="M141" s="158">
        <f t="shared" si="34"/>
        <v>0</v>
      </c>
      <c r="N141" s="334"/>
      <c r="O141" s="158">
        <f t="shared" si="35"/>
        <v>0</v>
      </c>
      <c r="P141" s="158">
        <f t="shared" si="36"/>
        <v>0</v>
      </c>
      <c r="Q141" s="1"/>
    </row>
    <row r="142" spans="2:17">
      <c r="B142" s="9" t="str">
        <f t="shared" si="24"/>
        <v/>
      </c>
      <c r="C142" s="153">
        <f>IF(D93="","-",+C141+1)</f>
        <v>2052</v>
      </c>
      <c r="D142" s="154">
        <f>IF(F141+SUM(E$99:E141)=D$92,F141,D$92-SUM(E$99:E141))</f>
        <v>0</v>
      </c>
      <c r="E142" s="160">
        <f>IF(+J96&lt;F141,J96,D142)</f>
        <v>0</v>
      </c>
      <c r="F142" s="159">
        <f t="shared" si="31"/>
        <v>0</v>
      </c>
      <c r="G142" s="159">
        <f t="shared" si="32"/>
        <v>0</v>
      </c>
      <c r="H142" s="163">
        <f t="shared" si="29"/>
        <v>0</v>
      </c>
      <c r="I142" s="253">
        <f t="shared" si="30"/>
        <v>0</v>
      </c>
      <c r="J142" s="158">
        <f t="shared" si="33"/>
        <v>0</v>
      </c>
      <c r="K142" s="158"/>
      <c r="L142" s="334"/>
      <c r="M142" s="158">
        <f t="shared" si="34"/>
        <v>0</v>
      </c>
      <c r="N142" s="334"/>
      <c r="O142" s="158">
        <f t="shared" si="35"/>
        <v>0</v>
      </c>
      <c r="P142" s="158">
        <f t="shared" si="36"/>
        <v>0</v>
      </c>
      <c r="Q142" s="1"/>
    </row>
    <row r="143" spans="2:17">
      <c r="B143" s="9" t="str">
        <f t="shared" si="24"/>
        <v/>
      </c>
      <c r="C143" s="153">
        <f>IF(D93="","-",+C142+1)</f>
        <v>2053</v>
      </c>
      <c r="D143" s="154">
        <f>IF(F142+SUM(E$99:E142)=D$92,F142,D$92-SUM(E$99:E142))</f>
        <v>0</v>
      </c>
      <c r="E143" s="160">
        <f>IF(+J96&lt;F142,J96,D143)</f>
        <v>0</v>
      </c>
      <c r="F143" s="159">
        <f t="shared" si="31"/>
        <v>0</v>
      </c>
      <c r="G143" s="159">
        <f t="shared" si="32"/>
        <v>0</v>
      </c>
      <c r="H143" s="163">
        <f t="shared" si="29"/>
        <v>0</v>
      </c>
      <c r="I143" s="253">
        <f t="shared" si="30"/>
        <v>0</v>
      </c>
      <c r="J143" s="158">
        <f t="shared" si="33"/>
        <v>0</v>
      </c>
      <c r="K143" s="158"/>
      <c r="L143" s="334"/>
      <c r="M143" s="158">
        <f t="shared" si="34"/>
        <v>0</v>
      </c>
      <c r="N143" s="334"/>
      <c r="O143" s="158">
        <f t="shared" si="35"/>
        <v>0</v>
      </c>
      <c r="P143" s="158">
        <f t="shared" si="36"/>
        <v>0</v>
      </c>
      <c r="Q143" s="1"/>
    </row>
    <row r="144" spans="2:17">
      <c r="B144" s="9" t="str">
        <f t="shared" si="24"/>
        <v/>
      </c>
      <c r="C144" s="153">
        <f>IF(D93="","-",+C143+1)</f>
        <v>2054</v>
      </c>
      <c r="D144" s="154">
        <f>IF(F143+SUM(E$99:E143)=D$92,F143,D$92-SUM(E$99:E143))</f>
        <v>0</v>
      </c>
      <c r="E144" s="160">
        <f>IF(+J96&lt;F143,J96,D144)</f>
        <v>0</v>
      </c>
      <c r="F144" s="159">
        <f t="shared" si="31"/>
        <v>0</v>
      </c>
      <c r="G144" s="159">
        <f t="shared" si="32"/>
        <v>0</v>
      </c>
      <c r="H144" s="163">
        <f t="shared" si="29"/>
        <v>0</v>
      </c>
      <c r="I144" s="253">
        <f t="shared" si="30"/>
        <v>0</v>
      </c>
      <c r="J144" s="158">
        <f t="shared" si="33"/>
        <v>0</v>
      </c>
      <c r="K144" s="158"/>
      <c r="L144" s="334"/>
      <c r="M144" s="158">
        <f t="shared" si="34"/>
        <v>0</v>
      </c>
      <c r="N144" s="334"/>
      <c r="O144" s="158">
        <f t="shared" si="35"/>
        <v>0</v>
      </c>
      <c r="P144" s="158">
        <f t="shared" si="36"/>
        <v>0</v>
      </c>
      <c r="Q144" s="1"/>
    </row>
    <row r="145" spans="2:17">
      <c r="B145" s="9" t="str">
        <f t="shared" si="24"/>
        <v/>
      </c>
      <c r="C145" s="153">
        <f>IF(D93="","-",+C144+1)</f>
        <v>2055</v>
      </c>
      <c r="D145" s="154">
        <f>IF(F144+SUM(E$99:E144)=D$92,F144,D$92-SUM(E$99:E144))</f>
        <v>0</v>
      </c>
      <c r="E145" s="160">
        <f>IF(+J96&lt;F144,J96,D145)</f>
        <v>0</v>
      </c>
      <c r="F145" s="159">
        <f t="shared" si="31"/>
        <v>0</v>
      </c>
      <c r="G145" s="159">
        <f t="shared" si="32"/>
        <v>0</v>
      </c>
      <c r="H145" s="163">
        <f t="shared" si="29"/>
        <v>0</v>
      </c>
      <c r="I145" s="253">
        <f t="shared" si="30"/>
        <v>0</v>
      </c>
      <c r="J145" s="158">
        <f t="shared" si="33"/>
        <v>0</v>
      </c>
      <c r="K145" s="158"/>
      <c r="L145" s="334"/>
      <c r="M145" s="158">
        <f t="shared" si="34"/>
        <v>0</v>
      </c>
      <c r="N145" s="334"/>
      <c r="O145" s="158">
        <f t="shared" si="35"/>
        <v>0</v>
      </c>
      <c r="P145" s="158">
        <f t="shared" si="36"/>
        <v>0</v>
      </c>
      <c r="Q145" s="1"/>
    </row>
    <row r="146" spans="2:17">
      <c r="B146" s="9" t="str">
        <f t="shared" si="24"/>
        <v/>
      </c>
      <c r="C146" s="153">
        <f>IF(D93="","-",+C145+1)</f>
        <v>2056</v>
      </c>
      <c r="D146" s="154">
        <f>IF(F145+SUM(E$99:E145)=D$92,F145,D$92-SUM(E$99:E145))</f>
        <v>0</v>
      </c>
      <c r="E146" s="160">
        <f>IF(+J96&lt;F145,J96,D146)</f>
        <v>0</v>
      </c>
      <c r="F146" s="159">
        <f t="shared" si="31"/>
        <v>0</v>
      </c>
      <c r="G146" s="159">
        <f t="shared" si="32"/>
        <v>0</v>
      </c>
      <c r="H146" s="163">
        <f t="shared" si="29"/>
        <v>0</v>
      </c>
      <c r="I146" s="253">
        <f t="shared" si="30"/>
        <v>0</v>
      </c>
      <c r="J146" s="158">
        <f t="shared" si="33"/>
        <v>0</v>
      </c>
      <c r="K146" s="158"/>
      <c r="L146" s="334"/>
      <c r="M146" s="158">
        <f t="shared" si="34"/>
        <v>0</v>
      </c>
      <c r="N146" s="334"/>
      <c r="O146" s="158">
        <f t="shared" si="35"/>
        <v>0</v>
      </c>
      <c r="P146" s="158">
        <f t="shared" si="36"/>
        <v>0</v>
      </c>
      <c r="Q146" s="1"/>
    </row>
    <row r="147" spans="2:17">
      <c r="B147" s="9" t="str">
        <f t="shared" si="24"/>
        <v/>
      </c>
      <c r="C147" s="153">
        <f>IF(D93="","-",+C146+1)</f>
        <v>2057</v>
      </c>
      <c r="D147" s="154">
        <f>IF(F146+SUM(E$99:E146)=D$92,F146,D$92-SUM(E$99:E146))</f>
        <v>0</v>
      </c>
      <c r="E147" s="160">
        <f>IF(+J96&lt;F146,J96,D147)</f>
        <v>0</v>
      </c>
      <c r="F147" s="159">
        <f t="shared" si="31"/>
        <v>0</v>
      </c>
      <c r="G147" s="159">
        <f t="shared" si="32"/>
        <v>0</v>
      </c>
      <c r="H147" s="163">
        <f t="shared" si="29"/>
        <v>0</v>
      </c>
      <c r="I147" s="253">
        <f t="shared" si="30"/>
        <v>0</v>
      </c>
      <c r="J147" s="158">
        <f t="shared" si="33"/>
        <v>0</v>
      </c>
      <c r="K147" s="158"/>
      <c r="L147" s="334"/>
      <c r="M147" s="158">
        <f t="shared" si="34"/>
        <v>0</v>
      </c>
      <c r="N147" s="334"/>
      <c r="O147" s="158">
        <f t="shared" si="35"/>
        <v>0</v>
      </c>
      <c r="P147" s="158">
        <f t="shared" si="36"/>
        <v>0</v>
      </c>
      <c r="Q147" s="1"/>
    </row>
    <row r="148" spans="2:17">
      <c r="B148" s="9" t="str">
        <f t="shared" si="24"/>
        <v/>
      </c>
      <c r="C148" s="153">
        <f>IF(D93="","-",+C147+1)</f>
        <v>2058</v>
      </c>
      <c r="D148" s="154">
        <f>IF(F147+SUM(E$99:E147)=D$92,F147,D$92-SUM(E$99:E147))</f>
        <v>0</v>
      </c>
      <c r="E148" s="160">
        <f>IF(+J96&lt;F147,J96,D148)</f>
        <v>0</v>
      </c>
      <c r="F148" s="159">
        <f t="shared" si="31"/>
        <v>0</v>
      </c>
      <c r="G148" s="159">
        <f t="shared" si="32"/>
        <v>0</v>
      </c>
      <c r="H148" s="163">
        <f t="shared" si="29"/>
        <v>0</v>
      </c>
      <c r="I148" s="253">
        <f t="shared" si="30"/>
        <v>0</v>
      </c>
      <c r="J148" s="158">
        <f t="shared" si="33"/>
        <v>0</v>
      </c>
      <c r="K148" s="158"/>
      <c r="L148" s="334"/>
      <c r="M148" s="158">
        <f t="shared" si="34"/>
        <v>0</v>
      </c>
      <c r="N148" s="334"/>
      <c r="O148" s="158">
        <f t="shared" si="35"/>
        <v>0</v>
      </c>
      <c r="P148" s="158">
        <f t="shared" si="36"/>
        <v>0</v>
      </c>
      <c r="Q148" s="1"/>
    </row>
    <row r="149" spans="2:17">
      <c r="B149" s="9" t="str">
        <f t="shared" si="24"/>
        <v/>
      </c>
      <c r="C149" s="153">
        <f>IF(D93="","-",+C148+1)</f>
        <v>2059</v>
      </c>
      <c r="D149" s="154">
        <f>IF(F148+SUM(E$99:E148)=D$92,F148,D$92-SUM(E$99:E148))</f>
        <v>0</v>
      </c>
      <c r="E149" s="160">
        <f>IF(+J96&lt;F148,J96,D149)</f>
        <v>0</v>
      </c>
      <c r="F149" s="159">
        <f t="shared" si="31"/>
        <v>0</v>
      </c>
      <c r="G149" s="159">
        <f t="shared" si="32"/>
        <v>0</v>
      </c>
      <c r="H149" s="163">
        <f t="shared" si="29"/>
        <v>0</v>
      </c>
      <c r="I149" s="253">
        <f t="shared" si="30"/>
        <v>0</v>
      </c>
      <c r="J149" s="158">
        <f t="shared" si="33"/>
        <v>0</v>
      </c>
      <c r="K149" s="158"/>
      <c r="L149" s="334"/>
      <c r="M149" s="158">
        <f t="shared" si="34"/>
        <v>0</v>
      </c>
      <c r="N149" s="334"/>
      <c r="O149" s="158">
        <f t="shared" si="35"/>
        <v>0</v>
      </c>
      <c r="P149" s="158">
        <f t="shared" si="36"/>
        <v>0</v>
      </c>
      <c r="Q149" s="1"/>
    </row>
    <row r="150" spans="2:17">
      <c r="B150" s="9" t="str">
        <f t="shared" si="24"/>
        <v/>
      </c>
      <c r="C150" s="153">
        <f>IF(D93="","-",+C149+1)</f>
        <v>2060</v>
      </c>
      <c r="D150" s="154">
        <f>IF(F149+SUM(E$99:E149)=D$92,F149,D$92-SUM(E$99:E149))</f>
        <v>0</v>
      </c>
      <c r="E150" s="160">
        <f>IF(+J96&lt;F149,J96,D150)</f>
        <v>0</v>
      </c>
      <c r="F150" s="159">
        <f t="shared" si="31"/>
        <v>0</v>
      </c>
      <c r="G150" s="159">
        <f t="shared" si="32"/>
        <v>0</v>
      </c>
      <c r="H150" s="163">
        <f t="shared" si="29"/>
        <v>0</v>
      </c>
      <c r="I150" s="253">
        <f t="shared" si="30"/>
        <v>0</v>
      </c>
      <c r="J150" s="158">
        <f t="shared" si="33"/>
        <v>0</v>
      </c>
      <c r="K150" s="158"/>
      <c r="L150" s="334"/>
      <c r="M150" s="158">
        <f t="shared" si="34"/>
        <v>0</v>
      </c>
      <c r="N150" s="334"/>
      <c r="O150" s="158">
        <f t="shared" si="35"/>
        <v>0</v>
      </c>
      <c r="P150" s="158">
        <f t="shared" si="36"/>
        <v>0</v>
      </c>
      <c r="Q150" s="1"/>
    </row>
    <row r="151" spans="2:17">
      <c r="B151" s="9" t="str">
        <f t="shared" si="24"/>
        <v/>
      </c>
      <c r="C151" s="153">
        <f>IF(D93="","-",+C150+1)</f>
        <v>2061</v>
      </c>
      <c r="D151" s="154">
        <f>IF(F150+SUM(E$99:E150)=D$92,F150,D$92-SUM(E$99:E150))</f>
        <v>0</v>
      </c>
      <c r="E151" s="160">
        <f>IF(+J96&lt;F150,J96,D151)</f>
        <v>0</v>
      </c>
      <c r="F151" s="159">
        <f t="shared" si="31"/>
        <v>0</v>
      </c>
      <c r="G151" s="159">
        <f t="shared" si="32"/>
        <v>0</v>
      </c>
      <c r="H151" s="163">
        <f t="shared" si="29"/>
        <v>0</v>
      </c>
      <c r="I151" s="253">
        <f t="shared" si="30"/>
        <v>0</v>
      </c>
      <c r="J151" s="158">
        <f t="shared" si="33"/>
        <v>0</v>
      </c>
      <c r="K151" s="158"/>
      <c r="L151" s="334"/>
      <c r="M151" s="158">
        <f t="shared" si="34"/>
        <v>0</v>
      </c>
      <c r="N151" s="334"/>
      <c r="O151" s="158">
        <f t="shared" si="35"/>
        <v>0</v>
      </c>
      <c r="P151" s="158">
        <f t="shared" si="36"/>
        <v>0</v>
      </c>
      <c r="Q151" s="1"/>
    </row>
    <row r="152" spans="2:17">
      <c r="B152" s="9" t="str">
        <f t="shared" si="24"/>
        <v/>
      </c>
      <c r="C152" s="153">
        <f>IF(D93="","-",+C151+1)</f>
        <v>2062</v>
      </c>
      <c r="D152" s="154">
        <f>IF(F151+SUM(E$99:E151)=D$92,F151,D$92-SUM(E$99:E151))</f>
        <v>0</v>
      </c>
      <c r="E152" s="160">
        <f>IF(+J96&lt;F151,J96,D152)</f>
        <v>0</v>
      </c>
      <c r="F152" s="159">
        <f t="shared" si="31"/>
        <v>0</v>
      </c>
      <c r="G152" s="159">
        <f t="shared" si="32"/>
        <v>0</v>
      </c>
      <c r="H152" s="163">
        <f t="shared" si="29"/>
        <v>0</v>
      </c>
      <c r="I152" s="253">
        <f t="shared" si="30"/>
        <v>0</v>
      </c>
      <c r="J152" s="158">
        <f t="shared" si="33"/>
        <v>0</v>
      </c>
      <c r="K152" s="158"/>
      <c r="L152" s="334"/>
      <c r="M152" s="158">
        <f t="shared" si="34"/>
        <v>0</v>
      </c>
      <c r="N152" s="334"/>
      <c r="O152" s="158">
        <f t="shared" si="35"/>
        <v>0</v>
      </c>
      <c r="P152" s="158">
        <f t="shared" si="36"/>
        <v>0</v>
      </c>
      <c r="Q152" s="1"/>
    </row>
    <row r="153" spans="2:17">
      <c r="B153" s="9" t="str">
        <f t="shared" si="24"/>
        <v/>
      </c>
      <c r="C153" s="153">
        <f>IF(D93="","-",+C152+1)</f>
        <v>2063</v>
      </c>
      <c r="D153" s="154">
        <f>IF(F152+SUM(E$99:E152)=D$92,F152,D$92-SUM(E$99:E152))</f>
        <v>0</v>
      </c>
      <c r="E153" s="160">
        <f>IF(+J96&lt;F152,J96,D153)</f>
        <v>0</v>
      </c>
      <c r="F153" s="159">
        <f t="shared" si="31"/>
        <v>0</v>
      </c>
      <c r="G153" s="159">
        <f t="shared" si="32"/>
        <v>0</v>
      </c>
      <c r="H153" s="163">
        <f t="shared" si="29"/>
        <v>0</v>
      </c>
      <c r="I153" s="253">
        <f t="shared" si="30"/>
        <v>0</v>
      </c>
      <c r="J153" s="158">
        <f t="shared" si="33"/>
        <v>0</v>
      </c>
      <c r="K153" s="158"/>
      <c r="L153" s="334"/>
      <c r="M153" s="158">
        <f t="shared" si="34"/>
        <v>0</v>
      </c>
      <c r="N153" s="334"/>
      <c r="O153" s="158">
        <f t="shared" si="35"/>
        <v>0</v>
      </c>
      <c r="P153" s="158">
        <f t="shared" si="36"/>
        <v>0</v>
      </c>
      <c r="Q153" s="1"/>
    </row>
    <row r="154" spans="2:17" ht="13.5" thickBot="1">
      <c r="B154" s="9" t="str">
        <f t="shared" si="24"/>
        <v/>
      </c>
      <c r="C154" s="164">
        <f>IF(D93="","-",+C153+1)</f>
        <v>2064</v>
      </c>
      <c r="D154" s="215">
        <f>IF(F153+SUM(E$99:E153)=D$92,F153,D$92-SUM(E$99:E153))</f>
        <v>0</v>
      </c>
      <c r="E154" s="166">
        <f>IF(+J96&lt;F153,J96,D154)</f>
        <v>0</v>
      </c>
      <c r="F154" s="165">
        <f t="shared" si="31"/>
        <v>0</v>
      </c>
      <c r="G154" s="165">
        <f t="shared" si="32"/>
        <v>0</v>
      </c>
      <c r="H154" s="167">
        <f t="shared" si="29"/>
        <v>0</v>
      </c>
      <c r="I154" s="254">
        <f t="shared" si="30"/>
        <v>0</v>
      </c>
      <c r="J154" s="169">
        <f t="shared" si="33"/>
        <v>0</v>
      </c>
      <c r="K154" s="158"/>
      <c r="L154" s="335"/>
      <c r="M154" s="169">
        <f t="shared" si="34"/>
        <v>0</v>
      </c>
      <c r="N154" s="335"/>
      <c r="O154" s="169">
        <f t="shared" si="35"/>
        <v>0</v>
      </c>
      <c r="P154" s="169">
        <f t="shared" si="36"/>
        <v>0</v>
      </c>
      <c r="Q154" s="1"/>
    </row>
    <row r="155" spans="2:17">
      <c r="C155" s="154" t="s">
        <v>73</v>
      </c>
      <c r="D155" s="111"/>
      <c r="E155" s="111">
        <f>SUM(E99:E154)</f>
        <v>8402687.4800000023</v>
      </c>
      <c r="F155" s="111"/>
      <c r="G155" s="111"/>
      <c r="H155" s="111">
        <f>SUM(H99:H154)</f>
        <v>30503431.838551559</v>
      </c>
      <c r="I155" s="111">
        <f>SUM(I99:I154)</f>
        <v>30503431.838551559</v>
      </c>
      <c r="J155" s="111">
        <f>SUM(J99:J154)</f>
        <v>0</v>
      </c>
      <c r="K155" s="111"/>
      <c r="L155" s="111"/>
      <c r="M155" s="111"/>
      <c r="N155" s="111"/>
      <c r="O155" s="111"/>
      <c r="P155" s="1"/>
      <c r="Q155" s="1"/>
    </row>
    <row r="156" spans="2:17">
      <c r="D156" s="2"/>
      <c r="E156" s="1"/>
      <c r="F156" s="1"/>
      <c r="G156" s="1"/>
      <c r="H156" s="1"/>
      <c r="I156" s="3"/>
      <c r="J156" s="3"/>
      <c r="K156" s="111"/>
      <c r="L156" s="3"/>
      <c r="M156" s="3"/>
      <c r="N156" s="3"/>
      <c r="O156" s="3"/>
      <c r="P156" s="1"/>
      <c r="Q156" s="1"/>
    </row>
    <row r="157" spans="2:17">
      <c r="C157" s="216" t="s">
        <v>87</v>
      </c>
      <c r="D157" s="2"/>
      <c r="E157" s="1"/>
      <c r="F157" s="1"/>
      <c r="G157" s="1"/>
      <c r="H157" s="1"/>
      <c r="I157" s="3"/>
      <c r="J157" s="3"/>
      <c r="K157" s="111"/>
      <c r="L157" s="3"/>
      <c r="M157" s="3"/>
      <c r="N157" s="3"/>
      <c r="O157" s="3"/>
      <c r="P157" s="1"/>
      <c r="Q157" s="1"/>
    </row>
    <row r="158" spans="2:17">
      <c r="D158" s="2"/>
      <c r="E158" s="1"/>
      <c r="F158" s="1"/>
      <c r="G158" s="1"/>
      <c r="H158" s="1"/>
      <c r="I158" s="3"/>
      <c r="J158" s="3"/>
      <c r="K158" s="111"/>
      <c r="L158" s="3"/>
      <c r="M158" s="3"/>
      <c r="N158" s="3"/>
      <c r="O158" s="3"/>
      <c r="P158" s="1"/>
      <c r="Q158" s="1"/>
    </row>
    <row r="159" spans="2:17">
      <c r="C159" s="170" t="s">
        <v>92</v>
      </c>
      <c r="D159" s="154"/>
      <c r="E159" s="154"/>
      <c r="F159" s="154"/>
      <c r="G159" s="154"/>
      <c r="H159" s="111"/>
      <c r="I159" s="111"/>
      <c r="J159" s="171"/>
      <c r="K159" s="171"/>
      <c r="L159" s="171"/>
      <c r="M159" s="171"/>
      <c r="N159" s="171"/>
      <c r="O159" s="171"/>
      <c r="P159" s="1"/>
      <c r="Q159" s="1"/>
    </row>
    <row r="160" spans="2:17">
      <c r="C160" s="217" t="s">
        <v>74</v>
      </c>
      <c r="D160" s="154"/>
      <c r="E160" s="154"/>
      <c r="F160" s="154"/>
      <c r="G160" s="154"/>
      <c r="H160" s="111"/>
      <c r="I160" s="111"/>
      <c r="J160" s="171"/>
      <c r="K160" s="171"/>
      <c r="L160" s="171"/>
      <c r="M160" s="171"/>
      <c r="N160" s="171"/>
      <c r="O160" s="171"/>
      <c r="P160" s="1"/>
      <c r="Q160" s="1"/>
    </row>
    <row r="161" spans="3:17">
      <c r="C161" s="217" t="s">
        <v>75</v>
      </c>
      <c r="D161" s="154"/>
      <c r="E161" s="154"/>
      <c r="F161" s="154"/>
      <c r="G161" s="154"/>
      <c r="H161" s="111"/>
      <c r="I161" s="111"/>
      <c r="J161" s="171"/>
      <c r="K161" s="171"/>
      <c r="L161" s="171"/>
      <c r="M161" s="171"/>
      <c r="N161" s="171"/>
      <c r="O161" s="171"/>
      <c r="P161" s="1"/>
      <c r="Q161" s="1"/>
    </row>
    <row r="162" spans="3:17" ht="18">
      <c r="C162" s="217"/>
      <c r="D162" s="154"/>
      <c r="E162" s="154"/>
      <c r="F162" s="154"/>
      <c r="G162" s="154"/>
      <c r="H162" s="111"/>
      <c r="I162" s="111"/>
      <c r="J162" s="171"/>
      <c r="K162" s="171"/>
      <c r="L162" s="171"/>
      <c r="M162" s="171"/>
      <c r="N162" s="171"/>
      <c r="P162" s="237" t="s">
        <v>126</v>
      </c>
      <c r="Q162" s="1"/>
    </row>
  </sheetData>
  <phoneticPr fontId="0" type="noConversion"/>
  <conditionalFormatting sqref="C17:C72">
    <cfRule type="cellIs" dxfId="161" priority="1" stopIfTrue="1" operator="equal">
      <formula>$I$10</formula>
    </cfRule>
  </conditionalFormatting>
  <conditionalFormatting sqref="C99:C154">
    <cfRule type="cellIs" dxfId="160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6">
    <tabColor theme="9" tint="-0.249977111117893"/>
  </sheetPr>
  <dimension ref="A1:P162"/>
  <sheetViews>
    <sheetView view="pageBreakPreview" zoomScale="82" zoomScaleNormal="100" zoomScaleSheetLayoutView="82" workbookViewId="0">
      <selection activeCell="C19" sqref="C19"/>
    </sheetView>
  </sheetViews>
  <sheetFormatPr defaultRowHeight="12.75" customHeight="1"/>
  <cols>
    <col min="1" max="1" width="4.7109375" customWidth="1"/>
    <col min="2" max="2" width="6.7109375" customWidth="1"/>
    <col min="3" max="3" width="23.28515625" customWidth="1"/>
    <col min="4" max="8" width="17.7109375" customWidth="1"/>
    <col min="9" max="9" width="20.42578125" customWidth="1"/>
    <col min="10" max="10" width="16.42578125" customWidth="1"/>
    <col min="11" max="11" width="17.7109375" customWidth="1"/>
    <col min="12" max="12" width="16.140625" customWidth="1"/>
    <col min="13" max="13" width="17.7109375" customWidth="1"/>
    <col min="14" max="14" width="16.7109375" customWidth="1"/>
    <col min="15" max="15" width="16.85546875" customWidth="1"/>
    <col min="16" max="16" width="24.42578125" customWidth="1"/>
    <col min="17" max="17" width="9.140625" customWidth="1"/>
    <col min="23" max="23" width="9.140625" customWidth="1"/>
  </cols>
  <sheetData>
    <row r="1" spans="1:16" ht="20.25">
      <c r="A1" s="243" t="s">
        <v>128</v>
      </c>
      <c r="B1" s="1"/>
      <c r="C1" s="21"/>
      <c r="D1" s="2"/>
      <c r="E1" s="1"/>
      <c r="F1" s="99"/>
      <c r="G1" s="1"/>
      <c r="H1" s="3"/>
      <c r="J1" s="7"/>
      <c r="K1" s="109"/>
      <c r="L1" s="109"/>
      <c r="M1" s="109"/>
      <c r="P1" s="249" t="str">
        <f ca="1">"SWEPCO Project "&amp;RIGHT(MID(CELL("filename",$A$1),FIND("]",CELL("filename",$A$1))+1,256),2)&amp;" of "&amp;COUNT('S.001:S.xyz - blank'!$P$3)-1</f>
        <v>SWEPCO Project 47 of 73</v>
      </c>
    </row>
    <row r="2" spans="1:16" ht="18">
      <c r="B2" s="1"/>
      <c r="C2" s="1"/>
      <c r="D2" s="2"/>
      <c r="E2" s="1"/>
      <c r="F2" s="1"/>
      <c r="G2" s="1"/>
      <c r="H2" s="3"/>
      <c r="I2" s="1"/>
      <c r="J2" s="4"/>
      <c r="K2" s="1"/>
      <c r="L2" s="1"/>
      <c r="M2" s="1"/>
      <c r="N2" s="1"/>
      <c r="P2" s="244" t="s">
        <v>124</v>
      </c>
    </row>
    <row r="3" spans="1:16" ht="18.75">
      <c r="B3" s="5" t="s">
        <v>40</v>
      </c>
      <c r="C3" s="68" t="s">
        <v>41</v>
      </c>
      <c r="D3" s="2"/>
      <c r="E3" s="1"/>
      <c r="F3" s="1"/>
      <c r="G3" s="1"/>
      <c r="H3" s="3"/>
      <c r="I3" s="3"/>
      <c r="J3" s="111"/>
      <c r="K3" s="3"/>
      <c r="L3" s="3"/>
      <c r="M3" s="3"/>
      <c r="N3" s="3"/>
      <c r="O3" s="1"/>
      <c r="P3" s="240">
        <v>1</v>
      </c>
    </row>
    <row r="4" spans="1:16" ht="15.75" thickBot="1">
      <c r="C4" s="67"/>
      <c r="D4" s="2"/>
      <c r="E4" s="1"/>
      <c r="F4" s="1"/>
      <c r="G4" s="1"/>
      <c r="H4" s="3"/>
      <c r="I4" s="3"/>
      <c r="J4" s="111"/>
      <c r="K4" s="3"/>
      <c r="L4" s="3"/>
      <c r="M4" s="3"/>
      <c r="N4" s="3"/>
      <c r="O4" s="1"/>
      <c r="P4" s="1"/>
    </row>
    <row r="5" spans="1:16" ht="15">
      <c r="C5" s="112" t="s">
        <v>42</v>
      </c>
      <c r="D5" s="2"/>
      <c r="E5" s="1"/>
      <c r="F5" s="1"/>
      <c r="G5" s="113"/>
      <c r="H5" s="1" t="s">
        <v>43</v>
      </c>
      <c r="I5" s="1"/>
      <c r="J5" s="4"/>
      <c r="K5" s="268" t="s">
        <v>152</v>
      </c>
      <c r="L5" s="114"/>
      <c r="M5" s="115"/>
      <c r="N5" s="116">
        <f>VLOOKUP(I10,C17:I72,5)</f>
        <v>83084.800810450004</v>
      </c>
      <c r="P5" s="1"/>
    </row>
    <row r="6" spans="1:16" ht="15.75">
      <c r="C6" s="8"/>
      <c r="D6" s="2"/>
      <c r="E6" s="1"/>
      <c r="F6" s="1"/>
      <c r="G6" s="1"/>
      <c r="H6" s="117"/>
      <c r="I6" s="117"/>
      <c r="J6" s="118"/>
      <c r="K6" s="269" t="s">
        <v>153</v>
      </c>
      <c r="L6" s="119"/>
      <c r="M6" s="4"/>
      <c r="N6" s="120">
        <f>VLOOKUP(I10,C17:I72,6)</f>
        <v>83084.800810450004</v>
      </c>
      <c r="O6" s="1"/>
      <c r="P6" s="1"/>
    </row>
    <row r="7" spans="1:16" ht="13.5" thickBot="1">
      <c r="C7" s="121" t="s">
        <v>44</v>
      </c>
      <c r="D7" s="386" t="s">
        <v>323</v>
      </c>
      <c r="E7" s="379"/>
      <c r="F7" s="379"/>
      <c r="G7" s="379"/>
      <c r="H7" s="383"/>
      <c r="I7" s="3"/>
      <c r="J7" s="111"/>
      <c r="K7" s="122" t="s">
        <v>45</v>
      </c>
      <c r="L7" s="123"/>
      <c r="M7" s="123"/>
      <c r="N7" s="124">
        <f>+N6-N5</f>
        <v>0</v>
      </c>
      <c r="O7" s="1"/>
      <c r="P7" s="1"/>
    </row>
    <row r="8" spans="1:16" ht="13.5" thickBot="1">
      <c r="C8" s="125"/>
      <c r="D8" s="418" t="s">
        <v>344</v>
      </c>
      <c r="E8" s="126"/>
      <c r="F8" s="126"/>
      <c r="G8" s="126"/>
      <c r="H8" s="126"/>
      <c r="I8" s="126"/>
      <c r="J8" s="101"/>
      <c r="K8" s="126"/>
      <c r="L8" s="126"/>
      <c r="M8" s="126"/>
      <c r="N8" s="126"/>
      <c r="O8" s="101"/>
      <c r="P8" s="21"/>
    </row>
    <row r="9" spans="1:16" ht="13.5" thickBot="1">
      <c r="C9" s="127" t="s">
        <v>46</v>
      </c>
      <c r="D9" s="225" t="s">
        <v>237</v>
      </c>
      <c r="E9" s="401" t="s">
        <v>434</v>
      </c>
      <c r="F9" s="128"/>
      <c r="G9" s="128"/>
      <c r="H9" s="128"/>
      <c r="I9" s="129"/>
      <c r="J9" s="130"/>
      <c r="O9" s="131"/>
      <c r="P9" s="4"/>
    </row>
    <row r="10" spans="1:16">
      <c r="C10" s="132" t="s">
        <v>47</v>
      </c>
      <c r="D10" s="133">
        <v>787880</v>
      </c>
      <c r="E10" s="61" t="s">
        <v>459</v>
      </c>
      <c r="F10" s="131"/>
      <c r="G10" s="134"/>
      <c r="H10" s="134"/>
      <c r="I10" s="135">
        <f>+SWE.WS.F.BPU.ATRR.Projected!K17</f>
        <v>2019</v>
      </c>
      <c r="J10" s="130"/>
      <c r="K10" s="111" t="s">
        <v>48</v>
      </c>
      <c r="O10" s="4"/>
      <c r="P10" s="4"/>
    </row>
    <row r="11" spans="1:16">
      <c r="C11" s="136" t="s">
        <v>49</v>
      </c>
      <c r="D11" s="137">
        <v>2012</v>
      </c>
      <c r="E11" s="136" t="s">
        <v>50</v>
      </c>
      <c r="F11" s="134"/>
      <c r="G11" s="7"/>
      <c r="H11" s="7"/>
      <c r="I11" s="138">
        <f>IF(G5="",0,SWE.WS.F.BPU.ATRR.Projected!F$11)</f>
        <v>0</v>
      </c>
      <c r="J11" s="139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4"/>
      <c r="P11" s="4"/>
    </row>
    <row r="12" spans="1:16">
      <c r="C12" s="136" t="s">
        <v>51</v>
      </c>
      <c r="D12" s="133">
        <v>2</v>
      </c>
      <c r="E12" s="136" t="s">
        <v>52</v>
      </c>
      <c r="F12" s="134"/>
      <c r="G12" s="7"/>
      <c r="H12" s="7"/>
      <c r="I12" s="140">
        <f>SWE.WS.F.BPU.ATRR.Projected!$F$76</f>
        <v>9.9555672459071778E-2</v>
      </c>
      <c r="J12" s="141"/>
      <c r="K12" t="s">
        <v>53</v>
      </c>
      <c r="O12" s="4"/>
      <c r="P12" s="4"/>
    </row>
    <row r="13" spans="1:16">
      <c r="C13" s="136" t="s">
        <v>54</v>
      </c>
      <c r="D13" s="138">
        <f>+SWE.WS.F.BPU.ATRR.Projected!F$87</f>
        <v>43</v>
      </c>
      <c r="E13" s="136" t="s">
        <v>55</v>
      </c>
      <c r="F13" s="134"/>
      <c r="G13" s="7"/>
      <c r="H13" s="7"/>
      <c r="I13" s="140">
        <f>IF(G5="",I12,SWE.WS.F.BPU.ATRR.Projected!$F$75)</f>
        <v>9.9555672459071778E-2</v>
      </c>
      <c r="J13" s="141"/>
      <c r="K13" s="111" t="s">
        <v>56</v>
      </c>
      <c r="L13" s="58"/>
      <c r="M13" s="58"/>
      <c r="N13" s="58"/>
      <c r="O13" s="4"/>
      <c r="P13" s="4"/>
    </row>
    <row r="14" spans="1:16" ht="13.5" thickBot="1">
      <c r="C14" s="136" t="s">
        <v>57</v>
      </c>
      <c r="D14" s="137" t="s">
        <v>58</v>
      </c>
      <c r="E14" s="4" t="s">
        <v>59</v>
      </c>
      <c r="F14" s="134"/>
      <c r="G14" s="7"/>
      <c r="H14" s="7"/>
      <c r="I14" s="142">
        <f>IF(D10=0,0,D10/D13)</f>
        <v>18322.79069767442</v>
      </c>
      <c r="J14" s="111"/>
      <c r="K14" s="111"/>
      <c r="L14" s="111"/>
      <c r="M14" s="111"/>
      <c r="N14" s="111"/>
      <c r="O14" s="4"/>
      <c r="P14" s="4"/>
    </row>
    <row r="15" spans="1:16" ht="38.25">
      <c r="C15" s="143" t="s">
        <v>47</v>
      </c>
      <c r="D15" s="144" t="s">
        <v>60</v>
      </c>
      <c r="E15" s="144" t="s">
        <v>61</v>
      </c>
      <c r="F15" s="144" t="s">
        <v>62</v>
      </c>
      <c r="G15" s="434" t="s">
        <v>378</v>
      </c>
      <c r="H15" s="435" t="s">
        <v>379</v>
      </c>
      <c r="I15" s="143" t="s">
        <v>63</v>
      </c>
      <c r="J15" s="145"/>
      <c r="K15" s="271" t="s">
        <v>219</v>
      </c>
      <c r="L15" s="146" t="s">
        <v>64</v>
      </c>
      <c r="M15" s="271" t="s">
        <v>219</v>
      </c>
      <c r="N15" s="146" t="s">
        <v>64</v>
      </c>
      <c r="O15" s="146" t="s">
        <v>65</v>
      </c>
      <c r="P15" s="4"/>
    </row>
    <row r="16" spans="1:16" ht="13.5" thickBot="1">
      <c r="C16" s="147" t="s">
        <v>66</v>
      </c>
      <c r="D16" s="147" t="s">
        <v>67</v>
      </c>
      <c r="E16" s="147" t="s">
        <v>68</v>
      </c>
      <c r="F16" s="147" t="s">
        <v>67</v>
      </c>
      <c r="G16" s="408" t="s">
        <v>69</v>
      </c>
      <c r="H16" s="148" t="s">
        <v>70</v>
      </c>
      <c r="I16" s="149" t="s">
        <v>89</v>
      </c>
      <c r="J16" s="150" t="s">
        <v>71</v>
      </c>
      <c r="K16" s="151" t="s">
        <v>72</v>
      </c>
      <c r="L16" s="151" t="s">
        <v>72</v>
      </c>
      <c r="M16" s="151" t="s">
        <v>90</v>
      </c>
      <c r="N16" s="152" t="s">
        <v>90</v>
      </c>
      <c r="O16" s="151" t="s">
        <v>90</v>
      </c>
      <c r="P16" s="4"/>
    </row>
    <row r="17" spans="2:16">
      <c r="C17" s="153">
        <f>IF(D11= "","-",D11)</f>
        <v>2012</v>
      </c>
      <c r="D17" s="409">
        <v>787880</v>
      </c>
      <c r="E17" s="415">
        <v>15632.539682539682</v>
      </c>
      <c r="F17" s="409">
        <v>772247.46031746035</v>
      </c>
      <c r="G17" s="415">
        <v>119816.83704873582</v>
      </c>
      <c r="H17" s="416">
        <v>119816.83704873582</v>
      </c>
      <c r="I17" s="156">
        <v>0</v>
      </c>
      <c r="J17" s="156"/>
      <c r="K17" s="256">
        <f t="shared" ref="K17:K22" si="0">G17</f>
        <v>119816.83704873582</v>
      </c>
      <c r="L17" s="172">
        <f t="shared" ref="L17:L22" si="1">IF(K17&lt;&gt;0,+G17-K17,0)</f>
        <v>0</v>
      </c>
      <c r="M17" s="256">
        <f t="shared" ref="M17:M22" si="2">H17</f>
        <v>119816.83704873582</v>
      </c>
      <c r="N17" s="157">
        <f t="shared" ref="N17:N22" si="3">IF(M17&lt;&gt;0,+H17-M17,0)</f>
        <v>0</v>
      </c>
      <c r="O17" s="158">
        <f t="shared" ref="O17:O22" si="4">+N17-L17</f>
        <v>0</v>
      </c>
      <c r="P17" s="4"/>
    </row>
    <row r="18" spans="2:16">
      <c r="B18" s="9" t="str">
        <f>IF(D18=F17,"","IU")</f>
        <v/>
      </c>
      <c r="C18" s="153">
        <f>IF(D11="","-",+C17+1)</f>
        <v>2013</v>
      </c>
      <c r="D18" s="411">
        <v>772247.46031746035</v>
      </c>
      <c r="E18" s="410">
        <v>18759.047619047618</v>
      </c>
      <c r="F18" s="411">
        <v>753488.41269841278</v>
      </c>
      <c r="G18" s="410">
        <v>120412.55233667219</v>
      </c>
      <c r="H18" s="416">
        <v>120412.55233667219</v>
      </c>
      <c r="I18" s="156">
        <v>0</v>
      </c>
      <c r="J18" s="156"/>
      <c r="K18" s="258">
        <f t="shared" si="0"/>
        <v>120412.55233667219</v>
      </c>
      <c r="L18" s="257">
        <f t="shared" si="1"/>
        <v>0</v>
      </c>
      <c r="M18" s="258">
        <f t="shared" si="2"/>
        <v>120412.55233667219</v>
      </c>
      <c r="N18" s="158">
        <f t="shared" si="3"/>
        <v>0</v>
      </c>
      <c r="O18" s="158">
        <f t="shared" si="4"/>
        <v>0</v>
      </c>
      <c r="P18" s="4"/>
    </row>
    <row r="19" spans="2:16">
      <c r="B19" s="9" t="str">
        <f>IF(D19=F18,"","IU")</f>
        <v/>
      </c>
      <c r="C19" s="153">
        <f>IF(D11="","-",+C18+1)</f>
        <v>2014</v>
      </c>
      <c r="D19" s="411">
        <v>753488.41269841278</v>
      </c>
      <c r="E19" s="410">
        <v>18759.047619047618</v>
      </c>
      <c r="F19" s="411">
        <v>734729.36507936521</v>
      </c>
      <c r="G19" s="410">
        <v>117881.75968810063</v>
      </c>
      <c r="H19" s="416">
        <v>117881.75968810063</v>
      </c>
      <c r="I19" s="156">
        <v>0</v>
      </c>
      <c r="J19" s="156"/>
      <c r="K19" s="258">
        <f t="shared" si="0"/>
        <v>117881.75968810063</v>
      </c>
      <c r="L19" s="257">
        <f t="shared" si="1"/>
        <v>0</v>
      </c>
      <c r="M19" s="258">
        <f t="shared" si="2"/>
        <v>117881.75968810063</v>
      </c>
      <c r="N19" s="158">
        <f t="shared" si="3"/>
        <v>0</v>
      </c>
      <c r="O19" s="158">
        <f t="shared" si="4"/>
        <v>0</v>
      </c>
      <c r="P19" s="4"/>
    </row>
    <row r="20" spans="2:16">
      <c r="B20" s="9" t="str">
        <f t="shared" ref="B20:B72" si="5">IF(D20=F19,"","IU")</f>
        <v/>
      </c>
      <c r="C20" s="153">
        <f>IF(D11="","-",+C19+1)</f>
        <v>2015</v>
      </c>
      <c r="D20" s="411">
        <v>734729.36507936521</v>
      </c>
      <c r="E20" s="410">
        <v>18759.047619047618</v>
      </c>
      <c r="F20" s="411">
        <v>715970.31746031763</v>
      </c>
      <c r="G20" s="410">
        <v>113055.77578424601</v>
      </c>
      <c r="H20" s="416">
        <v>113055.77578424601</v>
      </c>
      <c r="I20" s="156">
        <v>0</v>
      </c>
      <c r="J20" s="156"/>
      <c r="K20" s="258">
        <f t="shared" si="0"/>
        <v>113055.77578424601</v>
      </c>
      <c r="L20" s="257">
        <f t="shared" si="1"/>
        <v>0</v>
      </c>
      <c r="M20" s="258">
        <f t="shared" si="2"/>
        <v>113055.77578424601</v>
      </c>
      <c r="N20" s="158">
        <f t="shared" si="3"/>
        <v>0</v>
      </c>
      <c r="O20" s="158">
        <f t="shared" si="4"/>
        <v>0</v>
      </c>
      <c r="P20" s="4"/>
    </row>
    <row r="21" spans="2:16">
      <c r="B21" s="9" t="str">
        <f t="shared" si="5"/>
        <v/>
      </c>
      <c r="C21" s="153">
        <f>IF(D11="","-",+C20+1)</f>
        <v>2016</v>
      </c>
      <c r="D21" s="411">
        <v>715970.31746031763</v>
      </c>
      <c r="E21" s="410">
        <v>18759.047619047618</v>
      </c>
      <c r="F21" s="411">
        <v>697211.26984127006</v>
      </c>
      <c r="G21" s="410">
        <v>109452.2721829084</v>
      </c>
      <c r="H21" s="416">
        <v>109452.2721829084</v>
      </c>
      <c r="I21" s="156">
        <f t="shared" ref="I21:I33" si="6">H21-G21</f>
        <v>0</v>
      </c>
      <c r="J21" s="156"/>
      <c r="K21" s="258">
        <f t="shared" si="0"/>
        <v>109452.2721829084</v>
      </c>
      <c r="L21" s="257">
        <f t="shared" si="1"/>
        <v>0</v>
      </c>
      <c r="M21" s="258">
        <f t="shared" si="2"/>
        <v>109452.2721829084</v>
      </c>
      <c r="N21" s="158">
        <f t="shared" si="3"/>
        <v>0</v>
      </c>
      <c r="O21" s="158">
        <f t="shared" si="4"/>
        <v>0</v>
      </c>
      <c r="P21" s="4"/>
    </row>
    <row r="22" spans="2:16">
      <c r="B22" s="9" t="str">
        <f t="shared" si="5"/>
        <v/>
      </c>
      <c r="C22" s="153">
        <f>IF(D11="","-",+C21+1)</f>
        <v>2017</v>
      </c>
      <c r="D22" s="411">
        <v>697211.26984127006</v>
      </c>
      <c r="E22" s="410">
        <v>18322.79069767442</v>
      </c>
      <c r="F22" s="411">
        <v>678888.47914359567</v>
      </c>
      <c r="G22" s="410">
        <v>103567.03290299821</v>
      </c>
      <c r="H22" s="416">
        <v>103567.03290299821</v>
      </c>
      <c r="I22" s="156">
        <v>0</v>
      </c>
      <c r="J22" s="156"/>
      <c r="K22" s="258">
        <f t="shared" si="0"/>
        <v>103567.03290299821</v>
      </c>
      <c r="L22" s="257">
        <f t="shared" si="1"/>
        <v>0</v>
      </c>
      <c r="M22" s="258">
        <f t="shared" si="2"/>
        <v>103567.03290299821</v>
      </c>
      <c r="N22" s="158">
        <f t="shared" si="3"/>
        <v>0</v>
      </c>
      <c r="O22" s="158">
        <f t="shared" si="4"/>
        <v>0</v>
      </c>
      <c r="P22" s="4"/>
    </row>
    <row r="23" spans="2:16">
      <c r="B23" s="9" t="str">
        <f t="shared" si="5"/>
        <v/>
      </c>
      <c r="C23" s="153">
        <f>IF(D11="","-",+C22+1)</f>
        <v>2018</v>
      </c>
      <c r="D23" s="411">
        <v>678888.47914359567</v>
      </c>
      <c r="E23" s="410">
        <v>19216.585365853658</v>
      </c>
      <c r="F23" s="411">
        <v>659671.89377774205</v>
      </c>
      <c r="G23" s="410">
        <v>94098.470322550129</v>
      </c>
      <c r="H23" s="416">
        <v>94098.470322550129</v>
      </c>
      <c r="I23" s="156">
        <f t="shared" si="6"/>
        <v>0</v>
      </c>
      <c r="J23" s="156"/>
      <c r="K23" s="258">
        <f>G23</f>
        <v>94098.470322550129</v>
      </c>
      <c r="L23" s="257">
        <f>IF(K23&lt;&gt;0,+G23-K23,0)</f>
        <v>0</v>
      </c>
      <c r="M23" s="258">
        <f>H23</f>
        <v>94098.470322550129</v>
      </c>
      <c r="N23" s="158">
        <f>IF(M23&lt;&gt;0,+H23-M23,0)</f>
        <v>0</v>
      </c>
      <c r="O23" s="158">
        <f>+N23-L23</f>
        <v>0</v>
      </c>
      <c r="P23" s="4"/>
    </row>
    <row r="24" spans="2:16">
      <c r="B24" s="9" t="str">
        <f t="shared" si="5"/>
        <v/>
      </c>
      <c r="C24" s="153">
        <f>IF(D11="","-",+C23+1)</f>
        <v>2019</v>
      </c>
      <c r="D24" s="159">
        <f>IF(F23+SUM(E$17:E23)=D$10,F23,D$10-SUM(E$17:E23))</f>
        <v>659671.89377774205</v>
      </c>
      <c r="E24" s="160">
        <f>IF(+I14&lt;F23,I14,D24)</f>
        <v>18322.79069767442</v>
      </c>
      <c r="F24" s="159">
        <f t="shared" ref="F24:F33" si="7">+D24-E24</f>
        <v>641349.10308006767</v>
      </c>
      <c r="G24" s="161">
        <f t="shared" ref="G24:G53" si="8">+I$12*((D24+F24)/2)+E24</f>
        <v>83084.800810450004</v>
      </c>
      <c r="H24" s="142">
        <f t="shared" ref="H24:H53" si="9">+I$13*((D24+F24)/2)+E24</f>
        <v>83084.800810450004</v>
      </c>
      <c r="I24" s="156">
        <f t="shared" si="6"/>
        <v>0</v>
      </c>
      <c r="J24" s="156"/>
      <c r="K24" s="334"/>
      <c r="L24" s="158">
        <f t="shared" ref="L24:L72" si="10">IF(K24&lt;&gt;0,+G24-K24,0)</f>
        <v>0</v>
      </c>
      <c r="M24" s="334"/>
      <c r="N24" s="158">
        <f t="shared" ref="N24:N72" si="11">IF(M24&lt;&gt;0,+H24-M24,0)</f>
        <v>0</v>
      </c>
      <c r="O24" s="158">
        <f t="shared" ref="O24:O72" si="12">+N24-L24</f>
        <v>0</v>
      </c>
      <c r="P24" s="4"/>
    </row>
    <row r="25" spans="2:16">
      <c r="B25" s="9" t="str">
        <f t="shared" si="5"/>
        <v/>
      </c>
      <c r="C25" s="153">
        <f>IF(D11="","-",+C24+1)</f>
        <v>2020</v>
      </c>
      <c r="D25" s="159">
        <f>IF(F24+SUM(E$17:E24)=D$10,F24,D$10-SUM(E$17:E24))</f>
        <v>641349.10308006767</v>
      </c>
      <c r="E25" s="160">
        <f>IF(+I14&lt;F24,I14,D25)</f>
        <v>18322.79069767442</v>
      </c>
      <c r="F25" s="159">
        <f t="shared" si="7"/>
        <v>623026.31238239328</v>
      </c>
      <c r="G25" s="161">
        <f t="shared" si="8"/>
        <v>81260.663061216197</v>
      </c>
      <c r="H25" s="142">
        <f t="shared" si="9"/>
        <v>81260.663061216197</v>
      </c>
      <c r="I25" s="156">
        <f t="shared" si="6"/>
        <v>0</v>
      </c>
      <c r="J25" s="156"/>
      <c r="K25" s="334"/>
      <c r="L25" s="158">
        <f t="shared" si="10"/>
        <v>0</v>
      </c>
      <c r="M25" s="334"/>
      <c r="N25" s="158">
        <f t="shared" si="11"/>
        <v>0</v>
      </c>
      <c r="O25" s="158">
        <f t="shared" si="12"/>
        <v>0</v>
      </c>
      <c r="P25" s="4"/>
    </row>
    <row r="26" spans="2:16">
      <c r="B26" s="9" t="str">
        <f t="shared" si="5"/>
        <v/>
      </c>
      <c r="C26" s="153">
        <f>IF(D11="","-",+C25+1)</f>
        <v>2021</v>
      </c>
      <c r="D26" s="159">
        <f>IF(F25+SUM(E$17:E25)=D$10,F25,D$10-SUM(E$17:E25))</f>
        <v>623026.31238239328</v>
      </c>
      <c r="E26" s="160">
        <f>IF(+I14&lt;F25,I14,D26)</f>
        <v>18322.79069767442</v>
      </c>
      <c r="F26" s="159">
        <f t="shared" si="7"/>
        <v>604703.5216847189</v>
      </c>
      <c r="G26" s="161">
        <f t="shared" si="8"/>
        <v>79436.525311982405</v>
      </c>
      <c r="H26" s="142">
        <f t="shared" si="9"/>
        <v>79436.525311982405</v>
      </c>
      <c r="I26" s="156">
        <f t="shared" si="6"/>
        <v>0</v>
      </c>
      <c r="J26" s="156"/>
      <c r="K26" s="334"/>
      <c r="L26" s="158">
        <f t="shared" si="10"/>
        <v>0</v>
      </c>
      <c r="M26" s="334"/>
      <c r="N26" s="158">
        <f t="shared" si="11"/>
        <v>0</v>
      </c>
      <c r="O26" s="158">
        <f t="shared" si="12"/>
        <v>0</v>
      </c>
      <c r="P26" s="4"/>
    </row>
    <row r="27" spans="2:16">
      <c r="B27" s="9" t="str">
        <f t="shared" si="5"/>
        <v/>
      </c>
      <c r="C27" s="153">
        <f>IF(D11="","-",+C26+1)</f>
        <v>2022</v>
      </c>
      <c r="D27" s="159">
        <f>IF(F26+SUM(E$17:E26)=D$10,F26,D$10-SUM(E$17:E26))</f>
        <v>604703.5216847189</v>
      </c>
      <c r="E27" s="160">
        <f>IF(+I14&lt;F26,I14,D27)</f>
        <v>18322.79069767442</v>
      </c>
      <c r="F27" s="159">
        <f t="shared" si="7"/>
        <v>586380.73098704452</v>
      </c>
      <c r="G27" s="161">
        <f t="shared" si="8"/>
        <v>77612.387562748598</v>
      </c>
      <c r="H27" s="142">
        <f t="shared" si="9"/>
        <v>77612.387562748598</v>
      </c>
      <c r="I27" s="156">
        <f t="shared" si="6"/>
        <v>0</v>
      </c>
      <c r="J27" s="156"/>
      <c r="K27" s="334"/>
      <c r="L27" s="158">
        <f t="shared" si="10"/>
        <v>0</v>
      </c>
      <c r="M27" s="334"/>
      <c r="N27" s="158">
        <f t="shared" si="11"/>
        <v>0</v>
      </c>
      <c r="O27" s="158">
        <f t="shared" si="12"/>
        <v>0</v>
      </c>
      <c r="P27" s="4"/>
    </row>
    <row r="28" spans="2:16">
      <c r="B28" s="9" t="str">
        <f t="shared" si="5"/>
        <v/>
      </c>
      <c r="C28" s="153">
        <f>IF(D11="","-",+C27+1)</f>
        <v>2023</v>
      </c>
      <c r="D28" s="159">
        <f>IF(F27+SUM(E$17:E27)=D$10,F27,D$10-SUM(E$17:E27))</f>
        <v>586380.73098704452</v>
      </c>
      <c r="E28" s="160">
        <f>IF(+I14&lt;F27,I14,D28)</f>
        <v>18322.79069767442</v>
      </c>
      <c r="F28" s="159">
        <f t="shared" si="7"/>
        <v>568057.94028937013</v>
      </c>
      <c r="G28" s="161">
        <f t="shared" si="8"/>
        <v>75788.24981351482</v>
      </c>
      <c r="H28" s="142">
        <f t="shared" si="9"/>
        <v>75788.24981351482</v>
      </c>
      <c r="I28" s="156">
        <f t="shared" si="6"/>
        <v>0</v>
      </c>
      <c r="J28" s="156"/>
      <c r="K28" s="334"/>
      <c r="L28" s="158">
        <f t="shared" si="10"/>
        <v>0</v>
      </c>
      <c r="M28" s="334"/>
      <c r="N28" s="158">
        <f t="shared" si="11"/>
        <v>0</v>
      </c>
      <c r="O28" s="158">
        <f t="shared" si="12"/>
        <v>0</v>
      </c>
      <c r="P28" s="4"/>
    </row>
    <row r="29" spans="2:16">
      <c r="B29" s="9" t="str">
        <f t="shared" si="5"/>
        <v/>
      </c>
      <c r="C29" s="153">
        <f>IF(D11="","-",+C28+1)</f>
        <v>2024</v>
      </c>
      <c r="D29" s="159">
        <f>IF(F28+SUM(E$17:E28)=D$10,F28,D$10-SUM(E$17:E28))</f>
        <v>568057.94028937013</v>
      </c>
      <c r="E29" s="160">
        <f>IF(+I14&lt;F28,I14,D29)</f>
        <v>18322.79069767442</v>
      </c>
      <c r="F29" s="159">
        <f t="shared" si="7"/>
        <v>549735.14959169575</v>
      </c>
      <c r="G29" s="161">
        <f t="shared" si="8"/>
        <v>73964.112064280998</v>
      </c>
      <c r="H29" s="142">
        <f t="shared" si="9"/>
        <v>73964.112064280998</v>
      </c>
      <c r="I29" s="156">
        <f t="shared" si="6"/>
        <v>0</v>
      </c>
      <c r="J29" s="156"/>
      <c r="K29" s="334"/>
      <c r="L29" s="158">
        <f t="shared" si="10"/>
        <v>0</v>
      </c>
      <c r="M29" s="334"/>
      <c r="N29" s="158">
        <f t="shared" si="11"/>
        <v>0</v>
      </c>
      <c r="O29" s="158">
        <f t="shared" si="12"/>
        <v>0</v>
      </c>
      <c r="P29" s="4"/>
    </row>
    <row r="30" spans="2:16">
      <c r="B30" s="9" t="str">
        <f t="shared" si="5"/>
        <v/>
      </c>
      <c r="C30" s="153">
        <f>IF(D11="","-",+C29+1)</f>
        <v>2025</v>
      </c>
      <c r="D30" s="159">
        <f>IF(F29+SUM(E$17:E29)=D$10,F29,D$10-SUM(E$17:E29))</f>
        <v>549735.14959169575</v>
      </c>
      <c r="E30" s="160">
        <f>IF(+I14&lt;F29,I14,D30)</f>
        <v>18322.79069767442</v>
      </c>
      <c r="F30" s="159">
        <f t="shared" si="7"/>
        <v>531412.35889402137</v>
      </c>
      <c r="G30" s="161">
        <f t="shared" si="8"/>
        <v>72139.974315047206</v>
      </c>
      <c r="H30" s="142">
        <f t="shared" si="9"/>
        <v>72139.974315047206</v>
      </c>
      <c r="I30" s="156">
        <f t="shared" si="6"/>
        <v>0</v>
      </c>
      <c r="J30" s="156"/>
      <c r="K30" s="334"/>
      <c r="L30" s="158">
        <f t="shared" si="10"/>
        <v>0</v>
      </c>
      <c r="M30" s="334"/>
      <c r="N30" s="158">
        <f t="shared" si="11"/>
        <v>0</v>
      </c>
      <c r="O30" s="158">
        <f t="shared" si="12"/>
        <v>0</v>
      </c>
      <c r="P30" s="4"/>
    </row>
    <row r="31" spans="2:16">
      <c r="B31" s="9" t="str">
        <f t="shared" si="5"/>
        <v/>
      </c>
      <c r="C31" s="153">
        <f>IF(D11="","-",+C30+1)</f>
        <v>2026</v>
      </c>
      <c r="D31" s="159">
        <f>IF(F30+SUM(E$17:E30)=D$10,F30,D$10-SUM(E$17:E30))</f>
        <v>531412.35889402137</v>
      </c>
      <c r="E31" s="160">
        <f>IF(+I14&lt;F30,I14,D31)</f>
        <v>18322.79069767442</v>
      </c>
      <c r="F31" s="159">
        <f t="shared" si="7"/>
        <v>513089.56819634693</v>
      </c>
      <c r="G31" s="161">
        <f t="shared" si="8"/>
        <v>70315.836565813399</v>
      </c>
      <c r="H31" s="142">
        <f t="shared" si="9"/>
        <v>70315.836565813399</v>
      </c>
      <c r="I31" s="156">
        <f t="shared" si="6"/>
        <v>0</v>
      </c>
      <c r="J31" s="156"/>
      <c r="K31" s="334"/>
      <c r="L31" s="158">
        <f t="shared" si="10"/>
        <v>0</v>
      </c>
      <c r="M31" s="334"/>
      <c r="N31" s="158">
        <f t="shared" si="11"/>
        <v>0</v>
      </c>
      <c r="O31" s="158">
        <f t="shared" si="12"/>
        <v>0</v>
      </c>
      <c r="P31" s="4"/>
    </row>
    <row r="32" spans="2:16">
      <c r="B32" s="9" t="str">
        <f t="shared" si="5"/>
        <v/>
      </c>
      <c r="C32" s="153">
        <f>IF(D11="","-",+C31+1)</f>
        <v>2027</v>
      </c>
      <c r="D32" s="159">
        <f>IF(F31+SUM(E$17:E31)=D$10,F31,D$10-SUM(E$17:E31))</f>
        <v>513089.56819634693</v>
      </c>
      <c r="E32" s="160">
        <f>IF(+I14&lt;F31,I14,D32)</f>
        <v>18322.79069767442</v>
      </c>
      <c r="F32" s="159">
        <f t="shared" si="7"/>
        <v>494766.77749867248</v>
      </c>
      <c r="G32" s="161">
        <f t="shared" si="8"/>
        <v>68491.698816579607</v>
      </c>
      <c r="H32" s="142">
        <f t="shared" si="9"/>
        <v>68491.698816579607</v>
      </c>
      <c r="I32" s="156">
        <f t="shared" si="6"/>
        <v>0</v>
      </c>
      <c r="J32" s="156"/>
      <c r="K32" s="334"/>
      <c r="L32" s="158">
        <f t="shared" si="10"/>
        <v>0</v>
      </c>
      <c r="M32" s="334"/>
      <c r="N32" s="158">
        <f t="shared" si="11"/>
        <v>0</v>
      </c>
      <c r="O32" s="158">
        <f t="shared" si="12"/>
        <v>0</v>
      </c>
      <c r="P32" s="4"/>
    </row>
    <row r="33" spans="2:16">
      <c r="B33" s="9" t="str">
        <f t="shared" si="5"/>
        <v/>
      </c>
      <c r="C33" s="153">
        <f>IF(D11="","-",+C32+1)</f>
        <v>2028</v>
      </c>
      <c r="D33" s="159">
        <f>IF(F32+SUM(E$17:E32)=D$10,F32,D$10-SUM(E$17:E32))</f>
        <v>494766.77749867248</v>
      </c>
      <c r="E33" s="160">
        <f>IF(+I14&lt;F32,I14,D33)</f>
        <v>18322.79069767442</v>
      </c>
      <c r="F33" s="159">
        <f t="shared" si="7"/>
        <v>476443.98680099804</v>
      </c>
      <c r="G33" s="161">
        <f t="shared" si="8"/>
        <v>66667.5610673458</v>
      </c>
      <c r="H33" s="142">
        <f t="shared" si="9"/>
        <v>66667.5610673458</v>
      </c>
      <c r="I33" s="156">
        <f t="shared" si="6"/>
        <v>0</v>
      </c>
      <c r="J33" s="156"/>
      <c r="K33" s="334"/>
      <c r="L33" s="158">
        <f t="shared" si="10"/>
        <v>0</v>
      </c>
      <c r="M33" s="334"/>
      <c r="N33" s="158">
        <f t="shared" si="11"/>
        <v>0</v>
      </c>
      <c r="O33" s="158">
        <f t="shared" si="12"/>
        <v>0</v>
      </c>
      <c r="P33" s="4"/>
    </row>
    <row r="34" spans="2:16">
      <c r="B34" s="9" t="str">
        <f t="shared" si="5"/>
        <v/>
      </c>
      <c r="C34" s="153">
        <f>IF(D11="","-",+C33+1)</f>
        <v>2029</v>
      </c>
      <c r="D34" s="159">
        <f>IF(F33+SUM(E$17:E33)=D$10,F33,D$10-SUM(E$17:E33))</f>
        <v>476443.98680099804</v>
      </c>
      <c r="E34" s="160">
        <f>IF(+I14&lt;F33,I14,D34)</f>
        <v>18322.79069767442</v>
      </c>
      <c r="F34" s="159">
        <f t="shared" ref="F34:F72" si="13">+D34-E34</f>
        <v>458121.1961033236</v>
      </c>
      <c r="G34" s="161">
        <f t="shared" si="8"/>
        <v>64843.423318112</v>
      </c>
      <c r="H34" s="142">
        <f t="shared" si="9"/>
        <v>64843.423318112</v>
      </c>
      <c r="I34" s="156">
        <f t="shared" ref="I34:I72" si="14">H34-G34</f>
        <v>0</v>
      </c>
      <c r="J34" s="156"/>
      <c r="K34" s="334"/>
      <c r="L34" s="158">
        <f t="shared" si="10"/>
        <v>0</v>
      </c>
      <c r="M34" s="334"/>
      <c r="N34" s="158">
        <f t="shared" si="11"/>
        <v>0</v>
      </c>
      <c r="O34" s="158">
        <f t="shared" si="12"/>
        <v>0</v>
      </c>
      <c r="P34" s="4"/>
    </row>
    <row r="35" spans="2:16">
      <c r="B35" s="9" t="str">
        <f t="shared" si="5"/>
        <v/>
      </c>
      <c r="C35" s="153">
        <f>IF(D11="","-",+C34+1)</f>
        <v>2030</v>
      </c>
      <c r="D35" s="159">
        <f>IF(F34+SUM(E$17:E34)=D$10,F34,D$10-SUM(E$17:E34))</f>
        <v>458121.1961033236</v>
      </c>
      <c r="E35" s="160">
        <f>IF(+I14&lt;F34,I14,D35)</f>
        <v>18322.79069767442</v>
      </c>
      <c r="F35" s="159">
        <f t="shared" si="13"/>
        <v>439798.40540564916</v>
      </c>
      <c r="G35" s="161">
        <f t="shared" si="8"/>
        <v>63019.285568878193</v>
      </c>
      <c r="H35" s="142">
        <f t="shared" si="9"/>
        <v>63019.285568878193</v>
      </c>
      <c r="I35" s="156">
        <f t="shared" si="14"/>
        <v>0</v>
      </c>
      <c r="J35" s="156"/>
      <c r="K35" s="334"/>
      <c r="L35" s="158">
        <f t="shared" si="10"/>
        <v>0</v>
      </c>
      <c r="M35" s="334"/>
      <c r="N35" s="158">
        <f t="shared" si="11"/>
        <v>0</v>
      </c>
      <c r="O35" s="158">
        <f t="shared" si="12"/>
        <v>0</v>
      </c>
      <c r="P35" s="4"/>
    </row>
    <row r="36" spans="2:16">
      <c r="B36" s="9" t="str">
        <f t="shared" si="5"/>
        <v/>
      </c>
      <c r="C36" s="153">
        <f>IF(D11="","-",+C35+1)</f>
        <v>2031</v>
      </c>
      <c r="D36" s="159">
        <f>IF(F35+SUM(E$17:E35)=D$10,F35,D$10-SUM(E$17:E35))</f>
        <v>439798.40540564916</v>
      </c>
      <c r="E36" s="160">
        <f>IF(+I14&lt;F35,I14,D36)</f>
        <v>18322.79069767442</v>
      </c>
      <c r="F36" s="159">
        <f t="shared" si="13"/>
        <v>421475.61470797472</v>
      </c>
      <c r="G36" s="161">
        <f t="shared" si="8"/>
        <v>61195.147819644393</v>
      </c>
      <c r="H36" s="142">
        <f t="shared" si="9"/>
        <v>61195.147819644393</v>
      </c>
      <c r="I36" s="156">
        <f t="shared" si="14"/>
        <v>0</v>
      </c>
      <c r="J36" s="156"/>
      <c r="K36" s="334"/>
      <c r="L36" s="158">
        <f t="shared" si="10"/>
        <v>0</v>
      </c>
      <c r="M36" s="334"/>
      <c r="N36" s="158">
        <f t="shared" si="11"/>
        <v>0</v>
      </c>
      <c r="O36" s="158">
        <f t="shared" si="12"/>
        <v>0</v>
      </c>
      <c r="P36" s="4"/>
    </row>
    <row r="37" spans="2:16">
      <c r="B37" s="9" t="str">
        <f t="shared" si="5"/>
        <v/>
      </c>
      <c r="C37" s="153">
        <f>IF(D11="","-",+C36+1)</f>
        <v>2032</v>
      </c>
      <c r="D37" s="159">
        <f>IF(F36+SUM(E$17:E36)=D$10,F36,D$10-SUM(E$17:E36))</f>
        <v>421475.61470797472</v>
      </c>
      <c r="E37" s="160">
        <f>IF(+I14&lt;F36,I14,D37)</f>
        <v>18322.79069767442</v>
      </c>
      <c r="F37" s="159">
        <f t="shared" si="13"/>
        <v>403152.82401030028</v>
      </c>
      <c r="G37" s="161">
        <f t="shared" si="8"/>
        <v>59371.010070410579</v>
      </c>
      <c r="H37" s="142">
        <f t="shared" si="9"/>
        <v>59371.010070410579</v>
      </c>
      <c r="I37" s="156">
        <f t="shared" si="14"/>
        <v>0</v>
      </c>
      <c r="J37" s="156"/>
      <c r="K37" s="334"/>
      <c r="L37" s="158">
        <f t="shared" si="10"/>
        <v>0</v>
      </c>
      <c r="M37" s="334"/>
      <c r="N37" s="158">
        <f t="shared" si="11"/>
        <v>0</v>
      </c>
      <c r="O37" s="158">
        <f t="shared" si="12"/>
        <v>0</v>
      </c>
      <c r="P37" s="4"/>
    </row>
    <row r="38" spans="2:16">
      <c r="B38" s="9" t="str">
        <f t="shared" si="5"/>
        <v/>
      </c>
      <c r="C38" s="153">
        <f>IF(D11="","-",+C37+1)</f>
        <v>2033</v>
      </c>
      <c r="D38" s="159">
        <f>IF(F37+SUM(E$17:E37)=D$10,F37,D$10-SUM(E$17:E37))</f>
        <v>403152.82401030028</v>
      </c>
      <c r="E38" s="160">
        <f>IF(+I14&lt;F37,I14,D38)</f>
        <v>18322.79069767442</v>
      </c>
      <c r="F38" s="159">
        <f t="shared" si="13"/>
        <v>384830.03331262583</v>
      </c>
      <c r="G38" s="161">
        <f t="shared" si="8"/>
        <v>57546.872321176786</v>
      </c>
      <c r="H38" s="142">
        <f t="shared" si="9"/>
        <v>57546.872321176786</v>
      </c>
      <c r="I38" s="156">
        <f t="shared" si="14"/>
        <v>0</v>
      </c>
      <c r="J38" s="156"/>
      <c r="K38" s="334"/>
      <c r="L38" s="158">
        <f t="shared" si="10"/>
        <v>0</v>
      </c>
      <c r="M38" s="334"/>
      <c r="N38" s="158">
        <f t="shared" si="11"/>
        <v>0</v>
      </c>
      <c r="O38" s="158">
        <f t="shared" si="12"/>
        <v>0</v>
      </c>
      <c r="P38" s="4"/>
    </row>
    <row r="39" spans="2:16">
      <c r="B39" s="9" t="str">
        <f t="shared" si="5"/>
        <v/>
      </c>
      <c r="C39" s="153">
        <f>IF(D11="","-",+C38+1)</f>
        <v>2034</v>
      </c>
      <c r="D39" s="159">
        <f>IF(F38+SUM(E$17:E38)=D$10,F38,D$10-SUM(E$17:E38))</f>
        <v>384830.03331262583</v>
      </c>
      <c r="E39" s="160">
        <f>IF(+I14&lt;F38,I14,D39)</f>
        <v>18322.79069767442</v>
      </c>
      <c r="F39" s="159">
        <f t="shared" si="13"/>
        <v>366507.24261495139</v>
      </c>
      <c r="G39" s="161">
        <f t="shared" si="8"/>
        <v>55722.734571942972</v>
      </c>
      <c r="H39" s="142">
        <f t="shared" si="9"/>
        <v>55722.734571942972</v>
      </c>
      <c r="I39" s="156">
        <f t="shared" si="14"/>
        <v>0</v>
      </c>
      <c r="J39" s="156"/>
      <c r="K39" s="334"/>
      <c r="L39" s="158">
        <f t="shared" si="10"/>
        <v>0</v>
      </c>
      <c r="M39" s="334"/>
      <c r="N39" s="158">
        <f t="shared" si="11"/>
        <v>0</v>
      </c>
      <c r="O39" s="158">
        <f t="shared" si="12"/>
        <v>0</v>
      </c>
      <c r="P39" s="4"/>
    </row>
    <row r="40" spans="2:16">
      <c r="B40" s="9" t="str">
        <f t="shared" si="5"/>
        <v/>
      </c>
      <c r="C40" s="153">
        <f>IF(D11="","-",+C39+1)</f>
        <v>2035</v>
      </c>
      <c r="D40" s="159">
        <f>IF(F39+SUM(E$17:E39)=D$10,F39,D$10-SUM(E$17:E39))</f>
        <v>366507.24261495139</v>
      </c>
      <c r="E40" s="160">
        <f>IF(+I14&lt;F39,I14,D40)</f>
        <v>18322.79069767442</v>
      </c>
      <c r="F40" s="159">
        <f t="shared" si="13"/>
        <v>348184.45191727695</v>
      </c>
      <c r="G40" s="161">
        <f t="shared" si="8"/>
        <v>53898.596822709173</v>
      </c>
      <c r="H40" s="142">
        <f t="shared" si="9"/>
        <v>53898.596822709173</v>
      </c>
      <c r="I40" s="156">
        <f t="shared" si="14"/>
        <v>0</v>
      </c>
      <c r="J40" s="156"/>
      <c r="K40" s="334"/>
      <c r="L40" s="158">
        <f t="shared" si="10"/>
        <v>0</v>
      </c>
      <c r="M40" s="334"/>
      <c r="N40" s="158">
        <f t="shared" si="11"/>
        <v>0</v>
      </c>
      <c r="O40" s="158">
        <f t="shared" si="12"/>
        <v>0</v>
      </c>
      <c r="P40" s="4"/>
    </row>
    <row r="41" spans="2:16">
      <c r="B41" s="9" t="str">
        <f t="shared" si="5"/>
        <v/>
      </c>
      <c r="C41" s="153">
        <f>IF(D11="","-",+C40+1)</f>
        <v>2036</v>
      </c>
      <c r="D41" s="159">
        <f>IF(F40+SUM(E$17:E40)=D$10,F40,D$10-SUM(E$17:E40))</f>
        <v>348184.45191727695</v>
      </c>
      <c r="E41" s="160">
        <f>IF(+I14&lt;F40,I14,D41)</f>
        <v>18322.79069767442</v>
      </c>
      <c r="F41" s="159">
        <f t="shared" si="13"/>
        <v>329861.66121960251</v>
      </c>
      <c r="G41" s="161">
        <f t="shared" si="8"/>
        <v>52074.459073475366</v>
      </c>
      <c r="H41" s="142">
        <f t="shared" si="9"/>
        <v>52074.459073475366</v>
      </c>
      <c r="I41" s="156">
        <f t="shared" si="14"/>
        <v>0</v>
      </c>
      <c r="J41" s="156"/>
      <c r="K41" s="334"/>
      <c r="L41" s="158">
        <f t="shared" si="10"/>
        <v>0</v>
      </c>
      <c r="M41" s="334"/>
      <c r="N41" s="158">
        <f t="shared" si="11"/>
        <v>0</v>
      </c>
      <c r="O41" s="158">
        <f t="shared" si="12"/>
        <v>0</v>
      </c>
      <c r="P41" s="4"/>
    </row>
    <row r="42" spans="2:16">
      <c r="B42" s="9" t="str">
        <f t="shared" si="5"/>
        <v/>
      </c>
      <c r="C42" s="153">
        <f>IF(D11="","-",+C41+1)</f>
        <v>2037</v>
      </c>
      <c r="D42" s="159">
        <f>IF(F41+SUM(E$17:E41)=D$10,F41,D$10-SUM(E$17:E41))</f>
        <v>329861.66121960251</v>
      </c>
      <c r="E42" s="160">
        <f>IF(+I14&lt;F41,I14,D42)</f>
        <v>18322.79069767442</v>
      </c>
      <c r="F42" s="159">
        <f t="shared" si="13"/>
        <v>311538.87052192807</v>
      </c>
      <c r="G42" s="161">
        <f t="shared" si="8"/>
        <v>50250.321324241566</v>
      </c>
      <c r="H42" s="142">
        <f t="shared" si="9"/>
        <v>50250.321324241566</v>
      </c>
      <c r="I42" s="156">
        <f t="shared" si="14"/>
        <v>0</v>
      </c>
      <c r="J42" s="156"/>
      <c r="K42" s="334"/>
      <c r="L42" s="158">
        <f t="shared" si="10"/>
        <v>0</v>
      </c>
      <c r="M42" s="334"/>
      <c r="N42" s="158">
        <f t="shared" si="11"/>
        <v>0</v>
      </c>
      <c r="O42" s="158">
        <f t="shared" si="12"/>
        <v>0</v>
      </c>
      <c r="P42" s="4"/>
    </row>
    <row r="43" spans="2:16">
      <c r="B43" s="9" t="str">
        <f t="shared" si="5"/>
        <v/>
      </c>
      <c r="C43" s="153">
        <f>IF(D11="","-",+C42+1)</f>
        <v>2038</v>
      </c>
      <c r="D43" s="159">
        <f>IF(F42+SUM(E$17:E42)=D$10,F42,D$10-SUM(E$17:E42))</f>
        <v>311538.87052192807</v>
      </c>
      <c r="E43" s="160">
        <f>IF(+I14&lt;F42,I14,D43)</f>
        <v>18322.79069767442</v>
      </c>
      <c r="F43" s="159">
        <f t="shared" si="13"/>
        <v>293216.07982425363</v>
      </c>
      <c r="G43" s="161">
        <f t="shared" si="8"/>
        <v>48426.183575007759</v>
      </c>
      <c r="H43" s="142">
        <f t="shared" si="9"/>
        <v>48426.183575007759</v>
      </c>
      <c r="I43" s="156">
        <f t="shared" si="14"/>
        <v>0</v>
      </c>
      <c r="J43" s="156"/>
      <c r="K43" s="334"/>
      <c r="L43" s="158">
        <f t="shared" si="10"/>
        <v>0</v>
      </c>
      <c r="M43" s="334"/>
      <c r="N43" s="158">
        <f t="shared" si="11"/>
        <v>0</v>
      </c>
      <c r="O43" s="158">
        <f t="shared" si="12"/>
        <v>0</v>
      </c>
      <c r="P43" s="4"/>
    </row>
    <row r="44" spans="2:16">
      <c r="B44" s="9" t="str">
        <f t="shared" si="5"/>
        <v/>
      </c>
      <c r="C44" s="153">
        <f>IF(D11="","-",+C43+1)</f>
        <v>2039</v>
      </c>
      <c r="D44" s="159">
        <f>IF(F43+SUM(E$17:E43)=D$10,F43,D$10-SUM(E$17:E43))</f>
        <v>293216.07982425363</v>
      </c>
      <c r="E44" s="160">
        <f>IF(+I14&lt;F43,I14,D44)</f>
        <v>18322.79069767442</v>
      </c>
      <c r="F44" s="159">
        <f t="shared" si="13"/>
        <v>274893.28912657918</v>
      </c>
      <c r="G44" s="161">
        <f t="shared" si="8"/>
        <v>46602.045825773959</v>
      </c>
      <c r="H44" s="142">
        <f t="shared" si="9"/>
        <v>46602.045825773959</v>
      </c>
      <c r="I44" s="156">
        <f t="shared" si="14"/>
        <v>0</v>
      </c>
      <c r="J44" s="156"/>
      <c r="K44" s="334"/>
      <c r="L44" s="158">
        <f t="shared" si="10"/>
        <v>0</v>
      </c>
      <c r="M44" s="334"/>
      <c r="N44" s="158">
        <f t="shared" si="11"/>
        <v>0</v>
      </c>
      <c r="O44" s="158">
        <f t="shared" si="12"/>
        <v>0</v>
      </c>
      <c r="P44" s="4"/>
    </row>
    <row r="45" spans="2:16">
      <c r="B45" s="9" t="str">
        <f t="shared" si="5"/>
        <v/>
      </c>
      <c r="C45" s="153">
        <f>IF(D11="","-",+C44+1)</f>
        <v>2040</v>
      </c>
      <c r="D45" s="159">
        <f>IF(F44+SUM(E$17:E44)=D$10,F44,D$10-SUM(E$17:E44))</f>
        <v>274893.28912657918</v>
      </c>
      <c r="E45" s="160">
        <f>IF(+I14&lt;F44,I14,D45)</f>
        <v>18322.79069767442</v>
      </c>
      <c r="F45" s="159">
        <f t="shared" si="13"/>
        <v>256570.49842890477</v>
      </c>
      <c r="G45" s="161">
        <f t="shared" si="8"/>
        <v>44777.90807654016</v>
      </c>
      <c r="H45" s="142">
        <f t="shared" si="9"/>
        <v>44777.90807654016</v>
      </c>
      <c r="I45" s="156">
        <f t="shared" si="14"/>
        <v>0</v>
      </c>
      <c r="J45" s="156"/>
      <c r="K45" s="334"/>
      <c r="L45" s="158">
        <f t="shared" si="10"/>
        <v>0</v>
      </c>
      <c r="M45" s="334"/>
      <c r="N45" s="158">
        <f t="shared" si="11"/>
        <v>0</v>
      </c>
      <c r="O45" s="158">
        <f t="shared" si="12"/>
        <v>0</v>
      </c>
      <c r="P45" s="4"/>
    </row>
    <row r="46" spans="2:16">
      <c r="B46" s="9" t="str">
        <f t="shared" si="5"/>
        <v/>
      </c>
      <c r="C46" s="153">
        <f>IF(D11="","-",+C45+1)</f>
        <v>2041</v>
      </c>
      <c r="D46" s="159">
        <f>IF(F45+SUM(E$17:E45)=D$10,F45,D$10-SUM(E$17:E45))</f>
        <v>256570.49842890477</v>
      </c>
      <c r="E46" s="160">
        <f>IF(+I14&lt;F45,I14,D46)</f>
        <v>18322.79069767442</v>
      </c>
      <c r="F46" s="159">
        <f t="shared" si="13"/>
        <v>238247.70773123036</v>
      </c>
      <c r="G46" s="161">
        <f t="shared" si="8"/>
        <v>42953.770327306353</v>
      </c>
      <c r="H46" s="142">
        <f t="shared" si="9"/>
        <v>42953.770327306353</v>
      </c>
      <c r="I46" s="156">
        <f t="shared" si="14"/>
        <v>0</v>
      </c>
      <c r="J46" s="156"/>
      <c r="K46" s="334"/>
      <c r="L46" s="158">
        <f t="shared" si="10"/>
        <v>0</v>
      </c>
      <c r="M46" s="334"/>
      <c r="N46" s="158">
        <f t="shared" si="11"/>
        <v>0</v>
      </c>
      <c r="O46" s="158">
        <f t="shared" si="12"/>
        <v>0</v>
      </c>
      <c r="P46" s="4"/>
    </row>
    <row r="47" spans="2:16">
      <c r="B47" s="9" t="str">
        <f t="shared" si="5"/>
        <v/>
      </c>
      <c r="C47" s="153">
        <f>IF(D11="","-",+C46+1)</f>
        <v>2042</v>
      </c>
      <c r="D47" s="159">
        <f>IF(F46+SUM(E$17:E46)=D$10,F46,D$10-SUM(E$17:E46))</f>
        <v>238247.70773123036</v>
      </c>
      <c r="E47" s="160">
        <f>IF(+I14&lt;F46,I14,D47)</f>
        <v>18322.79069767442</v>
      </c>
      <c r="F47" s="159">
        <f t="shared" si="13"/>
        <v>219924.91703355595</v>
      </c>
      <c r="G47" s="161">
        <f t="shared" si="8"/>
        <v>41129.632578072553</v>
      </c>
      <c r="H47" s="142">
        <f t="shared" si="9"/>
        <v>41129.632578072553</v>
      </c>
      <c r="I47" s="156">
        <f t="shared" si="14"/>
        <v>0</v>
      </c>
      <c r="J47" s="156"/>
      <c r="K47" s="334"/>
      <c r="L47" s="158">
        <f t="shared" si="10"/>
        <v>0</v>
      </c>
      <c r="M47" s="334"/>
      <c r="N47" s="158">
        <f t="shared" si="11"/>
        <v>0</v>
      </c>
      <c r="O47" s="158">
        <f t="shared" si="12"/>
        <v>0</v>
      </c>
      <c r="P47" s="4"/>
    </row>
    <row r="48" spans="2:16">
      <c r="B48" s="9" t="str">
        <f t="shared" si="5"/>
        <v/>
      </c>
      <c r="C48" s="153">
        <f>IF(D11="","-",+C47+1)</f>
        <v>2043</v>
      </c>
      <c r="D48" s="159">
        <f>IF(F47+SUM(E$17:E47)=D$10,F47,D$10-SUM(E$17:E47))</f>
        <v>219924.91703355595</v>
      </c>
      <c r="E48" s="160">
        <f>IF(+I14&lt;F47,I14,D48)</f>
        <v>18322.79069767442</v>
      </c>
      <c r="F48" s="159">
        <f t="shared" si="13"/>
        <v>201602.12633588153</v>
      </c>
      <c r="G48" s="161">
        <f t="shared" si="8"/>
        <v>39305.494828838753</v>
      </c>
      <c r="H48" s="142">
        <f t="shared" si="9"/>
        <v>39305.494828838753</v>
      </c>
      <c r="I48" s="156">
        <f t="shared" si="14"/>
        <v>0</v>
      </c>
      <c r="J48" s="156"/>
      <c r="K48" s="334"/>
      <c r="L48" s="158">
        <f t="shared" si="10"/>
        <v>0</v>
      </c>
      <c r="M48" s="334"/>
      <c r="N48" s="158">
        <f t="shared" si="11"/>
        <v>0</v>
      </c>
      <c r="O48" s="158">
        <f t="shared" si="12"/>
        <v>0</v>
      </c>
      <c r="P48" s="4"/>
    </row>
    <row r="49" spans="2:16">
      <c r="B49" s="9" t="str">
        <f t="shared" si="5"/>
        <v/>
      </c>
      <c r="C49" s="153">
        <f>IF(D11="","-",+C48+1)</f>
        <v>2044</v>
      </c>
      <c r="D49" s="159">
        <f>IF(F48+SUM(E$17:E48)=D$10,F48,D$10-SUM(E$17:E48))</f>
        <v>201602.12633588153</v>
      </c>
      <c r="E49" s="160">
        <f>IF(+I14&lt;F48,I14,D49)</f>
        <v>18322.79069767442</v>
      </c>
      <c r="F49" s="159">
        <f t="shared" si="13"/>
        <v>183279.33563820712</v>
      </c>
      <c r="G49" s="161">
        <f t="shared" si="8"/>
        <v>37481.357079604946</v>
      </c>
      <c r="H49" s="142">
        <f t="shared" si="9"/>
        <v>37481.357079604946</v>
      </c>
      <c r="I49" s="156">
        <f t="shared" si="14"/>
        <v>0</v>
      </c>
      <c r="J49" s="156"/>
      <c r="K49" s="334"/>
      <c r="L49" s="158">
        <f t="shared" si="10"/>
        <v>0</v>
      </c>
      <c r="M49" s="334"/>
      <c r="N49" s="158">
        <f t="shared" si="11"/>
        <v>0</v>
      </c>
      <c r="O49" s="158">
        <f t="shared" si="12"/>
        <v>0</v>
      </c>
      <c r="P49" s="4"/>
    </row>
    <row r="50" spans="2:16">
      <c r="B50" s="9" t="str">
        <f t="shared" si="5"/>
        <v/>
      </c>
      <c r="C50" s="153">
        <f>IF(D11="","-",+C49+1)</f>
        <v>2045</v>
      </c>
      <c r="D50" s="159">
        <f>IF(F49+SUM(E$17:E49)=D$10,F49,D$10-SUM(E$17:E49))</f>
        <v>183279.33563820712</v>
      </c>
      <c r="E50" s="160">
        <f>IF(+I14&lt;F49,I14,D50)</f>
        <v>18322.79069767442</v>
      </c>
      <c r="F50" s="159">
        <f t="shared" si="13"/>
        <v>164956.54494053271</v>
      </c>
      <c r="G50" s="161">
        <f t="shared" si="8"/>
        <v>35657.219330371146</v>
      </c>
      <c r="H50" s="142">
        <f t="shared" si="9"/>
        <v>35657.219330371146</v>
      </c>
      <c r="I50" s="156">
        <f t="shared" si="14"/>
        <v>0</v>
      </c>
      <c r="J50" s="156"/>
      <c r="K50" s="334"/>
      <c r="L50" s="158">
        <f t="shared" si="10"/>
        <v>0</v>
      </c>
      <c r="M50" s="334"/>
      <c r="N50" s="158">
        <f t="shared" si="11"/>
        <v>0</v>
      </c>
      <c r="O50" s="158">
        <f t="shared" si="12"/>
        <v>0</v>
      </c>
      <c r="P50" s="4"/>
    </row>
    <row r="51" spans="2:16">
      <c r="B51" s="9" t="str">
        <f t="shared" si="5"/>
        <v/>
      </c>
      <c r="C51" s="153">
        <f>IF(D11="","-",+C50+1)</f>
        <v>2046</v>
      </c>
      <c r="D51" s="159">
        <f>IF(F50+SUM(E$17:E50)=D$10,F50,D$10-SUM(E$17:E50))</f>
        <v>164956.54494053271</v>
      </c>
      <c r="E51" s="160">
        <f>IF(+I14&lt;F50,I14,D51)</f>
        <v>18322.79069767442</v>
      </c>
      <c r="F51" s="159">
        <f t="shared" si="13"/>
        <v>146633.7542428583</v>
      </c>
      <c r="G51" s="161">
        <f t="shared" si="8"/>
        <v>33833.081581137347</v>
      </c>
      <c r="H51" s="142">
        <f t="shared" si="9"/>
        <v>33833.081581137347</v>
      </c>
      <c r="I51" s="156">
        <f t="shared" si="14"/>
        <v>0</v>
      </c>
      <c r="J51" s="156"/>
      <c r="K51" s="334"/>
      <c r="L51" s="158">
        <f t="shared" si="10"/>
        <v>0</v>
      </c>
      <c r="M51" s="334"/>
      <c r="N51" s="158">
        <f t="shared" si="11"/>
        <v>0</v>
      </c>
      <c r="O51" s="158">
        <f t="shared" si="12"/>
        <v>0</v>
      </c>
      <c r="P51" s="4"/>
    </row>
    <row r="52" spans="2:16">
      <c r="B52" s="9" t="str">
        <f t="shared" si="5"/>
        <v/>
      </c>
      <c r="C52" s="153">
        <f>IF(D11="","-",+C51+1)</f>
        <v>2047</v>
      </c>
      <c r="D52" s="159">
        <f>IF(F51+SUM(E$17:E51)=D$10,F51,D$10-SUM(E$17:E51))</f>
        <v>146633.7542428583</v>
      </c>
      <c r="E52" s="160">
        <f>IF(+I14&lt;F51,I14,D52)</f>
        <v>18322.79069767442</v>
      </c>
      <c r="F52" s="159">
        <f t="shared" si="13"/>
        <v>128310.96354518388</v>
      </c>
      <c r="G52" s="161">
        <f t="shared" si="8"/>
        <v>32008.943831903547</v>
      </c>
      <c r="H52" s="142">
        <f t="shared" si="9"/>
        <v>32008.943831903547</v>
      </c>
      <c r="I52" s="156">
        <f t="shared" si="14"/>
        <v>0</v>
      </c>
      <c r="J52" s="156"/>
      <c r="K52" s="334"/>
      <c r="L52" s="158">
        <f t="shared" si="10"/>
        <v>0</v>
      </c>
      <c r="M52" s="334"/>
      <c r="N52" s="158">
        <f t="shared" si="11"/>
        <v>0</v>
      </c>
      <c r="O52" s="158">
        <f t="shared" si="12"/>
        <v>0</v>
      </c>
      <c r="P52" s="4"/>
    </row>
    <row r="53" spans="2:16">
      <c r="B53" s="9" t="str">
        <f t="shared" si="5"/>
        <v/>
      </c>
      <c r="C53" s="153">
        <f>IF(D11="","-",+C52+1)</f>
        <v>2048</v>
      </c>
      <c r="D53" s="159">
        <f>IF(F52+SUM(E$17:E52)=D$10,F52,D$10-SUM(E$17:E52))</f>
        <v>128310.96354518388</v>
      </c>
      <c r="E53" s="160">
        <f>IF(+I14&lt;F52,I14,D53)</f>
        <v>18322.79069767442</v>
      </c>
      <c r="F53" s="159">
        <f t="shared" si="13"/>
        <v>109988.17284750947</v>
      </c>
      <c r="G53" s="161">
        <f t="shared" si="8"/>
        <v>30184.806082669747</v>
      </c>
      <c r="H53" s="142">
        <f t="shared" si="9"/>
        <v>30184.806082669747</v>
      </c>
      <c r="I53" s="156">
        <f t="shared" si="14"/>
        <v>0</v>
      </c>
      <c r="J53" s="156"/>
      <c r="K53" s="334"/>
      <c r="L53" s="158">
        <f t="shared" si="10"/>
        <v>0</v>
      </c>
      <c r="M53" s="334"/>
      <c r="N53" s="158">
        <f t="shared" si="11"/>
        <v>0</v>
      </c>
      <c r="O53" s="158">
        <f t="shared" si="12"/>
        <v>0</v>
      </c>
      <c r="P53" s="4"/>
    </row>
    <row r="54" spans="2:16">
      <c r="B54" s="9" t="str">
        <f t="shared" si="5"/>
        <v/>
      </c>
      <c r="C54" s="153">
        <f>IF(D11="","-",+C53+1)</f>
        <v>2049</v>
      </c>
      <c r="D54" s="159">
        <f>IF(F53+SUM(E$17:E53)=D$10,F53,D$10-SUM(E$17:E53))</f>
        <v>109988.17284750947</v>
      </c>
      <c r="E54" s="160">
        <f>IF(+I14&lt;F53,I14,D54)</f>
        <v>18322.79069767442</v>
      </c>
      <c r="F54" s="159">
        <f t="shared" si="13"/>
        <v>91665.382149835059</v>
      </c>
      <c r="G54" s="161">
        <f t="shared" ref="G54:G72" si="15">+I$12*((D54+F54)/2)+E54</f>
        <v>28360.668333435944</v>
      </c>
      <c r="H54" s="142">
        <f t="shared" ref="H54:H72" si="16">+I$13*((D54+F54)/2)+E54</f>
        <v>28360.668333435944</v>
      </c>
      <c r="I54" s="156">
        <f t="shared" si="14"/>
        <v>0</v>
      </c>
      <c r="J54" s="156"/>
      <c r="K54" s="334"/>
      <c r="L54" s="158">
        <f t="shared" si="10"/>
        <v>0</v>
      </c>
      <c r="M54" s="334"/>
      <c r="N54" s="158">
        <f t="shared" si="11"/>
        <v>0</v>
      </c>
      <c r="O54" s="158">
        <f t="shared" si="12"/>
        <v>0</v>
      </c>
      <c r="P54" s="4"/>
    </row>
    <row r="55" spans="2:16">
      <c r="B55" s="9" t="str">
        <f t="shared" si="5"/>
        <v/>
      </c>
      <c r="C55" s="153">
        <f>IF(D11="","-",+C54+1)</f>
        <v>2050</v>
      </c>
      <c r="D55" s="159">
        <f>IF(F54+SUM(E$17:E54)=D$10,F54,D$10-SUM(E$17:E54))</f>
        <v>91665.382149835059</v>
      </c>
      <c r="E55" s="160">
        <f>IF(+I14&lt;F54,I14,D55)</f>
        <v>18322.79069767442</v>
      </c>
      <c r="F55" s="159">
        <f t="shared" si="13"/>
        <v>73342.591452160646</v>
      </c>
      <c r="G55" s="161">
        <f t="shared" si="15"/>
        <v>26536.530584202141</v>
      </c>
      <c r="H55" s="142">
        <f t="shared" si="16"/>
        <v>26536.530584202141</v>
      </c>
      <c r="I55" s="156">
        <f t="shared" si="14"/>
        <v>0</v>
      </c>
      <c r="J55" s="156"/>
      <c r="K55" s="334"/>
      <c r="L55" s="158">
        <f t="shared" si="10"/>
        <v>0</v>
      </c>
      <c r="M55" s="334"/>
      <c r="N55" s="158">
        <f t="shared" si="11"/>
        <v>0</v>
      </c>
      <c r="O55" s="158">
        <f t="shared" si="12"/>
        <v>0</v>
      </c>
      <c r="P55" s="4"/>
    </row>
    <row r="56" spans="2:16">
      <c r="B56" s="9" t="str">
        <f t="shared" si="5"/>
        <v/>
      </c>
      <c r="C56" s="153">
        <f>IF(D11="","-",+C55+1)</f>
        <v>2051</v>
      </c>
      <c r="D56" s="159">
        <f>IF(F55+SUM(E$17:E55)=D$10,F55,D$10-SUM(E$17:E55))</f>
        <v>73342.591452160646</v>
      </c>
      <c r="E56" s="160">
        <f>IF(+I14&lt;F55,I14,D56)</f>
        <v>18322.79069767442</v>
      </c>
      <c r="F56" s="159">
        <f t="shared" si="13"/>
        <v>55019.800754486227</v>
      </c>
      <c r="G56" s="161">
        <f t="shared" si="15"/>
        <v>24712.392834968341</v>
      </c>
      <c r="H56" s="142">
        <f t="shared" si="16"/>
        <v>24712.392834968341</v>
      </c>
      <c r="I56" s="156">
        <f t="shared" si="14"/>
        <v>0</v>
      </c>
      <c r="J56" s="156"/>
      <c r="K56" s="334"/>
      <c r="L56" s="158">
        <f t="shared" si="10"/>
        <v>0</v>
      </c>
      <c r="M56" s="334"/>
      <c r="N56" s="158">
        <f t="shared" si="11"/>
        <v>0</v>
      </c>
      <c r="O56" s="158">
        <f t="shared" si="12"/>
        <v>0</v>
      </c>
      <c r="P56" s="4"/>
    </row>
    <row r="57" spans="2:16">
      <c r="B57" s="9" t="str">
        <f t="shared" si="5"/>
        <v/>
      </c>
      <c r="C57" s="153">
        <f>IF(D11="","-",+C56+1)</f>
        <v>2052</v>
      </c>
      <c r="D57" s="159">
        <f>IF(F56+SUM(E$17:E56)=D$10,F56,D$10-SUM(E$17:E56))</f>
        <v>55019.800754486227</v>
      </c>
      <c r="E57" s="160">
        <f>IF(+I14&lt;F56,I14,D57)</f>
        <v>18322.79069767442</v>
      </c>
      <c r="F57" s="159">
        <f t="shared" si="13"/>
        <v>36697.010056811807</v>
      </c>
      <c r="G57" s="161">
        <f t="shared" si="15"/>
        <v>22888.255085734541</v>
      </c>
      <c r="H57" s="142">
        <f t="shared" si="16"/>
        <v>22888.255085734541</v>
      </c>
      <c r="I57" s="156">
        <f t="shared" si="14"/>
        <v>0</v>
      </c>
      <c r="J57" s="156"/>
      <c r="K57" s="334"/>
      <c r="L57" s="158">
        <f t="shared" si="10"/>
        <v>0</v>
      </c>
      <c r="M57" s="334"/>
      <c r="N57" s="158">
        <f t="shared" si="11"/>
        <v>0</v>
      </c>
      <c r="O57" s="158">
        <f t="shared" si="12"/>
        <v>0</v>
      </c>
      <c r="P57" s="4"/>
    </row>
    <row r="58" spans="2:16">
      <c r="B58" s="9" t="str">
        <f t="shared" si="5"/>
        <v/>
      </c>
      <c r="C58" s="153">
        <f>IF(D11="","-",+C57+1)</f>
        <v>2053</v>
      </c>
      <c r="D58" s="159">
        <f>IF(F57+SUM(E$17:E57)=D$10,F57,D$10-SUM(E$17:E57))</f>
        <v>36697.010056811807</v>
      </c>
      <c r="E58" s="160">
        <f>IF(+I14&lt;F57,I14,D58)</f>
        <v>18322.79069767442</v>
      </c>
      <c r="F58" s="159">
        <f t="shared" si="13"/>
        <v>18374.219359137387</v>
      </c>
      <c r="G58" s="161">
        <f t="shared" si="15"/>
        <v>21064.117336500738</v>
      </c>
      <c r="H58" s="142">
        <f t="shared" si="16"/>
        <v>21064.117336500738</v>
      </c>
      <c r="I58" s="156">
        <f t="shared" si="14"/>
        <v>0</v>
      </c>
      <c r="J58" s="156"/>
      <c r="K58" s="334"/>
      <c r="L58" s="158">
        <f t="shared" si="10"/>
        <v>0</v>
      </c>
      <c r="M58" s="334"/>
      <c r="N58" s="158">
        <f t="shared" si="11"/>
        <v>0</v>
      </c>
      <c r="O58" s="158">
        <f t="shared" si="12"/>
        <v>0</v>
      </c>
      <c r="P58" s="4"/>
    </row>
    <row r="59" spans="2:16">
      <c r="B59" s="9" t="str">
        <f t="shared" si="5"/>
        <v/>
      </c>
      <c r="C59" s="153">
        <f>IF(D11="","-",+C58+1)</f>
        <v>2054</v>
      </c>
      <c r="D59" s="159">
        <f>IF(F58+SUM(E$17:E58)=D$10,F58,D$10-SUM(E$17:E58))</f>
        <v>18374.219359137387</v>
      </c>
      <c r="E59" s="160">
        <f>IF(+I14&lt;F58,I14,D59)</f>
        <v>18322.79069767442</v>
      </c>
      <c r="F59" s="159">
        <f t="shared" si="13"/>
        <v>51.428661462967284</v>
      </c>
      <c r="G59" s="161">
        <f t="shared" si="15"/>
        <v>19239.979587266935</v>
      </c>
      <c r="H59" s="142">
        <f t="shared" si="16"/>
        <v>19239.979587266935</v>
      </c>
      <c r="I59" s="156">
        <f t="shared" si="14"/>
        <v>0</v>
      </c>
      <c r="J59" s="156"/>
      <c r="K59" s="334"/>
      <c r="L59" s="158">
        <f t="shared" si="10"/>
        <v>0</v>
      </c>
      <c r="M59" s="334"/>
      <c r="N59" s="158">
        <f t="shared" si="11"/>
        <v>0</v>
      </c>
      <c r="O59" s="158">
        <f t="shared" si="12"/>
        <v>0</v>
      </c>
      <c r="P59" s="4"/>
    </row>
    <row r="60" spans="2:16">
      <c r="B60" s="9" t="str">
        <f t="shared" si="5"/>
        <v/>
      </c>
      <c r="C60" s="153">
        <f>IF(D11="","-",+C59+1)</f>
        <v>2055</v>
      </c>
      <c r="D60" s="159">
        <f>IF(F59+SUM(E$17:E59)=D$10,F59,D$10-SUM(E$17:E59))</f>
        <v>51.428661462967284</v>
      </c>
      <c r="E60" s="160">
        <f>IF(+I14&lt;F59,I14,D60)</f>
        <v>51.428661462967284</v>
      </c>
      <c r="F60" s="159">
        <f t="shared" si="13"/>
        <v>0</v>
      </c>
      <c r="G60" s="161">
        <f t="shared" si="15"/>
        <v>53.988668950775114</v>
      </c>
      <c r="H60" s="142">
        <f t="shared" si="16"/>
        <v>53.988668950775114</v>
      </c>
      <c r="I60" s="156">
        <f t="shared" si="14"/>
        <v>0</v>
      </c>
      <c r="J60" s="156"/>
      <c r="K60" s="334"/>
      <c r="L60" s="158">
        <f t="shared" si="10"/>
        <v>0</v>
      </c>
      <c r="M60" s="334"/>
      <c r="N60" s="158">
        <f t="shared" si="11"/>
        <v>0</v>
      </c>
      <c r="O60" s="158">
        <f t="shared" si="12"/>
        <v>0</v>
      </c>
      <c r="P60" s="4"/>
    </row>
    <row r="61" spans="2:16">
      <c r="B61" s="9" t="str">
        <f t="shared" si="5"/>
        <v/>
      </c>
      <c r="C61" s="153">
        <f>IF(D11="","-",+C60+1)</f>
        <v>2056</v>
      </c>
      <c r="D61" s="159">
        <f>IF(F60+SUM(E$17:E60)=D$10,F60,D$10-SUM(E$17:E60))</f>
        <v>0</v>
      </c>
      <c r="E61" s="160">
        <f>IF(+I14&lt;F60,I14,D61)</f>
        <v>0</v>
      </c>
      <c r="F61" s="159">
        <f t="shared" si="13"/>
        <v>0</v>
      </c>
      <c r="G61" s="163">
        <f t="shared" si="15"/>
        <v>0</v>
      </c>
      <c r="H61" s="142">
        <f t="shared" si="16"/>
        <v>0</v>
      </c>
      <c r="I61" s="156">
        <f t="shared" si="14"/>
        <v>0</v>
      </c>
      <c r="J61" s="156"/>
      <c r="K61" s="334"/>
      <c r="L61" s="158">
        <f t="shared" si="10"/>
        <v>0</v>
      </c>
      <c r="M61" s="334"/>
      <c r="N61" s="158">
        <f t="shared" si="11"/>
        <v>0</v>
      </c>
      <c r="O61" s="158">
        <f t="shared" si="12"/>
        <v>0</v>
      </c>
      <c r="P61" s="4"/>
    </row>
    <row r="62" spans="2:16">
      <c r="B62" s="9" t="str">
        <f t="shared" si="5"/>
        <v/>
      </c>
      <c r="C62" s="153">
        <f>IF(D11="","-",+C61+1)</f>
        <v>2057</v>
      </c>
      <c r="D62" s="159">
        <f>IF(F61+SUM(E$17:E61)=D$10,F61,D$10-SUM(E$17:E61))</f>
        <v>0</v>
      </c>
      <c r="E62" s="160">
        <f>IF(+I14&lt;F61,I14,D62)</f>
        <v>0</v>
      </c>
      <c r="F62" s="159">
        <f t="shared" si="13"/>
        <v>0</v>
      </c>
      <c r="G62" s="163">
        <f t="shared" si="15"/>
        <v>0</v>
      </c>
      <c r="H62" s="142">
        <f t="shared" si="16"/>
        <v>0</v>
      </c>
      <c r="I62" s="156">
        <f t="shared" si="14"/>
        <v>0</v>
      </c>
      <c r="J62" s="156"/>
      <c r="K62" s="334"/>
      <c r="L62" s="158">
        <f t="shared" si="10"/>
        <v>0</v>
      </c>
      <c r="M62" s="334"/>
      <c r="N62" s="158">
        <f t="shared" si="11"/>
        <v>0</v>
      </c>
      <c r="O62" s="158">
        <f t="shared" si="12"/>
        <v>0</v>
      </c>
      <c r="P62" s="4"/>
    </row>
    <row r="63" spans="2:16">
      <c r="B63" s="9" t="str">
        <f t="shared" si="5"/>
        <v/>
      </c>
      <c r="C63" s="153">
        <f>IF(D11="","-",+C62+1)</f>
        <v>2058</v>
      </c>
      <c r="D63" s="159">
        <f>IF(F62+SUM(E$17:E62)=D$10,F62,D$10-SUM(E$17:E62))</f>
        <v>0</v>
      </c>
      <c r="E63" s="160">
        <f>IF(+I14&lt;F62,I14,D63)</f>
        <v>0</v>
      </c>
      <c r="F63" s="159">
        <f t="shared" si="13"/>
        <v>0</v>
      </c>
      <c r="G63" s="163">
        <f t="shared" si="15"/>
        <v>0</v>
      </c>
      <c r="H63" s="142">
        <f t="shared" si="16"/>
        <v>0</v>
      </c>
      <c r="I63" s="156">
        <f t="shared" si="14"/>
        <v>0</v>
      </c>
      <c r="J63" s="156"/>
      <c r="K63" s="334"/>
      <c r="L63" s="158">
        <f t="shared" si="10"/>
        <v>0</v>
      </c>
      <c r="M63" s="334"/>
      <c r="N63" s="158">
        <f t="shared" si="11"/>
        <v>0</v>
      </c>
      <c r="O63" s="158">
        <f t="shared" si="12"/>
        <v>0</v>
      </c>
      <c r="P63" s="4"/>
    </row>
    <row r="64" spans="2:16">
      <c r="B64" s="9" t="str">
        <f t="shared" si="5"/>
        <v/>
      </c>
      <c r="C64" s="153">
        <f>IF(D11="","-",+C63+1)</f>
        <v>2059</v>
      </c>
      <c r="D64" s="159">
        <f>IF(F63+SUM(E$17:E63)=D$10,F63,D$10-SUM(E$17:E63))</f>
        <v>0</v>
      </c>
      <c r="E64" s="160">
        <f>IF(+I14&lt;F63,I14,D64)</f>
        <v>0</v>
      </c>
      <c r="F64" s="159">
        <f t="shared" si="13"/>
        <v>0</v>
      </c>
      <c r="G64" s="163">
        <f t="shared" si="15"/>
        <v>0</v>
      </c>
      <c r="H64" s="142">
        <f t="shared" si="16"/>
        <v>0</v>
      </c>
      <c r="I64" s="156">
        <f t="shared" si="14"/>
        <v>0</v>
      </c>
      <c r="J64" s="156"/>
      <c r="K64" s="334"/>
      <c r="L64" s="158">
        <f t="shared" si="10"/>
        <v>0</v>
      </c>
      <c r="M64" s="334"/>
      <c r="N64" s="158">
        <f t="shared" si="11"/>
        <v>0</v>
      </c>
      <c r="O64" s="158">
        <f t="shared" si="12"/>
        <v>0</v>
      </c>
      <c r="P64" s="4"/>
    </row>
    <row r="65" spans="2:16">
      <c r="B65" s="9" t="str">
        <f t="shared" si="5"/>
        <v/>
      </c>
      <c r="C65" s="153">
        <f>IF(D11="","-",+C64+1)</f>
        <v>2060</v>
      </c>
      <c r="D65" s="159">
        <f>IF(F64+SUM(E$17:E64)=D$10,F64,D$10-SUM(E$17:E64))</f>
        <v>0</v>
      </c>
      <c r="E65" s="160">
        <f>IF(+I14&lt;F64,I14,D65)</f>
        <v>0</v>
      </c>
      <c r="F65" s="159">
        <f t="shared" si="13"/>
        <v>0</v>
      </c>
      <c r="G65" s="163">
        <f t="shared" si="15"/>
        <v>0</v>
      </c>
      <c r="H65" s="142">
        <f t="shared" si="16"/>
        <v>0</v>
      </c>
      <c r="I65" s="156">
        <f t="shared" si="14"/>
        <v>0</v>
      </c>
      <c r="J65" s="156"/>
      <c r="K65" s="334"/>
      <c r="L65" s="158">
        <f t="shared" si="10"/>
        <v>0</v>
      </c>
      <c r="M65" s="334"/>
      <c r="N65" s="158">
        <f t="shared" si="11"/>
        <v>0</v>
      </c>
      <c r="O65" s="158">
        <f t="shared" si="12"/>
        <v>0</v>
      </c>
      <c r="P65" s="4"/>
    </row>
    <row r="66" spans="2:16">
      <c r="B66" s="9" t="str">
        <f t="shared" si="5"/>
        <v/>
      </c>
      <c r="C66" s="153">
        <f>IF(D11="","-",+C65+1)</f>
        <v>2061</v>
      </c>
      <c r="D66" s="159">
        <f>IF(F65+SUM(E$17:E65)=D$10,F65,D$10-SUM(E$17:E65))</f>
        <v>0</v>
      </c>
      <c r="E66" s="160">
        <f>IF(+I14&lt;F65,I14,D66)</f>
        <v>0</v>
      </c>
      <c r="F66" s="159">
        <f t="shared" si="13"/>
        <v>0</v>
      </c>
      <c r="G66" s="163">
        <f t="shared" si="15"/>
        <v>0</v>
      </c>
      <c r="H66" s="142">
        <f t="shared" si="16"/>
        <v>0</v>
      </c>
      <c r="I66" s="156">
        <f t="shared" si="14"/>
        <v>0</v>
      </c>
      <c r="J66" s="156"/>
      <c r="K66" s="334"/>
      <c r="L66" s="158">
        <f t="shared" si="10"/>
        <v>0</v>
      </c>
      <c r="M66" s="334"/>
      <c r="N66" s="158">
        <f t="shared" si="11"/>
        <v>0</v>
      </c>
      <c r="O66" s="158">
        <f t="shared" si="12"/>
        <v>0</v>
      </c>
      <c r="P66" s="4"/>
    </row>
    <row r="67" spans="2:16">
      <c r="B67" s="9" t="str">
        <f t="shared" si="5"/>
        <v/>
      </c>
      <c r="C67" s="153">
        <f>IF(D11="","-",+C66+1)</f>
        <v>2062</v>
      </c>
      <c r="D67" s="159">
        <f>IF(F66+SUM(E$17:E66)=D$10,F66,D$10-SUM(E$17:E66))</f>
        <v>0</v>
      </c>
      <c r="E67" s="160">
        <f>IF(+I14&lt;F66,I14,D67)</f>
        <v>0</v>
      </c>
      <c r="F67" s="159">
        <f t="shared" si="13"/>
        <v>0</v>
      </c>
      <c r="G67" s="163">
        <f t="shared" si="15"/>
        <v>0</v>
      </c>
      <c r="H67" s="142">
        <f t="shared" si="16"/>
        <v>0</v>
      </c>
      <c r="I67" s="156">
        <f t="shared" si="14"/>
        <v>0</v>
      </c>
      <c r="J67" s="156"/>
      <c r="K67" s="334"/>
      <c r="L67" s="158">
        <f t="shared" si="10"/>
        <v>0</v>
      </c>
      <c r="M67" s="334"/>
      <c r="N67" s="158">
        <f t="shared" si="11"/>
        <v>0</v>
      </c>
      <c r="O67" s="158">
        <f t="shared" si="12"/>
        <v>0</v>
      </c>
      <c r="P67" s="4"/>
    </row>
    <row r="68" spans="2:16">
      <c r="B68" s="9" t="str">
        <f t="shared" si="5"/>
        <v/>
      </c>
      <c r="C68" s="153">
        <f>IF(D11="","-",+C67+1)</f>
        <v>2063</v>
      </c>
      <c r="D68" s="159">
        <f>IF(F67+SUM(E$17:E67)=D$10,F67,D$10-SUM(E$17:E67))</f>
        <v>0</v>
      </c>
      <c r="E68" s="160">
        <f>IF(+I14&lt;F67,I14,D68)</f>
        <v>0</v>
      </c>
      <c r="F68" s="159">
        <f t="shared" si="13"/>
        <v>0</v>
      </c>
      <c r="G68" s="163">
        <f t="shared" si="15"/>
        <v>0</v>
      </c>
      <c r="H68" s="142">
        <f t="shared" si="16"/>
        <v>0</v>
      </c>
      <c r="I68" s="156">
        <f t="shared" si="14"/>
        <v>0</v>
      </c>
      <c r="J68" s="156"/>
      <c r="K68" s="334"/>
      <c r="L68" s="158">
        <f t="shared" si="10"/>
        <v>0</v>
      </c>
      <c r="M68" s="334"/>
      <c r="N68" s="158">
        <f t="shared" si="11"/>
        <v>0</v>
      </c>
      <c r="O68" s="158">
        <f t="shared" si="12"/>
        <v>0</v>
      </c>
      <c r="P68" s="4"/>
    </row>
    <row r="69" spans="2:16">
      <c r="B69" s="9" t="str">
        <f t="shared" si="5"/>
        <v/>
      </c>
      <c r="C69" s="153">
        <f>IF(D11="","-",+C68+1)</f>
        <v>2064</v>
      </c>
      <c r="D69" s="159">
        <f>IF(F68+SUM(E$17:E68)=D$10,F68,D$10-SUM(E$17:E68))</f>
        <v>0</v>
      </c>
      <c r="E69" s="160">
        <f>IF(+I14&lt;F68,I14,D69)</f>
        <v>0</v>
      </c>
      <c r="F69" s="159">
        <f t="shared" si="13"/>
        <v>0</v>
      </c>
      <c r="G69" s="163">
        <f t="shared" si="15"/>
        <v>0</v>
      </c>
      <c r="H69" s="142">
        <f t="shared" si="16"/>
        <v>0</v>
      </c>
      <c r="I69" s="156">
        <f t="shared" si="14"/>
        <v>0</v>
      </c>
      <c r="J69" s="156"/>
      <c r="K69" s="334"/>
      <c r="L69" s="158">
        <f t="shared" si="10"/>
        <v>0</v>
      </c>
      <c r="M69" s="334"/>
      <c r="N69" s="158">
        <f t="shared" si="11"/>
        <v>0</v>
      </c>
      <c r="O69" s="158">
        <f t="shared" si="12"/>
        <v>0</v>
      </c>
      <c r="P69" s="4"/>
    </row>
    <row r="70" spans="2:16">
      <c r="B70" s="9" t="str">
        <f t="shared" si="5"/>
        <v/>
      </c>
      <c r="C70" s="153">
        <f>IF(D11="","-",+C69+1)</f>
        <v>2065</v>
      </c>
      <c r="D70" s="159">
        <f>IF(F69+SUM(E$17:E69)=D$10,F69,D$10-SUM(E$17:E69))</f>
        <v>0</v>
      </c>
      <c r="E70" s="160">
        <f>IF(+I14&lt;F69,I14,D70)</f>
        <v>0</v>
      </c>
      <c r="F70" s="159">
        <f t="shared" si="13"/>
        <v>0</v>
      </c>
      <c r="G70" s="163">
        <f t="shared" si="15"/>
        <v>0</v>
      </c>
      <c r="H70" s="142">
        <f t="shared" si="16"/>
        <v>0</v>
      </c>
      <c r="I70" s="156">
        <f t="shared" si="14"/>
        <v>0</v>
      </c>
      <c r="J70" s="156"/>
      <c r="K70" s="334"/>
      <c r="L70" s="158">
        <f t="shared" si="10"/>
        <v>0</v>
      </c>
      <c r="M70" s="334"/>
      <c r="N70" s="158">
        <f t="shared" si="11"/>
        <v>0</v>
      </c>
      <c r="O70" s="158">
        <f t="shared" si="12"/>
        <v>0</v>
      </c>
      <c r="P70" s="4"/>
    </row>
    <row r="71" spans="2:16">
      <c r="B71" s="9" t="str">
        <f t="shared" si="5"/>
        <v/>
      </c>
      <c r="C71" s="153">
        <f>IF(D11="","-",+C70+1)</f>
        <v>2066</v>
      </c>
      <c r="D71" s="159">
        <f>IF(F70+SUM(E$17:E70)=D$10,F70,D$10-SUM(E$17:E70))</f>
        <v>0</v>
      </c>
      <c r="E71" s="160">
        <f>IF(+I14&lt;F70,I14,D71)</f>
        <v>0</v>
      </c>
      <c r="F71" s="159">
        <f t="shared" si="13"/>
        <v>0</v>
      </c>
      <c r="G71" s="163">
        <f t="shared" si="15"/>
        <v>0</v>
      </c>
      <c r="H71" s="142">
        <f t="shared" si="16"/>
        <v>0</v>
      </c>
      <c r="I71" s="156">
        <f t="shared" si="14"/>
        <v>0</v>
      </c>
      <c r="J71" s="156"/>
      <c r="K71" s="334"/>
      <c r="L71" s="158">
        <f t="shared" si="10"/>
        <v>0</v>
      </c>
      <c r="M71" s="334"/>
      <c r="N71" s="158">
        <f t="shared" si="11"/>
        <v>0</v>
      </c>
      <c r="O71" s="158">
        <f t="shared" si="12"/>
        <v>0</v>
      </c>
      <c r="P71" s="4"/>
    </row>
    <row r="72" spans="2:16" ht="13.5" thickBot="1">
      <c r="B72" s="9" t="str">
        <f t="shared" si="5"/>
        <v/>
      </c>
      <c r="C72" s="164">
        <f>IF(D11="","-",+C71+1)</f>
        <v>2067</v>
      </c>
      <c r="D72" s="165">
        <f>IF(F71+SUM(E$17:E71)=D$10,F71,D$10-SUM(E$17:E71))</f>
        <v>0</v>
      </c>
      <c r="E72" s="166">
        <f>IF(+I14&lt;F71,I14,D72)</f>
        <v>0</v>
      </c>
      <c r="F72" s="165">
        <f t="shared" si="13"/>
        <v>0</v>
      </c>
      <c r="G72" s="167">
        <f t="shared" si="15"/>
        <v>0</v>
      </c>
      <c r="H72" s="124">
        <f t="shared" si="16"/>
        <v>0</v>
      </c>
      <c r="I72" s="168">
        <f t="shared" si="14"/>
        <v>0</v>
      </c>
      <c r="J72" s="156"/>
      <c r="K72" s="335"/>
      <c r="L72" s="169">
        <f t="shared" si="10"/>
        <v>0</v>
      </c>
      <c r="M72" s="335"/>
      <c r="N72" s="169">
        <f t="shared" si="11"/>
        <v>0</v>
      </c>
      <c r="O72" s="169">
        <f t="shared" si="12"/>
        <v>0</v>
      </c>
      <c r="P72" s="4"/>
    </row>
    <row r="73" spans="2:16">
      <c r="C73" s="154" t="s">
        <v>73</v>
      </c>
      <c r="D73" s="111"/>
      <c r="E73" s="111">
        <f>SUM(E17:E72)</f>
        <v>787880</v>
      </c>
      <c r="F73" s="111"/>
      <c r="G73" s="111">
        <f>SUM(G17:G72)</f>
        <v>2620184.7360940673</v>
      </c>
      <c r="H73" s="111">
        <f>SUM(H17:H72)</f>
        <v>2620184.7360940673</v>
      </c>
      <c r="I73" s="111">
        <f>SUM(I17:I72)</f>
        <v>0</v>
      </c>
      <c r="J73" s="111"/>
      <c r="K73" s="111"/>
      <c r="L73" s="111"/>
      <c r="M73" s="111"/>
      <c r="N73" s="111"/>
      <c r="O73" s="4"/>
      <c r="P73" s="4"/>
    </row>
    <row r="74" spans="2:16">
      <c r="D74" s="2"/>
      <c r="E74" s="1"/>
      <c r="F74" s="1"/>
      <c r="G74" s="1"/>
      <c r="H74" s="3"/>
      <c r="I74" s="3"/>
      <c r="J74" s="111"/>
      <c r="K74" s="3"/>
      <c r="L74" s="3"/>
      <c r="M74" s="3"/>
      <c r="N74" s="3"/>
      <c r="O74" s="1"/>
      <c r="P74" s="1"/>
    </row>
    <row r="75" spans="2:16">
      <c r="C75" s="170" t="s">
        <v>91</v>
      </c>
      <c r="D75" s="2"/>
      <c r="E75" s="1"/>
      <c r="F75" s="1"/>
      <c r="G75" s="1"/>
      <c r="H75" s="3"/>
      <c r="I75" s="3"/>
      <c r="J75" s="111"/>
      <c r="K75" s="3"/>
      <c r="L75" s="3"/>
      <c r="M75" s="3"/>
      <c r="N75" s="3"/>
      <c r="O75" s="1"/>
      <c r="P75" s="1"/>
    </row>
    <row r="76" spans="2:16">
      <c r="C76" s="121" t="s">
        <v>74</v>
      </c>
      <c r="D76" s="2"/>
      <c r="E76" s="1"/>
      <c r="F76" s="1"/>
      <c r="G76" s="1"/>
      <c r="H76" s="3"/>
      <c r="I76" s="3"/>
      <c r="J76" s="111"/>
      <c r="K76" s="3"/>
      <c r="L76" s="3"/>
      <c r="M76" s="3"/>
      <c r="N76" s="3"/>
      <c r="O76" s="4"/>
      <c r="P76" s="4"/>
    </row>
    <row r="77" spans="2:16">
      <c r="C77" s="121" t="s">
        <v>75</v>
      </c>
      <c r="D77" s="154"/>
      <c r="E77" s="154"/>
      <c r="F77" s="154"/>
      <c r="G77" s="111"/>
      <c r="H77" s="111"/>
      <c r="I77" s="171"/>
      <c r="J77" s="171"/>
      <c r="K77" s="171"/>
      <c r="L77" s="171"/>
      <c r="M77" s="171"/>
      <c r="N77" s="171"/>
      <c r="O77" s="4"/>
      <c r="P77" s="4"/>
    </row>
    <row r="78" spans="2:16">
      <c r="C78" s="121"/>
      <c r="D78" s="154"/>
      <c r="E78" s="154"/>
      <c r="F78" s="154"/>
      <c r="G78" s="111"/>
      <c r="H78" s="111"/>
      <c r="I78" s="171"/>
      <c r="J78" s="171"/>
      <c r="K78" s="171"/>
      <c r="L78" s="171"/>
      <c r="M78" s="171"/>
      <c r="N78" s="171"/>
      <c r="O78" s="4"/>
      <c r="P78" s="1"/>
    </row>
    <row r="79" spans="2:16">
      <c r="B79" s="1"/>
      <c r="C79" s="21"/>
      <c r="D79" s="2"/>
      <c r="E79" s="1"/>
      <c r="F79" s="107"/>
      <c r="G79" s="1"/>
      <c r="H79" s="3"/>
      <c r="I79" s="1"/>
      <c r="J79" s="4"/>
      <c r="K79" s="1"/>
      <c r="L79" s="1"/>
      <c r="M79" s="1"/>
      <c r="N79" s="1"/>
      <c r="O79" s="1"/>
      <c r="P79" s="1"/>
    </row>
    <row r="80" spans="2:16" ht="18">
      <c r="B80" s="1"/>
      <c r="C80" s="242"/>
      <c r="D80" s="2"/>
      <c r="E80" s="1"/>
      <c r="F80" s="107"/>
      <c r="G80" s="1"/>
      <c r="H80" s="3"/>
      <c r="I80" s="1"/>
      <c r="J80" s="4"/>
      <c r="K80" s="1"/>
      <c r="L80" s="1"/>
      <c r="M80" s="1"/>
      <c r="N80" s="1"/>
      <c r="P80" s="244" t="s">
        <v>125</v>
      </c>
    </row>
    <row r="81" spans="1:16">
      <c r="B81" s="1"/>
      <c r="C81" s="21"/>
      <c r="D81" s="2"/>
      <c r="E81" s="1"/>
      <c r="F81" s="107"/>
      <c r="G81" s="1"/>
      <c r="H81" s="3"/>
      <c r="I81" s="1"/>
      <c r="J81" s="4"/>
      <c r="K81" s="1"/>
      <c r="L81" s="1"/>
      <c r="M81" s="1"/>
      <c r="N81" s="1"/>
      <c r="O81" s="1"/>
      <c r="P81" s="1"/>
    </row>
    <row r="82" spans="1:16">
      <c r="B82" s="1"/>
      <c r="C82" s="21"/>
      <c r="D82" s="2"/>
      <c r="E82" s="1"/>
      <c r="F82" s="107"/>
      <c r="G82" s="1"/>
      <c r="H82" s="3"/>
      <c r="I82" s="1"/>
      <c r="J82" s="4"/>
      <c r="K82" s="1"/>
      <c r="L82" s="1"/>
      <c r="M82" s="1"/>
      <c r="N82" s="1"/>
      <c r="O82" s="1"/>
      <c r="P82" s="1"/>
    </row>
    <row r="83" spans="1:16" ht="20.25">
      <c r="A83" s="243" t="s">
        <v>129</v>
      </c>
      <c r="B83" s="1"/>
      <c r="C83" s="21"/>
      <c r="D83" s="2"/>
      <c r="E83" s="1"/>
      <c r="F83" s="99"/>
      <c r="G83" s="99"/>
      <c r="H83" s="1"/>
      <c r="I83" s="3"/>
      <c r="K83" s="7"/>
      <c r="L83" s="109"/>
      <c r="M83" s="109"/>
      <c r="P83" s="109" t="str">
        <f ca="1">P1</f>
        <v>SWEPCO Project 47 of 73</v>
      </c>
    </row>
    <row r="84" spans="1:16" ht="18">
      <c r="B84" s="1"/>
      <c r="C84" s="1"/>
      <c r="D84" s="2"/>
      <c r="E84" s="1"/>
      <c r="F84" s="1"/>
      <c r="G84" s="1"/>
      <c r="H84" s="1"/>
      <c r="I84" s="3"/>
      <c r="J84" s="1"/>
      <c r="K84" s="4"/>
      <c r="L84" s="1"/>
      <c r="M84" s="1"/>
      <c r="P84" s="244" t="s">
        <v>123</v>
      </c>
    </row>
    <row r="85" spans="1:16" ht="18.75" thickBot="1">
      <c r="B85" s="5" t="s">
        <v>40</v>
      </c>
      <c r="C85" s="197" t="s">
        <v>78</v>
      </c>
      <c r="D85" s="2"/>
      <c r="E85" s="1"/>
      <c r="F85" s="1"/>
      <c r="G85" s="1"/>
      <c r="H85" s="1"/>
      <c r="I85" s="3"/>
      <c r="J85" s="3"/>
      <c r="K85" s="111"/>
      <c r="L85" s="3"/>
      <c r="M85" s="3"/>
      <c r="N85" s="3"/>
      <c r="O85" s="111"/>
      <c r="P85" s="1"/>
    </row>
    <row r="86" spans="1:16" ht="15.75" thickBot="1">
      <c r="C86" s="67"/>
      <c r="D86" s="2"/>
      <c r="E86" s="1"/>
      <c r="F86" s="1"/>
      <c r="G86" s="1"/>
      <c r="H86" s="1"/>
      <c r="I86" s="3"/>
      <c r="J86" s="3"/>
      <c r="K86" s="111"/>
      <c r="L86" s="265">
        <f>+J92</f>
        <v>2017</v>
      </c>
      <c r="M86" s="266" t="s">
        <v>7</v>
      </c>
      <c r="N86" s="270" t="s">
        <v>154</v>
      </c>
      <c r="O86" s="267" t="s">
        <v>9</v>
      </c>
      <c r="P86" s="1"/>
    </row>
    <row r="87" spans="1:16" ht="15">
      <c r="C87" s="235" t="s">
        <v>42</v>
      </c>
      <c r="D87" s="2"/>
      <c r="E87" s="1"/>
      <c r="F87" s="1"/>
      <c r="G87" s="1"/>
      <c r="H87" s="113"/>
      <c r="I87" s="1" t="s">
        <v>43</v>
      </c>
      <c r="J87" s="1"/>
      <c r="K87" s="261"/>
      <c r="L87" s="259" t="s">
        <v>381</v>
      </c>
      <c r="M87" s="198">
        <f>IF(J92&lt;D11,0,VLOOKUP(J92,C17:O72,9))</f>
        <v>103567.03290299821</v>
      </c>
      <c r="N87" s="198">
        <f>IF(J92&lt;D11,0,VLOOKUP(J92,C17:O72,11))</f>
        <v>103567.03290299821</v>
      </c>
      <c r="O87" s="199">
        <f>+N87-M87</f>
        <v>0</v>
      </c>
      <c r="P87" s="1"/>
    </row>
    <row r="88" spans="1:16" ht="15.75">
      <c r="C88" s="8"/>
      <c r="D88" s="2"/>
      <c r="E88" s="1"/>
      <c r="F88" s="1"/>
      <c r="G88" s="1"/>
      <c r="H88" s="1"/>
      <c r="I88" s="117"/>
      <c r="J88" s="117"/>
      <c r="K88" s="263"/>
      <c r="L88" s="264" t="s">
        <v>382</v>
      </c>
      <c r="M88" s="200">
        <f>IF(J92&lt;D11,0,VLOOKUP(J92,C99:P154,6))</f>
        <v>108973.97138946971</v>
      </c>
      <c r="N88" s="200">
        <f>IF(J92&lt;D11,0,VLOOKUP(J92,C99:P154,7))</f>
        <v>108973.97138946971</v>
      </c>
      <c r="O88" s="201">
        <f>+N88-M88</f>
        <v>0</v>
      </c>
      <c r="P88" s="1"/>
    </row>
    <row r="89" spans="1:16" ht="13.5" thickBot="1">
      <c r="C89" s="121" t="s">
        <v>79</v>
      </c>
      <c r="D89" s="246" t="str">
        <f>+D7</f>
        <v>FULTON - HOPE 115KV CKT 1</v>
      </c>
      <c r="E89" s="1"/>
      <c r="F89" s="1"/>
      <c r="G89" s="1"/>
      <c r="H89" s="1"/>
      <c r="I89" s="3"/>
      <c r="J89" s="3"/>
      <c r="K89" s="262"/>
      <c r="L89" s="260" t="s">
        <v>151</v>
      </c>
      <c r="M89" s="203">
        <f>+M88-M87</f>
        <v>5406.9384864714957</v>
      </c>
      <c r="N89" s="203">
        <f>+N88-N87</f>
        <v>5406.9384864714957</v>
      </c>
      <c r="O89" s="204">
        <f>+O88-O87</f>
        <v>0</v>
      </c>
      <c r="P89" s="1"/>
    </row>
    <row r="90" spans="1:16" ht="13.5" thickBot="1">
      <c r="C90" s="170"/>
      <c r="D90" s="421" t="str">
        <f>S.046!D90</f>
        <v xml:space="preserve">***Sch. 11 recovery commenced in the 2015 rate year.  Beg Bal = to depreciated balance as of 1/1/15. *** </v>
      </c>
      <c r="E90" s="107"/>
      <c r="F90" s="107"/>
      <c r="G90" s="107"/>
      <c r="H90" s="126"/>
      <c r="I90" s="3"/>
      <c r="J90" s="3"/>
      <c r="K90" s="111"/>
      <c r="L90" s="3"/>
      <c r="M90" s="3"/>
      <c r="N90" s="3"/>
      <c r="O90" s="111"/>
      <c r="P90" s="1"/>
    </row>
    <row r="91" spans="1:16" ht="13.5" thickBot="1">
      <c r="A91" s="103"/>
      <c r="C91" s="205" t="s">
        <v>80</v>
      </c>
      <c r="D91" s="224" t="str">
        <f>+D9</f>
        <v>TP2006077</v>
      </c>
      <c r="E91" s="206"/>
      <c r="F91" s="206"/>
      <c r="G91" s="206"/>
      <c r="H91" s="206"/>
      <c r="I91" s="206"/>
      <c r="J91" s="206"/>
      <c r="K91" s="207"/>
      <c r="P91" s="131"/>
    </row>
    <row r="92" spans="1:16">
      <c r="C92" s="136" t="s">
        <v>47</v>
      </c>
      <c r="D92" s="417">
        <v>787880</v>
      </c>
      <c r="E92" s="21" t="s">
        <v>81</v>
      </c>
      <c r="H92" s="134"/>
      <c r="I92" s="134"/>
      <c r="J92" s="135">
        <f>+'SWE.WS.G.BPU.ATRR.True-up'!M15</f>
        <v>2017</v>
      </c>
      <c r="K92" s="130"/>
      <c r="L92" s="111" t="s">
        <v>82</v>
      </c>
      <c r="P92" s="4"/>
    </row>
    <row r="93" spans="1:16">
      <c r="C93" s="136" t="s">
        <v>49</v>
      </c>
      <c r="D93" s="219">
        <f>D11</f>
        <v>2012</v>
      </c>
      <c r="E93" s="136" t="s">
        <v>50</v>
      </c>
      <c r="F93" s="134"/>
      <c r="G93" s="134"/>
      <c r="J93" s="138">
        <f>IF(H87="",0,'SWE.WS.G.BPU.ATRR.True-up'!$F$12)</f>
        <v>0</v>
      </c>
      <c r="K93" s="139"/>
      <c r="L93" t="str">
        <f>"          INPUT TRUE-UP ARR (WITH &amp; WITHOUT INCENTIVES) FROM EACH PRIOR YEAR"</f>
        <v xml:space="preserve">          INPUT TRUE-UP ARR (WITH &amp; WITHOUT INCENTIVES) FROM EACH PRIOR YEAR</v>
      </c>
      <c r="P93" s="4"/>
    </row>
    <row r="94" spans="1:16">
      <c r="C94" s="136" t="s">
        <v>51</v>
      </c>
      <c r="D94" s="219">
        <f>D12</f>
        <v>2</v>
      </c>
      <c r="E94" s="136" t="s">
        <v>52</v>
      </c>
      <c r="F94" s="134"/>
      <c r="G94" s="134"/>
      <c r="J94" s="140">
        <f>'SWE.WS.G.BPU.ATRR.True-up'!$F$80</f>
        <v>0.12147145768398206</v>
      </c>
      <c r="K94" s="141"/>
      <c r="L94" t="s">
        <v>83</v>
      </c>
      <c r="P94" s="4"/>
    </row>
    <row r="95" spans="1:16">
      <c r="C95" s="136" t="s">
        <v>54</v>
      </c>
      <c r="D95" s="138">
        <f>'SWE.WS.G.BPU.ATRR.True-up'!F$92</f>
        <v>42</v>
      </c>
      <c r="E95" s="136" t="s">
        <v>55</v>
      </c>
      <c r="F95" s="134"/>
      <c r="G95" s="134"/>
      <c r="J95" s="140">
        <f>IF(H87="",J94,'SWE.WS.G.BPU.ATRR.True-up'!$F$79)</f>
        <v>0.12147145768398206</v>
      </c>
      <c r="K95" s="58"/>
      <c r="L95" s="111" t="s">
        <v>56</v>
      </c>
      <c r="M95" s="58"/>
      <c r="N95" s="58"/>
      <c r="O95" s="58"/>
      <c r="P95" s="4"/>
    </row>
    <row r="96" spans="1:16" ht="13.5" thickBot="1">
      <c r="C96" s="136" t="s">
        <v>57</v>
      </c>
      <c r="D96" s="220" t="str">
        <f>+D14</f>
        <v>No</v>
      </c>
      <c r="E96" s="202" t="s">
        <v>59</v>
      </c>
      <c r="F96" s="208"/>
      <c r="G96" s="208"/>
      <c r="H96" s="209"/>
      <c r="I96" s="209"/>
      <c r="J96" s="124">
        <f>IF(D92=0,0,D92/D95)</f>
        <v>18759.047619047618</v>
      </c>
      <c r="K96" s="111"/>
      <c r="L96" s="111"/>
      <c r="M96" s="111"/>
      <c r="N96" s="111"/>
      <c r="O96" s="111"/>
      <c r="P96" s="4"/>
    </row>
    <row r="97" spans="1:16" ht="38.25">
      <c r="A97" s="6"/>
      <c r="B97" s="6"/>
      <c r="C97" s="210" t="s">
        <v>47</v>
      </c>
      <c r="D97" s="211" t="s">
        <v>60</v>
      </c>
      <c r="E97" s="146" t="s">
        <v>61</v>
      </c>
      <c r="F97" s="146" t="s">
        <v>62</v>
      </c>
      <c r="G97" s="144" t="s">
        <v>84</v>
      </c>
      <c r="H97" s="434" t="s">
        <v>378</v>
      </c>
      <c r="I97" s="435" t="s">
        <v>379</v>
      </c>
      <c r="J97" s="210" t="s">
        <v>85</v>
      </c>
      <c r="K97" s="212"/>
      <c r="L97" s="271" t="s">
        <v>220</v>
      </c>
      <c r="M97" s="146" t="s">
        <v>86</v>
      </c>
      <c r="N97" s="271" t="s">
        <v>220</v>
      </c>
      <c r="O97" s="146" t="s">
        <v>86</v>
      </c>
      <c r="P97" s="146" t="s">
        <v>65</v>
      </c>
    </row>
    <row r="98" spans="1:16" ht="13.5" thickBot="1">
      <c r="C98" s="147" t="s">
        <v>66</v>
      </c>
      <c r="D98" s="213" t="s">
        <v>67</v>
      </c>
      <c r="E98" s="147" t="s">
        <v>68</v>
      </c>
      <c r="F98" s="147" t="s">
        <v>67</v>
      </c>
      <c r="G98" s="147" t="s">
        <v>67</v>
      </c>
      <c r="H98" s="407" t="s">
        <v>69</v>
      </c>
      <c r="I98" s="148" t="s">
        <v>70</v>
      </c>
      <c r="J98" s="149" t="s">
        <v>89</v>
      </c>
      <c r="K98" s="150"/>
      <c r="L98" s="151" t="s">
        <v>72</v>
      </c>
      <c r="M98" s="151" t="s">
        <v>72</v>
      </c>
      <c r="N98" s="151" t="s">
        <v>90</v>
      </c>
      <c r="O98" s="151" t="s">
        <v>90</v>
      </c>
      <c r="P98" s="151" t="s">
        <v>90</v>
      </c>
    </row>
    <row r="99" spans="1:16">
      <c r="C99" s="153">
        <f>IF(D93= "","-",D93)</f>
        <v>2012</v>
      </c>
      <c r="D99" s="154"/>
      <c r="E99" s="161"/>
      <c r="F99" s="159"/>
      <c r="G99" s="214"/>
      <c r="H99" s="251"/>
      <c r="I99" s="252"/>
      <c r="J99" s="158"/>
      <c r="K99" s="158"/>
      <c r="L99" s="256"/>
      <c r="M99" s="157">
        <f t="shared" ref="M99:M130" si="17">IF(L99&lt;&gt;0,+H99-L99,0)</f>
        <v>0</v>
      </c>
      <c r="N99" s="256"/>
      <c r="O99" s="157">
        <f t="shared" ref="O99:O130" si="18">IF(N99&lt;&gt;0,+I99-N99,0)</f>
        <v>0</v>
      </c>
      <c r="P99" s="157">
        <f t="shared" ref="P99:P130" si="19">+O99-M99</f>
        <v>0</v>
      </c>
    </row>
    <row r="100" spans="1:16">
      <c r="B100" s="9" t="str">
        <f>IF(D100=F99,"","IU")</f>
        <v/>
      </c>
      <c r="C100" s="153">
        <f>IF(D93="","-",+C99+1)</f>
        <v>2013</v>
      </c>
      <c r="D100" s="154"/>
      <c r="E100" s="160"/>
      <c r="F100" s="159"/>
      <c r="G100" s="159"/>
      <c r="H100" s="163"/>
      <c r="I100" s="253"/>
      <c r="J100" s="158"/>
      <c r="K100" s="158"/>
      <c r="L100" s="258"/>
      <c r="M100" s="158">
        <f t="shared" si="17"/>
        <v>0</v>
      </c>
      <c r="N100" s="258"/>
      <c r="O100" s="158">
        <f t="shared" si="18"/>
        <v>0</v>
      </c>
      <c r="P100" s="158">
        <f t="shared" si="19"/>
        <v>0</v>
      </c>
    </row>
    <row r="101" spans="1:16">
      <c r="B101" s="9" t="str">
        <f t="shared" ref="B101:B154" si="20">IF(D101=F100,"","IU")</f>
        <v/>
      </c>
      <c r="C101" s="153">
        <f>IF(D93="","-",+C100+1)</f>
        <v>2014</v>
      </c>
      <c r="D101" s="154"/>
      <c r="E101" s="160"/>
      <c r="F101" s="159"/>
      <c r="G101" s="159"/>
      <c r="H101" s="163"/>
      <c r="I101" s="253"/>
      <c r="J101" s="158"/>
      <c r="K101" s="158"/>
      <c r="L101" s="258"/>
      <c r="M101" s="158">
        <f t="shared" si="17"/>
        <v>0</v>
      </c>
      <c r="N101" s="258"/>
      <c r="O101" s="158">
        <f t="shared" si="18"/>
        <v>0</v>
      </c>
      <c r="P101" s="158">
        <f t="shared" si="19"/>
        <v>0</v>
      </c>
    </row>
    <row r="102" spans="1:16">
      <c r="B102" s="9" t="str">
        <f t="shared" si="20"/>
        <v>IU</v>
      </c>
      <c r="C102" s="153">
        <f>IF(D93="","-",+C101+1)</f>
        <v>2015</v>
      </c>
      <c r="D102" s="409">
        <v>734729.36507936521</v>
      </c>
      <c r="E102" s="410">
        <v>17493.556311413457</v>
      </c>
      <c r="F102" s="411">
        <v>717235.80876795179</v>
      </c>
      <c r="G102" s="411">
        <v>725982.5869236585</v>
      </c>
      <c r="H102" s="413">
        <v>113155.46714712729</v>
      </c>
      <c r="I102" s="414">
        <v>113155.46714712729</v>
      </c>
      <c r="J102" s="158">
        <f>+I102-H102</f>
        <v>0</v>
      </c>
      <c r="K102" s="158"/>
      <c r="L102" s="258">
        <f>+H102</f>
        <v>113155.46714712729</v>
      </c>
      <c r="M102" s="158">
        <f t="shared" si="17"/>
        <v>0</v>
      </c>
      <c r="N102" s="258">
        <f>+I102</f>
        <v>113155.46714712729</v>
      </c>
      <c r="O102" s="158">
        <f t="shared" si="18"/>
        <v>0</v>
      </c>
      <c r="P102" s="158">
        <f t="shared" si="19"/>
        <v>0</v>
      </c>
    </row>
    <row r="103" spans="1:16">
      <c r="B103" s="9" t="str">
        <f t="shared" si="20"/>
        <v>IU</v>
      </c>
      <c r="C103" s="153">
        <f>IF(D93="","-",+C102+1)</f>
        <v>2016</v>
      </c>
      <c r="D103" s="409">
        <v>770386.44368858659</v>
      </c>
      <c r="E103" s="410">
        <v>18322.79069767442</v>
      </c>
      <c r="F103" s="411">
        <v>752063.6529909122</v>
      </c>
      <c r="G103" s="411">
        <v>761225.04833974945</v>
      </c>
      <c r="H103" s="413">
        <v>114960.30166921337</v>
      </c>
      <c r="I103" s="414">
        <v>114960.30166921337</v>
      </c>
      <c r="J103" s="158">
        <v>0</v>
      </c>
      <c r="K103" s="158"/>
      <c r="L103" s="258">
        <f>+H103</f>
        <v>114960.30166921337</v>
      </c>
      <c r="M103" s="158">
        <f>IF(L103&lt;&gt;0,+H103-L103,0)</f>
        <v>0</v>
      </c>
      <c r="N103" s="258">
        <f>+I103</f>
        <v>114960.30166921337</v>
      </c>
      <c r="O103" s="158">
        <f>IF(N103&lt;&gt;0,+I103-N103,0)</f>
        <v>0</v>
      </c>
      <c r="P103" s="158">
        <f>+O103-M103</f>
        <v>0</v>
      </c>
    </row>
    <row r="104" spans="1:16">
      <c r="B104" s="9" t="str">
        <f t="shared" si="20"/>
        <v/>
      </c>
      <c r="C104" s="153">
        <f>IF(D93="","-",+C103+1)</f>
        <v>2017</v>
      </c>
      <c r="D104" s="154">
        <f>IF(F103+SUM(E$99:E103)=D$92,F103,D$92-SUM(E$99:E103))</f>
        <v>752063.6529909122</v>
      </c>
      <c r="E104" s="160">
        <f t="shared" ref="E104:E154" si="21">IF(+$J$96&lt;F103,$J$96,D104)</f>
        <v>18759.047619047618</v>
      </c>
      <c r="F104" s="159">
        <f t="shared" ref="F104:F154" si="22">+D104-E104</f>
        <v>733304.60537186463</v>
      </c>
      <c r="G104" s="159">
        <f t="shared" ref="G104:G154" si="23">+(F104+D104)/2</f>
        <v>742684.12918138842</v>
      </c>
      <c r="H104" s="163">
        <f t="shared" ref="H104:H154" si="24">+J$94*G104+E104</f>
        <v>108973.97138946971</v>
      </c>
      <c r="I104" s="253">
        <f t="shared" ref="I104:I154" si="25">+J$95*G104+E104</f>
        <v>108973.97138946971</v>
      </c>
      <c r="J104" s="158">
        <f t="shared" ref="J104:J154" si="26">+I104-H104</f>
        <v>0</v>
      </c>
      <c r="K104" s="158"/>
      <c r="L104" s="334"/>
      <c r="M104" s="158">
        <f t="shared" si="17"/>
        <v>0</v>
      </c>
      <c r="N104" s="334"/>
      <c r="O104" s="158">
        <f t="shared" si="18"/>
        <v>0</v>
      </c>
      <c r="P104" s="158">
        <f t="shared" si="19"/>
        <v>0</v>
      </c>
    </row>
    <row r="105" spans="1:16">
      <c r="B105" s="9" t="str">
        <f t="shared" si="20"/>
        <v/>
      </c>
      <c r="C105" s="153">
        <f>IF(D93="","-",+C104+1)</f>
        <v>2018</v>
      </c>
      <c r="D105" s="154">
        <f>IF(F104+SUM(E$99:E104)=D$92,F104,D$92-SUM(E$99:E104))</f>
        <v>733304.60537186463</v>
      </c>
      <c r="E105" s="160">
        <f t="shared" si="21"/>
        <v>18759.047619047618</v>
      </c>
      <c r="F105" s="159">
        <f t="shared" si="22"/>
        <v>714545.55775281705</v>
      </c>
      <c r="G105" s="159">
        <f t="shared" si="23"/>
        <v>723925.08156234084</v>
      </c>
      <c r="H105" s="163">
        <f t="shared" si="24"/>
        <v>106695.28253042077</v>
      </c>
      <c r="I105" s="253">
        <f t="shared" si="25"/>
        <v>106695.28253042077</v>
      </c>
      <c r="J105" s="158">
        <f t="shared" si="26"/>
        <v>0</v>
      </c>
      <c r="K105" s="158"/>
      <c r="L105" s="334"/>
      <c r="M105" s="158">
        <f t="shared" si="17"/>
        <v>0</v>
      </c>
      <c r="N105" s="334"/>
      <c r="O105" s="158">
        <f t="shared" si="18"/>
        <v>0</v>
      </c>
      <c r="P105" s="158">
        <f t="shared" si="19"/>
        <v>0</v>
      </c>
    </row>
    <row r="106" spans="1:16">
      <c r="B106" s="9" t="str">
        <f t="shared" si="20"/>
        <v/>
      </c>
      <c r="C106" s="153">
        <f>IF(D93="","-",+C105+1)</f>
        <v>2019</v>
      </c>
      <c r="D106" s="154">
        <f>IF(F105+SUM(E$99:E105)=D$92,F105,D$92-SUM(E$99:E105))</f>
        <v>714545.55775281705</v>
      </c>
      <c r="E106" s="160">
        <f t="shared" si="21"/>
        <v>18759.047619047618</v>
      </c>
      <c r="F106" s="159">
        <f t="shared" si="22"/>
        <v>695786.51013376948</v>
      </c>
      <c r="G106" s="159">
        <f t="shared" si="23"/>
        <v>705166.03394329327</v>
      </c>
      <c r="H106" s="163">
        <f t="shared" si="24"/>
        <v>104416.59367137183</v>
      </c>
      <c r="I106" s="253">
        <f t="shared" si="25"/>
        <v>104416.59367137183</v>
      </c>
      <c r="J106" s="158">
        <f t="shared" si="26"/>
        <v>0</v>
      </c>
      <c r="K106" s="158"/>
      <c r="L106" s="334"/>
      <c r="M106" s="158">
        <f t="shared" si="17"/>
        <v>0</v>
      </c>
      <c r="N106" s="334"/>
      <c r="O106" s="158">
        <f t="shared" si="18"/>
        <v>0</v>
      </c>
      <c r="P106" s="158">
        <f t="shared" si="19"/>
        <v>0</v>
      </c>
    </row>
    <row r="107" spans="1:16">
      <c r="B107" s="9" t="str">
        <f t="shared" si="20"/>
        <v/>
      </c>
      <c r="C107" s="153">
        <f>IF(D93="","-",+C106+1)</f>
        <v>2020</v>
      </c>
      <c r="D107" s="154">
        <f>IF(F106+SUM(E$99:E106)=D$92,F106,D$92-SUM(E$99:E106))</f>
        <v>695786.51013376948</v>
      </c>
      <c r="E107" s="160">
        <f t="shared" si="21"/>
        <v>18759.047619047618</v>
      </c>
      <c r="F107" s="159">
        <f t="shared" si="22"/>
        <v>677027.4625147219</v>
      </c>
      <c r="G107" s="159">
        <f t="shared" si="23"/>
        <v>686406.98632424569</v>
      </c>
      <c r="H107" s="163">
        <f t="shared" si="24"/>
        <v>102137.90481232289</v>
      </c>
      <c r="I107" s="253">
        <f t="shared" si="25"/>
        <v>102137.90481232289</v>
      </c>
      <c r="J107" s="158">
        <f t="shared" si="26"/>
        <v>0</v>
      </c>
      <c r="K107" s="158"/>
      <c r="L107" s="334"/>
      <c r="M107" s="158">
        <f t="shared" si="17"/>
        <v>0</v>
      </c>
      <c r="N107" s="334"/>
      <c r="O107" s="158">
        <f t="shared" si="18"/>
        <v>0</v>
      </c>
      <c r="P107" s="158">
        <f t="shared" si="19"/>
        <v>0</v>
      </c>
    </row>
    <row r="108" spans="1:16">
      <c r="B108" s="9" t="str">
        <f t="shared" si="20"/>
        <v/>
      </c>
      <c r="C108" s="153">
        <f>IF(D93="","-",+C107+1)</f>
        <v>2021</v>
      </c>
      <c r="D108" s="154">
        <f>IF(F107+SUM(E$99:E107)=D$92,F107,D$92-SUM(E$99:E107))</f>
        <v>677027.4625147219</v>
      </c>
      <c r="E108" s="160">
        <f t="shared" si="21"/>
        <v>18759.047619047618</v>
      </c>
      <c r="F108" s="159">
        <f t="shared" si="22"/>
        <v>658268.41489567433</v>
      </c>
      <c r="G108" s="159">
        <f t="shared" si="23"/>
        <v>667647.93870519812</v>
      </c>
      <c r="H108" s="163">
        <f t="shared" si="24"/>
        <v>99859.215953273932</v>
      </c>
      <c r="I108" s="253">
        <f t="shared" si="25"/>
        <v>99859.215953273932</v>
      </c>
      <c r="J108" s="158">
        <f t="shared" si="26"/>
        <v>0</v>
      </c>
      <c r="K108" s="158"/>
      <c r="L108" s="334"/>
      <c r="M108" s="158">
        <f t="shared" si="17"/>
        <v>0</v>
      </c>
      <c r="N108" s="334"/>
      <c r="O108" s="158">
        <f t="shared" si="18"/>
        <v>0</v>
      </c>
      <c r="P108" s="158">
        <f t="shared" si="19"/>
        <v>0</v>
      </c>
    </row>
    <row r="109" spans="1:16">
      <c r="B109" s="9" t="str">
        <f t="shared" si="20"/>
        <v/>
      </c>
      <c r="C109" s="153">
        <f>IF(D93="","-",+C108+1)</f>
        <v>2022</v>
      </c>
      <c r="D109" s="154">
        <f>IF(F108+SUM(E$99:E108)=D$92,F108,D$92-SUM(E$99:E108))</f>
        <v>658268.41489567433</v>
      </c>
      <c r="E109" s="160">
        <f t="shared" si="21"/>
        <v>18759.047619047618</v>
      </c>
      <c r="F109" s="159">
        <f t="shared" si="22"/>
        <v>639509.36727662676</v>
      </c>
      <c r="G109" s="159">
        <f t="shared" si="23"/>
        <v>648888.89108615054</v>
      </c>
      <c r="H109" s="163">
        <f t="shared" si="24"/>
        <v>97580.527094224992</v>
      </c>
      <c r="I109" s="253">
        <f t="shared" si="25"/>
        <v>97580.527094224992</v>
      </c>
      <c r="J109" s="158">
        <f t="shared" si="26"/>
        <v>0</v>
      </c>
      <c r="K109" s="158"/>
      <c r="L109" s="334"/>
      <c r="M109" s="158">
        <f t="shared" si="17"/>
        <v>0</v>
      </c>
      <c r="N109" s="334"/>
      <c r="O109" s="158">
        <f t="shared" si="18"/>
        <v>0</v>
      </c>
      <c r="P109" s="158">
        <f t="shared" si="19"/>
        <v>0</v>
      </c>
    </row>
    <row r="110" spans="1:16">
      <c r="B110" s="9" t="str">
        <f t="shared" si="20"/>
        <v/>
      </c>
      <c r="C110" s="153">
        <f>IF(D93="","-",+C109+1)</f>
        <v>2023</v>
      </c>
      <c r="D110" s="154">
        <f>IF(F109+SUM(E$99:E109)=D$92,F109,D$92-SUM(E$99:E109))</f>
        <v>639509.36727662676</v>
      </c>
      <c r="E110" s="160">
        <f t="shared" si="21"/>
        <v>18759.047619047618</v>
      </c>
      <c r="F110" s="159">
        <f t="shared" si="22"/>
        <v>620750.31965757918</v>
      </c>
      <c r="G110" s="159">
        <f t="shared" si="23"/>
        <v>630129.84346710297</v>
      </c>
      <c r="H110" s="163">
        <f t="shared" si="24"/>
        <v>95301.838235176052</v>
      </c>
      <c r="I110" s="253">
        <f t="shared" si="25"/>
        <v>95301.838235176052</v>
      </c>
      <c r="J110" s="158">
        <f t="shared" si="26"/>
        <v>0</v>
      </c>
      <c r="K110" s="158"/>
      <c r="L110" s="334"/>
      <c r="M110" s="158">
        <f t="shared" si="17"/>
        <v>0</v>
      </c>
      <c r="N110" s="334"/>
      <c r="O110" s="158">
        <f t="shared" si="18"/>
        <v>0</v>
      </c>
      <c r="P110" s="158">
        <f t="shared" si="19"/>
        <v>0</v>
      </c>
    </row>
    <row r="111" spans="1:16">
      <c r="B111" s="9" t="str">
        <f t="shared" si="20"/>
        <v/>
      </c>
      <c r="C111" s="153">
        <f>IF(D93="","-",+C110+1)</f>
        <v>2024</v>
      </c>
      <c r="D111" s="154">
        <f>IF(F110+SUM(E$99:E110)=D$92,F110,D$92-SUM(E$99:E110))</f>
        <v>620750.31965757918</v>
      </c>
      <c r="E111" s="160">
        <f t="shared" si="21"/>
        <v>18759.047619047618</v>
      </c>
      <c r="F111" s="159">
        <f t="shared" si="22"/>
        <v>601991.27203853161</v>
      </c>
      <c r="G111" s="159">
        <f t="shared" si="23"/>
        <v>611370.79584805539</v>
      </c>
      <c r="H111" s="163">
        <f t="shared" si="24"/>
        <v>93023.149376127112</v>
      </c>
      <c r="I111" s="253">
        <f t="shared" si="25"/>
        <v>93023.149376127112</v>
      </c>
      <c r="J111" s="158">
        <f t="shared" si="26"/>
        <v>0</v>
      </c>
      <c r="K111" s="158"/>
      <c r="L111" s="334"/>
      <c r="M111" s="158">
        <f t="shared" si="17"/>
        <v>0</v>
      </c>
      <c r="N111" s="334"/>
      <c r="O111" s="158">
        <f t="shared" si="18"/>
        <v>0</v>
      </c>
      <c r="P111" s="158">
        <f t="shared" si="19"/>
        <v>0</v>
      </c>
    </row>
    <row r="112" spans="1:16">
      <c r="B112" s="9" t="str">
        <f t="shared" si="20"/>
        <v/>
      </c>
      <c r="C112" s="153">
        <f>IF(D93="","-",+C111+1)</f>
        <v>2025</v>
      </c>
      <c r="D112" s="154">
        <f>IF(F111+SUM(E$99:E111)=D$92,F111,D$92-SUM(E$99:E111))</f>
        <v>601991.27203853161</v>
      </c>
      <c r="E112" s="160">
        <f t="shared" si="21"/>
        <v>18759.047619047618</v>
      </c>
      <c r="F112" s="159">
        <f t="shared" si="22"/>
        <v>583232.22441948403</v>
      </c>
      <c r="G112" s="159">
        <f t="shared" si="23"/>
        <v>592611.74822900782</v>
      </c>
      <c r="H112" s="163">
        <f t="shared" si="24"/>
        <v>90744.460517078172</v>
      </c>
      <c r="I112" s="253">
        <f t="shared" si="25"/>
        <v>90744.460517078172</v>
      </c>
      <c r="J112" s="158">
        <f t="shared" si="26"/>
        <v>0</v>
      </c>
      <c r="K112" s="158"/>
      <c r="L112" s="334"/>
      <c r="M112" s="158">
        <f t="shared" si="17"/>
        <v>0</v>
      </c>
      <c r="N112" s="334"/>
      <c r="O112" s="158">
        <f t="shared" si="18"/>
        <v>0</v>
      </c>
      <c r="P112" s="158">
        <f t="shared" si="19"/>
        <v>0</v>
      </c>
    </row>
    <row r="113" spans="2:16">
      <c r="B113" s="9" t="str">
        <f t="shared" si="20"/>
        <v/>
      </c>
      <c r="C113" s="153">
        <f>IF(D93="","-",+C112+1)</f>
        <v>2026</v>
      </c>
      <c r="D113" s="154">
        <f>IF(F112+SUM(E$99:E112)=D$92,F112,D$92-SUM(E$99:E112))</f>
        <v>583232.22441948403</v>
      </c>
      <c r="E113" s="160">
        <f t="shared" si="21"/>
        <v>18759.047619047618</v>
      </c>
      <c r="F113" s="159">
        <f t="shared" si="22"/>
        <v>564473.17680043646</v>
      </c>
      <c r="G113" s="159">
        <f t="shared" si="23"/>
        <v>573852.70060996024</v>
      </c>
      <c r="H113" s="163">
        <f t="shared" si="24"/>
        <v>88465.771658029233</v>
      </c>
      <c r="I113" s="253">
        <f t="shared" si="25"/>
        <v>88465.771658029233</v>
      </c>
      <c r="J113" s="158">
        <f t="shared" si="26"/>
        <v>0</v>
      </c>
      <c r="K113" s="158"/>
      <c r="L113" s="334"/>
      <c r="M113" s="158">
        <f t="shared" si="17"/>
        <v>0</v>
      </c>
      <c r="N113" s="334"/>
      <c r="O113" s="158">
        <f t="shared" si="18"/>
        <v>0</v>
      </c>
      <c r="P113" s="158">
        <f t="shared" si="19"/>
        <v>0</v>
      </c>
    </row>
    <row r="114" spans="2:16">
      <c r="B114" s="9" t="str">
        <f t="shared" si="20"/>
        <v/>
      </c>
      <c r="C114" s="153">
        <f>IF(D93="","-",+C113+1)</f>
        <v>2027</v>
      </c>
      <c r="D114" s="154">
        <f>IF(F113+SUM(E$99:E113)=D$92,F113,D$92-SUM(E$99:E113))</f>
        <v>564473.17680043587</v>
      </c>
      <c r="E114" s="160">
        <f t="shared" si="21"/>
        <v>18759.047619047618</v>
      </c>
      <c r="F114" s="159">
        <f t="shared" si="22"/>
        <v>545714.1291813883</v>
      </c>
      <c r="G114" s="159">
        <f t="shared" si="23"/>
        <v>555093.65299091209</v>
      </c>
      <c r="H114" s="163">
        <f t="shared" si="24"/>
        <v>86187.08279898022</v>
      </c>
      <c r="I114" s="253">
        <f t="shared" si="25"/>
        <v>86187.08279898022</v>
      </c>
      <c r="J114" s="158">
        <f t="shared" si="26"/>
        <v>0</v>
      </c>
      <c r="K114" s="158"/>
      <c r="L114" s="334"/>
      <c r="M114" s="158">
        <f t="shared" si="17"/>
        <v>0</v>
      </c>
      <c r="N114" s="334"/>
      <c r="O114" s="158">
        <f t="shared" si="18"/>
        <v>0</v>
      </c>
      <c r="P114" s="158">
        <f t="shared" si="19"/>
        <v>0</v>
      </c>
    </row>
    <row r="115" spans="2:16">
      <c r="B115" s="9" t="str">
        <f t="shared" si="20"/>
        <v/>
      </c>
      <c r="C115" s="153">
        <f>IF(D93="","-",+C114+1)</f>
        <v>2028</v>
      </c>
      <c r="D115" s="154">
        <f>IF(F114+SUM(E$99:E114)=D$92,F114,D$92-SUM(E$99:E114))</f>
        <v>545714.1291813883</v>
      </c>
      <c r="E115" s="160">
        <f t="shared" si="21"/>
        <v>18759.047619047618</v>
      </c>
      <c r="F115" s="159">
        <f t="shared" si="22"/>
        <v>526955.08156234073</v>
      </c>
      <c r="G115" s="159">
        <f t="shared" si="23"/>
        <v>536334.60537186451</v>
      </c>
      <c r="H115" s="163">
        <f t="shared" si="24"/>
        <v>83908.393939931266</v>
      </c>
      <c r="I115" s="253">
        <f t="shared" si="25"/>
        <v>83908.393939931266</v>
      </c>
      <c r="J115" s="158">
        <f t="shared" si="26"/>
        <v>0</v>
      </c>
      <c r="K115" s="158"/>
      <c r="L115" s="334"/>
      <c r="M115" s="158">
        <f t="shared" si="17"/>
        <v>0</v>
      </c>
      <c r="N115" s="334"/>
      <c r="O115" s="158">
        <f t="shared" si="18"/>
        <v>0</v>
      </c>
      <c r="P115" s="158">
        <f t="shared" si="19"/>
        <v>0</v>
      </c>
    </row>
    <row r="116" spans="2:16">
      <c r="B116" s="9" t="str">
        <f t="shared" si="20"/>
        <v/>
      </c>
      <c r="C116" s="153">
        <f>IF(D93="","-",+C115+1)</f>
        <v>2029</v>
      </c>
      <c r="D116" s="154">
        <f>IF(F115+SUM(E$99:E115)=D$92,F115,D$92-SUM(E$99:E115))</f>
        <v>526955.08156234073</v>
      </c>
      <c r="E116" s="160">
        <f t="shared" si="21"/>
        <v>18759.047619047618</v>
      </c>
      <c r="F116" s="159">
        <f t="shared" si="22"/>
        <v>508196.03394329309</v>
      </c>
      <c r="G116" s="159">
        <f t="shared" si="23"/>
        <v>517575.55775281694</v>
      </c>
      <c r="H116" s="163">
        <f t="shared" si="24"/>
        <v>81629.705080882326</v>
      </c>
      <c r="I116" s="253">
        <f t="shared" si="25"/>
        <v>81629.705080882326</v>
      </c>
      <c r="J116" s="158">
        <f t="shared" si="26"/>
        <v>0</v>
      </c>
      <c r="K116" s="158"/>
      <c r="L116" s="334"/>
      <c r="M116" s="158">
        <f t="shared" si="17"/>
        <v>0</v>
      </c>
      <c r="N116" s="334"/>
      <c r="O116" s="158">
        <f t="shared" si="18"/>
        <v>0</v>
      </c>
      <c r="P116" s="158">
        <f t="shared" si="19"/>
        <v>0</v>
      </c>
    </row>
    <row r="117" spans="2:16">
      <c r="B117" s="9" t="str">
        <f t="shared" si="20"/>
        <v/>
      </c>
      <c r="C117" s="153">
        <f>IF(D93="","-",+C116+1)</f>
        <v>2030</v>
      </c>
      <c r="D117" s="154">
        <f>IF(F116+SUM(E$99:E116)=D$92,F116,D$92-SUM(E$99:E116))</f>
        <v>508196.03394329309</v>
      </c>
      <c r="E117" s="160">
        <f t="shared" si="21"/>
        <v>18759.047619047618</v>
      </c>
      <c r="F117" s="159">
        <f t="shared" si="22"/>
        <v>489436.98632424546</v>
      </c>
      <c r="G117" s="159">
        <f t="shared" si="23"/>
        <v>498816.51013376925</v>
      </c>
      <c r="H117" s="163">
        <f t="shared" si="24"/>
        <v>79351.016221833386</v>
      </c>
      <c r="I117" s="253">
        <f t="shared" si="25"/>
        <v>79351.016221833386</v>
      </c>
      <c r="J117" s="158">
        <f t="shared" si="26"/>
        <v>0</v>
      </c>
      <c r="K117" s="158"/>
      <c r="L117" s="334"/>
      <c r="M117" s="158">
        <f t="shared" si="17"/>
        <v>0</v>
      </c>
      <c r="N117" s="334"/>
      <c r="O117" s="158">
        <f t="shared" si="18"/>
        <v>0</v>
      </c>
      <c r="P117" s="158">
        <f t="shared" si="19"/>
        <v>0</v>
      </c>
    </row>
    <row r="118" spans="2:16">
      <c r="B118" s="9" t="str">
        <f t="shared" si="20"/>
        <v/>
      </c>
      <c r="C118" s="153">
        <f>IF(D93="","-",+C117+1)</f>
        <v>2031</v>
      </c>
      <c r="D118" s="154">
        <f>IF(F117+SUM(E$99:E117)=D$92,F117,D$92-SUM(E$99:E117))</f>
        <v>489436.98632424546</v>
      </c>
      <c r="E118" s="160">
        <f t="shared" si="21"/>
        <v>18759.047619047618</v>
      </c>
      <c r="F118" s="159">
        <f t="shared" si="22"/>
        <v>470677.93870519783</v>
      </c>
      <c r="G118" s="159">
        <f t="shared" si="23"/>
        <v>480057.46251472167</v>
      </c>
      <c r="H118" s="163">
        <f t="shared" si="24"/>
        <v>77072.327362784432</v>
      </c>
      <c r="I118" s="253">
        <f t="shared" si="25"/>
        <v>77072.327362784432</v>
      </c>
      <c r="J118" s="158">
        <f t="shared" si="26"/>
        <v>0</v>
      </c>
      <c r="K118" s="158"/>
      <c r="L118" s="334"/>
      <c r="M118" s="158">
        <f t="shared" si="17"/>
        <v>0</v>
      </c>
      <c r="N118" s="334"/>
      <c r="O118" s="158">
        <f t="shared" si="18"/>
        <v>0</v>
      </c>
      <c r="P118" s="158">
        <f t="shared" si="19"/>
        <v>0</v>
      </c>
    </row>
    <row r="119" spans="2:16">
      <c r="B119" s="9" t="str">
        <f t="shared" si="20"/>
        <v/>
      </c>
      <c r="C119" s="153">
        <f>IF(D93="","-",+C118+1)</f>
        <v>2032</v>
      </c>
      <c r="D119" s="154">
        <f>IF(F118+SUM(E$99:E118)=D$92,F118,D$92-SUM(E$99:E118))</f>
        <v>470677.93870519783</v>
      </c>
      <c r="E119" s="160">
        <f t="shared" si="21"/>
        <v>18759.047619047618</v>
      </c>
      <c r="F119" s="159">
        <f t="shared" si="22"/>
        <v>451918.89108615019</v>
      </c>
      <c r="G119" s="159">
        <f t="shared" si="23"/>
        <v>461298.41489567398</v>
      </c>
      <c r="H119" s="163">
        <f t="shared" si="24"/>
        <v>74793.638503735478</v>
      </c>
      <c r="I119" s="253">
        <f t="shared" si="25"/>
        <v>74793.638503735478</v>
      </c>
      <c r="J119" s="158">
        <f t="shared" si="26"/>
        <v>0</v>
      </c>
      <c r="K119" s="158"/>
      <c r="L119" s="334"/>
      <c r="M119" s="158">
        <f t="shared" si="17"/>
        <v>0</v>
      </c>
      <c r="N119" s="334"/>
      <c r="O119" s="158">
        <f t="shared" si="18"/>
        <v>0</v>
      </c>
      <c r="P119" s="158">
        <f t="shared" si="19"/>
        <v>0</v>
      </c>
    </row>
    <row r="120" spans="2:16">
      <c r="B120" s="9" t="str">
        <f t="shared" si="20"/>
        <v/>
      </c>
      <c r="C120" s="153">
        <f>IF(D93="","-",+C119+1)</f>
        <v>2033</v>
      </c>
      <c r="D120" s="154">
        <f>IF(F119+SUM(E$99:E119)=D$92,F119,D$92-SUM(E$99:E119))</f>
        <v>451918.89108615019</v>
      </c>
      <c r="E120" s="160">
        <f t="shared" si="21"/>
        <v>18759.047619047618</v>
      </c>
      <c r="F120" s="159">
        <f t="shared" si="22"/>
        <v>433159.84346710256</v>
      </c>
      <c r="G120" s="159">
        <f t="shared" si="23"/>
        <v>442539.36727662641</v>
      </c>
      <c r="H120" s="163">
        <f t="shared" si="24"/>
        <v>72514.949644686538</v>
      </c>
      <c r="I120" s="253">
        <f t="shared" si="25"/>
        <v>72514.949644686538</v>
      </c>
      <c r="J120" s="158">
        <f t="shared" si="26"/>
        <v>0</v>
      </c>
      <c r="K120" s="158"/>
      <c r="L120" s="334"/>
      <c r="M120" s="158">
        <f t="shared" si="17"/>
        <v>0</v>
      </c>
      <c r="N120" s="334"/>
      <c r="O120" s="158">
        <f t="shared" si="18"/>
        <v>0</v>
      </c>
      <c r="P120" s="158">
        <f t="shared" si="19"/>
        <v>0</v>
      </c>
    </row>
    <row r="121" spans="2:16">
      <c r="B121" s="9" t="str">
        <f t="shared" si="20"/>
        <v/>
      </c>
      <c r="C121" s="153">
        <f>IF(D93="","-",+C120+1)</f>
        <v>2034</v>
      </c>
      <c r="D121" s="154">
        <f>IF(F120+SUM(E$99:E120)=D$92,F120,D$92-SUM(E$99:E120))</f>
        <v>433159.84346710256</v>
      </c>
      <c r="E121" s="160">
        <f t="shared" si="21"/>
        <v>18759.047619047618</v>
      </c>
      <c r="F121" s="159">
        <f t="shared" si="22"/>
        <v>414400.79584805493</v>
      </c>
      <c r="G121" s="159">
        <f t="shared" si="23"/>
        <v>423780.31965757872</v>
      </c>
      <c r="H121" s="163">
        <f t="shared" si="24"/>
        <v>70236.260785637583</v>
      </c>
      <c r="I121" s="253">
        <f t="shared" si="25"/>
        <v>70236.260785637583</v>
      </c>
      <c r="J121" s="158">
        <f t="shared" si="26"/>
        <v>0</v>
      </c>
      <c r="K121" s="158"/>
      <c r="L121" s="334"/>
      <c r="M121" s="158">
        <f t="shared" si="17"/>
        <v>0</v>
      </c>
      <c r="N121" s="334"/>
      <c r="O121" s="158">
        <f t="shared" si="18"/>
        <v>0</v>
      </c>
      <c r="P121" s="158">
        <f t="shared" si="19"/>
        <v>0</v>
      </c>
    </row>
    <row r="122" spans="2:16">
      <c r="B122" s="9" t="str">
        <f t="shared" si="20"/>
        <v/>
      </c>
      <c r="C122" s="153">
        <f>IF(D93="","-",+C121+1)</f>
        <v>2035</v>
      </c>
      <c r="D122" s="154">
        <f>IF(F121+SUM(E$99:E121)=D$92,F121,D$92-SUM(E$99:E121))</f>
        <v>414400.79584805493</v>
      </c>
      <c r="E122" s="160">
        <f t="shared" si="21"/>
        <v>18759.047619047618</v>
      </c>
      <c r="F122" s="159">
        <f t="shared" si="22"/>
        <v>395641.74822900729</v>
      </c>
      <c r="G122" s="159">
        <f t="shared" si="23"/>
        <v>405021.27203853114</v>
      </c>
      <c r="H122" s="163">
        <f t="shared" si="24"/>
        <v>67957.571926588629</v>
      </c>
      <c r="I122" s="253">
        <f t="shared" si="25"/>
        <v>67957.571926588629</v>
      </c>
      <c r="J122" s="158">
        <f t="shared" si="26"/>
        <v>0</v>
      </c>
      <c r="K122" s="158"/>
      <c r="L122" s="334"/>
      <c r="M122" s="158">
        <f t="shared" si="17"/>
        <v>0</v>
      </c>
      <c r="N122" s="334"/>
      <c r="O122" s="158">
        <f t="shared" si="18"/>
        <v>0</v>
      </c>
      <c r="P122" s="158">
        <f t="shared" si="19"/>
        <v>0</v>
      </c>
    </row>
    <row r="123" spans="2:16">
      <c r="B123" s="9" t="str">
        <f t="shared" si="20"/>
        <v/>
      </c>
      <c r="C123" s="153">
        <f>IF(D93="","-",+C122+1)</f>
        <v>2036</v>
      </c>
      <c r="D123" s="154">
        <f>IF(F122+SUM(E$99:E122)=D$92,F122,D$92-SUM(E$99:E122))</f>
        <v>395641.74822900729</v>
      </c>
      <c r="E123" s="160">
        <f t="shared" si="21"/>
        <v>18759.047619047618</v>
      </c>
      <c r="F123" s="159">
        <f t="shared" si="22"/>
        <v>376882.70060995966</v>
      </c>
      <c r="G123" s="159">
        <f t="shared" si="23"/>
        <v>386262.22441948345</v>
      </c>
      <c r="H123" s="163">
        <f t="shared" si="24"/>
        <v>65678.883067539689</v>
      </c>
      <c r="I123" s="253">
        <f t="shared" si="25"/>
        <v>65678.883067539689</v>
      </c>
      <c r="J123" s="158">
        <f t="shared" si="26"/>
        <v>0</v>
      </c>
      <c r="K123" s="158"/>
      <c r="L123" s="334"/>
      <c r="M123" s="158">
        <f t="shared" si="17"/>
        <v>0</v>
      </c>
      <c r="N123" s="334"/>
      <c r="O123" s="158">
        <f t="shared" si="18"/>
        <v>0</v>
      </c>
      <c r="P123" s="158">
        <f t="shared" si="19"/>
        <v>0</v>
      </c>
    </row>
    <row r="124" spans="2:16">
      <c r="B124" s="9" t="str">
        <f t="shared" si="20"/>
        <v/>
      </c>
      <c r="C124" s="153">
        <f>IF(D93="","-",+C123+1)</f>
        <v>2037</v>
      </c>
      <c r="D124" s="154">
        <f>IF(F123+SUM(E$99:E123)=D$92,F123,D$92-SUM(E$99:E123))</f>
        <v>376882.70060995966</v>
      </c>
      <c r="E124" s="160">
        <f t="shared" si="21"/>
        <v>18759.047619047618</v>
      </c>
      <c r="F124" s="159">
        <f t="shared" si="22"/>
        <v>358123.65299091203</v>
      </c>
      <c r="G124" s="159">
        <f t="shared" si="23"/>
        <v>367503.17680043587</v>
      </c>
      <c r="H124" s="163">
        <f t="shared" si="24"/>
        <v>63400.194208490742</v>
      </c>
      <c r="I124" s="253">
        <f t="shared" si="25"/>
        <v>63400.194208490742</v>
      </c>
      <c r="J124" s="158">
        <f t="shared" si="26"/>
        <v>0</v>
      </c>
      <c r="K124" s="158"/>
      <c r="L124" s="334"/>
      <c r="M124" s="158">
        <f t="shared" si="17"/>
        <v>0</v>
      </c>
      <c r="N124" s="334"/>
      <c r="O124" s="158">
        <f t="shared" si="18"/>
        <v>0</v>
      </c>
      <c r="P124" s="158">
        <f t="shared" si="19"/>
        <v>0</v>
      </c>
    </row>
    <row r="125" spans="2:16">
      <c r="B125" s="9" t="str">
        <f t="shared" si="20"/>
        <v/>
      </c>
      <c r="C125" s="153">
        <f>IF(D93="","-",+C124+1)</f>
        <v>2038</v>
      </c>
      <c r="D125" s="154">
        <f>IF(F124+SUM(E$99:E124)=D$92,F124,D$92-SUM(E$99:E124))</f>
        <v>358123.65299091203</v>
      </c>
      <c r="E125" s="160">
        <f t="shared" si="21"/>
        <v>18759.047619047618</v>
      </c>
      <c r="F125" s="159">
        <f t="shared" si="22"/>
        <v>339364.6053718644</v>
      </c>
      <c r="G125" s="159">
        <f t="shared" si="23"/>
        <v>348744.12918138818</v>
      </c>
      <c r="H125" s="163">
        <f t="shared" si="24"/>
        <v>61121.505349441788</v>
      </c>
      <c r="I125" s="253">
        <f t="shared" si="25"/>
        <v>61121.505349441788</v>
      </c>
      <c r="J125" s="158">
        <f t="shared" si="26"/>
        <v>0</v>
      </c>
      <c r="K125" s="158"/>
      <c r="L125" s="334"/>
      <c r="M125" s="158">
        <f t="shared" si="17"/>
        <v>0</v>
      </c>
      <c r="N125" s="334"/>
      <c r="O125" s="158">
        <f t="shared" si="18"/>
        <v>0</v>
      </c>
      <c r="P125" s="158">
        <f t="shared" si="19"/>
        <v>0</v>
      </c>
    </row>
    <row r="126" spans="2:16">
      <c r="B126" s="9" t="str">
        <f t="shared" si="20"/>
        <v/>
      </c>
      <c r="C126" s="153">
        <f>IF(D93="","-",+C125+1)</f>
        <v>2039</v>
      </c>
      <c r="D126" s="154">
        <f>IF(F125+SUM(E$99:E125)=D$92,F125,D$92-SUM(E$99:E125))</f>
        <v>339364.6053718644</v>
      </c>
      <c r="E126" s="160">
        <f t="shared" si="21"/>
        <v>18759.047619047618</v>
      </c>
      <c r="F126" s="159">
        <f t="shared" si="22"/>
        <v>320605.55775281676</v>
      </c>
      <c r="G126" s="159">
        <f t="shared" si="23"/>
        <v>329985.08156234061</v>
      </c>
      <c r="H126" s="163">
        <f t="shared" si="24"/>
        <v>58842.816490392841</v>
      </c>
      <c r="I126" s="253">
        <f t="shared" si="25"/>
        <v>58842.816490392841</v>
      </c>
      <c r="J126" s="158">
        <f t="shared" si="26"/>
        <v>0</v>
      </c>
      <c r="K126" s="158"/>
      <c r="L126" s="334"/>
      <c r="M126" s="158">
        <f t="shared" si="17"/>
        <v>0</v>
      </c>
      <c r="N126" s="334"/>
      <c r="O126" s="158">
        <f t="shared" si="18"/>
        <v>0</v>
      </c>
      <c r="P126" s="158">
        <f t="shared" si="19"/>
        <v>0</v>
      </c>
    </row>
    <row r="127" spans="2:16">
      <c r="B127" s="9" t="str">
        <f t="shared" si="20"/>
        <v/>
      </c>
      <c r="C127" s="153">
        <f>IF(D93="","-",+C126+1)</f>
        <v>2040</v>
      </c>
      <c r="D127" s="154">
        <f>IF(F126+SUM(E$99:E126)=D$92,F126,D$92-SUM(E$99:E126))</f>
        <v>320605.55775281676</v>
      </c>
      <c r="E127" s="160">
        <f t="shared" si="21"/>
        <v>18759.047619047618</v>
      </c>
      <c r="F127" s="159">
        <f t="shared" si="22"/>
        <v>301846.51013376913</v>
      </c>
      <c r="G127" s="159">
        <f t="shared" si="23"/>
        <v>311226.03394329292</v>
      </c>
      <c r="H127" s="163">
        <f t="shared" si="24"/>
        <v>56564.127631343887</v>
      </c>
      <c r="I127" s="253">
        <f t="shared" si="25"/>
        <v>56564.127631343887</v>
      </c>
      <c r="J127" s="158">
        <f t="shared" si="26"/>
        <v>0</v>
      </c>
      <c r="K127" s="158"/>
      <c r="L127" s="334"/>
      <c r="M127" s="158">
        <f t="shared" si="17"/>
        <v>0</v>
      </c>
      <c r="N127" s="334"/>
      <c r="O127" s="158">
        <f t="shared" si="18"/>
        <v>0</v>
      </c>
      <c r="P127" s="158">
        <f t="shared" si="19"/>
        <v>0</v>
      </c>
    </row>
    <row r="128" spans="2:16">
      <c r="B128" s="9" t="str">
        <f t="shared" si="20"/>
        <v/>
      </c>
      <c r="C128" s="153">
        <f>IF(D93="","-",+C127+1)</f>
        <v>2041</v>
      </c>
      <c r="D128" s="154">
        <f>IF(F127+SUM(E$99:E127)=D$92,F127,D$92-SUM(E$99:E127))</f>
        <v>301846.51013376913</v>
      </c>
      <c r="E128" s="160">
        <f t="shared" si="21"/>
        <v>18759.047619047618</v>
      </c>
      <c r="F128" s="159">
        <f t="shared" si="22"/>
        <v>283087.4625147215</v>
      </c>
      <c r="G128" s="159">
        <f t="shared" si="23"/>
        <v>292466.98632424534</v>
      </c>
      <c r="H128" s="163">
        <f t="shared" si="24"/>
        <v>54285.438772294947</v>
      </c>
      <c r="I128" s="253">
        <f t="shared" si="25"/>
        <v>54285.438772294947</v>
      </c>
      <c r="J128" s="158">
        <f t="shared" si="26"/>
        <v>0</v>
      </c>
      <c r="K128" s="158"/>
      <c r="L128" s="334"/>
      <c r="M128" s="158">
        <f t="shared" si="17"/>
        <v>0</v>
      </c>
      <c r="N128" s="334"/>
      <c r="O128" s="158">
        <f t="shared" si="18"/>
        <v>0</v>
      </c>
      <c r="P128" s="158">
        <f t="shared" si="19"/>
        <v>0</v>
      </c>
    </row>
    <row r="129" spans="2:16">
      <c r="B129" s="9" t="str">
        <f t="shared" si="20"/>
        <v/>
      </c>
      <c r="C129" s="153">
        <f>IF(D93="","-",+C128+1)</f>
        <v>2042</v>
      </c>
      <c r="D129" s="154">
        <f>IF(F128+SUM(E$99:E128)=D$92,F128,D$92-SUM(E$99:E128))</f>
        <v>283087.4625147215</v>
      </c>
      <c r="E129" s="160">
        <f t="shared" si="21"/>
        <v>18759.047619047618</v>
      </c>
      <c r="F129" s="159">
        <f t="shared" si="22"/>
        <v>264328.41489567386</v>
      </c>
      <c r="G129" s="159">
        <f t="shared" si="23"/>
        <v>273707.93870519765</v>
      </c>
      <c r="H129" s="163">
        <f t="shared" si="24"/>
        <v>52006.749913245993</v>
      </c>
      <c r="I129" s="253">
        <f t="shared" si="25"/>
        <v>52006.749913245993</v>
      </c>
      <c r="J129" s="158">
        <f t="shared" si="26"/>
        <v>0</v>
      </c>
      <c r="K129" s="158"/>
      <c r="L129" s="334"/>
      <c r="M129" s="158">
        <f t="shared" si="17"/>
        <v>0</v>
      </c>
      <c r="N129" s="334"/>
      <c r="O129" s="158">
        <f t="shared" si="18"/>
        <v>0</v>
      </c>
      <c r="P129" s="158">
        <f t="shared" si="19"/>
        <v>0</v>
      </c>
    </row>
    <row r="130" spans="2:16">
      <c r="B130" s="9" t="str">
        <f t="shared" si="20"/>
        <v/>
      </c>
      <c r="C130" s="153">
        <f>IF(D93="","-",+C129+1)</f>
        <v>2043</v>
      </c>
      <c r="D130" s="154">
        <f>IF(F129+SUM(E$99:E129)=D$92,F129,D$92-SUM(E$99:E129))</f>
        <v>264328.41489567386</v>
      </c>
      <c r="E130" s="160">
        <f t="shared" si="21"/>
        <v>18759.047619047618</v>
      </c>
      <c r="F130" s="159">
        <f t="shared" si="22"/>
        <v>245569.36727662623</v>
      </c>
      <c r="G130" s="159">
        <f t="shared" si="23"/>
        <v>254948.89108615005</v>
      </c>
      <c r="H130" s="163">
        <f t="shared" si="24"/>
        <v>49728.061054197045</v>
      </c>
      <c r="I130" s="253">
        <f t="shared" si="25"/>
        <v>49728.061054197045</v>
      </c>
      <c r="J130" s="158">
        <f t="shared" si="26"/>
        <v>0</v>
      </c>
      <c r="K130" s="158"/>
      <c r="L130" s="334"/>
      <c r="M130" s="158">
        <f t="shared" si="17"/>
        <v>0</v>
      </c>
      <c r="N130" s="334"/>
      <c r="O130" s="158">
        <f t="shared" si="18"/>
        <v>0</v>
      </c>
      <c r="P130" s="158">
        <f t="shared" si="19"/>
        <v>0</v>
      </c>
    </row>
    <row r="131" spans="2:16">
      <c r="B131" s="9" t="str">
        <f t="shared" si="20"/>
        <v/>
      </c>
      <c r="C131" s="153">
        <f>IF(D93="","-",+C130+1)</f>
        <v>2044</v>
      </c>
      <c r="D131" s="154">
        <f>IF(F130+SUM(E$99:E130)=D$92,F130,D$92-SUM(E$99:E130))</f>
        <v>245569.36727662623</v>
      </c>
      <c r="E131" s="160">
        <f t="shared" si="21"/>
        <v>18759.047619047618</v>
      </c>
      <c r="F131" s="159">
        <f t="shared" si="22"/>
        <v>226810.3196575786</v>
      </c>
      <c r="G131" s="159">
        <f t="shared" si="23"/>
        <v>236189.84346710242</v>
      </c>
      <c r="H131" s="163">
        <f t="shared" si="24"/>
        <v>47449.372195148098</v>
      </c>
      <c r="I131" s="253">
        <f t="shared" si="25"/>
        <v>47449.372195148098</v>
      </c>
      <c r="J131" s="158">
        <f t="shared" si="26"/>
        <v>0</v>
      </c>
      <c r="K131" s="158"/>
      <c r="L131" s="334"/>
      <c r="M131" s="158">
        <f t="shared" ref="M131:M154" si="27">IF(L541&lt;&gt;0,+H541-L541,0)</f>
        <v>0</v>
      </c>
      <c r="N131" s="334"/>
      <c r="O131" s="158">
        <f t="shared" ref="O131:O154" si="28">IF(N541&lt;&gt;0,+I541-N541,0)</f>
        <v>0</v>
      </c>
      <c r="P131" s="158">
        <f t="shared" ref="P131:P154" si="29">+O541-M541</f>
        <v>0</v>
      </c>
    </row>
    <row r="132" spans="2:16">
      <c r="B132" s="9" t="str">
        <f t="shared" si="20"/>
        <v/>
      </c>
      <c r="C132" s="153">
        <f>IF(D93="","-",+C131+1)</f>
        <v>2045</v>
      </c>
      <c r="D132" s="154">
        <f>IF(F131+SUM(E$99:E131)=D$92,F131,D$92-SUM(E$99:E131))</f>
        <v>226810.3196575786</v>
      </c>
      <c r="E132" s="160">
        <f t="shared" si="21"/>
        <v>18759.047619047618</v>
      </c>
      <c r="F132" s="159">
        <f t="shared" si="22"/>
        <v>208051.27203853097</v>
      </c>
      <c r="G132" s="159">
        <f t="shared" si="23"/>
        <v>217430.79584805478</v>
      </c>
      <c r="H132" s="163">
        <f t="shared" si="24"/>
        <v>45170.683336099144</v>
      </c>
      <c r="I132" s="253">
        <f t="shared" si="25"/>
        <v>45170.683336099144</v>
      </c>
      <c r="J132" s="158">
        <f t="shared" si="26"/>
        <v>0</v>
      </c>
      <c r="K132" s="158"/>
      <c r="L132" s="334"/>
      <c r="M132" s="158">
        <f t="shared" si="27"/>
        <v>0</v>
      </c>
      <c r="N132" s="334"/>
      <c r="O132" s="158">
        <f t="shared" si="28"/>
        <v>0</v>
      </c>
      <c r="P132" s="158">
        <f t="shared" si="29"/>
        <v>0</v>
      </c>
    </row>
    <row r="133" spans="2:16">
      <c r="B133" s="9" t="str">
        <f t="shared" si="20"/>
        <v/>
      </c>
      <c r="C133" s="153">
        <f>IF(D93="","-",+C132+1)</f>
        <v>2046</v>
      </c>
      <c r="D133" s="154">
        <f>IF(F132+SUM(E$99:E132)=D$92,F132,D$92-SUM(E$99:E132))</f>
        <v>208051.27203853097</v>
      </c>
      <c r="E133" s="160">
        <f t="shared" si="21"/>
        <v>18759.047619047618</v>
      </c>
      <c r="F133" s="159">
        <f t="shared" si="22"/>
        <v>189292.22441948333</v>
      </c>
      <c r="G133" s="159">
        <f t="shared" si="23"/>
        <v>198671.74822900715</v>
      </c>
      <c r="H133" s="163">
        <f t="shared" si="24"/>
        <v>42891.994477050197</v>
      </c>
      <c r="I133" s="253">
        <f t="shared" si="25"/>
        <v>42891.994477050197</v>
      </c>
      <c r="J133" s="158">
        <f t="shared" si="26"/>
        <v>0</v>
      </c>
      <c r="K133" s="158"/>
      <c r="L133" s="334"/>
      <c r="M133" s="158">
        <f t="shared" si="27"/>
        <v>0</v>
      </c>
      <c r="N133" s="334"/>
      <c r="O133" s="158">
        <f t="shared" si="28"/>
        <v>0</v>
      </c>
      <c r="P133" s="158">
        <f t="shared" si="29"/>
        <v>0</v>
      </c>
    </row>
    <row r="134" spans="2:16">
      <c r="B134" s="9" t="str">
        <f t="shared" si="20"/>
        <v/>
      </c>
      <c r="C134" s="153">
        <f>IF(D93="","-",+C133+1)</f>
        <v>2047</v>
      </c>
      <c r="D134" s="154">
        <f>IF(F133+SUM(E$99:E133)=D$92,F133,D$92-SUM(E$99:E133))</f>
        <v>189292.22441948333</v>
      </c>
      <c r="E134" s="160">
        <f t="shared" si="21"/>
        <v>18759.047619047618</v>
      </c>
      <c r="F134" s="159">
        <f t="shared" si="22"/>
        <v>170533.1768004357</v>
      </c>
      <c r="G134" s="159">
        <f t="shared" si="23"/>
        <v>179912.70060995952</v>
      </c>
      <c r="H134" s="163">
        <f t="shared" si="24"/>
        <v>40613.30561800125</v>
      </c>
      <c r="I134" s="253">
        <f t="shared" si="25"/>
        <v>40613.30561800125</v>
      </c>
      <c r="J134" s="158">
        <f t="shared" si="26"/>
        <v>0</v>
      </c>
      <c r="K134" s="158"/>
      <c r="L134" s="334"/>
      <c r="M134" s="158">
        <f t="shared" si="27"/>
        <v>0</v>
      </c>
      <c r="N134" s="334"/>
      <c r="O134" s="158">
        <f t="shared" si="28"/>
        <v>0</v>
      </c>
      <c r="P134" s="158">
        <f t="shared" si="29"/>
        <v>0</v>
      </c>
    </row>
    <row r="135" spans="2:16">
      <c r="B135" s="9" t="str">
        <f t="shared" si="20"/>
        <v/>
      </c>
      <c r="C135" s="153">
        <f>IF(D93="","-",+C134+1)</f>
        <v>2048</v>
      </c>
      <c r="D135" s="154">
        <f>IF(F134+SUM(E$99:E134)=D$92,F134,D$92-SUM(E$99:E134))</f>
        <v>170533.1768004357</v>
      </c>
      <c r="E135" s="160">
        <f t="shared" si="21"/>
        <v>18759.047619047618</v>
      </c>
      <c r="F135" s="159">
        <f t="shared" si="22"/>
        <v>151774.12918138807</v>
      </c>
      <c r="G135" s="159">
        <f t="shared" si="23"/>
        <v>161153.65299091188</v>
      </c>
      <c r="H135" s="163">
        <f t="shared" si="24"/>
        <v>38334.616758952296</v>
      </c>
      <c r="I135" s="253">
        <f t="shared" si="25"/>
        <v>38334.616758952296</v>
      </c>
      <c r="J135" s="158">
        <f t="shared" si="26"/>
        <v>0</v>
      </c>
      <c r="K135" s="158"/>
      <c r="L135" s="334"/>
      <c r="M135" s="158">
        <f t="shared" si="27"/>
        <v>0</v>
      </c>
      <c r="N135" s="334"/>
      <c r="O135" s="158">
        <f t="shared" si="28"/>
        <v>0</v>
      </c>
      <c r="P135" s="158">
        <f t="shared" si="29"/>
        <v>0</v>
      </c>
    </row>
    <row r="136" spans="2:16">
      <c r="B136" s="9" t="str">
        <f t="shared" si="20"/>
        <v/>
      </c>
      <c r="C136" s="153">
        <f>IF(D93="","-",+C135+1)</f>
        <v>2049</v>
      </c>
      <c r="D136" s="154">
        <f>IF(F135+SUM(E$99:E135)=D$92,F135,D$92-SUM(E$99:E135))</f>
        <v>151774.12918138807</v>
      </c>
      <c r="E136" s="160">
        <f t="shared" si="21"/>
        <v>18759.047619047618</v>
      </c>
      <c r="F136" s="159">
        <f t="shared" si="22"/>
        <v>133015.08156234043</v>
      </c>
      <c r="G136" s="159">
        <f t="shared" si="23"/>
        <v>142394.60537186425</v>
      </c>
      <c r="H136" s="163">
        <f t="shared" si="24"/>
        <v>36055.927899903356</v>
      </c>
      <c r="I136" s="253">
        <f t="shared" si="25"/>
        <v>36055.927899903356</v>
      </c>
      <c r="J136" s="158">
        <f t="shared" si="26"/>
        <v>0</v>
      </c>
      <c r="K136" s="158"/>
      <c r="L136" s="334"/>
      <c r="M136" s="158">
        <f t="shared" si="27"/>
        <v>0</v>
      </c>
      <c r="N136" s="334"/>
      <c r="O136" s="158">
        <f t="shared" si="28"/>
        <v>0</v>
      </c>
      <c r="P136" s="158">
        <f t="shared" si="29"/>
        <v>0</v>
      </c>
    </row>
    <row r="137" spans="2:16">
      <c r="B137" s="9" t="str">
        <f t="shared" si="20"/>
        <v/>
      </c>
      <c r="C137" s="153">
        <f>IF(D93="","-",+C136+1)</f>
        <v>2050</v>
      </c>
      <c r="D137" s="154">
        <f>IF(F136+SUM(E$99:E136)=D$92,F136,D$92-SUM(E$99:E136))</f>
        <v>133015.08156234043</v>
      </c>
      <c r="E137" s="160">
        <f t="shared" si="21"/>
        <v>18759.047619047618</v>
      </c>
      <c r="F137" s="159">
        <f t="shared" si="22"/>
        <v>114256.03394329282</v>
      </c>
      <c r="G137" s="159">
        <f t="shared" si="23"/>
        <v>123635.55775281662</v>
      </c>
      <c r="H137" s="163">
        <f t="shared" si="24"/>
        <v>33777.239040854402</v>
      </c>
      <c r="I137" s="253">
        <f t="shared" si="25"/>
        <v>33777.239040854402</v>
      </c>
      <c r="J137" s="158">
        <f t="shared" si="26"/>
        <v>0</v>
      </c>
      <c r="K137" s="158"/>
      <c r="L137" s="334"/>
      <c r="M137" s="158">
        <f t="shared" si="27"/>
        <v>0</v>
      </c>
      <c r="N137" s="334"/>
      <c r="O137" s="158">
        <f t="shared" si="28"/>
        <v>0</v>
      </c>
      <c r="P137" s="158">
        <f t="shared" si="29"/>
        <v>0</v>
      </c>
    </row>
    <row r="138" spans="2:16">
      <c r="B138" s="9" t="str">
        <f t="shared" si="20"/>
        <v/>
      </c>
      <c r="C138" s="153">
        <f>IF(D93="","-",+C137+1)</f>
        <v>2051</v>
      </c>
      <c r="D138" s="154">
        <f>IF(F137+SUM(E$99:E137)=D$92,F137,D$92-SUM(E$99:E137))</f>
        <v>114256.03394329282</v>
      </c>
      <c r="E138" s="160">
        <f t="shared" si="21"/>
        <v>18759.047619047618</v>
      </c>
      <c r="F138" s="159">
        <f t="shared" si="22"/>
        <v>95496.986324245197</v>
      </c>
      <c r="G138" s="159">
        <f t="shared" si="23"/>
        <v>104876.51013376901</v>
      </c>
      <c r="H138" s="163">
        <f t="shared" si="24"/>
        <v>31498.550181805454</v>
      </c>
      <c r="I138" s="253">
        <f t="shared" si="25"/>
        <v>31498.550181805454</v>
      </c>
      <c r="J138" s="158">
        <f t="shared" si="26"/>
        <v>0</v>
      </c>
      <c r="K138" s="158"/>
      <c r="L138" s="334"/>
      <c r="M138" s="158">
        <f t="shared" si="27"/>
        <v>0</v>
      </c>
      <c r="N138" s="334"/>
      <c r="O138" s="158">
        <f t="shared" si="28"/>
        <v>0</v>
      </c>
      <c r="P138" s="158">
        <f t="shared" si="29"/>
        <v>0</v>
      </c>
    </row>
    <row r="139" spans="2:16">
      <c r="B139" s="9" t="str">
        <f t="shared" si="20"/>
        <v/>
      </c>
      <c r="C139" s="153">
        <f>IF(D93="","-",+C138+1)</f>
        <v>2052</v>
      </c>
      <c r="D139" s="154">
        <f>IF(F138+SUM(E$99:E138)=D$92,F138,D$92-SUM(E$99:E138))</f>
        <v>95496.986324245197</v>
      </c>
      <c r="E139" s="160">
        <f t="shared" si="21"/>
        <v>18759.047619047618</v>
      </c>
      <c r="F139" s="159">
        <f t="shared" si="22"/>
        <v>76737.938705197579</v>
      </c>
      <c r="G139" s="159">
        <f t="shared" si="23"/>
        <v>86117.462514721381</v>
      </c>
      <c r="H139" s="163">
        <f t="shared" si="24"/>
        <v>29219.861322756507</v>
      </c>
      <c r="I139" s="253">
        <f t="shared" si="25"/>
        <v>29219.861322756507</v>
      </c>
      <c r="J139" s="158">
        <f t="shared" si="26"/>
        <v>0</v>
      </c>
      <c r="K139" s="158"/>
      <c r="L139" s="334"/>
      <c r="M139" s="158">
        <f t="shared" si="27"/>
        <v>0</v>
      </c>
      <c r="N139" s="334"/>
      <c r="O139" s="158">
        <f t="shared" si="28"/>
        <v>0</v>
      </c>
      <c r="P139" s="158">
        <f t="shared" si="29"/>
        <v>0</v>
      </c>
    </row>
    <row r="140" spans="2:16">
      <c r="B140" s="9" t="str">
        <f t="shared" si="20"/>
        <v/>
      </c>
      <c r="C140" s="153">
        <f>IF(D93="","-",+C139+1)</f>
        <v>2053</v>
      </c>
      <c r="D140" s="154">
        <f>IF(F139+SUM(E$99:E139)=D$92,F139,D$92-SUM(E$99:E139))</f>
        <v>76737.938705197579</v>
      </c>
      <c r="E140" s="160">
        <f t="shared" si="21"/>
        <v>18759.047619047618</v>
      </c>
      <c r="F140" s="159">
        <f t="shared" si="22"/>
        <v>57978.891086149961</v>
      </c>
      <c r="G140" s="159">
        <f t="shared" si="23"/>
        <v>67358.414895673777</v>
      </c>
      <c r="H140" s="163">
        <f t="shared" si="24"/>
        <v>26941.17246370756</v>
      </c>
      <c r="I140" s="253">
        <f t="shared" si="25"/>
        <v>26941.17246370756</v>
      </c>
      <c r="J140" s="158">
        <f t="shared" si="26"/>
        <v>0</v>
      </c>
      <c r="K140" s="158"/>
      <c r="L140" s="334"/>
      <c r="M140" s="158">
        <f t="shared" si="27"/>
        <v>0</v>
      </c>
      <c r="N140" s="334"/>
      <c r="O140" s="158">
        <f t="shared" si="28"/>
        <v>0</v>
      </c>
      <c r="P140" s="158">
        <f t="shared" si="29"/>
        <v>0</v>
      </c>
    </row>
    <row r="141" spans="2:16">
      <c r="B141" s="9" t="str">
        <f t="shared" si="20"/>
        <v/>
      </c>
      <c r="C141" s="153">
        <f>IF(D93="","-",+C140+1)</f>
        <v>2054</v>
      </c>
      <c r="D141" s="154">
        <f>IF(F140+SUM(E$99:E140)=D$92,F140,D$92-SUM(E$99:E140))</f>
        <v>57978.891086149961</v>
      </c>
      <c r="E141" s="160">
        <f t="shared" si="21"/>
        <v>18759.047619047618</v>
      </c>
      <c r="F141" s="159">
        <f t="shared" si="22"/>
        <v>39219.843467102342</v>
      </c>
      <c r="G141" s="159">
        <f t="shared" si="23"/>
        <v>48599.367276626152</v>
      </c>
      <c r="H141" s="163">
        <f t="shared" si="24"/>
        <v>24662.483604658613</v>
      </c>
      <c r="I141" s="253">
        <f t="shared" si="25"/>
        <v>24662.483604658613</v>
      </c>
      <c r="J141" s="158">
        <f t="shared" si="26"/>
        <v>0</v>
      </c>
      <c r="K141" s="158"/>
      <c r="L141" s="334"/>
      <c r="M141" s="158">
        <f t="shared" si="27"/>
        <v>0</v>
      </c>
      <c r="N141" s="334"/>
      <c r="O141" s="158">
        <f t="shared" si="28"/>
        <v>0</v>
      </c>
      <c r="P141" s="158">
        <f t="shared" si="29"/>
        <v>0</v>
      </c>
    </row>
    <row r="142" spans="2:16">
      <c r="B142" s="9" t="str">
        <f t="shared" si="20"/>
        <v/>
      </c>
      <c r="C142" s="153">
        <f>IF(D93="","-",+C141+1)</f>
        <v>2055</v>
      </c>
      <c r="D142" s="154">
        <f>IF(F141+SUM(E$99:E141)=D$92,F141,D$92-SUM(E$99:E141))</f>
        <v>39219.843467102342</v>
      </c>
      <c r="E142" s="160">
        <f t="shared" si="21"/>
        <v>18759.047619047618</v>
      </c>
      <c r="F142" s="159">
        <f t="shared" si="22"/>
        <v>20460.795848054724</v>
      </c>
      <c r="G142" s="159">
        <f t="shared" si="23"/>
        <v>29840.319657578533</v>
      </c>
      <c r="H142" s="163">
        <f t="shared" si="24"/>
        <v>22383.794745609666</v>
      </c>
      <c r="I142" s="253">
        <f t="shared" si="25"/>
        <v>22383.794745609666</v>
      </c>
      <c r="J142" s="158">
        <f t="shared" si="26"/>
        <v>0</v>
      </c>
      <c r="K142" s="158"/>
      <c r="L142" s="334"/>
      <c r="M142" s="158">
        <f t="shared" si="27"/>
        <v>0</v>
      </c>
      <c r="N142" s="334"/>
      <c r="O142" s="158">
        <f t="shared" si="28"/>
        <v>0</v>
      </c>
      <c r="P142" s="158">
        <f t="shared" si="29"/>
        <v>0</v>
      </c>
    </row>
    <row r="143" spans="2:16">
      <c r="B143" s="9" t="str">
        <f t="shared" si="20"/>
        <v>IU</v>
      </c>
      <c r="C143" s="153">
        <f>IF(D93="","-",+C142+1)</f>
        <v>2056</v>
      </c>
      <c r="D143" s="154">
        <f>IF(F142+SUM(E$99:E142)=D$92,F142,D$92-SUM(E$99:E142))</f>
        <v>20460.795848055277</v>
      </c>
      <c r="E143" s="160">
        <f t="shared" si="21"/>
        <v>18759.047619047618</v>
      </c>
      <c r="F143" s="159">
        <f t="shared" si="22"/>
        <v>1701.7482290076587</v>
      </c>
      <c r="G143" s="159">
        <f t="shared" si="23"/>
        <v>11081.272038531468</v>
      </c>
      <c r="H143" s="163">
        <f t="shared" si="24"/>
        <v>20105.105886560788</v>
      </c>
      <c r="I143" s="253">
        <f t="shared" si="25"/>
        <v>20105.105886560788</v>
      </c>
      <c r="J143" s="158">
        <f t="shared" si="26"/>
        <v>0</v>
      </c>
      <c r="K143" s="158"/>
      <c r="L143" s="334"/>
      <c r="M143" s="158">
        <f t="shared" si="27"/>
        <v>0</v>
      </c>
      <c r="N143" s="334"/>
      <c r="O143" s="158">
        <f t="shared" si="28"/>
        <v>0</v>
      </c>
      <c r="P143" s="158">
        <f t="shared" si="29"/>
        <v>0</v>
      </c>
    </row>
    <row r="144" spans="2:16">
      <c r="B144" s="9" t="str">
        <f t="shared" si="20"/>
        <v/>
      </c>
      <c r="C144" s="153">
        <f>IF(D93="","-",+C143+1)</f>
        <v>2057</v>
      </c>
      <c r="D144" s="154">
        <f>IF(F143+SUM(E$99:E143)=D$92,F143,D$92-SUM(E$99:E143))</f>
        <v>1701.7482290076587</v>
      </c>
      <c r="E144" s="160">
        <f t="shared" si="21"/>
        <v>1701.7482290076587</v>
      </c>
      <c r="F144" s="159">
        <f t="shared" si="22"/>
        <v>0</v>
      </c>
      <c r="G144" s="159">
        <f t="shared" si="23"/>
        <v>850.87411450382933</v>
      </c>
      <c r="H144" s="163">
        <f t="shared" si="24"/>
        <v>1805.1051480020062</v>
      </c>
      <c r="I144" s="253">
        <f t="shared" si="25"/>
        <v>1805.1051480020062</v>
      </c>
      <c r="J144" s="158">
        <f t="shared" si="26"/>
        <v>0</v>
      </c>
      <c r="K144" s="158"/>
      <c r="L144" s="334"/>
      <c r="M144" s="158">
        <f t="shared" si="27"/>
        <v>0</v>
      </c>
      <c r="N144" s="334"/>
      <c r="O144" s="158">
        <f t="shared" si="28"/>
        <v>0</v>
      </c>
      <c r="P144" s="158">
        <f t="shared" si="29"/>
        <v>0</v>
      </c>
    </row>
    <row r="145" spans="2:16">
      <c r="B145" s="9" t="str">
        <f t="shared" si="20"/>
        <v/>
      </c>
      <c r="C145" s="153">
        <f>IF(D93="","-",+C144+1)</f>
        <v>2058</v>
      </c>
      <c r="D145" s="154">
        <f>IF(F144+SUM(E$99:E144)=D$92,F144,D$92-SUM(E$99:E144))</f>
        <v>0</v>
      </c>
      <c r="E145" s="160">
        <f t="shared" si="21"/>
        <v>0</v>
      </c>
      <c r="F145" s="159">
        <f t="shared" si="22"/>
        <v>0</v>
      </c>
      <c r="G145" s="159">
        <f t="shared" si="23"/>
        <v>0</v>
      </c>
      <c r="H145" s="163">
        <f t="shared" si="24"/>
        <v>0</v>
      </c>
      <c r="I145" s="253">
        <f t="shared" si="25"/>
        <v>0</v>
      </c>
      <c r="J145" s="158">
        <f t="shared" si="26"/>
        <v>0</v>
      </c>
      <c r="K145" s="158"/>
      <c r="L145" s="334"/>
      <c r="M145" s="158">
        <f t="shared" si="27"/>
        <v>0</v>
      </c>
      <c r="N145" s="334"/>
      <c r="O145" s="158">
        <f t="shared" si="28"/>
        <v>0</v>
      </c>
      <c r="P145" s="158">
        <f t="shared" si="29"/>
        <v>0</v>
      </c>
    </row>
    <row r="146" spans="2:16">
      <c r="B146" s="9" t="str">
        <f t="shared" si="20"/>
        <v/>
      </c>
      <c r="C146" s="153">
        <f>IF(D93="","-",+C145+1)</f>
        <v>2059</v>
      </c>
      <c r="D146" s="154">
        <f>IF(F145+SUM(E$99:E145)=D$92,F145,D$92-SUM(E$99:E145))</f>
        <v>0</v>
      </c>
      <c r="E146" s="160">
        <f t="shared" si="21"/>
        <v>0</v>
      </c>
      <c r="F146" s="159">
        <f t="shared" si="22"/>
        <v>0</v>
      </c>
      <c r="G146" s="159">
        <f t="shared" si="23"/>
        <v>0</v>
      </c>
      <c r="H146" s="163">
        <f t="shared" si="24"/>
        <v>0</v>
      </c>
      <c r="I146" s="253">
        <f t="shared" si="25"/>
        <v>0</v>
      </c>
      <c r="J146" s="158">
        <f t="shared" si="26"/>
        <v>0</v>
      </c>
      <c r="K146" s="158"/>
      <c r="L146" s="334"/>
      <c r="M146" s="158">
        <f t="shared" si="27"/>
        <v>0</v>
      </c>
      <c r="N146" s="334"/>
      <c r="O146" s="158">
        <f t="shared" si="28"/>
        <v>0</v>
      </c>
      <c r="P146" s="158">
        <f t="shared" si="29"/>
        <v>0</v>
      </c>
    </row>
    <row r="147" spans="2:16">
      <c r="B147" s="9" t="str">
        <f t="shared" si="20"/>
        <v/>
      </c>
      <c r="C147" s="153">
        <f>IF(D93="","-",+C146+1)</f>
        <v>2060</v>
      </c>
      <c r="D147" s="154">
        <f>IF(F146+SUM(E$99:E146)=D$92,F146,D$92-SUM(E$99:E146))</f>
        <v>0</v>
      </c>
      <c r="E147" s="160">
        <f t="shared" si="21"/>
        <v>0</v>
      </c>
      <c r="F147" s="159">
        <f t="shared" si="22"/>
        <v>0</v>
      </c>
      <c r="G147" s="159">
        <f t="shared" si="23"/>
        <v>0</v>
      </c>
      <c r="H147" s="163">
        <f t="shared" si="24"/>
        <v>0</v>
      </c>
      <c r="I147" s="253">
        <f t="shared" si="25"/>
        <v>0</v>
      </c>
      <c r="J147" s="158">
        <f t="shared" si="26"/>
        <v>0</v>
      </c>
      <c r="K147" s="158"/>
      <c r="L147" s="334"/>
      <c r="M147" s="158">
        <f t="shared" si="27"/>
        <v>0</v>
      </c>
      <c r="N147" s="334"/>
      <c r="O147" s="158">
        <f t="shared" si="28"/>
        <v>0</v>
      </c>
      <c r="P147" s="158">
        <f t="shared" si="29"/>
        <v>0</v>
      </c>
    </row>
    <row r="148" spans="2:16">
      <c r="B148" s="9" t="str">
        <f t="shared" si="20"/>
        <v/>
      </c>
      <c r="C148" s="153">
        <f>IF(D93="","-",+C147+1)</f>
        <v>2061</v>
      </c>
      <c r="D148" s="154">
        <f>IF(F147+SUM(E$99:E147)=D$92,F147,D$92-SUM(E$99:E147))</f>
        <v>0</v>
      </c>
      <c r="E148" s="160">
        <f t="shared" si="21"/>
        <v>0</v>
      </c>
      <c r="F148" s="159">
        <f t="shared" si="22"/>
        <v>0</v>
      </c>
      <c r="G148" s="159">
        <f t="shared" si="23"/>
        <v>0</v>
      </c>
      <c r="H148" s="163">
        <f t="shared" si="24"/>
        <v>0</v>
      </c>
      <c r="I148" s="253">
        <f t="shared" si="25"/>
        <v>0</v>
      </c>
      <c r="J148" s="158">
        <f t="shared" si="26"/>
        <v>0</v>
      </c>
      <c r="K148" s="158"/>
      <c r="L148" s="334"/>
      <c r="M148" s="158">
        <f t="shared" si="27"/>
        <v>0</v>
      </c>
      <c r="N148" s="334"/>
      <c r="O148" s="158">
        <f t="shared" si="28"/>
        <v>0</v>
      </c>
      <c r="P148" s="158">
        <f t="shared" si="29"/>
        <v>0</v>
      </c>
    </row>
    <row r="149" spans="2:16">
      <c r="B149" s="9" t="str">
        <f t="shared" si="20"/>
        <v/>
      </c>
      <c r="C149" s="153">
        <f>IF(D93="","-",+C148+1)</f>
        <v>2062</v>
      </c>
      <c r="D149" s="154">
        <f>IF(F148+SUM(E$99:E148)=D$92,F148,D$92-SUM(E$99:E148))</f>
        <v>0</v>
      </c>
      <c r="E149" s="160">
        <f t="shared" si="21"/>
        <v>0</v>
      </c>
      <c r="F149" s="159">
        <f t="shared" si="22"/>
        <v>0</v>
      </c>
      <c r="G149" s="159">
        <f t="shared" si="23"/>
        <v>0</v>
      </c>
      <c r="H149" s="163">
        <f t="shared" si="24"/>
        <v>0</v>
      </c>
      <c r="I149" s="253">
        <f t="shared" si="25"/>
        <v>0</v>
      </c>
      <c r="J149" s="158">
        <f t="shared" si="26"/>
        <v>0</v>
      </c>
      <c r="K149" s="158"/>
      <c r="L149" s="334"/>
      <c r="M149" s="158">
        <f t="shared" si="27"/>
        <v>0</v>
      </c>
      <c r="N149" s="334"/>
      <c r="O149" s="158">
        <f t="shared" si="28"/>
        <v>0</v>
      </c>
      <c r="P149" s="158">
        <f t="shared" si="29"/>
        <v>0</v>
      </c>
    </row>
    <row r="150" spans="2:16">
      <c r="B150" s="9" t="str">
        <f t="shared" si="20"/>
        <v/>
      </c>
      <c r="C150" s="153">
        <f>IF(D93="","-",+C149+1)</f>
        <v>2063</v>
      </c>
      <c r="D150" s="154">
        <f>IF(F149+SUM(E$99:E149)=D$92,F149,D$92-SUM(E$99:E149))</f>
        <v>0</v>
      </c>
      <c r="E150" s="160">
        <f t="shared" si="21"/>
        <v>0</v>
      </c>
      <c r="F150" s="159">
        <f t="shared" si="22"/>
        <v>0</v>
      </c>
      <c r="G150" s="159">
        <f t="shared" si="23"/>
        <v>0</v>
      </c>
      <c r="H150" s="163">
        <f t="shared" si="24"/>
        <v>0</v>
      </c>
      <c r="I150" s="253">
        <f t="shared" si="25"/>
        <v>0</v>
      </c>
      <c r="J150" s="158">
        <f t="shared" si="26"/>
        <v>0</v>
      </c>
      <c r="K150" s="158"/>
      <c r="L150" s="334"/>
      <c r="M150" s="158">
        <f t="shared" si="27"/>
        <v>0</v>
      </c>
      <c r="N150" s="334"/>
      <c r="O150" s="158">
        <f t="shared" si="28"/>
        <v>0</v>
      </c>
      <c r="P150" s="158">
        <f t="shared" si="29"/>
        <v>0</v>
      </c>
    </row>
    <row r="151" spans="2:16">
      <c r="B151" s="9" t="str">
        <f t="shared" si="20"/>
        <v/>
      </c>
      <c r="C151" s="153">
        <f>IF(D93="","-",+C150+1)</f>
        <v>2064</v>
      </c>
      <c r="D151" s="154">
        <f>IF(F150+SUM(E$99:E150)=D$92,F150,D$92-SUM(E$99:E150))</f>
        <v>0</v>
      </c>
      <c r="E151" s="160">
        <f t="shared" si="21"/>
        <v>0</v>
      </c>
      <c r="F151" s="159">
        <f t="shared" si="22"/>
        <v>0</v>
      </c>
      <c r="G151" s="159">
        <f t="shared" si="23"/>
        <v>0</v>
      </c>
      <c r="H151" s="163">
        <f t="shared" si="24"/>
        <v>0</v>
      </c>
      <c r="I151" s="253">
        <f t="shared" si="25"/>
        <v>0</v>
      </c>
      <c r="J151" s="158">
        <f t="shared" si="26"/>
        <v>0</v>
      </c>
      <c r="K151" s="158"/>
      <c r="L151" s="334"/>
      <c r="M151" s="158">
        <f t="shared" si="27"/>
        <v>0</v>
      </c>
      <c r="N151" s="334"/>
      <c r="O151" s="158">
        <f t="shared" si="28"/>
        <v>0</v>
      </c>
      <c r="P151" s="158">
        <f t="shared" si="29"/>
        <v>0</v>
      </c>
    </row>
    <row r="152" spans="2:16">
      <c r="B152" s="9" t="str">
        <f t="shared" si="20"/>
        <v/>
      </c>
      <c r="C152" s="153">
        <f>IF(D93="","-",+C151+1)</f>
        <v>2065</v>
      </c>
      <c r="D152" s="154">
        <f>IF(F151+SUM(E$99:E151)=D$92,F151,D$92-SUM(E$99:E151))</f>
        <v>0</v>
      </c>
      <c r="E152" s="160">
        <f t="shared" si="21"/>
        <v>0</v>
      </c>
      <c r="F152" s="159">
        <f t="shared" si="22"/>
        <v>0</v>
      </c>
      <c r="G152" s="159">
        <f t="shared" si="23"/>
        <v>0</v>
      </c>
      <c r="H152" s="163">
        <f t="shared" si="24"/>
        <v>0</v>
      </c>
      <c r="I152" s="253">
        <f t="shared" si="25"/>
        <v>0</v>
      </c>
      <c r="J152" s="158">
        <f t="shared" si="26"/>
        <v>0</v>
      </c>
      <c r="K152" s="158"/>
      <c r="L152" s="334"/>
      <c r="M152" s="158">
        <f t="shared" si="27"/>
        <v>0</v>
      </c>
      <c r="N152" s="334"/>
      <c r="O152" s="158">
        <f t="shared" si="28"/>
        <v>0</v>
      </c>
      <c r="P152" s="158">
        <f t="shared" si="29"/>
        <v>0</v>
      </c>
    </row>
    <row r="153" spans="2:16">
      <c r="B153" s="9" t="str">
        <f t="shared" si="20"/>
        <v/>
      </c>
      <c r="C153" s="153">
        <f>IF(D93="","-",+C152+1)</f>
        <v>2066</v>
      </c>
      <c r="D153" s="154">
        <f>IF(F152+SUM(E$99:E152)=D$92,F152,D$92-SUM(E$99:E152))</f>
        <v>0</v>
      </c>
      <c r="E153" s="160">
        <f t="shared" si="21"/>
        <v>0</v>
      </c>
      <c r="F153" s="159">
        <f t="shared" si="22"/>
        <v>0</v>
      </c>
      <c r="G153" s="159">
        <f t="shared" si="23"/>
        <v>0</v>
      </c>
      <c r="H153" s="163">
        <f t="shared" si="24"/>
        <v>0</v>
      </c>
      <c r="I153" s="253">
        <f t="shared" si="25"/>
        <v>0</v>
      </c>
      <c r="J153" s="158">
        <f t="shared" si="26"/>
        <v>0</v>
      </c>
      <c r="K153" s="158"/>
      <c r="L153" s="334"/>
      <c r="M153" s="158">
        <f t="shared" si="27"/>
        <v>0</v>
      </c>
      <c r="N153" s="334"/>
      <c r="O153" s="158">
        <f t="shared" si="28"/>
        <v>0</v>
      </c>
      <c r="P153" s="158">
        <f t="shared" si="29"/>
        <v>0</v>
      </c>
    </row>
    <row r="154" spans="2:16" ht="13.5" thickBot="1">
      <c r="B154" s="9" t="str">
        <f t="shared" si="20"/>
        <v/>
      </c>
      <c r="C154" s="164">
        <f>IF(D93="","-",+C153+1)</f>
        <v>2067</v>
      </c>
      <c r="D154" s="154">
        <f>IF(F153+SUM(E$99:E153)=D$92,F153,D$92-SUM(E$99:E153))</f>
        <v>0</v>
      </c>
      <c r="E154" s="160">
        <f t="shared" si="21"/>
        <v>0</v>
      </c>
      <c r="F154" s="159">
        <f t="shared" si="22"/>
        <v>0</v>
      </c>
      <c r="G154" s="159">
        <f t="shared" si="23"/>
        <v>0</v>
      </c>
      <c r="H154" s="163">
        <f t="shared" si="24"/>
        <v>0</v>
      </c>
      <c r="I154" s="253">
        <f t="shared" si="25"/>
        <v>0</v>
      </c>
      <c r="J154" s="158">
        <f t="shared" si="26"/>
        <v>0</v>
      </c>
      <c r="K154" s="158"/>
      <c r="L154" s="335"/>
      <c r="M154" s="169">
        <f t="shared" si="27"/>
        <v>0</v>
      </c>
      <c r="N154" s="335"/>
      <c r="O154" s="169">
        <f t="shared" si="28"/>
        <v>0</v>
      </c>
      <c r="P154" s="169">
        <f t="shared" si="29"/>
        <v>0</v>
      </c>
    </row>
    <row r="155" spans="2:16">
      <c r="C155" s="154" t="s">
        <v>73</v>
      </c>
      <c r="D155" s="111"/>
      <c r="E155" s="111">
        <f>SUM(E99:E154)</f>
        <v>787880</v>
      </c>
      <c r="F155" s="111"/>
      <c r="G155" s="111"/>
      <c r="H155" s="111">
        <f>SUM(H99:H154)</f>
        <v>2811502.4194849511</v>
      </c>
      <c r="I155" s="111">
        <f>SUM(I99:I154)</f>
        <v>2811502.4194849511</v>
      </c>
      <c r="J155" s="111">
        <f>SUM(J99:J154)</f>
        <v>0</v>
      </c>
      <c r="K155" s="111"/>
      <c r="L155" s="111"/>
      <c r="M155" s="111"/>
      <c r="N155" s="111"/>
      <c r="O155" s="111"/>
      <c r="P155" s="1"/>
    </row>
    <row r="156" spans="2:16">
      <c r="C156" t="s">
        <v>87</v>
      </c>
      <c r="D156" s="2"/>
      <c r="E156" s="1"/>
      <c r="F156" s="1"/>
      <c r="G156" s="1"/>
      <c r="H156" s="1"/>
      <c r="I156" s="3"/>
      <c r="J156" s="3"/>
      <c r="K156" s="111"/>
      <c r="L156" s="3"/>
      <c r="M156" s="3"/>
      <c r="N156" s="3"/>
      <c r="O156" s="3"/>
      <c r="P156" s="1"/>
    </row>
    <row r="157" spans="2:16">
      <c r="C157" s="216"/>
      <c r="D157" s="2"/>
      <c r="E157" s="1"/>
      <c r="F157" s="1"/>
      <c r="G157" s="1"/>
      <c r="H157" s="1"/>
      <c r="I157" s="3"/>
      <c r="J157" s="3"/>
      <c r="K157" s="111"/>
      <c r="L157" s="3"/>
      <c r="M157" s="3"/>
      <c r="N157" s="3"/>
      <c r="O157" s="3"/>
      <c r="P157" s="1"/>
    </row>
    <row r="158" spans="2:16">
      <c r="C158" s="248" t="s">
        <v>127</v>
      </c>
      <c r="D158" s="2"/>
      <c r="E158" s="1"/>
      <c r="F158" s="1"/>
      <c r="G158" s="1"/>
      <c r="H158" s="1"/>
      <c r="I158" s="3"/>
      <c r="J158" s="3"/>
      <c r="K158" s="111"/>
      <c r="L158" s="3"/>
      <c r="M158" s="3"/>
      <c r="N158" s="3"/>
      <c r="O158" s="3"/>
      <c r="P158" s="1"/>
    </row>
    <row r="159" spans="2:16">
      <c r="C159" s="121" t="s">
        <v>74</v>
      </c>
      <c r="D159" s="154"/>
      <c r="E159" s="154"/>
      <c r="F159" s="154"/>
      <c r="G159" s="154"/>
      <c r="H159" s="111"/>
      <c r="I159" s="111"/>
      <c r="J159" s="171"/>
      <c r="K159" s="171"/>
      <c r="L159" s="171"/>
      <c r="M159" s="171"/>
      <c r="N159" s="171"/>
      <c r="O159" s="171"/>
      <c r="P159" s="1"/>
    </row>
    <row r="160" spans="2:16">
      <c r="C160" s="217" t="s">
        <v>75</v>
      </c>
      <c r="D160" s="154"/>
      <c r="E160" s="154"/>
      <c r="F160" s="154"/>
      <c r="G160" s="154"/>
      <c r="H160" s="111"/>
      <c r="I160" s="111"/>
      <c r="J160" s="171"/>
      <c r="K160" s="171"/>
      <c r="L160" s="171"/>
      <c r="M160" s="171"/>
      <c r="N160" s="171"/>
      <c r="O160" s="171"/>
      <c r="P160" s="1"/>
    </row>
    <row r="161" spans="3:16">
      <c r="C161" s="217"/>
      <c r="D161" s="154"/>
      <c r="E161" s="154"/>
      <c r="F161" s="154"/>
      <c r="G161" s="154"/>
      <c r="H161" s="111"/>
      <c r="I161" s="111"/>
      <c r="J161" s="171"/>
      <c r="K161" s="171"/>
      <c r="L161" s="171"/>
      <c r="M161" s="171"/>
      <c r="N161" s="171"/>
      <c r="O161" s="171"/>
      <c r="P161" s="1"/>
    </row>
    <row r="162" spans="3:16" ht="18">
      <c r="C162" s="217"/>
      <c r="D162" s="154"/>
      <c r="E162" s="154"/>
      <c r="F162" s="154"/>
      <c r="G162" s="154"/>
      <c r="H162" s="111"/>
      <c r="I162" s="111"/>
      <c r="J162" s="171"/>
      <c r="K162" s="171"/>
      <c r="L162" s="171"/>
      <c r="M162" s="171"/>
      <c r="N162" s="171"/>
      <c r="P162" s="245" t="s">
        <v>126</v>
      </c>
    </row>
  </sheetData>
  <conditionalFormatting sqref="C17:C72">
    <cfRule type="cellIs" dxfId="70" priority="1" stopIfTrue="1" operator="equal">
      <formula>$I$10</formula>
    </cfRule>
  </conditionalFormatting>
  <conditionalFormatting sqref="C99:C154">
    <cfRule type="cellIs" dxfId="69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7">
    <tabColor theme="9" tint="-0.249977111117893"/>
  </sheetPr>
  <dimension ref="A1:P162"/>
  <sheetViews>
    <sheetView view="pageBreakPreview" zoomScale="82" zoomScaleNormal="100" zoomScaleSheetLayoutView="82" workbookViewId="0">
      <selection activeCell="C19" sqref="C19"/>
    </sheetView>
  </sheetViews>
  <sheetFormatPr defaultRowHeight="12.75" customHeight="1"/>
  <cols>
    <col min="1" max="1" width="4.7109375" customWidth="1"/>
    <col min="2" max="2" width="6.7109375" customWidth="1"/>
    <col min="3" max="3" width="23.28515625" customWidth="1"/>
    <col min="4" max="8" width="17.7109375" customWidth="1"/>
    <col min="9" max="9" width="20.42578125" customWidth="1"/>
    <col min="10" max="10" width="16.42578125" customWidth="1"/>
    <col min="11" max="11" width="17.7109375" customWidth="1"/>
    <col min="12" max="12" width="16.140625" customWidth="1"/>
    <col min="13" max="13" width="17.7109375" customWidth="1"/>
    <col min="14" max="14" width="16.7109375" customWidth="1"/>
    <col min="15" max="15" width="16.85546875" customWidth="1"/>
    <col min="16" max="16" width="24.42578125" customWidth="1"/>
    <col min="17" max="17" width="9.140625" customWidth="1"/>
    <col min="23" max="23" width="9.140625" customWidth="1"/>
  </cols>
  <sheetData>
    <row r="1" spans="1:16" ht="20.25">
      <c r="A1" s="243" t="s">
        <v>128</v>
      </c>
      <c r="B1" s="1"/>
      <c r="C1" s="21"/>
      <c r="D1" s="2"/>
      <c r="E1" s="1"/>
      <c r="F1" s="99"/>
      <c r="G1" s="1"/>
      <c r="H1" s="3"/>
      <c r="J1" s="7"/>
      <c r="K1" s="109"/>
      <c r="L1" s="109"/>
      <c r="M1" s="109"/>
      <c r="P1" s="249" t="str">
        <f ca="1">"SWEPCO Project "&amp;RIGHT(MID(CELL("filename",$A$1),FIND("]",CELL("filename",$A$1))+1,256),2)&amp;" of "&amp;COUNT('S.001:S.xyz - blank'!$P$3)-1</f>
        <v>SWEPCO Project 48 of 73</v>
      </c>
    </row>
    <row r="2" spans="1:16" ht="18">
      <c r="B2" s="1"/>
      <c r="C2" s="1"/>
      <c r="D2" s="2"/>
      <c r="E2" s="1"/>
      <c r="F2" s="1"/>
      <c r="G2" s="1"/>
      <c r="H2" s="3"/>
      <c r="I2" s="1"/>
      <c r="J2" s="4"/>
      <c r="K2" s="1"/>
      <c r="L2" s="1"/>
      <c r="M2" s="1"/>
      <c r="N2" s="1"/>
      <c r="P2" s="244" t="s">
        <v>124</v>
      </c>
    </row>
    <row r="3" spans="1:16" ht="18.75">
      <c r="B3" s="5" t="s">
        <v>40</v>
      </c>
      <c r="C3" s="68" t="s">
        <v>41</v>
      </c>
      <c r="D3" s="2"/>
      <c r="E3" s="1"/>
      <c r="F3" s="1"/>
      <c r="G3" s="1"/>
      <c r="H3" s="3"/>
      <c r="I3" s="3"/>
      <c r="J3" s="111"/>
      <c r="K3" s="3"/>
      <c r="L3" s="3"/>
      <c r="M3" s="3"/>
      <c r="N3" s="3"/>
      <c r="O3" s="1"/>
      <c r="P3" s="240">
        <v>1</v>
      </c>
    </row>
    <row r="4" spans="1:16" ht="15.75" thickBot="1">
      <c r="C4" s="67"/>
      <c r="D4" s="2"/>
      <c r="E4" s="1"/>
      <c r="F4" s="1"/>
      <c r="G4" s="1"/>
      <c r="H4" s="3"/>
      <c r="I4" s="3"/>
      <c r="J4" s="111"/>
      <c r="K4" s="3"/>
      <c r="L4" s="3"/>
      <c r="M4" s="3"/>
      <c r="N4" s="3"/>
      <c r="O4" s="1"/>
      <c r="P4" s="1"/>
    </row>
    <row r="5" spans="1:16" ht="15">
      <c r="C5" s="112" t="s">
        <v>42</v>
      </c>
      <c r="D5" s="2"/>
      <c r="E5" s="1"/>
      <c r="F5" s="1"/>
      <c r="G5" s="113"/>
      <c r="H5" s="1" t="s">
        <v>43</v>
      </c>
      <c r="I5" s="1"/>
      <c r="J5" s="4"/>
      <c r="K5" s="268" t="s">
        <v>152</v>
      </c>
      <c r="L5" s="114"/>
      <c r="M5" s="115"/>
      <c r="N5" s="116">
        <f>VLOOKUP(I10,C17:I72,5)</f>
        <v>16175.544883269005</v>
      </c>
      <c r="P5" s="1"/>
    </row>
    <row r="6" spans="1:16" ht="15.75">
      <c r="C6" s="8"/>
      <c r="D6" s="2"/>
      <c r="E6" s="1"/>
      <c r="F6" s="1"/>
      <c r="G6" s="1"/>
      <c r="H6" s="117"/>
      <c r="I6" s="117"/>
      <c r="J6" s="118"/>
      <c r="K6" s="269" t="s">
        <v>153</v>
      </c>
      <c r="L6" s="119"/>
      <c r="M6" s="4"/>
      <c r="N6" s="120">
        <f>VLOOKUP(I10,C17:I72,6)</f>
        <v>16175.544883269005</v>
      </c>
      <c r="O6" s="1"/>
      <c r="P6" s="1"/>
    </row>
    <row r="7" spans="1:16" ht="13.5" thickBot="1">
      <c r="C7" s="121" t="s">
        <v>44</v>
      </c>
      <c r="D7" s="386" t="s">
        <v>325</v>
      </c>
      <c r="E7" s="379"/>
      <c r="F7" s="379"/>
      <c r="G7" s="379"/>
      <c r="H7" s="383"/>
      <c r="I7" s="3"/>
      <c r="J7" s="111"/>
      <c r="K7" s="122" t="s">
        <v>45</v>
      </c>
      <c r="L7" s="123"/>
      <c r="M7" s="123"/>
      <c r="N7" s="124">
        <f>+N6-N5</f>
        <v>0</v>
      </c>
      <c r="O7" s="1"/>
      <c r="P7" s="1"/>
    </row>
    <row r="8" spans="1:16" ht="13.5" thickBot="1">
      <c r="C8" s="125"/>
      <c r="D8" s="418" t="s">
        <v>344</v>
      </c>
      <c r="E8" s="126"/>
      <c r="F8" s="126"/>
      <c r="G8" s="126"/>
      <c r="H8" s="126"/>
      <c r="I8" s="126"/>
      <c r="J8" s="101"/>
      <c r="K8" s="126"/>
      <c r="L8" s="126"/>
      <c r="M8" s="126"/>
      <c r="N8" s="126"/>
      <c r="O8" s="101"/>
      <c r="P8" s="21"/>
    </row>
    <row r="9" spans="1:16" ht="13.5" thickBot="1">
      <c r="C9" s="127" t="s">
        <v>46</v>
      </c>
      <c r="D9" s="225" t="s">
        <v>324</v>
      </c>
      <c r="E9" s="401" t="s">
        <v>435</v>
      </c>
      <c r="F9" s="128"/>
      <c r="G9" s="128"/>
      <c r="H9" s="128"/>
      <c r="I9" s="129"/>
      <c r="J9" s="130"/>
      <c r="O9" s="131"/>
      <c r="P9" s="4"/>
    </row>
    <row r="10" spans="1:16">
      <c r="C10" s="132" t="s">
        <v>47</v>
      </c>
      <c r="D10" s="133">
        <v>160296.1</v>
      </c>
      <c r="E10" s="61" t="s">
        <v>459</v>
      </c>
      <c r="F10" s="131"/>
      <c r="G10" s="134"/>
      <c r="H10" s="134"/>
      <c r="I10" s="135">
        <f>+SWE.WS.F.BPU.ATRR.Projected!K17</f>
        <v>2019</v>
      </c>
      <c r="J10" s="130"/>
      <c r="K10" s="111" t="s">
        <v>48</v>
      </c>
      <c r="O10" s="4"/>
      <c r="P10" s="4"/>
    </row>
    <row r="11" spans="1:16">
      <c r="C11" s="136" t="s">
        <v>49</v>
      </c>
      <c r="D11" s="137">
        <v>2010</v>
      </c>
      <c r="E11" s="136" t="s">
        <v>50</v>
      </c>
      <c r="F11" s="134"/>
      <c r="G11" s="7"/>
      <c r="H11" s="7"/>
      <c r="I11" s="138">
        <f>IF(G5="",0,SWE.WS.F.BPU.ATRR.Projected!F$11)</f>
        <v>0</v>
      </c>
      <c r="J11" s="139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4"/>
      <c r="P11" s="4"/>
    </row>
    <row r="12" spans="1:16">
      <c r="C12" s="136" t="s">
        <v>51</v>
      </c>
      <c r="D12" s="133">
        <v>3</v>
      </c>
      <c r="E12" s="136" t="s">
        <v>52</v>
      </c>
      <c r="F12" s="134"/>
      <c r="G12" s="7"/>
      <c r="H12" s="7"/>
      <c r="I12" s="140">
        <f>SWE.WS.F.BPU.ATRR.Projected!$F$76</f>
        <v>9.9555672459071778E-2</v>
      </c>
      <c r="J12" s="141"/>
      <c r="K12" t="s">
        <v>53</v>
      </c>
      <c r="O12" s="4"/>
      <c r="P12" s="4"/>
    </row>
    <row r="13" spans="1:16">
      <c r="C13" s="136" t="s">
        <v>54</v>
      </c>
      <c r="D13" s="138">
        <f>+SWE.WS.F.BPU.ATRR.Projected!F$87</f>
        <v>43</v>
      </c>
      <c r="E13" s="136" t="s">
        <v>55</v>
      </c>
      <c r="F13" s="134"/>
      <c r="G13" s="7"/>
      <c r="H13" s="7"/>
      <c r="I13" s="140">
        <f>IF(G5="",I12,SWE.WS.F.BPU.ATRR.Projected!$F$75)</f>
        <v>9.9555672459071778E-2</v>
      </c>
      <c r="J13" s="141"/>
      <c r="K13" s="111" t="s">
        <v>56</v>
      </c>
      <c r="L13" s="58"/>
      <c r="M13" s="58"/>
      <c r="N13" s="58"/>
      <c r="O13" s="4"/>
      <c r="P13" s="4"/>
    </row>
    <row r="14" spans="1:16" ht="13.5" thickBot="1">
      <c r="C14" s="136" t="s">
        <v>57</v>
      </c>
      <c r="D14" s="137" t="s">
        <v>58</v>
      </c>
      <c r="E14" s="4" t="s">
        <v>59</v>
      </c>
      <c r="F14" s="134"/>
      <c r="G14" s="7"/>
      <c r="H14" s="7"/>
      <c r="I14" s="142">
        <f>IF(D10=0,0,D10/D13)</f>
        <v>3727.8162790697675</v>
      </c>
      <c r="J14" s="111"/>
      <c r="K14" s="111"/>
      <c r="L14" s="111"/>
      <c r="M14" s="111"/>
      <c r="N14" s="111"/>
      <c r="O14" s="4"/>
      <c r="P14" s="4"/>
    </row>
    <row r="15" spans="1:16" ht="38.25">
      <c r="C15" s="143" t="s">
        <v>47</v>
      </c>
      <c r="D15" s="144" t="s">
        <v>60</v>
      </c>
      <c r="E15" s="144" t="s">
        <v>61</v>
      </c>
      <c r="F15" s="144" t="s">
        <v>62</v>
      </c>
      <c r="G15" s="434" t="s">
        <v>378</v>
      </c>
      <c r="H15" s="435" t="s">
        <v>379</v>
      </c>
      <c r="I15" s="143" t="s">
        <v>63</v>
      </c>
      <c r="J15" s="145"/>
      <c r="K15" s="271" t="s">
        <v>219</v>
      </c>
      <c r="L15" s="146" t="s">
        <v>64</v>
      </c>
      <c r="M15" s="271" t="s">
        <v>219</v>
      </c>
      <c r="N15" s="146" t="s">
        <v>64</v>
      </c>
      <c r="O15" s="146" t="s">
        <v>65</v>
      </c>
      <c r="P15" s="4"/>
    </row>
    <row r="16" spans="1:16" ht="13.5" thickBot="1">
      <c r="C16" s="147" t="s">
        <v>66</v>
      </c>
      <c r="D16" s="147" t="s">
        <v>67</v>
      </c>
      <c r="E16" s="147" t="s">
        <v>68</v>
      </c>
      <c r="F16" s="147" t="s">
        <v>67</v>
      </c>
      <c r="G16" s="408" t="s">
        <v>69</v>
      </c>
      <c r="H16" s="148" t="s">
        <v>70</v>
      </c>
      <c r="I16" s="149" t="s">
        <v>89</v>
      </c>
      <c r="J16" s="150" t="s">
        <v>71</v>
      </c>
      <c r="K16" s="151" t="s">
        <v>72</v>
      </c>
      <c r="L16" s="151" t="s">
        <v>72</v>
      </c>
      <c r="M16" s="151" t="s">
        <v>90</v>
      </c>
      <c r="N16" s="152" t="s">
        <v>90</v>
      </c>
      <c r="O16" s="151" t="s">
        <v>90</v>
      </c>
      <c r="P16" s="4"/>
    </row>
    <row r="17" spans="2:16">
      <c r="C17" s="153">
        <f>IF(D11= "","-",D11)</f>
        <v>2010</v>
      </c>
      <c r="D17" s="409">
        <v>160296.1</v>
      </c>
      <c r="E17" s="415">
        <v>2862.4303571428577</v>
      </c>
      <c r="F17" s="409">
        <v>157433.66964285716</v>
      </c>
      <c r="G17" s="415">
        <v>24101.886744322466</v>
      </c>
      <c r="H17" s="416">
        <v>24101.886744322466</v>
      </c>
      <c r="I17" s="156">
        <v>0</v>
      </c>
      <c r="J17" s="156"/>
      <c r="K17" s="256">
        <f t="shared" ref="K17:K22" si="0">G17</f>
        <v>24101.886744322466</v>
      </c>
      <c r="L17" s="172">
        <f t="shared" ref="L17:L22" si="1">IF(K17&lt;&gt;0,+G17-K17,0)</f>
        <v>0</v>
      </c>
      <c r="M17" s="256">
        <f t="shared" ref="M17:M22" si="2">H17</f>
        <v>24101.886744322466</v>
      </c>
      <c r="N17" s="157">
        <f t="shared" ref="N17:N22" si="3">IF(M17&lt;&gt;0,+H17-M17,0)</f>
        <v>0</v>
      </c>
      <c r="O17" s="158">
        <f t="shared" ref="O17:O22" si="4">+N17-L17</f>
        <v>0</v>
      </c>
      <c r="P17" s="4"/>
    </row>
    <row r="18" spans="2:16">
      <c r="B18" s="9" t="str">
        <f>IF(D18=F17,"","IU")</f>
        <v/>
      </c>
      <c r="C18" s="153">
        <f>IF(D11="","-",+C17+1)</f>
        <v>2011</v>
      </c>
      <c r="D18" s="411">
        <v>157433.66964285716</v>
      </c>
      <c r="E18" s="410">
        <v>3816.5738095238098</v>
      </c>
      <c r="F18" s="411">
        <v>153617.09583333335</v>
      </c>
      <c r="G18" s="410">
        <v>24541.134284286942</v>
      </c>
      <c r="H18" s="416">
        <v>24541.134284286942</v>
      </c>
      <c r="I18" s="156">
        <v>0</v>
      </c>
      <c r="J18" s="156"/>
      <c r="K18" s="258">
        <f t="shared" si="0"/>
        <v>24541.134284286942</v>
      </c>
      <c r="L18" s="257">
        <f t="shared" si="1"/>
        <v>0</v>
      </c>
      <c r="M18" s="258">
        <f t="shared" si="2"/>
        <v>24541.134284286942</v>
      </c>
      <c r="N18" s="158">
        <f t="shared" si="3"/>
        <v>0</v>
      </c>
      <c r="O18" s="158">
        <f t="shared" si="4"/>
        <v>0</v>
      </c>
      <c r="P18" s="4"/>
    </row>
    <row r="19" spans="2:16">
      <c r="B19" s="9" t="str">
        <f>IF(D19=F18,"","IU")</f>
        <v/>
      </c>
      <c r="C19" s="153">
        <f>IF(D11="","-",+C18+1)</f>
        <v>2012</v>
      </c>
      <c r="D19" s="411">
        <v>153617.09583333335</v>
      </c>
      <c r="E19" s="410">
        <v>3816.5738095238098</v>
      </c>
      <c r="F19" s="411">
        <v>149800.52202380955</v>
      </c>
      <c r="G19" s="410">
        <v>24026.238371870466</v>
      </c>
      <c r="H19" s="416">
        <v>24026.238371870466</v>
      </c>
      <c r="I19" s="156">
        <v>0</v>
      </c>
      <c r="J19" s="156"/>
      <c r="K19" s="258">
        <f t="shared" si="0"/>
        <v>24026.238371870466</v>
      </c>
      <c r="L19" s="257">
        <f t="shared" si="1"/>
        <v>0</v>
      </c>
      <c r="M19" s="258">
        <f t="shared" si="2"/>
        <v>24026.238371870466</v>
      </c>
      <c r="N19" s="158">
        <f t="shared" si="3"/>
        <v>0</v>
      </c>
      <c r="O19" s="158">
        <f t="shared" si="4"/>
        <v>0</v>
      </c>
      <c r="P19" s="4"/>
    </row>
    <row r="20" spans="2:16">
      <c r="B20" s="9" t="str">
        <f t="shared" ref="B20:B72" si="5">IF(D20=F19,"","IU")</f>
        <v/>
      </c>
      <c r="C20" s="153">
        <f>IF(D11="","-",+C19+1)</f>
        <v>2013</v>
      </c>
      <c r="D20" s="411">
        <v>149800.52202380955</v>
      </c>
      <c r="E20" s="410">
        <v>3816.5738095238098</v>
      </c>
      <c r="F20" s="411">
        <v>145983.94821428575</v>
      </c>
      <c r="G20" s="410">
        <v>23511.342459453994</v>
      </c>
      <c r="H20" s="416">
        <v>23511.342459453994</v>
      </c>
      <c r="I20" s="156">
        <v>0</v>
      </c>
      <c r="J20" s="156"/>
      <c r="K20" s="258">
        <f t="shared" si="0"/>
        <v>23511.342459453994</v>
      </c>
      <c r="L20" s="257">
        <f t="shared" si="1"/>
        <v>0</v>
      </c>
      <c r="M20" s="258">
        <f t="shared" si="2"/>
        <v>23511.342459453994</v>
      </c>
      <c r="N20" s="158">
        <f t="shared" si="3"/>
        <v>0</v>
      </c>
      <c r="O20" s="158">
        <f t="shared" si="4"/>
        <v>0</v>
      </c>
      <c r="P20" s="4"/>
    </row>
    <row r="21" spans="2:16">
      <c r="B21" s="9" t="str">
        <f t="shared" si="5"/>
        <v/>
      </c>
      <c r="C21" s="153">
        <f>IF(D11="","-",+C20+1)</f>
        <v>2014</v>
      </c>
      <c r="D21" s="411">
        <v>145983.94821428575</v>
      </c>
      <c r="E21" s="410">
        <v>3816.5738095238098</v>
      </c>
      <c r="F21" s="411">
        <v>142167.37440476194</v>
      </c>
      <c r="G21" s="410">
        <v>22996.446547037518</v>
      </c>
      <c r="H21" s="416">
        <v>22996.446547037518</v>
      </c>
      <c r="I21" s="156">
        <v>0</v>
      </c>
      <c r="J21" s="156"/>
      <c r="K21" s="258">
        <f t="shared" si="0"/>
        <v>22996.446547037518</v>
      </c>
      <c r="L21" s="257">
        <f t="shared" si="1"/>
        <v>0</v>
      </c>
      <c r="M21" s="258">
        <f t="shared" si="2"/>
        <v>22996.446547037518</v>
      </c>
      <c r="N21" s="158">
        <f t="shared" si="3"/>
        <v>0</v>
      </c>
      <c r="O21" s="158">
        <f t="shared" si="4"/>
        <v>0</v>
      </c>
      <c r="P21" s="4"/>
    </row>
    <row r="22" spans="2:16">
      <c r="B22" s="9" t="str">
        <f t="shared" si="5"/>
        <v/>
      </c>
      <c r="C22" s="153">
        <f>IF(D11="","-",+C21+1)</f>
        <v>2015</v>
      </c>
      <c r="D22" s="411">
        <v>142167.37440476194</v>
      </c>
      <c r="E22" s="410">
        <v>3816.5738095238098</v>
      </c>
      <c r="F22" s="411">
        <v>138350.80059523814</v>
      </c>
      <c r="G22" s="410">
        <v>22038.03846666696</v>
      </c>
      <c r="H22" s="416">
        <v>22038.03846666696</v>
      </c>
      <c r="I22" s="156">
        <v>0</v>
      </c>
      <c r="J22" s="156"/>
      <c r="K22" s="258">
        <f t="shared" si="0"/>
        <v>22038.03846666696</v>
      </c>
      <c r="L22" s="257">
        <f t="shared" si="1"/>
        <v>0</v>
      </c>
      <c r="M22" s="258">
        <f t="shared" si="2"/>
        <v>22038.03846666696</v>
      </c>
      <c r="N22" s="158">
        <f t="shared" si="3"/>
        <v>0</v>
      </c>
      <c r="O22" s="158">
        <f t="shared" si="4"/>
        <v>0</v>
      </c>
      <c r="P22" s="4"/>
    </row>
    <row r="23" spans="2:16">
      <c r="B23" s="9" t="str">
        <f t="shared" si="5"/>
        <v/>
      </c>
      <c r="C23" s="153">
        <f>IF(D11="","-",+C22+1)</f>
        <v>2016</v>
      </c>
      <c r="D23" s="411">
        <v>138350.80059523814</v>
      </c>
      <c r="E23" s="410">
        <v>3816.5738095238098</v>
      </c>
      <c r="F23" s="411">
        <v>134534.22678571433</v>
      </c>
      <c r="G23" s="410">
        <v>21316.782668999032</v>
      </c>
      <c r="H23" s="416">
        <v>21316.782668999032</v>
      </c>
      <c r="I23" s="156">
        <f t="shared" ref="I23:I33" si="6">H23-G23</f>
        <v>0</v>
      </c>
      <c r="J23" s="156"/>
      <c r="K23" s="258">
        <f>G23</f>
        <v>21316.782668999032</v>
      </c>
      <c r="L23" s="257">
        <f>IF(K23&lt;&gt;0,+G23-K23,0)</f>
        <v>0</v>
      </c>
      <c r="M23" s="258">
        <f>H23</f>
        <v>21316.782668999032</v>
      </c>
      <c r="N23" s="158">
        <f>IF(M23&lt;&gt;0,+H23-M23,0)</f>
        <v>0</v>
      </c>
      <c r="O23" s="158">
        <f>+N23-L23</f>
        <v>0</v>
      </c>
      <c r="P23" s="4"/>
    </row>
    <row r="24" spans="2:16">
      <c r="B24" s="9" t="str">
        <f t="shared" si="5"/>
        <v/>
      </c>
      <c r="C24" s="153">
        <f>IF(D11="","-",+C23+1)</f>
        <v>2017</v>
      </c>
      <c r="D24" s="411">
        <v>134534.22678571433</v>
      </c>
      <c r="E24" s="410">
        <v>3727.8162790697675</v>
      </c>
      <c r="F24" s="411">
        <v>130806.41050664456</v>
      </c>
      <c r="G24" s="410">
        <v>20164.678191842031</v>
      </c>
      <c r="H24" s="416">
        <v>20164.678191842031</v>
      </c>
      <c r="I24" s="156">
        <v>0</v>
      </c>
      <c r="J24" s="156"/>
      <c r="K24" s="258">
        <f>G24</f>
        <v>20164.678191842031</v>
      </c>
      <c r="L24" s="257">
        <f>IF(K24&lt;&gt;0,+G24-K24,0)</f>
        <v>0</v>
      </c>
      <c r="M24" s="258">
        <f>H24</f>
        <v>20164.678191842031</v>
      </c>
      <c r="N24" s="158">
        <f>IF(M24&lt;&gt;0,+H24-M24,0)</f>
        <v>0</v>
      </c>
      <c r="O24" s="158">
        <f>+N24-L24</f>
        <v>0</v>
      </c>
      <c r="P24" s="4"/>
    </row>
    <row r="25" spans="2:16">
      <c r="B25" s="9" t="str">
        <f t="shared" si="5"/>
        <v/>
      </c>
      <c r="C25" s="153">
        <f>IF(D11="","-",+C24+1)</f>
        <v>2018</v>
      </c>
      <c r="D25" s="411">
        <v>130806.41050664456</v>
      </c>
      <c r="E25" s="410">
        <v>3909.6609756097564</v>
      </c>
      <c r="F25" s="411">
        <v>126896.7495310348</v>
      </c>
      <c r="G25" s="410">
        <v>18326.118218254182</v>
      </c>
      <c r="H25" s="416">
        <v>18326.118218254182</v>
      </c>
      <c r="I25" s="156">
        <f t="shared" si="6"/>
        <v>0</v>
      </c>
      <c r="J25" s="156"/>
      <c r="K25" s="258">
        <f>G25</f>
        <v>18326.118218254182</v>
      </c>
      <c r="L25" s="257">
        <f>IF(K25&lt;&gt;0,+G25-K25,0)</f>
        <v>0</v>
      </c>
      <c r="M25" s="258">
        <f>H25</f>
        <v>18326.118218254182</v>
      </c>
      <c r="N25" s="158">
        <f>IF(M25&lt;&gt;0,+H25-M25,0)</f>
        <v>0</v>
      </c>
      <c r="O25" s="158">
        <f>+N25-L25</f>
        <v>0</v>
      </c>
      <c r="P25" s="4"/>
    </row>
    <row r="26" spans="2:16">
      <c r="B26" s="9" t="str">
        <f t="shared" si="5"/>
        <v/>
      </c>
      <c r="C26" s="153">
        <f>IF(D11="","-",+C25+1)</f>
        <v>2019</v>
      </c>
      <c r="D26" s="159">
        <f>IF(F25+SUM(E$17:E25)=D$10,F25,D$10-SUM(E$17:E25))</f>
        <v>126896.7495310348</v>
      </c>
      <c r="E26" s="160">
        <f>IF(+I14&lt;F25,I14,D26)</f>
        <v>3727.8162790697675</v>
      </c>
      <c r="F26" s="159">
        <f t="shared" ref="F26:F33" si="7">+D26-E26</f>
        <v>123168.93325196503</v>
      </c>
      <c r="G26" s="161">
        <f t="shared" ref="G26:G55" si="8">+I$12*((D26+F26)/2)+E26</f>
        <v>16175.544883269005</v>
      </c>
      <c r="H26" s="142">
        <f t="shared" ref="H26:H55" si="9">+I$13*((D26+F26)/2)+E26</f>
        <v>16175.544883269005</v>
      </c>
      <c r="I26" s="156">
        <f t="shared" si="6"/>
        <v>0</v>
      </c>
      <c r="J26" s="156"/>
      <c r="K26" s="334"/>
      <c r="L26" s="158">
        <f t="shared" ref="L26:L72" si="10">IF(K26&lt;&gt;0,+G26-K26,0)</f>
        <v>0</v>
      </c>
      <c r="M26" s="334"/>
      <c r="N26" s="158">
        <f t="shared" ref="N26:N72" si="11">IF(M26&lt;&gt;0,+H26-M26,0)</f>
        <v>0</v>
      </c>
      <c r="O26" s="158">
        <f t="shared" ref="O26:O72" si="12">+N26-L26</f>
        <v>0</v>
      </c>
      <c r="P26" s="4"/>
    </row>
    <row r="27" spans="2:16">
      <c r="B27" s="9" t="str">
        <f t="shared" si="5"/>
        <v/>
      </c>
      <c r="C27" s="153">
        <f>IF(D11="","-",+C26+1)</f>
        <v>2020</v>
      </c>
      <c r="D27" s="159">
        <f>IF(F26+SUM(E$17:E26)=D$10,F26,D$10-SUM(E$17:E26))</f>
        <v>123168.93325196503</v>
      </c>
      <c r="E27" s="160">
        <f>IF(+I14&lt;F26,I14,D27)</f>
        <v>3727.8162790697675</v>
      </c>
      <c r="F27" s="159">
        <f t="shared" si="7"/>
        <v>119441.11697289527</v>
      </c>
      <c r="G27" s="161">
        <f t="shared" si="8"/>
        <v>15804.419626802341</v>
      </c>
      <c r="H27" s="142">
        <f t="shared" si="9"/>
        <v>15804.419626802341</v>
      </c>
      <c r="I27" s="156">
        <f t="shared" si="6"/>
        <v>0</v>
      </c>
      <c r="J27" s="156"/>
      <c r="K27" s="334"/>
      <c r="L27" s="158">
        <f t="shared" si="10"/>
        <v>0</v>
      </c>
      <c r="M27" s="334"/>
      <c r="N27" s="158">
        <f t="shared" si="11"/>
        <v>0</v>
      </c>
      <c r="O27" s="158">
        <f t="shared" si="12"/>
        <v>0</v>
      </c>
      <c r="P27" s="4"/>
    </row>
    <row r="28" spans="2:16">
      <c r="B28" s="9" t="str">
        <f t="shared" si="5"/>
        <v/>
      </c>
      <c r="C28" s="153">
        <f>IF(D11="","-",+C27+1)</f>
        <v>2021</v>
      </c>
      <c r="D28" s="159">
        <f>IF(F27+SUM(E$17:E27)=D$10,F27,D$10-SUM(E$17:E27))</f>
        <v>119441.11697289527</v>
      </c>
      <c r="E28" s="160">
        <f>IF(+I14&lt;F27,I14,D28)</f>
        <v>3727.8162790697675</v>
      </c>
      <c r="F28" s="159">
        <f t="shared" si="7"/>
        <v>115713.3006938255</v>
      </c>
      <c r="G28" s="161">
        <f t="shared" si="8"/>
        <v>15433.294370335674</v>
      </c>
      <c r="H28" s="142">
        <f t="shared" si="9"/>
        <v>15433.294370335674</v>
      </c>
      <c r="I28" s="156">
        <f t="shared" si="6"/>
        <v>0</v>
      </c>
      <c r="J28" s="156"/>
      <c r="K28" s="334"/>
      <c r="L28" s="158">
        <f t="shared" si="10"/>
        <v>0</v>
      </c>
      <c r="M28" s="334"/>
      <c r="N28" s="158">
        <f t="shared" si="11"/>
        <v>0</v>
      </c>
      <c r="O28" s="158">
        <f t="shared" si="12"/>
        <v>0</v>
      </c>
      <c r="P28" s="4"/>
    </row>
    <row r="29" spans="2:16">
      <c r="B29" s="9" t="str">
        <f t="shared" si="5"/>
        <v/>
      </c>
      <c r="C29" s="153">
        <f>IF(D11="","-",+C28+1)</f>
        <v>2022</v>
      </c>
      <c r="D29" s="159">
        <f>IF(F28+SUM(E$17:E28)=D$10,F28,D$10-SUM(E$17:E28))</f>
        <v>115713.3006938255</v>
      </c>
      <c r="E29" s="160">
        <f>IF(+I14&lt;F28,I14,D29)</f>
        <v>3727.8162790697675</v>
      </c>
      <c r="F29" s="159">
        <f t="shared" si="7"/>
        <v>111985.48441475573</v>
      </c>
      <c r="G29" s="161">
        <f t="shared" si="8"/>
        <v>15062.169113869011</v>
      </c>
      <c r="H29" s="142">
        <f t="shared" si="9"/>
        <v>15062.169113869011</v>
      </c>
      <c r="I29" s="156">
        <f t="shared" si="6"/>
        <v>0</v>
      </c>
      <c r="J29" s="156"/>
      <c r="K29" s="334"/>
      <c r="L29" s="158">
        <f t="shared" si="10"/>
        <v>0</v>
      </c>
      <c r="M29" s="334"/>
      <c r="N29" s="158">
        <f t="shared" si="11"/>
        <v>0</v>
      </c>
      <c r="O29" s="158">
        <f t="shared" si="12"/>
        <v>0</v>
      </c>
      <c r="P29" s="4"/>
    </row>
    <row r="30" spans="2:16">
      <c r="B30" s="9" t="str">
        <f t="shared" si="5"/>
        <v/>
      </c>
      <c r="C30" s="153">
        <f>IF(D11="","-",+C29+1)</f>
        <v>2023</v>
      </c>
      <c r="D30" s="159">
        <f>IF(F29+SUM(E$17:E29)=D$10,F29,D$10-SUM(E$17:E29))</f>
        <v>111985.48441475573</v>
      </c>
      <c r="E30" s="160">
        <f>IF(+I14&lt;F29,I14,D30)</f>
        <v>3727.8162790697675</v>
      </c>
      <c r="F30" s="159">
        <f t="shared" si="7"/>
        <v>108257.66813568596</v>
      </c>
      <c r="G30" s="161">
        <f t="shared" si="8"/>
        <v>14691.043857402343</v>
      </c>
      <c r="H30" s="142">
        <f t="shared" si="9"/>
        <v>14691.043857402343</v>
      </c>
      <c r="I30" s="156">
        <f t="shared" si="6"/>
        <v>0</v>
      </c>
      <c r="J30" s="156"/>
      <c r="K30" s="334"/>
      <c r="L30" s="158">
        <f t="shared" si="10"/>
        <v>0</v>
      </c>
      <c r="M30" s="334"/>
      <c r="N30" s="158">
        <f t="shared" si="11"/>
        <v>0</v>
      </c>
      <c r="O30" s="158">
        <f t="shared" si="12"/>
        <v>0</v>
      </c>
      <c r="P30" s="4"/>
    </row>
    <row r="31" spans="2:16">
      <c r="B31" s="9" t="str">
        <f t="shared" si="5"/>
        <v/>
      </c>
      <c r="C31" s="153">
        <f>IF(D11="","-",+C30+1)</f>
        <v>2024</v>
      </c>
      <c r="D31" s="159">
        <f>IF(F30+SUM(E$17:E30)=D$10,F30,D$10-SUM(E$17:E30))</f>
        <v>108257.66813568596</v>
      </c>
      <c r="E31" s="160">
        <f>IF(+I14&lt;F30,I14,D31)</f>
        <v>3727.8162790697675</v>
      </c>
      <c r="F31" s="159">
        <f t="shared" si="7"/>
        <v>104529.85185661619</v>
      </c>
      <c r="G31" s="161">
        <f t="shared" si="8"/>
        <v>14319.91860093568</v>
      </c>
      <c r="H31" s="142">
        <f t="shared" si="9"/>
        <v>14319.91860093568</v>
      </c>
      <c r="I31" s="156">
        <f t="shared" si="6"/>
        <v>0</v>
      </c>
      <c r="J31" s="156"/>
      <c r="K31" s="334"/>
      <c r="L31" s="158">
        <f t="shared" si="10"/>
        <v>0</v>
      </c>
      <c r="M31" s="334"/>
      <c r="N31" s="158">
        <f t="shared" si="11"/>
        <v>0</v>
      </c>
      <c r="O31" s="158">
        <f t="shared" si="12"/>
        <v>0</v>
      </c>
      <c r="P31" s="4"/>
    </row>
    <row r="32" spans="2:16">
      <c r="B32" s="9" t="str">
        <f t="shared" si="5"/>
        <v/>
      </c>
      <c r="C32" s="153">
        <f>IF(D11="","-",+C31+1)</f>
        <v>2025</v>
      </c>
      <c r="D32" s="159">
        <f>IF(F31+SUM(E$17:E31)=D$10,F31,D$10-SUM(E$17:E31))</f>
        <v>104529.85185661619</v>
      </c>
      <c r="E32" s="160">
        <f>IF(+I14&lt;F31,I14,D32)</f>
        <v>3727.8162790697675</v>
      </c>
      <c r="F32" s="159">
        <f t="shared" si="7"/>
        <v>100802.03557754643</v>
      </c>
      <c r="G32" s="161">
        <f t="shared" si="8"/>
        <v>13948.793344469012</v>
      </c>
      <c r="H32" s="142">
        <f t="shared" si="9"/>
        <v>13948.793344469012</v>
      </c>
      <c r="I32" s="156">
        <f t="shared" si="6"/>
        <v>0</v>
      </c>
      <c r="J32" s="156"/>
      <c r="K32" s="334"/>
      <c r="L32" s="158">
        <f t="shared" si="10"/>
        <v>0</v>
      </c>
      <c r="M32" s="334"/>
      <c r="N32" s="158">
        <f t="shared" si="11"/>
        <v>0</v>
      </c>
      <c r="O32" s="158">
        <f t="shared" si="12"/>
        <v>0</v>
      </c>
      <c r="P32" s="4"/>
    </row>
    <row r="33" spans="2:16">
      <c r="B33" s="9" t="str">
        <f t="shared" si="5"/>
        <v/>
      </c>
      <c r="C33" s="153">
        <f>IF(D11="","-",+C32+1)</f>
        <v>2026</v>
      </c>
      <c r="D33" s="159">
        <f>IF(F32+SUM(E$17:E32)=D$10,F32,D$10-SUM(E$17:E32))</f>
        <v>100802.03557754643</v>
      </c>
      <c r="E33" s="160">
        <f>IF(+I14&lt;F32,I14,D33)</f>
        <v>3727.8162790697675</v>
      </c>
      <c r="F33" s="159">
        <f t="shared" si="7"/>
        <v>97074.219298476659</v>
      </c>
      <c r="G33" s="161">
        <f t="shared" si="8"/>
        <v>13577.668088002349</v>
      </c>
      <c r="H33" s="142">
        <f t="shared" si="9"/>
        <v>13577.668088002349</v>
      </c>
      <c r="I33" s="156">
        <f t="shared" si="6"/>
        <v>0</v>
      </c>
      <c r="J33" s="156"/>
      <c r="K33" s="334"/>
      <c r="L33" s="158">
        <f t="shared" si="10"/>
        <v>0</v>
      </c>
      <c r="M33" s="334"/>
      <c r="N33" s="158">
        <f t="shared" si="11"/>
        <v>0</v>
      </c>
      <c r="O33" s="158">
        <f t="shared" si="12"/>
        <v>0</v>
      </c>
      <c r="P33" s="4"/>
    </row>
    <row r="34" spans="2:16">
      <c r="B34" s="9" t="str">
        <f t="shared" si="5"/>
        <v/>
      </c>
      <c r="C34" s="153">
        <f>IF(D11="","-",+C33+1)</f>
        <v>2027</v>
      </c>
      <c r="D34" s="159">
        <f>IF(F33+SUM(E$17:E33)=D$10,F33,D$10-SUM(E$17:E33))</f>
        <v>97074.219298476659</v>
      </c>
      <c r="E34" s="160">
        <f>IF(+I14&lt;F33,I14,D34)</f>
        <v>3727.8162790697675</v>
      </c>
      <c r="F34" s="159">
        <f t="shared" ref="F34:F72" si="13">+D34-E34</f>
        <v>93346.403019406891</v>
      </c>
      <c r="G34" s="161">
        <f t="shared" si="8"/>
        <v>13206.542831535682</v>
      </c>
      <c r="H34" s="142">
        <f t="shared" si="9"/>
        <v>13206.542831535682</v>
      </c>
      <c r="I34" s="156">
        <f t="shared" ref="I34:I72" si="14">H34-G34</f>
        <v>0</v>
      </c>
      <c r="J34" s="156"/>
      <c r="K34" s="334"/>
      <c r="L34" s="158">
        <f t="shared" si="10"/>
        <v>0</v>
      </c>
      <c r="M34" s="334"/>
      <c r="N34" s="158">
        <f t="shared" si="11"/>
        <v>0</v>
      </c>
      <c r="O34" s="158">
        <f t="shared" si="12"/>
        <v>0</v>
      </c>
      <c r="P34" s="4"/>
    </row>
    <row r="35" spans="2:16">
      <c r="B35" s="9" t="str">
        <f t="shared" si="5"/>
        <v/>
      </c>
      <c r="C35" s="153">
        <f>IF(D11="","-",+C34+1)</f>
        <v>2028</v>
      </c>
      <c r="D35" s="159">
        <f>IF(F34+SUM(E$17:E34)=D$10,F34,D$10-SUM(E$17:E34))</f>
        <v>93346.403019406891</v>
      </c>
      <c r="E35" s="160">
        <f>IF(+I14&lt;F34,I14,D35)</f>
        <v>3727.8162790697675</v>
      </c>
      <c r="F35" s="159">
        <f t="shared" si="13"/>
        <v>89618.586740337123</v>
      </c>
      <c r="G35" s="161">
        <f t="shared" si="8"/>
        <v>12835.417575069017</v>
      </c>
      <c r="H35" s="142">
        <f t="shared" si="9"/>
        <v>12835.417575069017</v>
      </c>
      <c r="I35" s="156">
        <f t="shared" si="14"/>
        <v>0</v>
      </c>
      <c r="J35" s="156"/>
      <c r="K35" s="334"/>
      <c r="L35" s="158">
        <f t="shared" si="10"/>
        <v>0</v>
      </c>
      <c r="M35" s="334"/>
      <c r="N35" s="158">
        <f t="shared" si="11"/>
        <v>0</v>
      </c>
      <c r="O35" s="158">
        <f t="shared" si="12"/>
        <v>0</v>
      </c>
      <c r="P35" s="4"/>
    </row>
    <row r="36" spans="2:16">
      <c r="B36" s="9" t="str">
        <f t="shared" si="5"/>
        <v/>
      </c>
      <c r="C36" s="153">
        <f>IF(D11="","-",+C35+1)</f>
        <v>2029</v>
      </c>
      <c r="D36" s="159">
        <f>IF(F35+SUM(E$17:E35)=D$10,F35,D$10-SUM(E$17:E35))</f>
        <v>89618.586740337123</v>
      </c>
      <c r="E36" s="160">
        <f>IF(+I14&lt;F35,I14,D36)</f>
        <v>3727.8162790697675</v>
      </c>
      <c r="F36" s="159">
        <f t="shared" si="13"/>
        <v>85890.770461267355</v>
      </c>
      <c r="G36" s="161">
        <f t="shared" si="8"/>
        <v>12464.292318602351</v>
      </c>
      <c r="H36" s="142">
        <f t="shared" si="9"/>
        <v>12464.292318602351</v>
      </c>
      <c r="I36" s="156">
        <f t="shared" si="14"/>
        <v>0</v>
      </c>
      <c r="J36" s="156"/>
      <c r="K36" s="334"/>
      <c r="L36" s="158">
        <f t="shared" si="10"/>
        <v>0</v>
      </c>
      <c r="M36" s="334"/>
      <c r="N36" s="158">
        <f t="shared" si="11"/>
        <v>0</v>
      </c>
      <c r="O36" s="158">
        <f t="shared" si="12"/>
        <v>0</v>
      </c>
      <c r="P36" s="4"/>
    </row>
    <row r="37" spans="2:16">
      <c r="B37" s="9" t="str">
        <f t="shared" si="5"/>
        <v/>
      </c>
      <c r="C37" s="153">
        <f>IF(D11="","-",+C36+1)</f>
        <v>2030</v>
      </c>
      <c r="D37" s="159">
        <f>IF(F36+SUM(E$17:E36)=D$10,F36,D$10-SUM(E$17:E36))</f>
        <v>85890.770461267355</v>
      </c>
      <c r="E37" s="160">
        <f>IF(+I14&lt;F36,I14,D37)</f>
        <v>3727.8162790697675</v>
      </c>
      <c r="F37" s="159">
        <f t="shared" si="13"/>
        <v>82162.954182197587</v>
      </c>
      <c r="G37" s="161">
        <f t="shared" si="8"/>
        <v>12093.167062135686</v>
      </c>
      <c r="H37" s="142">
        <f t="shared" si="9"/>
        <v>12093.167062135686</v>
      </c>
      <c r="I37" s="156">
        <f t="shared" si="14"/>
        <v>0</v>
      </c>
      <c r="J37" s="156"/>
      <c r="K37" s="334"/>
      <c r="L37" s="158">
        <f t="shared" si="10"/>
        <v>0</v>
      </c>
      <c r="M37" s="334"/>
      <c r="N37" s="158">
        <f t="shared" si="11"/>
        <v>0</v>
      </c>
      <c r="O37" s="158">
        <f t="shared" si="12"/>
        <v>0</v>
      </c>
      <c r="P37" s="4"/>
    </row>
    <row r="38" spans="2:16">
      <c r="B38" s="9" t="str">
        <f t="shared" si="5"/>
        <v/>
      </c>
      <c r="C38" s="153">
        <f>IF(D11="","-",+C37+1)</f>
        <v>2031</v>
      </c>
      <c r="D38" s="159">
        <f>IF(F37+SUM(E$17:E37)=D$10,F37,D$10-SUM(E$17:E37))</f>
        <v>82162.954182197587</v>
      </c>
      <c r="E38" s="160">
        <f>IF(+I14&lt;F37,I14,D38)</f>
        <v>3727.8162790697675</v>
      </c>
      <c r="F38" s="159">
        <f t="shared" si="13"/>
        <v>78435.137903127819</v>
      </c>
      <c r="G38" s="161">
        <f t="shared" si="8"/>
        <v>11722.04180566902</v>
      </c>
      <c r="H38" s="142">
        <f t="shared" si="9"/>
        <v>11722.04180566902</v>
      </c>
      <c r="I38" s="156">
        <f t="shared" si="14"/>
        <v>0</v>
      </c>
      <c r="J38" s="156"/>
      <c r="K38" s="334"/>
      <c r="L38" s="158">
        <f t="shared" si="10"/>
        <v>0</v>
      </c>
      <c r="M38" s="334"/>
      <c r="N38" s="158">
        <f t="shared" si="11"/>
        <v>0</v>
      </c>
      <c r="O38" s="158">
        <f t="shared" si="12"/>
        <v>0</v>
      </c>
      <c r="P38" s="4"/>
    </row>
    <row r="39" spans="2:16">
      <c r="B39" s="9" t="str">
        <f t="shared" si="5"/>
        <v/>
      </c>
      <c r="C39" s="153">
        <f>IF(D11="","-",+C38+1)</f>
        <v>2032</v>
      </c>
      <c r="D39" s="159">
        <f>IF(F38+SUM(E$17:E38)=D$10,F38,D$10-SUM(E$17:E38))</f>
        <v>78435.137903127819</v>
      </c>
      <c r="E39" s="160">
        <f>IF(+I14&lt;F38,I14,D39)</f>
        <v>3727.8162790697675</v>
      </c>
      <c r="F39" s="159">
        <f t="shared" si="13"/>
        <v>74707.321624058051</v>
      </c>
      <c r="G39" s="161">
        <f t="shared" si="8"/>
        <v>11350.916549202355</v>
      </c>
      <c r="H39" s="142">
        <f t="shared" si="9"/>
        <v>11350.916549202355</v>
      </c>
      <c r="I39" s="156">
        <f t="shared" si="14"/>
        <v>0</v>
      </c>
      <c r="J39" s="156"/>
      <c r="K39" s="334"/>
      <c r="L39" s="158">
        <f t="shared" si="10"/>
        <v>0</v>
      </c>
      <c r="M39" s="334"/>
      <c r="N39" s="158">
        <f t="shared" si="11"/>
        <v>0</v>
      </c>
      <c r="O39" s="158">
        <f t="shared" si="12"/>
        <v>0</v>
      </c>
      <c r="P39" s="4"/>
    </row>
    <row r="40" spans="2:16">
      <c r="B40" s="9" t="str">
        <f t="shared" si="5"/>
        <v/>
      </c>
      <c r="C40" s="153">
        <f>IF(D11="","-",+C39+1)</f>
        <v>2033</v>
      </c>
      <c r="D40" s="159">
        <f>IF(F39+SUM(E$17:E39)=D$10,F39,D$10-SUM(E$17:E39))</f>
        <v>74707.321624058051</v>
      </c>
      <c r="E40" s="160">
        <f>IF(+I14&lt;F39,I14,D40)</f>
        <v>3727.8162790697675</v>
      </c>
      <c r="F40" s="159">
        <f t="shared" si="13"/>
        <v>70979.505344988283</v>
      </c>
      <c r="G40" s="161">
        <f t="shared" si="8"/>
        <v>10979.791292735688</v>
      </c>
      <c r="H40" s="142">
        <f t="shared" si="9"/>
        <v>10979.791292735688</v>
      </c>
      <c r="I40" s="156">
        <f t="shared" si="14"/>
        <v>0</v>
      </c>
      <c r="J40" s="156"/>
      <c r="K40" s="334"/>
      <c r="L40" s="158">
        <f t="shared" si="10"/>
        <v>0</v>
      </c>
      <c r="M40" s="334"/>
      <c r="N40" s="158">
        <f t="shared" si="11"/>
        <v>0</v>
      </c>
      <c r="O40" s="158">
        <f t="shared" si="12"/>
        <v>0</v>
      </c>
      <c r="P40" s="4"/>
    </row>
    <row r="41" spans="2:16">
      <c r="B41" s="9" t="str">
        <f t="shared" si="5"/>
        <v/>
      </c>
      <c r="C41" s="153">
        <f>IF(D11="","-",+C40+1)</f>
        <v>2034</v>
      </c>
      <c r="D41" s="159">
        <f>IF(F40+SUM(E$17:E40)=D$10,F40,D$10-SUM(E$17:E40))</f>
        <v>70979.505344988283</v>
      </c>
      <c r="E41" s="160">
        <f>IF(+I14&lt;F40,I14,D41)</f>
        <v>3727.8162790697675</v>
      </c>
      <c r="F41" s="159">
        <f t="shared" si="13"/>
        <v>67251.689065918516</v>
      </c>
      <c r="G41" s="161">
        <f t="shared" si="8"/>
        <v>10608.666036269024</v>
      </c>
      <c r="H41" s="142">
        <f t="shared" si="9"/>
        <v>10608.666036269024</v>
      </c>
      <c r="I41" s="156">
        <f t="shared" si="14"/>
        <v>0</v>
      </c>
      <c r="J41" s="156"/>
      <c r="K41" s="334"/>
      <c r="L41" s="158">
        <f t="shared" si="10"/>
        <v>0</v>
      </c>
      <c r="M41" s="334"/>
      <c r="N41" s="158">
        <f t="shared" si="11"/>
        <v>0</v>
      </c>
      <c r="O41" s="158">
        <f t="shared" si="12"/>
        <v>0</v>
      </c>
      <c r="P41" s="4"/>
    </row>
    <row r="42" spans="2:16">
      <c r="B42" s="9" t="str">
        <f t="shared" si="5"/>
        <v/>
      </c>
      <c r="C42" s="153">
        <f>IF(D11="","-",+C41+1)</f>
        <v>2035</v>
      </c>
      <c r="D42" s="159">
        <f>IF(F41+SUM(E$17:E41)=D$10,F41,D$10-SUM(E$17:E41))</f>
        <v>67251.689065918516</v>
      </c>
      <c r="E42" s="160">
        <f>IF(+I14&lt;F41,I14,D42)</f>
        <v>3727.8162790697675</v>
      </c>
      <c r="F42" s="159">
        <f t="shared" si="13"/>
        <v>63523.872786848748</v>
      </c>
      <c r="G42" s="161">
        <f t="shared" si="8"/>
        <v>10237.540779802357</v>
      </c>
      <c r="H42" s="142">
        <f t="shared" si="9"/>
        <v>10237.540779802357</v>
      </c>
      <c r="I42" s="156">
        <f t="shared" si="14"/>
        <v>0</v>
      </c>
      <c r="J42" s="156"/>
      <c r="K42" s="334"/>
      <c r="L42" s="158">
        <f t="shared" si="10"/>
        <v>0</v>
      </c>
      <c r="M42" s="334"/>
      <c r="N42" s="158">
        <f t="shared" si="11"/>
        <v>0</v>
      </c>
      <c r="O42" s="158">
        <f t="shared" si="12"/>
        <v>0</v>
      </c>
      <c r="P42" s="4"/>
    </row>
    <row r="43" spans="2:16">
      <c r="B43" s="9" t="str">
        <f t="shared" si="5"/>
        <v/>
      </c>
      <c r="C43" s="153">
        <f>IF(D11="","-",+C42+1)</f>
        <v>2036</v>
      </c>
      <c r="D43" s="159">
        <f>IF(F42+SUM(E$17:E42)=D$10,F42,D$10-SUM(E$17:E42))</f>
        <v>63523.872786848748</v>
      </c>
      <c r="E43" s="160">
        <f>IF(+I14&lt;F42,I14,D43)</f>
        <v>3727.8162790697675</v>
      </c>
      <c r="F43" s="159">
        <f t="shared" si="13"/>
        <v>59796.05650777898</v>
      </c>
      <c r="G43" s="161">
        <f t="shared" si="8"/>
        <v>9866.4155233356923</v>
      </c>
      <c r="H43" s="142">
        <f t="shared" si="9"/>
        <v>9866.4155233356923</v>
      </c>
      <c r="I43" s="156">
        <f t="shared" si="14"/>
        <v>0</v>
      </c>
      <c r="J43" s="156"/>
      <c r="K43" s="334"/>
      <c r="L43" s="158">
        <f t="shared" si="10"/>
        <v>0</v>
      </c>
      <c r="M43" s="334"/>
      <c r="N43" s="158">
        <f t="shared" si="11"/>
        <v>0</v>
      </c>
      <c r="O43" s="158">
        <f t="shared" si="12"/>
        <v>0</v>
      </c>
      <c r="P43" s="4"/>
    </row>
    <row r="44" spans="2:16">
      <c r="B44" s="9" t="str">
        <f t="shared" si="5"/>
        <v/>
      </c>
      <c r="C44" s="153">
        <f>IF(D11="","-",+C43+1)</f>
        <v>2037</v>
      </c>
      <c r="D44" s="159">
        <f>IF(F43+SUM(E$17:E43)=D$10,F43,D$10-SUM(E$17:E43))</f>
        <v>59796.05650777898</v>
      </c>
      <c r="E44" s="160">
        <f>IF(+I14&lt;F43,I14,D44)</f>
        <v>3727.8162790697675</v>
      </c>
      <c r="F44" s="159">
        <f t="shared" si="13"/>
        <v>56068.240228709212</v>
      </c>
      <c r="G44" s="161">
        <f t="shared" si="8"/>
        <v>9495.2902668690258</v>
      </c>
      <c r="H44" s="142">
        <f t="shared" si="9"/>
        <v>9495.2902668690258</v>
      </c>
      <c r="I44" s="156">
        <f t="shared" si="14"/>
        <v>0</v>
      </c>
      <c r="J44" s="156"/>
      <c r="K44" s="334"/>
      <c r="L44" s="158">
        <f t="shared" si="10"/>
        <v>0</v>
      </c>
      <c r="M44" s="334"/>
      <c r="N44" s="158">
        <f t="shared" si="11"/>
        <v>0</v>
      </c>
      <c r="O44" s="158">
        <f t="shared" si="12"/>
        <v>0</v>
      </c>
      <c r="P44" s="4"/>
    </row>
    <row r="45" spans="2:16">
      <c r="B45" s="9" t="str">
        <f t="shared" si="5"/>
        <v/>
      </c>
      <c r="C45" s="153">
        <f>IF(D11="","-",+C44+1)</f>
        <v>2038</v>
      </c>
      <c r="D45" s="159">
        <f>IF(F44+SUM(E$17:E44)=D$10,F44,D$10-SUM(E$17:E44))</f>
        <v>56068.240228709212</v>
      </c>
      <c r="E45" s="160">
        <f>IF(+I14&lt;F44,I14,D45)</f>
        <v>3727.8162790697675</v>
      </c>
      <c r="F45" s="159">
        <f t="shared" si="13"/>
        <v>52340.423949639444</v>
      </c>
      <c r="G45" s="161">
        <f t="shared" si="8"/>
        <v>9124.1650104023611</v>
      </c>
      <c r="H45" s="142">
        <f t="shared" si="9"/>
        <v>9124.1650104023611</v>
      </c>
      <c r="I45" s="156">
        <f t="shared" si="14"/>
        <v>0</v>
      </c>
      <c r="J45" s="156"/>
      <c r="K45" s="334"/>
      <c r="L45" s="158">
        <f t="shared" si="10"/>
        <v>0</v>
      </c>
      <c r="M45" s="334"/>
      <c r="N45" s="158">
        <f t="shared" si="11"/>
        <v>0</v>
      </c>
      <c r="O45" s="158">
        <f t="shared" si="12"/>
        <v>0</v>
      </c>
      <c r="P45" s="4"/>
    </row>
    <row r="46" spans="2:16">
      <c r="B46" s="9" t="str">
        <f t="shared" si="5"/>
        <v/>
      </c>
      <c r="C46" s="153">
        <f>IF(D11="","-",+C45+1)</f>
        <v>2039</v>
      </c>
      <c r="D46" s="159">
        <f>IF(F45+SUM(E$17:E45)=D$10,F45,D$10-SUM(E$17:E45))</f>
        <v>52340.423949639444</v>
      </c>
      <c r="E46" s="160">
        <f>IF(+I14&lt;F45,I14,D46)</f>
        <v>3727.8162790697675</v>
      </c>
      <c r="F46" s="159">
        <f t="shared" si="13"/>
        <v>48612.607670569676</v>
      </c>
      <c r="G46" s="161">
        <f t="shared" si="8"/>
        <v>8753.0397539356945</v>
      </c>
      <c r="H46" s="142">
        <f t="shared" si="9"/>
        <v>8753.0397539356945</v>
      </c>
      <c r="I46" s="156">
        <f t="shared" si="14"/>
        <v>0</v>
      </c>
      <c r="J46" s="156"/>
      <c r="K46" s="334"/>
      <c r="L46" s="158">
        <f t="shared" si="10"/>
        <v>0</v>
      </c>
      <c r="M46" s="334"/>
      <c r="N46" s="158">
        <f t="shared" si="11"/>
        <v>0</v>
      </c>
      <c r="O46" s="158">
        <f t="shared" si="12"/>
        <v>0</v>
      </c>
      <c r="P46" s="4"/>
    </row>
    <row r="47" spans="2:16">
      <c r="B47" s="9" t="str">
        <f t="shared" si="5"/>
        <v/>
      </c>
      <c r="C47" s="153">
        <f>IF(D11="","-",+C46+1)</f>
        <v>2040</v>
      </c>
      <c r="D47" s="159">
        <f>IF(F46+SUM(E$17:E46)=D$10,F46,D$10-SUM(E$17:E46))</f>
        <v>48612.607670569676</v>
      </c>
      <c r="E47" s="160">
        <f>IF(+I14&lt;F46,I14,D47)</f>
        <v>3727.8162790697675</v>
      </c>
      <c r="F47" s="159">
        <f t="shared" si="13"/>
        <v>44884.791391499908</v>
      </c>
      <c r="G47" s="161">
        <f t="shared" si="8"/>
        <v>8381.9144974690298</v>
      </c>
      <c r="H47" s="142">
        <f t="shared" si="9"/>
        <v>8381.9144974690298</v>
      </c>
      <c r="I47" s="156">
        <f t="shared" si="14"/>
        <v>0</v>
      </c>
      <c r="J47" s="156"/>
      <c r="K47" s="334"/>
      <c r="L47" s="158">
        <f t="shared" si="10"/>
        <v>0</v>
      </c>
      <c r="M47" s="334"/>
      <c r="N47" s="158">
        <f t="shared" si="11"/>
        <v>0</v>
      </c>
      <c r="O47" s="158">
        <f t="shared" si="12"/>
        <v>0</v>
      </c>
      <c r="P47" s="4"/>
    </row>
    <row r="48" spans="2:16">
      <c r="B48" s="9" t="str">
        <f t="shared" si="5"/>
        <v/>
      </c>
      <c r="C48" s="153">
        <f>IF(D11="","-",+C47+1)</f>
        <v>2041</v>
      </c>
      <c r="D48" s="159">
        <f>IF(F47+SUM(E$17:E47)=D$10,F47,D$10-SUM(E$17:E47))</f>
        <v>44884.791391499908</v>
      </c>
      <c r="E48" s="160">
        <f>IF(+I14&lt;F47,I14,D48)</f>
        <v>3727.8162790697675</v>
      </c>
      <c r="F48" s="159">
        <f t="shared" si="13"/>
        <v>41156.97511243014</v>
      </c>
      <c r="G48" s="161">
        <f t="shared" si="8"/>
        <v>8010.7892410023633</v>
      </c>
      <c r="H48" s="142">
        <f t="shared" si="9"/>
        <v>8010.7892410023633</v>
      </c>
      <c r="I48" s="156">
        <f t="shared" si="14"/>
        <v>0</v>
      </c>
      <c r="J48" s="156"/>
      <c r="K48" s="334"/>
      <c r="L48" s="158">
        <f t="shared" si="10"/>
        <v>0</v>
      </c>
      <c r="M48" s="334"/>
      <c r="N48" s="158">
        <f t="shared" si="11"/>
        <v>0</v>
      </c>
      <c r="O48" s="158">
        <f t="shared" si="12"/>
        <v>0</v>
      </c>
      <c r="P48" s="4"/>
    </row>
    <row r="49" spans="2:16">
      <c r="B49" s="9" t="str">
        <f t="shared" si="5"/>
        <v/>
      </c>
      <c r="C49" s="153">
        <f>IF(D11="","-",+C48+1)</f>
        <v>2042</v>
      </c>
      <c r="D49" s="159">
        <f>IF(F48+SUM(E$17:E48)=D$10,F48,D$10-SUM(E$17:E48))</f>
        <v>41156.97511243014</v>
      </c>
      <c r="E49" s="160">
        <f>IF(+I14&lt;F48,I14,D49)</f>
        <v>3727.8162790697675</v>
      </c>
      <c r="F49" s="159">
        <f t="shared" si="13"/>
        <v>37429.158833360372</v>
      </c>
      <c r="G49" s="161">
        <f t="shared" si="8"/>
        <v>7639.6639845356985</v>
      </c>
      <c r="H49" s="142">
        <f t="shared" si="9"/>
        <v>7639.6639845356985</v>
      </c>
      <c r="I49" s="156">
        <f t="shared" si="14"/>
        <v>0</v>
      </c>
      <c r="J49" s="156"/>
      <c r="K49" s="334"/>
      <c r="L49" s="158">
        <f t="shared" si="10"/>
        <v>0</v>
      </c>
      <c r="M49" s="334"/>
      <c r="N49" s="158">
        <f t="shared" si="11"/>
        <v>0</v>
      </c>
      <c r="O49" s="158">
        <f t="shared" si="12"/>
        <v>0</v>
      </c>
      <c r="P49" s="4"/>
    </row>
    <row r="50" spans="2:16">
      <c r="B50" s="9" t="str">
        <f t="shared" si="5"/>
        <v/>
      </c>
      <c r="C50" s="153">
        <f>IF(D11="","-",+C49+1)</f>
        <v>2043</v>
      </c>
      <c r="D50" s="159">
        <f>IF(F49+SUM(E$17:E49)=D$10,F49,D$10-SUM(E$17:E49))</f>
        <v>37429.158833360372</v>
      </c>
      <c r="E50" s="160">
        <f>IF(+I14&lt;F49,I14,D50)</f>
        <v>3727.8162790697675</v>
      </c>
      <c r="F50" s="159">
        <f t="shared" si="13"/>
        <v>33701.342554290604</v>
      </c>
      <c r="G50" s="161">
        <f t="shared" si="8"/>
        <v>7268.5387280690329</v>
      </c>
      <c r="H50" s="142">
        <f t="shared" si="9"/>
        <v>7268.5387280690329</v>
      </c>
      <c r="I50" s="156">
        <f t="shared" si="14"/>
        <v>0</v>
      </c>
      <c r="J50" s="156"/>
      <c r="K50" s="334"/>
      <c r="L50" s="158">
        <f t="shared" si="10"/>
        <v>0</v>
      </c>
      <c r="M50" s="334"/>
      <c r="N50" s="158">
        <f t="shared" si="11"/>
        <v>0</v>
      </c>
      <c r="O50" s="158">
        <f t="shared" si="12"/>
        <v>0</v>
      </c>
      <c r="P50" s="4"/>
    </row>
    <row r="51" spans="2:16">
      <c r="B51" s="9" t="str">
        <f t="shared" si="5"/>
        <v/>
      </c>
      <c r="C51" s="153">
        <f>IF(D11="","-",+C50+1)</f>
        <v>2044</v>
      </c>
      <c r="D51" s="159">
        <f>IF(F50+SUM(E$17:E50)=D$10,F50,D$10-SUM(E$17:E50))</f>
        <v>33701.342554290604</v>
      </c>
      <c r="E51" s="160">
        <f>IF(+I14&lt;F50,I14,D51)</f>
        <v>3727.8162790697675</v>
      </c>
      <c r="F51" s="159">
        <f t="shared" si="13"/>
        <v>29973.526275220836</v>
      </c>
      <c r="G51" s="161">
        <f t="shared" si="8"/>
        <v>6897.4134716023673</v>
      </c>
      <c r="H51" s="142">
        <f t="shared" si="9"/>
        <v>6897.4134716023673</v>
      </c>
      <c r="I51" s="156">
        <f t="shared" si="14"/>
        <v>0</v>
      </c>
      <c r="J51" s="156"/>
      <c r="K51" s="334"/>
      <c r="L51" s="158">
        <f t="shared" si="10"/>
        <v>0</v>
      </c>
      <c r="M51" s="334"/>
      <c r="N51" s="158">
        <f t="shared" si="11"/>
        <v>0</v>
      </c>
      <c r="O51" s="158">
        <f t="shared" si="12"/>
        <v>0</v>
      </c>
      <c r="P51" s="4"/>
    </row>
    <row r="52" spans="2:16">
      <c r="B52" s="9" t="str">
        <f t="shared" si="5"/>
        <v/>
      </c>
      <c r="C52" s="153">
        <f>IF(D11="","-",+C51+1)</f>
        <v>2045</v>
      </c>
      <c r="D52" s="159">
        <f>IF(F51+SUM(E$17:E51)=D$10,F51,D$10-SUM(E$17:E51))</f>
        <v>29973.526275220836</v>
      </c>
      <c r="E52" s="160">
        <f>IF(+I14&lt;F51,I14,D52)</f>
        <v>3727.8162790697675</v>
      </c>
      <c r="F52" s="159">
        <f t="shared" si="13"/>
        <v>26245.709996151068</v>
      </c>
      <c r="G52" s="161">
        <f t="shared" si="8"/>
        <v>6526.2882151357026</v>
      </c>
      <c r="H52" s="142">
        <f t="shared" si="9"/>
        <v>6526.2882151357026</v>
      </c>
      <c r="I52" s="156">
        <f t="shared" si="14"/>
        <v>0</v>
      </c>
      <c r="J52" s="156"/>
      <c r="K52" s="334"/>
      <c r="L52" s="158">
        <f t="shared" si="10"/>
        <v>0</v>
      </c>
      <c r="M52" s="334"/>
      <c r="N52" s="158">
        <f t="shared" si="11"/>
        <v>0</v>
      </c>
      <c r="O52" s="158">
        <f t="shared" si="12"/>
        <v>0</v>
      </c>
      <c r="P52" s="4"/>
    </row>
    <row r="53" spans="2:16">
      <c r="B53" s="9" t="str">
        <f t="shared" si="5"/>
        <v/>
      </c>
      <c r="C53" s="153">
        <f>IF(D11="","-",+C52+1)</f>
        <v>2046</v>
      </c>
      <c r="D53" s="159">
        <f>IF(F52+SUM(E$17:E52)=D$10,F52,D$10-SUM(E$17:E52))</f>
        <v>26245.709996151068</v>
      </c>
      <c r="E53" s="160">
        <f>IF(+I14&lt;F52,I14,D53)</f>
        <v>3727.8162790697675</v>
      </c>
      <c r="F53" s="159">
        <f t="shared" si="13"/>
        <v>22517.893717081301</v>
      </c>
      <c r="G53" s="161">
        <f t="shared" si="8"/>
        <v>6155.162958669036</v>
      </c>
      <c r="H53" s="142">
        <f t="shared" si="9"/>
        <v>6155.162958669036</v>
      </c>
      <c r="I53" s="156">
        <f t="shared" si="14"/>
        <v>0</v>
      </c>
      <c r="J53" s="156"/>
      <c r="K53" s="334"/>
      <c r="L53" s="158">
        <f t="shared" si="10"/>
        <v>0</v>
      </c>
      <c r="M53" s="334"/>
      <c r="N53" s="158">
        <f t="shared" si="11"/>
        <v>0</v>
      </c>
      <c r="O53" s="158">
        <f t="shared" si="12"/>
        <v>0</v>
      </c>
      <c r="P53" s="4"/>
    </row>
    <row r="54" spans="2:16">
      <c r="B54" s="9" t="str">
        <f t="shared" si="5"/>
        <v/>
      </c>
      <c r="C54" s="153">
        <f>IF(D11="","-",+C53+1)</f>
        <v>2047</v>
      </c>
      <c r="D54" s="159">
        <f>IF(F53+SUM(E$17:E53)=D$10,F53,D$10-SUM(E$17:E53))</f>
        <v>22517.893717081301</v>
      </c>
      <c r="E54" s="160">
        <f>IF(+I14&lt;F53,I14,D54)</f>
        <v>3727.8162790697675</v>
      </c>
      <c r="F54" s="159">
        <f t="shared" si="13"/>
        <v>18790.077438011533</v>
      </c>
      <c r="G54" s="161">
        <f t="shared" si="8"/>
        <v>5784.0377022023713</v>
      </c>
      <c r="H54" s="142">
        <f t="shared" si="9"/>
        <v>5784.0377022023713</v>
      </c>
      <c r="I54" s="156">
        <f t="shared" si="14"/>
        <v>0</v>
      </c>
      <c r="J54" s="156"/>
      <c r="K54" s="334"/>
      <c r="L54" s="158">
        <f t="shared" si="10"/>
        <v>0</v>
      </c>
      <c r="M54" s="334"/>
      <c r="N54" s="158">
        <f t="shared" si="11"/>
        <v>0</v>
      </c>
      <c r="O54" s="158">
        <f t="shared" si="12"/>
        <v>0</v>
      </c>
      <c r="P54" s="4"/>
    </row>
    <row r="55" spans="2:16">
      <c r="B55" s="9" t="str">
        <f t="shared" si="5"/>
        <v/>
      </c>
      <c r="C55" s="153">
        <f>IF(D11="","-",+C54+1)</f>
        <v>2048</v>
      </c>
      <c r="D55" s="159">
        <f>IF(F54+SUM(E$17:E54)=D$10,F54,D$10-SUM(E$17:E54))</f>
        <v>18790.077438011533</v>
      </c>
      <c r="E55" s="160">
        <f>IF(+I14&lt;F54,I14,D55)</f>
        <v>3727.8162790697675</v>
      </c>
      <c r="F55" s="159">
        <f t="shared" si="13"/>
        <v>15062.261158941765</v>
      </c>
      <c r="G55" s="161">
        <f t="shared" si="8"/>
        <v>5412.9124457357057</v>
      </c>
      <c r="H55" s="142">
        <f t="shared" si="9"/>
        <v>5412.9124457357057</v>
      </c>
      <c r="I55" s="156">
        <f t="shared" si="14"/>
        <v>0</v>
      </c>
      <c r="J55" s="156"/>
      <c r="K55" s="334"/>
      <c r="L55" s="158">
        <f t="shared" si="10"/>
        <v>0</v>
      </c>
      <c r="M55" s="334"/>
      <c r="N55" s="158">
        <f t="shared" si="11"/>
        <v>0</v>
      </c>
      <c r="O55" s="158">
        <f t="shared" si="12"/>
        <v>0</v>
      </c>
      <c r="P55" s="4"/>
    </row>
    <row r="56" spans="2:16">
      <c r="B56" s="9" t="str">
        <f t="shared" si="5"/>
        <v/>
      </c>
      <c r="C56" s="153">
        <f>IF(D11="","-",+C55+1)</f>
        <v>2049</v>
      </c>
      <c r="D56" s="159">
        <f>IF(F55+SUM(E$17:E55)=D$10,F55,D$10-SUM(E$17:E55))</f>
        <v>15062.261158941765</v>
      </c>
      <c r="E56" s="160">
        <f>IF(+I14&lt;F55,I14,D56)</f>
        <v>3727.8162790697675</v>
      </c>
      <c r="F56" s="159">
        <f t="shared" si="13"/>
        <v>11334.444879871997</v>
      </c>
      <c r="G56" s="161">
        <f t="shared" ref="G56:G72" si="15">+I$12*((D56+F56)/2)+E56</f>
        <v>5041.78718926904</v>
      </c>
      <c r="H56" s="142">
        <f t="shared" ref="H56:H72" si="16">+I$13*((D56+F56)/2)+E56</f>
        <v>5041.78718926904</v>
      </c>
      <c r="I56" s="156">
        <f t="shared" si="14"/>
        <v>0</v>
      </c>
      <c r="J56" s="156"/>
      <c r="K56" s="334"/>
      <c r="L56" s="158">
        <f t="shared" si="10"/>
        <v>0</v>
      </c>
      <c r="M56" s="334"/>
      <c r="N56" s="158">
        <f t="shared" si="11"/>
        <v>0</v>
      </c>
      <c r="O56" s="158">
        <f t="shared" si="12"/>
        <v>0</v>
      </c>
      <c r="P56" s="4"/>
    </row>
    <row r="57" spans="2:16">
      <c r="B57" s="9" t="str">
        <f t="shared" si="5"/>
        <v/>
      </c>
      <c r="C57" s="153">
        <f>IF(D11="","-",+C56+1)</f>
        <v>2050</v>
      </c>
      <c r="D57" s="159">
        <f>IF(F56+SUM(E$17:E56)=D$10,F56,D$10-SUM(E$17:E56))</f>
        <v>11334.444879871997</v>
      </c>
      <c r="E57" s="160">
        <f>IF(+I14&lt;F56,I14,D57)</f>
        <v>3727.8162790697675</v>
      </c>
      <c r="F57" s="159">
        <f t="shared" si="13"/>
        <v>7606.6286008022289</v>
      </c>
      <c r="G57" s="161">
        <f t="shared" si="15"/>
        <v>4670.6619328023744</v>
      </c>
      <c r="H57" s="142">
        <f t="shared" si="16"/>
        <v>4670.6619328023744</v>
      </c>
      <c r="I57" s="156">
        <f t="shared" si="14"/>
        <v>0</v>
      </c>
      <c r="J57" s="156"/>
      <c r="K57" s="334"/>
      <c r="L57" s="158">
        <f t="shared" si="10"/>
        <v>0</v>
      </c>
      <c r="M57" s="334"/>
      <c r="N57" s="158">
        <f t="shared" si="11"/>
        <v>0</v>
      </c>
      <c r="O57" s="158">
        <f t="shared" si="12"/>
        <v>0</v>
      </c>
      <c r="P57" s="4"/>
    </row>
    <row r="58" spans="2:16">
      <c r="B58" s="9" t="str">
        <f t="shared" si="5"/>
        <v/>
      </c>
      <c r="C58" s="153">
        <f>IF(D11="","-",+C57+1)</f>
        <v>2051</v>
      </c>
      <c r="D58" s="159">
        <f>IF(F57+SUM(E$17:E57)=D$10,F57,D$10-SUM(E$17:E57))</f>
        <v>7606.6286008022289</v>
      </c>
      <c r="E58" s="160">
        <f>IF(+I14&lt;F57,I14,D58)</f>
        <v>3727.8162790697675</v>
      </c>
      <c r="F58" s="159">
        <f t="shared" si="13"/>
        <v>3878.8123217324614</v>
      </c>
      <c r="G58" s="161">
        <f t="shared" si="15"/>
        <v>4299.5366763357088</v>
      </c>
      <c r="H58" s="142">
        <f t="shared" si="16"/>
        <v>4299.5366763357088</v>
      </c>
      <c r="I58" s="156">
        <f t="shared" si="14"/>
        <v>0</v>
      </c>
      <c r="J58" s="156"/>
      <c r="K58" s="334"/>
      <c r="L58" s="158">
        <f t="shared" si="10"/>
        <v>0</v>
      </c>
      <c r="M58" s="334"/>
      <c r="N58" s="158">
        <f t="shared" si="11"/>
        <v>0</v>
      </c>
      <c r="O58" s="158">
        <f t="shared" si="12"/>
        <v>0</v>
      </c>
      <c r="P58" s="4"/>
    </row>
    <row r="59" spans="2:16">
      <c r="B59" s="9" t="str">
        <f t="shared" si="5"/>
        <v/>
      </c>
      <c r="C59" s="153">
        <f>IF(D11="","-",+C58+1)</f>
        <v>2052</v>
      </c>
      <c r="D59" s="159">
        <f>IF(F58+SUM(E$17:E58)=D$10,F58,D$10-SUM(E$17:E58))</f>
        <v>3878.8123217324614</v>
      </c>
      <c r="E59" s="160">
        <f>IF(+I14&lt;F58,I14,D59)</f>
        <v>3727.8162790697675</v>
      </c>
      <c r="F59" s="159">
        <f t="shared" si="13"/>
        <v>150.99604266269398</v>
      </c>
      <c r="G59" s="161">
        <f t="shared" si="15"/>
        <v>3928.4114198690436</v>
      </c>
      <c r="H59" s="142">
        <f t="shared" si="16"/>
        <v>3928.4114198690436</v>
      </c>
      <c r="I59" s="156">
        <f t="shared" si="14"/>
        <v>0</v>
      </c>
      <c r="J59" s="156"/>
      <c r="K59" s="334"/>
      <c r="L59" s="158">
        <f t="shared" si="10"/>
        <v>0</v>
      </c>
      <c r="M59" s="334"/>
      <c r="N59" s="158">
        <f t="shared" si="11"/>
        <v>0</v>
      </c>
      <c r="O59" s="158">
        <f t="shared" si="12"/>
        <v>0</v>
      </c>
      <c r="P59" s="4"/>
    </row>
    <row r="60" spans="2:16">
      <c r="B60" s="9" t="str">
        <f t="shared" si="5"/>
        <v/>
      </c>
      <c r="C60" s="153">
        <f>IF(D11="","-",+C59+1)</f>
        <v>2053</v>
      </c>
      <c r="D60" s="159">
        <f>IF(F59+SUM(E$17:E59)=D$10,F59,D$10-SUM(E$17:E59))</f>
        <v>150.99604266269398</v>
      </c>
      <c r="E60" s="160">
        <f>IF(+I14&lt;F59,I14,D60)</f>
        <v>150.99604266269398</v>
      </c>
      <c r="F60" s="159">
        <f t="shared" si="13"/>
        <v>0</v>
      </c>
      <c r="G60" s="161">
        <f t="shared" si="15"/>
        <v>158.51229894566558</v>
      </c>
      <c r="H60" s="142">
        <f t="shared" si="16"/>
        <v>158.51229894566558</v>
      </c>
      <c r="I60" s="156">
        <f t="shared" si="14"/>
        <v>0</v>
      </c>
      <c r="J60" s="156"/>
      <c r="K60" s="334"/>
      <c r="L60" s="158">
        <f t="shared" si="10"/>
        <v>0</v>
      </c>
      <c r="M60" s="334"/>
      <c r="N60" s="158">
        <f t="shared" si="11"/>
        <v>0</v>
      </c>
      <c r="O60" s="158">
        <f t="shared" si="12"/>
        <v>0</v>
      </c>
      <c r="P60" s="4"/>
    </row>
    <row r="61" spans="2:16">
      <c r="B61" s="9" t="str">
        <f t="shared" si="5"/>
        <v/>
      </c>
      <c r="C61" s="153">
        <f>IF(D11="","-",+C60+1)</f>
        <v>2054</v>
      </c>
      <c r="D61" s="159">
        <f>IF(F60+SUM(E$17:E60)=D$10,F60,D$10-SUM(E$17:E60))</f>
        <v>0</v>
      </c>
      <c r="E61" s="160">
        <f>IF(+I14&lt;F60,I14,D61)</f>
        <v>0</v>
      </c>
      <c r="F61" s="159">
        <f t="shared" si="13"/>
        <v>0</v>
      </c>
      <c r="G61" s="163">
        <f t="shared" si="15"/>
        <v>0</v>
      </c>
      <c r="H61" s="142">
        <f t="shared" si="16"/>
        <v>0</v>
      </c>
      <c r="I61" s="156">
        <f t="shared" si="14"/>
        <v>0</v>
      </c>
      <c r="J61" s="156"/>
      <c r="K61" s="334"/>
      <c r="L61" s="158">
        <f t="shared" si="10"/>
        <v>0</v>
      </c>
      <c r="M61" s="334"/>
      <c r="N61" s="158">
        <f t="shared" si="11"/>
        <v>0</v>
      </c>
      <c r="O61" s="158">
        <f t="shared" si="12"/>
        <v>0</v>
      </c>
      <c r="P61" s="4"/>
    </row>
    <row r="62" spans="2:16">
      <c r="B62" s="9" t="str">
        <f t="shared" si="5"/>
        <v/>
      </c>
      <c r="C62" s="153">
        <f>IF(D11="","-",+C61+1)</f>
        <v>2055</v>
      </c>
      <c r="D62" s="159">
        <f>IF(F61+SUM(E$17:E61)=D$10,F61,D$10-SUM(E$17:E61))</f>
        <v>0</v>
      </c>
      <c r="E62" s="160">
        <f>IF(+I14&lt;F61,I14,D62)</f>
        <v>0</v>
      </c>
      <c r="F62" s="159">
        <f t="shared" si="13"/>
        <v>0</v>
      </c>
      <c r="G62" s="163">
        <f t="shared" si="15"/>
        <v>0</v>
      </c>
      <c r="H62" s="142">
        <f t="shared" si="16"/>
        <v>0</v>
      </c>
      <c r="I62" s="156">
        <f t="shared" si="14"/>
        <v>0</v>
      </c>
      <c r="J62" s="156"/>
      <c r="K62" s="334"/>
      <c r="L62" s="158">
        <f t="shared" si="10"/>
        <v>0</v>
      </c>
      <c r="M62" s="334"/>
      <c r="N62" s="158">
        <f t="shared" si="11"/>
        <v>0</v>
      </c>
      <c r="O62" s="158">
        <f t="shared" si="12"/>
        <v>0</v>
      </c>
      <c r="P62" s="4"/>
    </row>
    <row r="63" spans="2:16">
      <c r="B63" s="9" t="str">
        <f t="shared" si="5"/>
        <v/>
      </c>
      <c r="C63" s="153">
        <f>IF(D11="","-",+C62+1)</f>
        <v>2056</v>
      </c>
      <c r="D63" s="159">
        <f>IF(F62+SUM(E$17:E62)=D$10,F62,D$10-SUM(E$17:E62))</f>
        <v>0</v>
      </c>
      <c r="E63" s="160">
        <f>IF(+I14&lt;F62,I14,D63)</f>
        <v>0</v>
      </c>
      <c r="F63" s="159">
        <f t="shared" si="13"/>
        <v>0</v>
      </c>
      <c r="G63" s="163">
        <f t="shared" si="15"/>
        <v>0</v>
      </c>
      <c r="H63" s="142">
        <f t="shared" si="16"/>
        <v>0</v>
      </c>
      <c r="I63" s="156">
        <f t="shared" si="14"/>
        <v>0</v>
      </c>
      <c r="J63" s="156"/>
      <c r="K63" s="334"/>
      <c r="L63" s="158">
        <f t="shared" si="10"/>
        <v>0</v>
      </c>
      <c r="M63" s="334"/>
      <c r="N63" s="158">
        <f t="shared" si="11"/>
        <v>0</v>
      </c>
      <c r="O63" s="158">
        <f t="shared" si="12"/>
        <v>0</v>
      </c>
      <c r="P63" s="4"/>
    </row>
    <row r="64" spans="2:16">
      <c r="B64" s="9" t="str">
        <f t="shared" si="5"/>
        <v/>
      </c>
      <c r="C64" s="153">
        <f>IF(D11="","-",+C63+1)</f>
        <v>2057</v>
      </c>
      <c r="D64" s="159">
        <f>IF(F63+SUM(E$17:E63)=D$10,F63,D$10-SUM(E$17:E63))</f>
        <v>0</v>
      </c>
      <c r="E64" s="160">
        <f>IF(+I14&lt;F63,I14,D64)</f>
        <v>0</v>
      </c>
      <c r="F64" s="159">
        <f t="shared" si="13"/>
        <v>0</v>
      </c>
      <c r="G64" s="163">
        <f t="shared" si="15"/>
        <v>0</v>
      </c>
      <c r="H64" s="142">
        <f t="shared" si="16"/>
        <v>0</v>
      </c>
      <c r="I64" s="156">
        <f t="shared" si="14"/>
        <v>0</v>
      </c>
      <c r="J64" s="156"/>
      <c r="K64" s="334"/>
      <c r="L64" s="158">
        <f t="shared" si="10"/>
        <v>0</v>
      </c>
      <c r="M64" s="334"/>
      <c r="N64" s="158">
        <f t="shared" si="11"/>
        <v>0</v>
      </c>
      <c r="O64" s="158">
        <f t="shared" si="12"/>
        <v>0</v>
      </c>
      <c r="P64" s="4"/>
    </row>
    <row r="65" spans="2:16">
      <c r="B65" s="9" t="str">
        <f t="shared" si="5"/>
        <v/>
      </c>
      <c r="C65" s="153">
        <f>IF(D11="","-",+C64+1)</f>
        <v>2058</v>
      </c>
      <c r="D65" s="159">
        <f>IF(F64+SUM(E$17:E64)=D$10,F64,D$10-SUM(E$17:E64))</f>
        <v>0</v>
      </c>
      <c r="E65" s="160">
        <f>IF(+I14&lt;F64,I14,D65)</f>
        <v>0</v>
      </c>
      <c r="F65" s="159">
        <f t="shared" si="13"/>
        <v>0</v>
      </c>
      <c r="G65" s="163">
        <f t="shared" si="15"/>
        <v>0</v>
      </c>
      <c r="H65" s="142">
        <f t="shared" si="16"/>
        <v>0</v>
      </c>
      <c r="I65" s="156">
        <f t="shared" si="14"/>
        <v>0</v>
      </c>
      <c r="J65" s="156"/>
      <c r="K65" s="334"/>
      <c r="L65" s="158">
        <f t="shared" si="10"/>
        <v>0</v>
      </c>
      <c r="M65" s="334"/>
      <c r="N65" s="158">
        <f t="shared" si="11"/>
        <v>0</v>
      </c>
      <c r="O65" s="158">
        <f t="shared" si="12"/>
        <v>0</v>
      </c>
      <c r="P65" s="4"/>
    </row>
    <row r="66" spans="2:16">
      <c r="B66" s="9" t="str">
        <f t="shared" si="5"/>
        <v/>
      </c>
      <c r="C66" s="153">
        <f>IF(D11="","-",+C65+1)</f>
        <v>2059</v>
      </c>
      <c r="D66" s="159">
        <f>IF(F65+SUM(E$17:E65)=D$10,F65,D$10-SUM(E$17:E65))</f>
        <v>0</v>
      </c>
      <c r="E66" s="160">
        <f>IF(+I14&lt;F65,I14,D66)</f>
        <v>0</v>
      </c>
      <c r="F66" s="159">
        <f t="shared" si="13"/>
        <v>0</v>
      </c>
      <c r="G66" s="163">
        <f t="shared" si="15"/>
        <v>0</v>
      </c>
      <c r="H66" s="142">
        <f t="shared" si="16"/>
        <v>0</v>
      </c>
      <c r="I66" s="156">
        <f t="shared" si="14"/>
        <v>0</v>
      </c>
      <c r="J66" s="156"/>
      <c r="K66" s="334"/>
      <c r="L66" s="158">
        <f t="shared" si="10"/>
        <v>0</v>
      </c>
      <c r="M66" s="334"/>
      <c r="N66" s="158">
        <f t="shared" si="11"/>
        <v>0</v>
      </c>
      <c r="O66" s="158">
        <f t="shared" si="12"/>
        <v>0</v>
      </c>
      <c r="P66" s="4"/>
    </row>
    <row r="67" spans="2:16">
      <c r="B67" s="9" t="str">
        <f t="shared" si="5"/>
        <v/>
      </c>
      <c r="C67" s="153">
        <f>IF(D11="","-",+C66+1)</f>
        <v>2060</v>
      </c>
      <c r="D67" s="159">
        <f>IF(F66+SUM(E$17:E66)=D$10,F66,D$10-SUM(E$17:E66))</f>
        <v>0</v>
      </c>
      <c r="E67" s="160">
        <f>IF(+I14&lt;F66,I14,D67)</f>
        <v>0</v>
      </c>
      <c r="F67" s="159">
        <f t="shared" si="13"/>
        <v>0</v>
      </c>
      <c r="G67" s="163">
        <f t="shared" si="15"/>
        <v>0</v>
      </c>
      <c r="H67" s="142">
        <f t="shared" si="16"/>
        <v>0</v>
      </c>
      <c r="I67" s="156">
        <f t="shared" si="14"/>
        <v>0</v>
      </c>
      <c r="J67" s="156"/>
      <c r="K67" s="334"/>
      <c r="L67" s="158">
        <f t="shared" si="10"/>
        <v>0</v>
      </c>
      <c r="M67" s="334"/>
      <c r="N67" s="158">
        <f t="shared" si="11"/>
        <v>0</v>
      </c>
      <c r="O67" s="158">
        <f t="shared" si="12"/>
        <v>0</v>
      </c>
      <c r="P67" s="4"/>
    </row>
    <row r="68" spans="2:16">
      <c r="B68" s="9" t="str">
        <f t="shared" si="5"/>
        <v/>
      </c>
      <c r="C68" s="153">
        <f>IF(D11="","-",+C67+1)</f>
        <v>2061</v>
      </c>
      <c r="D68" s="159">
        <f>IF(F67+SUM(E$17:E67)=D$10,F67,D$10-SUM(E$17:E67))</f>
        <v>0</v>
      </c>
      <c r="E68" s="160">
        <f>IF(+I14&lt;F67,I14,D68)</f>
        <v>0</v>
      </c>
      <c r="F68" s="159">
        <f t="shared" si="13"/>
        <v>0</v>
      </c>
      <c r="G68" s="163">
        <f t="shared" si="15"/>
        <v>0</v>
      </c>
      <c r="H68" s="142">
        <f t="shared" si="16"/>
        <v>0</v>
      </c>
      <c r="I68" s="156">
        <f t="shared" si="14"/>
        <v>0</v>
      </c>
      <c r="J68" s="156"/>
      <c r="K68" s="334"/>
      <c r="L68" s="158">
        <f t="shared" si="10"/>
        <v>0</v>
      </c>
      <c r="M68" s="334"/>
      <c r="N68" s="158">
        <f t="shared" si="11"/>
        <v>0</v>
      </c>
      <c r="O68" s="158">
        <f t="shared" si="12"/>
        <v>0</v>
      </c>
      <c r="P68" s="4"/>
    </row>
    <row r="69" spans="2:16">
      <c r="B69" s="9" t="str">
        <f t="shared" si="5"/>
        <v/>
      </c>
      <c r="C69" s="153">
        <f>IF(D11="","-",+C68+1)</f>
        <v>2062</v>
      </c>
      <c r="D69" s="159">
        <f>IF(F68+SUM(E$17:E68)=D$10,F68,D$10-SUM(E$17:E68))</f>
        <v>0</v>
      </c>
      <c r="E69" s="160">
        <f>IF(+I14&lt;F68,I14,D69)</f>
        <v>0</v>
      </c>
      <c r="F69" s="159">
        <f t="shared" si="13"/>
        <v>0</v>
      </c>
      <c r="G69" s="163">
        <f t="shared" si="15"/>
        <v>0</v>
      </c>
      <c r="H69" s="142">
        <f t="shared" si="16"/>
        <v>0</v>
      </c>
      <c r="I69" s="156">
        <f t="shared" si="14"/>
        <v>0</v>
      </c>
      <c r="J69" s="156"/>
      <c r="K69" s="334"/>
      <c r="L69" s="158">
        <f t="shared" si="10"/>
        <v>0</v>
      </c>
      <c r="M69" s="334"/>
      <c r="N69" s="158">
        <f t="shared" si="11"/>
        <v>0</v>
      </c>
      <c r="O69" s="158">
        <f t="shared" si="12"/>
        <v>0</v>
      </c>
      <c r="P69" s="4"/>
    </row>
    <row r="70" spans="2:16">
      <c r="B70" s="9" t="str">
        <f t="shared" si="5"/>
        <v/>
      </c>
      <c r="C70" s="153">
        <f>IF(D11="","-",+C69+1)</f>
        <v>2063</v>
      </c>
      <c r="D70" s="159">
        <f>IF(F69+SUM(E$17:E69)=D$10,F69,D$10-SUM(E$17:E69))</f>
        <v>0</v>
      </c>
      <c r="E70" s="160">
        <f>IF(+I14&lt;F69,I14,D70)</f>
        <v>0</v>
      </c>
      <c r="F70" s="159">
        <f t="shared" si="13"/>
        <v>0</v>
      </c>
      <c r="G70" s="163">
        <f t="shared" si="15"/>
        <v>0</v>
      </c>
      <c r="H70" s="142">
        <f t="shared" si="16"/>
        <v>0</v>
      </c>
      <c r="I70" s="156">
        <f t="shared" si="14"/>
        <v>0</v>
      </c>
      <c r="J70" s="156"/>
      <c r="K70" s="334"/>
      <c r="L70" s="158">
        <f t="shared" si="10"/>
        <v>0</v>
      </c>
      <c r="M70" s="334"/>
      <c r="N70" s="158">
        <f t="shared" si="11"/>
        <v>0</v>
      </c>
      <c r="O70" s="158">
        <f t="shared" si="12"/>
        <v>0</v>
      </c>
      <c r="P70" s="4"/>
    </row>
    <row r="71" spans="2:16">
      <c r="B71" s="9" t="str">
        <f t="shared" si="5"/>
        <v/>
      </c>
      <c r="C71" s="153">
        <f>IF(D11="","-",+C70+1)</f>
        <v>2064</v>
      </c>
      <c r="D71" s="159">
        <f>IF(F70+SUM(E$17:E70)=D$10,F70,D$10-SUM(E$17:E70))</f>
        <v>0</v>
      </c>
      <c r="E71" s="160">
        <f>IF(+I14&lt;F70,I14,D71)</f>
        <v>0</v>
      </c>
      <c r="F71" s="159">
        <f t="shared" si="13"/>
        <v>0</v>
      </c>
      <c r="G71" s="163">
        <f t="shared" si="15"/>
        <v>0</v>
      </c>
      <c r="H71" s="142">
        <f t="shared" si="16"/>
        <v>0</v>
      </c>
      <c r="I71" s="156">
        <f t="shared" si="14"/>
        <v>0</v>
      </c>
      <c r="J71" s="156"/>
      <c r="K71" s="334"/>
      <c r="L71" s="158">
        <f t="shared" si="10"/>
        <v>0</v>
      </c>
      <c r="M71" s="334"/>
      <c r="N71" s="158">
        <f t="shared" si="11"/>
        <v>0</v>
      </c>
      <c r="O71" s="158">
        <f t="shared" si="12"/>
        <v>0</v>
      </c>
      <c r="P71" s="4"/>
    </row>
    <row r="72" spans="2:16" ht="13.5" thickBot="1">
      <c r="B72" s="9" t="str">
        <f t="shared" si="5"/>
        <v/>
      </c>
      <c r="C72" s="164">
        <f>IF(D11="","-",+C71+1)</f>
        <v>2065</v>
      </c>
      <c r="D72" s="165">
        <f>IF(F71+SUM(E$17:E71)=D$10,F71,D$10-SUM(E$17:E71))</f>
        <v>0</v>
      </c>
      <c r="E72" s="166">
        <f>IF(+I14&lt;F71,I14,D72)</f>
        <v>0</v>
      </c>
      <c r="F72" s="165">
        <f t="shared" si="13"/>
        <v>0</v>
      </c>
      <c r="G72" s="167">
        <f t="shared" si="15"/>
        <v>0</v>
      </c>
      <c r="H72" s="124">
        <f t="shared" si="16"/>
        <v>0</v>
      </c>
      <c r="I72" s="168">
        <f t="shared" si="14"/>
        <v>0</v>
      </c>
      <c r="J72" s="156"/>
      <c r="K72" s="335"/>
      <c r="L72" s="169">
        <f t="shared" si="10"/>
        <v>0</v>
      </c>
      <c r="M72" s="335"/>
      <c r="N72" s="169">
        <f t="shared" si="11"/>
        <v>0</v>
      </c>
      <c r="O72" s="169">
        <f t="shared" si="12"/>
        <v>0</v>
      </c>
      <c r="P72" s="4"/>
    </row>
    <row r="73" spans="2:16">
      <c r="C73" s="154" t="s">
        <v>73</v>
      </c>
      <c r="D73" s="111"/>
      <c r="E73" s="111">
        <f>SUM(E17:E72)</f>
        <v>160296.09999999995</v>
      </c>
      <c r="F73" s="111"/>
      <c r="G73" s="111">
        <f>SUM(G17:G72)</f>
        <v>542948.43540502619</v>
      </c>
      <c r="H73" s="111">
        <f>SUM(H17:H72)</f>
        <v>542948.43540502619</v>
      </c>
      <c r="I73" s="111">
        <f>SUM(I17:I72)</f>
        <v>0</v>
      </c>
      <c r="J73" s="111"/>
      <c r="K73" s="111"/>
      <c r="L73" s="111"/>
      <c r="M73" s="111"/>
      <c r="N73" s="111"/>
      <c r="O73" s="4"/>
      <c r="P73" s="4"/>
    </row>
    <row r="74" spans="2:16">
      <c r="D74" s="2"/>
      <c r="E74" s="1"/>
      <c r="F74" s="1"/>
      <c r="G74" s="1"/>
      <c r="H74" s="3"/>
      <c r="I74" s="3"/>
      <c r="J74" s="111"/>
      <c r="K74" s="3"/>
      <c r="L74" s="3"/>
      <c r="M74" s="3"/>
      <c r="N74" s="3"/>
      <c r="O74" s="1"/>
      <c r="P74" s="1"/>
    </row>
    <row r="75" spans="2:16">
      <c r="C75" s="170" t="s">
        <v>91</v>
      </c>
      <c r="D75" s="2"/>
      <c r="E75" s="1"/>
      <c r="F75" s="1"/>
      <c r="G75" s="1"/>
      <c r="H75" s="3"/>
      <c r="I75" s="3"/>
      <c r="J75" s="111"/>
      <c r="K75" s="3"/>
      <c r="L75" s="3"/>
      <c r="M75" s="3"/>
      <c r="N75" s="3"/>
      <c r="O75" s="1"/>
      <c r="P75" s="1"/>
    </row>
    <row r="76" spans="2:16">
      <c r="C76" s="121" t="s">
        <v>74</v>
      </c>
      <c r="D76" s="2"/>
      <c r="E76" s="1"/>
      <c r="F76" s="1"/>
      <c r="G76" s="1"/>
      <c r="H76" s="3"/>
      <c r="I76" s="3"/>
      <c r="J76" s="111"/>
      <c r="K76" s="3"/>
      <c r="L76" s="3"/>
      <c r="M76" s="3"/>
      <c r="N76" s="3"/>
      <c r="O76" s="4"/>
      <c r="P76" s="4"/>
    </row>
    <row r="77" spans="2:16">
      <c r="C77" s="121" t="s">
        <v>75</v>
      </c>
      <c r="D77" s="154"/>
      <c r="E77" s="154"/>
      <c r="F77" s="154"/>
      <c r="G77" s="111"/>
      <c r="H77" s="111"/>
      <c r="I77" s="171"/>
      <c r="J77" s="171"/>
      <c r="K77" s="171"/>
      <c r="L77" s="171"/>
      <c r="M77" s="171"/>
      <c r="N77" s="171"/>
      <c r="O77" s="4"/>
      <c r="P77" s="4"/>
    </row>
    <row r="78" spans="2:16">
      <c r="C78" s="121"/>
      <c r="D78" s="154"/>
      <c r="E78" s="154"/>
      <c r="F78" s="154"/>
      <c r="G78" s="111"/>
      <c r="H78" s="111"/>
      <c r="I78" s="171"/>
      <c r="J78" s="171"/>
      <c r="K78" s="171"/>
      <c r="L78" s="171"/>
      <c r="M78" s="171"/>
      <c r="N78" s="171"/>
      <c r="O78" s="4"/>
      <c r="P78" s="1"/>
    </row>
    <row r="79" spans="2:16">
      <c r="B79" s="1"/>
      <c r="C79" s="21"/>
      <c r="D79" s="2"/>
      <c r="E79" s="1"/>
      <c r="F79" s="107"/>
      <c r="G79" s="1"/>
      <c r="H79" s="3"/>
      <c r="I79" s="1"/>
      <c r="J79" s="4"/>
      <c r="K79" s="1"/>
      <c r="L79" s="1"/>
      <c r="M79" s="1"/>
      <c r="N79" s="1"/>
      <c r="O79" s="1"/>
      <c r="P79" s="1"/>
    </row>
    <row r="80" spans="2:16" ht="18">
      <c r="B80" s="1"/>
      <c r="C80" s="242"/>
      <c r="D80" s="2"/>
      <c r="E80" s="1"/>
      <c r="F80" s="107"/>
      <c r="G80" s="1"/>
      <c r="H80" s="3"/>
      <c r="I80" s="1"/>
      <c r="J80" s="4"/>
      <c r="K80" s="1"/>
      <c r="L80" s="1"/>
      <c r="M80" s="1"/>
      <c r="N80" s="1"/>
      <c r="P80" s="244" t="s">
        <v>125</v>
      </c>
    </row>
    <row r="81" spans="1:16">
      <c r="B81" s="1"/>
      <c r="C81" s="21"/>
      <c r="D81" s="2"/>
      <c r="E81" s="1"/>
      <c r="F81" s="107"/>
      <c r="G81" s="1"/>
      <c r="H81" s="3"/>
      <c r="I81" s="1"/>
      <c r="J81" s="4"/>
      <c r="K81" s="1"/>
      <c r="L81" s="1"/>
      <c r="M81" s="1"/>
      <c r="N81" s="1"/>
      <c r="O81" s="1"/>
      <c r="P81" s="1"/>
    </row>
    <row r="82" spans="1:16">
      <c r="B82" s="1"/>
      <c r="C82" s="21"/>
      <c r="D82" s="2"/>
      <c r="E82" s="1"/>
      <c r="F82" s="107"/>
      <c r="G82" s="1"/>
      <c r="H82" s="3"/>
      <c r="I82" s="1"/>
      <c r="J82" s="4"/>
      <c r="K82" s="1"/>
      <c r="L82" s="1"/>
      <c r="M82" s="1"/>
      <c r="N82" s="1"/>
      <c r="O82" s="1"/>
      <c r="P82" s="1"/>
    </row>
    <row r="83" spans="1:16" ht="20.25">
      <c r="A83" s="243" t="s">
        <v>129</v>
      </c>
      <c r="B83" s="1"/>
      <c r="C83" s="21"/>
      <c r="D83" s="2"/>
      <c r="E83" s="1"/>
      <c r="F83" s="99"/>
      <c r="G83" s="99"/>
      <c r="H83" s="1"/>
      <c r="I83" s="3"/>
      <c r="K83" s="7"/>
      <c r="L83" s="109"/>
      <c r="M83" s="109"/>
      <c r="P83" s="109" t="str">
        <f ca="1">P1</f>
        <v>SWEPCO Project 48 of 73</v>
      </c>
    </row>
    <row r="84" spans="1:16" ht="18">
      <c r="B84" s="1"/>
      <c r="C84" s="1"/>
      <c r="D84" s="2"/>
      <c r="E84" s="1"/>
      <c r="F84" s="1"/>
      <c r="G84" s="1"/>
      <c r="H84" s="1"/>
      <c r="I84" s="3"/>
      <c r="J84" s="1"/>
      <c r="K84" s="4"/>
      <c r="L84" s="1"/>
      <c r="M84" s="1"/>
      <c r="P84" s="244" t="s">
        <v>123</v>
      </c>
    </row>
    <row r="85" spans="1:16" ht="18.75" thickBot="1">
      <c r="B85" s="5" t="s">
        <v>40</v>
      </c>
      <c r="C85" s="197" t="s">
        <v>78</v>
      </c>
      <c r="D85" s="2"/>
      <c r="E85" s="1"/>
      <c r="F85" s="1"/>
      <c r="G85" s="1"/>
      <c r="H85" s="1"/>
      <c r="I85" s="3"/>
      <c r="J85" s="3"/>
      <c r="K85" s="111"/>
      <c r="L85" s="3"/>
      <c r="M85" s="3"/>
      <c r="N85" s="3"/>
      <c r="O85" s="111"/>
      <c r="P85" s="1"/>
    </row>
    <row r="86" spans="1:16" ht="15.75" thickBot="1">
      <c r="C86" s="67"/>
      <c r="D86" s="2"/>
      <c r="E86" s="1"/>
      <c r="F86" s="1"/>
      <c r="G86" s="1"/>
      <c r="H86" s="1"/>
      <c r="I86" s="3"/>
      <c r="J86" s="3"/>
      <c r="K86" s="111"/>
      <c r="L86" s="265">
        <f>+J92</f>
        <v>2017</v>
      </c>
      <c r="M86" s="266" t="s">
        <v>7</v>
      </c>
      <c r="N86" s="270" t="s">
        <v>154</v>
      </c>
      <c r="O86" s="267" t="s">
        <v>9</v>
      </c>
      <c r="P86" s="1"/>
    </row>
    <row r="87" spans="1:16" ht="15">
      <c r="C87" s="235" t="s">
        <v>42</v>
      </c>
      <c r="D87" s="2"/>
      <c r="E87" s="1"/>
      <c r="F87" s="1"/>
      <c r="G87" s="1"/>
      <c r="H87" s="113"/>
      <c r="I87" s="1" t="s">
        <v>43</v>
      </c>
      <c r="J87" s="1"/>
      <c r="K87" s="261"/>
      <c r="L87" s="259" t="s">
        <v>381</v>
      </c>
      <c r="M87" s="198">
        <f>IF(J92&lt;D11,0,VLOOKUP(J92,C17:O72,9))</f>
        <v>20164.678191842031</v>
      </c>
      <c r="N87" s="198">
        <f>IF(J92&lt;D11,0,VLOOKUP(J92,C17:O72,11))</f>
        <v>20164.678191842031</v>
      </c>
      <c r="O87" s="199">
        <f>+N87-M87</f>
        <v>0</v>
      </c>
      <c r="P87" s="1"/>
    </row>
    <row r="88" spans="1:16" ht="15.75">
      <c r="C88" s="8"/>
      <c r="D88" s="2"/>
      <c r="E88" s="1"/>
      <c r="F88" s="1"/>
      <c r="G88" s="1"/>
      <c r="H88" s="1"/>
      <c r="I88" s="117"/>
      <c r="J88" s="117"/>
      <c r="K88" s="263"/>
      <c r="L88" s="264" t="s">
        <v>382</v>
      </c>
      <c r="M88" s="200">
        <f>IF(J92&lt;D11,0,VLOOKUP(J92,C99:P154,6))</f>
        <v>22192.161676613654</v>
      </c>
      <c r="N88" s="200">
        <f>IF(J92&lt;D11,0,VLOOKUP(J92,C99:P154,7))</f>
        <v>22192.161676613654</v>
      </c>
      <c r="O88" s="201">
        <f>+N88-M88</f>
        <v>0</v>
      </c>
      <c r="P88" s="1"/>
    </row>
    <row r="89" spans="1:16" ht="13.5" thickBot="1">
      <c r="C89" s="121" t="s">
        <v>79</v>
      </c>
      <c r="D89" s="246" t="str">
        <f>+D7</f>
        <v>MINEOLA - NORTH MINEOLA 69KV CKT 1</v>
      </c>
      <c r="E89" s="1"/>
      <c r="F89" s="1"/>
      <c r="G89" s="1"/>
      <c r="H89" s="1"/>
      <c r="I89" s="3"/>
      <c r="J89" s="3"/>
      <c r="K89" s="262"/>
      <c r="L89" s="260" t="s">
        <v>151</v>
      </c>
      <c r="M89" s="203">
        <f>+M88-M87</f>
        <v>2027.4834847716229</v>
      </c>
      <c r="N89" s="203">
        <f>+N88-N87</f>
        <v>2027.4834847716229</v>
      </c>
      <c r="O89" s="204">
        <f>+O88-O87</f>
        <v>0</v>
      </c>
      <c r="P89" s="1"/>
    </row>
    <row r="90" spans="1:16" ht="13.5" thickBot="1">
      <c r="C90" s="170"/>
      <c r="D90" s="421" t="str">
        <f>S.047!D90</f>
        <v xml:space="preserve">***Sch. 11 recovery commenced in the 2015 rate year.  Beg Bal = to depreciated balance as of 1/1/15. *** </v>
      </c>
      <c r="E90" s="107"/>
      <c r="F90" s="107"/>
      <c r="G90" s="107"/>
      <c r="H90" s="126"/>
      <c r="I90" s="3"/>
      <c r="J90" s="3"/>
      <c r="K90" s="111"/>
      <c r="L90" s="3"/>
      <c r="M90" s="3"/>
      <c r="N90" s="3"/>
      <c r="O90" s="111"/>
      <c r="P90" s="1"/>
    </row>
    <row r="91" spans="1:16" ht="13.5" thickBot="1">
      <c r="A91" s="103"/>
      <c r="C91" s="205" t="s">
        <v>80</v>
      </c>
      <c r="D91" s="224" t="str">
        <f>+D9</f>
        <v>TP2007166</v>
      </c>
      <c r="E91" s="206"/>
      <c r="F91" s="206"/>
      <c r="G91" s="206"/>
      <c r="H91" s="206"/>
      <c r="I91" s="206"/>
      <c r="J91" s="206"/>
      <c r="K91" s="207"/>
      <c r="P91" s="131"/>
    </row>
    <row r="92" spans="1:16">
      <c r="C92" s="136" t="s">
        <v>47</v>
      </c>
      <c r="D92" s="417">
        <v>160296</v>
      </c>
      <c r="E92" s="21" t="s">
        <v>81</v>
      </c>
      <c r="H92" s="134"/>
      <c r="I92" s="134"/>
      <c r="J92" s="135">
        <f>+'SWE.WS.G.BPU.ATRR.True-up'!M15</f>
        <v>2017</v>
      </c>
      <c r="K92" s="130"/>
      <c r="L92" s="111" t="s">
        <v>82</v>
      </c>
      <c r="P92" s="4"/>
    </row>
    <row r="93" spans="1:16">
      <c r="C93" s="136" t="s">
        <v>49</v>
      </c>
      <c r="D93" s="219">
        <f>D11</f>
        <v>2010</v>
      </c>
      <c r="E93" s="136" t="s">
        <v>50</v>
      </c>
      <c r="F93" s="134"/>
      <c r="G93" s="134"/>
      <c r="J93" s="138">
        <f>IF(H87="",0,'SWE.WS.G.BPU.ATRR.True-up'!$F$12)</f>
        <v>0</v>
      </c>
      <c r="K93" s="139"/>
      <c r="L93" t="str">
        <f>"          INPUT TRUE-UP ARR (WITH &amp; WITHOUT INCENTIVES) FROM EACH PRIOR YEAR"</f>
        <v xml:space="preserve">          INPUT TRUE-UP ARR (WITH &amp; WITHOUT INCENTIVES) FROM EACH PRIOR YEAR</v>
      </c>
      <c r="P93" s="4"/>
    </row>
    <row r="94" spans="1:16">
      <c r="C94" s="136" t="s">
        <v>51</v>
      </c>
      <c r="D94" s="219">
        <f>D12</f>
        <v>3</v>
      </c>
      <c r="E94" s="136" t="s">
        <v>52</v>
      </c>
      <c r="F94" s="134"/>
      <c r="G94" s="134"/>
      <c r="J94" s="140">
        <f>'SWE.WS.G.BPU.ATRR.True-up'!$F$80</f>
        <v>0.12147145768398206</v>
      </c>
      <c r="K94" s="141"/>
      <c r="L94" t="s">
        <v>83</v>
      </c>
      <c r="P94" s="4"/>
    </row>
    <row r="95" spans="1:16">
      <c r="C95" s="136" t="s">
        <v>54</v>
      </c>
      <c r="D95" s="138">
        <f>'SWE.WS.G.BPU.ATRR.True-up'!F$92</f>
        <v>42</v>
      </c>
      <c r="E95" s="136" t="s">
        <v>55</v>
      </c>
      <c r="F95" s="134"/>
      <c r="G95" s="134"/>
      <c r="J95" s="140">
        <f>IF(H87="",J94,'SWE.WS.G.BPU.ATRR.True-up'!$F$79)</f>
        <v>0.12147145768398206</v>
      </c>
      <c r="K95" s="58"/>
      <c r="L95" s="111" t="s">
        <v>56</v>
      </c>
      <c r="M95" s="58"/>
      <c r="N95" s="58"/>
      <c r="O95" s="58"/>
      <c r="P95" s="4"/>
    </row>
    <row r="96" spans="1:16" ht="13.5" thickBot="1">
      <c r="C96" s="136" t="s">
        <v>57</v>
      </c>
      <c r="D96" s="220" t="str">
        <f>+D14</f>
        <v>No</v>
      </c>
      <c r="E96" s="202" t="s">
        <v>59</v>
      </c>
      <c r="F96" s="208"/>
      <c r="G96" s="208"/>
      <c r="H96" s="209"/>
      <c r="I96" s="209"/>
      <c r="J96" s="124">
        <f>IF(D92=0,0,D92/D95)</f>
        <v>3816.5714285714284</v>
      </c>
      <c r="K96" s="111"/>
      <c r="L96" s="111"/>
      <c r="M96" s="111"/>
      <c r="N96" s="111"/>
      <c r="O96" s="111"/>
      <c r="P96" s="4"/>
    </row>
    <row r="97" spans="1:16" ht="38.25">
      <c r="A97" s="6"/>
      <c r="B97" s="6"/>
      <c r="C97" s="210" t="s">
        <v>47</v>
      </c>
      <c r="D97" s="211" t="s">
        <v>60</v>
      </c>
      <c r="E97" s="146" t="s">
        <v>61</v>
      </c>
      <c r="F97" s="146" t="s">
        <v>62</v>
      </c>
      <c r="G97" s="144" t="s">
        <v>84</v>
      </c>
      <c r="H97" s="434" t="s">
        <v>378</v>
      </c>
      <c r="I97" s="435" t="s">
        <v>379</v>
      </c>
      <c r="J97" s="210" t="s">
        <v>85</v>
      </c>
      <c r="K97" s="212"/>
      <c r="L97" s="271" t="s">
        <v>220</v>
      </c>
      <c r="M97" s="146" t="s">
        <v>86</v>
      </c>
      <c r="N97" s="271" t="s">
        <v>220</v>
      </c>
      <c r="O97" s="146" t="s">
        <v>86</v>
      </c>
      <c r="P97" s="146" t="s">
        <v>65</v>
      </c>
    </row>
    <row r="98" spans="1:16" ht="13.5" thickBot="1">
      <c r="C98" s="147" t="s">
        <v>66</v>
      </c>
      <c r="D98" s="213" t="s">
        <v>67</v>
      </c>
      <c r="E98" s="147" t="s">
        <v>68</v>
      </c>
      <c r="F98" s="147" t="s">
        <v>67</v>
      </c>
      <c r="G98" s="147" t="s">
        <v>67</v>
      </c>
      <c r="H98" s="407" t="s">
        <v>69</v>
      </c>
      <c r="I98" s="148" t="s">
        <v>70</v>
      </c>
      <c r="J98" s="149" t="s">
        <v>89</v>
      </c>
      <c r="K98" s="150"/>
      <c r="L98" s="151" t="s">
        <v>72</v>
      </c>
      <c r="M98" s="151" t="s">
        <v>72</v>
      </c>
      <c r="N98" s="151" t="s">
        <v>90</v>
      </c>
      <c r="O98" s="151" t="s">
        <v>90</v>
      </c>
      <c r="P98" s="151" t="s">
        <v>90</v>
      </c>
    </row>
    <row r="99" spans="1:16">
      <c r="C99" s="153">
        <f>IF(D93= "","-",D93)</f>
        <v>2010</v>
      </c>
      <c r="D99" s="154"/>
      <c r="E99" s="161"/>
      <c r="F99" s="159"/>
      <c r="G99" s="214"/>
      <c r="H99" s="251"/>
      <c r="I99" s="252"/>
      <c r="J99" s="158"/>
      <c r="K99" s="158"/>
      <c r="L99" s="256"/>
      <c r="M99" s="157">
        <f t="shared" ref="M99:M130" si="17">IF(L99&lt;&gt;0,+H99-L99,0)</f>
        <v>0</v>
      </c>
      <c r="N99" s="256"/>
      <c r="O99" s="157">
        <f t="shared" ref="O99:O130" si="18">IF(N99&lt;&gt;0,+I99-N99,0)</f>
        <v>0</v>
      </c>
      <c r="P99" s="157">
        <f t="shared" ref="P99:P130" si="19">+O99-M99</f>
        <v>0</v>
      </c>
    </row>
    <row r="100" spans="1:16">
      <c r="B100" s="9" t="str">
        <f>IF(D100=F99,"","IU")</f>
        <v/>
      </c>
      <c r="C100" s="153">
        <f>IF(D93="","-",+C99+1)</f>
        <v>2011</v>
      </c>
      <c r="D100" s="154"/>
      <c r="E100" s="160"/>
      <c r="F100" s="159"/>
      <c r="G100" s="159"/>
      <c r="H100" s="163"/>
      <c r="I100" s="253"/>
      <c r="J100" s="158"/>
      <c r="K100" s="158"/>
      <c r="L100" s="258"/>
      <c r="M100" s="158">
        <f t="shared" si="17"/>
        <v>0</v>
      </c>
      <c r="N100" s="258"/>
      <c r="O100" s="158">
        <f t="shared" si="18"/>
        <v>0</v>
      </c>
      <c r="P100" s="158">
        <f t="shared" si="19"/>
        <v>0</v>
      </c>
    </row>
    <row r="101" spans="1:16">
      <c r="B101" s="9" t="str">
        <f t="shared" ref="B101:B154" si="20">IF(D101=F100,"","IU")</f>
        <v/>
      </c>
      <c r="C101" s="153">
        <f>IF(D93="","-",+C100+1)</f>
        <v>2012</v>
      </c>
      <c r="D101" s="154"/>
      <c r="E101" s="160"/>
      <c r="F101" s="159"/>
      <c r="G101" s="159"/>
      <c r="H101" s="163"/>
      <c r="I101" s="253"/>
      <c r="J101" s="158"/>
      <c r="K101" s="158"/>
      <c r="L101" s="258"/>
      <c r="M101" s="158">
        <f t="shared" si="17"/>
        <v>0</v>
      </c>
      <c r="N101" s="258"/>
      <c r="O101" s="158">
        <f t="shared" si="18"/>
        <v>0</v>
      </c>
      <c r="P101" s="158">
        <f t="shared" si="19"/>
        <v>0</v>
      </c>
    </row>
    <row r="102" spans="1:16">
      <c r="B102" s="9" t="str">
        <f t="shared" si="20"/>
        <v/>
      </c>
      <c r="C102" s="153">
        <f>IF(D93="","-",+C101+1)</f>
        <v>2013</v>
      </c>
      <c r="D102" s="154"/>
      <c r="E102" s="160"/>
      <c r="F102" s="159"/>
      <c r="G102" s="159"/>
      <c r="H102" s="163"/>
      <c r="I102" s="253"/>
      <c r="J102" s="158"/>
      <c r="K102" s="158"/>
      <c r="L102" s="258"/>
      <c r="M102" s="158">
        <f t="shared" si="17"/>
        <v>0</v>
      </c>
      <c r="N102" s="258"/>
      <c r="O102" s="158">
        <f t="shared" si="18"/>
        <v>0</v>
      </c>
      <c r="P102" s="158">
        <f t="shared" si="19"/>
        <v>0</v>
      </c>
    </row>
    <row r="103" spans="1:16" ht="13.5" thickBot="1">
      <c r="B103" s="9" t="str">
        <f t="shared" si="20"/>
        <v/>
      </c>
      <c r="C103" s="153">
        <f>IF(D93="","-",+C102+1)</f>
        <v>2014</v>
      </c>
      <c r="D103" s="154"/>
      <c r="E103" s="160"/>
      <c r="F103" s="159"/>
      <c r="G103" s="159"/>
      <c r="H103" s="163"/>
      <c r="I103" s="253"/>
      <c r="J103" s="158"/>
      <c r="K103" s="158"/>
      <c r="L103" s="258"/>
      <c r="M103" s="158">
        <f t="shared" si="17"/>
        <v>0</v>
      </c>
      <c r="N103" s="258"/>
      <c r="O103" s="158">
        <f t="shared" si="18"/>
        <v>0</v>
      </c>
      <c r="P103" s="158">
        <f t="shared" si="19"/>
        <v>0</v>
      </c>
    </row>
    <row r="104" spans="1:16" ht="13.5" thickBot="1">
      <c r="B104" s="9" t="str">
        <f t="shared" si="20"/>
        <v>IU</v>
      </c>
      <c r="C104" s="153">
        <f>IF(D93="","-",+C103+1)</f>
        <v>2015</v>
      </c>
      <c r="D104" s="409">
        <v>142167.37440476194</v>
      </c>
      <c r="E104" s="410">
        <v>3384.9374858276651</v>
      </c>
      <c r="F104" s="411">
        <v>138782.43691893428</v>
      </c>
      <c r="G104" s="412">
        <v>140474.90566184811</v>
      </c>
      <c r="H104" s="413">
        <v>21895.158174484655</v>
      </c>
      <c r="I104" s="414">
        <v>21895.158174484655</v>
      </c>
      <c r="J104" s="158">
        <f>+I104-H104</f>
        <v>0</v>
      </c>
      <c r="K104" s="158"/>
      <c r="L104" s="258">
        <f>+H104</f>
        <v>21895.158174484655</v>
      </c>
      <c r="M104" s="158">
        <f t="shared" si="17"/>
        <v>0</v>
      </c>
      <c r="N104" s="258">
        <f>+I104</f>
        <v>21895.158174484655</v>
      </c>
      <c r="O104" s="158">
        <f t="shared" si="18"/>
        <v>0</v>
      </c>
      <c r="P104" s="158">
        <f t="shared" si="19"/>
        <v>0</v>
      </c>
    </row>
    <row r="105" spans="1:16">
      <c r="B105" s="9" t="str">
        <f t="shared" si="20"/>
        <v>IU</v>
      </c>
      <c r="C105" s="153">
        <f>IF(D93="","-",+C104+1)</f>
        <v>2016</v>
      </c>
      <c r="D105" s="409">
        <v>156911.06251417234</v>
      </c>
      <c r="E105" s="410">
        <v>3727.8139534883721</v>
      </c>
      <c r="F105" s="411">
        <v>153183.24856068398</v>
      </c>
      <c r="G105" s="412">
        <v>155047.15553742816</v>
      </c>
      <c r="H105" s="413">
        <v>23411.048533108711</v>
      </c>
      <c r="I105" s="414">
        <v>23411.048533108711</v>
      </c>
      <c r="J105" s="158">
        <v>0</v>
      </c>
      <c r="K105" s="158"/>
      <c r="L105" s="258">
        <f>+H105</f>
        <v>23411.048533108711</v>
      </c>
      <c r="M105" s="158">
        <f>IF(L105&lt;&gt;0,+H105-L105,0)</f>
        <v>0</v>
      </c>
      <c r="N105" s="258">
        <f>+I105</f>
        <v>23411.048533108711</v>
      </c>
      <c r="O105" s="158">
        <f>IF(N105&lt;&gt;0,+I105-N105,0)</f>
        <v>0</v>
      </c>
      <c r="P105" s="158">
        <f>+O105-M105</f>
        <v>0</v>
      </c>
    </row>
    <row r="106" spans="1:16">
      <c r="B106" s="9" t="str">
        <f t="shared" si="20"/>
        <v/>
      </c>
      <c r="C106" s="153">
        <f>IF(D93="","-",+C105+1)</f>
        <v>2017</v>
      </c>
      <c r="D106" s="154">
        <f>IF(F105+SUM(E$99:E105)=D$92,F105,D$92-SUM(E$99:E105))</f>
        <v>153183.24856068398</v>
      </c>
      <c r="E106" s="160">
        <f t="shared" ref="E106:E154" si="21">IF(+$J$96&lt;F105,$J$96,D106)</f>
        <v>3816.5714285714284</v>
      </c>
      <c r="F106" s="159">
        <f t="shared" ref="F106:F154" si="22">+D106-E106</f>
        <v>149366.67713211256</v>
      </c>
      <c r="G106" s="159">
        <f t="shared" ref="G106:G154" si="23">+(F106+D106)/2</f>
        <v>151274.96284639827</v>
      </c>
      <c r="H106" s="163">
        <f t="shared" ref="H106:H154" si="24">+J$94*G106+E106</f>
        <v>22192.161676613654</v>
      </c>
      <c r="I106" s="253">
        <f t="shared" ref="I106:I154" si="25">+J$95*G106+E106</f>
        <v>22192.161676613654</v>
      </c>
      <c r="J106" s="158">
        <f t="shared" ref="J106:J154" si="26">+I106-H106</f>
        <v>0</v>
      </c>
      <c r="K106" s="158"/>
      <c r="L106" s="334"/>
      <c r="M106" s="158">
        <f t="shared" si="17"/>
        <v>0</v>
      </c>
      <c r="N106" s="334"/>
      <c r="O106" s="158">
        <f t="shared" si="18"/>
        <v>0</v>
      </c>
      <c r="P106" s="158">
        <f t="shared" si="19"/>
        <v>0</v>
      </c>
    </row>
    <row r="107" spans="1:16">
      <c r="B107" s="9" t="str">
        <f t="shared" si="20"/>
        <v/>
      </c>
      <c r="C107" s="153">
        <f>IF(D93="","-",+C106+1)</f>
        <v>2018</v>
      </c>
      <c r="D107" s="154">
        <f>IF(F106+SUM(E$99:E106)=D$92,F106,D$92-SUM(E$99:E106))</f>
        <v>149366.67713211256</v>
      </c>
      <c r="E107" s="160">
        <f t="shared" si="21"/>
        <v>3816.5714285714284</v>
      </c>
      <c r="F107" s="159">
        <f t="shared" si="22"/>
        <v>145550.10570354114</v>
      </c>
      <c r="G107" s="159">
        <f t="shared" si="23"/>
        <v>147458.39141782685</v>
      </c>
      <c r="H107" s="163">
        <f t="shared" si="24"/>
        <v>21728.557181830045</v>
      </c>
      <c r="I107" s="253">
        <f t="shared" si="25"/>
        <v>21728.557181830045</v>
      </c>
      <c r="J107" s="158">
        <f t="shared" si="26"/>
        <v>0</v>
      </c>
      <c r="K107" s="158"/>
      <c r="L107" s="334"/>
      <c r="M107" s="158">
        <f t="shared" si="17"/>
        <v>0</v>
      </c>
      <c r="N107" s="334"/>
      <c r="O107" s="158">
        <f t="shared" si="18"/>
        <v>0</v>
      </c>
      <c r="P107" s="158">
        <f t="shared" si="19"/>
        <v>0</v>
      </c>
    </row>
    <row r="108" spans="1:16">
      <c r="B108" s="9" t="str">
        <f t="shared" si="20"/>
        <v/>
      </c>
      <c r="C108" s="153">
        <f>IF(D93="","-",+C107+1)</f>
        <v>2019</v>
      </c>
      <c r="D108" s="154">
        <f>IF(F107+SUM(E$99:E107)=D$92,F107,D$92-SUM(E$99:E107))</f>
        <v>145550.10570354114</v>
      </c>
      <c r="E108" s="160">
        <f t="shared" si="21"/>
        <v>3816.5714285714284</v>
      </c>
      <c r="F108" s="159">
        <f t="shared" si="22"/>
        <v>141733.53427496972</v>
      </c>
      <c r="G108" s="159">
        <f t="shared" si="23"/>
        <v>143641.81998925543</v>
      </c>
      <c r="H108" s="163">
        <f t="shared" si="24"/>
        <v>21264.952687046436</v>
      </c>
      <c r="I108" s="253">
        <f t="shared" si="25"/>
        <v>21264.952687046436</v>
      </c>
      <c r="J108" s="158">
        <f t="shared" si="26"/>
        <v>0</v>
      </c>
      <c r="K108" s="158"/>
      <c r="L108" s="334"/>
      <c r="M108" s="158">
        <f t="shared" si="17"/>
        <v>0</v>
      </c>
      <c r="N108" s="334"/>
      <c r="O108" s="158">
        <f t="shared" si="18"/>
        <v>0</v>
      </c>
      <c r="P108" s="158">
        <f t="shared" si="19"/>
        <v>0</v>
      </c>
    </row>
    <row r="109" spans="1:16">
      <c r="B109" s="9" t="str">
        <f t="shared" si="20"/>
        <v/>
      </c>
      <c r="C109" s="153">
        <f>IF(D93="","-",+C108+1)</f>
        <v>2020</v>
      </c>
      <c r="D109" s="154">
        <f>IF(F108+SUM(E$99:E108)=D$92,F108,D$92-SUM(E$99:E108))</f>
        <v>141733.53427496972</v>
      </c>
      <c r="E109" s="160">
        <f t="shared" si="21"/>
        <v>3816.5714285714284</v>
      </c>
      <c r="F109" s="159">
        <f t="shared" si="22"/>
        <v>137916.9628463983</v>
      </c>
      <c r="G109" s="159">
        <f t="shared" si="23"/>
        <v>139825.24856068401</v>
      </c>
      <c r="H109" s="163">
        <f t="shared" si="24"/>
        <v>20801.348192262827</v>
      </c>
      <c r="I109" s="253">
        <f t="shared" si="25"/>
        <v>20801.348192262827</v>
      </c>
      <c r="J109" s="158">
        <f t="shared" si="26"/>
        <v>0</v>
      </c>
      <c r="K109" s="158"/>
      <c r="L109" s="334"/>
      <c r="M109" s="158">
        <f t="shared" si="17"/>
        <v>0</v>
      </c>
      <c r="N109" s="334"/>
      <c r="O109" s="158">
        <f t="shared" si="18"/>
        <v>0</v>
      </c>
      <c r="P109" s="158">
        <f t="shared" si="19"/>
        <v>0</v>
      </c>
    </row>
    <row r="110" spans="1:16">
      <c r="B110" s="9" t="str">
        <f t="shared" si="20"/>
        <v/>
      </c>
      <c r="C110" s="153">
        <f>IF(D93="","-",+C109+1)</f>
        <v>2021</v>
      </c>
      <c r="D110" s="154">
        <f>IF(F109+SUM(E$99:E109)=D$92,F109,D$92-SUM(E$99:E109))</f>
        <v>137916.9628463983</v>
      </c>
      <c r="E110" s="160">
        <f t="shared" si="21"/>
        <v>3816.5714285714284</v>
      </c>
      <c r="F110" s="159">
        <f t="shared" si="22"/>
        <v>134100.39141782688</v>
      </c>
      <c r="G110" s="159">
        <f t="shared" si="23"/>
        <v>136008.67713211259</v>
      </c>
      <c r="H110" s="163">
        <f t="shared" si="24"/>
        <v>20337.743697479218</v>
      </c>
      <c r="I110" s="253">
        <f t="shared" si="25"/>
        <v>20337.743697479218</v>
      </c>
      <c r="J110" s="158">
        <f t="shared" si="26"/>
        <v>0</v>
      </c>
      <c r="K110" s="158"/>
      <c r="L110" s="334"/>
      <c r="M110" s="158">
        <f t="shared" si="17"/>
        <v>0</v>
      </c>
      <c r="N110" s="334"/>
      <c r="O110" s="158">
        <f t="shared" si="18"/>
        <v>0</v>
      </c>
      <c r="P110" s="158">
        <f t="shared" si="19"/>
        <v>0</v>
      </c>
    </row>
    <row r="111" spans="1:16">
      <c r="B111" s="9" t="str">
        <f t="shared" si="20"/>
        <v/>
      </c>
      <c r="C111" s="153">
        <f>IF(D93="","-",+C110+1)</f>
        <v>2022</v>
      </c>
      <c r="D111" s="154">
        <f>IF(F110+SUM(E$99:E110)=D$92,F110,D$92-SUM(E$99:E110))</f>
        <v>134100.39141782688</v>
      </c>
      <c r="E111" s="160">
        <f t="shared" si="21"/>
        <v>3816.5714285714284</v>
      </c>
      <c r="F111" s="159">
        <f t="shared" si="22"/>
        <v>130283.81998925544</v>
      </c>
      <c r="G111" s="159">
        <f t="shared" si="23"/>
        <v>132192.10570354116</v>
      </c>
      <c r="H111" s="163">
        <f t="shared" si="24"/>
        <v>19874.139202695613</v>
      </c>
      <c r="I111" s="253">
        <f t="shared" si="25"/>
        <v>19874.139202695613</v>
      </c>
      <c r="J111" s="158">
        <f t="shared" si="26"/>
        <v>0</v>
      </c>
      <c r="K111" s="158"/>
      <c r="L111" s="334"/>
      <c r="M111" s="158">
        <f t="shared" si="17"/>
        <v>0</v>
      </c>
      <c r="N111" s="334"/>
      <c r="O111" s="158">
        <f t="shared" si="18"/>
        <v>0</v>
      </c>
      <c r="P111" s="158">
        <f t="shared" si="19"/>
        <v>0</v>
      </c>
    </row>
    <row r="112" spans="1:16">
      <c r="B112" s="9" t="str">
        <f t="shared" si="20"/>
        <v/>
      </c>
      <c r="C112" s="153">
        <f>IF(D93="","-",+C111+1)</f>
        <v>2023</v>
      </c>
      <c r="D112" s="154">
        <f>IF(F111+SUM(E$99:E111)=D$92,F111,D$92-SUM(E$99:E111))</f>
        <v>130283.81998925544</v>
      </c>
      <c r="E112" s="160">
        <f t="shared" si="21"/>
        <v>3816.5714285714284</v>
      </c>
      <c r="F112" s="159">
        <f t="shared" si="22"/>
        <v>126467.24856068401</v>
      </c>
      <c r="G112" s="159">
        <f t="shared" si="23"/>
        <v>128375.53427496972</v>
      </c>
      <c r="H112" s="163">
        <f t="shared" si="24"/>
        <v>19410.534707912</v>
      </c>
      <c r="I112" s="253">
        <f t="shared" si="25"/>
        <v>19410.534707912</v>
      </c>
      <c r="J112" s="158">
        <f t="shared" si="26"/>
        <v>0</v>
      </c>
      <c r="K112" s="158"/>
      <c r="L112" s="334"/>
      <c r="M112" s="158">
        <f t="shared" si="17"/>
        <v>0</v>
      </c>
      <c r="N112" s="334"/>
      <c r="O112" s="158">
        <f t="shared" si="18"/>
        <v>0</v>
      </c>
      <c r="P112" s="158">
        <f t="shared" si="19"/>
        <v>0</v>
      </c>
    </row>
    <row r="113" spans="2:16">
      <c r="B113" s="9" t="str">
        <f t="shared" si="20"/>
        <v/>
      </c>
      <c r="C113" s="153">
        <f>IF(D93="","-",+C112+1)</f>
        <v>2024</v>
      </c>
      <c r="D113" s="154">
        <f>IF(F112+SUM(E$99:E112)=D$92,F112,D$92-SUM(E$99:E112))</f>
        <v>126467.24856068401</v>
      </c>
      <c r="E113" s="160">
        <f t="shared" si="21"/>
        <v>3816.5714285714284</v>
      </c>
      <c r="F113" s="159">
        <f t="shared" si="22"/>
        <v>122650.67713211257</v>
      </c>
      <c r="G113" s="159">
        <f t="shared" si="23"/>
        <v>124558.9628463983</v>
      </c>
      <c r="H113" s="163">
        <f t="shared" si="24"/>
        <v>18946.930213128391</v>
      </c>
      <c r="I113" s="253">
        <f t="shared" si="25"/>
        <v>18946.930213128391</v>
      </c>
      <c r="J113" s="158">
        <f t="shared" si="26"/>
        <v>0</v>
      </c>
      <c r="K113" s="158"/>
      <c r="L113" s="334"/>
      <c r="M113" s="158">
        <f t="shared" si="17"/>
        <v>0</v>
      </c>
      <c r="N113" s="334"/>
      <c r="O113" s="158">
        <f t="shared" si="18"/>
        <v>0</v>
      </c>
      <c r="P113" s="158">
        <f t="shared" si="19"/>
        <v>0</v>
      </c>
    </row>
    <row r="114" spans="2:16">
      <c r="B114" s="9" t="str">
        <f t="shared" si="20"/>
        <v/>
      </c>
      <c r="C114" s="153">
        <f>IF(D93="","-",+C113+1)</f>
        <v>2025</v>
      </c>
      <c r="D114" s="154">
        <f>IF(F113+SUM(E$99:E113)=D$92,F113,D$92-SUM(E$99:E113))</f>
        <v>122650.67713211257</v>
      </c>
      <c r="E114" s="160">
        <f t="shared" si="21"/>
        <v>3816.5714285714284</v>
      </c>
      <c r="F114" s="159">
        <f t="shared" si="22"/>
        <v>118834.10570354114</v>
      </c>
      <c r="G114" s="159">
        <f t="shared" si="23"/>
        <v>120742.39141782685</v>
      </c>
      <c r="H114" s="163">
        <f t="shared" si="24"/>
        <v>18483.325718344779</v>
      </c>
      <c r="I114" s="253">
        <f t="shared" si="25"/>
        <v>18483.325718344779</v>
      </c>
      <c r="J114" s="158">
        <f t="shared" si="26"/>
        <v>0</v>
      </c>
      <c r="K114" s="158"/>
      <c r="L114" s="334"/>
      <c r="M114" s="158">
        <f t="shared" si="17"/>
        <v>0</v>
      </c>
      <c r="N114" s="334"/>
      <c r="O114" s="158">
        <f t="shared" si="18"/>
        <v>0</v>
      </c>
      <c r="P114" s="158">
        <f t="shared" si="19"/>
        <v>0</v>
      </c>
    </row>
    <row r="115" spans="2:16">
      <c r="B115" s="9" t="str">
        <f t="shared" si="20"/>
        <v/>
      </c>
      <c r="C115" s="153">
        <f>IF(D93="","-",+C114+1)</f>
        <v>2026</v>
      </c>
      <c r="D115" s="154">
        <f>IF(F114+SUM(E$99:E114)=D$92,F114,D$92-SUM(E$99:E114))</f>
        <v>118834.10570354114</v>
      </c>
      <c r="E115" s="160">
        <f t="shared" si="21"/>
        <v>3816.5714285714284</v>
      </c>
      <c r="F115" s="159">
        <f t="shared" si="22"/>
        <v>115017.5342749697</v>
      </c>
      <c r="G115" s="159">
        <f t="shared" si="23"/>
        <v>116925.81998925543</v>
      </c>
      <c r="H115" s="163">
        <f t="shared" si="24"/>
        <v>18019.721223561173</v>
      </c>
      <c r="I115" s="253">
        <f t="shared" si="25"/>
        <v>18019.721223561173</v>
      </c>
      <c r="J115" s="158">
        <f t="shared" si="26"/>
        <v>0</v>
      </c>
      <c r="K115" s="158"/>
      <c r="L115" s="334"/>
      <c r="M115" s="158">
        <f t="shared" si="17"/>
        <v>0</v>
      </c>
      <c r="N115" s="334"/>
      <c r="O115" s="158">
        <f t="shared" si="18"/>
        <v>0</v>
      </c>
      <c r="P115" s="158">
        <f t="shared" si="19"/>
        <v>0</v>
      </c>
    </row>
    <row r="116" spans="2:16">
      <c r="B116" s="9" t="str">
        <f t="shared" si="20"/>
        <v/>
      </c>
      <c r="C116" s="153">
        <f>IF(D93="","-",+C115+1)</f>
        <v>2027</v>
      </c>
      <c r="D116" s="154">
        <f>IF(F115+SUM(E$99:E115)=D$92,F115,D$92-SUM(E$99:E115))</f>
        <v>115017.5342749697</v>
      </c>
      <c r="E116" s="160">
        <f t="shared" si="21"/>
        <v>3816.5714285714284</v>
      </c>
      <c r="F116" s="159">
        <f t="shared" si="22"/>
        <v>111200.96284639827</v>
      </c>
      <c r="G116" s="159">
        <f t="shared" si="23"/>
        <v>113109.24856068398</v>
      </c>
      <c r="H116" s="163">
        <f t="shared" si="24"/>
        <v>17556.116728777561</v>
      </c>
      <c r="I116" s="253">
        <f t="shared" si="25"/>
        <v>17556.116728777561</v>
      </c>
      <c r="J116" s="158">
        <f t="shared" si="26"/>
        <v>0</v>
      </c>
      <c r="K116" s="158"/>
      <c r="L116" s="334"/>
      <c r="M116" s="158">
        <f t="shared" si="17"/>
        <v>0</v>
      </c>
      <c r="N116" s="334"/>
      <c r="O116" s="158">
        <f t="shared" si="18"/>
        <v>0</v>
      </c>
      <c r="P116" s="158">
        <f t="shared" si="19"/>
        <v>0</v>
      </c>
    </row>
    <row r="117" spans="2:16">
      <c r="B117" s="9" t="str">
        <f t="shared" si="20"/>
        <v/>
      </c>
      <c r="C117" s="153">
        <f>IF(D93="","-",+C116+1)</f>
        <v>2028</v>
      </c>
      <c r="D117" s="154">
        <f>IF(F116+SUM(E$99:E116)=D$92,F116,D$92-SUM(E$99:E116))</f>
        <v>111200.96284639827</v>
      </c>
      <c r="E117" s="160">
        <f t="shared" si="21"/>
        <v>3816.5714285714284</v>
      </c>
      <c r="F117" s="159">
        <f t="shared" si="22"/>
        <v>107384.39141782683</v>
      </c>
      <c r="G117" s="159">
        <f t="shared" si="23"/>
        <v>109292.67713211256</v>
      </c>
      <c r="H117" s="163">
        <f t="shared" si="24"/>
        <v>17092.512233993952</v>
      </c>
      <c r="I117" s="253">
        <f t="shared" si="25"/>
        <v>17092.512233993952</v>
      </c>
      <c r="J117" s="158">
        <f t="shared" si="26"/>
        <v>0</v>
      </c>
      <c r="K117" s="158"/>
      <c r="L117" s="334"/>
      <c r="M117" s="158">
        <f t="shared" si="17"/>
        <v>0</v>
      </c>
      <c r="N117" s="334"/>
      <c r="O117" s="158">
        <f t="shared" si="18"/>
        <v>0</v>
      </c>
      <c r="P117" s="158">
        <f t="shared" si="19"/>
        <v>0</v>
      </c>
    </row>
    <row r="118" spans="2:16">
      <c r="B118" s="9" t="str">
        <f t="shared" si="20"/>
        <v/>
      </c>
      <c r="C118" s="153">
        <f>IF(D93="","-",+C117+1)</f>
        <v>2029</v>
      </c>
      <c r="D118" s="154">
        <f>IF(F117+SUM(E$99:E117)=D$92,F117,D$92-SUM(E$99:E117))</f>
        <v>107384.39141782683</v>
      </c>
      <c r="E118" s="160">
        <f t="shared" si="21"/>
        <v>3816.5714285714284</v>
      </c>
      <c r="F118" s="159">
        <f t="shared" si="22"/>
        <v>103567.8199892554</v>
      </c>
      <c r="G118" s="159">
        <f t="shared" si="23"/>
        <v>105476.10570354111</v>
      </c>
      <c r="H118" s="163">
        <f t="shared" si="24"/>
        <v>16628.907739210339</v>
      </c>
      <c r="I118" s="253">
        <f t="shared" si="25"/>
        <v>16628.907739210339</v>
      </c>
      <c r="J118" s="158">
        <f t="shared" si="26"/>
        <v>0</v>
      </c>
      <c r="K118" s="158"/>
      <c r="L118" s="334"/>
      <c r="M118" s="158">
        <f t="shared" si="17"/>
        <v>0</v>
      </c>
      <c r="N118" s="334"/>
      <c r="O118" s="158">
        <f t="shared" si="18"/>
        <v>0</v>
      </c>
      <c r="P118" s="158">
        <f t="shared" si="19"/>
        <v>0</v>
      </c>
    </row>
    <row r="119" spans="2:16">
      <c r="B119" s="9" t="str">
        <f t="shared" si="20"/>
        <v/>
      </c>
      <c r="C119" s="153">
        <f>IF(D93="","-",+C118+1)</f>
        <v>2030</v>
      </c>
      <c r="D119" s="154">
        <f>IF(F118+SUM(E$99:E118)=D$92,F118,D$92-SUM(E$99:E118))</f>
        <v>103567.8199892554</v>
      </c>
      <c r="E119" s="160">
        <f t="shared" si="21"/>
        <v>3816.5714285714284</v>
      </c>
      <c r="F119" s="159">
        <f t="shared" si="22"/>
        <v>99751.248560683962</v>
      </c>
      <c r="G119" s="159">
        <f t="shared" si="23"/>
        <v>101659.53427496969</v>
      </c>
      <c r="H119" s="163">
        <f t="shared" si="24"/>
        <v>16165.303244426734</v>
      </c>
      <c r="I119" s="253">
        <f t="shared" si="25"/>
        <v>16165.303244426734</v>
      </c>
      <c r="J119" s="158">
        <f t="shared" si="26"/>
        <v>0</v>
      </c>
      <c r="K119" s="158"/>
      <c r="L119" s="334"/>
      <c r="M119" s="158">
        <f t="shared" si="17"/>
        <v>0</v>
      </c>
      <c r="N119" s="334"/>
      <c r="O119" s="158">
        <f t="shared" si="18"/>
        <v>0</v>
      </c>
      <c r="P119" s="158">
        <f t="shared" si="19"/>
        <v>0</v>
      </c>
    </row>
    <row r="120" spans="2:16">
      <c r="B120" s="9" t="str">
        <f t="shared" si="20"/>
        <v/>
      </c>
      <c r="C120" s="153">
        <f>IF(D93="","-",+C119+1)</f>
        <v>2031</v>
      </c>
      <c r="D120" s="154">
        <f>IF(F119+SUM(E$99:E119)=D$92,F119,D$92-SUM(E$99:E119))</f>
        <v>99751.248560683962</v>
      </c>
      <c r="E120" s="160">
        <f t="shared" si="21"/>
        <v>3816.5714285714284</v>
      </c>
      <c r="F120" s="159">
        <f t="shared" si="22"/>
        <v>95934.677132112527</v>
      </c>
      <c r="G120" s="159">
        <f t="shared" si="23"/>
        <v>97842.962846398237</v>
      </c>
      <c r="H120" s="163">
        <f t="shared" si="24"/>
        <v>15701.698749643121</v>
      </c>
      <c r="I120" s="253">
        <f t="shared" si="25"/>
        <v>15701.698749643121</v>
      </c>
      <c r="J120" s="158">
        <f t="shared" si="26"/>
        <v>0</v>
      </c>
      <c r="K120" s="158"/>
      <c r="L120" s="334"/>
      <c r="M120" s="158">
        <f t="shared" si="17"/>
        <v>0</v>
      </c>
      <c r="N120" s="334"/>
      <c r="O120" s="158">
        <f t="shared" si="18"/>
        <v>0</v>
      </c>
      <c r="P120" s="158">
        <f t="shared" si="19"/>
        <v>0</v>
      </c>
    </row>
    <row r="121" spans="2:16">
      <c r="B121" s="9" t="str">
        <f t="shared" si="20"/>
        <v/>
      </c>
      <c r="C121" s="153">
        <f>IF(D93="","-",+C120+1)</f>
        <v>2032</v>
      </c>
      <c r="D121" s="154">
        <f>IF(F120+SUM(E$99:E120)=D$92,F120,D$92-SUM(E$99:E120))</f>
        <v>95934.677132112527</v>
      </c>
      <c r="E121" s="160">
        <f t="shared" si="21"/>
        <v>3816.5714285714284</v>
      </c>
      <c r="F121" s="159">
        <f t="shared" si="22"/>
        <v>92118.105703541092</v>
      </c>
      <c r="G121" s="159">
        <f t="shared" si="23"/>
        <v>94026.391417826817</v>
      </c>
      <c r="H121" s="163">
        <f t="shared" si="24"/>
        <v>15238.094254859512</v>
      </c>
      <c r="I121" s="253">
        <f t="shared" si="25"/>
        <v>15238.094254859512</v>
      </c>
      <c r="J121" s="158">
        <f t="shared" si="26"/>
        <v>0</v>
      </c>
      <c r="K121" s="158"/>
      <c r="L121" s="334"/>
      <c r="M121" s="158">
        <f t="shared" si="17"/>
        <v>0</v>
      </c>
      <c r="N121" s="334"/>
      <c r="O121" s="158">
        <f t="shared" si="18"/>
        <v>0</v>
      </c>
      <c r="P121" s="158">
        <f t="shared" si="19"/>
        <v>0</v>
      </c>
    </row>
    <row r="122" spans="2:16">
      <c r="B122" s="9" t="str">
        <f t="shared" si="20"/>
        <v/>
      </c>
      <c r="C122" s="153">
        <f>IF(D93="","-",+C121+1)</f>
        <v>2033</v>
      </c>
      <c r="D122" s="154">
        <f>IF(F121+SUM(E$99:E121)=D$92,F121,D$92-SUM(E$99:E121))</f>
        <v>92118.105703541092</v>
      </c>
      <c r="E122" s="160">
        <f t="shared" si="21"/>
        <v>3816.5714285714284</v>
      </c>
      <c r="F122" s="159">
        <f t="shared" si="22"/>
        <v>88301.534274969657</v>
      </c>
      <c r="G122" s="159">
        <f t="shared" si="23"/>
        <v>90209.819989255368</v>
      </c>
      <c r="H122" s="163">
        <f t="shared" si="24"/>
        <v>14774.4897600759</v>
      </c>
      <c r="I122" s="253">
        <f t="shared" si="25"/>
        <v>14774.4897600759</v>
      </c>
      <c r="J122" s="158">
        <f t="shared" si="26"/>
        <v>0</v>
      </c>
      <c r="K122" s="158"/>
      <c r="L122" s="334"/>
      <c r="M122" s="158">
        <f t="shared" si="17"/>
        <v>0</v>
      </c>
      <c r="N122" s="334"/>
      <c r="O122" s="158">
        <f t="shared" si="18"/>
        <v>0</v>
      </c>
      <c r="P122" s="158">
        <f t="shared" si="19"/>
        <v>0</v>
      </c>
    </row>
    <row r="123" spans="2:16">
      <c r="B123" s="9" t="str">
        <f t="shared" si="20"/>
        <v/>
      </c>
      <c r="C123" s="153">
        <f>IF(D93="","-",+C122+1)</f>
        <v>2034</v>
      </c>
      <c r="D123" s="154">
        <f>IF(F122+SUM(E$99:E122)=D$92,F122,D$92-SUM(E$99:E122))</f>
        <v>88301.534274969657</v>
      </c>
      <c r="E123" s="160">
        <f t="shared" si="21"/>
        <v>3816.5714285714284</v>
      </c>
      <c r="F123" s="159">
        <f t="shared" si="22"/>
        <v>84484.962846398223</v>
      </c>
      <c r="G123" s="159">
        <f t="shared" si="23"/>
        <v>86393.248560683947</v>
      </c>
      <c r="H123" s="163">
        <f t="shared" si="24"/>
        <v>14310.885265292291</v>
      </c>
      <c r="I123" s="253">
        <f t="shared" si="25"/>
        <v>14310.885265292291</v>
      </c>
      <c r="J123" s="158">
        <f t="shared" si="26"/>
        <v>0</v>
      </c>
      <c r="K123" s="158"/>
      <c r="L123" s="334"/>
      <c r="M123" s="158">
        <f t="shared" si="17"/>
        <v>0</v>
      </c>
      <c r="N123" s="334"/>
      <c r="O123" s="158">
        <f t="shared" si="18"/>
        <v>0</v>
      </c>
      <c r="P123" s="158">
        <f t="shared" si="19"/>
        <v>0</v>
      </c>
    </row>
    <row r="124" spans="2:16">
      <c r="B124" s="9" t="str">
        <f t="shared" si="20"/>
        <v/>
      </c>
      <c r="C124" s="153">
        <f>IF(D93="","-",+C123+1)</f>
        <v>2035</v>
      </c>
      <c r="D124" s="154">
        <f>IF(F123+SUM(E$99:E123)=D$92,F123,D$92-SUM(E$99:E123))</f>
        <v>84484.962846398223</v>
      </c>
      <c r="E124" s="160">
        <f t="shared" si="21"/>
        <v>3816.5714285714284</v>
      </c>
      <c r="F124" s="159">
        <f t="shared" si="22"/>
        <v>80668.391417826788</v>
      </c>
      <c r="G124" s="159">
        <f t="shared" si="23"/>
        <v>82576.677132112498</v>
      </c>
      <c r="H124" s="163">
        <f t="shared" si="24"/>
        <v>13847.280770508682</v>
      </c>
      <c r="I124" s="253">
        <f t="shared" si="25"/>
        <v>13847.280770508682</v>
      </c>
      <c r="J124" s="158">
        <f t="shared" si="26"/>
        <v>0</v>
      </c>
      <c r="K124" s="158"/>
      <c r="L124" s="334"/>
      <c r="M124" s="158">
        <f t="shared" si="17"/>
        <v>0</v>
      </c>
      <c r="N124" s="334"/>
      <c r="O124" s="158">
        <f t="shared" si="18"/>
        <v>0</v>
      </c>
      <c r="P124" s="158">
        <f t="shared" si="19"/>
        <v>0</v>
      </c>
    </row>
    <row r="125" spans="2:16">
      <c r="B125" s="9" t="str">
        <f t="shared" si="20"/>
        <v/>
      </c>
      <c r="C125" s="153">
        <f>IF(D93="","-",+C124+1)</f>
        <v>2036</v>
      </c>
      <c r="D125" s="154">
        <f>IF(F124+SUM(E$99:E124)=D$92,F124,D$92-SUM(E$99:E124))</f>
        <v>80668.391417826788</v>
      </c>
      <c r="E125" s="160">
        <f t="shared" si="21"/>
        <v>3816.5714285714284</v>
      </c>
      <c r="F125" s="159">
        <f t="shared" si="22"/>
        <v>76851.819989255353</v>
      </c>
      <c r="G125" s="159">
        <f t="shared" si="23"/>
        <v>78760.105703541078</v>
      </c>
      <c r="H125" s="163">
        <f t="shared" si="24"/>
        <v>13383.676275725073</v>
      </c>
      <c r="I125" s="253">
        <f t="shared" si="25"/>
        <v>13383.676275725073</v>
      </c>
      <c r="J125" s="158">
        <f t="shared" si="26"/>
        <v>0</v>
      </c>
      <c r="K125" s="158"/>
      <c r="L125" s="334"/>
      <c r="M125" s="158">
        <f t="shared" si="17"/>
        <v>0</v>
      </c>
      <c r="N125" s="334"/>
      <c r="O125" s="158">
        <f t="shared" si="18"/>
        <v>0</v>
      </c>
      <c r="P125" s="158">
        <f t="shared" si="19"/>
        <v>0</v>
      </c>
    </row>
    <row r="126" spans="2:16">
      <c r="B126" s="9" t="str">
        <f t="shared" si="20"/>
        <v/>
      </c>
      <c r="C126" s="153">
        <f>IF(D93="","-",+C125+1)</f>
        <v>2037</v>
      </c>
      <c r="D126" s="154">
        <f>IF(F125+SUM(E$99:E125)=D$92,F125,D$92-SUM(E$99:E125))</f>
        <v>76851.819989255353</v>
      </c>
      <c r="E126" s="160">
        <f t="shared" si="21"/>
        <v>3816.5714285714284</v>
      </c>
      <c r="F126" s="159">
        <f t="shared" si="22"/>
        <v>73035.248560683918</v>
      </c>
      <c r="G126" s="159">
        <f t="shared" si="23"/>
        <v>74943.534274969628</v>
      </c>
      <c r="H126" s="163">
        <f t="shared" si="24"/>
        <v>12920.07178094146</v>
      </c>
      <c r="I126" s="253">
        <f t="shared" si="25"/>
        <v>12920.07178094146</v>
      </c>
      <c r="J126" s="158">
        <f t="shared" si="26"/>
        <v>0</v>
      </c>
      <c r="K126" s="158"/>
      <c r="L126" s="334"/>
      <c r="M126" s="158">
        <f t="shared" si="17"/>
        <v>0</v>
      </c>
      <c r="N126" s="334"/>
      <c r="O126" s="158">
        <f t="shared" si="18"/>
        <v>0</v>
      </c>
      <c r="P126" s="158">
        <f t="shared" si="19"/>
        <v>0</v>
      </c>
    </row>
    <row r="127" spans="2:16">
      <c r="B127" s="9" t="str">
        <f t="shared" si="20"/>
        <v/>
      </c>
      <c r="C127" s="153">
        <f>IF(D93="","-",+C126+1)</f>
        <v>2038</v>
      </c>
      <c r="D127" s="154">
        <f>IF(F126+SUM(E$99:E126)=D$92,F126,D$92-SUM(E$99:E126))</f>
        <v>73035.248560683918</v>
      </c>
      <c r="E127" s="160">
        <f t="shared" si="21"/>
        <v>3816.5714285714284</v>
      </c>
      <c r="F127" s="159">
        <f t="shared" si="22"/>
        <v>69218.677132112483</v>
      </c>
      <c r="G127" s="159">
        <f t="shared" si="23"/>
        <v>71126.962846398208</v>
      </c>
      <c r="H127" s="163">
        <f t="shared" si="24"/>
        <v>12456.467286157851</v>
      </c>
      <c r="I127" s="253">
        <f t="shared" si="25"/>
        <v>12456.467286157851</v>
      </c>
      <c r="J127" s="158">
        <f t="shared" si="26"/>
        <v>0</v>
      </c>
      <c r="K127" s="158"/>
      <c r="L127" s="334"/>
      <c r="M127" s="158">
        <f t="shared" si="17"/>
        <v>0</v>
      </c>
      <c r="N127" s="334"/>
      <c r="O127" s="158">
        <f t="shared" si="18"/>
        <v>0</v>
      </c>
      <c r="P127" s="158">
        <f t="shared" si="19"/>
        <v>0</v>
      </c>
    </row>
    <row r="128" spans="2:16">
      <c r="B128" s="9" t="str">
        <f t="shared" si="20"/>
        <v/>
      </c>
      <c r="C128" s="153">
        <f>IF(D93="","-",+C127+1)</f>
        <v>2039</v>
      </c>
      <c r="D128" s="154">
        <f>IF(F127+SUM(E$99:E127)=D$92,F127,D$92-SUM(E$99:E127))</f>
        <v>69218.677132112483</v>
      </c>
      <c r="E128" s="160">
        <f t="shared" si="21"/>
        <v>3816.5714285714284</v>
      </c>
      <c r="F128" s="159">
        <f t="shared" si="22"/>
        <v>65402.105703541056</v>
      </c>
      <c r="G128" s="159">
        <f t="shared" si="23"/>
        <v>67310.391417826773</v>
      </c>
      <c r="H128" s="163">
        <f t="shared" si="24"/>
        <v>11992.862791374242</v>
      </c>
      <c r="I128" s="253">
        <f t="shared" si="25"/>
        <v>11992.862791374242</v>
      </c>
      <c r="J128" s="158">
        <f t="shared" si="26"/>
        <v>0</v>
      </c>
      <c r="K128" s="158"/>
      <c r="L128" s="334"/>
      <c r="M128" s="158">
        <f t="shared" si="17"/>
        <v>0</v>
      </c>
      <c r="N128" s="334"/>
      <c r="O128" s="158">
        <f t="shared" si="18"/>
        <v>0</v>
      </c>
      <c r="P128" s="158">
        <f t="shared" si="19"/>
        <v>0</v>
      </c>
    </row>
    <row r="129" spans="2:16">
      <c r="B129" s="9" t="str">
        <f t="shared" si="20"/>
        <v/>
      </c>
      <c r="C129" s="153">
        <f>IF(D93="","-",+C128+1)</f>
        <v>2040</v>
      </c>
      <c r="D129" s="154">
        <f>IF(F128+SUM(E$99:E128)=D$92,F128,D$92-SUM(E$99:E128))</f>
        <v>65402.105703541056</v>
      </c>
      <c r="E129" s="160">
        <f t="shared" si="21"/>
        <v>3816.5714285714284</v>
      </c>
      <c r="F129" s="159">
        <f t="shared" si="22"/>
        <v>61585.534274969628</v>
      </c>
      <c r="G129" s="159">
        <f t="shared" si="23"/>
        <v>63493.819989255338</v>
      </c>
      <c r="H129" s="163">
        <f t="shared" si="24"/>
        <v>11529.258296590633</v>
      </c>
      <c r="I129" s="253">
        <f t="shared" si="25"/>
        <v>11529.258296590633</v>
      </c>
      <c r="J129" s="158">
        <f t="shared" si="26"/>
        <v>0</v>
      </c>
      <c r="K129" s="158"/>
      <c r="L129" s="334"/>
      <c r="M129" s="158">
        <f t="shared" si="17"/>
        <v>0</v>
      </c>
      <c r="N129" s="334"/>
      <c r="O129" s="158">
        <f t="shared" si="18"/>
        <v>0</v>
      </c>
      <c r="P129" s="158">
        <f t="shared" si="19"/>
        <v>0</v>
      </c>
    </row>
    <row r="130" spans="2:16">
      <c r="B130" s="9" t="str">
        <f t="shared" si="20"/>
        <v/>
      </c>
      <c r="C130" s="153">
        <f>IF(D93="","-",+C129+1)</f>
        <v>2041</v>
      </c>
      <c r="D130" s="154">
        <f>IF(F129+SUM(E$99:E129)=D$92,F129,D$92-SUM(E$99:E129))</f>
        <v>61585.534274969628</v>
      </c>
      <c r="E130" s="160">
        <f t="shared" si="21"/>
        <v>3816.5714285714284</v>
      </c>
      <c r="F130" s="159">
        <f t="shared" si="22"/>
        <v>57768.962846398201</v>
      </c>
      <c r="G130" s="159">
        <f t="shared" si="23"/>
        <v>59677.248560683918</v>
      </c>
      <c r="H130" s="163">
        <f t="shared" si="24"/>
        <v>11065.653801807024</v>
      </c>
      <c r="I130" s="253">
        <f t="shared" si="25"/>
        <v>11065.653801807024</v>
      </c>
      <c r="J130" s="158">
        <f t="shared" si="26"/>
        <v>0</v>
      </c>
      <c r="K130" s="158"/>
      <c r="L130" s="334"/>
      <c r="M130" s="158">
        <f t="shared" si="17"/>
        <v>0</v>
      </c>
      <c r="N130" s="334"/>
      <c r="O130" s="158">
        <f t="shared" si="18"/>
        <v>0</v>
      </c>
      <c r="P130" s="158">
        <f t="shared" si="19"/>
        <v>0</v>
      </c>
    </row>
    <row r="131" spans="2:16">
      <c r="B131" s="9" t="str">
        <f t="shared" si="20"/>
        <v/>
      </c>
      <c r="C131" s="153">
        <f>IF(D93="","-",+C130+1)</f>
        <v>2042</v>
      </c>
      <c r="D131" s="154">
        <f>IF(F130+SUM(E$99:E130)=D$92,F130,D$92-SUM(E$99:E130))</f>
        <v>57768.962846398201</v>
      </c>
      <c r="E131" s="160">
        <f t="shared" si="21"/>
        <v>3816.5714285714284</v>
      </c>
      <c r="F131" s="159">
        <f t="shared" si="22"/>
        <v>53952.391417826773</v>
      </c>
      <c r="G131" s="159">
        <f t="shared" si="23"/>
        <v>55860.677132112483</v>
      </c>
      <c r="H131" s="163">
        <f t="shared" si="24"/>
        <v>10602.049307023415</v>
      </c>
      <c r="I131" s="253">
        <f t="shared" si="25"/>
        <v>10602.049307023415</v>
      </c>
      <c r="J131" s="158">
        <f t="shared" si="26"/>
        <v>0</v>
      </c>
      <c r="K131" s="158"/>
      <c r="L131" s="334"/>
      <c r="M131" s="158">
        <f t="shared" ref="M131:M154" si="27">IF(L541&lt;&gt;0,+H541-L541,0)</f>
        <v>0</v>
      </c>
      <c r="N131" s="334"/>
      <c r="O131" s="158">
        <f t="shared" ref="O131:O154" si="28">IF(N541&lt;&gt;0,+I541-N541,0)</f>
        <v>0</v>
      </c>
      <c r="P131" s="158">
        <f t="shared" ref="P131:P154" si="29">+O541-M541</f>
        <v>0</v>
      </c>
    </row>
    <row r="132" spans="2:16">
      <c r="B132" s="9" t="str">
        <f t="shared" si="20"/>
        <v/>
      </c>
      <c r="C132" s="153">
        <f>IF(D93="","-",+C131+1)</f>
        <v>2043</v>
      </c>
      <c r="D132" s="154">
        <f>IF(F131+SUM(E$99:E131)=D$92,F131,D$92-SUM(E$99:E131))</f>
        <v>53952.391417826773</v>
      </c>
      <c r="E132" s="160">
        <f t="shared" si="21"/>
        <v>3816.5714285714284</v>
      </c>
      <c r="F132" s="159">
        <f t="shared" si="22"/>
        <v>50135.819989255346</v>
      </c>
      <c r="G132" s="159">
        <f t="shared" si="23"/>
        <v>52044.105703541063</v>
      </c>
      <c r="H132" s="163">
        <f t="shared" si="24"/>
        <v>10138.444812239806</v>
      </c>
      <c r="I132" s="253">
        <f t="shared" si="25"/>
        <v>10138.444812239806</v>
      </c>
      <c r="J132" s="158">
        <f t="shared" si="26"/>
        <v>0</v>
      </c>
      <c r="K132" s="158"/>
      <c r="L132" s="334"/>
      <c r="M132" s="158">
        <f t="shared" si="27"/>
        <v>0</v>
      </c>
      <c r="N132" s="334"/>
      <c r="O132" s="158">
        <f t="shared" si="28"/>
        <v>0</v>
      </c>
      <c r="P132" s="158">
        <f t="shared" si="29"/>
        <v>0</v>
      </c>
    </row>
    <row r="133" spans="2:16">
      <c r="B133" s="9" t="str">
        <f t="shared" si="20"/>
        <v/>
      </c>
      <c r="C133" s="153">
        <f>IF(D93="","-",+C132+1)</f>
        <v>2044</v>
      </c>
      <c r="D133" s="154">
        <f>IF(F132+SUM(E$99:E132)=D$92,F132,D$92-SUM(E$99:E132))</f>
        <v>50135.819989255346</v>
      </c>
      <c r="E133" s="160">
        <f t="shared" si="21"/>
        <v>3816.5714285714284</v>
      </c>
      <c r="F133" s="159">
        <f t="shared" si="22"/>
        <v>46319.248560683918</v>
      </c>
      <c r="G133" s="159">
        <f t="shared" si="23"/>
        <v>48227.534274969628</v>
      </c>
      <c r="H133" s="163">
        <f t="shared" si="24"/>
        <v>9674.8403174561972</v>
      </c>
      <c r="I133" s="253">
        <f t="shared" si="25"/>
        <v>9674.8403174561972</v>
      </c>
      <c r="J133" s="158">
        <f t="shared" si="26"/>
        <v>0</v>
      </c>
      <c r="K133" s="158"/>
      <c r="L133" s="334"/>
      <c r="M133" s="158">
        <f t="shared" si="27"/>
        <v>0</v>
      </c>
      <c r="N133" s="334"/>
      <c r="O133" s="158">
        <f t="shared" si="28"/>
        <v>0</v>
      </c>
      <c r="P133" s="158">
        <f t="shared" si="29"/>
        <v>0</v>
      </c>
    </row>
    <row r="134" spans="2:16">
      <c r="B134" s="9" t="str">
        <f t="shared" si="20"/>
        <v/>
      </c>
      <c r="C134" s="153">
        <f>IF(D93="","-",+C133+1)</f>
        <v>2045</v>
      </c>
      <c r="D134" s="154">
        <f>IF(F133+SUM(E$99:E133)=D$92,F133,D$92-SUM(E$99:E133))</f>
        <v>46319.248560683918</v>
      </c>
      <c r="E134" s="160">
        <f t="shared" si="21"/>
        <v>3816.5714285714284</v>
      </c>
      <c r="F134" s="159">
        <f t="shared" si="22"/>
        <v>42502.677132112491</v>
      </c>
      <c r="G134" s="159">
        <f t="shared" si="23"/>
        <v>44410.962846398208</v>
      </c>
      <c r="H134" s="163">
        <f t="shared" si="24"/>
        <v>9211.2358226725883</v>
      </c>
      <c r="I134" s="253">
        <f t="shared" si="25"/>
        <v>9211.2358226725883</v>
      </c>
      <c r="J134" s="158">
        <f t="shared" si="26"/>
        <v>0</v>
      </c>
      <c r="K134" s="158"/>
      <c r="L134" s="334"/>
      <c r="M134" s="158">
        <f t="shared" si="27"/>
        <v>0</v>
      </c>
      <c r="N134" s="334"/>
      <c r="O134" s="158">
        <f t="shared" si="28"/>
        <v>0</v>
      </c>
      <c r="P134" s="158">
        <f t="shared" si="29"/>
        <v>0</v>
      </c>
    </row>
    <row r="135" spans="2:16">
      <c r="B135" s="9" t="str">
        <f t="shared" si="20"/>
        <v/>
      </c>
      <c r="C135" s="153">
        <f>IF(D93="","-",+C134+1)</f>
        <v>2046</v>
      </c>
      <c r="D135" s="154">
        <f>IF(F134+SUM(E$99:E134)=D$92,F134,D$92-SUM(E$99:E134))</f>
        <v>42502.677132112491</v>
      </c>
      <c r="E135" s="160">
        <f t="shared" si="21"/>
        <v>3816.5714285714284</v>
      </c>
      <c r="F135" s="159">
        <f t="shared" si="22"/>
        <v>38686.105703541063</v>
      </c>
      <c r="G135" s="159">
        <f t="shared" si="23"/>
        <v>40594.391417826773</v>
      </c>
      <c r="H135" s="163">
        <f t="shared" si="24"/>
        <v>8747.6313278889775</v>
      </c>
      <c r="I135" s="253">
        <f t="shared" si="25"/>
        <v>8747.6313278889775</v>
      </c>
      <c r="J135" s="158">
        <f t="shared" si="26"/>
        <v>0</v>
      </c>
      <c r="K135" s="158"/>
      <c r="L135" s="334"/>
      <c r="M135" s="158">
        <f t="shared" si="27"/>
        <v>0</v>
      </c>
      <c r="N135" s="334"/>
      <c r="O135" s="158">
        <f t="shared" si="28"/>
        <v>0</v>
      </c>
      <c r="P135" s="158">
        <f t="shared" si="29"/>
        <v>0</v>
      </c>
    </row>
    <row r="136" spans="2:16">
      <c r="B136" s="9" t="str">
        <f t="shared" si="20"/>
        <v/>
      </c>
      <c r="C136" s="153">
        <f>IF(D93="","-",+C135+1)</f>
        <v>2047</v>
      </c>
      <c r="D136" s="154">
        <f>IF(F135+SUM(E$99:E135)=D$92,F135,D$92-SUM(E$99:E135))</f>
        <v>38686.105703541063</v>
      </c>
      <c r="E136" s="160">
        <f t="shared" si="21"/>
        <v>3816.5714285714284</v>
      </c>
      <c r="F136" s="159">
        <f t="shared" si="22"/>
        <v>34869.534274969636</v>
      </c>
      <c r="G136" s="159">
        <f t="shared" si="23"/>
        <v>36777.819989255353</v>
      </c>
      <c r="H136" s="163">
        <f t="shared" si="24"/>
        <v>8284.0268331053703</v>
      </c>
      <c r="I136" s="253">
        <f t="shared" si="25"/>
        <v>8284.0268331053703</v>
      </c>
      <c r="J136" s="158">
        <f t="shared" si="26"/>
        <v>0</v>
      </c>
      <c r="K136" s="158"/>
      <c r="L136" s="334"/>
      <c r="M136" s="158">
        <f t="shared" si="27"/>
        <v>0</v>
      </c>
      <c r="N136" s="334"/>
      <c r="O136" s="158">
        <f t="shared" si="28"/>
        <v>0</v>
      </c>
      <c r="P136" s="158">
        <f t="shared" si="29"/>
        <v>0</v>
      </c>
    </row>
    <row r="137" spans="2:16">
      <c r="B137" s="9" t="str">
        <f t="shared" si="20"/>
        <v/>
      </c>
      <c r="C137" s="153">
        <f>IF(D93="","-",+C136+1)</f>
        <v>2048</v>
      </c>
      <c r="D137" s="154">
        <f>IF(F136+SUM(E$99:E136)=D$92,F136,D$92-SUM(E$99:E136))</f>
        <v>34869.534274969636</v>
      </c>
      <c r="E137" s="160">
        <f t="shared" si="21"/>
        <v>3816.5714285714284</v>
      </c>
      <c r="F137" s="159">
        <f t="shared" si="22"/>
        <v>31052.962846398208</v>
      </c>
      <c r="G137" s="159">
        <f t="shared" si="23"/>
        <v>32961.248560683918</v>
      </c>
      <c r="H137" s="163">
        <f t="shared" si="24"/>
        <v>7820.4223383217595</v>
      </c>
      <c r="I137" s="253">
        <f t="shared" si="25"/>
        <v>7820.4223383217595</v>
      </c>
      <c r="J137" s="158">
        <f t="shared" si="26"/>
        <v>0</v>
      </c>
      <c r="K137" s="158"/>
      <c r="L137" s="334"/>
      <c r="M137" s="158">
        <f t="shared" si="27"/>
        <v>0</v>
      </c>
      <c r="N137" s="334"/>
      <c r="O137" s="158">
        <f t="shared" si="28"/>
        <v>0</v>
      </c>
      <c r="P137" s="158">
        <f t="shared" si="29"/>
        <v>0</v>
      </c>
    </row>
    <row r="138" spans="2:16">
      <c r="B138" s="9" t="str">
        <f t="shared" si="20"/>
        <v/>
      </c>
      <c r="C138" s="153">
        <f>IF(D93="","-",+C137+1)</f>
        <v>2049</v>
      </c>
      <c r="D138" s="154">
        <f>IF(F137+SUM(E$99:E137)=D$92,F137,D$92-SUM(E$99:E137))</f>
        <v>31052.962846398208</v>
      </c>
      <c r="E138" s="160">
        <f t="shared" si="21"/>
        <v>3816.5714285714284</v>
      </c>
      <c r="F138" s="159">
        <f t="shared" si="22"/>
        <v>27236.391417826781</v>
      </c>
      <c r="G138" s="159">
        <f t="shared" si="23"/>
        <v>29144.677132112494</v>
      </c>
      <c r="H138" s="163">
        <f t="shared" si="24"/>
        <v>7356.8178435381506</v>
      </c>
      <c r="I138" s="253">
        <f t="shared" si="25"/>
        <v>7356.8178435381506</v>
      </c>
      <c r="J138" s="158">
        <f t="shared" si="26"/>
        <v>0</v>
      </c>
      <c r="K138" s="158"/>
      <c r="L138" s="334"/>
      <c r="M138" s="158">
        <f t="shared" si="27"/>
        <v>0</v>
      </c>
      <c r="N138" s="334"/>
      <c r="O138" s="158">
        <f t="shared" si="28"/>
        <v>0</v>
      </c>
      <c r="P138" s="158">
        <f t="shared" si="29"/>
        <v>0</v>
      </c>
    </row>
    <row r="139" spans="2:16">
      <c r="B139" s="9" t="str">
        <f t="shared" si="20"/>
        <v/>
      </c>
      <c r="C139" s="153">
        <f>IF(D93="","-",+C138+1)</f>
        <v>2050</v>
      </c>
      <c r="D139" s="154">
        <f>IF(F138+SUM(E$99:E138)=D$92,F138,D$92-SUM(E$99:E138))</f>
        <v>27236.391417826781</v>
      </c>
      <c r="E139" s="160">
        <f t="shared" si="21"/>
        <v>3816.5714285714284</v>
      </c>
      <c r="F139" s="159">
        <f t="shared" si="22"/>
        <v>23419.819989255353</v>
      </c>
      <c r="G139" s="159">
        <f t="shared" si="23"/>
        <v>25328.105703541067</v>
      </c>
      <c r="H139" s="163">
        <f t="shared" si="24"/>
        <v>6893.2133487545416</v>
      </c>
      <c r="I139" s="253">
        <f t="shared" si="25"/>
        <v>6893.2133487545416</v>
      </c>
      <c r="J139" s="158">
        <f t="shared" si="26"/>
        <v>0</v>
      </c>
      <c r="K139" s="158"/>
      <c r="L139" s="334"/>
      <c r="M139" s="158">
        <f t="shared" si="27"/>
        <v>0</v>
      </c>
      <c r="N139" s="334"/>
      <c r="O139" s="158">
        <f t="shared" si="28"/>
        <v>0</v>
      </c>
      <c r="P139" s="158">
        <f t="shared" si="29"/>
        <v>0</v>
      </c>
    </row>
    <row r="140" spans="2:16">
      <c r="B140" s="9" t="str">
        <f t="shared" si="20"/>
        <v/>
      </c>
      <c r="C140" s="153">
        <f>IF(D93="","-",+C139+1)</f>
        <v>2051</v>
      </c>
      <c r="D140" s="154">
        <f>IF(F139+SUM(E$99:E139)=D$92,F139,D$92-SUM(E$99:E139))</f>
        <v>23419.819989255353</v>
      </c>
      <c r="E140" s="160">
        <f t="shared" si="21"/>
        <v>3816.5714285714284</v>
      </c>
      <c r="F140" s="159">
        <f t="shared" si="22"/>
        <v>19603.248560683925</v>
      </c>
      <c r="G140" s="159">
        <f t="shared" si="23"/>
        <v>21511.534274969639</v>
      </c>
      <c r="H140" s="163">
        <f t="shared" si="24"/>
        <v>6429.6088539709326</v>
      </c>
      <c r="I140" s="253">
        <f t="shared" si="25"/>
        <v>6429.6088539709326</v>
      </c>
      <c r="J140" s="158">
        <f t="shared" si="26"/>
        <v>0</v>
      </c>
      <c r="K140" s="158"/>
      <c r="L140" s="334"/>
      <c r="M140" s="158">
        <f t="shared" si="27"/>
        <v>0</v>
      </c>
      <c r="N140" s="334"/>
      <c r="O140" s="158">
        <f t="shared" si="28"/>
        <v>0</v>
      </c>
      <c r="P140" s="158">
        <f t="shared" si="29"/>
        <v>0</v>
      </c>
    </row>
    <row r="141" spans="2:16">
      <c r="B141" s="9" t="str">
        <f t="shared" si="20"/>
        <v/>
      </c>
      <c r="C141" s="153">
        <f>IF(D93="","-",+C140+1)</f>
        <v>2052</v>
      </c>
      <c r="D141" s="154">
        <f>IF(F140+SUM(E$99:E140)=D$92,F140,D$92-SUM(E$99:E140))</f>
        <v>19603.248560683925</v>
      </c>
      <c r="E141" s="160">
        <f t="shared" si="21"/>
        <v>3816.5714285714284</v>
      </c>
      <c r="F141" s="159">
        <f t="shared" si="22"/>
        <v>15786.677132112498</v>
      </c>
      <c r="G141" s="159">
        <f t="shared" si="23"/>
        <v>17694.962846398212</v>
      </c>
      <c r="H141" s="163">
        <f t="shared" si="24"/>
        <v>5966.0043591873236</v>
      </c>
      <c r="I141" s="253">
        <f t="shared" si="25"/>
        <v>5966.0043591873236</v>
      </c>
      <c r="J141" s="158">
        <f t="shared" si="26"/>
        <v>0</v>
      </c>
      <c r="K141" s="158"/>
      <c r="L141" s="334"/>
      <c r="M141" s="158">
        <f t="shared" si="27"/>
        <v>0</v>
      </c>
      <c r="N141" s="334"/>
      <c r="O141" s="158">
        <f t="shared" si="28"/>
        <v>0</v>
      </c>
      <c r="P141" s="158">
        <f t="shared" si="29"/>
        <v>0</v>
      </c>
    </row>
    <row r="142" spans="2:16">
      <c r="B142" s="9" t="str">
        <f t="shared" si="20"/>
        <v/>
      </c>
      <c r="C142" s="153">
        <f>IF(D93="","-",+C141+1)</f>
        <v>2053</v>
      </c>
      <c r="D142" s="154">
        <f>IF(F141+SUM(E$99:E141)=D$92,F141,D$92-SUM(E$99:E141))</f>
        <v>15786.677132112498</v>
      </c>
      <c r="E142" s="160">
        <f t="shared" si="21"/>
        <v>3816.5714285714284</v>
      </c>
      <c r="F142" s="159">
        <f t="shared" si="22"/>
        <v>11970.10570354107</v>
      </c>
      <c r="G142" s="159">
        <f t="shared" si="23"/>
        <v>13878.391417826784</v>
      </c>
      <c r="H142" s="163">
        <f t="shared" si="24"/>
        <v>5502.3998644037147</v>
      </c>
      <c r="I142" s="253">
        <f t="shared" si="25"/>
        <v>5502.3998644037147</v>
      </c>
      <c r="J142" s="158">
        <f t="shared" si="26"/>
        <v>0</v>
      </c>
      <c r="K142" s="158"/>
      <c r="L142" s="334"/>
      <c r="M142" s="158">
        <f t="shared" si="27"/>
        <v>0</v>
      </c>
      <c r="N142" s="334"/>
      <c r="O142" s="158">
        <f t="shared" si="28"/>
        <v>0</v>
      </c>
      <c r="P142" s="158">
        <f t="shared" si="29"/>
        <v>0</v>
      </c>
    </row>
    <row r="143" spans="2:16">
      <c r="B143" s="9" t="str">
        <f t="shared" si="20"/>
        <v/>
      </c>
      <c r="C143" s="153">
        <f>IF(D93="","-",+C142+1)</f>
        <v>2054</v>
      </c>
      <c r="D143" s="154">
        <f>IF(F142+SUM(E$99:E142)=D$92,F142,D$92-SUM(E$99:E142))</f>
        <v>11970.10570354107</v>
      </c>
      <c r="E143" s="160">
        <f t="shared" si="21"/>
        <v>3816.5714285714284</v>
      </c>
      <c r="F143" s="159">
        <f t="shared" si="22"/>
        <v>8153.534274969642</v>
      </c>
      <c r="G143" s="159">
        <f t="shared" si="23"/>
        <v>10061.819989255357</v>
      </c>
      <c r="H143" s="163">
        <f t="shared" si="24"/>
        <v>5038.7953696201057</v>
      </c>
      <c r="I143" s="253">
        <f t="shared" si="25"/>
        <v>5038.7953696201057</v>
      </c>
      <c r="J143" s="158">
        <f t="shared" si="26"/>
        <v>0</v>
      </c>
      <c r="K143" s="158"/>
      <c r="L143" s="334"/>
      <c r="M143" s="158">
        <f t="shared" si="27"/>
        <v>0</v>
      </c>
      <c r="N143" s="334"/>
      <c r="O143" s="158">
        <f t="shared" si="28"/>
        <v>0</v>
      </c>
      <c r="P143" s="158">
        <f t="shared" si="29"/>
        <v>0</v>
      </c>
    </row>
    <row r="144" spans="2:16">
      <c r="B144" s="9" t="str">
        <f t="shared" si="20"/>
        <v/>
      </c>
      <c r="C144" s="153">
        <f>IF(D93="","-",+C143+1)</f>
        <v>2055</v>
      </c>
      <c r="D144" s="154">
        <f>IF(F143+SUM(E$99:E143)=D$92,F143,D$92-SUM(E$99:E143))</f>
        <v>8153.534274969642</v>
      </c>
      <c r="E144" s="160">
        <f t="shared" si="21"/>
        <v>3816.5714285714284</v>
      </c>
      <c r="F144" s="159">
        <f t="shared" si="22"/>
        <v>4336.9628463982135</v>
      </c>
      <c r="G144" s="159">
        <f t="shared" si="23"/>
        <v>6245.2485606839273</v>
      </c>
      <c r="H144" s="163">
        <f t="shared" si="24"/>
        <v>4575.1908748364958</v>
      </c>
      <c r="I144" s="253">
        <f t="shared" si="25"/>
        <v>4575.1908748364958</v>
      </c>
      <c r="J144" s="158">
        <f t="shared" si="26"/>
        <v>0</v>
      </c>
      <c r="K144" s="158"/>
      <c r="L144" s="334"/>
      <c r="M144" s="158">
        <f t="shared" si="27"/>
        <v>0</v>
      </c>
      <c r="N144" s="334"/>
      <c r="O144" s="158">
        <f t="shared" si="28"/>
        <v>0</v>
      </c>
      <c r="P144" s="158">
        <f t="shared" si="29"/>
        <v>0</v>
      </c>
    </row>
    <row r="145" spans="2:16">
      <c r="B145" s="9" t="str">
        <f t="shared" si="20"/>
        <v/>
      </c>
      <c r="C145" s="153">
        <f>IF(D93="","-",+C144+1)</f>
        <v>2056</v>
      </c>
      <c r="D145" s="154">
        <f>IF(F144+SUM(E$99:E144)=D$92,F144,D$92-SUM(E$99:E144))</f>
        <v>4336.9628463982135</v>
      </c>
      <c r="E145" s="160">
        <f t="shared" si="21"/>
        <v>3816.5714285714284</v>
      </c>
      <c r="F145" s="159">
        <f t="shared" si="22"/>
        <v>520.39141782678507</v>
      </c>
      <c r="G145" s="159">
        <f t="shared" si="23"/>
        <v>2428.6771321124993</v>
      </c>
      <c r="H145" s="163">
        <f t="shared" si="24"/>
        <v>4111.5863800528869</v>
      </c>
      <c r="I145" s="253">
        <f t="shared" si="25"/>
        <v>4111.5863800528869</v>
      </c>
      <c r="J145" s="158">
        <f t="shared" si="26"/>
        <v>0</v>
      </c>
      <c r="K145" s="158"/>
      <c r="L145" s="334"/>
      <c r="M145" s="158">
        <f t="shared" si="27"/>
        <v>0</v>
      </c>
      <c r="N145" s="334"/>
      <c r="O145" s="158">
        <f t="shared" si="28"/>
        <v>0</v>
      </c>
      <c r="P145" s="158">
        <f t="shared" si="29"/>
        <v>0</v>
      </c>
    </row>
    <row r="146" spans="2:16">
      <c r="B146" s="9" t="str">
        <f t="shared" si="20"/>
        <v/>
      </c>
      <c r="C146" s="153">
        <f>IF(D93="","-",+C145+1)</f>
        <v>2057</v>
      </c>
      <c r="D146" s="154">
        <f>IF(F145+SUM(E$99:E145)=D$92,F145,D$92-SUM(E$99:E145))</f>
        <v>520.39141782678507</v>
      </c>
      <c r="E146" s="160">
        <f t="shared" si="21"/>
        <v>520.39141782678507</v>
      </c>
      <c r="F146" s="159">
        <f t="shared" si="22"/>
        <v>0</v>
      </c>
      <c r="G146" s="159">
        <f t="shared" si="23"/>
        <v>260.19570891339254</v>
      </c>
      <c r="H146" s="163">
        <f t="shared" si="24"/>
        <v>551.99776987161192</v>
      </c>
      <c r="I146" s="253">
        <f t="shared" si="25"/>
        <v>551.99776987161192</v>
      </c>
      <c r="J146" s="158">
        <f t="shared" si="26"/>
        <v>0</v>
      </c>
      <c r="K146" s="158"/>
      <c r="L146" s="334"/>
      <c r="M146" s="158">
        <f t="shared" si="27"/>
        <v>0</v>
      </c>
      <c r="N146" s="334"/>
      <c r="O146" s="158">
        <f t="shared" si="28"/>
        <v>0</v>
      </c>
      <c r="P146" s="158">
        <f t="shared" si="29"/>
        <v>0</v>
      </c>
    </row>
    <row r="147" spans="2:16">
      <c r="B147" s="9" t="str">
        <f t="shared" si="20"/>
        <v/>
      </c>
      <c r="C147" s="153">
        <f>IF(D93="","-",+C146+1)</f>
        <v>2058</v>
      </c>
      <c r="D147" s="154">
        <f>IF(F146+SUM(E$99:E146)=D$92,F146,D$92-SUM(E$99:E146))</f>
        <v>0</v>
      </c>
      <c r="E147" s="160">
        <f t="shared" si="21"/>
        <v>0</v>
      </c>
      <c r="F147" s="159">
        <f t="shared" si="22"/>
        <v>0</v>
      </c>
      <c r="G147" s="159">
        <f t="shared" si="23"/>
        <v>0</v>
      </c>
      <c r="H147" s="163">
        <f t="shared" si="24"/>
        <v>0</v>
      </c>
      <c r="I147" s="253">
        <f t="shared" si="25"/>
        <v>0</v>
      </c>
      <c r="J147" s="158">
        <f t="shared" si="26"/>
        <v>0</v>
      </c>
      <c r="K147" s="158"/>
      <c r="L147" s="334"/>
      <c r="M147" s="158">
        <f t="shared" si="27"/>
        <v>0</v>
      </c>
      <c r="N147" s="334"/>
      <c r="O147" s="158">
        <f t="shared" si="28"/>
        <v>0</v>
      </c>
      <c r="P147" s="158">
        <f t="shared" si="29"/>
        <v>0</v>
      </c>
    </row>
    <row r="148" spans="2:16">
      <c r="B148" s="9" t="str">
        <f t="shared" si="20"/>
        <v/>
      </c>
      <c r="C148" s="153">
        <f>IF(D93="","-",+C147+1)</f>
        <v>2059</v>
      </c>
      <c r="D148" s="154">
        <f>IF(F147+SUM(E$99:E147)=D$92,F147,D$92-SUM(E$99:E147))</f>
        <v>0</v>
      </c>
      <c r="E148" s="160">
        <f t="shared" si="21"/>
        <v>0</v>
      </c>
      <c r="F148" s="159">
        <f t="shared" si="22"/>
        <v>0</v>
      </c>
      <c r="G148" s="159">
        <f t="shared" si="23"/>
        <v>0</v>
      </c>
      <c r="H148" s="163">
        <f t="shared" si="24"/>
        <v>0</v>
      </c>
      <c r="I148" s="253">
        <f t="shared" si="25"/>
        <v>0</v>
      </c>
      <c r="J148" s="158">
        <f t="shared" si="26"/>
        <v>0</v>
      </c>
      <c r="K148" s="158"/>
      <c r="L148" s="334"/>
      <c r="M148" s="158">
        <f t="shared" si="27"/>
        <v>0</v>
      </c>
      <c r="N148" s="334"/>
      <c r="O148" s="158">
        <f t="shared" si="28"/>
        <v>0</v>
      </c>
      <c r="P148" s="158">
        <f t="shared" si="29"/>
        <v>0</v>
      </c>
    </row>
    <row r="149" spans="2:16">
      <c r="B149" s="9" t="str">
        <f t="shared" si="20"/>
        <v/>
      </c>
      <c r="C149" s="153">
        <f>IF(D93="","-",+C148+1)</f>
        <v>2060</v>
      </c>
      <c r="D149" s="154">
        <f>IF(F148+SUM(E$99:E148)=D$92,F148,D$92-SUM(E$99:E148))</f>
        <v>0</v>
      </c>
      <c r="E149" s="160">
        <f t="shared" si="21"/>
        <v>0</v>
      </c>
      <c r="F149" s="159">
        <f t="shared" si="22"/>
        <v>0</v>
      </c>
      <c r="G149" s="159">
        <f t="shared" si="23"/>
        <v>0</v>
      </c>
      <c r="H149" s="163">
        <f t="shared" si="24"/>
        <v>0</v>
      </c>
      <c r="I149" s="253">
        <f t="shared" si="25"/>
        <v>0</v>
      </c>
      <c r="J149" s="158">
        <f t="shared" si="26"/>
        <v>0</v>
      </c>
      <c r="K149" s="158"/>
      <c r="L149" s="334"/>
      <c r="M149" s="158">
        <f t="shared" si="27"/>
        <v>0</v>
      </c>
      <c r="N149" s="334"/>
      <c r="O149" s="158">
        <f t="shared" si="28"/>
        <v>0</v>
      </c>
      <c r="P149" s="158">
        <f t="shared" si="29"/>
        <v>0</v>
      </c>
    </row>
    <row r="150" spans="2:16">
      <c r="B150" s="9" t="str">
        <f t="shared" si="20"/>
        <v/>
      </c>
      <c r="C150" s="153">
        <f>IF(D93="","-",+C149+1)</f>
        <v>2061</v>
      </c>
      <c r="D150" s="154">
        <f>IF(F149+SUM(E$99:E149)=D$92,F149,D$92-SUM(E$99:E149))</f>
        <v>0</v>
      </c>
      <c r="E150" s="160">
        <f t="shared" si="21"/>
        <v>0</v>
      </c>
      <c r="F150" s="159">
        <f t="shared" si="22"/>
        <v>0</v>
      </c>
      <c r="G150" s="159">
        <f t="shared" si="23"/>
        <v>0</v>
      </c>
      <c r="H150" s="163">
        <f t="shared" si="24"/>
        <v>0</v>
      </c>
      <c r="I150" s="253">
        <f t="shared" si="25"/>
        <v>0</v>
      </c>
      <c r="J150" s="158">
        <f t="shared" si="26"/>
        <v>0</v>
      </c>
      <c r="K150" s="158"/>
      <c r="L150" s="334"/>
      <c r="M150" s="158">
        <f t="shared" si="27"/>
        <v>0</v>
      </c>
      <c r="N150" s="334"/>
      <c r="O150" s="158">
        <f t="shared" si="28"/>
        <v>0</v>
      </c>
      <c r="P150" s="158">
        <f t="shared" si="29"/>
        <v>0</v>
      </c>
    </row>
    <row r="151" spans="2:16">
      <c r="B151" s="9" t="str">
        <f t="shared" si="20"/>
        <v/>
      </c>
      <c r="C151" s="153">
        <f>IF(D93="","-",+C150+1)</f>
        <v>2062</v>
      </c>
      <c r="D151" s="154">
        <f>IF(F150+SUM(E$99:E150)=D$92,F150,D$92-SUM(E$99:E150))</f>
        <v>0</v>
      </c>
      <c r="E151" s="160">
        <f t="shared" si="21"/>
        <v>0</v>
      </c>
      <c r="F151" s="159">
        <f t="shared" si="22"/>
        <v>0</v>
      </c>
      <c r="G151" s="159">
        <f t="shared" si="23"/>
        <v>0</v>
      </c>
      <c r="H151" s="163">
        <f t="shared" si="24"/>
        <v>0</v>
      </c>
      <c r="I151" s="253">
        <f t="shared" si="25"/>
        <v>0</v>
      </c>
      <c r="J151" s="158">
        <f t="shared" si="26"/>
        <v>0</v>
      </c>
      <c r="K151" s="158"/>
      <c r="L151" s="334"/>
      <c r="M151" s="158">
        <f t="shared" si="27"/>
        <v>0</v>
      </c>
      <c r="N151" s="334"/>
      <c r="O151" s="158">
        <f t="shared" si="28"/>
        <v>0</v>
      </c>
      <c r="P151" s="158">
        <f t="shared" si="29"/>
        <v>0</v>
      </c>
    </row>
    <row r="152" spans="2:16">
      <c r="B152" s="9" t="str">
        <f t="shared" si="20"/>
        <v/>
      </c>
      <c r="C152" s="153">
        <f>IF(D93="","-",+C151+1)</f>
        <v>2063</v>
      </c>
      <c r="D152" s="154">
        <f>IF(F151+SUM(E$99:E151)=D$92,F151,D$92-SUM(E$99:E151))</f>
        <v>0</v>
      </c>
      <c r="E152" s="160">
        <f t="shared" si="21"/>
        <v>0</v>
      </c>
      <c r="F152" s="159">
        <f t="shared" si="22"/>
        <v>0</v>
      </c>
      <c r="G152" s="159">
        <f t="shared" si="23"/>
        <v>0</v>
      </c>
      <c r="H152" s="163">
        <f t="shared" si="24"/>
        <v>0</v>
      </c>
      <c r="I152" s="253">
        <f t="shared" si="25"/>
        <v>0</v>
      </c>
      <c r="J152" s="158">
        <f t="shared" si="26"/>
        <v>0</v>
      </c>
      <c r="K152" s="158"/>
      <c r="L152" s="334"/>
      <c r="M152" s="158">
        <f t="shared" si="27"/>
        <v>0</v>
      </c>
      <c r="N152" s="334"/>
      <c r="O152" s="158">
        <f t="shared" si="28"/>
        <v>0</v>
      </c>
      <c r="P152" s="158">
        <f t="shared" si="29"/>
        <v>0</v>
      </c>
    </row>
    <row r="153" spans="2:16">
      <c r="B153" s="9" t="str">
        <f t="shared" si="20"/>
        <v/>
      </c>
      <c r="C153" s="153">
        <f>IF(D93="","-",+C152+1)</f>
        <v>2064</v>
      </c>
      <c r="D153" s="154">
        <f>IF(F152+SUM(E$99:E152)=D$92,F152,D$92-SUM(E$99:E152))</f>
        <v>0</v>
      </c>
      <c r="E153" s="160">
        <f t="shared" si="21"/>
        <v>0</v>
      </c>
      <c r="F153" s="159">
        <f t="shared" si="22"/>
        <v>0</v>
      </c>
      <c r="G153" s="159">
        <f t="shared" si="23"/>
        <v>0</v>
      </c>
      <c r="H153" s="163">
        <f t="shared" si="24"/>
        <v>0</v>
      </c>
      <c r="I153" s="253">
        <f t="shared" si="25"/>
        <v>0</v>
      </c>
      <c r="J153" s="158">
        <f t="shared" si="26"/>
        <v>0</v>
      </c>
      <c r="K153" s="158"/>
      <c r="L153" s="334"/>
      <c r="M153" s="158">
        <f t="shared" si="27"/>
        <v>0</v>
      </c>
      <c r="N153" s="334"/>
      <c r="O153" s="158">
        <f t="shared" si="28"/>
        <v>0</v>
      </c>
      <c r="P153" s="158">
        <f t="shared" si="29"/>
        <v>0</v>
      </c>
    </row>
    <row r="154" spans="2:16" ht="13.5" thickBot="1">
      <c r="B154" s="9" t="str">
        <f t="shared" si="20"/>
        <v/>
      </c>
      <c r="C154" s="164">
        <f>IF(D93="","-",+C153+1)</f>
        <v>2065</v>
      </c>
      <c r="D154" s="154">
        <f>IF(F153+SUM(E$99:E153)=D$92,F153,D$92-SUM(E$99:E153))</f>
        <v>0</v>
      </c>
      <c r="E154" s="160">
        <f t="shared" si="21"/>
        <v>0</v>
      </c>
      <c r="F154" s="159">
        <f t="shared" si="22"/>
        <v>0</v>
      </c>
      <c r="G154" s="159">
        <f t="shared" si="23"/>
        <v>0</v>
      </c>
      <c r="H154" s="163">
        <f t="shared" si="24"/>
        <v>0</v>
      </c>
      <c r="I154" s="253">
        <f t="shared" si="25"/>
        <v>0</v>
      </c>
      <c r="J154" s="158">
        <f t="shared" si="26"/>
        <v>0</v>
      </c>
      <c r="K154" s="158"/>
      <c r="L154" s="335"/>
      <c r="M154" s="169">
        <f t="shared" si="27"/>
        <v>0</v>
      </c>
      <c r="N154" s="335"/>
      <c r="O154" s="169">
        <f t="shared" si="28"/>
        <v>0</v>
      </c>
      <c r="P154" s="169">
        <f t="shared" si="29"/>
        <v>0</v>
      </c>
    </row>
    <row r="155" spans="2:16">
      <c r="C155" s="154" t="s">
        <v>73</v>
      </c>
      <c r="D155" s="111"/>
      <c r="E155" s="111">
        <f>SUM(E99:E154)</f>
        <v>160296</v>
      </c>
      <c r="F155" s="111"/>
      <c r="G155" s="111"/>
      <c r="H155" s="111">
        <f>SUM(H99:H154)</f>
        <v>571933.16561079572</v>
      </c>
      <c r="I155" s="111">
        <f>SUM(I99:I154)</f>
        <v>571933.16561079572</v>
      </c>
      <c r="J155" s="111">
        <f>SUM(J99:J154)</f>
        <v>0</v>
      </c>
      <c r="K155" s="111"/>
      <c r="L155" s="111"/>
      <c r="M155" s="111"/>
      <c r="N155" s="111"/>
      <c r="O155" s="111"/>
      <c r="P155" s="1"/>
    </row>
    <row r="156" spans="2:16">
      <c r="C156" t="s">
        <v>87</v>
      </c>
      <c r="D156" s="2"/>
      <c r="E156" s="1"/>
      <c r="F156" s="1"/>
      <c r="G156" s="1"/>
      <c r="H156" s="1"/>
      <c r="I156" s="3"/>
      <c r="J156" s="3"/>
      <c r="K156" s="111"/>
      <c r="L156" s="3"/>
      <c r="M156" s="3"/>
      <c r="N156" s="3"/>
      <c r="O156" s="3"/>
      <c r="P156" s="1"/>
    </row>
    <row r="157" spans="2:16">
      <c r="C157" s="216"/>
      <c r="D157" s="2"/>
      <c r="E157" s="1"/>
      <c r="F157" s="1"/>
      <c r="G157" s="1"/>
      <c r="H157" s="1"/>
      <c r="I157" s="3"/>
      <c r="J157" s="3"/>
      <c r="K157" s="111"/>
      <c r="L157" s="3"/>
      <c r="M157" s="3"/>
      <c r="N157" s="3"/>
      <c r="O157" s="3"/>
      <c r="P157" s="1"/>
    </row>
    <row r="158" spans="2:16">
      <c r="C158" s="248" t="s">
        <v>127</v>
      </c>
      <c r="D158" s="2"/>
      <c r="E158" s="1"/>
      <c r="F158" s="1"/>
      <c r="G158" s="1"/>
      <c r="H158" s="1"/>
      <c r="I158" s="3"/>
      <c r="J158" s="3"/>
      <c r="K158" s="111"/>
      <c r="L158" s="3"/>
      <c r="M158" s="3"/>
      <c r="N158" s="3"/>
      <c r="O158" s="3"/>
      <c r="P158" s="1"/>
    </row>
    <row r="159" spans="2:16">
      <c r="C159" s="121" t="s">
        <v>74</v>
      </c>
      <c r="D159" s="154"/>
      <c r="E159" s="154"/>
      <c r="F159" s="154"/>
      <c r="G159" s="154"/>
      <c r="H159" s="111"/>
      <c r="I159" s="111"/>
      <c r="J159" s="171"/>
      <c r="K159" s="171"/>
      <c r="L159" s="171"/>
      <c r="M159" s="171"/>
      <c r="N159" s="171"/>
      <c r="O159" s="171"/>
      <c r="P159" s="1"/>
    </row>
    <row r="160" spans="2:16">
      <c r="C160" s="217" t="s">
        <v>75</v>
      </c>
      <c r="D160" s="154"/>
      <c r="E160" s="154"/>
      <c r="F160" s="154"/>
      <c r="G160" s="154"/>
      <c r="H160" s="111"/>
      <c r="I160" s="111"/>
      <c r="J160" s="171"/>
      <c r="K160" s="171"/>
      <c r="L160" s="171"/>
      <c r="M160" s="171"/>
      <c r="N160" s="171"/>
      <c r="O160" s="171"/>
      <c r="P160" s="1"/>
    </row>
    <row r="161" spans="3:16">
      <c r="C161" s="217"/>
      <c r="D161" s="154"/>
      <c r="E161" s="154"/>
      <c r="F161" s="154"/>
      <c r="G161" s="154"/>
      <c r="H161" s="111"/>
      <c r="I161" s="111"/>
      <c r="J161" s="171"/>
      <c r="K161" s="171"/>
      <c r="L161" s="171"/>
      <c r="M161" s="171"/>
      <c r="N161" s="171"/>
      <c r="O161" s="171"/>
      <c r="P161" s="1"/>
    </row>
    <row r="162" spans="3:16" ht="18">
      <c r="C162" s="217"/>
      <c r="D162" s="154"/>
      <c r="E162" s="154"/>
      <c r="F162" s="154"/>
      <c r="G162" s="154"/>
      <c r="H162" s="111"/>
      <c r="I162" s="111"/>
      <c r="J162" s="171"/>
      <c r="K162" s="171"/>
      <c r="L162" s="171"/>
      <c r="M162" s="171"/>
      <c r="N162" s="171"/>
      <c r="P162" s="245" t="s">
        <v>126</v>
      </c>
    </row>
  </sheetData>
  <conditionalFormatting sqref="C17:C72">
    <cfRule type="cellIs" dxfId="68" priority="1" stopIfTrue="1" operator="equal">
      <formula>$I$10</formula>
    </cfRule>
  </conditionalFormatting>
  <conditionalFormatting sqref="C99:C154">
    <cfRule type="cellIs" dxfId="67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8">
    <tabColor theme="9" tint="-0.249977111117893"/>
  </sheetPr>
  <dimension ref="A1:P162"/>
  <sheetViews>
    <sheetView view="pageBreakPreview" zoomScale="82" zoomScaleNormal="100" zoomScaleSheetLayoutView="82" workbookViewId="0">
      <selection activeCell="C19" sqref="C19"/>
    </sheetView>
  </sheetViews>
  <sheetFormatPr defaultRowHeight="12.75" customHeight="1"/>
  <cols>
    <col min="1" max="1" width="4.7109375" customWidth="1"/>
    <col min="2" max="2" width="6.7109375" customWidth="1"/>
    <col min="3" max="3" width="23.28515625" customWidth="1"/>
    <col min="4" max="8" width="17.7109375" customWidth="1"/>
    <col min="9" max="9" width="20.42578125" customWidth="1"/>
    <col min="10" max="10" width="16.42578125" customWidth="1"/>
    <col min="11" max="11" width="17.7109375" customWidth="1"/>
    <col min="12" max="12" width="16.140625" customWidth="1"/>
    <col min="13" max="13" width="17.7109375" customWidth="1"/>
    <col min="14" max="14" width="16.7109375" customWidth="1"/>
    <col min="15" max="15" width="16.85546875" customWidth="1"/>
    <col min="16" max="16" width="24.42578125" customWidth="1"/>
    <col min="17" max="17" width="9.140625" customWidth="1"/>
    <col min="23" max="23" width="9.140625" customWidth="1"/>
  </cols>
  <sheetData>
    <row r="1" spans="1:16" ht="20.25">
      <c r="A1" s="243" t="s">
        <v>128</v>
      </c>
      <c r="B1" s="1"/>
      <c r="C1" s="21"/>
      <c r="D1" s="2"/>
      <c r="E1" s="1"/>
      <c r="F1" s="99"/>
      <c r="G1" s="1"/>
      <c r="H1" s="3"/>
      <c r="J1" s="7"/>
      <c r="K1" s="109"/>
      <c r="L1" s="109"/>
      <c r="M1" s="109"/>
      <c r="P1" s="249" t="str">
        <f ca="1">"SWEPCO Project "&amp;RIGHT(MID(CELL("filename",$A$1),FIND("]",CELL("filename",$A$1))+1,256),2)&amp;" of "&amp;COUNT('S.001:S.xyz - blank'!$P$3)-1</f>
        <v>SWEPCO Project 49 of 73</v>
      </c>
    </row>
    <row r="2" spans="1:16" ht="18">
      <c r="B2" s="1"/>
      <c r="C2" s="1"/>
      <c r="D2" s="2"/>
      <c r="E2" s="1"/>
      <c r="F2" s="1"/>
      <c r="G2" s="1"/>
      <c r="H2" s="3"/>
      <c r="I2" s="1"/>
      <c r="J2" s="4"/>
      <c r="K2" s="1"/>
      <c r="L2" s="1"/>
      <c r="M2" s="1"/>
      <c r="N2" s="1"/>
      <c r="P2" s="244" t="s">
        <v>124</v>
      </c>
    </row>
    <row r="3" spans="1:16" ht="18.75">
      <c r="B3" s="5" t="s">
        <v>40</v>
      </c>
      <c r="C3" s="68" t="s">
        <v>41</v>
      </c>
      <c r="D3" s="2"/>
      <c r="E3" s="1"/>
      <c r="F3" s="1"/>
      <c r="G3" s="1"/>
      <c r="H3" s="3"/>
      <c r="I3" s="3"/>
      <c r="J3" s="111"/>
      <c r="K3" s="3"/>
      <c r="L3" s="3"/>
      <c r="M3" s="3"/>
      <c r="N3" s="3"/>
      <c r="O3" s="1"/>
      <c r="P3" s="240">
        <v>1</v>
      </c>
    </row>
    <row r="4" spans="1:16" ht="15.75" thickBot="1">
      <c r="C4" s="67"/>
      <c r="D4" s="2"/>
      <c r="E4" s="1"/>
      <c r="F4" s="1"/>
      <c r="G4" s="1"/>
      <c r="H4" s="3"/>
      <c r="I4" s="3"/>
      <c r="J4" s="111"/>
      <c r="K4" s="3"/>
      <c r="L4" s="3"/>
      <c r="M4" s="3"/>
      <c r="N4" s="3"/>
      <c r="O4" s="1"/>
      <c r="P4" s="1"/>
    </row>
    <row r="5" spans="1:16" ht="15">
      <c r="C5" s="112" t="s">
        <v>42</v>
      </c>
      <c r="D5" s="2"/>
      <c r="E5" s="1"/>
      <c r="F5" s="1"/>
      <c r="G5" s="113"/>
      <c r="H5" s="1" t="s">
        <v>43</v>
      </c>
      <c r="I5" s="1"/>
      <c r="J5" s="4"/>
      <c r="K5" s="268" t="s">
        <v>152</v>
      </c>
      <c r="L5" s="114"/>
      <c r="M5" s="115"/>
      <c r="N5" s="116">
        <f>VLOOKUP(I10,C17:I72,5)</f>
        <v>2373.4725090683469</v>
      </c>
      <c r="P5" s="1"/>
    </row>
    <row r="6" spans="1:16" ht="15.75">
      <c r="C6" s="8"/>
      <c r="D6" s="418" t="s">
        <v>344</v>
      </c>
      <c r="E6" s="1"/>
      <c r="F6" s="1"/>
      <c r="G6" s="1"/>
      <c r="H6" s="117"/>
      <c r="I6" s="117"/>
      <c r="J6" s="118"/>
      <c r="K6" s="269" t="s">
        <v>153</v>
      </c>
      <c r="L6" s="119"/>
      <c r="M6" s="4"/>
      <c r="N6" s="120">
        <f>VLOOKUP(I10,C17:I72,6)</f>
        <v>2373.4725090683469</v>
      </c>
      <c r="O6" s="1"/>
      <c r="P6" s="1"/>
    </row>
    <row r="7" spans="1:16" ht="13.5" thickBot="1">
      <c r="C7" s="121" t="s">
        <v>44</v>
      </c>
      <c r="D7" s="386" t="s">
        <v>327</v>
      </c>
      <c r="E7" s="379"/>
      <c r="F7" s="379"/>
      <c r="G7" s="379"/>
      <c r="H7" s="383"/>
      <c r="I7" s="3"/>
      <c r="J7" s="111"/>
      <c r="K7" s="122" t="s">
        <v>45</v>
      </c>
      <c r="L7" s="123"/>
      <c r="M7" s="123"/>
      <c r="N7" s="124">
        <f>+N6-N5</f>
        <v>0</v>
      </c>
      <c r="O7" s="1"/>
      <c r="P7" s="1"/>
    </row>
    <row r="8" spans="1:16" ht="13.5" thickBot="1">
      <c r="C8" s="125"/>
      <c r="D8" s="352" t="str">
        <f>IF(D10&lt;100000,"DOES NOT MEET SPP $100,000 MINIMUM INVESTMENT FOR REGIONAL BPU SHARING.","")</f>
        <v>DOES NOT MEET SPP $100,000 MINIMUM INVESTMENT FOR REGIONAL BPU SHARING.</v>
      </c>
      <c r="E8" s="126"/>
      <c r="F8" s="126"/>
      <c r="G8" s="126"/>
      <c r="H8" s="126"/>
      <c r="I8" s="126"/>
      <c r="J8" s="101"/>
      <c r="K8" s="126"/>
      <c r="L8" s="126"/>
      <c r="M8" s="126"/>
      <c r="N8" s="126"/>
      <c r="O8" s="101"/>
      <c r="P8" s="21"/>
    </row>
    <row r="9" spans="1:16" ht="13.5" thickBot="1">
      <c r="C9" s="127" t="s">
        <v>46</v>
      </c>
      <c r="D9" s="225" t="s">
        <v>326</v>
      </c>
      <c r="E9" s="401" t="s">
        <v>436</v>
      </c>
      <c r="F9" s="128"/>
      <c r="G9" s="128"/>
      <c r="H9" s="128"/>
      <c r="I9" s="129"/>
      <c r="J9" s="130"/>
      <c r="O9" s="131"/>
      <c r="P9" s="4"/>
    </row>
    <row r="10" spans="1:16">
      <c r="C10" s="132" t="s">
        <v>47</v>
      </c>
      <c r="D10" s="133">
        <v>23215.78</v>
      </c>
      <c r="E10" s="61" t="s">
        <v>459</v>
      </c>
      <c r="F10" s="131"/>
      <c r="G10" s="134"/>
      <c r="H10" s="134"/>
      <c r="I10" s="135">
        <f>+SWE.WS.F.BPU.ATRR.Projected!K17</f>
        <v>2019</v>
      </c>
      <c r="J10" s="130"/>
      <c r="K10" s="111" t="s">
        <v>48</v>
      </c>
      <c r="O10" s="4"/>
      <c r="P10" s="4"/>
    </row>
    <row r="11" spans="1:16">
      <c r="C11" s="136" t="s">
        <v>49</v>
      </c>
      <c r="D11" s="137">
        <v>2010</v>
      </c>
      <c r="E11" s="136" t="s">
        <v>50</v>
      </c>
      <c r="F11" s="134"/>
      <c r="G11" s="7"/>
      <c r="H11" s="7"/>
      <c r="I11" s="138">
        <f>IF(G5="",0,SWE.WS.F.BPU.ATRR.Projected!F$11)</f>
        <v>0</v>
      </c>
      <c r="J11" s="139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4"/>
      <c r="P11" s="4"/>
    </row>
    <row r="12" spans="1:16">
      <c r="C12" s="136" t="s">
        <v>51</v>
      </c>
      <c r="D12" s="133">
        <v>10</v>
      </c>
      <c r="E12" s="136" t="s">
        <v>52</v>
      </c>
      <c r="F12" s="134"/>
      <c r="G12" s="7"/>
      <c r="H12" s="7"/>
      <c r="I12" s="140">
        <f>SWE.WS.F.BPU.ATRR.Projected!$F$76</f>
        <v>9.9555672459071778E-2</v>
      </c>
      <c r="J12" s="141"/>
      <c r="K12" t="s">
        <v>53</v>
      </c>
      <c r="O12" s="4"/>
      <c r="P12" s="4"/>
    </row>
    <row r="13" spans="1:16">
      <c r="C13" s="136" t="s">
        <v>54</v>
      </c>
      <c r="D13" s="138">
        <f>+SWE.WS.F.BPU.ATRR.Projected!F$87</f>
        <v>43</v>
      </c>
      <c r="E13" s="136" t="s">
        <v>55</v>
      </c>
      <c r="F13" s="134"/>
      <c r="G13" s="7"/>
      <c r="H13" s="7"/>
      <c r="I13" s="140">
        <f>IF(G5="",I12,SWE.WS.F.BPU.ATRR.Projected!$F$75)</f>
        <v>9.9555672459071778E-2</v>
      </c>
      <c r="J13" s="141"/>
      <c r="K13" s="111" t="s">
        <v>56</v>
      </c>
      <c r="L13" s="58"/>
      <c r="M13" s="58"/>
      <c r="N13" s="58"/>
      <c r="O13" s="4"/>
      <c r="P13" s="4"/>
    </row>
    <row r="14" spans="1:16" ht="13.5" thickBot="1">
      <c r="C14" s="136" t="s">
        <v>57</v>
      </c>
      <c r="D14" s="137" t="s">
        <v>58</v>
      </c>
      <c r="E14" s="4" t="s">
        <v>59</v>
      </c>
      <c r="F14" s="134"/>
      <c r="G14" s="7"/>
      <c r="H14" s="7"/>
      <c r="I14" s="142">
        <f>IF(D10=0,0,D10/D13)</f>
        <v>539.90186046511621</v>
      </c>
      <c r="J14" s="111"/>
      <c r="K14" s="111"/>
      <c r="L14" s="111"/>
      <c r="M14" s="111"/>
      <c r="N14" s="111"/>
      <c r="O14" s="4"/>
      <c r="P14" s="4"/>
    </row>
    <row r="15" spans="1:16" ht="38.25">
      <c r="C15" s="143" t="s">
        <v>47</v>
      </c>
      <c r="D15" s="144" t="s">
        <v>60</v>
      </c>
      <c r="E15" s="144" t="s">
        <v>61</v>
      </c>
      <c r="F15" s="144" t="s">
        <v>62</v>
      </c>
      <c r="G15" s="434" t="s">
        <v>378</v>
      </c>
      <c r="H15" s="435" t="s">
        <v>379</v>
      </c>
      <c r="I15" s="143" t="s">
        <v>63</v>
      </c>
      <c r="J15" s="145"/>
      <c r="K15" s="271" t="s">
        <v>219</v>
      </c>
      <c r="L15" s="146" t="s">
        <v>64</v>
      </c>
      <c r="M15" s="271" t="s">
        <v>219</v>
      </c>
      <c r="N15" s="146" t="s">
        <v>64</v>
      </c>
      <c r="O15" s="146" t="s">
        <v>65</v>
      </c>
      <c r="P15" s="4"/>
    </row>
    <row r="16" spans="1:16" ht="13.5" thickBot="1">
      <c r="C16" s="147" t="s">
        <v>66</v>
      </c>
      <c r="D16" s="147" t="s">
        <v>67</v>
      </c>
      <c r="E16" s="147" t="s">
        <v>68</v>
      </c>
      <c r="F16" s="147" t="s">
        <v>67</v>
      </c>
      <c r="G16" s="408" t="s">
        <v>69</v>
      </c>
      <c r="H16" s="148" t="s">
        <v>70</v>
      </c>
      <c r="I16" s="149" t="s">
        <v>89</v>
      </c>
      <c r="J16" s="150" t="s">
        <v>71</v>
      </c>
      <c r="K16" s="151" t="s">
        <v>72</v>
      </c>
      <c r="L16" s="151" t="s">
        <v>72</v>
      </c>
      <c r="M16" s="151" t="s">
        <v>90</v>
      </c>
      <c r="N16" s="152" t="s">
        <v>90</v>
      </c>
      <c r="O16" s="151" t="s">
        <v>90</v>
      </c>
      <c r="P16" s="4"/>
    </row>
    <row r="17" spans="2:16">
      <c r="C17" s="153">
        <f>IF(D11= "","-",D11)</f>
        <v>2010</v>
      </c>
      <c r="D17" s="409">
        <v>23215.78</v>
      </c>
      <c r="E17" s="415">
        <v>92.126111111111115</v>
      </c>
      <c r="F17" s="409">
        <v>23123.653888888886</v>
      </c>
      <c r="G17" s="415">
        <v>3211.7500098580754</v>
      </c>
      <c r="H17" s="416">
        <v>3211.7500098580754</v>
      </c>
      <c r="I17" s="156">
        <v>0</v>
      </c>
      <c r="J17" s="156"/>
      <c r="K17" s="256">
        <f t="shared" ref="K17:K22" si="0">G17</f>
        <v>3211.7500098580754</v>
      </c>
      <c r="L17" s="172">
        <f t="shared" ref="L17:L22" si="1">IF(K17&lt;&gt;0,+G17-K17,0)</f>
        <v>0</v>
      </c>
      <c r="M17" s="256">
        <f t="shared" ref="M17:M22" si="2">H17</f>
        <v>3211.7500098580754</v>
      </c>
      <c r="N17" s="157">
        <f t="shared" ref="N17:N22" si="3">IF(M17&lt;&gt;0,+H17-M17,0)</f>
        <v>0</v>
      </c>
      <c r="O17" s="158">
        <f t="shared" ref="O17:O22" si="4">+N17-L17</f>
        <v>0</v>
      </c>
      <c r="P17" s="4"/>
    </row>
    <row r="18" spans="2:16">
      <c r="B18" s="9" t="str">
        <f>IF(D18=F17,"","IU")</f>
        <v/>
      </c>
      <c r="C18" s="153">
        <f>IF(D11="","-",+C17+1)</f>
        <v>2011</v>
      </c>
      <c r="D18" s="411">
        <v>23123.653888888886</v>
      </c>
      <c r="E18" s="410">
        <v>552.75666666666666</v>
      </c>
      <c r="F18" s="411">
        <v>22570.897222222218</v>
      </c>
      <c r="G18" s="410">
        <v>3597.8078825750581</v>
      </c>
      <c r="H18" s="416">
        <v>3597.8078825750581</v>
      </c>
      <c r="I18" s="156">
        <v>0</v>
      </c>
      <c r="J18" s="156"/>
      <c r="K18" s="258">
        <f t="shared" si="0"/>
        <v>3597.8078825750581</v>
      </c>
      <c r="L18" s="257">
        <f t="shared" si="1"/>
        <v>0</v>
      </c>
      <c r="M18" s="258">
        <f t="shared" si="2"/>
        <v>3597.8078825750581</v>
      </c>
      <c r="N18" s="158">
        <f t="shared" si="3"/>
        <v>0</v>
      </c>
      <c r="O18" s="158">
        <f t="shared" si="4"/>
        <v>0</v>
      </c>
      <c r="P18" s="4"/>
    </row>
    <row r="19" spans="2:16">
      <c r="B19" s="9" t="str">
        <f>IF(D19=F18,"","IU")</f>
        <v/>
      </c>
      <c r="C19" s="153">
        <f>IF(D11="","-",+C18+1)</f>
        <v>2012</v>
      </c>
      <c r="D19" s="411">
        <v>22570.897222222218</v>
      </c>
      <c r="E19" s="410">
        <v>552.75666666666666</v>
      </c>
      <c r="F19" s="411">
        <v>22018.14055555555</v>
      </c>
      <c r="G19" s="410">
        <v>3523.2351997364849</v>
      </c>
      <c r="H19" s="416">
        <v>3523.2351997364849</v>
      </c>
      <c r="I19" s="156">
        <v>0</v>
      </c>
      <c r="J19" s="156"/>
      <c r="K19" s="258">
        <f t="shared" si="0"/>
        <v>3523.2351997364849</v>
      </c>
      <c r="L19" s="257">
        <f t="shared" si="1"/>
        <v>0</v>
      </c>
      <c r="M19" s="258">
        <f t="shared" si="2"/>
        <v>3523.2351997364849</v>
      </c>
      <c r="N19" s="158">
        <f t="shared" si="3"/>
        <v>0</v>
      </c>
      <c r="O19" s="158">
        <f t="shared" si="4"/>
        <v>0</v>
      </c>
      <c r="P19" s="4"/>
    </row>
    <row r="20" spans="2:16">
      <c r="B20" s="9" t="str">
        <f t="shared" ref="B20:B72" si="5">IF(D20=F19,"","IU")</f>
        <v/>
      </c>
      <c r="C20" s="153">
        <f>IF(D11="","-",+C19+1)</f>
        <v>2013</v>
      </c>
      <c r="D20" s="411">
        <v>22018.14055555555</v>
      </c>
      <c r="E20" s="410">
        <v>552.75666666666666</v>
      </c>
      <c r="F20" s="411">
        <v>21465.383888888882</v>
      </c>
      <c r="G20" s="410">
        <v>3448.6625168979117</v>
      </c>
      <c r="H20" s="416">
        <v>3448.6625168979117</v>
      </c>
      <c r="I20" s="156">
        <v>0</v>
      </c>
      <c r="J20" s="156"/>
      <c r="K20" s="258">
        <f t="shared" si="0"/>
        <v>3448.6625168979117</v>
      </c>
      <c r="L20" s="257">
        <f t="shared" si="1"/>
        <v>0</v>
      </c>
      <c r="M20" s="258">
        <f t="shared" si="2"/>
        <v>3448.6625168979117</v>
      </c>
      <c r="N20" s="158">
        <f t="shared" si="3"/>
        <v>0</v>
      </c>
      <c r="O20" s="158">
        <f t="shared" si="4"/>
        <v>0</v>
      </c>
      <c r="P20" s="4"/>
    </row>
    <row r="21" spans="2:16">
      <c r="B21" s="9" t="str">
        <f t="shared" si="5"/>
        <v/>
      </c>
      <c r="C21" s="153">
        <f>IF(D11="","-",+C20+1)</f>
        <v>2014</v>
      </c>
      <c r="D21" s="411">
        <v>21465.383888888882</v>
      </c>
      <c r="E21" s="410">
        <v>552.75666666666666</v>
      </c>
      <c r="F21" s="411">
        <v>20912.627222222214</v>
      </c>
      <c r="G21" s="410">
        <v>3307.050072836138</v>
      </c>
      <c r="H21" s="416">
        <v>3307.050072836138</v>
      </c>
      <c r="I21" s="156">
        <v>0</v>
      </c>
      <c r="J21" s="156"/>
      <c r="K21" s="258">
        <f t="shared" si="0"/>
        <v>3307.050072836138</v>
      </c>
      <c r="L21" s="257">
        <f t="shared" si="1"/>
        <v>0</v>
      </c>
      <c r="M21" s="258">
        <f t="shared" si="2"/>
        <v>3307.050072836138</v>
      </c>
      <c r="N21" s="158">
        <f t="shared" si="3"/>
        <v>0</v>
      </c>
      <c r="O21" s="158">
        <f t="shared" si="4"/>
        <v>0</v>
      </c>
      <c r="P21" s="4"/>
    </row>
    <row r="22" spans="2:16">
      <c r="B22" s="9" t="str">
        <f t="shared" si="5"/>
        <v/>
      </c>
      <c r="C22" s="153">
        <f>IF(D11="","-",+C21+1)</f>
        <v>2015</v>
      </c>
      <c r="D22" s="411">
        <v>20912.627222222214</v>
      </c>
      <c r="E22" s="410">
        <v>552.75666666666666</v>
      </c>
      <c r="F22" s="411">
        <v>20359.870555555546</v>
      </c>
      <c r="G22" s="410">
        <v>3201.1681199217446</v>
      </c>
      <c r="H22" s="416">
        <v>3201.1681199217446</v>
      </c>
      <c r="I22" s="156">
        <f t="shared" ref="I22:I33" si="6">H22-G22</f>
        <v>0</v>
      </c>
      <c r="J22" s="156"/>
      <c r="K22" s="258">
        <f t="shared" si="0"/>
        <v>3201.1681199217446</v>
      </c>
      <c r="L22" s="257">
        <f t="shared" si="1"/>
        <v>0</v>
      </c>
      <c r="M22" s="258">
        <f t="shared" si="2"/>
        <v>3201.1681199217446</v>
      </c>
      <c r="N22" s="158">
        <f t="shared" si="3"/>
        <v>0</v>
      </c>
      <c r="O22" s="158">
        <f t="shared" si="4"/>
        <v>0</v>
      </c>
      <c r="P22" s="4"/>
    </row>
    <row r="23" spans="2:16">
      <c r="B23" s="9" t="str">
        <f t="shared" si="5"/>
        <v/>
      </c>
      <c r="C23" s="153">
        <f>IF(D11="","-",+C22+1)</f>
        <v>2016</v>
      </c>
      <c r="D23" s="411">
        <v>20359.870555555546</v>
      </c>
      <c r="E23" s="410">
        <v>539.90186046511621</v>
      </c>
      <c r="F23" s="411">
        <v>19819.968695090429</v>
      </c>
      <c r="G23" s="410">
        <v>3028.8929029965175</v>
      </c>
      <c r="H23" s="416">
        <v>3028.8929029965175</v>
      </c>
      <c r="I23" s="156">
        <v>0</v>
      </c>
      <c r="J23" s="156"/>
      <c r="K23" s="258">
        <f>G23</f>
        <v>3028.8929029965175</v>
      </c>
      <c r="L23" s="257">
        <f>IF(K23&lt;&gt;0,+G23-K23,0)</f>
        <v>0</v>
      </c>
      <c r="M23" s="258">
        <f>H23</f>
        <v>3028.8929029965175</v>
      </c>
      <c r="N23" s="158">
        <f>IF(M23&lt;&gt;0,+H23-M23,0)</f>
        <v>0</v>
      </c>
      <c r="O23" s="158">
        <f>+N23-L23</f>
        <v>0</v>
      </c>
      <c r="P23" s="4"/>
    </row>
    <row r="24" spans="2:16">
      <c r="B24" s="9" t="str">
        <f t="shared" si="5"/>
        <v/>
      </c>
      <c r="C24" s="153">
        <f>IF(D11="","-",+C23+1)</f>
        <v>2017</v>
      </c>
      <c r="D24" s="411">
        <v>19819.968695090429</v>
      </c>
      <c r="E24" s="410">
        <v>566.23853658536586</v>
      </c>
      <c r="F24" s="411">
        <v>19253.730158505063</v>
      </c>
      <c r="G24" s="410">
        <v>2752.1035013473884</v>
      </c>
      <c r="H24" s="416">
        <v>2752.1035013473884</v>
      </c>
      <c r="I24" s="156">
        <f t="shared" si="6"/>
        <v>0</v>
      </c>
      <c r="J24" s="156"/>
      <c r="K24" s="258">
        <f>G24</f>
        <v>2752.1035013473884</v>
      </c>
      <c r="L24" s="257">
        <f>IF(K24&lt;&gt;0,+G24-K24,0)</f>
        <v>0</v>
      </c>
      <c r="M24" s="258">
        <f>H24</f>
        <v>2752.1035013473884</v>
      </c>
      <c r="N24" s="158">
        <f>IF(M24&lt;&gt;0,+H24-M24,0)</f>
        <v>0</v>
      </c>
      <c r="O24" s="158">
        <f>+N24-L24</f>
        <v>0</v>
      </c>
      <c r="P24" s="4"/>
    </row>
    <row r="25" spans="2:16">
      <c r="B25" s="9" t="str">
        <f t="shared" si="5"/>
        <v/>
      </c>
      <c r="C25" s="153">
        <f>IF(D11="","-",+C24+1)</f>
        <v>2018</v>
      </c>
      <c r="D25" s="411">
        <v>19253.730158505063</v>
      </c>
      <c r="E25" s="410">
        <v>566.23853658536586</v>
      </c>
      <c r="F25" s="411">
        <v>18687.491621919697</v>
      </c>
      <c r="G25" s="410">
        <v>2688.750349988074</v>
      </c>
      <c r="H25" s="416">
        <v>2688.750349988074</v>
      </c>
      <c r="I25" s="156">
        <f t="shared" si="6"/>
        <v>0</v>
      </c>
      <c r="J25" s="156"/>
      <c r="K25" s="258">
        <f>G25</f>
        <v>2688.750349988074</v>
      </c>
      <c r="L25" s="257">
        <f>IF(K25&lt;&gt;0,+G25-K25,0)</f>
        <v>0</v>
      </c>
      <c r="M25" s="258">
        <f>H25</f>
        <v>2688.750349988074</v>
      </c>
      <c r="N25" s="158">
        <f>IF(M25&lt;&gt;0,+H25-M25,0)</f>
        <v>0</v>
      </c>
      <c r="O25" s="158">
        <f>+N25-L25</f>
        <v>0</v>
      </c>
      <c r="P25" s="4"/>
    </row>
    <row r="26" spans="2:16">
      <c r="B26" s="9" t="str">
        <f t="shared" si="5"/>
        <v/>
      </c>
      <c r="C26" s="153">
        <f>IF(D11="","-",+C25+1)</f>
        <v>2019</v>
      </c>
      <c r="D26" s="159">
        <f>IF(F25+SUM(E$17:E25)=D$10,F25,D$10-SUM(E$17:E25))</f>
        <v>18687.491621919697</v>
      </c>
      <c r="E26" s="160">
        <f>IF(+I14&lt;F25,I14,D26)</f>
        <v>539.90186046511621</v>
      </c>
      <c r="F26" s="159">
        <f t="shared" ref="F26:F33" si="7">+D26-E26</f>
        <v>18147.589761454579</v>
      </c>
      <c r="G26" s="161">
        <f t="shared" ref="G26:G54" si="8">+I$12*((D26+F26)/2)+E26</f>
        <v>2373.4725090683469</v>
      </c>
      <c r="H26" s="142">
        <f t="shared" ref="H26:H54" si="9">+I$13*((D26+F26)/2)+E26</f>
        <v>2373.4725090683469</v>
      </c>
      <c r="I26" s="156">
        <f t="shared" si="6"/>
        <v>0</v>
      </c>
      <c r="J26" s="156"/>
      <c r="K26" s="334"/>
      <c r="L26" s="158">
        <f t="shared" ref="L26:L72" si="10">IF(K26&lt;&gt;0,+G26-K26,0)</f>
        <v>0</v>
      </c>
      <c r="M26" s="334"/>
      <c r="N26" s="158">
        <f t="shared" ref="N26:N72" si="11">IF(M26&lt;&gt;0,+H26-M26,0)</f>
        <v>0</v>
      </c>
      <c r="O26" s="158">
        <f t="shared" ref="O26:O72" si="12">+N26-L26</f>
        <v>0</v>
      </c>
      <c r="P26" s="4"/>
    </row>
    <row r="27" spans="2:16">
      <c r="B27" s="9" t="str">
        <f t="shared" si="5"/>
        <v/>
      </c>
      <c r="C27" s="153">
        <f>IF(D11="","-",+C26+1)</f>
        <v>2020</v>
      </c>
      <c r="D27" s="159">
        <f>IF(F26+SUM(E$17:E26)=D$10,F26,D$10-SUM(E$17:E26))</f>
        <v>18147.589761454579</v>
      </c>
      <c r="E27" s="160">
        <f>IF(+I14&lt;F26,I14,D27)</f>
        <v>539.90186046511621</v>
      </c>
      <c r="F27" s="159">
        <f t="shared" si="7"/>
        <v>17607.687900989462</v>
      </c>
      <c r="G27" s="161">
        <f t="shared" si="8"/>
        <v>2319.7222162878388</v>
      </c>
      <c r="H27" s="142">
        <f t="shared" si="9"/>
        <v>2319.7222162878388</v>
      </c>
      <c r="I27" s="156">
        <f t="shared" si="6"/>
        <v>0</v>
      </c>
      <c r="J27" s="156"/>
      <c r="K27" s="334"/>
      <c r="L27" s="158">
        <f t="shared" si="10"/>
        <v>0</v>
      </c>
      <c r="M27" s="334"/>
      <c r="N27" s="158">
        <f t="shared" si="11"/>
        <v>0</v>
      </c>
      <c r="O27" s="158">
        <f t="shared" si="12"/>
        <v>0</v>
      </c>
      <c r="P27" s="4"/>
    </row>
    <row r="28" spans="2:16">
      <c r="B28" s="9" t="str">
        <f t="shared" si="5"/>
        <v/>
      </c>
      <c r="C28" s="153">
        <f>IF(D11="","-",+C27+1)</f>
        <v>2021</v>
      </c>
      <c r="D28" s="159">
        <f>IF(F27+SUM(E$17:E27)=D$10,F27,D$10-SUM(E$17:E27))</f>
        <v>17607.687900989462</v>
      </c>
      <c r="E28" s="160">
        <f>IF(+I14&lt;F27,I14,D28)</f>
        <v>539.90186046511621</v>
      </c>
      <c r="F28" s="159">
        <f t="shared" si="7"/>
        <v>17067.786040524345</v>
      </c>
      <c r="G28" s="161">
        <f t="shared" si="8"/>
        <v>2265.9719235073298</v>
      </c>
      <c r="H28" s="142">
        <f t="shared" si="9"/>
        <v>2265.9719235073298</v>
      </c>
      <c r="I28" s="156">
        <f t="shared" si="6"/>
        <v>0</v>
      </c>
      <c r="J28" s="156"/>
      <c r="K28" s="334"/>
      <c r="L28" s="158">
        <f t="shared" si="10"/>
        <v>0</v>
      </c>
      <c r="M28" s="334"/>
      <c r="N28" s="158">
        <f t="shared" si="11"/>
        <v>0</v>
      </c>
      <c r="O28" s="158">
        <f t="shared" si="12"/>
        <v>0</v>
      </c>
      <c r="P28" s="4"/>
    </row>
    <row r="29" spans="2:16">
      <c r="B29" s="9" t="str">
        <f t="shared" si="5"/>
        <v/>
      </c>
      <c r="C29" s="153">
        <f>IF(D11="","-",+C28+1)</f>
        <v>2022</v>
      </c>
      <c r="D29" s="159">
        <f>IF(F28+SUM(E$17:E28)=D$10,F28,D$10-SUM(E$17:E28))</f>
        <v>17067.786040524345</v>
      </c>
      <c r="E29" s="160">
        <f>IF(+I14&lt;F28,I14,D29)</f>
        <v>539.90186046511621</v>
      </c>
      <c r="F29" s="159">
        <f t="shared" si="7"/>
        <v>16527.884180059227</v>
      </c>
      <c r="G29" s="161">
        <f t="shared" si="8"/>
        <v>2212.2216307268213</v>
      </c>
      <c r="H29" s="142">
        <f t="shared" si="9"/>
        <v>2212.2216307268213</v>
      </c>
      <c r="I29" s="156">
        <f t="shared" si="6"/>
        <v>0</v>
      </c>
      <c r="J29" s="156"/>
      <c r="K29" s="334"/>
      <c r="L29" s="158">
        <f t="shared" si="10"/>
        <v>0</v>
      </c>
      <c r="M29" s="334"/>
      <c r="N29" s="158">
        <f t="shared" si="11"/>
        <v>0</v>
      </c>
      <c r="O29" s="158">
        <f t="shared" si="12"/>
        <v>0</v>
      </c>
      <c r="P29" s="4"/>
    </row>
    <row r="30" spans="2:16">
      <c r="B30" s="9" t="str">
        <f t="shared" si="5"/>
        <v/>
      </c>
      <c r="C30" s="153">
        <f>IF(D11="","-",+C29+1)</f>
        <v>2023</v>
      </c>
      <c r="D30" s="159">
        <f>IF(F29+SUM(E$17:E29)=D$10,F29,D$10-SUM(E$17:E29))</f>
        <v>16527.884180059227</v>
      </c>
      <c r="E30" s="160">
        <f>IF(+I14&lt;F29,I14,D30)</f>
        <v>539.90186046511621</v>
      </c>
      <c r="F30" s="159">
        <f t="shared" si="7"/>
        <v>15987.982319594112</v>
      </c>
      <c r="G30" s="161">
        <f t="shared" si="8"/>
        <v>2158.4713379463128</v>
      </c>
      <c r="H30" s="142">
        <f t="shared" si="9"/>
        <v>2158.4713379463128</v>
      </c>
      <c r="I30" s="156">
        <f t="shared" si="6"/>
        <v>0</v>
      </c>
      <c r="J30" s="156"/>
      <c r="K30" s="334"/>
      <c r="L30" s="158">
        <f t="shared" si="10"/>
        <v>0</v>
      </c>
      <c r="M30" s="334"/>
      <c r="N30" s="158">
        <f t="shared" si="11"/>
        <v>0</v>
      </c>
      <c r="O30" s="158">
        <f t="shared" si="12"/>
        <v>0</v>
      </c>
      <c r="P30" s="4"/>
    </row>
    <row r="31" spans="2:16">
      <c r="B31" s="9" t="str">
        <f t="shared" si="5"/>
        <v/>
      </c>
      <c r="C31" s="153">
        <f>IF(D11="","-",+C30+1)</f>
        <v>2024</v>
      </c>
      <c r="D31" s="159">
        <f>IF(F30+SUM(E$17:E30)=D$10,F30,D$10-SUM(E$17:E30))</f>
        <v>15987.982319594112</v>
      </c>
      <c r="E31" s="160">
        <f>IF(+I14&lt;F30,I14,D31)</f>
        <v>539.90186046511621</v>
      </c>
      <c r="F31" s="159">
        <f t="shared" si="7"/>
        <v>15448.080459128996</v>
      </c>
      <c r="G31" s="161">
        <f t="shared" si="8"/>
        <v>2104.7210451658038</v>
      </c>
      <c r="H31" s="142">
        <f t="shared" si="9"/>
        <v>2104.7210451658038</v>
      </c>
      <c r="I31" s="156">
        <f t="shared" si="6"/>
        <v>0</v>
      </c>
      <c r="J31" s="156"/>
      <c r="K31" s="334"/>
      <c r="L31" s="158">
        <f t="shared" si="10"/>
        <v>0</v>
      </c>
      <c r="M31" s="334"/>
      <c r="N31" s="158">
        <f t="shared" si="11"/>
        <v>0</v>
      </c>
      <c r="O31" s="158">
        <f t="shared" si="12"/>
        <v>0</v>
      </c>
      <c r="P31" s="4"/>
    </row>
    <row r="32" spans="2:16">
      <c r="B32" s="9" t="str">
        <f t="shared" si="5"/>
        <v/>
      </c>
      <c r="C32" s="153">
        <f>IF(D11="","-",+C31+1)</f>
        <v>2025</v>
      </c>
      <c r="D32" s="159">
        <f>IF(F31+SUM(E$17:E31)=D$10,F31,D$10-SUM(E$17:E31))</f>
        <v>15448.080459128996</v>
      </c>
      <c r="E32" s="160">
        <f>IF(+I14&lt;F31,I14,D32)</f>
        <v>539.90186046511621</v>
      </c>
      <c r="F32" s="159">
        <f t="shared" si="7"/>
        <v>14908.178598663881</v>
      </c>
      <c r="G32" s="161">
        <f t="shared" si="8"/>
        <v>2050.9707523852958</v>
      </c>
      <c r="H32" s="142">
        <f t="shared" si="9"/>
        <v>2050.9707523852958</v>
      </c>
      <c r="I32" s="156">
        <f t="shared" si="6"/>
        <v>0</v>
      </c>
      <c r="J32" s="156"/>
      <c r="K32" s="334"/>
      <c r="L32" s="158">
        <f t="shared" si="10"/>
        <v>0</v>
      </c>
      <c r="M32" s="334"/>
      <c r="N32" s="158">
        <f t="shared" si="11"/>
        <v>0</v>
      </c>
      <c r="O32" s="158">
        <f t="shared" si="12"/>
        <v>0</v>
      </c>
      <c r="P32" s="4"/>
    </row>
    <row r="33" spans="2:16">
      <c r="B33" s="9" t="str">
        <f t="shared" si="5"/>
        <v/>
      </c>
      <c r="C33" s="153">
        <f>IF(D11="","-",+C32+1)</f>
        <v>2026</v>
      </c>
      <c r="D33" s="159">
        <f>IF(F32+SUM(E$17:E32)=D$10,F32,D$10-SUM(E$17:E32))</f>
        <v>14908.178598663881</v>
      </c>
      <c r="E33" s="160">
        <f>IF(+I14&lt;F32,I14,D33)</f>
        <v>539.90186046511621</v>
      </c>
      <c r="F33" s="159">
        <f t="shared" si="7"/>
        <v>14368.276738198765</v>
      </c>
      <c r="G33" s="161">
        <f t="shared" si="8"/>
        <v>1997.2204596047868</v>
      </c>
      <c r="H33" s="142">
        <f t="shared" si="9"/>
        <v>1997.2204596047868</v>
      </c>
      <c r="I33" s="156">
        <f t="shared" si="6"/>
        <v>0</v>
      </c>
      <c r="J33" s="156"/>
      <c r="K33" s="334"/>
      <c r="L33" s="158">
        <f t="shared" si="10"/>
        <v>0</v>
      </c>
      <c r="M33" s="334"/>
      <c r="N33" s="158">
        <f t="shared" si="11"/>
        <v>0</v>
      </c>
      <c r="O33" s="158">
        <f t="shared" si="12"/>
        <v>0</v>
      </c>
      <c r="P33" s="4"/>
    </row>
    <row r="34" spans="2:16">
      <c r="B34" s="9" t="str">
        <f t="shared" si="5"/>
        <v/>
      </c>
      <c r="C34" s="153">
        <f>IF(D11="","-",+C33+1)</f>
        <v>2027</v>
      </c>
      <c r="D34" s="159">
        <f>IF(F33+SUM(E$17:E33)=D$10,F33,D$10-SUM(E$17:E33))</f>
        <v>14368.276738198765</v>
      </c>
      <c r="E34" s="160">
        <f>IF(+I14&lt;F33,I14,D34)</f>
        <v>539.90186046511621</v>
      </c>
      <c r="F34" s="159">
        <f t="shared" ref="F34:F72" si="13">+D34-E34</f>
        <v>13828.37487773365</v>
      </c>
      <c r="G34" s="161">
        <f t="shared" si="8"/>
        <v>1943.4701668242785</v>
      </c>
      <c r="H34" s="142">
        <f t="shared" si="9"/>
        <v>1943.4701668242785</v>
      </c>
      <c r="I34" s="156">
        <f t="shared" ref="I34:I72" si="14">H34-G34</f>
        <v>0</v>
      </c>
      <c r="J34" s="156"/>
      <c r="K34" s="334"/>
      <c r="L34" s="158">
        <f t="shared" si="10"/>
        <v>0</v>
      </c>
      <c r="M34" s="334"/>
      <c r="N34" s="158">
        <f t="shared" si="11"/>
        <v>0</v>
      </c>
      <c r="O34" s="158">
        <f t="shared" si="12"/>
        <v>0</v>
      </c>
      <c r="P34" s="4"/>
    </row>
    <row r="35" spans="2:16">
      <c r="B35" s="9" t="str">
        <f t="shared" si="5"/>
        <v/>
      </c>
      <c r="C35" s="153">
        <f>IF(D11="","-",+C34+1)</f>
        <v>2028</v>
      </c>
      <c r="D35" s="159">
        <f>IF(F34+SUM(E$17:E34)=D$10,F34,D$10-SUM(E$17:E34))</f>
        <v>13828.37487773365</v>
      </c>
      <c r="E35" s="160">
        <f>IF(+I14&lt;F34,I14,D35)</f>
        <v>539.90186046511621</v>
      </c>
      <c r="F35" s="159">
        <f t="shared" si="13"/>
        <v>13288.473017268534</v>
      </c>
      <c r="G35" s="161">
        <f t="shared" si="8"/>
        <v>1889.7198740437698</v>
      </c>
      <c r="H35" s="142">
        <f t="shared" si="9"/>
        <v>1889.7198740437698</v>
      </c>
      <c r="I35" s="156">
        <f t="shared" si="14"/>
        <v>0</v>
      </c>
      <c r="J35" s="156"/>
      <c r="K35" s="334"/>
      <c r="L35" s="158">
        <f t="shared" si="10"/>
        <v>0</v>
      </c>
      <c r="M35" s="334"/>
      <c r="N35" s="158">
        <f t="shared" si="11"/>
        <v>0</v>
      </c>
      <c r="O35" s="158">
        <f t="shared" si="12"/>
        <v>0</v>
      </c>
      <c r="P35" s="4"/>
    </row>
    <row r="36" spans="2:16">
      <c r="B36" s="9" t="str">
        <f t="shared" si="5"/>
        <v/>
      </c>
      <c r="C36" s="153">
        <f>IF(D11="","-",+C35+1)</f>
        <v>2029</v>
      </c>
      <c r="D36" s="159">
        <f>IF(F35+SUM(E$17:E35)=D$10,F35,D$10-SUM(E$17:E35))</f>
        <v>13288.473017268534</v>
      </c>
      <c r="E36" s="160">
        <f>IF(+I14&lt;F35,I14,D36)</f>
        <v>539.90186046511621</v>
      </c>
      <c r="F36" s="159">
        <f t="shared" si="13"/>
        <v>12748.571156803418</v>
      </c>
      <c r="G36" s="161">
        <f t="shared" si="8"/>
        <v>1835.9695812632615</v>
      </c>
      <c r="H36" s="142">
        <f t="shared" si="9"/>
        <v>1835.9695812632615</v>
      </c>
      <c r="I36" s="156">
        <f t="shared" si="14"/>
        <v>0</v>
      </c>
      <c r="J36" s="156"/>
      <c r="K36" s="334"/>
      <c r="L36" s="158">
        <f t="shared" si="10"/>
        <v>0</v>
      </c>
      <c r="M36" s="334"/>
      <c r="N36" s="158">
        <f t="shared" si="11"/>
        <v>0</v>
      </c>
      <c r="O36" s="158">
        <f t="shared" si="12"/>
        <v>0</v>
      </c>
      <c r="P36" s="4"/>
    </row>
    <row r="37" spans="2:16">
      <c r="B37" s="9" t="str">
        <f t="shared" si="5"/>
        <v/>
      </c>
      <c r="C37" s="153">
        <f>IF(D11="","-",+C36+1)</f>
        <v>2030</v>
      </c>
      <c r="D37" s="159">
        <f>IF(F36+SUM(E$17:E36)=D$10,F36,D$10-SUM(E$17:E36))</f>
        <v>12748.571156803418</v>
      </c>
      <c r="E37" s="160">
        <f>IF(+I14&lt;F36,I14,D37)</f>
        <v>539.90186046511621</v>
      </c>
      <c r="F37" s="159">
        <f t="shared" si="13"/>
        <v>12208.669296338303</v>
      </c>
      <c r="G37" s="161">
        <f t="shared" si="8"/>
        <v>1782.2192884827527</v>
      </c>
      <c r="H37" s="142">
        <f t="shared" si="9"/>
        <v>1782.2192884827527</v>
      </c>
      <c r="I37" s="156">
        <f t="shared" si="14"/>
        <v>0</v>
      </c>
      <c r="J37" s="156"/>
      <c r="K37" s="334"/>
      <c r="L37" s="158">
        <f t="shared" si="10"/>
        <v>0</v>
      </c>
      <c r="M37" s="334"/>
      <c r="N37" s="158">
        <f t="shared" si="11"/>
        <v>0</v>
      </c>
      <c r="O37" s="158">
        <f t="shared" si="12"/>
        <v>0</v>
      </c>
      <c r="P37" s="4"/>
    </row>
    <row r="38" spans="2:16">
      <c r="B38" s="9" t="str">
        <f t="shared" si="5"/>
        <v/>
      </c>
      <c r="C38" s="153">
        <f>IF(D11="","-",+C37+1)</f>
        <v>2031</v>
      </c>
      <c r="D38" s="159">
        <f>IF(F37+SUM(E$17:E37)=D$10,F37,D$10-SUM(E$17:E37))</f>
        <v>12208.669296338303</v>
      </c>
      <c r="E38" s="160">
        <f>IF(+I14&lt;F37,I14,D38)</f>
        <v>539.90186046511621</v>
      </c>
      <c r="F38" s="159">
        <f t="shared" si="13"/>
        <v>11668.767435873187</v>
      </c>
      <c r="G38" s="161">
        <f t="shared" si="8"/>
        <v>1728.4689957022445</v>
      </c>
      <c r="H38" s="142">
        <f t="shared" si="9"/>
        <v>1728.4689957022445</v>
      </c>
      <c r="I38" s="156">
        <f t="shared" si="14"/>
        <v>0</v>
      </c>
      <c r="J38" s="156"/>
      <c r="K38" s="334"/>
      <c r="L38" s="158">
        <f t="shared" si="10"/>
        <v>0</v>
      </c>
      <c r="M38" s="334"/>
      <c r="N38" s="158">
        <f t="shared" si="11"/>
        <v>0</v>
      </c>
      <c r="O38" s="158">
        <f t="shared" si="12"/>
        <v>0</v>
      </c>
      <c r="P38" s="4"/>
    </row>
    <row r="39" spans="2:16">
      <c r="B39" s="9" t="str">
        <f t="shared" si="5"/>
        <v/>
      </c>
      <c r="C39" s="153">
        <f>IF(D11="","-",+C38+1)</f>
        <v>2032</v>
      </c>
      <c r="D39" s="159">
        <f>IF(F38+SUM(E$17:E38)=D$10,F38,D$10-SUM(E$17:E38))</f>
        <v>11668.767435873187</v>
      </c>
      <c r="E39" s="160">
        <f>IF(+I14&lt;F38,I14,D39)</f>
        <v>539.90186046511621</v>
      </c>
      <c r="F39" s="159">
        <f t="shared" si="13"/>
        <v>11128.865575408072</v>
      </c>
      <c r="G39" s="161">
        <f t="shared" si="8"/>
        <v>1674.7187029217357</v>
      </c>
      <c r="H39" s="142">
        <f t="shared" si="9"/>
        <v>1674.7187029217357</v>
      </c>
      <c r="I39" s="156">
        <f t="shared" si="14"/>
        <v>0</v>
      </c>
      <c r="J39" s="156"/>
      <c r="K39" s="334"/>
      <c r="L39" s="158">
        <f t="shared" si="10"/>
        <v>0</v>
      </c>
      <c r="M39" s="334"/>
      <c r="N39" s="158">
        <f t="shared" si="11"/>
        <v>0</v>
      </c>
      <c r="O39" s="158">
        <f t="shared" si="12"/>
        <v>0</v>
      </c>
      <c r="P39" s="4"/>
    </row>
    <row r="40" spans="2:16">
      <c r="B40" s="9" t="str">
        <f t="shared" si="5"/>
        <v/>
      </c>
      <c r="C40" s="153">
        <f>IF(D11="","-",+C39+1)</f>
        <v>2033</v>
      </c>
      <c r="D40" s="159">
        <f>IF(F39+SUM(E$17:E39)=D$10,F39,D$10-SUM(E$17:E39))</f>
        <v>11128.865575408072</v>
      </c>
      <c r="E40" s="160">
        <f>IF(+I14&lt;F39,I14,D40)</f>
        <v>539.90186046511621</v>
      </c>
      <c r="F40" s="159">
        <f t="shared" si="13"/>
        <v>10588.963714942956</v>
      </c>
      <c r="G40" s="161">
        <f t="shared" si="8"/>
        <v>1620.9684101412274</v>
      </c>
      <c r="H40" s="142">
        <f t="shared" si="9"/>
        <v>1620.9684101412274</v>
      </c>
      <c r="I40" s="156">
        <f t="shared" si="14"/>
        <v>0</v>
      </c>
      <c r="J40" s="156"/>
      <c r="K40" s="334"/>
      <c r="L40" s="158">
        <f t="shared" si="10"/>
        <v>0</v>
      </c>
      <c r="M40" s="334"/>
      <c r="N40" s="158">
        <f t="shared" si="11"/>
        <v>0</v>
      </c>
      <c r="O40" s="158">
        <f t="shared" si="12"/>
        <v>0</v>
      </c>
      <c r="P40" s="4"/>
    </row>
    <row r="41" spans="2:16">
      <c r="B41" s="9" t="str">
        <f t="shared" si="5"/>
        <v/>
      </c>
      <c r="C41" s="153">
        <f>IF(D11="","-",+C40+1)</f>
        <v>2034</v>
      </c>
      <c r="D41" s="159">
        <f>IF(F40+SUM(E$17:E40)=D$10,F40,D$10-SUM(E$17:E40))</f>
        <v>10588.963714942956</v>
      </c>
      <c r="E41" s="160">
        <f>IF(+I14&lt;F40,I14,D41)</f>
        <v>539.90186046511621</v>
      </c>
      <c r="F41" s="159">
        <f t="shared" si="13"/>
        <v>10049.061854477841</v>
      </c>
      <c r="G41" s="161">
        <f t="shared" si="8"/>
        <v>1567.2181173607187</v>
      </c>
      <c r="H41" s="142">
        <f t="shared" si="9"/>
        <v>1567.2181173607187</v>
      </c>
      <c r="I41" s="156">
        <f t="shared" si="14"/>
        <v>0</v>
      </c>
      <c r="J41" s="156"/>
      <c r="K41" s="334"/>
      <c r="L41" s="158">
        <f t="shared" si="10"/>
        <v>0</v>
      </c>
      <c r="M41" s="334"/>
      <c r="N41" s="158">
        <f t="shared" si="11"/>
        <v>0</v>
      </c>
      <c r="O41" s="158">
        <f t="shared" si="12"/>
        <v>0</v>
      </c>
      <c r="P41" s="4"/>
    </row>
    <row r="42" spans="2:16">
      <c r="B42" s="9" t="str">
        <f t="shared" si="5"/>
        <v/>
      </c>
      <c r="C42" s="153">
        <f>IF(D11="","-",+C41+1)</f>
        <v>2035</v>
      </c>
      <c r="D42" s="159">
        <f>IF(F41+SUM(E$17:E41)=D$10,F41,D$10-SUM(E$17:E41))</f>
        <v>10049.061854477841</v>
      </c>
      <c r="E42" s="160">
        <f>IF(+I14&lt;F41,I14,D42)</f>
        <v>539.90186046511621</v>
      </c>
      <c r="F42" s="159">
        <f t="shared" si="13"/>
        <v>9509.1599940127253</v>
      </c>
      <c r="G42" s="161">
        <f t="shared" si="8"/>
        <v>1513.4678245802104</v>
      </c>
      <c r="H42" s="142">
        <f t="shared" si="9"/>
        <v>1513.4678245802104</v>
      </c>
      <c r="I42" s="156">
        <f t="shared" si="14"/>
        <v>0</v>
      </c>
      <c r="J42" s="156"/>
      <c r="K42" s="334"/>
      <c r="L42" s="158">
        <f t="shared" si="10"/>
        <v>0</v>
      </c>
      <c r="M42" s="334"/>
      <c r="N42" s="158">
        <f t="shared" si="11"/>
        <v>0</v>
      </c>
      <c r="O42" s="158">
        <f t="shared" si="12"/>
        <v>0</v>
      </c>
      <c r="P42" s="4"/>
    </row>
    <row r="43" spans="2:16">
      <c r="B43" s="9" t="str">
        <f t="shared" si="5"/>
        <v/>
      </c>
      <c r="C43" s="153">
        <f>IF(D11="","-",+C42+1)</f>
        <v>2036</v>
      </c>
      <c r="D43" s="159">
        <f>IF(F42+SUM(E$17:E42)=D$10,F42,D$10-SUM(E$17:E42))</f>
        <v>9509.1599940127253</v>
      </c>
      <c r="E43" s="160">
        <f>IF(+I14&lt;F42,I14,D43)</f>
        <v>539.90186046511621</v>
      </c>
      <c r="F43" s="159">
        <f t="shared" si="13"/>
        <v>8969.2581335476098</v>
      </c>
      <c r="G43" s="161">
        <f t="shared" si="8"/>
        <v>1459.7175317997016</v>
      </c>
      <c r="H43" s="142">
        <f t="shared" si="9"/>
        <v>1459.7175317997016</v>
      </c>
      <c r="I43" s="156">
        <f t="shared" si="14"/>
        <v>0</v>
      </c>
      <c r="J43" s="156"/>
      <c r="K43" s="334"/>
      <c r="L43" s="158">
        <f t="shared" si="10"/>
        <v>0</v>
      </c>
      <c r="M43" s="334"/>
      <c r="N43" s="158">
        <f t="shared" si="11"/>
        <v>0</v>
      </c>
      <c r="O43" s="158">
        <f t="shared" si="12"/>
        <v>0</v>
      </c>
      <c r="P43" s="4"/>
    </row>
    <row r="44" spans="2:16">
      <c r="B44" s="9" t="str">
        <f t="shared" si="5"/>
        <v/>
      </c>
      <c r="C44" s="153">
        <f>IF(D11="","-",+C43+1)</f>
        <v>2037</v>
      </c>
      <c r="D44" s="159">
        <f>IF(F43+SUM(E$17:E43)=D$10,F43,D$10-SUM(E$17:E43))</f>
        <v>8969.2581335476098</v>
      </c>
      <c r="E44" s="160">
        <f>IF(+I14&lt;F43,I14,D44)</f>
        <v>539.90186046511621</v>
      </c>
      <c r="F44" s="159">
        <f t="shared" si="13"/>
        <v>8429.3562730824942</v>
      </c>
      <c r="G44" s="161">
        <f t="shared" si="8"/>
        <v>1405.9672390191934</v>
      </c>
      <c r="H44" s="142">
        <f t="shared" si="9"/>
        <v>1405.9672390191934</v>
      </c>
      <c r="I44" s="156">
        <f t="shared" si="14"/>
        <v>0</v>
      </c>
      <c r="J44" s="156"/>
      <c r="K44" s="334"/>
      <c r="L44" s="158">
        <f t="shared" si="10"/>
        <v>0</v>
      </c>
      <c r="M44" s="334"/>
      <c r="N44" s="158">
        <f t="shared" si="11"/>
        <v>0</v>
      </c>
      <c r="O44" s="158">
        <f t="shared" si="12"/>
        <v>0</v>
      </c>
      <c r="P44" s="4"/>
    </row>
    <row r="45" spans="2:16">
      <c r="B45" s="9" t="str">
        <f t="shared" si="5"/>
        <v/>
      </c>
      <c r="C45" s="153">
        <f>IF(D11="","-",+C44+1)</f>
        <v>2038</v>
      </c>
      <c r="D45" s="159">
        <f>IF(F44+SUM(E$17:E44)=D$10,F44,D$10-SUM(E$17:E44))</f>
        <v>8429.3562730824942</v>
      </c>
      <c r="E45" s="160">
        <f>IF(+I14&lt;F44,I14,D45)</f>
        <v>539.90186046511621</v>
      </c>
      <c r="F45" s="159">
        <f t="shared" si="13"/>
        <v>7889.4544126173778</v>
      </c>
      <c r="G45" s="161">
        <f t="shared" si="8"/>
        <v>1352.2169462386846</v>
      </c>
      <c r="H45" s="142">
        <f t="shared" si="9"/>
        <v>1352.2169462386846</v>
      </c>
      <c r="I45" s="156">
        <f t="shared" si="14"/>
        <v>0</v>
      </c>
      <c r="J45" s="156"/>
      <c r="K45" s="334"/>
      <c r="L45" s="158">
        <f t="shared" si="10"/>
        <v>0</v>
      </c>
      <c r="M45" s="334"/>
      <c r="N45" s="158">
        <f t="shared" si="11"/>
        <v>0</v>
      </c>
      <c r="O45" s="158">
        <f t="shared" si="12"/>
        <v>0</v>
      </c>
      <c r="P45" s="4"/>
    </row>
    <row r="46" spans="2:16">
      <c r="B46" s="9" t="str">
        <f t="shared" si="5"/>
        <v/>
      </c>
      <c r="C46" s="153">
        <f>IF(D11="","-",+C45+1)</f>
        <v>2039</v>
      </c>
      <c r="D46" s="159">
        <f>IF(F45+SUM(E$17:E45)=D$10,F45,D$10-SUM(E$17:E45))</f>
        <v>7889.4544126173778</v>
      </c>
      <c r="E46" s="160">
        <f>IF(+I14&lt;F45,I14,D46)</f>
        <v>539.90186046511621</v>
      </c>
      <c r="F46" s="159">
        <f t="shared" si="13"/>
        <v>7349.5525521522613</v>
      </c>
      <c r="G46" s="161">
        <f t="shared" si="8"/>
        <v>1298.4666534581761</v>
      </c>
      <c r="H46" s="142">
        <f t="shared" si="9"/>
        <v>1298.4666534581761</v>
      </c>
      <c r="I46" s="156">
        <f t="shared" si="14"/>
        <v>0</v>
      </c>
      <c r="J46" s="156"/>
      <c r="K46" s="334"/>
      <c r="L46" s="158">
        <f t="shared" si="10"/>
        <v>0</v>
      </c>
      <c r="M46" s="334"/>
      <c r="N46" s="158">
        <f t="shared" si="11"/>
        <v>0</v>
      </c>
      <c r="O46" s="158">
        <f t="shared" si="12"/>
        <v>0</v>
      </c>
      <c r="P46" s="4"/>
    </row>
    <row r="47" spans="2:16">
      <c r="B47" s="9" t="str">
        <f t="shared" si="5"/>
        <v/>
      </c>
      <c r="C47" s="153">
        <f>IF(D11="","-",+C46+1)</f>
        <v>2040</v>
      </c>
      <c r="D47" s="159">
        <f>IF(F46+SUM(E$17:E46)=D$10,F46,D$10-SUM(E$17:E46))</f>
        <v>7349.5525521522613</v>
      </c>
      <c r="E47" s="160">
        <f>IF(+I14&lt;F46,I14,D47)</f>
        <v>539.90186046511621</v>
      </c>
      <c r="F47" s="159">
        <f t="shared" si="13"/>
        <v>6809.6506916871449</v>
      </c>
      <c r="G47" s="161">
        <f t="shared" si="8"/>
        <v>1244.7163606776676</v>
      </c>
      <c r="H47" s="142">
        <f t="shared" si="9"/>
        <v>1244.7163606776676</v>
      </c>
      <c r="I47" s="156">
        <f t="shared" si="14"/>
        <v>0</v>
      </c>
      <c r="J47" s="156"/>
      <c r="K47" s="334"/>
      <c r="L47" s="158">
        <f t="shared" si="10"/>
        <v>0</v>
      </c>
      <c r="M47" s="334"/>
      <c r="N47" s="158">
        <f t="shared" si="11"/>
        <v>0</v>
      </c>
      <c r="O47" s="158">
        <f t="shared" si="12"/>
        <v>0</v>
      </c>
      <c r="P47" s="4"/>
    </row>
    <row r="48" spans="2:16">
      <c r="B48" s="9" t="str">
        <f t="shared" si="5"/>
        <v/>
      </c>
      <c r="C48" s="153">
        <f>IF(D11="","-",+C47+1)</f>
        <v>2041</v>
      </c>
      <c r="D48" s="159">
        <f>IF(F47+SUM(E$17:E47)=D$10,F47,D$10-SUM(E$17:E47))</f>
        <v>6809.6506916871449</v>
      </c>
      <c r="E48" s="160">
        <f>IF(+I14&lt;F47,I14,D48)</f>
        <v>539.90186046511621</v>
      </c>
      <c r="F48" s="159">
        <f t="shared" si="13"/>
        <v>6269.7488312220285</v>
      </c>
      <c r="G48" s="161">
        <f t="shared" si="8"/>
        <v>1190.9660678971591</v>
      </c>
      <c r="H48" s="142">
        <f t="shared" si="9"/>
        <v>1190.9660678971591</v>
      </c>
      <c r="I48" s="156">
        <f t="shared" si="14"/>
        <v>0</v>
      </c>
      <c r="J48" s="156"/>
      <c r="K48" s="334"/>
      <c r="L48" s="158">
        <f t="shared" si="10"/>
        <v>0</v>
      </c>
      <c r="M48" s="334"/>
      <c r="N48" s="158">
        <f t="shared" si="11"/>
        <v>0</v>
      </c>
      <c r="O48" s="158">
        <f t="shared" si="12"/>
        <v>0</v>
      </c>
      <c r="P48" s="4"/>
    </row>
    <row r="49" spans="2:16">
      <c r="B49" s="9" t="str">
        <f t="shared" si="5"/>
        <v/>
      </c>
      <c r="C49" s="153">
        <f>IF(D11="","-",+C48+1)</f>
        <v>2042</v>
      </c>
      <c r="D49" s="159">
        <f>IF(F48+SUM(E$17:E48)=D$10,F48,D$10-SUM(E$17:E48))</f>
        <v>6269.7488312220285</v>
      </c>
      <c r="E49" s="160">
        <f>IF(+I14&lt;F48,I14,D49)</f>
        <v>539.90186046511621</v>
      </c>
      <c r="F49" s="159">
        <f t="shared" si="13"/>
        <v>5729.846970756912</v>
      </c>
      <c r="G49" s="161">
        <f t="shared" si="8"/>
        <v>1137.2157751166501</v>
      </c>
      <c r="H49" s="142">
        <f t="shared" si="9"/>
        <v>1137.2157751166501</v>
      </c>
      <c r="I49" s="156">
        <f t="shared" si="14"/>
        <v>0</v>
      </c>
      <c r="J49" s="156"/>
      <c r="K49" s="334"/>
      <c r="L49" s="158">
        <f t="shared" si="10"/>
        <v>0</v>
      </c>
      <c r="M49" s="334"/>
      <c r="N49" s="158">
        <f t="shared" si="11"/>
        <v>0</v>
      </c>
      <c r="O49" s="158">
        <f t="shared" si="12"/>
        <v>0</v>
      </c>
      <c r="P49" s="4"/>
    </row>
    <row r="50" spans="2:16">
      <c r="B50" s="9" t="str">
        <f t="shared" si="5"/>
        <v/>
      </c>
      <c r="C50" s="153">
        <f>IF(D11="","-",+C49+1)</f>
        <v>2043</v>
      </c>
      <c r="D50" s="159">
        <f>IF(F49+SUM(E$17:E49)=D$10,F49,D$10-SUM(E$17:E49))</f>
        <v>5729.846970756912</v>
      </c>
      <c r="E50" s="160">
        <f>IF(+I14&lt;F49,I14,D50)</f>
        <v>539.90186046511621</v>
      </c>
      <c r="F50" s="159">
        <f t="shared" si="13"/>
        <v>5189.9451102917956</v>
      </c>
      <c r="G50" s="161">
        <f t="shared" si="8"/>
        <v>1083.4654823361416</v>
      </c>
      <c r="H50" s="142">
        <f t="shared" si="9"/>
        <v>1083.4654823361416</v>
      </c>
      <c r="I50" s="156">
        <f t="shared" si="14"/>
        <v>0</v>
      </c>
      <c r="J50" s="156"/>
      <c r="K50" s="334"/>
      <c r="L50" s="158">
        <f t="shared" si="10"/>
        <v>0</v>
      </c>
      <c r="M50" s="334"/>
      <c r="N50" s="158">
        <f t="shared" si="11"/>
        <v>0</v>
      </c>
      <c r="O50" s="158">
        <f t="shared" si="12"/>
        <v>0</v>
      </c>
      <c r="P50" s="4"/>
    </row>
    <row r="51" spans="2:16">
      <c r="B51" s="9" t="str">
        <f t="shared" si="5"/>
        <v/>
      </c>
      <c r="C51" s="153">
        <f>IF(D11="","-",+C50+1)</f>
        <v>2044</v>
      </c>
      <c r="D51" s="159">
        <f>IF(F50+SUM(E$17:E50)=D$10,F50,D$10-SUM(E$17:E50))</f>
        <v>5189.9451102917956</v>
      </c>
      <c r="E51" s="160">
        <f>IF(+I14&lt;F50,I14,D51)</f>
        <v>539.90186046511621</v>
      </c>
      <c r="F51" s="159">
        <f t="shared" si="13"/>
        <v>4650.0432498266791</v>
      </c>
      <c r="G51" s="161">
        <f t="shared" si="8"/>
        <v>1029.7151895556331</v>
      </c>
      <c r="H51" s="142">
        <f t="shared" si="9"/>
        <v>1029.7151895556331</v>
      </c>
      <c r="I51" s="156">
        <f t="shared" si="14"/>
        <v>0</v>
      </c>
      <c r="J51" s="156"/>
      <c r="K51" s="334"/>
      <c r="L51" s="158">
        <f t="shared" si="10"/>
        <v>0</v>
      </c>
      <c r="M51" s="334"/>
      <c r="N51" s="158">
        <f t="shared" si="11"/>
        <v>0</v>
      </c>
      <c r="O51" s="158">
        <f t="shared" si="12"/>
        <v>0</v>
      </c>
      <c r="P51" s="4"/>
    </row>
    <row r="52" spans="2:16">
      <c r="B52" s="9" t="str">
        <f t="shared" si="5"/>
        <v/>
      </c>
      <c r="C52" s="153">
        <f>IF(D11="","-",+C51+1)</f>
        <v>2045</v>
      </c>
      <c r="D52" s="159">
        <f>IF(F51+SUM(E$17:E51)=D$10,F51,D$10-SUM(E$17:E51))</f>
        <v>4650.0432498266791</v>
      </c>
      <c r="E52" s="160">
        <f>IF(+I14&lt;F51,I14,D52)</f>
        <v>539.90186046511621</v>
      </c>
      <c r="F52" s="159">
        <f t="shared" si="13"/>
        <v>4110.1413893615627</v>
      </c>
      <c r="G52" s="161">
        <f t="shared" si="8"/>
        <v>975.96489677512454</v>
      </c>
      <c r="H52" s="142">
        <f t="shared" si="9"/>
        <v>975.96489677512454</v>
      </c>
      <c r="I52" s="156">
        <f t="shared" si="14"/>
        <v>0</v>
      </c>
      <c r="J52" s="156"/>
      <c r="K52" s="334"/>
      <c r="L52" s="158">
        <f t="shared" si="10"/>
        <v>0</v>
      </c>
      <c r="M52" s="334"/>
      <c r="N52" s="158">
        <f t="shared" si="11"/>
        <v>0</v>
      </c>
      <c r="O52" s="158">
        <f t="shared" si="12"/>
        <v>0</v>
      </c>
      <c r="P52" s="4"/>
    </row>
    <row r="53" spans="2:16">
      <c r="B53" s="9" t="str">
        <f t="shared" si="5"/>
        <v/>
      </c>
      <c r="C53" s="153">
        <f>IF(D11="","-",+C52+1)</f>
        <v>2046</v>
      </c>
      <c r="D53" s="159">
        <f>IF(F52+SUM(E$17:E52)=D$10,F52,D$10-SUM(E$17:E52))</f>
        <v>4110.1413893615627</v>
      </c>
      <c r="E53" s="160">
        <f>IF(+I14&lt;F52,I14,D53)</f>
        <v>539.90186046511621</v>
      </c>
      <c r="F53" s="159">
        <f t="shared" si="13"/>
        <v>3570.2395288964462</v>
      </c>
      <c r="G53" s="161">
        <f t="shared" si="8"/>
        <v>922.2146039946158</v>
      </c>
      <c r="H53" s="142">
        <f t="shared" si="9"/>
        <v>922.2146039946158</v>
      </c>
      <c r="I53" s="156">
        <f t="shared" si="14"/>
        <v>0</v>
      </c>
      <c r="J53" s="156"/>
      <c r="K53" s="334"/>
      <c r="L53" s="158">
        <f t="shared" si="10"/>
        <v>0</v>
      </c>
      <c r="M53" s="334"/>
      <c r="N53" s="158">
        <f t="shared" si="11"/>
        <v>0</v>
      </c>
      <c r="O53" s="158">
        <f t="shared" si="12"/>
        <v>0</v>
      </c>
      <c r="P53" s="4"/>
    </row>
    <row r="54" spans="2:16">
      <c r="B54" s="9" t="str">
        <f t="shared" si="5"/>
        <v/>
      </c>
      <c r="C54" s="153">
        <f>IF(D11="","-",+C53+1)</f>
        <v>2047</v>
      </c>
      <c r="D54" s="159">
        <f>IF(F53+SUM(E$17:E53)=D$10,F53,D$10-SUM(E$17:E53))</f>
        <v>3570.2395288964462</v>
      </c>
      <c r="E54" s="160">
        <f>IF(+I14&lt;F53,I14,D54)</f>
        <v>539.90186046511621</v>
      </c>
      <c r="F54" s="159">
        <f t="shared" si="13"/>
        <v>3030.3376684313298</v>
      </c>
      <c r="G54" s="161">
        <f t="shared" si="8"/>
        <v>868.46431121410728</v>
      </c>
      <c r="H54" s="142">
        <f t="shared" si="9"/>
        <v>868.46431121410728</v>
      </c>
      <c r="I54" s="156">
        <f t="shared" si="14"/>
        <v>0</v>
      </c>
      <c r="J54" s="156"/>
      <c r="K54" s="334"/>
      <c r="L54" s="158">
        <f t="shared" si="10"/>
        <v>0</v>
      </c>
      <c r="M54" s="334"/>
      <c r="N54" s="158">
        <f t="shared" si="11"/>
        <v>0</v>
      </c>
      <c r="O54" s="158">
        <f t="shared" si="12"/>
        <v>0</v>
      </c>
      <c r="P54" s="4"/>
    </row>
    <row r="55" spans="2:16">
      <c r="B55" s="9" t="str">
        <f t="shared" si="5"/>
        <v/>
      </c>
      <c r="C55" s="153">
        <f>IF(D11="","-",+C54+1)</f>
        <v>2048</v>
      </c>
      <c r="D55" s="159">
        <f>IF(F54+SUM(E$17:E54)=D$10,F54,D$10-SUM(E$17:E54))</f>
        <v>3030.3376684313298</v>
      </c>
      <c r="E55" s="160">
        <f>IF(+I14&lt;F54,I14,D55)</f>
        <v>539.90186046511621</v>
      </c>
      <c r="F55" s="159">
        <f t="shared" si="13"/>
        <v>2490.4358079662134</v>
      </c>
      <c r="G55" s="161">
        <f t="shared" ref="G55:G72" si="15">+I$12*((D55+F55)/2)+E55</f>
        <v>814.71401843359865</v>
      </c>
      <c r="H55" s="142">
        <f t="shared" ref="H55:H72" si="16">+I$13*((D55+F55)/2)+E55</f>
        <v>814.71401843359865</v>
      </c>
      <c r="I55" s="156">
        <f t="shared" si="14"/>
        <v>0</v>
      </c>
      <c r="J55" s="156"/>
      <c r="K55" s="334"/>
      <c r="L55" s="158">
        <f t="shared" si="10"/>
        <v>0</v>
      </c>
      <c r="M55" s="334"/>
      <c r="N55" s="158">
        <f t="shared" si="11"/>
        <v>0</v>
      </c>
      <c r="O55" s="158">
        <f t="shared" si="12"/>
        <v>0</v>
      </c>
      <c r="P55" s="4"/>
    </row>
    <row r="56" spans="2:16">
      <c r="B56" s="9" t="str">
        <f t="shared" si="5"/>
        <v/>
      </c>
      <c r="C56" s="153">
        <f>IF(D11="","-",+C55+1)</f>
        <v>2049</v>
      </c>
      <c r="D56" s="159">
        <f>IF(F55+SUM(E$17:E55)=D$10,F55,D$10-SUM(E$17:E55))</f>
        <v>2490.4358079662134</v>
      </c>
      <c r="E56" s="160">
        <f>IF(+I14&lt;F55,I14,D56)</f>
        <v>539.90186046511621</v>
      </c>
      <c r="F56" s="159">
        <f t="shared" si="13"/>
        <v>1950.5339475010971</v>
      </c>
      <c r="G56" s="161">
        <f t="shared" si="15"/>
        <v>760.96372565309002</v>
      </c>
      <c r="H56" s="142">
        <f t="shared" si="16"/>
        <v>760.96372565309002</v>
      </c>
      <c r="I56" s="156">
        <f t="shared" si="14"/>
        <v>0</v>
      </c>
      <c r="J56" s="156"/>
      <c r="K56" s="334"/>
      <c r="L56" s="158">
        <f t="shared" si="10"/>
        <v>0</v>
      </c>
      <c r="M56" s="334"/>
      <c r="N56" s="158">
        <f t="shared" si="11"/>
        <v>0</v>
      </c>
      <c r="O56" s="158">
        <f t="shared" si="12"/>
        <v>0</v>
      </c>
      <c r="P56" s="4"/>
    </row>
    <row r="57" spans="2:16">
      <c r="B57" s="9" t="str">
        <f t="shared" si="5"/>
        <v/>
      </c>
      <c r="C57" s="153">
        <f>IF(D11="","-",+C56+1)</f>
        <v>2050</v>
      </c>
      <c r="D57" s="159">
        <f>IF(F56+SUM(E$17:E56)=D$10,F56,D$10-SUM(E$17:E56))</f>
        <v>1950.5339475010971</v>
      </c>
      <c r="E57" s="160">
        <f>IF(+I14&lt;F56,I14,D57)</f>
        <v>539.90186046511621</v>
      </c>
      <c r="F57" s="159">
        <f t="shared" si="13"/>
        <v>1410.6320870359809</v>
      </c>
      <c r="G57" s="161">
        <f t="shared" si="15"/>
        <v>707.21343287258151</v>
      </c>
      <c r="H57" s="142">
        <f t="shared" si="16"/>
        <v>707.21343287258151</v>
      </c>
      <c r="I57" s="156">
        <f t="shared" si="14"/>
        <v>0</v>
      </c>
      <c r="J57" s="156"/>
      <c r="K57" s="334"/>
      <c r="L57" s="158">
        <f t="shared" si="10"/>
        <v>0</v>
      </c>
      <c r="M57" s="334"/>
      <c r="N57" s="158">
        <f t="shared" si="11"/>
        <v>0</v>
      </c>
      <c r="O57" s="158">
        <f t="shared" si="12"/>
        <v>0</v>
      </c>
      <c r="P57" s="4"/>
    </row>
    <row r="58" spans="2:16">
      <c r="B58" s="9" t="str">
        <f t="shared" si="5"/>
        <v/>
      </c>
      <c r="C58" s="153">
        <f>IF(D11="","-",+C57+1)</f>
        <v>2051</v>
      </c>
      <c r="D58" s="159">
        <f>IF(F57+SUM(E$17:E57)=D$10,F57,D$10-SUM(E$17:E57))</f>
        <v>1410.6320870359809</v>
      </c>
      <c r="E58" s="160">
        <f>IF(+I14&lt;F57,I14,D58)</f>
        <v>539.90186046511621</v>
      </c>
      <c r="F58" s="159">
        <f t="shared" si="13"/>
        <v>870.73022657086472</v>
      </c>
      <c r="G58" s="161">
        <f t="shared" si="15"/>
        <v>653.46314009207288</v>
      </c>
      <c r="H58" s="142">
        <f t="shared" si="16"/>
        <v>653.46314009207288</v>
      </c>
      <c r="I58" s="156">
        <f t="shared" si="14"/>
        <v>0</v>
      </c>
      <c r="J58" s="156"/>
      <c r="K58" s="334"/>
      <c r="L58" s="158">
        <f t="shared" si="10"/>
        <v>0</v>
      </c>
      <c r="M58" s="334"/>
      <c r="N58" s="158">
        <f t="shared" si="11"/>
        <v>0</v>
      </c>
      <c r="O58" s="158">
        <f t="shared" si="12"/>
        <v>0</v>
      </c>
      <c r="P58" s="4"/>
    </row>
    <row r="59" spans="2:16">
      <c r="B59" s="9" t="str">
        <f t="shared" si="5"/>
        <v/>
      </c>
      <c r="C59" s="153">
        <f>IF(D11="","-",+C58+1)</f>
        <v>2052</v>
      </c>
      <c r="D59" s="159">
        <f>IF(F58+SUM(E$17:E58)=D$10,F58,D$10-SUM(E$17:E58))</f>
        <v>870.73022657086472</v>
      </c>
      <c r="E59" s="160">
        <f>IF(+I14&lt;F58,I14,D59)</f>
        <v>539.90186046511621</v>
      </c>
      <c r="F59" s="159">
        <f t="shared" si="13"/>
        <v>330.8283661057485</v>
      </c>
      <c r="G59" s="161">
        <f t="shared" si="15"/>
        <v>599.71284731156425</v>
      </c>
      <c r="H59" s="142">
        <f t="shared" si="16"/>
        <v>599.71284731156425</v>
      </c>
      <c r="I59" s="156">
        <f t="shared" si="14"/>
        <v>0</v>
      </c>
      <c r="J59" s="156"/>
      <c r="K59" s="334"/>
      <c r="L59" s="158">
        <f t="shared" si="10"/>
        <v>0</v>
      </c>
      <c r="M59" s="334"/>
      <c r="N59" s="158">
        <f t="shared" si="11"/>
        <v>0</v>
      </c>
      <c r="O59" s="158">
        <f t="shared" si="12"/>
        <v>0</v>
      </c>
      <c r="P59" s="4"/>
    </row>
    <row r="60" spans="2:16">
      <c r="B60" s="9" t="str">
        <f t="shared" si="5"/>
        <v/>
      </c>
      <c r="C60" s="153">
        <f>IF(D11="","-",+C59+1)</f>
        <v>2053</v>
      </c>
      <c r="D60" s="159">
        <f>IF(F59+SUM(E$17:E59)=D$10,F59,D$10-SUM(E$17:E59))</f>
        <v>330.8283661057485</v>
      </c>
      <c r="E60" s="160">
        <f>IF(+I14&lt;F59,I14,D60)</f>
        <v>330.8283661057485</v>
      </c>
      <c r="F60" s="159">
        <f t="shared" si="13"/>
        <v>0</v>
      </c>
      <c r="G60" s="161">
        <f t="shared" si="15"/>
        <v>347.29628633384539</v>
      </c>
      <c r="H60" s="142">
        <f t="shared" si="16"/>
        <v>347.29628633384539</v>
      </c>
      <c r="I60" s="156">
        <f t="shared" si="14"/>
        <v>0</v>
      </c>
      <c r="J60" s="156"/>
      <c r="K60" s="334"/>
      <c r="L60" s="158">
        <f t="shared" si="10"/>
        <v>0</v>
      </c>
      <c r="M60" s="334"/>
      <c r="N60" s="158">
        <f t="shared" si="11"/>
        <v>0</v>
      </c>
      <c r="O60" s="158">
        <f t="shared" si="12"/>
        <v>0</v>
      </c>
      <c r="P60" s="4"/>
    </row>
    <row r="61" spans="2:16">
      <c r="B61" s="9" t="str">
        <f t="shared" si="5"/>
        <v/>
      </c>
      <c r="C61" s="153">
        <f>IF(D11="","-",+C60+1)</f>
        <v>2054</v>
      </c>
      <c r="D61" s="159">
        <f>IF(F60+SUM(E$17:E60)=D$10,F60,D$10-SUM(E$17:E60))</f>
        <v>0</v>
      </c>
      <c r="E61" s="160">
        <f>IF(+I14&lt;F60,I14,D61)</f>
        <v>0</v>
      </c>
      <c r="F61" s="159">
        <f t="shared" si="13"/>
        <v>0</v>
      </c>
      <c r="G61" s="163">
        <f t="shared" si="15"/>
        <v>0</v>
      </c>
      <c r="H61" s="142">
        <f t="shared" si="16"/>
        <v>0</v>
      </c>
      <c r="I61" s="156">
        <f t="shared" si="14"/>
        <v>0</v>
      </c>
      <c r="J61" s="156"/>
      <c r="K61" s="334"/>
      <c r="L61" s="158">
        <f t="shared" si="10"/>
        <v>0</v>
      </c>
      <c r="M61" s="334"/>
      <c r="N61" s="158">
        <f t="shared" si="11"/>
        <v>0</v>
      </c>
      <c r="O61" s="158">
        <f t="shared" si="12"/>
        <v>0</v>
      </c>
      <c r="P61" s="4"/>
    </row>
    <row r="62" spans="2:16">
      <c r="B62" s="9" t="str">
        <f t="shared" si="5"/>
        <v/>
      </c>
      <c r="C62" s="153">
        <f>IF(D11="","-",+C61+1)</f>
        <v>2055</v>
      </c>
      <c r="D62" s="159">
        <f>IF(F61+SUM(E$17:E61)=D$10,F61,D$10-SUM(E$17:E61))</f>
        <v>0</v>
      </c>
      <c r="E62" s="160">
        <f>IF(+I14&lt;F61,I14,D62)</f>
        <v>0</v>
      </c>
      <c r="F62" s="159">
        <f t="shared" si="13"/>
        <v>0</v>
      </c>
      <c r="G62" s="163">
        <f t="shared" si="15"/>
        <v>0</v>
      </c>
      <c r="H62" s="142">
        <f t="shared" si="16"/>
        <v>0</v>
      </c>
      <c r="I62" s="156">
        <f t="shared" si="14"/>
        <v>0</v>
      </c>
      <c r="J62" s="156"/>
      <c r="K62" s="334"/>
      <c r="L62" s="158">
        <f t="shared" si="10"/>
        <v>0</v>
      </c>
      <c r="M62" s="334"/>
      <c r="N62" s="158">
        <f t="shared" si="11"/>
        <v>0</v>
      </c>
      <c r="O62" s="158">
        <f t="shared" si="12"/>
        <v>0</v>
      </c>
      <c r="P62" s="4"/>
    </row>
    <row r="63" spans="2:16">
      <c r="B63" s="9" t="str">
        <f t="shared" si="5"/>
        <v/>
      </c>
      <c r="C63" s="153">
        <f>IF(D11="","-",+C62+1)</f>
        <v>2056</v>
      </c>
      <c r="D63" s="159">
        <f>IF(F62+SUM(E$17:E62)=D$10,F62,D$10-SUM(E$17:E62))</f>
        <v>0</v>
      </c>
      <c r="E63" s="160">
        <f>IF(+I14&lt;F62,I14,D63)</f>
        <v>0</v>
      </c>
      <c r="F63" s="159">
        <f t="shared" si="13"/>
        <v>0</v>
      </c>
      <c r="G63" s="163">
        <f t="shared" si="15"/>
        <v>0</v>
      </c>
      <c r="H63" s="142">
        <f t="shared" si="16"/>
        <v>0</v>
      </c>
      <c r="I63" s="156">
        <f t="shared" si="14"/>
        <v>0</v>
      </c>
      <c r="J63" s="156"/>
      <c r="K63" s="334"/>
      <c r="L63" s="158">
        <f t="shared" si="10"/>
        <v>0</v>
      </c>
      <c r="M63" s="334"/>
      <c r="N63" s="158">
        <f t="shared" si="11"/>
        <v>0</v>
      </c>
      <c r="O63" s="158">
        <f t="shared" si="12"/>
        <v>0</v>
      </c>
      <c r="P63" s="4"/>
    </row>
    <row r="64" spans="2:16">
      <c r="B64" s="9" t="str">
        <f t="shared" si="5"/>
        <v/>
      </c>
      <c r="C64" s="153">
        <f>IF(D11="","-",+C63+1)</f>
        <v>2057</v>
      </c>
      <c r="D64" s="159">
        <f>IF(F63+SUM(E$17:E63)=D$10,F63,D$10-SUM(E$17:E63))</f>
        <v>0</v>
      </c>
      <c r="E64" s="160">
        <f>IF(+I14&lt;F63,I14,D64)</f>
        <v>0</v>
      </c>
      <c r="F64" s="159">
        <f t="shared" si="13"/>
        <v>0</v>
      </c>
      <c r="G64" s="163">
        <f t="shared" si="15"/>
        <v>0</v>
      </c>
      <c r="H64" s="142">
        <f t="shared" si="16"/>
        <v>0</v>
      </c>
      <c r="I64" s="156">
        <f t="shared" si="14"/>
        <v>0</v>
      </c>
      <c r="J64" s="156"/>
      <c r="K64" s="334"/>
      <c r="L64" s="158">
        <f t="shared" si="10"/>
        <v>0</v>
      </c>
      <c r="M64" s="334"/>
      <c r="N64" s="158">
        <f t="shared" si="11"/>
        <v>0</v>
      </c>
      <c r="O64" s="158">
        <f t="shared" si="12"/>
        <v>0</v>
      </c>
      <c r="P64" s="4"/>
    </row>
    <row r="65" spans="2:16">
      <c r="B65" s="9" t="str">
        <f t="shared" si="5"/>
        <v/>
      </c>
      <c r="C65" s="153">
        <f>IF(D11="","-",+C64+1)</f>
        <v>2058</v>
      </c>
      <c r="D65" s="159">
        <f>IF(F64+SUM(E$17:E64)=D$10,F64,D$10-SUM(E$17:E64))</f>
        <v>0</v>
      </c>
      <c r="E65" s="160">
        <f>IF(+I14&lt;F64,I14,D65)</f>
        <v>0</v>
      </c>
      <c r="F65" s="159">
        <f t="shared" si="13"/>
        <v>0</v>
      </c>
      <c r="G65" s="163">
        <f t="shared" si="15"/>
        <v>0</v>
      </c>
      <c r="H65" s="142">
        <f t="shared" si="16"/>
        <v>0</v>
      </c>
      <c r="I65" s="156">
        <f t="shared" si="14"/>
        <v>0</v>
      </c>
      <c r="J65" s="156"/>
      <c r="K65" s="334"/>
      <c r="L65" s="158">
        <f t="shared" si="10"/>
        <v>0</v>
      </c>
      <c r="M65" s="334"/>
      <c r="N65" s="158">
        <f t="shared" si="11"/>
        <v>0</v>
      </c>
      <c r="O65" s="158">
        <f t="shared" si="12"/>
        <v>0</v>
      </c>
      <c r="P65" s="4"/>
    </row>
    <row r="66" spans="2:16">
      <c r="B66" s="9" t="str">
        <f t="shared" si="5"/>
        <v/>
      </c>
      <c r="C66" s="153">
        <f>IF(D11="","-",+C65+1)</f>
        <v>2059</v>
      </c>
      <c r="D66" s="159">
        <f>IF(F65+SUM(E$17:E65)=D$10,F65,D$10-SUM(E$17:E65))</f>
        <v>0</v>
      </c>
      <c r="E66" s="160">
        <f>IF(+I14&lt;F65,I14,D66)</f>
        <v>0</v>
      </c>
      <c r="F66" s="159">
        <f t="shared" si="13"/>
        <v>0</v>
      </c>
      <c r="G66" s="163">
        <f t="shared" si="15"/>
        <v>0</v>
      </c>
      <c r="H66" s="142">
        <f t="shared" si="16"/>
        <v>0</v>
      </c>
      <c r="I66" s="156">
        <f t="shared" si="14"/>
        <v>0</v>
      </c>
      <c r="J66" s="156"/>
      <c r="K66" s="334"/>
      <c r="L66" s="158">
        <f t="shared" si="10"/>
        <v>0</v>
      </c>
      <c r="M66" s="334"/>
      <c r="N66" s="158">
        <f t="shared" si="11"/>
        <v>0</v>
      </c>
      <c r="O66" s="158">
        <f t="shared" si="12"/>
        <v>0</v>
      </c>
      <c r="P66" s="4"/>
    </row>
    <row r="67" spans="2:16">
      <c r="B67" s="9" t="str">
        <f t="shared" si="5"/>
        <v/>
      </c>
      <c r="C67" s="153">
        <f>IF(D11="","-",+C66+1)</f>
        <v>2060</v>
      </c>
      <c r="D67" s="159">
        <f>IF(F66+SUM(E$17:E66)=D$10,F66,D$10-SUM(E$17:E66))</f>
        <v>0</v>
      </c>
      <c r="E67" s="160">
        <f>IF(+I14&lt;F66,I14,D67)</f>
        <v>0</v>
      </c>
      <c r="F67" s="159">
        <f t="shared" si="13"/>
        <v>0</v>
      </c>
      <c r="G67" s="163">
        <f t="shared" si="15"/>
        <v>0</v>
      </c>
      <c r="H67" s="142">
        <f t="shared" si="16"/>
        <v>0</v>
      </c>
      <c r="I67" s="156">
        <f t="shared" si="14"/>
        <v>0</v>
      </c>
      <c r="J67" s="156"/>
      <c r="K67" s="334"/>
      <c r="L67" s="158">
        <f t="shared" si="10"/>
        <v>0</v>
      </c>
      <c r="M67" s="334"/>
      <c r="N67" s="158">
        <f t="shared" si="11"/>
        <v>0</v>
      </c>
      <c r="O67" s="158">
        <f t="shared" si="12"/>
        <v>0</v>
      </c>
      <c r="P67" s="4"/>
    </row>
    <row r="68" spans="2:16">
      <c r="B68" s="9" t="str">
        <f t="shared" si="5"/>
        <v/>
      </c>
      <c r="C68" s="153">
        <f>IF(D11="","-",+C67+1)</f>
        <v>2061</v>
      </c>
      <c r="D68" s="159">
        <f>IF(F67+SUM(E$17:E67)=D$10,F67,D$10-SUM(E$17:E67))</f>
        <v>0</v>
      </c>
      <c r="E68" s="160">
        <f>IF(+I14&lt;F67,I14,D68)</f>
        <v>0</v>
      </c>
      <c r="F68" s="159">
        <f t="shared" si="13"/>
        <v>0</v>
      </c>
      <c r="G68" s="163">
        <f t="shared" si="15"/>
        <v>0</v>
      </c>
      <c r="H68" s="142">
        <f t="shared" si="16"/>
        <v>0</v>
      </c>
      <c r="I68" s="156">
        <f t="shared" si="14"/>
        <v>0</v>
      </c>
      <c r="J68" s="156"/>
      <c r="K68" s="334"/>
      <c r="L68" s="158">
        <f t="shared" si="10"/>
        <v>0</v>
      </c>
      <c r="M68" s="334"/>
      <c r="N68" s="158">
        <f t="shared" si="11"/>
        <v>0</v>
      </c>
      <c r="O68" s="158">
        <f t="shared" si="12"/>
        <v>0</v>
      </c>
      <c r="P68" s="4"/>
    </row>
    <row r="69" spans="2:16">
      <c r="B69" s="9" t="str">
        <f t="shared" si="5"/>
        <v/>
      </c>
      <c r="C69" s="153">
        <f>IF(D11="","-",+C68+1)</f>
        <v>2062</v>
      </c>
      <c r="D69" s="159">
        <f>IF(F68+SUM(E$17:E68)=D$10,F68,D$10-SUM(E$17:E68))</f>
        <v>0</v>
      </c>
      <c r="E69" s="160">
        <f>IF(+I14&lt;F68,I14,D69)</f>
        <v>0</v>
      </c>
      <c r="F69" s="159">
        <f t="shared" si="13"/>
        <v>0</v>
      </c>
      <c r="G69" s="163">
        <f t="shared" si="15"/>
        <v>0</v>
      </c>
      <c r="H69" s="142">
        <f t="shared" si="16"/>
        <v>0</v>
      </c>
      <c r="I69" s="156">
        <f t="shared" si="14"/>
        <v>0</v>
      </c>
      <c r="J69" s="156"/>
      <c r="K69" s="334"/>
      <c r="L69" s="158">
        <f t="shared" si="10"/>
        <v>0</v>
      </c>
      <c r="M69" s="334"/>
      <c r="N69" s="158">
        <f t="shared" si="11"/>
        <v>0</v>
      </c>
      <c r="O69" s="158">
        <f t="shared" si="12"/>
        <v>0</v>
      </c>
      <c r="P69" s="4"/>
    </row>
    <row r="70" spans="2:16">
      <c r="B70" s="9" t="str">
        <f t="shared" si="5"/>
        <v/>
      </c>
      <c r="C70" s="153">
        <f>IF(D11="","-",+C69+1)</f>
        <v>2063</v>
      </c>
      <c r="D70" s="159">
        <f>IF(F69+SUM(E$17:E69)=D$10,F69,D$10-SUM(E$17:E69))</f>
        <v>0</v>
      </c>
      <c r="E70" s="160">
        <f>IF(+I14&lt;F69,I14,D70)</f>
        <v>0</v>
      </c>
      <c r="F70" s="159">
        <f t="shared" si="13"/>
        <v>0</v>
      </c>
      <c r="G70" s="163">
        <f t="shared" si="15"/>
        <v>0</v>
      </c>
      <c r="H70" s="142">
        <f t="shared" si="16"/>
        <v>0</v>
      </c>
      <c r="I70" s="156">
        <f t="shared" si="14"/>
        <v>0</v>
      </c>
      <c r="J70" s="156"/>
      <c r="K70" s="334"/>
      <c r="L70" s="158">
        <f t="shared" si="10"/>
        <v>0</v>
      </c>
      <c r="M70" s="334"/>
      <c r="N70" s="158">
        <f t="shared" si="11"/>
        <v>0</v>
      </c>
      <c r="O70" s="158">
        <f t="shared" si="12"/>
        <v>0</v>
      </c>
      <c r="P70" s="4"/>
    </row>
    <row r="71" spans="2:16">
      <c r="B71" s="9" t="str">
        <f t="shared" si="5"/>
        <v/>
      </c>
      <c r="C71" s="153">
        <f>IF(D11="","-",+C70+1)</f>
        <v>2064</v>
      </c>
      <c r="D71" s="159">
        <f>IF(F70+SUM(E$17:E70)=D$10,F70,D$10-SUM(E$17:E70))</f>
        <v>0</v>
      </c>
      <c r="E71" s="160">
        <f>IF(+I14&lt;F70,I14,D71)</f>
        <v>0</v>
      </c>
      <c r="F71" s="159">
        <f t="shared" si="13"/>
        <v>0</v>
      </c>
      <c r="G71" s="163">
        <f t="shared" si="15"/>
        <v>0</v>
      </c>
      <c r="H71" s="142">
        <f t="shared" si="16"/>
        <v>0</v>
      </c>
      <c r="I71" s="156">
        <f t="shared" si="14"/>
        <v>0</v>
      </c>
      <c r="J71" s="156"/>
      <c r="K71" s="334"/>
      <c r="L71" s="158">
        <f t="shared" si="10"/>
        <v>0</v>
      </c>
      <c r="M71" s="334"/>
      <c r="N71" s="158">
        <f t="shared" si="11"/>
        <v>0</v>
      </c>
      <c r="O71" s="158">
        <f t="shared" si="12"/>
        <v>0</v>
      </c>
      <c r="P71" s="4"/>
    </row>
    <row r="72" spans="2:16" ht="13.5" thickBot="1">
      <c r="B72" s="9" t="str">
        <f t="shared" si="5"/>
        <v/>
      </c>
      <c r="C72" s="164">
        <f>IF(D11="","-",+C71+1)</f>
        <v>2065</v>
      </c>
      <c r="D72" s="165">
        <f>IF(F71+SUM(E$17:E71)=D$10,F71,D$10-SUM(E$17:E71))</f>
        <v>0</v>
      </c>
      <c r="E72" s="166">
        <f>IF(+I14&lt;F71,I14,D72)</f>
        <v>0</v>
      </c>
      <c r="F72" s="165">
        <f t="shared" si="13"/>
        <v>0</v>
      </c>
      <c r="G72" s="167">
        <f t="shared" si="15"/>
        <v>0</v>
      </c>
      <c r="H72" s="124">
        <f t="shared" si="16"/>
        <v>0</v>
      </c>
      <c r="I72" s="168">
        <f t="shared" si="14"/>
        <v>0</v>
      </c>
      <c r="J72" s="156"/>
      <c r="K72" s="335"/>
      <c r="L72" s="169">
        <f t="shared" si="10"/>
        <v>0</v>
      </c>
      <c r="M72" s="335"/>
      <c r="N72" s="169">
        <f t="shared" si="11"/>
        <v>0</v>
      </c>
      <c r="O72" s="169">
        <f t="shared" si="12"/>
        <v>0</v>
      </c>
      <c r="P72" s="4"/>
    </row>
    <row r="73" spans="2:16">
      <c r="C73" s="154" t="s">
        <v>73</v>
      </c>
      <c r="D73" s="111"/>
      <c r="E73" s="111">
        <f>SUM(E17:E72)</f>
        <v>23215.78</v>
      </c>
      <c r="F73" s="111"/>
      <c r="G73" s="111">
        <f>SUM(G17:G72)</f>
        <v>79650.867900949728</v>
      </c>
      <c r="H73" s="111">
        <f>SUM(H17:H72)</f>
        <v>79650.867900949728</v>
      </c>
      <c r="I73" s="111">
        <f>SUM(I17:I72)</f>
        <v>0</v>
      </c>
      <c r="J73" s="111"/>
      <c r="K73" s="111"/>
      <c r="L73" s="111"/>
      <c r="M73" s="111"/>
      <c r="N73" s="111"/>
      <c r="O73" s="4"/>
      <c r="P73" s="4"/>
    </row>
    <row r="74" spans="2:16">
      <c r="D74" s="2"/>
      <c r="E74" s="1"/>
      <c r="F74" s="1"/>
      <c r="G74" s="1"/>
      <c r="H74" s="3"/>
      <c r="I74" s="3"/>
      <c r="J74" s="111"/>
      <c r="K74" s="3"/>
      <c r="L74" s="3"/>
      <c r="M74" s="3"/>
      <c r="N74" s="3"/>
      <c r="O74" s="1"/>
      <c r="P74" s="1"/>
    </row>
    <row r="75" spans="2:16">
      <c r="C75" s="170" t="s">
        <v>91</v>
      </c>
      <c r="D75" s="2"/>
      <c r="E75" s="1"/>
      <c r="F75" s="1"/>
      <c r="G75" s="1"/>
      <c r="H75" s="3"/>
      <c r="I75" s="3"/>
      <c r="J75" s="111"/>
      <c r="K75" s="3"/>
      <c r="L75" s="3"/>
      <c r="M75" s="3"/>
      <c r="N75" s="3"/>
      <c r="O75" s="1"/>
      <c r="P75" s="1"/>
    </row>
    <row r="76" spans="2:16">
      <c r="C76" s="121" t="s">
        <v>74</v>
      </c>
      <c r="D76" s="2"/>
      <c r="E76" s="1"/>
      <c r="F76" s="1"/>
      <c r="G76" s="1"/>
      <c r="H76" s="3"/>
      <c r="I76" s="3"/>
      <c r="J76" s="111"/>
      <c r="K76" s="3"/>
      <c r="L76" s="3"/>
      <c r="M76" s="3"/>
      <c r="N76" s="3"/>
      <c r="O76" s="4"/>
      <c r="P76" s="4"/>
    </row>
    <row r="77" spans="2:16">
      <c r="C77" s="121" t="s">
        <v>75</v>
      </c>
      <c r="D77" s="154"/>
      <c r="E77" s="154"/>
      <c r="F77" s="154"/>
      <c r="G77" s="111"/>
      <c r="H77" s="111"/>
      <c r="I77" s="171"/>
      <c r="J77" s="171"/>
      <c r="K77" s="171"/>
      <c r="L77" s="171"/>
      <c r="M77" s="171"/>
      <c r="N77" s="171"/>
      <c r="O77" s="4"/>
      <c r="P77" s="4"/>
    </row>
    <row r="78" spans="2:16">
      <c r="C78" s="121"/>
      <c r="D78" s="154"/>
      <c r="E78" s="154"/>
      <c r="F78" s="154"/>
      <c r="G78" s="111"/>
      <c r="H78" s="111"/>
      <c r="I78" s="171"/>
      <c r="J78" s="171"/>
      <c r="K78" s="171"/>
      <c r="L78" s="171"/>
      <c r="M78" s="171"/>
      <c r="N78" s="171"/>
      <c r="O78" s="4"/>
      <c r="P78" s="1"/>
    </row>
    <row r="79" spans="2:16">
      <c r="B79" s="1"/>
      <c r="C79" s="21"/>
      <c r="D79" s="2"/>
      <c r="E79" s="1"/>
      <c r="F79" s="107"/>
      <c r="G79" s="1"/>
      <c r="H79" s="3"/>
      <c r="I79" s="1"/>
      <c r="J79" s="4"/>
      <c r="K79" s="1"/>
      <c r="L79" s="1"/>
      <c r="M79" s="1"/>
      <c r="N79" s="1"/>
      <c r="O79" s="1"/>
      <c r="P79" s="1"/>
    </row>
    <row r="80" spans="2:16" ht="18">
      <c r="B80" s="1"/>
      <c r="C80" s="242"/>
      <c r="D80" s="2"/>
      <c r="E80" s="1"/>
      <c r="F80" s="107"/>
      <c r="G80" s="1"/>
      <c r="H80" s="3"/>
      <c r="I80" s="1"/>
      <c r="J80" s="4"/>
      <c r="K80" s="1"/>
      <c r="L80" s="1"/>
      <c r="M80" s="1"/>
      <c r="N80" s="1"/>
      <c r="P80" s="244" t="s">
        <v>125</v>
      </c>
    </row>
    <row r="81" spans="1:16">
      <c r="B81" s="1"/>
      <c r="C81" s="21"/>
      <c r="D81" s="2"/>
      <c r="E81" s="1"/>
      <c r="F81" s="107"/>
      <c r="G81" s="1"/>
      <c r="H81" s="3"/>
      <c r="I81" s="1"/>
      <c r="J81" s="4"/>
      <c r="K81" s="1"/>
      <c r="L81" s="1"/>
      <c r="M81" s="1"/>
      <c r="N81" s="1"/>
      <c r="O81" s="1"/>
      <c r="P81" s="1"/>
    </row>
    <row r="82" spans="1:16">
      <c r="B82" s="1"/>
      <c r="C82" s="21"/>
      <c r="D82" s="2"/>
      <c r="E82" s="1"/>
      <c r="F82" s="107"/>
      <c r="G82" s="1"/>
      <c r="H82" s="3"/>
      <c r="I82" s="1"/>
      <c r="J82" s="4"/>
      <c r="K82" s="1"/>
      <c r="L82" s="1"/>
      <c r="M82" s="1"/>
      <c r="N82" s="1"/>
      <c r="O82" s="1"/>
      <c r="P82" s="1"/>
    </row>
    <row r="83" spans="1:16" ht="20.25">
      <c r="A83" s="243" t="s">
        <v>129</v>
      </c>
      <c r="B83" s="1"/>
      <c r="C83" s="21"/>
      <c r="D83" s="2"/>
      <c r="E83" s="1"/>
      <c r="F83" s="99"/>
      <c r="G83" s="99"/>
      <c r="H83" s="1"/>
      <c r="I83" s="3"/>
      <c r="K83" s="7"/>
      <c r="L83" s="109"/>
      <c r="M83" s="109"/>
      <c r="P83" s="109" t="str">
        <f ca="1">P1</f>
        <v>SWEPCO Project 49 of 73</v>
      </c>
    </row>
    <row r="84" spans="1:16" ht="18">
      <c r="B84" s="1"/>
      <c r="C84" s="1"/>
      <c r="D84" s="2"/>
      <c r="E84" s="1"/>
      <c r="F84" s="1"/>
      <c r="G84" s="1"/>
      <c r="H84" s="1"/>
      <c r="I84" s="3"/>
      <c r="J84" s="1"/>
      <c r="K84" s="4"/>
      <c r="L84" s="1"/>
      <c r="M84" s="1"/>
      <c r="P84" s="244" t="s">
        <v>123</v>
      </c>
    </row>
    <row r="85" spans="1:16" ht="18.75" thickBot="1">
      <c r="B85" s="5" t="s">
        <v>40</v>
      </c>
      <c r="C85" s="197" t="s">
        <v>78</v>
      </c>
      <c r="D85" s="2"/>
      <c r="E85" s="1"/>
      <c r="F85" s="1"/>
      <c r="G85" s="1"/>
      <c r="H85" s="1"/>
      <c r="I85" s="3"/>
      <c r="J85" s="3"/>
      <c r="K85" s="111"/>
      <c r="L85" s="3"/>
      <c r="M85" s="3"/>
      <c r="N85" s="3"/>
      <c r="O85" s="111"/>
      <c r="P85" s="1"/>
    </row>
    <row r="86" spans="1:16" ht="15.75" thickBot="1">
      <c r="C86" s="67"/>
      <c r="D86" s="2"/>
      <c r="E86" s="1"/>
      <c r="F86" s="1"/>
      <c r="G86" s="1"/>
      <c r="H86" s="1"/>
      <c r="I86" s="3"/>
      <c r="J86" s="3"/>
      <c r="K86" s="111"/>
      <c r="L86" s="265">
        <f>+J92</f>
        <v>2017</v>
      </c>
      <c r="M86" s="266" t="s">
        <v>7</v>
      </c>
      <c r="N86" s="270" t="s">
        <v>154</v>
      </c>
      <c r="O86" s="267" t="s">
        <v>9</v>
      </c>
      <c r="P86" s="1"/>
    </row>
    <row r="87" spans="1:16" ht="15">
      <c r="C87" s="235" t="s">
        <v>42</v>
      </c>
      <c r="D87" s="2"/>
      <c r="E87" s="1"/>
      <c r="F87" s="1"/>
      <c r="G87" s="1"/>
      <c r="H87" s="113"/>
      <c r="I87" s="1" t="s">
        <v>43</v>
      </c>
      <c r="J87" s="1"/>
      <c r="K87" s="261"/>
      <c r="L87" s="259" t="s">
        <v>381</v>
      </c>
      <c r="M87" s="198">
        <f>IF(J92&lt;D11,0,VLOOKUP(J92,C17:O72,9))</f>
        <v>2752.1035013473884</v>
      </c>
      <c r="N87" s="198">
        <f>IF(J92&lt;D11,0,VLOOKUP(J92,C17:O72,11))</f>
        <v>2752.1035013473884</v>
      </c>
      <c r="O87" s="199">
        <f>+N87-M87</f>
        <v>0</v>
      </c>
      <c r="P87" s="1"/>
    </row>
    <row r="88" spans="1:16" ht="15.75">
      <c r="C88" s="8"/>
      <c r="D88" s="242" t="str">
        <f>S.048!D90</f>
        <v xml:space="preserve">***Sch. 11 recovery commenced in the 2015 rate year.  Beg Bal = to depreciated balance as of 1/1/15. *** </v>
      </c>
      <c r="E88" s="1"/>
      <c r="F88" s="1"/>
      <c r="G88" s="1"/>
      <c r="H88" s="1"/>
      <c r="I88" s="117"/>
      <c r="J88" s="117"/>
      <c r="K88" s="263"/>
      <c r="L88" s="264" t="s">
        <v>382</v>
      </c>
      <c r="M88" s="200">
        <f>IF(J92&lt;D11,0,VLOOKUP(J92,C99:P154,6))</f>
        <v>3146.0225925496561</v>
      </c>
      <c r="N88" s="200">
        <f>IF(J92&lt;D11,0,VLOOKUP(J92,C99:P154,7))</f>
        <v>3146.0225925496561</v>
      </c>
      <c r="O88" s="201">
        <f>+N88-M88</f>
        <v>0</v>
      </c>
      <c r="P88" s="1"/>
    </row>
    <row r="89" spans="1:16" ht="13.5" thickBot="1">
      <c r="C89" s="121" t="s">
        <v>79</v>
      </c>
      <c r="D89" s="246" t="str">
        <f>+D7</f>
        <v xml:space="preserve">SUGAR HILL 138/69KV TRANSFORMER CKT 1 </v>
      </c>
      <c r="E89" s="1"/>
      <c r="F89" s="1"/>
      <c r="G89" s="1"/>
      <c r="H89" s="1"/>
      <c r="I89" s="3"/>
      <c r="J89" s="3"/>
      <c r="K89" s="262"/>
      <c r="L89" s="260" t="s">
        <v>151</v>
      </c>
      <c r="M89" s="203">
        <f>+M88-M87</f>
        <v>393.91909120226774</v>
      </c>
      <c r="N89" s="203">
        <f>+N88-N87</f>
        <v>393.91909120226774</v>
      </c>
      <c r="O89" s="204">
        <f>+O88-O87</f>
        <v>0</v>
      </c>
      <c r="P89" s="1"/>
    </row>
    <row r="90" spans="1:16" ht="13.5" thickBot="1">
      <c r="C90" s="170"/>
      <c r="D90" s="173" t="str">
        <f>D8</f>
        <v>DOES NOT MEET SPP $100,000 MINIMUM INVESTMENT FOR REGIONAL BPU SHARING.</v>
      </c>
      <c r="E90" s="107"/>
      <c r="F90" s="107"/>
      <c r="G90" s="107"/>
      <c r="H90" s="126"/>
      <c r="I90" s="3"/>
      <c r="J90" s="3"/>
      <c r="K90" s="111"/>
      <c r="L90" s="3"/>
      <c r="M90" s="3"/>
      <c r="N90" s="3"/>
      <c r="O90" s="111"/>
      <c r="P90" s="1"/>
    </row>
    <row r="91" spans="1:16" ht="13.5" thickBot="1">
      <c r="A91" s="103"/>
      <c r="C91" s="205" t="s">
        <v>80</v>
      </c>
      <c r="D91" s="224" t="str">
        <f>+D9</f>
        <v>TP2004032</v>
      </c>
      <c r="E91" s="206"/>
      <c r="F91" s="206"/>
      <c r="G91" s="206"/>
      <c r="H91" s="206"/>
      <c r="I91" s="206"/>
      <c r="J91" s="206"/>
      <c r="K91" s="207"/>
      <c r="P91" s="131"/>
    </row>
    <row r="92" spans="1:16">
      <c r="C92" s="136" t="s">
        <v>47</v>
      </c>
      <c r="D92" s="417">
        <v>23216</v>
      </c>
      <c r="E92" s="21" t="s">
        <v>81</v>
      </c>
      <c r="H92" s="134"/>
      <c r="I92" s="134"/>
      <c r="J92" s="135">
        <f>+'SWE.WS.G.BPU.ATRR.True-up'!M15</f>
        <v>2017</v>
      </c>
      <c r="K92" s="130"/>
      <c r="L92" s="111" t="s">
        <v>82</v>
      </c>
      <c r="P92" s="4"/>
    </row>
    <row r="93" spans="1:16">
      <c r="C93" s="136" t="s">
        <v>49</v>
      </c>
      <c r="D93" s="219">
        <f>D11</f>
        <v>2010</v>
      </c>
      <c r="E93" s="136" t="s">
        <v>50</v>
      </c>
      <c r="F93" s="134"/>
      <c r="G93" s="134"/>
      <c r="J93" s="138">
        <f>IF(H87="",0,'SWE.WS.G.BPU.ATRR.True-up'!$F$12)</f>
        <v>0</v>
      </c>
      <c r="K93" s="139"/>
      <c r="L93" t="str">
        <f>"          INPUT TRUE-UP ARR (WITH &amp; WITHOUT INCENTIVES) FROM EACH PRIOR YEAR"</f>
        <v xml:space="preserve">          INPUT TRUE-UP ARR (WITH &amp; WITHOUT INCENTIVES) FROM EACH PRIOR YEAR</v>
      </c>
      <c r="P93" s="4"/>
    </row>
    <row r="94" spans="1:16">
      <c r="C94" s="136" t="s">
        <v>51</v>
      </c>
      <c r="D94" s="219">
        <f>D12</f>
        <v>10</v>
      </c>
      <c r="E94" s="136" t="s">
        <v>52</v>
      </c>
      <c r="F94" s="134"/>
      <c r="G94" s="134"/>
      <c r="J94" s="140">
        <f>'SWE.WS.G.BPU.ATRR.True-up'!$F$80</f>
        <v>0.12147145768398206</v>
      </c>
      <c r="K94" s="141"/>
      <c r="L94" t="s">
        <v>83</v>
      </c>
      <c r="P94" s="4"/>
    </row>
    <row r="95" spans="1:16">
      <c r="C95" s="136" t="s">
        <v>54</v>
      </c>
      <c r="D95" s="138">
        <f>'SWE.WS.G.BPU.ATRR.True-up'!F$92</f>
        <v>42</v>
      </c>
      <c r="E95" s="136" t="s">
        <v>55</v>
      </c>
      <c r="F95" s="134"/>
      <c r="G95" s="134"/>
      <c r="J95" s="140">
        <f>IF(H87="",J94,'SWE.WS.G.BPU.ATRR.True-up'!$F$79)</f>
        <v>0.12147145768398206</v>
      </c>
      <c r="K95" s="58"/>
      <c r="L95" s="111" t="s">
        <v>56</v>
      </c>
      <c r="M95" s="58"/>
      <c r="N95" s="58"/>
      <c r="O95" s="58"/>
      <c r="P95" s="4"/>
    </row>
    <row r="96" spans="1:16" ht="13.5" thickBot="1">
      <c r="C96" s="136" t="s">
        <v>57</v>
      </c>
      <c r="D96" s="220" t="str">
        <f>+D14</f>
        <v>No</v>
      </c>
      <c r="E96" s="202" t="s">
        <v>59</v>
      </c>
      <c r="F96" s="208"/>
      <c r="G96" s="208"/>
      <c r="H96" s="209"/>
      <c r="I96" s="209"/>
      <c r="J96" s="124">
        <f>IF(D92=0,0,D92/D95)</f>
        <v>552.76190476190482</v>
      </c>
      <c r="K96" s="111"/>
      <c r="L96" s="111"/>
      <c r="M96" s="111"/>
      <c r="N96" s="111"/>
      <c r="O96" s="111"/>
      <c r="P96" s="4"/>
    </row>
    <row r="97" spans="1:16" ht="38.25">
      <c r="A97" s="6"/>
      <c r="B97" s="6"/>
      <c r="C97" s="210" t="s">
        <v>47</v>
      </c>
      <c r="D97" s="211" t="s">
        <v>60</v>
      </c>
      <c r="E97" s="146" t="s">
        <v>61</v>
      </c>
      <c r="F97" s="146" t="s">
        <v>62</v>
      </c>
      <c r="G97" s="144" t="s">
        <v>84</v>
      </c>
      <c r="H97" s="434" t="s">
        <v>378</v>
      </c>
      <c r="I97" s="435" t="s">
        <v>379</v>
      </c>
      <c r="J97" s="210" t="s">
        <v>85</v>
      </c>
      <c r="K97" s="212"/>
      <c r="L97" s="271" t="s">
        <v>220</v>
      </c>
      <c r="M97" s="146" t="s">
        <v>86</v>
      </c>
      <c r="N97" s="271" t="s">
        <v>220</v>
      </c>
      <c r="O97" s="146" t="s">
        <v>86</v>
      </c>
      <c r="P97" s="146" t="s">
        <v>65</v>
      </c>
    </row>
    <row r="98" spans="1:16" ht="13.5" thickBot="1">
      <c r="C98" s="147" t="s">
        <v>66</v>
      </c>
      <c r="D98" s="213" t="s">
        <v>67</v>
      </c>
      <c r="E98" s="147" t="s">
        <v>68</v>
      </c>
      <c r="F98" s="147" t="s">
        <v>67</v>
      </c>
      <c r="G98" s="147" t="s">
        <v>67</v>
      </c>
      <c r="H98" s="407" t="s">
        <v>69</v>
      </c>
      <c r="I98" s="148" t="s">
        <v>70</v>
      </c>
      <c r="J98" s="149" t="s">
        <v>89</v>
      </c>
      <c r="K98" s="150"/>
      <c r="L98" s="151" t="s">
        <v>72</v>
      </c>
      <c r="M98" s="151" t="s">
        <v>72</v>
      </c>
      <c r="N98" s="151" t="s">
        <v>90</v>
      </c>
      <c r="O98" s="151" t="s">
        <v>90</v>
      </c>
      <c r="P98" s="151" t="s">
        <v>90</v>
      </c>
    </row>
    <row r="99" spans="1:16">
      <c r="C99" s="153">
        <f>IF(D93= "","-",D93)</f>
        <v>2010</v>
      </c>
      <c r="D99" s="154"/>
      <c r="E99" s="161"/>
      <c r="F99" s="159"/>
      <c r="G99" s="214"/>
      <c r="H99" s="251"/>
      <c r="I99" s="252"/>
      <c r="J99" s="158"/>
      <c r="K99" s="158"/>
      <c r="L99" s="256"/>
      <c r="M99" s="157">
        <f t="shared" ref="M99:M130" si="17">IF(L99&lt;&gt;0,+H99-L99,0)</f>
        <v>0</v>
      </c>
      <c r="N99" s="256"/>
      <c r="O99" s="157">
        <f t="shared" ref="O99:O130" si="18">IF(N99&lt;&gt;0,+I99-N99,0)</f>
        <v>0</v>
      </c>
      <c r="P99" s="157">
        <f t="shared" ref="P99:P130" si="19">+O99-M99</f>
        <v>0</v>
      </c>
    </row>
    <row r="100" spans="1:16">
      <c r="B100" s="9" t="str">
        <f>IF(D100=F99,"","IU")</f>
        <v/>
      </c>
      <c r="C100" s="153">
        <f>IF(D93="","-",+C99+1)</f>
        <v>2011</v>
      </c>
      <c r="D100" s="154"/>
      <c r="E100" s="160"/>
      <c r="F100" s="159"/>
      <c r="G100" s="159"/>
      <c r="H100" s="163"/>
      <c r="I100" s="253"/>
      <c r="J100" s="158"/>
      <c r="K100" s="158"/>
      <c r="L100" s="258"/>
      <c r="M100" s="158">
        <f t="shared" si="17"/>
        <v>0</v>
      </c>
      <c r="N100" s="258"/>
      <c r="O100" s="158">
        <f t="shared" si="18"/>
        <v>0</v>
      </c>
      <c r="P100" s="158">
        <f t="shared" si="19"/>
        <v>0</v>
      </c>
    </row>
    <row r="101" spans="1:16">
      <c r="B101" s="9" t="str">
        <f t="shared" ref="B101:B154" si="20">IF(D101=F100,"","IU")</f>
        <v/>
      </c>
      <c r="C101" s="153">
        <f>IF(D93="","-",+C100+1)</f>
        <v>2012</v>
      </c>
      <c r="D101" s="154"/>
      <c r="E101" s="160"/>
      <c r="F101" s="159"/>
      <c r="G101" s="159"/>
      <c r="H101" s="163"/>
      <c r="I101" s="253"/>
      <c r="J101" s="158"/>
      <c r="K101" s="158"/>
      <c r="L101" s="258"/>
      <c r="M101" s="158">
        <f t="shared" si="17"/>
        <v>0</v>
      </c>
      <c r="N101" s="258"/>
      <c r="O101" s="158">
        <f t="shared" si="18"/>
        <v>0</v>
      </c>
      <c r="P101" s="158">
        <f t="shared" si="19"/>
        <v>0</v>
      </c>
    </row>
    <row r="102" spans="1:16">
      <c r="B102" s="9" t="str">
        <f t="shared" si="20"/>
        <v/>
      </c>
      <c r="C102" s="153">
        <f>IF(D93="","-",+C101+1)</f>
        <v>2013</v>
      </c>
      <c r="D102" s="154"/>
      <c r="E102" s="160"/>
      <c r="F102" s="159"/>
      <c r="G102" s="159"/>
      <c r="H102" s="163"/>
      <c r="I102" s="253"/>
      <c r="J102" s="158"/>
      <c r="K102" s="158"/>
      <c r="L102" s="258"/>
      <c r="M102" s="158">
        <f t="shared" si="17"/>
        <v>0</v>
      </c>
      <c r="N102" s="258"/>
      <c r="O102" s="158">
        <f t="shared" si="18"/>
        <v>0</v>
      </c>
      <c r="P102" s="158">
        <f t="shared" si="19"/>
        <v>0</v>
      </c>
    </row>
    <row r="103" spans="1:16">
      <c r="B103" s="9" t="str">
        <f t="shared" si="20"/>
        <v>IU</v>
      </c>
      <c r="C103" s="153">
        <f>IF(D93="","-",+C102+1)</f>
        <v>2014</v>
      </c>
      <c r="D103" s="409">
        <v>21465.383888888882</v>
      </c>
      <c r="E103" s="410">
        <v>511.0805687830686</v>
      </c>
      <c r="F103" s="411">
        <v>20954.303320105813</v>
      </c>
      <c r="G103" s="411">
        <v>21209.84360449735</v>
      </c>
      <c r="H103" s="413">
        <v>3305.8778604517456</v>
      </c>
      <c r="I103" s="414">
        <v>3305.8778604517456</v>
      </c>
      <c r="J103" s="158">
        <f>+I103-H103</f>
        <v>0</v>
      </c>
      <c r="K103" s="158"/>
      <c r="L103" s="258">
        <f>+H103</f>
        <v>3305.8778604517456</v>
      </c>
      <c r="M103" s="158">
        <f t="shared" si="17"/>
        <v>0</v>
      </c>
      <c r="N103" s="258">
        <f>+I103</f>
        <v>3305.8778604517456</v>
      </c>
      <c r="O103" s="158">
        <f t="shared" si="18"/>
        <v>0</v>
      </c>
      <c r="P103" s="158">
        <f t="shared" si="19"/>
        <v>0</v>
      </c>
    </row>
    <row r="104" spans="1:16" ht="13.5" thickBot="1">
      <c r="B104" s="9" t="str">
        <f t="shared" si="20"/>
        <v>IU</v>
      </c>
      <c r="C104" s="153">
        <f>IF(D93="","-",+C103+1)</f>
        <v>2015</v>
      </c>
      <c r="D104" s="409">
        <v>22704.919431216931</v>
      </c>
      <c r="E104" s="410">
        <v>539.90697674418607</v>
      </c>
      <c r="F104" s="411">
        <v>22165.012454472744</v>
      </c>
      <c r="G104" s="411">
        <v>22434.965942844836</v>
      </c>
      <c r="H104" s="413">
        <v>3388.0256404381366</v>
      </c>
      <c r="I104" s="414">
        <v>3388.0256404381366</v>
      </c>
      <c r="J104" s="158">
        <v>0</v>
      </c>
      <c r="K104" s="158"/>
      <c r="L104" s="258">
        <f>+H104</f>
        <v>3388.0256404381366</v>
      </c>
      <c r="M104" s="158">
        <f>IF(L104&lt;&gt;0,+H104-L104,0)</f>
        <v>0</v>
      </c>
      <c r="N104" s="258">
        <f>+I104</f>
        <v>3388.0256404381366</v>
      </c>
      <c r="O104" s="158">
        <f>IF(N104&lt;&gt;0,+I104-N104,0)</f>
        <v>0</v>
      </c>
      <c r="P104" s="158">
        <f>+O104-M104</f>
        <v>0</v>
      </c>
    </row>
    <row r="105" spans="1:16">
      <c r="B105" s="9" t="str">
        <f t="shared" si="20"/>
        <v/>
      </c>
      <c r="C105" s="153">
        <f>IF(D93="","-",+C104+1)</f>
        <v>2016</v>
      </c>
      <c r="D105" s="409">
        <v>22165.012454472744</v>
      </c>
      <c r="E105" s="410">
        <v>539.90697674418607</v>
      </c>
      <c r="F105" s="411">
        <v>21625.105477728557</v>
      </c>
      <c r="G105" s="412">
        <v>21895.058966100652</v>
      </c>
      <c r="H105" s="411">
        <v>3319.4844560636579</v>
      </c>
      <c r="I105" s="414">
        <v>3319.4844560636579</v>
      </c>
      <c r="J105" s="158">
        <f t="shared" ref="J105:J154" si="21">+I105-H105</f>
        <v>0</v>
      </c>
      <c r="K105" s="158"/>
      <c r="L105" s="258">
        <f>+H105</f>
        <v>3319.4844560636579</v>
      </c>
      <c r="M105" s="158">
        <f>IF(L105&lt;&gt;0,+H105-L105,0)</f>
        <v>0</v>
      </c>
      <c r="N105" s="258">
        <f>+I105</f>
        <v>3319.4844560636579</v>
      </c>
      <c r="O105" s="158">
        <f>IF(N105&lt;&gt;0,+I105-N105,0)</f>
        <v>0</v>
      </c>
      <c r="P105" s="158">
        <f t="shared" si="19"/>
        <v>0</v>
      </c>
    </row>
    <row r="106" spans="1:16">
      <c r="B106" s="9" t="str">
        <f t="shared" si="20"/>
        <v/>
      </c>
      <c r="C106" s="153">
        <f>IF(D93="","-",+C105+1)</f>
        <v>2017</v>
      </c>
      <c r="D106" s="154">
        <f>IF(F105+SUM(E$99:E105)=D$92,F105,D$92-SUM(E$99:E105))</f>
        <v>21625.105477728557</v>
      </c>
      <c r="E106" s="160">
        <f t="shared" ref="E106:E154" si="22">IF(+$J$96&lt;F105,$J$96,D106)</f>
        <v>552.76190476190482</v>
      </c>
      <c r="F106" s="159">
        <f t="shared" ref="F106:F154" si="23">+D106-E106</f>
        <v>21072.343572966653</v>
      </c>
      <c r="G106" s="159">
        <f t="shared" ref="G106:G154" si="24">+(F106+D106)/2</f>
        <v>21348.724525347607</v>
      </c>
      <c r="H106" s="163">
        <f t="shared" ref="H106:H154" si="25">+J$94*G106+E106</f>
        <v>3146.0225925496561</v>
      </c>
      <c r="I106" s="253">
        <f t="shared" ref="I106:I154" si="26">+J$95*G106+E106</f>
        <v>3146.0225925496561</v>
      </c>
      <c r="J106" s="158">
        <f t="shared" si="21"/>
        <v>0</v>
      </c>
      <c r="K106" s="158"/>
      <c r="L106" s="334"/>
      <c r="M106" s="158">
        <f t="shared" si="17"/>
        <v>0</v>
      </c>
      <c r="N106" s="334"/>
      <c r="O106" s="158">
        <f t="shared" si="18"/>
        <v>0</v>
      </c>
      <c r="P106" s="158">
        <f t="shared" si="19"/>
        <v>0</v>
      </c>
    </row>
    <row r="107" spans="1:16">
      <c r="B107" s="9" t="str">
        <f t="shared" si="20"/>
        <v/>
      </c>
      <c r="C107" s="153">
        <f>IF(D93="","-",+C106+1)</f>
        <v>2018</v>
      </c>
      <c r="D107" s="154">
        <f>IF(F106+SUM(E$99:E106)=D$92,F106,D$92-SUM(E$99:E106))</f>
        <v>21072.343572966653</v>
      </c>
      <c r="E107" s="160">
        <f t="shared" si="22"/>
        <v>552.76190476190482</v>
      </c>
      <c r="F107" s="159">
        <f t="shared" si="23"/>
        <v>20519.581668204748</v>
      </c>
      <c r="G107" s="159">
        <f t="shared" si="24"/>
        <v>20795.962620585698</v>
      </c>
      <c r="H107" s="163">
        <f t="shared" si="25"/>
        <v>3078.8777982260535</v>
      </c>
      <c r="I107" s="253">
        <f t="shared" si="26"/>
        <v>3078.8777982260535</v>
      </c>
      <c r="J107" s="158">
        <f t="shared" si="21"/>
        <v>0</v>
      </c>
      <c r="K107" s="158"/>
      <c r="L107" s="334"/>
      <c r="M107" s="158">
        <f t="shared" si="17"/>
        <v>0</v>
      </c>
      <c r="N107" s="334"/>
      <c r="O107" s="158">
        <f t="shared" si="18"/>
        <v>0</v>
      </c>
      <c r="P107" s="158">
        <f t="shared" si="19"/>
        <v>0</v>
      </c>
    </row>
    <row r="108" spans="1:16">
      <c r="B108" s="9" t="str">
        <f t="shared" si="20"/>
        <v/>
      </c>
      <c r="C108" s="153">
        <f>IF(D93="","-",+C107+1)</f>
        <v>2019</v>
      </c>
      <c r="D108" s="154">
        <f>IF(F107+SUM(E$99:E107)=D$92,F107,D$92-SUM(E$99:E107))</f>
        <v>20519.581668204748</v>
      </c>
      <c r="E108" s="160">
        <f t="shared" si="22"/>
        <v>552.76190476190482</v>
      </c>
      <c r="F108" s="159">
        <f t="shared" si="23"/>
        <v>19966.819763442843</v>
      </c>
      <c r="G108" s="159">
        <f t="shared" si="24"/>
        <v>20243.200715823798</v>
      </c>
      <c r="H108" s="163">
        <f t="shared" si="25"/>
        <v>3011.7330039024509</v>
      </c>
      <c r="I108" s="253">
        <f t="shared" si="26"/>
        <v>3011.7330039024509</v>
      </c>
      <c r="J108" s="158">
        <f t="shared" si="21"/>
        <v>0</v>
      </c>
      <c r="K108" s="158"/>
      <c r="L108" s="334"/>
      <c r="M108" s="158">
        <f t="shared" si="17"/>
        <v>0</v>
      </c>
      <c r="N108" s="334"/>
      <c r="O108" s="158">
        <f t="shared" si="18"/>
        <v>0</v>
      </c>
      <c r="P108" s="158">
        <f t="shared" si="19"/>
        <v>0</v>
      </c>
    </row>
    <row r="109" spans="1:16">
      <c r="B109" s="9" t="str">
        <f t="shared" si="20"/>
        <v/>
      </c>
      <c r="C109" s="153">
        <f>IF(D93="","-",+C108+1)</f>
        <v>2020</v>
      </c>
      <c r="D109" s="154">
        <f>IF(F108+SUM(E$99:E108)=D$92,F108,D$92-SUM(E$99:E108))</f>
        <v>19966.819763442843</v>
      </c>
      <c r="E109" s="160">
        <f t="shared" si="22"/>
        <v>552.76190476190482</v>
      </c>
      <c r="F109" s="159">
        <f t="shared" si="23"/>
        <v>19414.057858680939</v>
      </c>
      <c r="G109" s="159">
        <f t="shared" si="24"/>
        <v>19690.438811061889</v>
      </c>
      <c r="H109" s="163">
        <f t="shared" si="25"/>
        <v>2944.5882095788475</v>
      </c>
      <c r="I109" s="253">
        <f t="shared" si="26"/>
        <v>2944.5882095788475</v>
      </c>
      <c r="J109" s="158">
        <f t="shared" si="21"/>
        <v>0</v>
      </c>
      <c r="K109" s="158"/>
      <c r="L109" s="334"/>
      <c r="M109" s="158">
        <f t="shared" si="17"/>
        <v>0</v>
      </c>
      <c r="N109" s="334"/>
      <c r="O109" s="158">
        <f t="shared" si="18"/>
        <v>0</v>
      </c>
      <c r="P109" s="158">
        <f t="shared" si="19"/>
        <v>0</v>
      </c>
    </row>
    <row r="110" spans="1:16">
      <c r="B110" s="9" t="str">
        <f t="shared" si="20"/>
        <v/>
      </c>
      <c r="C110" s="153">
        <f>IF(D93="","-",+C109+1)</f>
        <v>2021</v>
      </c>
      <c r="D110" s="154">
        <f>IF(F109+SUM(E$99:E109)=D$92,F109,D$92-SUM(E$99:E109))</f>
        <v>19414.057858680939</v>
      </c>
      <c r="E110" s="160">
        <f t="shared" si="22"/>
        <v>552.76190476190482</v>
      </c>
      <c r="F110" s="159">
        <f t="shared" si="23"/>
        <v>18861.295953919034</v>
      </c>
      <c r="G110" s="159">
        <f t="shared" si="24"/>
        <v>19137.676906299988</v>
      </c>
      <c r="H110" s="163">
        <f t="shared" si="25"/>
        <v>2877.4434152552449</v>
      </c>
      <c r="I110" s="253">
        <f t="shared" si="26"/>
        <v>2877.4434152552449</v>
      </c>
      <c r="J110" s="158">
        <f t="shared" si="21"/>
        <v>0</v>
      </c>
      <c r="K110" s="158"/>
      <c r="L110" s="334"/>
      <c r="M110" s="158">
        <f t="shared" si="17"/>
        <v>0</v>
      </c>
      <c r="N110" s="334"/>
      <c r="O110" s="158">
        <f t="shared" si="18"/>
        <v>0</v>
      </c>
      <c r="P110" s="158">
        <f t="shared" si="19"/>
        <v>0</v>
      </c>
    </row>
    <row r="111" spans="1:16">
      <c r="B111" s="9" t="str">
        <f t="shared" si="20"/>
        <v/>
      </c>
      <c r="C111" s="153">
        <f>IF(D93="","-",+C110+1)</f>
        <v>2022</v>
      </c>
      <c r="D111" s="154">
        <f>IF(F110+SUM(E$99:E110)=D$92,F110,D$92-SUM(E$99:E110))</f>
        <v>18861.295953919034</v>
      </c>
      <c r="E111" s="160">
        <f t="shared" si="22"/>
        <v>552.76190476190482</v>
      </c>
      <c r="F111" s="159">
        <f t="shared" si="23"/>
        <v>18308.53404915713</v>
      </c>
      <c r="G111" s="159">
        <f t="shared" si="24"/>
        <v>18584.91500153808</v>
      </c>
      <c r="H111" s="163">
        <f t="shared" si="25"/>
        <v>2810.2986209316414</v>
      </c>
      <c r="I111" s="253">
        <f t="shared" si="26"/>
        <v>2810.2986209316414</v>
      </c>
      <c r="J111" s="158">
        <f t="shared" si="21"/>
        <v>0</v>
      </c>
      <c r="K111" s="158"/>
      <c r="L111" s="334"/>
      <c r="M111" s="158">
        <f t="shared" si="17"/>
        <v>0</v>
      </c>
      <c r="N111" s="334"/>
      <c r="O111" s="158">
        <f t="shared" si="18"/>
        <v>0</v>
      </c>
      <c r="P111" s="158">
        <f t="shared" si="19"/>
        <v>0</v>
      </c>
    </row>
    <row r="112" spans="1:16">
      <c r="B112" s="9" t="str">
        <f t="shared" si="20"/>
        <v/>
      </c>
      <c r="C112" s="153">
        <f>IF(D93="","-",+C111+1)</f>
        <v>2023</v>
      </c>
      <c r="D112" s="154">
        <f>IF(F111+SUM(E$99:E111)=D$92,F111,D$92-SUM(E$99:E111))</f>
        <v>18308.53404915713</v>
      </c>
      <c r="E112" s="160">
        <f t="shared" si="22"/>
        <v>552.76190476190482</v>
      </c>
      <c r="F112" s="159">
        <f t="shared" si="23"/>
        <v>17755.772144395225</v>
      </c>
      <c r="G112" s="159">
        <f t="shared" si="24"/>
        <v>18032.153096776179</v>
      </c>
      <c r="H112" s="163">
        <f t="shared" si="25"/>
        <v>2743.1538266080388</v>
      </c>
      <c r="I112" s="253">
        <f t="shared" si="26"/>
        <v>2743.1538266080388</v>
      </c>
      <c r="J112" s="158">
        <f t="shared" si="21"/>
        <v>0</v>
      </c>
      <c r="K112" s="158"/>
      <c r="L112" s="334"/>
      <c r="M112" s="158">
        <f t="shared" si="17"/>
        <v>0</v>
      </c>
      <c r="N112" s="334"/>
      <c r="O112" s="158">
        <f t="shared" si="18"/>
        <v>0</v>
      </c>
      <c r="P112" s="158">
        <f t="shared" si="19"/>
        <v>0</v>
      </c>
    </row>
    <row r="113" spans="2:16">
      <c r="B113" s="9" t="str">
        <f t="shared" si="20"/>
        <v/>
      </c>
      <c r="C113" s="153">
        <f>IF(D93="","-",+C112+1)</f>
        <v>2024</v>
      </c>
      <c r="D113" s="154">
        <f>IF(F112+SUM(E$99:E112)=D$92,F112,D$92-SUM(E$99:E112))</f>
        <v>17755.772144395225</v>
      </c>
      <c r="E113" s="160">
        <f t="shared" si="22"/>
        <v>552.76190476190482</v>
      </c>
      <c r="F113" s="159">
        <f t="shared" si="23"/>
        <v>17203.01023963332</v>
      </c>
      <c r="G113" s="159">
        <f t="shared" si="24"/>
        <v>17479.391192014271</v>
      </c>
      <c r="H113" s="163">
        <f t="shared" si="25"/>
        <v>2676.0090322844353</v>
      </c>
      <c r="I113" s="253">
        <f t="shared" si="26"/>
        <v>2676.0090322844353</v>
      </c>
      <c r="J113" s="158">
        <f t="shared" si="21"/>
        <v>0</v>
      </c>
      <c r="K113" s="158"/>
      <c r="L113" s="334"/>
      <c r="M113" s="158">
        <f t="shared" si="17"/>
        <v>0</v>
      </c>
      <c r="N113" s="334"/>
      <c r="O113" s="158">
        <f t="shared" si="18"/>
        <v>0</v>
      </c>
      <c r="P113" s="158">
        <f t="shared" si="19"/>
        <v>0</v>
      </c>
    </row>
    <row r="114" spans="2:16">
      <c r="B114" s="9" t="str">
        <f t="shared" si="20"/>
        <v/>
      </c>
      <c r="C114" s="153">
        <f>IF(D93="","-",+C113+1)</f>
        <v>2025</v>
      </c>
      <c r="D114" s="154">
        <f>IF(F113+SUM(E$99:E113)=D$92,F113,D$92-SUM(E$99:E113))</f>
        <v>17203.01023963332</v>
      </c>
      <c r="E114" s="160">
        <f t="shared" si="22"/>
        <v>552.76190476190482</v>
      </c>
      <c r="F114" s="159">
        <f t="shared" si="23"/>
        <v>16650.248334871416</v>
      </c>
      <c r="G114" s="159">
        <f t="shared" si="24"/>
        <v>16926.62928725237</v>
      </c>
      <c r="H114" s="163">
        <f t="shared" si="25"/>
        <v>2608.8642379608327</v>
      </c>
      <c r="I114" s="253">
        <f t="shared" si="26"/>
        <v>2608.8642379608327</v>
      </c>
      <c r="J114" s="158">
        <f t="shared" si="21"/>
        <v>0</v>
      </c>
      <c r="K114" s="158"/>
      <c r="L114" s="334"/>
      <c r="M114" s="158">
        <f t="shared" si="17"/>
        <v>0</v>
      </c>
      <c r="N114" s="334"/>
      <c r="O114" s="158">
        <f t="shared" si="18"/>
        <v>0</v>
      </c>
      <c r="P114" s="158">
        <f t="shared" si="19"/>
        <v>0</v>
      </c>
    </row>
    <row r="115" spans="2:16">
      <c r="B115" s="9" t="str">
        <f t="shared" si="20"/>
        <v/>
      </c>
      <c r="C115" s="153">
        <f>IF(D93="","-",+C114+1)</f>
        <v>2026</v>
      </c>
      <c r="D115" s="154">
        <f>IF(F114+SUM(E$99:E114)=D$92,F114,D$92-SUM(E$99:E114))</f>
        <v>16650.248334871416</v>
      </c>
      <c r="E115" s="160">
        <f t="shared" si="22"/>
        <v>552.76190476190482</v>
      </c>
      <c r="F115" s="159">
        <f t="shared" si="23"/>
        <v>16097.486430109511</v>
      </c>
      <c r="G115" s="159">
        <f t="shared" si="24"/>
        <v>16373.867382490464</v>
      </c>
      <c r="H115" s="163">
        <f t="shared" si="25"/>
        <v>2541.7194436372292</v>
      </c>
      <c r="I115" s="253">
        <f t="shared" si="26"/>
        <v>2541.7194436372292</v>
      </c>
      <c r="J115" s="158">
        <f t="shared" si="21"/>
        <v>0</v>
      </c>
      <c r="K115" s="158"/>
      <c r="L115" s="334"/>
      <c r="M115" s="158">
        <f t="shared" si="17"/>
        <v>0</v>
      </c>
      <c r="N115" s="334"/>
      <c r="O115" s="158">
        <f t="shared" si="18"/>
        <v>0</v>
      </c>
      <c r="P115" s="158">
        <f t="shared" si="19"/>
        <v>0</v>
      </c>
    </row>
    <row r="116" spans="2:16">
      <c r="B116" s="9" t="str">
        <f t="shared" si="20"/>
        <v/>
      </c>
      <c r="C116" s="153">
        <f>IF(D93="","-",+C115+1)</f>
        <v>2027</v>
      </c>
      <c r="D116" s="154">
        <f>IF(F115+SUM(E$99:E115)=D$92,F115,D$92-SUM(E$99:E115))</f>
        <v>16097.486430109511</v>
      </c>
      <c r="E116" s="160">
        <f t="shared" si="22"/>
        <v>552.76190476190482</v>
      </c>
      <c r="F116" s="159">
        <f t="shared" si="23"/>
        <v>15544.724525347607</v>
      </c>
      <c r="G116" s="159">
        <f t="shared" si="24"/>
        <v>15821.105477728559</v>
      </c>
      <c r="H116" s="163">
        <f t="shared" si="25"/>
        <v>2474.5746493136262</v>
      </c>
      <c r="I116" s="253">
        <f t="shared" si="26"/>
        <v>2474.5746493136262</v>
      </c>
      <c r="J116" s="158">
        <f t="shared" si="21"/>
        <v>0</v>
      </c>
      <c r="K116" s="158"/>
      <c r="L116" s="334"/>
      <c r="M116" s="158">
        <f t="shared" si="17"/>
        <v>0</v>
      </c>
      <c r="N116" s="334"/>
      <c r="O116" s="158">
        <f t="shared" si="18"/>
        <v>0</v>
      </c>
      <c r="P116" s="158">
        <f t="shared" si="19"/>
        <v>0</v>
      </c>
    </row>
    <row r="117" spans="2:16">
      <c r="B117" s="9" t="str">
        <f t="shared" si="20"/>
        <v/>
      </c>
      <c r="C117" s="153">
        <f>IF(D93="","-",+C116+1)</f>
        <v>2028</v>
      </c>
      <c r="D117" s="154">
        <f>IF(F116+SUM(E$99:E116)=D$92,F116,D$92-SUM(E$99:E116))</f>
        <v>15544.724525347607</v>
      </c>
      <c r="E117" s="160">
        <f t="shared" si="22"/>
        <v>552.76190476190482</v>
      </c>
      <c r="F117" s="159">
        <f t="shared" si="23"/>
        <v>14991.962620585702</v>
      </c>
      <c r="G117" s="159">
        <f t="shared" si="24"/>
        <v>15268.343572966654</v>
      </c>
      <c r="H117" s="163">
        <f t="shared" si="25"/>
        <v>2407.4298549900232</v>
      </c>
      <c r="I117" s="253">
        <f t="shared" si="26"/>
        <v>2407.4298549900232</v>
      </c>
      <c r="J117" s="158">
        <f t="shared" si="21"/>
        <v>0</v>
      </c>
      <c r="K117" s="158"/>
      <c r="L117" s="334"/>
      <c r="M117" s="158">
        <f t="shared" si="17"/>
        <v>0</v>
      </c>
      <c r="N117" s="334"/>
      <c r="O117" s="158">
        <f t="shared" si="18"/>
        <v>0</v>
      </c>
      <c r="P117" s="158">
        <f t="shared" si="19"/>
        <v>0</v>
      </c>
    </row>
    <row r="118" spans="2:16">
      <c r="B118" s="9" t="str">
        <f t="shared" si="20"/>
        <v/>
      </c>
      <c r="C118" s="153">
        <f>IF(D93="","-",+C117+1)</f>
        <v>2029</v>
      </c>
      <c r="D118" s="154">
        <f>IF(F117+SUM(E$99:E117)=D$92,F117,D$92-SUM(E$99:E117))</f>
        <v>14991.962620585702</v>
      </c>
      <c r="E118" s="160">
        <f t="shared" si="22"/>
        <v>552.76190476190482</v>
      </c>
      <c r="F118" s="159">
        <f t="shared" si="23"/>
        <v>14439.200715823798</v>
      </c>
      <c r="G118" s="159">
        <f t="shared" si="24"/>
        <v>14715.58166820475</v>
      </c>
      <c r="H118" s="163">
        <f t="shared" si="25"/>
        <v>2340.2850606664201</v>
      </c>
      <c r="I118" s="253">
        <f t="shared" si="26"/>
        <v>2340.2850606664201</v>
      </c>
      <c r="J118" s="158">
        <f t="shared" si="21"/>
        <v>0</v>
      </c>
      <c r="K118" s="158"/>
      <c r="L118" s="334"/>
      <c r="M118" s="158">
        <f t="shared" si="17"/>
        <v>0</v>
      </c>
      <c r="N118" s="334"/>
      <c r="O118" s="158">
        <f t="shared" si="18"/>
        <v>0</v>
      </c>
      <c r="P118" s="158">
        <f t="shared" si="19"/>
        <v>0</v>
      </c>
    </row>
    <row r="119" spans="2:16">
      <c r="B119" s="9" t="str">
        <f t="shared" si="20"/>
        <v/>
      </c>
      <c r="C119" s="153">
        <f>IF(D93="","-",+C118+1)</f>
        <v>2030</v>
      </c>
      <c r="D119" s="154">
        <f>IF(F118+SUM(E$99:E118)=D$92,F118,D$92-SUM(E$99:E118))</f>
        <v>14439.200715823798</v>
      </c>
      <c r="E119" s="160">
        <f t="shared" si="22"/>
        <v>552.76190476190482</v>
      </c>
      <c r="F119" s="159">
        <f t="shared" si="23"/>
        <v>13886.438811061893</v>
      </c>
      <c r="G119" s="159">
        <f t="shared" si="24"/>
        <v>14162.819763442845</v>
      </c>
      <c r="H119" s="163">
        <f t="shared" si="25"/>
        <v>2273.1402663428171</v>
      </c>
      <c r="I119" s="253">
        <f t="shared" si="26"/>
        <v>2273.1402663428171</v>
      </c>
      <c r="J119" s="158">
        <f t="shared" si="21"/>
        <v>0</v>
      </c>
      <c r="K119" s="158"/>
      <c r="L119" s="334"/>
      <c r="M119" s="158">
        <f t="shared" si="17"/>
        <v>0</v>
      </c>
      <c r="N119" s="334"/>
      <c r="O119" s="158">
        <f t="shared" si="18"/>
        <v>0</v>
      </c>
      <c r="P119" s="158">
        <f t="shared" si="19"/>
        <v>0</v>
      </c>
    </row>
    <row r="120" spans="2:16">
      <c r="B120" s="9" t="str">
        <f t="shared" si="20"/>
        <v/>
      </c>
      <c r="C120" s="153">
        <f>IF(D93="","-",+C119+1)</f>
        <v>2031</v>
      </c>
      <c r="D120" s="154">
        <f>IF(F119+SUM(E$99:E119)=D$92,F119,D$92-SUM(E$99:E119))</f>
        <v>13886.438811061893</v>
      </c>
      <c r="E120" s="160">
        <f t="shared" si="22"/>
        <v>552.76190476190482</v>
      </c>
      <c r="F120" s="159">
        <f t="shared" si="23"/>
        <v>13333.676906299988</v>
      </c>
      <c r="G120" s="159">
        <f t="shared" si="24"/>
        <v>13610.057858680941</v>
      </c>
      <c r="H120" s="163">
        <f t="shared" si="25"/>
        <v>2205.995472019214</v>
      </c>
      <c r="I120" s="253">
        <f t="shared" si="26"/>
        <v>2205.995472019214</v>
      </c>
      <c r="J120" s="158">
        <f t="shared" si="21"/>
        <v>0</v>
      </c>
      <c r="K120" s="158"/>
      <c r="L120" s="334"/>
      <c r="M120" s="158">
        <f t="shared" si="17"/>
        <v>0</v>
      </c>
      <c r="N120" s="334"/>
      <c r="O120" s="158">
        <f t="shared" si="18"/>
        <v>0</v>
      </c>
      <c r="P120" s="158">
        <f t="shared" si="19"/>
        <v>0</v>
      </c>
    </row>
    <row r="121" spans="2:16">
      <c r="B121" s="9" t="str">
        <f t="shared" si="20"/>
        <v/>
      </c>
      <c r="C121" s="153">
        <f>IF(D93="","-",+C120+1)</f>
        <v>2032</v>
      </c>
      <c r="D121" s="154">
        <f>IF(F120+SUM(E$99:E120)=D$92,F120,D$92-SUM(E$99:E120))</f>
        <v>13333.676906299988</v>
      </c>
      <c r="E121" s="160">
        <f t="shared" si="22"/>
        <v>552.76190476190482</v>
      </c>
      <c r="F121" s="159">
        <f t="shared" si="23"/>
        <v>12780.915001538084</v>
      </c>
      <c r="G121" s="159">
        <f t="shared" si="24"/>
        <v>13057.295953919036</v>
      </c>
      <c r="H121" s="163">
        <f t="shared" si="25"/>
        <v>2138.850677695611</v>
      </c>
      <c r="I121" s="253">
        <f t="shared" si="26"/>
        <v>2138.850677695611</v>
      </c>
      <c r="J121" s="158">
        <f t="shared" si="21"/>
        <v>0</v>
      </c>
      <c r="K121" s="158"/>
      <c r="L121" s="334"/>
      <c r="M121" s="158">
        <f t="shared" si="17"/>
        <v>0</v>
      </c>
      <c r="N121" s="334"/>
      <c r="O121" s="158">
        <f t="shared" si="18"/>
        <v>0</v>
      </c>
      <c r="P121" s="158">
        <f t="shared" si="19"/>
        <v>0</v>
      </c>
    </row>
    <row r="122" spans="2:16">
      <c r="B122" s="9" t="str">
        <f t="shared" si="20"/>
        <v/>
      </c>
      <c r="C122" s="153">
        <f>IF(D93="","-",+C121+1)</f>
        <v>2033</v>
      </c>
      <c r="D122" s="154">
        <f>IF(F121+SUM(E$99:E121)=D$92,F121,D$92-SUM(E$99:E121))</f>
        <v>12780.915001538084</v>
      </c>
      <c r="E122" s="160">
        <f t="shared" si="22"/>
        <v>552.76190476190482</v>
      </c>
      <c r="F122" s="159">
        <f t="shared" si="23"/>
        <v>12228.153096776179</v>
      </c>
      <c r="G122" s="159">
        <f t="shared" si="24"/>
        <v>12504.534049157131</v>
      </c>
      <c r="H122" s="163">
        <f t="shared" si="25"/>
        <v>2071.7058833720084</v>
      </c>
      <c r="I122" s="253">
        <f t="shared" si="26"/>
        <v>2071.7058833720084</v>
      </c>
      <c r="J122" s="158">
        <f t="shared" si="21"/>
        <v>0</v>
      </c>
      <c r="K122" s="158"/>
      <c r="L122" s="334"/>
      <c r="M122" s="158">
        <f t="shared" si="17"/>
        <v>0</v>
      </c>
      <c r="N122" s="334"/>
      <c r="O122" s="158">
        <f t="shared" si="18"/>
        <v>0</v>
      </c>
      <c r="P122" s="158">
        <f t="shared" si="19"/>
        <v>0</v>
      </c>
    </row>
    <row r="123" spans="2:16">
      <c r="B123" s="9" t="str">
        <f t="shared" si="20"/>
        <v/>
      </c>
      <c r="C123" s="153">
        <f>IF(D93="","-",+C122+1)</f>
        <v>2034</v>
      </c>
      <c r="D123" s="154">
        <f>IF(F122+SUM(E$99:E122)=D$92,F122,D$92-SUM(E$99:E122))</f>
        <v>12228.153096776179</v>
      </c>
      <c r="E123" s="160">
        <f t="shared" si="22"/>
        <v>552.76190476190482</v>
      </c>
      <c r="F123" s="159">
        <f t="shared" si="23"/>
        <v>11675.391192014275</v>
      </c>
      <c r="G123" s="159">
        <f t="shared" si="24"/>
        <v>11951.772144395227</v>
      </c>
      <c r="H123" s="163">
        <f t="shared" si="25"/>
        <v>2004.5610890484052</v>
      </c>
      <c r="I123" s="253">
        <f t="shared" si="26"/>
        <v>2004.5610890484052</v>
      </c>
      <c r="J123" s="158">
        <f t="shared" si="21"/>
        <v>0</v>
      </c>
      <c r="K123" s="158"/>
      <c r="L123" s="334"/>
      <c r="M123" s="158">
        <f t="shared" si="17"/>
        <v>0</v>
      </c>
      <c r="N123" s="334"/>
      <c r="O123" s="158">
        <f t="shared" si="18"/>
        <v>0</v>
      </c>
      <c r="P123" s="158">
        <f t="shared" si="19"/>
        <v>0</v>
      </c>
    </row>
    <row r="124" spans="2:16">
      <c r="B124" s="9" t="str">
        <f t="shared" si="20"/>
        <v/>
      </c>
      <c r="C124" s="153">
        <f>IF(D93="","-",+C123+1)</f>
        <v>2035</v>
      </c>
      <c r="D124" s="154">
        <f>IF(F123+SUM(E$99:E123)=D$92,F123,D$92-SUM(E$99:E123))</f>
        <v>11675.391192014275</v>
      </c>
      <c r="E124" s="160">
        <f t="shared" si="22"/>
        <v>552.76190476190482</v>
      </c>
      <c r="F124" s="159">
        <f t="shared" si="23"/>
        <v>11122.62928725237</v>
      </c>
      <c r="G124" s="159">
        <f t="shared" si="24"/>
        <v>11399.010239633322</v>
      </c>
      <c r="H124" s="163">
        <f t="shared" si="25"/>
        <v>1937.4162947248021</v>
      </c>
      <c r="I124" s="253">
        <f t="shared" si="26"/>
        <v>1937.4162947248021</v>
      </c>
      <c r="J124" s="158">
        <f t="shared" si="21"/>
        <v>0</v>
      </c>
      <c r="K124" s="158"/>
      <c r="L124" s="334"/>
      <c r="M124" s="158">
        <f t="shared" si="17"/>
        <v>0</v>
      </c>
      <c r="N124" s="334"/>
      <c r="O124" s="158">
        <f t="shared" si="18"/>
        <v>0</v>
      </c>
      <c r="P124" s="158">
        <f t="shared" si="19"/>
        <v>0</v>
      </c>
    </row>
    <row r="125" spans="2:16">
      <c r="B125" s="9" t="str">
        <f t="shared" si="20"/>
        <v/>
      </c>
      <c r="C125" s="153">
        <f>IF(D93="","-",+C124+1)</f>
        <v>2036</v>
      </c>
      <c r="D125" s="154">
        <f>IF(F124+SUM(E$99:E124)=D$92,F124,D$92-SUM(E$99:E124))</f>
        <v>11122.62928725237</v>
      </c>
      <c r="E125" s="160">
        <f t="shared" si="22"/>
        <v>552.76190476190482</v>
      </c>
      <c r="F125" s="159">
        <f t="shared" si="23"/>
        <v>10569.867382490465</v>
      </c>
      <c r="G125" s="159">
        <f t="shared" si="24"/>
        <v>10846.248334871418</v>
      </c>
      <c r="H125" s="163">
        <f t="shared" si="25"/>
        <v>1870.2715004011991</v>
      </c>
      <c r="I125" s="253">
        <f t="shared" si="26"/>
        <v>1870.2715004011991</v>
      </c>
      <c r="J125" s="158">
        <f t="shared" si="21"/>
        <v>0</v>
      </c>
      <c r="K125" s="158"/>
      <c r="L125" s="334"/>
      <c r="M125" s="158">
        <f t="shared" si="17"/>
        <v>0</v>
      </c>
      <c r="N125" s="334"/>
      <c r="O125" s="158">
        <f t="shared" si="18"/>
        <v>0</v>
      </c>
      <c r="P125" s="158">
        <f t="shared" si="19"/>
        <v>0</v>
      </c>
    </row>
    <row r="126" spans="2:16">
      <c r="B126" s="9" t="str">
        <f t="shared" si="20"/>
        <v/>
      </c>
      <c r="C126" s="153">
        <f>IF(D93="","-",+C125+1)</f>
        <v>2037</v>
      </c>
      <c r="D126" s="154">
        <f>IF(F125+SUM(E$99:E125)=D$92,F125,D$92-SUM(E$99:E125))</f>
        <v>10569.867382490465</v>
      </c>
      <c r="E126" s="160">
        <f t="shared" si="22"/>
        <v>552.76190476190482</v>
      </c>
      <c r="F126" s="159">
        <f t="shared" si="23"/>
        <v>10017.105477728561</v>
      </c>
      <c r="G126" s="159">
        <f t="shared" si="24"/>
        <v>10293.486430109513</v>
      </c>
      <c r="H126" s="163">
        <f t="shared" si="25"/>
        <v>1803.1267060775961</v>
      </c>
      <c r="I126" s="253">
        <f t="shared" si="26"/>
        <v>1803.1267060775961</v>
      </c>
      <c r="J126" s="158">
        <f t="shared" si="21"/>
        <v>0</v>
      </c>
      <c r="K126" s="158"/>
      <c r="L126" s="334"/>
      <c r="M126" s="158">
        <f t="shared" si="17"/>
        <v>0</v>
      </c>
      <c r="N126" s="334"/>
      <c r="O126" s="158">
        <f t="shared" si="18"/>
        <v>0</v>
      </c>
      <c r="P126" s="158">
        <f t="shared" si="19"/>
        <v>0</v>
      </c>
    </row>
    <row r="127" spans="2:16">
      <c r="B127" s="9" t="str">
        <f t="shared" si="20"/>
        <v/>
      </c>
      <c r="C127" s="153">
        <f>IF(D93="","-",+C126+1)</f>
        <v>2038</v>
      </c>
      <c r="D127" s="154">
        <f>IF(F126+SUM(E$99:E126)=D$92,F126,D$92-SUM(E$99:E126))</f>
        <v>10017.105477728561</v>
      </c>
      <c r="E127" s="160">
        <f t="shared" si="22"/>
        <v>552.76190476190482</v>
      </c>
      <c r="F127" s="159">
        <f t="shared" si="23"/>
        <v>9464.3435729666562</v>
      </c>
      <c r="G127" s="159">
        <f t="shared" si="24"/>
        <v>9740.7245253476085</v>
      </c>
      <c r="H127" s="163">
        <f t="shared" si="25"/>
        <v>1735.981911753993</v>
      </c>
      <c r="I127" s="253">
        <f t="shared" si="26"/>
        <v>1735.981911753993</v>
      </c>
      <c r="J127" s="158">
        <f t="shared" si="21"/>
        <v>0</v>
      </c>
      <c r="K127" s="158"/>
      <c r="L127" s="334"/>
      <c r="M127" s="158">
        <f t="shared" si="17"/>
        <v>0</v>
      </c>
      <c r="N127" s="334"/>
      <c r="O127" s="158">
        <f t="shared" si="18"/>
        <v>0</v>
      </c>
      <c r="P127" s="158">
        <f t="shared" si="19"/>
        <v>0</v>
      </c>
    </row>
    <row r="128" spans="2:16">
      <c r="B128" s="9" t="str">
        <f t="shared" si="20"/>
        <v/>
      </c>
      <c r="C128" s="153">
        <f>IF(D93="","-",+C127+1)</f>
        <v>2039</v>
      </c>
      <c r="D128" s="154">
        <f>IF(F127+SUM(E$99:E127)=D$92,F127,D$92-SUM(E$99:E127))</f>
        <v>9464.3435729666562</v>
      </c>
      <c r="E128" s="160">
        <f t="shared" si="22"/>
        <v>552.76190476190482</v>
      </c>
      <c r="F128" s="159">
        <f t="shared" si="23"/>
        <v>8911.5816682047516</v>
      </c>
      <c r="G128" s="159">
        <f t="shared" si="24"/>
        <v>9187.9626205857039</v>
      </c>
      <c r="H128" s="163">
        <f t="shared" si="25"/>
        <v>1668.83711743039</v>
      </c>
      <c r="I128" s="253">
        <f t="shared" si="26"/>
        <v>1668.83711743039</v>
      </c>
      <c r="J128" s="158">
        <f t="shared" si="21"/>
        <v>0</v>
      </c>
      <c r="K128" s="158"/>
      <c r="L128" s="334"/>
      <c r="M128" s="158">
        <f t="shared" si="17"/>
        <v>0</v>
      </c>
      <c r="N128" s="334"/>
      <c r="O128" s="158">
        <f t="shared" si="18"/>
        <v>0</v>
      </c>
      <c r="P128" s="158">
        <f t="shared" si="19"/>
        <v>0</v>
      </c>
    </row>
    <row r="129" spans="2:16">
      <c r="B129" s="9" t="str">
        <f t="shared" si="20"/>
        <v/>
      </c>
      <c r="C129" s="153">
        <f>IF(D93="","-",+C128+1)</f>
        <v>2040</v>
      </c>
      <c r="D129" s="154">
        <f>IF(F128+SUM(E$99:E128)=D$92,F128,D$92-SUM(E$99:E128))</f>
        <v>8911.5816682047516</v>
      </c>
      <c r="E129" s="160">
        <f t="shared" si="22"/>
        <v>552.76190476190482</v>
      </c>
      <c r="F129" s="159">
        <f t="shared" si="23"/>
        <v>8358.819763442847</v>
      </c>
      <c r="G129" s="159">
        <f t="shared" si="24"/>
        <v>8635.2007158237993</v>
      </c>
      <c r="H129" s="163">
        <f t="shared" si="25"/>
        <v>1601.6923231067869</v>
      </c>
      <c r="I129" s="253">
        <f t="shared" si="26"/>
        <v>1601.6923231067869</v>
      </c>
      <c r="J129" s="158">
        <f t="shared" si="21"/>
        <v>0</v>
      </c>
      <c r="K129" s="158"/>
      <c r="L129" s="334"/>
      <c r="M129" s="158">
        <f t="shared" si="17"/>
        <v>0</v>
      </c>
      <c r="N129" s="334"/>
      <c r="O129" s="158">
        <f t="shared" si="18"/>
        <v>0</v>
      </c>
      <c r="P129" s="158">
        <f t="shared" si="19"/>
        <v>0</v>
      </c>
    </row>
    <row r="130" spans="2:16">
      <c r="B130" s="9" t="str">
        <f t="shared" si="20"/>
        <v/>
      </c>
      <c r="C130" s="153">
        <f>IF(D93="","-",+C129+1)</f>
        <v>2041</v>
      </c>
      <c r="D130" s="154">
        <f>IF(F129+SUM(E$99:E129)=D$92,F129,D$92-SUM(E$99:E129))</f>
        <v>8358.819763442847</v>
      </c>
      <c r="E130" s="160">
        <f t="shared" si="22"/>
        <v>552.76190476190482</v>
      </c>
      <c r="F130" s="159">
        <f t="shared" si="23"/>
        <v>7806.0578586809424</v>
      </c>
      <c r="G130" s="159">
        <f t="shared" si="24"/>
        <v>8082.4388110618947</v>
      </c>
      <c r="H130" s="163">
        <f t="shared" si="25"/>
        <v>1534.5475287831841</v>
      </c>
      <c r="I130" s="253">
        <f t="shared" si="26"/>
        <v>1534.5475287831841</v>
      </c>
      <c r="J130" s="158">
        <f t="shared" si="21"/>
        <v>0</v>
      </c>
      <c r="K130" s="158"/>
      <c r="L130" s="334"/>
      <c r="M130" s="158">
        <f t="shared" si="17"/>
        <v>0</v>
      </c>
      <c r="N130" s="334"/>
      <c r="O130" s="158">
        <f t="shared" si="18"/>
        <v>0</v>
      </c>
      <c r="P130" s="158">
        <f t="shared" si="19"/>
        <v>0</v>
      </c>
    </row>
    <row r="131" spans="2:16">
      <c r="B131" s="9" t="str">
        <f t="shared" si="20"/>
        <v/>
      </c>
      <c r="C131" s="153">
        <f>IF(D93="","-",+C130+1)</f>
        <v>2042</v>
      </c>
      <c r="D131" s="154">
        <f>IF(F130+SUM(E$99:E130)=D$92,F130,D$92-SUM(E$99:E130))</f>
        <v>7806.0578586809424</v>
      </c>
      <c r="E131" s="160">
        <f t="shared" si="22"/>
        <v>552.76190476190482</v>
      </c>
      <c r="F131" s="159">
        <f t="shared" si="23"/>
        <v>7253.2959539190379</v>
      </c>
      <c r="G131" s="159">
        <f t="shared" si="24"/>
        <v>7529.6769062999902</v>
      </c>
      <c r="H131" s="163">
        <f t="shared" si="25"/>
        <v>1467.4027344595811</v>
      </c>
      <c r="I131" s="253">
        <f t="shared" si="26"/>
        <v>1467.4027344595811</v>
      </c>
      <c r="J131" s="158">
        <f t="shared" si="21"/>
        <v>0</v>
      </c>
      <c r="K131" s="158"/>
      <c r="L131" s="334"/>
      <c r="M131" s="158">
        <f t="shared" ref="M131:M154" si="27">IF(L541&lt;&gt;0,+H541-L541,0)</f>
        <v>0</v>
      </c>
      <c r="N131" s="334"/>
      <c r="O131" s="158">
        <f t="shared" ref="O131:O154" si="28">IF(N541&lt;&gt;0,+I541-N541,0)</f>
        <v>0</v>
      </c>
      <c r="P131" s="158">
        <f t="shared" ref="P131:P154" si="29">+O541-M541</f>
        <v>0</v>
      </c>
    </row>
    <row r="132" spans="2:16">
      <c r="B132" s="9" t="str">
        <f t="shared" si="20"/>
        <v/>
      </c>
      <c r="C132" s="153">
        <f>IF(D93="","-",+C131+1)</f>
        <v>2043</v>
      </c>
      <c r="D132" s="154">
        <f>IF(F131+SUM(E$99:E131)=D$92,F131,D$92-SUM(E$99:E131))</f>
        <v>7253.2959539190379</v>
      </c>
      <c r="E132" s="160">
        <f t="shared" si="22"/>
        <v>552.76190476190482</v>
      </c>
      <c r="F132" s="159">
        <f t="shared" si="23"/>
        <v>6700.5340491571333</v>
      </c>
      <c r="G132" s="159">
        <f t="shared" si="24"/>
        <v>6976.9150015380856</v>
      </c>
      <c r="H132" s="163">
        <f t="shared" si="25"/>
        <v>1400.2579401359781</v>
      </c>
      <c r="I132" s="253">
        <f t="shared" si="26"/>
        <v>1400.2579401359781</v>
      </c>
      <c r="J132" s="158">
        <f t="shared" si="21"/>
        <v>0</v>
      </c>
      <c r="K132" s="158"/>
      <c r="L132" s="334"/>
      <c r="M132" s="158">
        <f t="shared" si="27"/>
        <v>0</v>
      </c>
      <c r="N132" s="334"/>
      <c r="O132" s="158">
        <f t="shared" si="28"/>
        <v>0</v>
      </c>
      <c r="P132" s="158">
        <f t="shared" si="29"/>
        <v>0</v>
      </c>
    </row>
    <row r="133" spans="2:16">
      <c r="B133" s="9" t="str">
        <f t="shared" si="20"/>
        <v/>
      </c>
      <c r="C133" s="153">
        <f>IF(D93="","-",+C132+1)</f>
        <v>2044</v>
      </c>
      <c r="D133" s="154">
        <f>IF(F132+SUM(E$99:E132)=D$92,F132,D$92-SUM(E$99:E132))</f>
        <v>6700.5340491571333</v>
      </c>
      <c r="E133" s="160">
        <f t="shared" si="22"/>
        <v>552.76190476190482</v>
      </c>
      <c r="F133" s="159">
        <f t="shared" si="23"/>
        <v>6147.7721443952287</v>
      </c>
      <c r="G133" s="159">
        <f t="shared" si="24"/>
        <v>6424.153096776181</v>
      </c>
      <c r="H133" s="163">
        <f t="shared" si="25"/>
        <v>1333.113145812375</v>
      </c>
      <c r="I133" s="253">
        <f t="shared" si="26"/>
        <v>1333.113145812375</v>
      </c>
      <c r="J133" s="158">
        <f t="shared" si="21"/>
        <v>0</v>
      </c>
      <c r="K133" s="158"/>
      <c r="L133" s="334"/>
      <c r="M133" s="158">
        <f t="shared" si="27"/>
        <v>0</v>
      </c>
      <c r="N133" s="334"/>
      <c r="O133" s="158">
        <f t="shared" si="28"/>
        <v>0</v>
      </c>
      <c r="P133" s="158">
        <f t="shared" si="29"/>
        <v>0</v>
      </c>
    </row>
    <row r="134" spans="2:16">
      <c r="B134" s="9" t="str">
        <f t="shared" si="20"/>
        <v/>
      </c>
      <c r="C134" s="153">
        <f>IF(D93="","-",+C133+1)</f>
        <v>2045</v>
      </c>
      <c r="D134" s="154">
        <f>IF(F133+SUM(E$99:E133)=D$92,F133,D$92-SUM(E$99:E133))</f>
        <v>6147.7721443952287</v>
      </c>
      <c r="E134" s="160">
        <f t="shared" si="22"/>
        <v>552.76190476190482</v>
      </c>
      <c r="F134" s="159">
        <f t="shared" si="23"/>
        <v>5595.0102396333241</v>
      </c>
      <c r="G134" s="159">
        <f t="shared" si="24"/>
        <v>5871.3911920142764</v>
      </c>
      <c r="H134" s="163">
        <f t="shared" si="25"/>
        <v>1265.968351488772</v>
      </c>
      <c r="I134" s="253">
        <f t="shared" si="26"/>
        <v>1265.968351488772</v>
      </c>
      <c r="J134" s="158">
        <f t="shared" si="21"/>
        <v>0</v>
      </c>
      <c r="K134" s="158"/>
      <c r="L134" s="334"/>
      <c r="M134" s="158">
        <f t="shared" si="27"/>
        <v>0</v>
      </c>
      <c r="N134" s="334"/>
      <c r="O134" s="158">
        <f t="shared" si="28"/>
        <v>0</v>
      </c>
      <c r="P134" s="158">
        <f t="shared" si="29"/>
        <v>0</v>
      </c>
    </row>
    <row r="135" spans="2:16">
      <c r="B135" s="9" t="str">
        <f t="shared" si="20"/>
        <v/>
      </c>
      <c r="C135" s="153">
        <f>IF(D93="","-",+C134+1)</f>
        <v>2046</v>
      </c>
      <c r="D135" s="154">
        <f>IF(F134+SUM(E$99:E134)=D$92,F134,D$92-SUM(E$99:E134))</f>
        <v>5595.0102396333241</v>
      </c>
      <c r="E135" s="160">
        <f t="shared" si="22"/>
        <v>552.76190476190482</v>
      </c>
      <c r="F135" s="159">
        <f t="shared" si="23"/>
        <v>5042.2483348714195</v>
      </c>
      <c r="G135" s="159">
        <f t="shared" si="24"/>
        <v>5318.6292872523718</v>
      </c>
      <c r="H135" s="163">
        <f t="shared" si="25"/>
        <v>1198.8235571651689</v>
      </c>
      <c r="I135" s="253">
        <f t="shared" si="26"/>
        <v>1198.8235571651689</v>
      </c>
      <c r="J135" s="158">
        <f t="shared" si="21"/>
        <v>0</v>
      </c>
      <c r="K135" s="158"/>
      <c r="L135" s="334"/>
      <c r="M135" s="158">
        <f t="shared" si="27"/>
        <v>0</v>
      </c>
      <c r="N135" s="334"/>
      <c r="O135" s="158">
        <f t="shared" si="28"/>
        <v>0</v>
      </c>
      <c r="P135" s="158">
        <f t="shared" si="29"/>
        <v>0</v>
      </c>
    </row>
    <row r="136" spans="2:16">
      <c r="B136" s="9" t="str">
        <f t="shared" si="20"/>
        <v/>
      </c>
      <c r="C136" s="153">
        <f>IF(D93="","-",+C135+1)</f>
        <v>2047</v>
      </c>
      <c r="D136" s="154">
        <f>IF(F135+SUM(E$99:E135)=D$92,F135,D$92-SUM(E$99:E135))</f>
        <v>5042.2483348714195</v>
      </c>
      <c r="E136" s="160">
        <f t="shared" si="22"/>
        <v>552.76190476190482</v>
      </c>
      <c r="F136" s="159">
        <f t="shared" si="23"/>
        <v>4489.4864301095149</v>
      </c>
      <c r="G136" s="159">
        <f t="shared" si="24"/>
        <v>4765.8673824904672</v>
      </c>
      <c r="H136" s="163">
        <f t="shared" si="25"/>
        <v>1131.6787628415659</v>
      </c>
      <c r="I136" s="253">
        <f t="shared" si="26"/>
        <v>1131.6787628415659</v>
      </c>
      <c r="J136" s="158">
        <f t="shared" si="21"/>
        <v>0</v>
      </c>
      <c r="K136" s="158"/>
      <c r="L136" s="334"/>
      <c r="M136" s="158">
        <f t="shared" si="27"/>
        <v>0</v>
      </c>
      <c r="N136" s="334"/>
      <c r="O136" s="158">
        <f t="shared" si="28"/>
        <v>0</v>
      </c>
      <c r="P136" s="158">
        <f t="shared" si="29"/>
        <v>0</v>
      </c>
    </row>
    <row r="137" spans="2:16">
      <c r="B137" s="9" t="str">
        <f t="shared" si="20"/>
        <v/>
      </c>
      <c r="C137" s="153">
        <f>IF(D93="","-",+C136+1)</f>
        <v>2048</v>
      </c>
      <c r="D137" s="154">
        <f>IF(F136+SUM(E$99:E136)=D$92,F136,D$92-SUM(E$99:E136))</f>
        <v>4489.4864301095149</v>
      </c>
      <c r="E137" s="160">
        <f t="shared" si="22"/>
        <v>552.76190476190482</v>
      </c>
      <c r="F137" s="159">
        <f t="shared" si="23"/>
        <v>3936.7245253476103</v>
      </c>
      <c r="G137" s="159">
        <f t="shared" si="24"/>
        <v>4213.1054777285626</v>
      </c>
      <c r="H137" s="163">
        <f t="shared" si="25"/>
        <v>1064.5339685179629</v>
      </c>
      <c r="I137" s="253">
        <f t="shared" si="26"/>
        <v>1064.5339685179629</v>
      </c>
      <c r="J137" s="158">
        <f t="shared" si="21"/>
        <v>0</v>
      </c>
      <c r="K137" s="158"/>
      <c r="L137" s="334"/>
      <c r="M137" s="158">
        <f t="shared" si="27"/>
        <v>0</v>
      </c>
      <c r="N137" s="334"/>
      <c r="O137" s="158">
        <f t="shared" si="28"/>
        <v>0</v>
      </c>
      <c r="P137" s="158">
        <f t="shared" si="29"/>
        <v>0</v>
      </c>
    </row>
    <row r="138" spans="2:16">
      <c r="B138" s="9" t="str">
        <f t="shared" si="20"/>
        <v/>
      </c>
      <c r="C138" s="153">
        <f>IF(D93="","-",+C137+1)</f>
        <v>2049</v>
      </c>
      <c r="D138" s="154">
        <f>IF(F137+SUM(E$99:E137)=D$92,F137,D$92-SUM(E$99:E137))</f>
        <v>3936.7245253476103</v>
      </c>
      <c r="E138" s="160">
        <f t="shared" si="22"/>
        <v>552.76190476190482</v>
      </c>
      <c r="F138" s="159">
        <f t="shared" si="23"/>
        <v>3383.9626205857057</v>
      </c>
      <c r="G138" s="159">
        <f t="shared" si="24"/>
        <v>3660.343572966658</v>
      </c>
      <c r="H138" s="163">
        <f t="shared" si="25"/>
        <v>997.38917419435984</v>
      </c>
      <c r="I138" s="253">
        <f t="shared" si="26"/>
        <v>997.38917419435984</v>
      </c>
      <c r="J138" s="158">
        <f t="shared" si="21"/>
        <v>0</v>
      </c>
      <c r="K138" s="158"/>
      <c r="L138" s="334"/>
      <c r="M138" s="158">
        <f t="shared" si="27"/>
        <v>0</v>
      </c>
      <c r="N138" s="334"/>
      <c r="O138" s="158">
        <f t="shared" si="28"/>
        <v>0</v>
      </c>
      <c r="P138" s="158">
        <f t="shared" si="29"/>
        <v>0</v>
      </c>
    </row>
    <row r="139" spans="2:16">
      <c r="B139" s="9" t="str">
        <f t="shared" si="20"/>
        <v/>
      </c>
      <c r="C139" s="153">
        <f>IF(D93="","-",+C138+1)</f>
        <v>2050</v>
      </c>
      <c r="D139" s="154">
        <f>IF(F138+SUM(E$99:E138)=D$92,F138,D$92-SUM(E$99:E138))</f>
        <v>3383.9626205857057</v>
      </c>
      <c r="E139" s="160">
        <f t="shared" si="22"/>
        <v>552.76190476190482</v>
      </c>
      <c r="F139" s="159">
        <f t="shared" si="23"/>
        <v>2831.2007158238011</v>
      </c>
      <c r="G139" s="159">
        <f t="shared" si="24"/>
        <v>3107.5816682047534</v>
      </c>
      <c r="H139" s="163">
        <f t="shared" si="25"/>
        <v>930.24437987075692</v>
      </c>
      <c r="I139" s="253">
        <f t="shared" si="26"/>
        <v>930.24437987075692</v>
      </c>
      <c r="J139" s="158">
        <f t="shared" si="21"/>
        <v>0</v>
      </c>
      <c r="K139" s="158"/>
      <c r="L139" s="334"/>
      <c r="M139" s="158">
        <f t="shared" si="27"/>
        <v>0</v>
      </c>
      <c r="N139" s="334"/>
      <c r="O139" s="158">
        <f t="shared" si="28"/>
        <v>0</v>
      </c>
      <c r="P139" s="158">
        <f t="shared" si="29"/>
        <v>0</v>
      </c>
    </row>
    <row r="140" spans="2:16">
      <c r="B140" s="9" t="str">
        <f t="shared" si="20"/>
        <v/>
      </c>
      <c r="C140" s="153">
        <f>IF(D93="","-",+C139+1)</f>
        <v>2051</v>
      </c>
      <c r="D140" s="154">
        <f>IF(F139+SUM(E$99:E139)=D$92,F139,D$92-SUM(E$99:E139))</f>
        <v>2831.2007158238011</v>
      </c>
      <c r="E140" s="160">
        <f t="shared" si="22"/>
        <v>552.76190476190482</v>
      </c>
      <c r="F140" s="159">
        <f t="shared" si="23"/>
        <v>2278.4388110618966</v>
      </c>
      <c r="G140" s="159">
        <f t="shared" si="24"/>
        <v>2554.8197634428489</v>
      </c>
      <c r="H140" s="163">
        <f t="shared" si="25"/>
        <v>863.09958554715388</v>
      </c>
      <c r="I140" s="253">
        <f t="shared" si="26"/>
        <v>863.09958554715388</v>
      </c>
      <c r="J140" s="158">
        <f t="shared" si="21"/>
        <v>0</v>
      </c>
      <c r="K140" s="158"/>
      <c r="L140" s="334"/>
      <c r="M140" s="158">
        <f t="shared" si="27"/>
        <v>0</v>
      </c>
      <c r="N140" s="334"/>
      <c r="O140" s="158">
        <f t="shared" si="28"/>
        <v>0</v>
      </c>
      <c r="P140" s="158">
        <f t="shared" si="29"/>
        <v>0</v>
      </c>
    </row>
    <row r="141" spans="2:16">
      <c r="B141" s="9" t="str">
        <f t="shared" si="20"/>
        <v/>
      </c>
      <c r="C141" s="153">
        <f>IF(D93="","-",+C140+1)</f>
        <v>2052</v>
      </c>
      <c r="D141" s="154">
        <f>IF(F140+SUM(E$99:E140)=D$92,F140,D$92-SUM(E$99:E140))</f>
        <v>2278.4388110618966</v>
      </c>
      <c r="E141" s="160">
        <f t="shared" si="22"/>
        <v>552.76190476190482</v>
      </c>
      <c r="F141" s="159">
        <f t="shared" si="23"/>
        <v>1725.6769062999917</v>
      </c>
      <c r="G141" s="159">
        <f t="shared" si="24"/>
        <v>2002.0578586809443</v>
      </c>
      <c r="H141" s="163">
        <f t="shared" si="25"/>
        <v>795.95479122355084</v>
      </c>
      <c r="I141" s="253">
        <f t="shared" si="26"/>
        <v>795.95479122355084</v>
      </c>
      <c r="J141" s="158">
        <f t="shared" si="21"/>
        <v>0</v>
      </c>
      <c r="K141" s="158"/>
      <c r="L141" s="334"/>
      <c r="M141" s="158">
        <f t="shared" si="27"/>
        <v>0</v>
      </c>
      <c r="N141" s="334"/>
      <c r="O141" s="158">
        <f t="shared" si="28"/>
        <v>0</v>
      </c>
      <c r="P141" s="158">
        <f t="shared" si="29"/>
        <v>0</v>
      </c>
    </row>
    <row r="142" spans="2:16">
      <c r="B142" s="9" t="str">
        <f t="shared" si="20"/>
        <v/>
      </c>
      <c r="C142" s="153">
        <f>IF(D93="","-",+C141+1)</f>
        <v>2053</v>
      </c>
      <c r="D142" s="154">
        <f>IF(F141+SUM(E$99:E141)=D$92,F141,D$92-SUM(E$99:E141))</f>
        <v>1725.6769062999917</v>
      </c>
      <c r="E142" s="160">
        <f t="shared" si="22"/>
        <v>552.76190476190482</v>
      </c>
      <c r="F142" s="159">
        <f t="shared" si="23"/>
        <v>1172.9150015380869</v>
      </c>
      <c r="G142" s="159">
        <f t="shared" si="24"/>
        <v>1449.2959539190392</v>
      </c>
      <c r="H142" s="163">
        <f t="shared" si="25"/>
        <v>728.80999689994781</v>
      </c>
      <c r="I142" s="253">
        <f t="shared" si="26"/>
        <v>728.80999689994781</v>
      </c>
      <c r="J142" s="158">
        <f t="shared" si="21"/>
        <v>0</v>
      </c>
      <c r="K142" s="158"/>
      <c r="L142" s="334"/>
      <c r="M142" s="158">
        <f t="shared" si="27"/>
        <v>0</v>
      </c>
      <c r="N142" s="334"/>
      <c r="O142" s="158">
        <f t="shared" si="28"/>
        <v>0</v>
      </c>
      <c r="P142" s="158">
        <f t="shared" si="29"/>
        <v>0</v>
      </c>
    </row>
    <row r="143" spans="2:16">
      <c r="B143" s="9" t="str">
        <f t="shared" si="20"/>
        <v/>
      </c>
      <c r="C143" s="153">
        <f>IF(D93="","-",+C142+1)</f>
        <v>2054</v>
      </c>
      <c r="D143" s="154">
        <f>IF(F142+SUM(E$99:E142)=D$92,F142,D$92-SUM(E$99:E142))</f>
        <v>1172.9150015380869</v>
      </c>
      <c r="E143" s="160">
        <f t="shared" si="22"/>
        <v>552.76190476190482</v>
      </c>
      <c r="F143" s="159">
        <f t="shared" si="23"/>
        <v>620.15309677618211</v>
      </c>
      <c r="G143" s="159">
        <f t="shared" si="24"/>
        <v>896.53404915713452</v>
      </c>
      <c r="H143" s="163">
        <f t="shared" si="25"/>
        <v>661.66520257634477</v>
      </c>
      <c r="I143" s="253">
        <f t="shared" si="26"/>
        <v>661.66520257634477</v>
      </c>
      <c r="J143" s="158">
        <f t="shared" si="21"/>
        <v>0</v>
      </c>
      <c r="K143" s="158"/>
      <c r="L143" s="334"/>
      <c r="M143" s="158">
        <f t="shared" si="27"/>
        <v>0</v>
      </c>
      <c r="N143" s="334"/>
      <c r="O143" s="158">
        <f t="shared" si="28"/>
        <v>0</v>
      </c>
      <c r="P143" s="158">
        <f t="shared" si="29"/>
        <v>0</v>
      </c>
    </row>
    <row r="144" spans="2:16">
      <c r="B144" s="9" t="str">
        <f t="shared" si="20"/>
        <v/>
      </c>
      <c r="C144" s="153">
        <f>IF(D93="","-",+C143+1)</f>
        <v>2055</v>
      </c>
      <c r="D144" s="154">
        <f>IF(F143+SUM(E$99:E143)=D$92,F143,D$92-SUM(E$99:E143))</f>
        <v>620.15309677618211</v>
      </c>
      <c r="E144" s="160">
        <f t="shared" si="22"/>
        <v>552.76190476190482</v>
      </c>
      <c r="F144" s="159">
        <f t="shared" si="23"/>
        <v>67.391192014277294</v>
      </c>
      <c r="G144" s="159">
        <f t="shared" si="24"/>
        <v>343.7721443952297</v>
      </c>
      <c r="H144" s="163">
        <f t="shared" si="25"/>
        <v>594.52040825274173</v>
      </c>
      <c r="I144" s="253">
        <f t="shared" si="26"/>
        <v>594.52040825274173</v>
      </c>
      <c r="J144" s="158">
        <f t="shared" si="21"/>
        <v>0</v>
      </c>
      <c r="K144" s="158"/>
      <c r="L144" s="334"/>
      <c r="M144" s="158">
        <f t="shared" si="27"/>
        <v>0</v>
      </c>
      <c r="N144" s="334"/>
      <c r="O144" s="158">
        <f t="shared" si="28"/>
        <v>0</v>
      </c>
      <c r="P144" s="158">
        <f t="shared" si="29"/>
        <v>0</v>
      </c>
    </row>
    <row r="145" spans="2:16">
      <c r="B145" s="9" t="str">
        <f t="shared" si="20"/>
        <v/>
      </c>
      <c r="C145" s="153">
        <f>IF(D93="","-",+C144+1)</f>
        <v>2056</v>
      </c>
      <c r="D145" s="154">
        <f>IF(F144+SUM(E$99:E144)=D$92,F144,D$92-SUM(E$99:E144))</f>
        <v>67.391192014277294</v>
      </c>
      <c r="E145" s="160">
        <f t="shared" si="22"/>
        <v>67.391192014277294</v>
      </c>
      <c r="F145" s="159">
        <f t="shared" si="23"/>
        <v>0</v>
      </c>
      <c r="G145" s="159">
        <f t="shared" si="24"/>
        <v>33.695596007138647</v>
      </c>
      <c r="H145" s="163">
        <f t="shared" si="25"/>
        <v>71.484245178794993</v>
      </c>
      <c r="I145" s="253">
        <f t="shared" si="26"/>
        <v>71.484245178794993</v>
      </c>
      <c r="J145" s="158">
        <f t="shared" si="21"/>
        <v>0</v>
      </c>
      <c r="K145" s="158"/>
      <c r="L145" s="334"/>
      <c r="M145" s="158">
        <f t="shared" si="27"/>
        <v>0</v>
      </c>
      <c r="N145" s="334"/>
      <c r="O145" s="158">
        <f t="shared" si="28"/>
        <v>0</v>
      </c>
      <c r="P145" s="158">
        <f t="shared" si="29"/>
        <v>0</v>
      </c>
    </row>
    <row r="146" spans="2:16">
      <c r="B146" s="9" t="str">
        <f t="shared" si="20"/>
        <v/>
      </c>
      <c r="C146" s="153">
        <f>IF(D93="","-",+C145+1)</f>
        <v>2057</v>
      </c>
      <c r="D146" s="154">
        <f>IF(F145+SUM(E$99:E145)=D$92,F145,D$92-SUM(E$99:E145))</f>
        <v>0</v>
      </c>
      <c r="E146" s="160">
        <f t="shared" si="22"/>
        <v>0</v>
      </c>
      <c r="F146" s="159">
        <f t="shared" si="23"/>
        <v>0</v>
      </c>
      <c r="G146" s="159">
        <f t="shared" si="24"/>
        <v>0</v>
      </c>
      <c r="H146" s="163">
        <f t="shared" si="25"/>
        <v>0</v>
      </c>
      <c r="I146" s="253">
        <f t="shared" si="26"/>
        <v>0</v>
      </c>
      <c r="J146" s="158">
        <f t="shared" si="21"/>
        <v>0</v>
      </c>
      <c r="K146" s="158"/>
      <c r="L146" s="334"/>
      <c r="M146" s="158">
        <f t="shared" si="27"/>
        <v>0</v>
      </c>
      <c r="N146" s="334"/>
      <c r="O146" s="158">
        <f t="shared" si="28"/>
        <v>0</v>
      </c>
      <c r="P146" s="158">
        <f t="shared" si="29"/>
        <v>0</v>
      </c>
    </row>
    <row r="147" spans="2:16">
      <c r="B147" s="9" t="str">
        <f t="shared" si="20"/>
        <v/>
      </c>
      <c r="C147" s="153">
        <f>IF(D93="","-",+C146+1)</f>
        <v>2058</v>
      </c>
      <c r="D147" s="154">
        <f>IF(F146+SUM(E$99:E146)=D$92,F146,D$92-SUM(E$99:E146))</f>
        <v>0</v>
      </c>
      <c r="E147" s="160">
        <f t="shared" si="22"/>
        <v>0</v>
      </c>
      <c r="F147" s="159">
        <f t="shared" si="23"/>
        <v>0</v>
      </c>
      <c r="G147" s="159">
        <f t="shared" si="24"/>
        <v>0</v>
      </c>
      <c r="H147" s="163">
        <f t="shared" si="25"/>
        <v>0</v>
      </c>
      <c r="I147" s="253">
        <f t="shared" si="26"/>
        <v>0</v>
      </c>
      <c r="J147" s="158">
        <f t="shared" si="21"/>
        <v>0</v>
      </c>
      <c r="K147" s="158"/>
      <c r="L147" s="334"/>
      <c r="M147" s="158">
        <f t="shared" si="27"/>
        <v>0</v>
      </c>
      <c r="N147" s="334"/>
      <c r="O147" s="158">
        <f t="shared" si="28"/>
        <v>0</v>
      </c>
      <c r="P147" s="158">
        <f t="shared" si="29"/>
        <v>0</v>
      </c>
    </row>
    <row r="148" spans="2:16">
      <c r="B148" s="9" t="str">
        <f t="shared" si="20"/>
        <v/>
      </c>
      <c r="C148" s="153">
        <f>IF(D93="","-",+C147+1)</f>
        <v>2059</v>
      </c>
      <c r="D148" s="154">
        <f>IF(F147+SUM(E$99:E147)=D$92,F147,D$92-SUM(E$99:E147))</f>
        <v>0</v>
      </c>
      <c r="E148" s="160">
        <f t="shared" si="22"/>
        <v>0</v>
      </c>
      <c r="F148" s="159">
        <f t="shared" si="23"/>
        <v>0</v>
      </c>
      <c r="G148" s="159">
        <f t="shared" si="24"/>
        <v>0</v>
      </c>
      <c r="H148" s="163">
        <f t="shared" si="25"/>
        <v>0</v>
      </c>
      <c r="I148" s="253">
        <f t="shared" si="26"/>
        <v>0</v>
      </c>
      <c r="J148" s="158">
        <f t="shared" si="21"/>
        <v>0</v>
      </c>
      <c r="K148" s="158"/>
      <c r="L148" s="334"/>
      <c r="M148" s="158">
        <f t="shared" si="27"/>
        <v>0</v>
      </c>
      <c r="N148" s="334"/>
      <c r="O148" s="158">
        <f t="shared" si="28"/>
        <v>0</v>
      </c>
      <c r="P148" s="158">
        <f t="shared" si="29"/>
        <v>0</v>
      </c>
    </row>
    <row r="149" spans="2:16">
      <c r="B149" s="9" t="str">
        <f t="shared" si="20"/>
        <v/>
      </c>
      <c r="C149" s="153">
        <f>IF(D93="","-",+C148+1)</f>
        <v>2060</v>
      </c>
      <c r="D149" s="154">
        <f>IF(F148+SUM(E$99:E148)=D$92,F148,D$92-SUM(E$99:E148))</f>
        <v>0</v>
      </c>
      <c r="E149" s="160">
        <f t="shared" si="22"/>
        <v>0</v>
      </c>
      <c r="F149" s="159">
        <f t="shared" si="23"/>
        <v>0</v>
      </c>
      <c r="G149" s="159">
        <f t="shared" si="24"/>
        <v>0</v>
      </c>
      <c r="H149" s="163">
        <f t="shared" si="25"/>
        <v>0</v>
      </c>
      <c r="I149" s="253">
        <f t="shared" si="26"/>
        <v>0</v>
      </c>
      <c r="J149" s="158">
        <f t="shared" si="21"/>
        <v>0</v>
      </c>
      <c r="K149" s="158"/>
      <c r="L149" s="334"/>
      <c r="M149" s="158">
        <f t="shared" si="27"/>
        <v>0</v>
      </c>
      <c r="N149" s="334"/>
      <c r="O149" s="158">
        <f t="shared" si="28"/>
        <v>0</v>
      </c>
      <c r="P149" s="158">
        <f t="shared" si="29"/>
        <v>0</v>
      </c>
    </row>
    <row r="150" spans="2:16">
      <c r="B150" s="9" t="str">
        <f t="shared" si="20"/>
        <v/>
      </c>
      <c r="C150" s="153">
        <f>IF(D93="","-",+C149+1)</f>
        <v>2061</v>
      </c>
      <c r="D150" s="154">
        <f>IF(F149+SUM(E$99:E149)=D$92,F149,D$92-SUM(E$99:E149))</f>
        <v>0</v>
      </c>
      <c r="E150" s="160">
        <f t="shared" si="22"/>
        <v>0</v>
      </c>
      <c r="F150" s="159">
        <f t="shared" si="23"/>
        <v>0</v>
      </c>
      <c r="G150" s="159">
        <f t="shared" si="24"/>
        <v>0</v>
      </c>
      <c r="H150" s="163">
        <f t="shared" si="25"/>
        <v>0</v>
      </c>
      <c r="I150" s="253">
        <f t="shared" si="26"/>
        <v>0</v>
      </c>
      <c r="J150" s="158">
        <f t="shared" si="21"/>
        <v>0</v>
      </c>
      <c r="K150" s="158"/>
      <c r="L150" s="334"/>
      <c r="M150" s="158">
        <f t="shared" si="27"/>
        <v>0</v>
      </c>
      <c r="N150" s="334"/>
      <c r="O150" s="158">
        <f t="shared" si="28"/>
        <v>0</v>
      </c>
      <c r="P150" s="158">
        <f t="shared" si="29"/>
        <v>0</v>
      </c>
    </row>
    <row r="151" spans="2:16">
      <c r="B151" s="9" t="str">
        <f t="shared" si="20"/>
        <v/>
      </c>
      <c r="C151" s="153">
        <f>IF(D93="","-",+C150+1)</f>
        <v>2062</v>
      </c>
      <c r="D151" s="154">
        <f>IF(F150+SUM(E$99:E150)=D$92,F150,D$92-SUM(E$99:E150))</f>
        <v>0</v>
      </c>
      <c r="E151" s="160">
        <f t="shared" si="22"/>
        <v>0</v>
      </c>
      <c r="F151" s="159">
        <f t="shared" si="23"/>
        <v>0</v>
      </c>
      <c r="G151" s="159">
        <f t="shared" si="24"/>
        <v>0</v>
      </c>
      <c r="H151" s="163">
        <f t="shared" si="25"/>
        <v>0</v>
      </c>
      <c r="I151" s="253">
        <f t="shared" si="26"/>
        <v>0</v>
      </c>
      <c r="J151" s="158">
        <f t="shared" si="21"/>
        <v>0</v>
      </c>
      <c r="K151" s="158"/>
      <c r="L151" s="334"/>
      <c r="M151" s="158">
        <f t="shared" si="27"/>
        <v>0</v>
      </c>
      <c r="N151" s="334"/>
      <c r="O151" s="158">
        <f t="shared" si="28"/>
        <v>0</v>
      </c>
      <c r="P151" s="158">
        <f t="shared" si="29"/>
        <v>0</v>
      </c>
    </row>
    <row r="152" spans="2:16">
      <c r="B152" s="9" t="str">
        <f t="shared" si="20"/>
        <v/>
      </c>
      <c r="C152" s="153">
        <f>IF(D93="","-",+C151+1)</f>
        <v>2063</v>
      </c>
      <c r="D152" s="154">
        <f>IF(F151+SUM(E$99:E151)=D$92,F151,D$92-SUM(E$99:E151))</f>
        <v>0</v>
      </c>
      <c r="E152" s="160">
        <f t="shared" si="22"/>
        <v>0</v>
      </c>
      <c r="F152" s="159">
        <f t="shared" si="23"/>
        <v>0</v>
      </c>
      <c r="G152" s="159">
        <f t="shared" si="24"/>
        <v>0</v>
      </c>
      <c r="H152" s="163">
        <f t="shared" si="25"/>
        <v>0</v>
      </c>
      <c r="I152" s="253">
        <f t="shared" si="26"/>
        <v>0</v>
      </c>
      <c r="J152" s="158">
        <f t="shared" si="21"/>
        <v>0</v>
      </c>
      <c r="K152" s="158"/>
      <c r="L152" s="334"/>
      <c r="M152" s="158">
        <f t="shared" si="27"/>
        <v>0</v>
      </c>
      <c r="N152" s="334"/>
      <c r="O152" s="158">
        <f t="shared" si="28"/>
        <v>0</v>
      </c>
      <c r="P152" s="158">
        <f t="shared" si="29"/>
        <v>0</v>
      </c>
    </row>
    <row r="153" spans="2:16">
      <c r="B153" s="9" t="str">
        <f t="shared" si="20"/>
        <v/>
      </c>
      <c r="C153" s="153">
        <f>IF(D93="","-",+C152+1)</f>
        <v>2064</v>
      </c>
      <c r="D153" s="154">
        <f>IF(F152+SUM(E$99:E152)=D$92,F152,D$92-SUM(E$99:E152))</f>
        <v>0</v>
      </c>
      <c r="E153" s="160">
        <f t="shared" si="22"/>
        <v>0</v>
      </c>
      <c r="F153" s="159">
        <f t="shared" si="23"/>
        <v>0</v>
      </c>
      <c r="G153" s="159">
        <f t="shared" si="24"/>
        <v>0</v>
      </c>
      <c r="H153" s="163">
        <f t="shared" si="25"/>
        <v>0</v>
      </c>
      <c r="I153" s="253">
        <f t="shared" si="26"/>
        <v>0</v>
      </c>
      <c r="J153" s="158">
        <f t="shared" si="21"/>
        <v>0</v>
      </c>
      <c r="K153" s="158"/>
      <c r="L153" s="334"/>
      <c r="M153" s="158">
        <f t="shared" si="27"/>
        <v>0</v>
      </c>
      <c r="N153" s="334"/>
      <c r="O153" s="158">
        <f t="shared" si="28"/>
        <v>0</v>
      </c>
      <c r="P153" s="158">
        <f t="shared" si="29"/>
        <v>0</v>
      </c>
    </row>
    <row r="154" spans="2:16" ht="13.5" thickBot="1">
      <c r="B154" s="9" t="str">
        <f t="shared" si="20"/>
        <v/>
      </c>
      <c r="C154" s="164">
        <f>IF(D93="","-",+C153+1)</f>
        <v>2065</v>
      </c>
      <c r="D154" s="154">
        <f>IF(F153+SUM(E$99:E153)=D$92,F153,D$92-SUM(E$99:E153))</f>
        <v>0</v>
      </c>
      <c r="E154" s="160">
        <f t="shared" si="22"/>
        <v>0</v>
      </c>
      <c r="F154" s="159">
        <f t="shared" si="23"/>
        <v>0</v>
      </c>
      <c r="G154" s="159">
        <f t="shared" si="24"/>
        <v>0</v>
      </c>
      <c r="H154" s="163">
        <f t="shared" si="25"/>
        <v>0</v>
      </c>
      <c r="I154" s="253">
        <f t="shared" si="26"/>
        <v>0</v>
      </c>
      <c r="J154" s="158">
        <f t="shared" si="21"/>
        <v>0</v>
      </c>
      <c r="K154" s="158"/>
      <c r="L154" s="335"/>
      <c r="M154" s="169">
        <f t="shared" si="27"/>
        <v>0</v>
      </c>
      <c r="N154" s="335"/>
      <c r="O154" s="169">
        <f t="shared" si="28"/>
        <v>0</v>
      </c>
      <c r="P154" s="169">
        <f t="shared" si="29"/>
        <v>0</v>
      </c>
    </row>
    <row r="155" spans="2:16">
      <c r="C155" s="154" t="s">
        <v>73</v>
      </c>
      <c r="D155" s="111"/>
      <c r="E155" s="111">
        <f>SUM(E99:E154)</f>
        <v>23216</v>
      </c>
      <c r="F155" s="111"/>
      <c r="G155" s="111"/>
      <c r="H155" s="111">
        <f>SUM(H99:H154)</f>
        <v>83025.460717779119</v>
      </c>
      <c r="I155" s="111">
        <f>SUM(I99:I154)</f>
        <v>83025.460717779119</v>
      </c>
      <c r="J155" s="111">
        <f>SUM(J99:J154)</f>
        <v>0</v>
      </c>
      <c r="K155" s="111"/>
      <c r="L155" s="111"/>
      <c r="M155" s="111"/>
      <c r="N155" s="111"/>
      <c r="O155" s="111"/>
      <c r="P155" s="1"/>
    </row>
    <row r="156" spans="2:16">
      <c r="C156" t="s">
        <v>87</v>
      </c>
      <c r="D156" s="2"/>
      <c r="E156" s="1"/>
      <c r="F156" s="1"/>
      <c r="G156" s="1"/>
      <c r="H156" s="1"/>
      <c r="I156" s="3"/>
      <c r="J156" s="3"/>
      <c r="K156" s="111"/>
      <c r="L156" s="3"/>
      <c r="M156" s="3"/>
      <c r="N156" s="3"/>
      <c r="O156" s="3"/>
      <c r="P156" s="1"/>
    </row>
    <row r="157" spans="2:16">
      <c r="C157" s="216"/>
      <c r="D157" s="2"/>
      <c r="E157" s="1"/>
      <c r="F157" s="1"/>
      <c r="G157" s="1"/>
      <c r="H157" s="1"/>
      <c r="I157" s="3"/>
      <c r="J157" s="3"/>
      <c r="K157" s="111"/>
      <c r="L157" s="3"/>
      <c r="M157" s="3"/>
      <c r="N157" s="3"/>
      <c r="O157" s="3"/>
      <c r="P157" s="1"/>
    </row>
    <row r="158" spans="2:16">
      <c r="C158" s="248" t="s">
        <v>127</v>
      </c>
      <c r="D158" s="2"/>
      <c r="E158" s="1"/>
      <c r="F158" s="1"/>
      <c r="G158" s="1"/>
      <c r="H158" s="1"/>
      <c r="I158" s="3"/>
      <c r="J158" s="3"/>
      <c r="K158" s="111"/>
      <c r="L158" s="3"/>
      <c r="M158" s="3"/>
      <c r="N158" s="3"/>
      <c r="O158" s="3"/>
      <c r="P158" s="1"/>
    </row>
    <row r="159" spans="2:16">
      <c r="C159" s="121" t="s">
        <v>74</v>
      </c>
      <c r="D159" s="154"/>
      <c r="E159" s="154"/>
      <c r="F159" s="154"/>
      <c r="G159" s="154"/>
      <c r="H159" s="111"/>
      <c r="I159" s="111"/>
      <c r="J159" s="171"/>
      <c r="K159" s="171"/>
      <c r="L159" s="171"/>
      <c r="M159" s="171"/>
      <c r="N159" s="171"/>
      <c r="O159" s="171"/>
      <c r="P159" s="1"/>
    </row>
    <row r="160" spans="2:16">
      <c r="C160" s="217" t="s">
        <v>75</v>
      </c>
      <c r="D160" s="154"/>
      <c r="E160" s="154"/>
      <c r="F160" s="154"/>
      <c r="G160" s="154"/>
      <c r="H160" s="111"/>
      <c r="I160" s="111"/>
      <c r="J160" s="171"/>
      <c r="K160" s="171"/>
      <c r="L160" s="171"/>
      <c r="M160" s="171"/>
      <c r="N160" s="171"/>
      <c r="O160" s="171"/>
      <c r="P160" s="1"/>
    </row>
    <row r="161" spans="3:16">
      <c r="C161" s="217"/>
      <c r="D161" s="154"/>
      <c r="E161" s="154"/>
      <c r="F161" s="154"/>
      <c r="G161" s="154"/>
      <c r="H161" s="111"/>
      <c r="I161" s="111"/>
      <c r="J161" s="171"/>
      <c r="K161" s="171"/>
      <c r="L161" s="171"/>
      <c r="M161" s="171"/>
      <c r="N161" s="171"/>
      <c r="O161" s="171"/>
      <c r="P161" s="1"/>
    </row>
    <row r="162" spans="3:16" ht="18">
      <c r="C162" s="217"/>
      <c r="D162" s="154"/>
      <c r="E162" s="154"/>
      <c r="F162" s="154"/>
      <c r="G162" s="154"/>
      <c r="H162" s="111"/>
      <c r="I162" s="111"/>
      <c r="J162" s="171"/>
      <c r="K162" s="171"/>
      <c r="L162" s="171"/>
      <c r="M162" s="171"/>
      <c r="N162" s="171"/>
      <c r="P162" s="245" t="s">
        <v>126</v>
      </c>
    </row>
  </sheetData>
  <conditionalFormatting sqref="C17:C72">
    <cfRule type="cellIs" dxfId="66" priority="1" stopIfTrue="1" operator="equal">
      <formula>$I$10</formula>
    </cfRule>
  </conditionalFormatting>
  <conditionalFormatting sqref="C99:C154">
    <cfRule type="cellIs" dxfId="65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9"/>
  <dimension ref="A1:P162"/>
  <sheetViews>
    <sheetView view="pageBreakPreview" zoomScale="82" zoomScaleNormal="100" zoomScaleSheetLayoutView="82" workbookViewId="0">
      <selection activeCell="C19" sqref="C19"/>
    </sheetView>
  </sheetViews>
  <sheetFormatPr defaultRowHeight="12.75" customHeight="1"/>
  <cols>
    <col min="1" max="1" width="4.7109375" customWidth="1"/>
    <col min="2" max="2" width="6.7109375" customWidth="1"/>
    <col min="3" max="3" width="23.28515625" customWidth="1"/>
    <col min="4" max="8" width="17.7109375" customWidth="1"/>
    <col min="9" max="9" width="20.42578125" customWidth="1"/>
    <col min="10" max="10" width="16.42578125" customWidth="1"/>
    <col min="11" max="11" width="17.7109375" customWidth="1"/>
    <col min="12" max="12" width="16.140625" customWidth="1"/>
    <col min="13" max="13" width="17.7109375" customWidth="1"/>
    <col min="14" max="14" width="16.7109375" customWidth="1"/>
    <col min="15" max="15" width="16.85546875" customWidth="1"/>
    <col min="16" max="16" width="24.42578125" customWidth="1"/>
    <col min="17" max="17" width="9.140625" customWidth="1"/>
    <col min="23" max="23" width="9.140625" customWidth="1"/>
  </cols>
  <sheetData>
    <row r="1" spans="1:16" ht="20.25">
      <c r="A1" s="243" t="s">
        <v>128</v>
      </c>
      <c r="B1" s="1"/>
      <c r="C1" s="21"/>
      <c r="D1" s="2"/>
      <c r="E1" s="1"/>
      <c r="F1" s="99"/>
      <c r="G1" s="1"/>
      <c r="H1" s="3"/>
      <c r="J1" s="7"/>
      <c r="K1" s="109"/>
      <c r="L1" s="109"/>
      <c r="M1" s="109"/>
      <c r="P1" s="249" t="str">
        <f ca="1">"SWEPCO Project "&amp;RIGHT(MID(CELL("filename",$A$1),FIND("]",CELL("filename",$A$1))+1,256),2)&amp;" of "&amp;COUNT('S.001:S.xyz - blank'!$P$3)-1</f>
        <v>SWEPCO Project 50 of 73</v>
      </c>
    </row>
    <row r="2" spans="1:16" ht="18">
      <c r="B2" s="1"/>
      <c r="C2" s="1"/>
      <c r="D2" s="2"/>
      <c r="E2" s="1"/>
      <c r="F2" s="1"/>
      <c r="G2" s="1"/>
      <c r="H2" s="3"/>
      <c r="I2" s="1"/>
      <c r="J2" s="4"/>
      <c r="K2" s="1"/>
      <c r="L2" s="1"/>
      <c r="M2" s="1"/>
      <c r="N2" s="1"/>
      <c r="P2" s="244" t="s">
        <v>124</v>
      </c>
    </row>
    <row r="3" spans="1:16" ht="18.75">
      <c r="B3" s="5" t="s">
        <v>40</v>
      </c>
      <c r="C3" s="68" t="s">
        <v>41</v>
      </c>
      <c r="D3" s="2"/>
      <c r="E3" s="1"/>
      <c r="F3" s="1"/>
      <c r="G3" s="1"/>
      <c r="H3" s="3"/>
      <c r="I3" s="3"/>
      <c r="J3" s="111"/>
      <c r="K3" s="3"/>
      <c r="L3" s="3"/>
      <c r="M3" s="3"/>
      <c r="N3" s="3"/>
      <c r="O3" s="1"/>
      <c r="P3" s="240">
        <v>1</v>
      </c>
    </row>
    <row r="4" spans="1:16" ht="15.75" thickBot="1">
      <c r="C4" s="67"/>
      <c r="D4" s="2"/>
      <c r="E4" s="1"/>
      <c r="F4" s="1"/>
      <c r="G4" s="1"/>
      <c r="H4" s="3"/>
      <c r="I4" s="3"/>
      <c r="J4" s="111"/>
      <c r="K4" s="3"/>
      <c r="L4" s="3"/>
      <c r="M4" s="3"/>
      <c r="N4" s="3"/>
      <c r="O4" s="1"/>
      <c r="P4" s="1"/>
    </row>
    <row r="5" spans="1:16" ht="15">
      <c r="C5" s="112" t="s">
        <v>42</v>
      </c>
      <c r="D5" s="2"/>
      <c r="E5" s="1"/>
      <c r="F5" s="1"/>
      <c r="G5" s="113"/>
      <c r="H5" s="1" t="s">
        <v>43</v>
      </c>
      <c r="I5" s="1"/>
      <c r="J5" s="4"/>
      <c r="K5" s="268" t="s">
        <v>152</v>
      </c>
      <c r="L5" s="114"/>
      <c r="M5" s="115"/>
      <c r="N5" s="116">
        <f>VLOOKUP(I10,C17:I72,5)</f>
        <v>1814670.2891577268</v>
      </c>
      <c r="P5" s="1"/>
    </row>
    <row r="6" spans="1:16" ht="15.75">
      <c r="C6" s="8"/>
      <c r="D6" s="2"/>
      <c r="E6" s="1"/>
      <c r="F6" s="1"/>
      <c r="G6" s="1"/>
      <c r="H6" s="117"/>
      <c r="I6" s="117"/>
      <c r="J6" s="118"/>
      <c r="K6" s="269" t="s">
        <v>153</v>
      </c>
      <c r="L6" s="119"/>
      <c r="M6" s="4"/>
      <c r="N6" s="120">
        <f>VLOOKUP(I10,C17:I72,6)</f>
        <v>1814670.2891577268</v>
      </c>
      <c r="O6" s="1"/>
      <c r="P6" s="1"/>
    </row>
    <row r="7" spans="1:16" ht="13.5" thickBot="1">
      <c r="C7" s="121" t="s">
        <v>44</v>
      </c>
      <c r="D7" s="386" t="s">
        <v>328</v>
      </c>
      <c r="E7" s="379"/>
      <c r="F7" s="379"/>
      <c r="G7" s="379"/>
      <c r="H7" s="383"/>
      <c r="I7" s="3"/>
      <c r="J7" s="111"/>
      <c r="K7" s="122" t="s">
        <v>45</v>
      </c>
      <c r="L7" s="123"/>
      <c r="M7" s="123"/>
      <c r="N7" s="124">
        <f>+N6-N5</f>
        <v>0</v>
      </c>
      <c r="O7" s="1"/>
      <c r="P7" s="1"/>
    </row>
    <row r="8" spans="1:16" ht="13.5" thickBot="1">
      <c r="C8" s="125"/>
      <c r="D8" s="352" t="str">
        <f>IF(D10&lt;100000,"DOES NOT MEET SPP $100,000 MINIMUM INVESTMENT FOR REGIONAL BPU SHARING.","")</f>
        <v/>
      </c>
      <c r="E8" s="126"/>
      <c r="F8" s="126"/>
      <c r="G8" s="126"/>
      <c r="H8" s="126"/>
      <c r="I8" s="126"/>
      <c r="J8" s="101"/>
      <c r="K8" s="126"/>
      <c r="L8" s="126"/>
      <c r="M8" s="126"/>
      <c r="N8" s="126"/>
      <c r="O8" s="101"/>
      <c r="P8" s="21"/>
    </row>
    <row r="9" spans="1:16" ht="13.5" thickBot="1">
      <c r="C9" s="127" t="s">
        <v>46</v>
      </c>
      <c r="D9" s="225"/>
      <c r="E9" s="401" t="s">
        <v>437</v>
      </c>
      <c r="F9" s="128"/>
      <c r="G9" s="128"/>
      <c r="H9" s="128"/>
      <c r="I9" s="129"/>
      <c r="J9" s="130"/>
      <c r="O9" s="131"/>
      <c r="P9" s="4"/>
    </row>
    <row r="10" spans="1:16">
      <c r="C10" s="132" t="s">
        <v>47</v>
      </c>
      <c r="D10" s="133">
        <v>15998917</v>
      </c>
      <c r="E10" s="61" t="s">
        <v>459</v>
      </c>
      <c r="F10" s="131"/>
      <c r="G10" s="134"/>
      <c r="H10" s="134"/>
      <c r="I10" s="135">
        <f>+SWE.WS.F.BPU.ATRR.Projected!K17</f>
        <v>2019</v>
      </c>
      <c r="J10" s="130"/>
      <c r="K10" s="111" t="s">
        <v>48</v>
      </c>
      <c r="O10" s="4"/>
      <c r="P10" s="4"/>
    </row>
    <row r="11" spans="1:16">
      <c r="C11" s="136" t="s">
        <v>49</v>
      </c>
      <c r="D11" s="137">
        <v>2015</v>
      </c>
      <c r="E11" s="136" t="s">
        <v>50</v>
      </c>
      <c r="F11" s="134"/>
      <c r="G11" s="7"/>
      <c r="H11" s="7"/>
      <c r="I11" s="138">
        <f>IF(G5="",0,SWE.WS.F.BPU.ATRR.Projected!F$11)</f>
        <v>0</v>
      </c>
      <c r="J11" s="139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4"/>
      <c r="P11" s="4"/>
    </row>
    <row r="12" spans="1:16">
      <c r="C12" s="136" t="s">
        <v>51</v>
      </c>
      <c r="D12" s="133">
        <v>6</v>
      </c>
      <c r="E12" s="136" t="s">
        <v>52</v>
      </c>
      <c r="F12" s="134"/>
      <c r="G12" s="7"/>
      <c r="H12" s="7"/>
      <c r="I12" s="140">
        <f>SWE.WS.F.BPU.ATRR.Projected!$F$76</f>
        <v>9.9555672459071778E-2</v>
      </c>
      <c r="J12" s="141"/>
      <c r="K12" t="s">
        <v>53</v>
      </c>
      <c r="O12" s="4"/>
      <c r="P12" s="4"/>
    </row>
    <row r="13" spans="1:16">
      <c r="C13" s="136" t="s">
        <v>54</v>
      </c>
      <c r="D13" s="138">
        <f>+SWE.WS.F.BPU.ATRR.Projected!F$87</f>
        <v>43</v>
      </c>
      <c r="E13" s="136" t="s">
        <v>55</v>
      </c>
      <c r="F13" s="134"/>
      <c r="G13" s="7"/>
      <c r="H13" s="7"/>
      <c r="I13" s="140">
        <f>IF(G5="",I12,SWE.WS.F.BPU.ATRR.Projected!$F$75)</f>
        <v>9.9555672459071778E-2</v>
      </c>
      <c r="J13" s="141"/>
      <c r="K13" s="111" t="s">
        <v>56</v>
      </c>
      <c r="L13" s="58"/>
      <c r="M13" s="58"/>
      <c r="N13" s="58"/>
      <c r="O13" s="4"/>
      <c r="P13" s="4"/>
    </row>
    <row r="14" spans="1:16" ht="13.5" thickBot="1">
      <c r="C14" s="136" t="s">
        <v>57</v>
      </c>
      <c r="D14" s="137" t="s">
        <v>58</v>
      </c>
      <c r="E14" s="4" t="s">
        <v>59</v>
      </c>
      <c r="F14" s="134"/>
      <c r="G14" s="7"/>
      <c r="H14" s="7"/>
      <c r="I14" s="142">
        <f>IF(D10=0,0,D10/D13)</f>
        <v>372067.83720930235</v>
      </c>
      <c r="J14" s="111"/>
      <c r="K14" s="111"/>
      <c r="L14" s="111"/>
      <c r="M14" s="111"/>
      <c r="N14" s="111"/>
      <c r="O14" s="4"/>
      <c r="P14" s="4"/>
    </row>
    <row r="15" spans="1:16" ht="38.25">
      <c r="C15" s="143" t="s">
        <v>47</v>
      </c>
      <c r="D15" s="144" t="s">
        <v>60</v>
      </c>
      <c r="E15" s="144" t="s">
        <v>61</v>
      </c>
      <c r="F15" s="144" t="s">
        <v>62</v>
      </c>
      <c r="G15" s="434" t="s">
        <v>378</v>
      </c>
      <c r="H15" s="435" t="s">
        <v>379</v>
      </c>
      <c r="I15" s="143" t="s">
        <v>63</v>
      </c>
      <c r="J15" s="145"/>
      <c r="K15" s="271" t="s">
        <v>219</v>
      </c>
      <c r="L15" s="146" t="s">
        <v>64</v>
      </c>
      <c r="M15" s="271" t="s">
        <v>219</v>
      </c>
      <c r="N15" s="146" t="s">
        <v>64</v>
      </c>
      <c r="O15" s="146" t="s">
        <v>65</v>
      </c>
      <c r="P15" s="4"/>
    </row>
    <row r="16" spans="1:16" ht="13.5" thickBot="1">
      <c r="C16" s="147" t="s">
        <v>66</v>
      </c>
      <c r="D16" s="147" t="s">
        <v>67</v>
      </c>
      <c r="E16" s="147" t="s">
        <v>68</v>
      </c>
      <c r="F16" s="147" t="s">
        <v>67</v>
      </c>
      <c r="G16" s="408" t="s">
        <v>69</v>
      </c>
      <c r="H16" s="148" t="s">
        <v>70</v>
      </c>
      <c r="I16" s="149" t="s">
        <v>89</v>
      </c>
      <c r="J16" s="150" t="s">
        <v>71</v>
      </c>
      <c r="K16" s="151" t="s">
        <v>72</v>
      </c>
      <c r="L16" s="151" t="s">
        <v>72</v>
      </c>
      <c r="M16" s="151" t="s">
        <v>90</v>
      </c>
      <c r="N16" s="152" t="s">
        <v>90</v>
      </c>
      <c r="O16" s="151" t="s">
        <v>90</v>
      </c>
      <c r="P16" s="4"/>
    </row>
    <row r="17" spans="2:16">
      <c r="C17" s="153">
        <f>IF(D11= "","-",D11)</f>
        <v>2015</v>
      </c>
      <c r="D17" s="409">
        <v>15500000</v>
      </c>
      <c r="E17" s="415">
        <v>184523.80952380953</v>
      </c>
      <c r="F17" s="409">
        <v>15315476.19047619</v>
      </c>
      <c r="G17" s="415">
        <v>2201645.5530295321</v>
      </c>
      <c r="H17" s="416">
        <v>2201645.5530295321</v>
      </c>
      <c r="I17" s="156">
        <v>0</v>
      </c>
      <c r="J17" s="156"/>
      <c r="K17" s="258">
        <f>G17</f>
        <v>2201645.5530295321</v>
      </c>
      <c r="L17" s="257">
        <f>IF(K17&lt;&gt;0,+G17-K17,0)</f>
        <v>0</v>
      </c>
      <c r="M17" s="258">
        <f>H17</f>
        <v>2201645.5530295321</v>
      </c>
      <c r="N17" s="158">
        <f>IF(M17&lt;&gt;0,+H17-M17,0)</f>
        <v>0</v>
      </c>
      <c r="O17" s="158">
        <f>+N17-L17</f>
        <v>0</v>
      </c>
      <c r="P17" s="4"/>
    </row>
    <row r="18" spans="2:16">
      <c r="B18" s="9" t="str">
        <f>IF(D18=F17,"","IU")</f>
        <v>IU</v>
      </c>
      <c r="C18" s="153">
        <f>IF(D11="","-",+C17+1)</f>
        <v>2016</v>
      </c>
      <c r="D18" s="411">
        <v>15593387.19047619</v>
      </c>
      <c r="E18" s="410">
        <v>375664.54761904763</v>
      </c>
      <c r="F18" s="411">
        <v>15217722.642857142</v>
      </c>
      <c r="G18" s="410">
        <v>2355185.5288467337</v>
      </c>
      <c r="H18" s="416">
        <v>2355185.5288467337</v>
      </c>
      <c r="I18" s="156">
        <f>H18-G18</f>
        <v>0</v>
      </c>
      <c r="J18" s="156"/>
      <c r="K18" s="258">
        <f>G18</f>
        <v>2355185.5288467337</v>
      </c>
      <c r="L18" s="257">
        <f>IF(K18&lt;&gt;0,+G18-K18,0)</f>
        <v>0</v>
      </c>
      <c r="M18" s="258">
        <f>H18</f>
        <v>2355185.5288467337</v>
      </c>
      <c r="N18" s="158">
        <f>IF(M18&lt;&gt;0,+H18-M18,0)</f>
        <v>0</v>
      </c>
      <c r="O18" s="158">
        <f>+N18-L18</f>
        <v>0</v>
      </c>
      <c r="P18" s="4"/>
    </row>
    <row r="19" spans="2:16">
      <c r="B19" s="9" t="str">
        <f>IF(D19=F18,"","IU")</f>
        <v>IU</v>
      </c>
      <c r="C19" s="153">
        <f>IF(D11="","-",+C18+1)</f>
        <v>2017</v>
      </c>
      <c r="D19" s="411">
        <v>15438728.642857144</v>
      </c>
      <c r="E19" s="410">
        <v>372067.83720930235</v>
      </c>
      <c r="F19" s="411">
        <v>15066660.805647841</v>
      </c>
      <c r="G19" s="410">
        <v>2261762.8310746681</v>
      </c>
      <c r="H19" s="416">
        <v>2261762.8310746681</v>
      </c>
      <c r="I19" s="156">
        <v>0</v>
      </c>
      <c r="J19" s="156"/>
      <c r="K19" s="258">
        <f>G19</f>
        <v>2261762.8310746681</v>
      </c>
      <c r="L19" s="257">
        <f>IF(K19&lt;&gt;0,+G19-K19,0)</f>
        <v>0</v>
      </c>
      <c r="M19" s="258">
        <f>H19</f>
        <v>2261762.8310746681</v>
      </c>
      <c r="N19" s="158">
        <f>IF(M19&lt;&gt;0,+H19-M19,0)</f>
        <v>0</v>
      </c>
      <c r="O19" s="158">
        <f>+N19-L19</f>
        <v>0</v>
      </c>
      <c r="P19" s="4"/>
    </row>
    <row r="20" spans="2:16">
      <c r="B20" s="9" t="str">
        <f t="shared" ref="B20:B72" si="0">IF(D20=F19,"","IU")</f>
        <v/>
      </c>
      <c r="C20" s="153">
        <f>IF(D11="","-",+C19+1)</f>
        <v>2018</v>
      </c>
      <c r="D20" s="411">
        <v>15066660.805647841</v>
      </c>
      <c r="E20" s="410">
        <v>390217.48780487804</v>
      </c>
      <c r="F20" s="411">
        <v>14676443.317842962</v>
      </c>
      <c r="G20" s="410">
        <v>2054109.3422824556</v>
      </c>
      <c r="H20" s="416">
        <v>2054109.3422824556</v>
      </c>
      <c r="I20" s="156">
        <f t="shared" ref="I20:I72" si="1">H20-G20</f>
        <v>0</v>
      </c>
      <c r="J20" s="156"/>
      <c r="K20" s="258">
        <f>G20</f>
        <v>2054109.3422824556</v>
      </c>
      <c r="L20" s="257">
        <f>IF(K20&lt;&gt;0,+G20-K20,0)</f>
        <v>0</v>
      </c>
      <c r="M20" s="258">
        <f>H20</f>
        <v>2054109.3422824556</v>
      </c>
      <c r="N20" s="158">
        <f>IF(M20&lt;&gt;0,+H20-M20,0)</f>
        <v>0</v>
      </c>
      <c r="O20" s="158">
        <f>+N20-L20</f>
        <v>0</v>
      </c>
      <c r="P20" s="4"/>
    </row>
    <row r="21" spans="2:16">
      <c r="B21" s="9" t="str">
        <f t="shared" si="0"/>
        <v/>
      </c>
      <c r="C21" s="153">
        <f>IF(D11="","-",+C20+1)</f>
        <v>2019</v>
      </c>
      <c r="D21" s="159">
        <f>IF(F20+SUM(E$17:E20)=D$10,F20,D$10-SUM(E$17:E20))</f>
        <v>14676443.317842962</v>
      </c>
      <c r="E21" s="160">
        <f t="shared" ref="E21:E72" si="2">IF(+$I$14&lt;F20,$I$14,D21)</f>
        <v>372067.83720930235</v>
      </c>
      <c r="F21" s="159">
        <f t="shared" ref="F21:F72" si="3">+D21-E21</f>
        <v>14304375.480633659</v>
      </c>
      <c r="G21" s="161">
        <f t="shared" ref="G21:G50" si="4">+I$12*((D21+F21)/2)+E21</f>
        <v>1814670.2891577268</v>
      </c>
      <c r="H21" s="142">
        <f t="shared" ref="H21:H50" si="5">+I$13*((D21+F21)/2)+E21</f>
        <v>1814670.2891577268</v>
      </c>
      <c r="I21" s="156">
        <f t="shared" si="1"/>
        <v>0</v>
      </c>
      <c r="J21" s="156"/>
      <c r="K21" s="334"/>
      <c r="L21" s="158">
        <f t="shared" ref="L21:L72" si="6">IF(K21&lt;&gt;0,+G21-K21,0)</f>
        <v>0</v>
      </c>
      <c r="M21" s="334"/>
      <c r="N21" s="158">
        <f t="shared" ref="N21:N72" si="7">IF(M21&lt;&gt;0,+H21-M21,0)</f>
        <v>0</v>
      </c>
      <c r="O21" s="158">
        <f t="shared" ref="O21:O72" si="8">+N21-L21</f>
        <v>0</v>
      </c>
      <c r="P21" s="4"/>
    </row>
    <row r="22" spans="2:16">
      <c r="B22" s="9" t="str">
        <f t="shared" si="0"/>
        <v/>
      </c>
      <c r="C22" s="153">
        <f>IF(D11="","-",+C21+1)</f>
        <v>2020</v>
      </c>
      <c r="D22" s="159">
        <f>IF(F21+SUM(E$17:E21)=D$10,F21,D$10-SUM(E$17:E21))</f>
        <v>14304375.480633659</v>
      </c>
      <c r="E22" s="160">
        <f t="shared" si="2"/>
        <v>372067.83720930235</v>
      </c>
      <c r="F22" s="159">
        <f t="shared" si="3"/>
        <v>13932307.643424356</v>
      </c>
      <c r="G22" s="161">
        <f t="shared" si="4"/>
        <v>1777628.825423962</v>
      </c>
      <c r="H22" s="142">
        <f t="shared" si="5"/>
        <v>1777628.825423962</v>
      </c>
      <c r="I22" s="156">
        <f t="shared" si="1"/>
        <v>0</v>
      </c>
      <c r="J22" s="156"/>
      <c r="K22" s="334"/>
      <c r="L22" s="158">
        <f t="shared" si="6"/>
        <v>0</v>
      </c>
      <c r="M22" s="334"/>
      <c r="N22" s="158">
        <f t="shared" si="7"/>
        <v>0</v>
      </c>
      <c r="O22" s="158">
        <f t="shared" si="8"/>
        <v>0</v>
      </c>
      <c r="P22" s="4"/>
    </row>
    <row r="23" spans="2:16">
      <c r="B23" s="9" t="str">
        <f t="shared" si="0"/>
        <v/>
      </c>
      <c r="C23" s="153">
        <f>IF(D11="","-",+C22+1)</f>
        <v>2021</v>
      </c>
      <c r="D23" s="159">
        <f>IF(F22+SUM(E$17:E22)=D$10,F22,D$10-SUM(E$17:E22))</f>
        <v>13932307.643424356</v>
      </c>
      <c r="E23" s="160">
        <f t="shared" si="2"/>
        <v>372067.83720930235</v>
      </c>
      <c r="F23" s="159">
        <f t="shared" si="3"/>
        <v>13560239.806215053</v>
      </c>
      <c r="G23" s="161">
        <f t="shared" si="4"/>
        <v>1740587.3616901976</v>
      </c>
      <c r="H23" s="142">
        <f t="shared" si="5"/>
        <v>1740587.3616901976</v>
      </c>
      <c r="I23" s="156">
        <f t="shared" si="1"/>
        <v>0</v>
      </c>
      <c r="J23" s="156"/>
      <c r="K23" s="334"/>
      <c r="L23" s="158">
        <f t="shared" si="6"/>
        <v>0</v>
      </c>
      <c r="M23" s="334"/>
      <c r="N23" s="158">
        <f t="shared" si="7"/>
        <v>0</v>
      </c>
      <c r="O23" s="158">
        <f t="shared" si="8"/>
        <v>0</v>
      </c>
      <c r="P23" s="4"/>
    </row>
    <row r="24" spans="2:16">
      <c r="B24" s="9" t="str">
        <f t="shared" si="0"/>
        <v/>
      </c>
      <c r="C24" s="153">
        <f>IF(D11="","-",+C23+1)</f>
        <v>2022</v>
      </c>
      <c r="D24" s="159">
        <f>IF(F23+SUM(E$17:E23)=D$10,F23,D$10-SUM(E$17:E23))</f>
        <v>13560239.806215053</v>
      </c>
      <c r="E24" s="160">
        <f t="shared" si="2"/>
        <v>372067.83720930235</v>
      </c>
      <c r="F24" s="159">
        <f t="shared" si="3"/>
        <v>13188171.96900575</v>
      </c>
      <c r="G24" s="161">
        <f t="shared" si="4"/>
        <v>1703545.8979564328</v>
      </c>
      <c r="H24" s="142">
        <f t="shared" si="5"/>
        <v>1703545.8979564328</v>
      </c>
      <c r="I24" s="156">
        <f t="shared" si="1"/>
        <v>0</v>
      </c>
      <c r="J24" s="156"/>
      <c r="K24" s="334"/>
      <c r="L24" s="158">
        <f t="shared" si="6"/>
        <v>0</v>
      </c>
      <c r="M24" s="334"/>
      <c r="N24" s="158">
        <f t="shared" si="7"/>
        <v>0</v>
      </c>
      <c r="O24" s="158">
        <f t="shared" si="8"/>
        <v>0</v>
      </c>
      <c r="P24" s="4"/>
    </row>
    <row r="25" spans="2:16">
      <c r="B25" s="9" t="str">
        <f t="shared" si="0"/>
        <v/>
      </c>
      <c r="C25" s="153">
        <f>IF(D11="","-",+C24+1)</f>
        <v>2023</v>
      </c>
      <c r="D25" s="159">
        <f>IF(F24+SUM(E$17:E24)=D$10,F24,D$10-SUM(E$17:E24))</f>
        <v>13188171.96900575</v>
      </c>
      <c r="E25" s="160">
        <f t="shared" si="2"/>
        <v>372067.83720930235</v>
      </c>
      <c r="F25" s="159">
        <f t="shared" si="3"/>
        <v>12816104.131796448</v>
      </c>
      <c r="G25" s="161">
        <f t="shared" si="4"/>
        <v>1666504.4342226684</v>
      </c>
      <c r="H25" s="142">
        <f t="shared" si="5"/>
        <v>1666504.4342226684</v>
      </c>
      <c r="I25" s="156">
        <f t="shared" si="1"/>
        <v>0</v>
      </c>
      <c r="J25" s="156"/>
      <c r="K25" s="334"/>
      <c r="L25" s="158">
        <f t="shared" si="6"/>
        <v>0</v>
      </c>
      <c r="M25" s="334"/>
      <c r="N25" s="158">
        <f t="shared" si="7"/>
        <v>0</v>
      </c>
      <c r="O25" s="158">
        <f t="shared" si="8"/>
        <v>0</v>
      </c>
      <c r="P25" s="4"/>
    </row>
    <row r="26" spans="2:16">
      <c r="B26" s="9" t="str">
        <f t="shared" si="0"/>
        <v/>
      </c>
      <c r="C26" s="153">
        <f>IF(D11="","-",+C25+1)</f>
        <v>2024</v>
      </c>
      <c r="D26" s="159">
        <f>IF(F25+SUM(E$17:E25)=D$10,F25,D$10-SUM(E$17:E25))</f>
        <v>12816104.131796448</v>
      </c>
      <c r="E26" s="160">
        <f t="shared" si="2"/>
        <v>372067.83720930235</v>
      </c>
      <c r="F26" s="159">
        <f t="shared" si="3"/>
        <v>12444036.294587145</v>
      </c>
      <c r="G26" s="161">
        <f t="shared" si="4"/>
        <v>1629462.9704889036</v>
      </c>
      <c r="H26" s="142">
        <f t="shared" si="5"/>
        <v>1629462.9704889036</v>
      </c>
      <c r="I26" s="156">
        <f t="shared" si="1"/>
        <v>0</v>
      </c>
      <c r="J26" s="156"/>
      <c r="K26" s="334"/>
      <c r="L26" s="158">
        <f t="shared" si="6"/>
        <v>0</v>
      </c>
      <c r="M26" s="334"/>
      <c r="N26" s="158">
        <f t="shared" si="7"/>
        <v>0</v>
      </c>
      <c r="O26" s="158">
        <f t="shared" si="8"/>
        <v>0</v>
      </c>
      <c r="P26" s="4"/>
    </row>
    <row r="27" spans="2:16">
      <c r="B27" s="9" t="str">
        <f t="shared" si="0"/>
        <v/>
      </c>
      <c r="C27" s="153">
        <f>IF(D11="","-",+C26+1)</f>
        <v>2025</v>
      </c>
      <c r="D27" s="159">
        <f>IF(F26+SUM(E$17:E26)=D$10,F26,D$10-SUM(E$17:E26))</f>
        <v>12444036.294587145</v>
      </c>
      <c r="E27" s="160">
        <f t="shared" si="2"/>
        <v>372067.83720930235</v>
      </c>
      <c r="F27" s="159">
        <f t="shared" si="3"/>
        <v>12071968.457377842</v>
      </c>
      <c r="G27" s="161">
        <f t="shared" si="4"/>
        <v>1592421.5067551392</v>
      </c>
      <c r="H27" s="142">
        <f t="shared" si="5"/>
        <v>1592421.5067551392</v>
      </c>
      <c r="I27" s="156">
        <f t="shared" si="1"/>
        <v>0</v>
      </c>
      <c r="J27" s="156"/>
      <c r="K27" s="334"/>
      <c r="L27" s="158">
        <f t="shared" si="6"/>
        <v>0</v>
      </c>
      <c r="M27" s="334"/>
      <c r="N27" s="158">
        <f t="shared" si="7"/>
        <v>0</v>
      </c>
      <c r="O27" s="158">
        <f t="shared" si="8"/>
        <v>0</v>
      </c>
      <c r="P27" s="4"/>
    </row>
    <row r="28" spans="2:16">
      <c r="B28" s="9" t="str">
        <f t="shared" si="0"/>
        <v/>
      </c>
      <c r="C28" s="153">
        <f>IF(D11="","-",+C27+1)</f>
        <v>2026</v>
      </c>
      <c r="D28" s="159">
        <f>IF(F27+SUM(E$17:E27)=D$10,F27,D$10-SUM(E$17:E27))</f>
        <v>12071968.457377842</v>
      </c>
      <c r="E28" s="160">
        <f t="shared" si="2"/>
        <v>372067.83720930235</v>
      </c>
      <c r="F28" s="159">
        <f t="shared" si="3"/>
        <v>11699900.620168539</v>
      </c>
      <c r="G28" s="161">
        <f t="shared" si="4"/>
        <v>1555380.0430213744</v>
      </c>
      <c r="H28" s="142">
        <f t="shared" si="5"/>
        <v>1555380.0430213744</v>
      </c>
      <c r="I28" s="156">
        <f t="shared" si="1"/>
        <v>0</v>
      </c>
      <c r="J28" s="156"/>
      <c r="K28" s="334"/>
      <c r="L28" s="158">
        <f t="shared" si="6"/>
        <v>0</v>
      </c>
      <c r="M28" s="334"/>
      <c r="N28" s="158">
        <f t="shared" si="7"/>
        <v>0</v>
      </c>
      <c r="O28" s="158">
        <f t="shared" si="8"/>
        <v>0</v>
      </c>
      <c r="P28" s="4"/>
    </row>
    <row r="29" spans="2:16">
      <c r="B29" s="9" t="str">
        <f t="shared" si="0"/>
        <v/>
      </c>
      <c r="C29" s="153">
        <f>IF(D11="","-",+C28+1)</f>
        <v>2027</v>
      </c>
      <c r="D29" s="159">
        <f>IF(F28+SUM(E$17:E28)=D$10,F28,D$10-SUM(E$17:E28))</f>
        <v>11699900.620168539</v>
      </c>
      <c r="E29" s="160">
        <f t="shared" si="2"/>
        <v>372067.83720930235</v>
      </c>
      <c r="F29" s="159">
        <f t="shared" si="3"/>
        <v>11327832.782959236</v>
      </c>
      <c r="G29" s="161">
        <f t="shared" si="4"/>
        <v>1518338.57928761</v>
      </c>
      <c r="H29" s="142">
        <f t="shared" si="5"/>
        <v>1518338.57928761</v>
      </c>
      <c r="I29" s="156">
        <f t="shared" si="1"/>
        <v>0</v>
      </c>
      <c r="J29" s="156"/>
      <c r="K29" s="334"/>
      <c r="L29" s="158">
        <f t="shared" si="6"/>
        <v>0</v>
      </c>
      <c r="M29" s="334"/>
      <c r="N29" s="158">
        <f t="shared" si="7"/>
        <v>0</v>
      </c>
      <c r="O29" s="158">
        <f t="shared" si="8"/>
        <v>0</v>
      </c>
      <c r="P29" s="4"/>
    </row>
    <row r="30" spans="2:16">
      <c r="B30" s="9" t="str">
        <f t="shared" si="0"/>
        <v/>
      </c>
      <c r="C30" s="153">
        <f>IF(D11="","-",+C29+1)</f>
        <v>2028</v>
      </c>
      <c r="D30" s="159">
        <f>IF(F29+SUM(E$17:E29)=D$10,F29,D$10-SUM(E$17:E29))</f>
        <v>11327832.782959236</v>
      </c>
      <c r="E30" s="160">
        <f t="shared" si="2"/>
        <v>372067.83720930235</v>
      </c>
      <c r="F30" s="159">
        <f t="shared" si="3"/>
        <v>10955764.945749933</v>
      </c>
      <c r="G30" s="161">
        <f t="shared" si="4"/>
        <v>1481297.1155538452</v>
      </c>
      <c r="H30" s="142">
        <f t="shared" si="5"/>
        <v>1481297.1155538452</v>
      </c>
      <c r="I30" s="156">
        <f t="shared" si="1"/>
        <v>0</v>
      </c>
      <c r="J30" s="156"/>
      <c r="K30" s="334"/>
      <c r="L30" s="158">
        <f t="shared" si="6"/>
        <v>0</v>
      </c>
      <c r="M30" s="334"/>
      <c r="N30" s="158">
        <f t="shared" si="7"/>
        <v>0</v>
      </c>
      <c r="O30" s="158">
        <f t="shared" si="8"/>
        <v>0</v>
      </c>
      <c r="P30" s="4"/>
    </row>
    <row r="31" spans="2:16">
      <c r="B31" s="9" t="str">
        <f t="shared" si="0"/>
        <v/>
      </c>
      <c r="C31" s="153">
        <f>IF(D11="","-",+C30+1)</f>
        <v>2029</v>
      </c>
      <c r="D31" s="159">
        <f>IF(F30+SUM(E$17:E30)=D$10,F30,D$10-SUM(E$17:E30))</f>
        <v>10955764.945749933</v>
      </c>
      <c r="E31" s="160">
        <f t="shared" si="2"/>
        <v>372067.83720930235</v>
      </c>
      <c r="F31" s="159">
        <f t="shared" si="3"/>
        <v>10583697.10854063</v>
      </c>
      <c r="G31" s="161">
        <f t="shared" si="4"/>
        <v>1444255.6518200808</v>
      </c>
      <c r="H31" s="142">
        <f t="shared" si="5"/>
        <v>1444255.6518200808</v>
      </c>
      <c r="I31" s="156">
        <f t="shared" si="1"/>
        <v>0</v>
      </c>
      <c r="J31" s="156"/>
      <c r="K31" s="334"/>
      <c r="L31" s="158">
        <f t="shared" si="6"/>
        <v>0</v>
      </c>
      <c r="M31" s="334"/>
      <c r="N31" s="158">
        <f t="shared" si="7"/>
        <v>0</v>
      </c>
      <c r="O31" s="158">
        <f t="shared" si="8"/>
        <v>0</v>
      </c>
      <c r="P31" s="4"/>
    </row>
    <row r="32" spans="2:16">
      <c r="B32" s="9" t="str">
        <f t="shared" si="0"/>
        <v/>
      </c>
      <c r="C32" s="153">
        <f>IF(D11="","-",+C31+1)</f>
        <v>2030</v>
      </c>
      <c r="D32" s="159">
        <f>IF(F31+SUM(E$17:E31)=D$10,F31,D$10-SUM(E$17:E31))</f>
        <v>10583697.10854063</v>
      </c>
      <c r="E32" s="160">
        <f t="shared" si="2"/>
        <v>372067.83720930235</v>
      </c>
      <c r="F32" s="159">
        <f t="shared" si="3"/>
        <v>10211629.271331327</v>
      </c>
      <c r="G32" s="161">
        <f t="shared" si="4"/>
        <v>1407214.188086316</v>
      </c>
      <c r="H32" s="142">
        <f t="shared" si="5"/>
        <v>1407214.188086316</v>
      </c>
      <c r="I32" s="156">
        <f t="shared" si="1"/>
        <v>0</v>
      </c>
      <c r="J32" s="156"/>
      <c r="K32" s="334"/>
      <c r="L32" s="158">
        <f t="shared" si="6"/>
        <v>0</v>
      </c>
      <c r="M32" s="334"/>
      <c r="N32" s="158">
        <f t="shared" si="7"/>
        <v>0</v>
      </c>
      <c r="O32" s="158">
        <f t="shared" si="8"/>
        <v>0</v>
      </c>
      <c r="P32" s="4"/>
    </row>
    <row r="33" spans="2:16">
      <c r="B33" s="9" t="str">
        <f t="shared" si="0"/>
        <v/>
      </c>
      <c r="C33" s="153">
        <f>IF(D11="","-",+C32+1)</f>
        <v>2031</v>
      </c>
      <c r="D33" s="159">
        <f>IF(F32+SUM(E$17:E32)=D$10,F32,D$10-SUM(E$17:E32))</f>
        <v>10211629.271331327</v>
      </c>
      <c r="E33" s="160">
        <f t="shared" si="2"/>
        <v>372067.83720930235</v>
      </c>
      <c r="F33" s="159">
        <f t="shared" si="3"/>
        <v>9839561.4341220241</v>
      </c>
      <c r="G33" s="161">
        <f t="shared" si="4"/>
        <v>1370172.7243525516</v>
      </c>
      <c r="H33" s="142">
        <f t="shared" si="5"/>
        <v>1370172.7243525516</v>
      </c>
      <c r="I33" s="156">
        <f t="shared" si="1"/>
        <v>0</v>
      </c>
      <c r="J33" s="156"/>
      <c r="K33" s="334"/>
      <c r="L33" s="158">
        <f t="shared" si="6"/>
        <v>0</v>
      </c>
      <c r="M33" s="334"/>
      <c r="N33" s="158">
        <f t="shared" si="7"/>
        <v>0</v>
      </c>
      <c r="O33" s="158">
        <f t="shared" si="8"/>
        <v>0</v>
      </c>
      <c r="P33" s="4"/>
    </row>
    <row r="34" spans="2:16">
      <c r="B34" s="9" t="str">
        <f t="shared" si="0"/>
        <v/>
      </c>
      <c r="C34" s="153">
        <f>IF(D11="","-",+C33+1)</f>
        <v>2032</v>
      </c>
      <c r="D34" s="159">
        <f>IF(F33+SUM(E$17:E33)=D$10,F33,D$10-SUM(E$17:E33))</f>
        <v>9839561.4341220241</v>
      </c>
      <c r="E34" s="160">
        <f t="shared" si="2"/>
        <v>372067.83720930235</v>
      </c>
      <c r="F34" s="159">
        <f t="shared" si="3"/>
        <v>9467493.5969127212</v>
      </c>
      <c r="G34" s="161">
        <f t="shared" si="4"/>
        <v>1333131.2606187868</v>
      </c>
      <c r="H34" s="142">
        <f t="shared" si="5"/>
        <v>1333131.2606187868</v>
      </c>
      <c r="I34" s="156">
        <f t="shared" si="1"/>
        <v>0</v>
      </c>
      <c r="J34" s="156"/>
      <c r="K34" s="334"/>
      <c r="L34" s="158">
        <f t="shared" si="6"/>
        <v>0</v>
      </c>
      <c r="M34" s="334"/>
      <c r="N34" s="158">
        <f t="shared" si="7"/>
        <v>0</v>
      </c>
      <c r="O34" s="158">
        <f t="shared" si="8"/>
        <v>0</v>
      </c>
      <c r="P34" s="4"/>
    </row>
    <row r="35" spans="2:16">
      <c r="B35" s="9" t="str">
        <f t="shared" si="0"/>
        <v/>
      </c>
      <c r="C35" s="153">
        <f>IF(D11="","-",+C34+1)</f>
        <v>2033</v>
      </c>
      <c r="D35" s="159">
        <f>IF(F34+SUM(E$17:E34)=D$10,F34,D$10-SUM(E$17:E34))</f>
        <v>9467493.5969127212</v>
      </c>
      <c r="E35" s="160">
        <f t="shared" si="2"/>
        <v>372067.83720930235</v>
      </c>
      <c r="F35" s="159">
        <f t="shared" si="3"/>
        <v>9095425.7597034182</v>
      </c>
      <c r="G35" s="161">
        <f t="shared" si="4"/>
        <v>1296089.7968850224</v>
      </c>
      <c r="H35" s="142">
        <f t="shared" si="5"/>
        <v>1296089.7968850224</v>
      </c>
      <c r="I35" s="156">
        <f t="shared" si="1"/>
        <v>0</v>
      </c>
      <c r="J35" s="156"/>
      <c r="K35" s="334"/>
      <c r="L35" s="158">
        <f t="shared" si="6"/>
        <v>0</v>
      </c>
      <c r="M35" s="334"/>
      <c r="N35" s="158">
        <f t="shared" si="7"/>
        <v>0</v>
      </c>
      <c r="O35" s="158">
        <f t="shared" si="8"/>
        <v>0</v>
      </c>
      <c r="P35" s="4"/>
    </row>
    <row r="36" spans="2:16">
      <c r="B36" s="9" t="str">
        <f t="shared" si="0"/>
        <v/>
      </c>
      <c r="C36" s="153">
        <f>IF(D11="","-",+C35+1)</f>
        <v>2034</v>
      </c>
      <c r="D36" s="159">
        <f>IF(F35+SUM(E$17:E35)=D$10,F35,D$10-SUM(E$17:E35))</f>
        <v>9095425.7597034182</v>
      </c>
      <c r="E36" s="160">
        <f t="shared" si="2"/>
        <v>372067.83720930235</v>
      </c>
      <c r="F36" s="159">
        <f t="shared" si="3"/>
        <v>8723357.9224941153</v>
      </c>
      <c r="G36" s="161">
        <f t="shared" si="4"/>
        <v>1259048.3331512576</v>
      </c>
      <c r="H36" s="142">
        <f t="shared" si="5"/>
        <v>1259048.3331512576</v>
      </c>
      <c r="I36" s="156">
        <f t="shared" si="1"/>
        <v>0</v>
      </c>
      <c r="J36" s="156"/>
      <c r="K36" s="334"/>
      <c r="L36" s="158">
        <f t="shared" si="6"/>
        <v>0</v>
      </c>
      <c r="M36" s="334"/>
      <c r="N36" s="158">
        <f t="shared" si="7"/>
        <v>0</v>
      </c>
      <c r="O36" s="158">
        <f t="shared" si="8"/>
        <v>0</v>
      </c>
      <c r="P36" s="4"/>
    </row>
    <row r="37" spans="2:16">
      <c r="B37" s="9" t="str">
        <f t="shared" si="0"/>
        <v/>
      </c>
      <c r="C37" s="153">
        <f>IF(D11="","-",+C36+1)</f>
        <v>2035</v>
      </c>
      <c r="D37" s="159">
        <f>IF(F36+SUM(E$17:E36)=D$10,F36,D$10-SUM(E$17:E36))</f>
        <v>8723357.9224941153</v>
      </c>
      <c r="E37" s="160">
        <f t="shared" si="2"/>
        <v>372067.83720930235</v>
      </c>
      <c r="F37" s="159">
        <f t="shared" si="3"/>
        <v>8351290.0852848133</v>
      </c>
      <c r="G37" s="161">
        <f t="shared" si="4"/>
        <v>1222006.869417493</v>
      </c>
      <c r="H37" s="142">
        <f t="shared" si="5"/>
        <v>1222006.869417493</v>
      </c>
      <c r="I37" s="156">
        <f t="shared" si="1"/>
        <v>0</v>
      </c>
      <c r="J37" s="156"/>
      <c r="K37" s="334"/>
      <c r="L37" s="158">
        <f t="shared" si="6"/>
        <v>0</v>
      </c>
      <c r="M37" s="334"/>
      <c r="N37" s="158">
        <f t="shared" si="7"/>
        <v>0</v>
      </c>
      <c r="O37" s="158">
        <f t="shared" si="8"/>
        <v>0</v>
      </c>
      <c r="P37" s="4"/>
    </row>
    <row r="38" spans="2:16">
      <c r="B38" s="9" t="str">
        <f t="shared" si="0"/>
        <v/>
      </c>
      <c r="C38" s="153">
        <f>IF(D11="","-",+C37+1)</f>
        <v>2036</v>
      </c>
      <c r="D38" s="159">
        <f>IF(F37+SUM(E$17:E37)=D$10,F37,D$10-SUM(E$17:E37))</f>
        <v>8351290.0852848133</v>
      </c>
      <c r="E38" s="160">
        <f t="shared" si="2"/>
        <v>372067.83720930235</v>
      </c>
      <c r="F38" s="159">
        <f t="shared" si="3"/>
        <v>7979222.2480755113</v>
      </c>
      <c r="G38" s="161">
        <f t="shared" si="4"/>
        <v>1184965.4056837286</v>
      </c>
      <c r="H38" s="142">
        <f t="shared" si="5"/>
        <v>1184965.4056837286</v>
      </c>
      <c r="I38" s="156">
        <f t="shared" si="1"/>
        <v>0</v>
      </c>
      <c r="J38" s="156"/>
      <c r="K38" s="334"/>
      <c r="L38" s="158">
        <f t="shared" si="6"/>
        <v>0</v>
      </c>
      <c r="M38" s="334"/>
      <c r="N38" s="158">
        <f t="shared" si="7"/>
        <v>0</v>
      </c>
      <c r="O38" s="158">
        <f t="shared" si="8"/>
        <v>0</v>
      </c>
      <c r="P38" s="4"/>
    </row>
    <row r="39" spans="2:16">
      <c r="B39" s="9" t="str">
        <f t="shared" si="0"/>
        <v/>
      </c>
      <c r="C39" s="153">
        <f>IF(D11="","-",+C38+1)</f>
        <v>2037</v>
      </c>
      <c r="D39" s="159">
        <f>IF(F38+SUM(E$17:E38)=D$10,F38,D$10-SUM(E$17:E38))</f>
        <v>7979222.2480755113</v>
      </c>
      <c r="E39" s="160">
        <f t="shared" si="2"/>
        <v>372067.83720930235</v>
      </c>
      <c r="F39" s="159">
        <f t="shared" si="3"/>
        <v>7607154.4108662093</v>
      </c>
      <c r="G39" s="161">
        <f t="shared" si="4"/>
        <v>1147923.941949964</v>
      </c>
      <c r="H39" s="142">
        <f t="shared" si="5"/>
        <v>1147923.941949964</v>
      </c>
      <c r="I39" s="156">
        <f t="shared" si="1"/>
        <v>0</v>
      </c>
      <c r="J39" s="156"/>
      <c r="K39" s="334"/>
      <c r="L39" s="158">
        <f t="shared" si="6"/>
        <v>0</v>
      </c>
      <c r="M39" s="334"/>
      <c r="N39" s="158">
        <f t="shared" si="7"/>
        <v>0</v>
      </c>
      <c r="O39" s="158">
        <f t="shared" si="8"/>
        <v>0</v>
      </c>
      <c r="P39" s="4"/>
    </row>
    <row r="40" spans="2:16">
      <c r="B40" s="9" t="str">
        <f t="shared" si="0"/>
        <v/>
      </c>
      <c r="C40" s="153">
        <f>IF(D11="","-",+C39+1)</f>
        <v>2038</v>
      </c>
      <c r="D40" s="159">
        <f>IF(F39+SUM(E$17:E39)=D$10,F39,D$10-SUM(E$17:E39))</f>
        <v>7607154.4108662093</v>
      </c>
      <c r="E40" s="160">
        <f t="shared" si="2"/>
        <v>372067.83720930235</v>
      </c>
      <c r="F40" s="159">
        <f t="shared" si="3"/>
        <v>7235086.5736569073</v>
      </c>
      <c r="G40" s="161">
        <f t="shared" si="4"/>
        <v>1110882.4782161997</v>
      </c>
      <c r="H40" s="142">
        <f t="shared" si="5"/>
        <v>1110882.4782161997</v>
      </c>
      <c r="I40" s="156">
        <f t="shared" si="1"/>
        <v>0</v>
      </c>
      <c r="J40" s="156"/>
      <c r="K40" s="334"/>
      <c r="L40" s="158">
        <f t="shared" si="6"/>
        <v>0</v>
      </c>
      <c r="M40" s="334"/>
      <c r="N40" s="158">
        <f t="shared" si="7"/>
        <v>0</v>
      </c>
      <c r="O40" s="158">
        <f t="shared" si="8"/>
        <v>0</v>
      </c>
      <c r="P40" s="4"/>
    </row>
    <row r="41" spans="2:16">
      <c r="B41" s="9" t="str">
        <f t="shared" si="0"/>
        <v/>
      </c>
      <c r="C41" s="153">
        <f>IF(D11="","-",+C40+1)</f>
        <v>2039</v>
      </c>
      <c r="D41" s="159">
        <f>IF(F40+SUM(E$17:E40)=D$10,F40,D$10-SUM(E$17:E40))</f>
        <v>7235086.5736569073</v>
      </c>
      <c r="E41" s="160">
        <f t="shared" si="2"/>
        <v>372067.83720930235</v>
      </c>
      <c r="F41" s="159">
        <f t="shared" si="3"/>
        <v>6863018.7364476053</v>
      </c>
      <c r="G41" s="161">
        <f t="shared" si="4"/>
        <v>1073841.0144824351</v>
      </c>
      <c r="H41" s="142">
        <f t="shared" si="5"/>
        <v>1073841.0144824351</v>
      </c>
      <c r="I41" s="156">
        <f t="shared" si="1"/>
        <v>0</v>
      </c>
      <c r="J41" s="156"/>
      <c r="K41" s="334"/>
      <c r="L41" s="158">
        <f t="shared" si="6"/>
        <v>0</v>
      </c>
      <c r="M41" s="334"/>
      <c r="N41" s="158">
        <f t="shared" si="7"/>
        <v>0</v>
      </c>
      <c r="O41" s="158">
        <f t="shared" si="8"/>
        <v>0</v>
      </c>
      <c r="P41" s="4"/>
    </row>
    <row r="42" spans="2:16">
      <c r="B42" s="9" t="str">
        <f t="shared" si="0"/>
        <v/>
      </c>
      <c r="C42" s="153">
        <f>IF(D11="","-",+C41+1)</f>
        <v>2040</v>
      </c>
      <c r="D42" s="159">
        <f>IF(F41+SUM(E$17:E41)=D$10,F41,D$10-SUM(E$17:E41))</f>
        <v>6863018.7364476053</v>
      </c>
      <c r="E42" s="160">
        <f t="shared" si="2"/>
        <v>372067.83720930235</v>
      </c>
      <c r="F42" s="159">
        <f t="shared" si="3"/>
        <v>6490950.8992383033</v>
      </c>
      <c r="G42" s="161">
        <f t="shared" si="4"/>
        <v>1036799.5507486706</v>
      </c>
      <c r="H42" s="142">
        <f t="shared" si="5"/>
        <v>1036799.5507486706</v>
      </c>
      <c r="I42" s="156">
        <f t="shared" si="1"/>
        <v>0</v>
      </c>
      <c r="J42" s="156"/>
      <c r="K42" s="334"/>
      <c r="L42" s="158">
        <f t="shared" si="6"/>
        <v>0</v>
      </c>
      <c r="M42" s="334"/>
      <c r="N42" s="158">
        <f t="shared" si="7"/>
        <v>0</v>
      </c>
      <c r="O42" s="158">
        <f t="shared" si="8"/>
        <v>0</v>
      </c>
      <c r="P42" s="4"/>
    </row>
    <row r="43" spans="2:16">
      <c r="B43" s="9" t="str">
        <f t="shared" si="0"/>
        <v/>
      </c>
      <c r="C43" s="153">
        <f>IF(D11="","-",+C42+1)</f>
        <v>2041</v>
      </c>
      <c r="D43" s="159">
        <f>IF(F42+SUM(E$17:E42)=D$10,F42,D$10-SUM(E$17:E42))</f>
        <v>6490950.8992383033</v>
      </c>
      <c r="E43" s="160">
        <f t="shared" si="2"/>
        <v>372067.83720930235</v>
      </c>
      <c r="F43" s="159">
        <f t="shared" si="3"/>
        <v>6118883.0620290013</v>
      </c>
      <c r="G43" s="161">
        <f t="shared" si="4"/>
        <v>999758.08701490599</v>
      </c>
      <c r="H43" s="142">
        <f t="shared" si="5"/>
        <v>999758.08701490599</v>
      </c>
      <c r="I43" s="156">
        <f t="shared" si="1"/>
        <v>0</v>
      </c>
      <c r="J43" s="156"/>
      <c r="K43" s="334"/>
      <c r="L43" s="158">
        <f t="shared" si="6"/>
        <v>0</v>
      </c>
      <c r="M43" s="334"/>
      <c r="N43" s="158">
        <f t="shared" si="7"/>
        <v>0</v>
      </c>
      <c r="O43" s="158">
        <f t="shared" si="8"/>
        <v>0</v>
      </c>
      <c r="P43" s="4"/>
    </row>
    <row r="44" spans="2:16">
      <c r="B44" s="9" t="str">
        <f t="shared" si="0"/>
        <v/>
      </c>
      <c r="C44" s="153">
        <f>IF(D11="","-",+C43+1)</f>
        <v>2042</v>
      </c>
      <c r="D44" s="159">
        <f>IF(F43+SUM(E$17:E43)=D$10,F43,D$10-SUM(E$17:E43))</f>
        <v>6118883.0620290013</v>
      </c>
      <c r="E44" s="160">
        <f t="shared" si="2"/>
        <v>372067.83720930235</v>
      </c>
      <c r="F44" s="159">
        <f t="shared" si="3"/>
        <v>5746815.2248196993</v>
      </c>
      <c r="G44" s="161">
        <f t="shared" si="4"/>
        <v>962716.62328114163</v>
      </c>
      <c r="H44" s="142">
        <f t="shared" si="5"/>
        <v>962716.62328114163</v>
      </c>
      <c r="I44" s="156">
        <f t="shared" si="1"/>
        <v>0</v>
      </c>
      <c r="J44" s="156"/>
      <c r="K44" s="334"/>
      <c r="L44" s="158">
        <f t="shared" si="6"/>
        <v>0</v>
      </c>
      <c r="M44" s="334"/>
      <c r="N44" s="158">
        <f t="shared" si="7"/>
        <v>0</v>
      </c>
      <c r="O44" s="158">
        <f t="shared" si="8"/>
        <v>0</v>
      </c>
      <c r="P44" s="4"/>
    </row>
    <row r="45" spans="2:16">
      <c r="B45" s="9" t="str">
        <f t="shared" si="0"/>
        <v/>
      </c>
      <c r="C45" s="153">
        <f>IF(D11="","-",+C44+1)</f>
        <v>2043</v>
      </c>
      <c r="D45" s="159">
        <f>IF(F44+SUM(E$17:E44)=D$10,F44,D$10-SUM(E$17:E44))</f>
        <v>5746815.2248196993</v>
      </c>
      <c r="E45" s="160">
        <f t="shared" si="2"/>
        <v>372067.83720930235</v>
      </c>
      <c r="F45" s="159">
        <f t="shared" si="3"/>
        <v>5374747.3876103973</v>
      </c>
      <c r="G45" s="161">
        <f t="shared" si="4"/>
        <v>925675.15954737703</v>
      </c>
      <c r="H45" s="142">
        <f t="shared" si="5"/>
        <v>925675.15954737703</v>
      </c>
      <c r="I45" s="156">
        <f t="shared" si="1"/>
        <v>0</v>
      </c>
      <c r="J45" s="156"/>
      <c r="K45" s="334"/>
      <c r="L45" s="158">
        <f t="shared" si="6"/>
        <v>0</v>
      </c>
      <c r="M45" s="334"/>
      <c r="N45" s="158">
        <f t="shared" si="7"/>
        <v>0</v>
      </c>
      <c r="O45" s="158">
        <f t="shared" si="8"/>
        <v>0</v>
      </c>
      <c r="P45" s="4"/>
    </row>
    <row r="46" spans="2:16">
      <c r="B46" s="9" t="str">
        <f t="shared" si="0"/>
        <v/>
      </c>
      <c r="C46" s="153">
        <f>IF(D11="","-",+C45+1)</f>
        <v>2044</v>
      </c>
      <c r="D46" s="159">
        <f>IF(F45+SUM(E$17:E45)=D$10,F45,D$10-SUM(E$17:E45))</f>
        <v>5374747.3876103973</v>
      </c>
      <c r="E46" s="160">
        <f t="shared" si="2"/>
        <v>372067.83720930235</v>
      </c>
      <c r="F46" s="159">
        <f t="shared" si="3"/>
        <v>5002679.5504010953</v>
      </c>
      <c r="G46" s="161">
        <f t="shared" si="4"/>
        <v>888633.69581361255</v>
      </c>
      <c r="H46" s="142">
        <f t="shared" si="5"/>
        <v>888633.69581361255</v>
      </c>
      <c r="I46" s="156">
        <f t="shared" si="1"/>
        <v>0</v>
      </c>
      <c r="J46" s="156"/>
      <c r="K46" s="334"/>
      <c r="L46" s="158">
        <f t="shared" si="6"/>
        <v>0</v>
      </c>
      <c r="M46" s="334"/>
      <c r="N46" s="158">
        <f t="shared" si="7"/>
        <v>0</v>
      </c>
      <c r="O46" s="158">
        <f t="shared" si="8"/>
        <v>0</v>
      </c>
      <c r="P46" s="4"/>
    </row>
    <row r="47" spans="2:16">
      <c r="B47" s="9" t="str">
        <f t="shared" si="0"/>
        <v/>
      </c>
      <c r="C47" s="153">
        <f>IF(D11="","-",+C46+1)</f>
        <v>2045</v>
      </c>
      <c r="D47" s="159">
        <f>IF(F46+SUM(E$17:E46)=D$10,F46,D$10-SUM(E$17:E46))</f>
        <v>5002679.5504010953</v>
      </c>
      <c r="E47" s="160">
        <f t="shared" si="2"/>
        <v>372067.83720930235</v>
      </c>
      <c r="F47" s="159">
        <f t="shared" si="3"/>
        <v>4630611.7131917933</v>
      </c>
      <c r="G47" s="161">
        <f t="shared" si="4"/>
        <v>851592.23207984795</v>
      </c>
      <c r="H47" s="142">
        <f t="shared" si="5"/>
        <v>851592.23207984795</v>
      </c>
      <c r="I47" s="156">
        <f t="shared" si="1"/>
        <v>0</v>
      </c>
      <c r="J47" s="156"/>
      <c r="K47" s="334"/>
      <c r="L47" s="158">
        <f t="shared" si="6"/>
        <v>0</v>
      </c>
      <c r="M47" s="334"/>
      <c r="N47" s="158">
        <f t="shared" si="7"/>
        <v>0</v>
      </c>
      <c r="O47" s="158">
        <f t="shared" si="8"/>
        <v>0</v>
      </c>
      <c r="P47" s="4"/>
    </row>
    <row r="48" spans="2:16">
      <c r="B48" s="9" t="str">
        <f t="shared" si="0"/>
        <v/>
      </c>
      <c r="C48" s="153">
        <f>IF(D11="","-",+C47+1)</f>
        <v>2046</v>
      </c>
      <c r="D48" s="159">
        <f>IF(F47+SUM(E$17:E47)=D$10,F47,D$10-SUM(E$17:E47))</f>
        <v>4630611.7131917933</v>
      </c>
      <c r="E48" s="160">
        <f t="shared" si="2"/>
        <v>372067.83720930235</v>
      </c>
      <c r="F48" s="159">
        <f t="shared" si="3"/>
        <v>4258543.8759824913</v>
      </c>
      <c r="G48" s="161">
        <f t="shared" si="4"/>
        <v>814550.76834608358</v>
      </c>
      <c r="H48" s="142">
        <f t="shared" si="5"/>
        <v>814550.76834608358</v>
      </c>
      <c r="I48" s="156">
        <f t="shared" si="1"/>
        <v>0</v>
      </c>
      <c r="J48" s="156"/>
      <c r="K48" s="334"/>
      <c r="L48" s="158">
        <f t="shared" si="6"/>
        <v>0</v>
      </c>
      <c r="M48" s="334"/>
      <c r="N48" s="158">
        <f t="shared" si="7"/>
        <v>0</v>
      </c>
      <c r="O48" s="158">
        <f t="shared" si="8"/>
        <v>0</v>
      </c>
      <c r="P48" s="4"/>
    </row>
    <row r="49" spans="2:16">
      <c r="B49" s="9" t="str">
        <f t="shared" si="0"/>
        <v/>
      </c>
      <c r="C49" s="153">
        <f>IF(D11="","-",+C48+1)</f>
        <v>2047</v>
      </c>
      <c r="D49" s="159">
        <f>IF(F48+SUM(E$17:E48)=D$10,F48,D$10-SUM(E$17:E48))</f>
        <v>4258543.8759824913</v>
      </c>
      <c r="E49" s="160">
        <f t="shared" si="2"/>
        <v>372067.83720930235</v>
      </c>
      <c r="F49" s="159">
        <f t="shared" si="3"/>
        <v>3886476.0387731888</v>
      </c>
      <c r="G49" s="161">
        <f t="shared" si="4"/>
        <v>777509.30461231899</v>
      </c>
      <c r="H49" s="142">
        <f t="shared" si="5"/>
        <v>777509.30461231899</v>
      </c>
      <c r="I49" s="156">
        <f t="shared" si="1"/>
        <v>0</v>
      </c>
      <c r="J49" s="156"/>
      <c r="K49" s="334"/>
      <c r="L49" s="158">
        <f t="shared" si="6"/>
        <v>0</v>
      </c>
      <c r="M49" s="334"/>
      <c r="N49" s="158">
        <f t="shared" si="7"/>
        <v>0</v>
      </c>
      <c r="O49" s="158">
        <f t="shared" si="8"/>
        <v>0</v>
      </c>
      <c r="P49" s="4"/>
    </row>
    <row r="50" spans="2:16">
      <c r="B50" s="9" t="str">
        <f t="shared" si="0"/>
        <v/>
      </c>
      <c r="C50" s="153">
        <f>IF(D11="","-",+C49+1)</f>
        <v>2048</v>
      </c>
      <c r="D50" s="159">
        <f>IF(F49+SUM(E$17:E49)=D$10,F49,D$10-SUM(E$17:E49))</f>
        <v>3886476.0387731888</v>
      </c>
      <c r="E50" s="160">
        <f t="shared" si="2"/>
        <v>372067.83720930235</v>
      </c>
      <c r="F50" s="159">
        <f t="shared" si="3"/>
        <v>3514408.2015638864</v>
      </c>
      <c r="G50" s="161">
        <f t="shared" si="4"/>
        <v>740467.84087855439</v>
      </c>
      <c r="H50" s="142">
        <f t="shared" si="5"/>
        <v>740467.84087855439</v>
      </c>
      <c r="I50" s="156">
        <f t="shared" si="1"/>
        <v>0</v>
      </c>
      <c r="J50" s="156"/>
      <c r="K50" s="334"/>
      <c r="L50" s="158">
        <f t="shared" si="6"/>
        <v>0</v>
      </c>
      <c r="M50" s="334"/>
      <c r="N50" s="158">
        <f t="shared" si="7"/>
        <v>0</v>
      </c>
      <c r="O50" s="158">
        <f t="shared" si="8"/>
        <v>0</v>
      </c>
      <c r="P50" s="4"/>
    </row>
    <row r="51" spans="2:16">
      <c r="B51" s="9" t="str">
        <f t="shared" si="0"/>
        <v/>
      </c>
      <c r="C51" s="153">
        <f>IF(D11="","-",+C50+1)</f>
        <v>2049</v>
      </c>
      <c r="D51" s="159">
        <f>IF(F50+SUM(E$17:E50)=D$10,F50,D$10-SUM(E$17:E50))</f>
        <v>3514408.2015638864</v>
      </c>
      <c r="E51" s="160">
        <f t="shared" si="2"/>
        <v>372067.83720930235</v>
      </c>
      <c r="F51" s="159">
        <f t="shared" si="3"/>
        <v>3142340.3643545839</v>
      </c>
      <c r="G51" s="161">
        <f t="shared" ref="G51:G72" si="9">+I$12*((D51+F51)/2)+E51</f>
        <v>703426.37714478979</v>
      </c>
      <c r="H51" s="142">
        <f t="shared" ref="H51:H72" si="10">+I$13*((D51+F51)/2)+E51</f>
        <v>703426.37714478979</v>
      </c>
      <c r="I51" s="156">
        <f t="shared" si="1"/>
        <v>0</v>
      </c>
      <c r="J51" s="156"/>
      <c r="K51" s="334"/>
      <c r="L51" s="158">
        <f t="shared" si="6"/>
        <v>0</v>
      </c>
      <c r="M51" s="334"/>
      <c r="N51" s="158">
        <f t="shared" si="7"/>
        <v>0</v>
      </c>
      <c r="O51" s="158">
        <f t="shared" si="8"/>
        <v>0</v>
      </c>
      <c r="P51" s="4"/>
    </row>
    <row r="52" spans="2:16">
      <c r="B52" s="9" t="str">
        <f t="shared" si="0"/>
        <v/>
      </c>
      <c r="C52" s="153">
        <f>IF(D11="","-",+C51+1)</f>
        <v>2050</v>
      </c>
      <c r="D52" s="159">
        <f>IF(F51+SUM(E$17:E51)=D$10,F51,D$10-SUM(E$17:E51))</f>
        <v>3142340.3643545839</v>
      </c>
      <c r="E52" s="160">
        <f t="shared" si="2"/>
        <v>372067.83720930235</v>
      </c>
      <c r="F52" s="159">
        <f t="shared" si="3"/>
        <v>2770272.5271452814</v>
      </c>
      <c r="G52" s="161">
        <f t="shared" si="9"/>
        <v>666384.91341102531</v>
      </c>
      <c r="H52" s="142">
        <f t="shared" si="10"/>
        <v>666384.91341102531</v>
      </c>
      <c r="I52" s="156">
        <f t="shared" si="1"/>
        <v>0</v>
      </c>
      <c r="J52" s="156"/>
      <c r="K52" s="334"/>
      <c r="L52" s="158">
        <f t="shared" si="6"/>
        <v>0</v>
      </c>
      <c r="M52" s="334"/>
      <c r="N52" s="158">
        <f t="shared" si="7"/>
        <v>0</v>
      </c>
      <c r="O52" s="158">
        <f t="shared" si="8"/>
        <v>0</v>
      </c>
      <c r="P52" s="4"/>
    </row>
    <row r="53" spans="2:16">
      <c r="B53" s="9" t="str">
        <f t="shared" si="0"/>
        <v/>
      </c>
      <c r="C53" s="153">
        <f>IF(D11="","-",+C52+1)</f>
        <v>2051</v>
      </c>
      <c r="D53" s="159">
        <f>IF(F52+SUM(E$17:E52)=D$10,F52,D$10-SUM(E$17:E52))</f>
        <v>2770272.5271452814</v>
      </c>
      <c r="E53" s="160">
        <f t="shared" si="2"/>
        <v>372067.83720930235</v>
      </c>
      <c r="F53" s="159">
        <f t="shared" si="3"/>
        <v>2398204.689935979</v>
      </c>
      <c r="G53" s="161">
        <f t="shared" si="9"/>
        <v>629343.44967726071</v>
      </c>
      <c r="H53" s="142">
        <f t="shared" si="10"/>
        <v>629343.44967726071</v>
      </c>
      <c r="I53" s="156">
        <f t="shared" si="1"/>
        <v>0</v>
      </c>
      <c r="J53" s="156"/>
      <c r="K53" s="334"/>
      <c r="L53" s="158">
        <f t="shared" si="6"/>
        <v>0</v>
      </c>
      <c r="M53" s="334"/>
      <c r="N53" s="158">
        <f t="shared" si="7"/>
        <v>0</v>
      </c>
      <c r="O53" s="158">
        <f t="shared" si="8"/>
        <v>0</v>
      </c>
      <c r="P53" s="4"/>
    </row>
    <row r="54" spans="2:16">
      <c r="B54" s="9" t="str">
        <f t="shared" si="0"/>
        <v/>
      </c>
      <c r="C54" s="153">
        <f>IF(D11="","-",+C53+1)</f>
        <v>2052</v>
      </c>
      <c r="D54" s="159">
        <f>IF(F53+SUM(E$17:E53)=D$10,F53,D$10-SUM(E$17:E53))</f>
        <v>2398204.689935979</v>
      </c>
      <c r="E54" s="160">
        <f t="shared" si="2"/>
        <v>372067.83720930235</v>
      </c>
      <c r="F54" s="159">
        <f t="shared" si="3"/>
        <v>2026136.8527266765</v>
      </c>
      <c r="G54" s="161">
        <f t="shared" si="9"/>
        <v>592301.98594349623</v>
      </c>
      <c r="H54" s="142">
        <f t="shared" si="10"/>
        <v>592301.98594349623</v>
      </c>
      <c r="I54" s="156">
        <f t="shared" si="1"/>
        <v>0</v>
      </c>
      <c r="J54" s="156"/>
      <c r="K54" s="334"/>
      <c r="L54" s="158">
        <f t="shared" si="6"/>
        <v>0</v>
      </c>
      <c r="M54" s="334"/>
      <c r="N54" s="158">
        <f t="shared" si="7"/>
        <v>0</v>
      </c>
      <c r="O54" s="158">
        <f t="shared" si="8"/>
        <v>0</v>
      </c>
      <c r="P54" s="4"/>
    </row>
    <row r="55" spans="2:16">
      <c r="B55" s="9" t="str">
        <f t="shared" si="0"/>
        <v/>
      </c>
      <c r="C55" s="153">
        <f>IF(D11="","-",+C54+1)</f>
        <v>2053</v>
      </c>
      <c r="D55" s="159">
        <f>IF(F54+SUM(E$17:E54)=D$10,F54,D$10-SUM(E$17:E54))</f>
        <v>2026136.8527266765</v>
      </c>
      <c r="E55" s="160">
        <f t="shared" si="2"/>
        <v>372067.83720930235</v>
      </c>
      <c r="F55" s="159">
        <f t="shared" si="3"/>
        <v>1654069.015517374</v>
      </c>
      <c r="G55" s="161">
        <f t="shared" si="9"/>
        <v>555260.52220973163</v>
      </c>
      <c r="H55" s="142">
        <f t="shared" si="10"/>
        <v>555260.52220973163</v>
      </c>
      <c r="I55" s="156">
        <f t="shared" si="1"/>
        <v>0</v>
      </c>
      <c r="J55" s="156"/>
      <c r="K55" s="334"/>
      <c r="L55" s="158">
        <f t="shared" si="6"/>
        <v>0</v>
      </c>
      <c r="M55" s="334"/>
      <c r="N55" s="158">
        <f t="shared" si="7"/>
        <v>0</v>
      </c>
      <c r="O55" s="158">
        <f t="shared" si="8"/>
        <v>0</v>
      </c>
      <c r="P55" s="4"/>
    </row>
    <row r="56" spans="2:16">
      <c r="B56" s="9" t="str">
        <f t="shared" si="0"/>
        <v/>
      </c>
      <c r="C56" s="153">
        <f>IF(D11="","-",+C55+1)</f>
        <v>2054</v>
      </c>
      <c r="D56" s="159">
        <f>IF(F55+SUM(E$17:E55)=D$10,F55,D$10-SUM(E$17:E55))</f>
        <v>1654069.015517374</v>
      </c>
      <c r="E56" s="160">
        <f t="shared" si="2"/>
        <v>372067.83720930235</v>
      </c>
      <c r="F56" s="159">
        <f t="shared" si="3"/>
        <v>1282001.1783080716</v>
      </c>
      <c r="G56" s="161">
        <f t="shared" si="9"/>
        <v>518219.05847596709</v>
      </c>
      <c r="H56" s="142">
        <f t="shared" si="10"/>
        <v>518219.05847596709</v>
      </c>
      <c r="I56" s="156">
        <f t="shared" si="1"/>
        <v>0</v>
      </c>
      <c r="J56" s="156"/>
      <c r="K56" s="334"/>
      <c r="L56" s="158">
        <f t="shared" si="6"/>
        <v>0</v>
      </c>
      <c r="M56" s="334"/>
      <c r="N56" s="158">
        <f t="shared" si="7"/>
        <v>0</v>
      </c>
      <c r="O56" s="158">
        <f t="shared" si="8"/>
        <v>0</v>
      </c>
      <c r="P56" s="4"/>
    </row>
    <row r="57" spans="2:16">
      <c r="B57" s="9" t="str">
        <f t="shared" si="0"/>
        <v/>
      </c>
      <c r="C57" s="153">
        <f>IF(D11="","-",+C56+1)</f>
        <v>2055</v>
      </c>
      <c r="D57" s="159">
        <f>IF(F56+SUM(E$17:E56)=D$10,F56,D$10-SUM(E$17:E56))</f>
        <v>1282001.1783080716</v>
      </c>
      <c r="E57" s="160">
        <f t="shared" si="2"/>
        <v>372067.83720930235</v>
      </c>
      <c r="F57" s="159">
        <f t="shared" si="3"/>
        <v>909933.34109876922</v>
      </c>
      <c r="G57" s="161">
        <f t="shared" si="9"/>
        <v>481177.59474220255</v>
      </c>
      <c r="H57" s="142">
        <f t="shared" si="10"/>
        <v>481177.59474220255</v>
      </c>
      <c r="I57" s="156">
        <f t="shared" si="1"/>
        <v>0</v>
      </c>
      <c r="J57" s="156"/>
      <c r="K57" s="334"/>
      <c r="L57" s="158">
        <f t="shared" si="6"/>
        <v>0</v>
      </c>
      <c r="M57" s="334"/>
      <c r="N57" s="158">
        <f t="shared" si="7"/>
        <v>0</v>
      </c>
      <c r="O57" s="158">
        <f t="shared" si="8"/>
        <v>0</v>
      </c>
      <c r="P57" s="4"/>
    </row>
    <row r="58" spans="2:16">
      <c r="B58" s="9" t="str">
        <f t="shared" si="0"/>
        <v/>
      </c>
      <c r="C58" s="153">
        <f>IF(D11="","-",+C57+1)</f>
        <v>2056</v>
      </c>
      <c r="D58" s="159">
        <f>IF(F57+SUM(E$17:E57)=D$10,F57,D$10-SUM(E$17:E57))</f>
        <v>909933.34109876922</v>
      </c>
      <c r="E58" s="160">
        <f t="shared" si="2"/>
        <v>372067.83720930235</v>
      </c>
      <c r="F58" s="159">
        <f t="shared" si="3"/>
        <v>537865.50388946687</v>
      </c>
      <c r="G58" s="161">
        <f t="shared" si="9"/>
        <v>444136.13100843801</v>
      </c>
      <c r="H58" s="142">
        <f t="shared" si="10"/>
        <v>444136.13100843801</v>
      </c>
      <c r="I58" s="156">
        <f t="shared" si="1"/>
        <v>0</v>
      </c>
      <c r="J58" s="156"/>
      <c r="K58" s="334"/>
      <c r="L58" s="158">
        <f t="shared" si="6"/>
        <v>0</v>
      </c>
      <c r="M58" s="334"/>
      <c r="N58" s="158">
        <f t="shared" si="7"/>
        <v>0</v>
      </c>
      <c r="O58" s="158">
        <f t="shared" si="8"/>
        <v>0</v>
      </c>
      <c r="P58" s="4"/>
    </row>
    <row r="59" spans="2:16">
      <c r="B59" s="9" t="str">
        <f t="shared" si="0"/>
        <v/>
      </c>
      <c r="C59" s="153">
        <f>IF(D11="","-",+C58+1)</f>
        <v>2057</v>
      </c>
      <c r="D59" s="159">
        <f>IF(F58+SUM(E$17:E58)=D$10,F58,D$10-SUM(E$17:E58))</f>
        <v>537865.50388946687</v>
      </c>
      <c r="E59" s="160">
        <f t="shared" si="2"/>
        <v>372067.83720930235</v>
      </c>
      <c r="F59" s="159">
        <f t="shared" si="3"/>
        <v>165797.66668016452</v>
      </c>
      <c r="G59" s="161">
        <f t="shared" si="9"/>
        <v>407094.66727467347</v>
      </c>
      <c r="H59" s="142">
        <f t="shared" si="10"/>
        <v>407094.66727467347</v>
      </c>
      <c r="I59" s="156">
        <f t="shared" si="1"/>
        <v>0</v>
      </c>
      <c r="J59" s="156"/>
      <c r="K59" s="334"/>
      <c r="L59" s="158">
        <f t="shared" si="6"/>
        <v>0</v>
      </c>
      <c r="M59" s="334"/>
      <c r="N59" s="158">
        <f t="shared" si="7"/>
        <v>0</v>
      </c>
      <c r="O59" s="158">
        <f t="shared" si="8"/>
        <v>0</v>
      </c>
      <c r="P59" s="4"/>
    </row>
    <row r="60" spans="2:16">
      <c r="B60" s="9" t="str">
        <f t="shared" si="0"/>
        <v/>
      </c>
      <c r="C60" s="153">
        <f>IF(D11="","-",+C59+1)</f>
        <v>2058</v>
      </c>
      <c r="D60" s="159">
        <f>IF(F59+SUM(E$17:E59)=D$10,F59,D$10-SUM(E$17:E59))</f>
        <v>165797.66668016452</v>
      </c>
      <c r="E60" s="160">
        <f t="shared" si="2"/>
        <v>165797.66668016452</v>
      </c>
      <c r="F60" s="159">
        <f t="shared" si="3"/>
        <v>0</v>
      </c>
      <c r="G60" s="161">
        <f t="shared" si="9"/>
        <v>174050.71577940893</v>
      </c>
      <c r="H60" s="142">
        <f t="shared" si="10"/>
        <v>174050.71577940893</v>
      </c>
      <c r="I60" s="156">
        <f t="shared" si="1"/>
        <v>0</v>
      </c>
      <c r="J60" s="156"/>
      <c r="K60" s="334"/>
      <c r="L60" s="158">
        <f t="shared" si="6"/>
        <v>0</v>
      </c>
      <c r="M60" s="334"/>
      <c r="N60" s="158">
        <f t="shared" si="7"/>
        <v>0</v>
      </c>
      <c r="O60" s="158">
        <f t="shared" si="8"/>
        <v>0</v>
      </c>
      <c r="P60" s="4"/>
    </row>
    <row r="61" spans="2:16">
      <c r="B61" s="9" t="str">
        <f t="shared" si="0"/>
        <v/>
      </c>
      <c r="C61" s="153">
        <f>IF(D11="","-",+C60+1)</f>
        <v>2059</v>
      </c>
      <c r="D61" s="159">
        <f>IF(F60+SUM(E$17:E60)=D$10,F60,D$10-SUM(E$17:E60))</f>
        <v>0</v>
      </c>
      <c r="E61" s="160">
        <f t="shared" si="2"/>
        <v>0</v>
      </c>
      <c r="F61" s="159">
        <f t="shared" si="3"/>
        <v>0</v>
      </c>
      <c r="G61" s="161">
        <f t="shared" si="9"/>
        <v>0</v>
      </c>
      <c r="H61" s="142">
        <f t="shared" si="10"/>
        <v>0</v>
      </c>
      <c r="I61" s="156">
        <f t="shared" si="1"/>
        <v>0</v>
      </c>
      <c r="J61" s="156"/>
      <c r="K61" s="334"/>
      <c r="L61" s="158">
        <f t="shared" si="6"/>
        <v>0</v>
      </c>
      <c r="M61" s="334"/>
      <c r="N61" s="158">
        <f t="shared" si="7"/>
        <v>0</v>
      </c>
      <c r="O61" s="158">
        <f t="shared" si="8"/>
        <v>0</v>
      </c>
      <c r="P61" s="4"/>
    </row>
    <row r="62" spans="2:16">
      <c r="B62" s="9" t="str">
        <f t="shared" si="0"/>
        <v/>
      </c>
      <c r="C62" s="153">
        <f>IF(D11="","-",+C61+1)</f>
        <v>2060</v>
      </c>
      <c r="D62" s="159">
        <f>IF(F61+SUM(E$17:E61)=D$10,F61,D$10-SUM(E$17:E61))</f>
        <v>0</v>
      </c>
      <c r="E62" s="160">
        <f t="shared" si="2"/>
        <v>0</v>
      </c>
      <c r="F62" s="159">
        <f t="shared" si="3"/>
        <v>0</v>
      </c>
      <c r="G62" s="161">
        <f t="shared" si="9"/>
        <v>0</v>
      </c>
      <c r="H62" s="142">
        <f t="shared" si="10"/>
        <v>0</v>
      </c>
      <c r="I62" s="156">
        <f t="shared" si="1"/>
        <v>0</v>
      </c>
      <c r="J62" s="156"/>
      <c r="K62" s="334"/>
      <c r="L62" s="158">
        <f t="shared" si="6"/>
        <v>0</v>
      </c>
      <c r="M62" s="334"/>
      <c r="N62" s="158">
        <f t="shared" si="7"/>
        <v>0</v>
      </c>
      <c r="O62" s="158">
        <f t="shared" si="8"/>
        <v>0</v>
      </c>
      <c r="P62" s="4"/>
    </row>
    <row r="63" spans="2:16">
      <c r="B63" s="9" t="str">
        <f t="shared" si="0"/>
        <v/>
      </c>
      <c r="C63" s="153">
        <f>IF(D11="","-",+C62+1)</f>
        <v>2061</v>
      </c>
      <c r="D63" s="159">
        <f>IF(F62+SUM(E$17:E62)=D$10,F62,D$10-SUM(E$17:E62))</f>
        <v>0</v>
      </c>
      <c r="E63" s="160">
        <f t="shared" si="2"/>
        <v>0</v>
      </c>
      <c r="F63" s="159">
        <f t="shared" si="3"/>
        <v>0</v>
      </c>
      <c r="G63" s="161">
        <f t="shared" si="9"/>
        <v>0</v>
      </c>
      <c r="H63" s="142">
        <f t="shared" si="10"/>
        <v>0</v>
      </c>
      <c r="I63" s="156">
        <f t="shared" si="1"/>
        <v>0</v>
      </c>
      <c r="J63" s="156"/>
      <c r="K63" s="334"/>
      <c r="L63" s="158">
        <f t="shared" si="6"/>
        <v>0</v>
      </c>
      <c r="M63" s="334"/>
      <c r="N63" s="158">
        <f t="shared" si="7"/>
        <v>0</v>
      </c>
      <c r="O63" s="158">
        <f t="shared" si="8"/>
        <v>0</v>
      </c>
      <c r="P63" s="4"/>
    </row>
    <row r="64" spans="2:16">
      <c r="B64" s="9" t="str">
        <f t="shared" si="0"/>
        <v/>
      </c>
      <c r="C64" s="153">
        <f>IF(D11="","-",+C63+1)</f>
        <v>2062</v>
      </c>
      <c r="D64" s="159">
        <f>IF(F63+SUM(E$17:E63)=D$10,F63,D$10-SUM(E$17:E63))</f>
        <v>0</v>
      </c>
      <c r="E64" s="160">
        <f t="shared" si="2"/>
        <v>0</v>
      </c>
      <c r="F64" s="159">
        <f t="shared" si="3"/>
        <v>0</v>
      </c>
      <c r="G64" s="161">
        <f t="shared" si="9"/>
        <v>0</v>
      </c>
      <c r="H64" s="142">
        <f t="shared" si="10"/>
        <v>0</v>
      </c>
      <c r="I64" s="156">
        <f t="shared" si="1"/>
        <v>0</v>
      </c>
      <c r="J64" s="156"/>
      <c r="K64" s="334"/>
      <c r="L64" s="158">
        <f t="shared" si="6"/>
        <v>0</v>
      </c>
      <c r="M64" s="334"/>
      <c r="N64" s="158">
        <f t="shared" si="7"/>
        <v>0</v>
      </c>
      <c r="O64" s="158">
        <f t="shared" si="8"/>
        <v>0</v>
      </c>
      <c r="P64" s="4"/>
    </row>
    <row r="65" spans="2:16">
      <c r="B65" s="9" t="str">
        <f t="shared" si="0"/>
        <v/>
      </c>
      <c r="C65" s="153">
        <f>IF(D11="","-",+C64+1)</f>
        <v>2063</v>
      </c>
      <c r="D65" s="159">
        <f>IF(F64+SUM(E$17:E64)=D$10,F64,D$10-SUM(E$17:E64))</f>
        <v>0</v>
      </c>
      <c r="E65" s="160">
        <f t="shared" si="2"/>
        <v>0</v>
      </c>
      <c r="F65" s="159">
        <f t="shared" si="3"/>
        <v>0</v>
      </c>
      <c r="G65" s="161">
        <f t="shared" si="9"/>
        <v>0</v>
      </c>
      <c r="H65" s="142">
        <f t="shared" si="10"/>
        <v>0</v>
      </c>
      <c r="I65" s="156">
        <f t="shared" si="1"/>
        <v>0</v>
      </c>
      <c r="J65" s="156"/>
      <c r="K65" s="334"/>
      <c r="L65" s="158">
        <f t="shared" si="6"/>
        <v>0</v>
      </c>
      <c r="M65" s="334"/>
      <c r="N65" s="158">
        <f t="shared" si="7"/>
        <v>0</v>
      </c>
      <c r="O65" s="158">
        <f t="shared" si="8"/>
        <v>0</v>
      </c>
      <c r="P65" s="4"/>
    </row>
    <row r="66" spans="2:16">
      <c r="B66" s="9" t="str">
        <f t="shared" si="0"/>
        <v/>
      </c>
      <c r="C66" s="153">
        <f>IF(D11="","-",+C65+1)</f>
        <v>2064</v>
      </c>
      <c r="D66" s="159">
        <f>IF(F65+SUM(E$17:E65)=D$10,F65,D$10-SUM(E$17:E65))</f>
        <v>0</v>
      </c>
      <c r="E66" s="160">
        <f t="shared" si="2"/>
        <v>0</v>
      </c>
      <c r="F66" s="159">
        <f t="shared" si="3"/>
        <v>0</v>
      </c>
      <c r="G66" s="161">
        <f t="shared" si="9"/>
        <v>0</v>
      </c>
      <c r="H66" s="142">
        <f t="shared" si="10"/>
        <v>0</v>
      </c>
      <c r="I66" s="156">
        <f t="shared" si="1"/>
        <v>0</v>
      </c>
      <c r="J66" s="156"/>
      <c r="K66" s="334"/>
      <c r="L66" s="158">
        <f t="shared" si="6"/>
        <v>0</v>
      </c>
      <c r="M66" s="334"/>
      <c r="N66" s="158">
        <f t="shared" si="7"/>
        <v>0</v>
      </c>
      <c r="O66" s="158">
        <f t="shared" si="8"/>
        <v>0</v>
      </c>
      <c r="P66" s="4"/>
    </row>
    <row r="67" spans="2:16">
      <c r="B67" s="9" t="str">
        <f t="shared" si="0"/>
        <v/>
      </c>
      <c r="C67" s="153">
        <f>IF(D11="","-",+C66+1)</f>
        <v>2065</v>
      </c>
      <c r="D67" s="159">
        <f>IF(F66+SUM(E$17:E66)=D$10,F66,D$10-SUM(E$17:E66))</f>
        <v>0</v>
      </c>
      <c r="E67" s="160">
        <f t="shared" si="2"/>
        <v>0</v>
      </c>
      <c r="F67" s="159">
        <f t="shared" si="3"/>
        <v>0</v>
      </c>
      <c r="G67" s="161">
        <f t="shared" si="9"/>
        <v>0</v>
      </c>
      <c r="H67" s="142">
        <f t="shared" si="10"/>
        <v>0</v>
      </c>
      <c r="I67" s="156">
        <f t="shared" si="1"/>
        <v>0</v>
      </c>
      <c r="J67" s="156"/>
      <c r="K67" s="334"/>
      <c r="L67" s="158">
        <f t="shared" si="6"/>
        <v>0</v>
      </c>
      <c r="M67" s="334"/>
      <c r="N67" s="158">
        <f t="shared" si="7"/>
        <v>0</v>
      </c>
      <c r="O67" s="158">
        <f t="shared" si="8"/>
        <v>0</v>
      </c>
      <c r="P67" s="4"/>
    </row>
    <row r="68" spans="2:16">
      <c r="B68" s="9" t="str">
        <f t="shared" si="0"/>
        <v/>
      </c>
      <c r="C68" s="153">
        <f>IF(D11="","-",+C67+1)</f>
        <v>2066</v>
      </c>
      <c r="D68" s="159">
        <f>IF(F67+SUM(E$17:E67)=D$10,F67,D$10-SUM(E$17:E67))</f>
        <v>0</v>
      </c>
      <c r="E68" s="160">
        <f t="shared" si="2"/>
        <v>0</v>
      </c>
      <c r="F68" s="159">
        <f t="shared" si="3"/>
        <v>0</v>
      </c>
      <c r="G68" s="161">
        <f t="shared" si="9"/>
        <v>0</v>
      </c>
      <c r="H68" s="142">
        <f t="shared" si="10"/>
        <v>0</v>
      </c>
      <c r="I68" s="156">
        <f t="shared" si="1"/>
        <v>0</v>
      </c>
      <c r="J68" s="156"/>
      <c r="K68" s="334"/>
      <c r="L68" s="158">
        <f t="shared" si="6"/>
        <v>0</v>
      </c>
      <c r="M68" s="334"/>
      <c r="N68" s="158">
        <f t="shared" si="7"/>
        <v>0</v>
      </c>
      <c r="O68" s="158">
        <f t="shared" si="8"/>
        <v>0</v>
      </c>
      <c r="P68" s="4"/>
    </row>
    <row r="69" spans="2:16">
      <c r="B69" s="9" t="str">
        <f t="shared" si="0"/>
        <v/>
      </c>
      <c r="C69" s="153">
        <f>IF(D11="","-",+C68+1)</f>
        <v>2067</v>
      </c>
      <c r="D69" s="159">
        <f>IF(F68+SUM(E$17:E68)=D$10,F68,D$10-SUM(E$17:E68))</f>
        <v>0</v>
      </c>
      <c r="E69" s="160">
        <f t="shared" si="2"/>
        <v>0</v>
      </c>
      <c r="F69" s="159">
        <f t="shared" si="3"/>
        <v>0</v>
      </c>
      <c r="G69" s="161">
        <f t="shared" si="9"/>
        <v>0</v>
      </c>
      <c r="H69" s="142">
        <f t="shared" si="10"/>
        <v>0</v>
      </c>
      <c r="I69" s="156">
        <f t="shared" si="1"/>
        <v>0</v>
      </c>
      <c r="J69" s="156"/>
      <c r="K69" s="334"/>
      <c r="L69" s="158">
        <f t="shared" si="6"/>
        <v>0</v>
      </c>
      <c r="M69" s="334"/>
      <c r="N69" s="158">
        <f t="shared" si="7"/>
        <v>0</v>
      </c>
      <c r="O69" s="158">
        <f t="shared" si="8"/>
        <v>0</v>
      </c>
      <c r="P69" s="4"/>
    </row>
    <row r="70" spans="2:16">
      <c r="B70" s="9" t="str">
        <f t="shared" si="0"/>
        <v/>
      </c>
      <c r="C70" s="153">
        <f>IF(D11="","-",+C69+1)</f>
        <v>2068</v>
      </c>
      <c r="D70" s="159">
        <f>IF(F69+SUM(E$17:E69)=D$10,F69,D$10-SUM(E$17:E69))</f>
        <v>0</v>
      </c>
      <c r="E70" s="160">
        <f t="shared" si="2"/>
        <v>0</v>
      </c>
      <c r="F70" s="159">
        <f t="shared" si="3"/>
        <v>0</v>
      </c>
      <c r="G70" s="161">
        <f t="shared" si="9"/>
        <v>0</v>
      </c>
      <c r="H70" s="142">
        <f t="shared" si="10"/>
        <v>0</v>
      </c>
      <c r="I70" s="156">
        <f t="shared" si="1"/>
        <v>0</v>
      </c>
      <c r="J70" s="156"/>
      <c r="K70" s="334"/>
      <c r="L70" s="158">
        <f t="shared" si="6"/>
        <v>0</v>
      </c>
      <c r="M70" s="334"/>
      <c r="N70" s="158">
        <f t="shared" si="7"/>
        <v>0</v>
      </c>
      <c r="O70" s="158">
        <f t="shared" si="8"/>
        <v>0</v>
      </c>
      <c r="P70" s="4"/>
    </row>
    <row r="71" spans="2:16">
      <c r="B71" s="9" t="str">
        <f t="shared" si="0"/>
        <v/>
      </c>
      <c r="C71" s="153">
        <f>IF(D11="","-",+C70+1)</f>
        <v>2069</v>
      </c>
      <c r="D71" s="159">
        <f>IF(F70+SUM(E$17:E70)=D$10,F70,D$10-SUM(E$17:E70))</f>
        <v>0</v>
      </c>
      <c r="E71" s="160">
        <f t="shared" si="2"/>
        <v>0</v>
      </c>
      <c r="F71" s="159">
        <f t="shared" si="3"/>
        <v>0</v>
      </c>
      <c r="G71" s="161">
        <f t="shared" si="9"/>
        <v>0</v>
      </c>
      <c r="H71" s="142">
        <f t="shared" si="10"/>
        <v>0</v>
      </c>
      <c r="I71" s="156">
        <f t="shared" si="1"/>
        <v>0</v>
      </c>
      <c r="J71" s="156"/>
      <c r="K71" s="334"/>
      <c r="L71" s="158">
        <f t="shared" si="6"/>
        <v>0</v>
      </c>
      <c r="M71" s="334"/>
      <c r="N71" s="158">
        <f t="shared" si="7"/>
        <v>0</v>
      </c>
      <c r="O71" s="158">
        <f t="shared" si="8"/>
        <v>0</v>
      </c>
      <c r="P71" s="4"/>
    </row>
    <row r="72" spans="2:16" ht="13.5" thickBot="1">
      <c r="B72" s="9" t="str">
        <f t="shared" si="0"/>
        <v/>
      </c>
      <c r="C72" s="164">
        <f>IF(D11="","-",+C71+1)</f>
        <v>2070</v>
      </c>
      <c r="D72" s="159">
        <f>IF(F71+SUM(E$17:E71)=D$10,F71,D$10-SUM(E$17:E71))</f>
        <v>0</v>
      </c>
      <c r="E72" s="160">
        <f t="shared" si="2"/>
        <v>0</v>
      </c>
      <c r="F72" s="159">
        <f t="shared" si="3"/>
        <v>0</v>
      </c>
      <c r="G72" s="161">
        <f t="shared" si="9"/>
        <v>0</v>
      </c>
      <c r="H72" s="142">
        <f t="shared" si="10"/>
        <v>0</v>
      </c>
      <c r="I72" s="156">
        <f t="shared" si="1"/>
        <v>0</v>
      </c>
      <c r="J72" s="156"/>
      <c r="K72" s="335"/>
      <c r="L72" s="169">
        <f t="shared" si="6"/>
        <v>0</v>
      </c>
      <c r="M72" s="335"/>
      <c r="N72" s="169">
        <f t="shared" si="7"/>
        <v>0</v>
      </c>
      <c r="O72" s="169">
        <f t="shared" si="8"/>
        <v>0</v>
      </c>
      <c r="P72" s="4"/>
    </row>
    <row r="73" spans="2:16">
      <c r="C73" s="154" t="s">
        <v>73</v>
      </c>
      <c r="D73" s="111"/>
      <c r="E73" s="111">
        <f>SUM(E17:E72)</f>
        <v>15998917.000000002</v>
      </c>
      <c r="F73" s="111"/>
      <c r="G73" s="111">
        <f>SUM(G17:G72)</f>
        <v>52371170.62144459</v>
      </c>
      <c r="H73" s="111">
        <f>SUM(H17:H72)</f>
        <v>52371170.62144459</v>
      </c>
      <c r="I73" s="111">
        <f>SUM(I17:I72)</f>
        <v>0</v>
      </c>
      <c r="J73" s="111"/>
      <c r="K73" s="111"/>
      <c r="L73" s="111"/>
      <c r="M73" s="111"/>
      <c r="N73" s="111"/>
      <c r="O73" s="4"/>
      <c r="P73" s="4"/>
    </row>
    <row r="74" spans="2:16">
      <c r="D74" s="2"/>
      <c r="E74" s="1"/>
      <c r="F74" s="1"/>
      <c r="G74" s="1"/>
      <c r="H74" s="3"/>
      <c r="I74" s="3"/>
      <c r="J74" s="111"/>
      <c r="K74" s="3"/>
      <c r="L74" s="3"/>
      <c r="M74" s="3"/>
      <c r="N74" s="3"/>
      <c r="O74" s="1"/>
      <c r="P74" s="1"/>
    </row>
    <row r="75" spans="2:16">
      <c r="C75" s="170" t="s">
        <v>91</v>
      </c>
      <c r="D75" s="2"/>
      <c r="E75" s="1"/>
      <c r="F75" s="1"/>
      <c r="G75" s="1"/>
      <c r="H75" s="3"/>
      <c r="I75" s="3"/>
      <c r="J75" s="111"/>
      <c r="K75" s="3"/>
      <c r="L75" s="3"/>
      <c r="M75" s="3"/>
      <c r="N75" s="3"/>
      <c r="O75" s="1"/>
      <c r="P75" s="1"/>
    </row>
    <row r="76" spans="2:16">
      <c r="C76" s="121" t="s">
        <v>74</v>
      </c>
      <c r="D76" s="2"/>
      <c r="E76" s="1"/>
      <c r="F76" s="1"/>
      <c r="G76" s="1"/>
      <c r="H76" s="3"/>
      <c r="I76" s="3"/>
      <c r="J76" s="111"/>
      <c r="K76" s="3"/>
      <c r="L76" s="3"/>
      <c r="M76" s="3"/>
      <c r="N76" s="3"/>
      <c r="O76" s="4"/>
      <c r="P76" s="4"/>
    </row>
    <row r="77" spans="2:16">
      <c r="C77" s="121" t="s">
        <v>75</v>
      </c>
      <c r="D77" s="154"/>
      <c r="E77" s="154"/>
      <c r="F77" s="154"/>
      <c r="G77" s="111"/>
      <c r="H77" s="111"/>
      <c r="I77" s="171"/>
      <c r="J77" s="171"/>
      <c r="K77" s="171"/>
      <c r="L77" s="171"/>
      <c r="M77" s="171"/>
      <c r="N77" s="171"/>
      <c r="O77" s="4"/>
      <c r="P77" s="4"/>
    </row>
    <row r="78" spans="2:16">
      <c r="C78" s="121"/>
      <c r="D78" s="154"/>
      <c r="E78" s="154"/>
      <c r="F78" s="154"/>
      <c r="G78" s="111"/>
      <c r="H78" s="111"/>
      <c r="I78" s="171"/>
      <c r="J78" s="171"/>
      <c r="K78" s="171"/>
      <c r="L78" s="171"/>
      <c r="M78" s="171"/>
      <c r="N78" s="171"/>
      <c r="O78" s="4"/>
      <c r="P78" s="1"/>
    </row>
    <row r="79" spans="2:16">
      <c r="B79" s="1"/>
      <c r="C79" s="21"/>
      <c r="D79" s="2"/>
      <c r="E79" s="1"/>
      <c r="F79" s="107"/>
      <c r="G79" s="1"/>
      <c r="H79" s="3"/>
      <c r="I79" s="1"/>
      <c r="J79" s="4"/>
      <c r="K79" s="1"/>
      <c r="L79" s="1"/>
      <c r="M79" s="1"/>
      <c r="N79" s="1"/>
      <c r="O79" s="1"/>
      <c r="P79" s="1"/>
    </row>
    <row r="80" spans="2:16" ht="18">
      <c r="B80" s="1"/>
      <c r="C80" s="242"/>
      <c r="D80" s="2"/>
      <c r="E80" s="1"/>
      <c r="F80" s="107"/>
      <c r="G80" s="1"/>
      <c r="H80" s="3"/>
      <c r="I80" s="1"/>
      <c r="J80" s="4"/>
      <c r="K80" s="1"/>
      <c r="L80" s="1"/>
      <c r="M80" s="1"/>
      <c r="N80" s="1"/>
      <c r="P80" s="244" t="s">
        <v>125</v>
      </c>
    </row>
    <row r="81" spans="1:16">
      <c r="B81" s="1"/>
      <c r="C81" s="21"/>
      <c r="D81" s="2"/>
      <c r="E81" s="1"/>
      <c r="F81" s="107"/>
      <c r="G81" s="1"/>
      <c r="H81" s="3"/>
      <c r="I81" s="1"/>
      <c r="J81" s="4"/>
      <c r="K81" s="1"/>
      <c r="L81" s="1"/>
      <c r="M81" s="1"/>
      <c r="N81" s="1"/>
      <c r="O81" s="1"/>
      <c r="P81" s="1"/>
    </row>
    <row r="82" spans="1:16">
      <c r="B82" s="1"/>
      <c r="C82" s="21"/>
      <c r="D82" s="2"/>
      <c r="E82" s="1"/>
      <c r="F82" s="107"/>
      <c r="G82" s="1"/>
      <c r="H82" s="3"/>
      <c r="I82" s="1"/>
      <c r="J82" s="4"/>
      <c r="K82" s="1"/>
      <c r="L82" s="1"/>
      <c r="M82" s="1"/>
      <c r="N82" s="1"/>
      <c r="O82" s="1"/>
      <c r="P82" s="1"/>
    </row>
    <row r="83" spans="1:16" ht="20.25">
      <c r="A83" s="243" t="s">
        <v>129</v>
      </c>
      <c r="B83" s="1"/>
      <c r="C83" s="21"/>
      <c r="D83" s="2"/>
      <c r="E83" s="1"/>
      <c r="F83" s="99"/>
      <c r="G83" s="99"/>
      <c r="H83" s="1"/>
      <c r="I83" s="3"/>
      <c r="K83" s="7"/>
      <c r="L83" s="109"/>
      <c r="M83" s="109"/>
      <c r="P83" s="109" t="str">
        <f ca="1">P1</f>
        <v>SWEPCO Project 50 of 73</v>
      </c>
    </row>
    <row r="84" spans="1:16" ht="18">
      <c r="B84" s="1"/>
      <c r="C84" s="1"/>
      <c r="D84" s="2"/>
      <c r="E84" s="1"/>
      <c r="F84" s="1"/>
      <c r="G84" s="1"/>
      <c r="H84" s="1"/>
      <c r="I84" s="3"/>
      <c r="J84" s="1"/>
      <c r="K84" s="4"/>
      <c r="L84" s="1"/>
      <c r="M84" s="1"/>
      <c r="P84" s="244" t="s">
        <v>123</v>
      </c>
    </row>
    <row r="85" spans="1:16" ht="18.75" thickBot="1">
      <c r="B85" s="5" t="s">
        <v>40</v>
      </c>
      <c r="C85" s="197" t="s">
        <v>78</v>
      </c>
      <c r="D85" s="2"/>
      <c r="E85" s="1"/>
      <c r="F85" s="1"/>
      <c r="G85" s="1"/>
      <c r="H85" s="1"/>
      <c r="I85" s="3"/>
      <c r="J85" s="3"/>
      <c r="K85" s="111"/>
      <c r="L85" s="3"/>
      <c r="M85" s="3"/>
      <c r="N85" s="3"/>
      <c r="O85" s="111"/>
      <c r="P85" s="1"/>
    </row>
    <row r="86" spans="1:16" ht="15.75" thickBot="1">
      <c r="C86" s="67"/>
      <c r="D86" s="2"/>
      <c r="E86" s="1"/>
      <c r="F86" s="1"/>
      <c r="G86" s="1"/>
      <c r="H86" s="1"/>
      <c r="I86" s="3"/>
      <c r="J86" s="3"/>
      <c r="K86" s="111"/>
      <c r="L86" s="265">
        <f>+J92</f>
        <v>2017</v>
      </c>
      <c r="M86" s="266" t="s">
        <v>7</v>
      </c>
      <c r="N86" s="270" t="s">
        <v>154</v>
      </c>
      <c r="O86" s="267" t="s">
        <v>9</v>
      </c>
      <c r="P86" s="1"/>
    </row>
    <row r="87" spans="1:16" ht="15">
      <c r="C87" s="235" t="s">
        <v>42</v>
      </c>
      <c r="D87" s="2"/>
      <c r="E87" s="1"/>
      <c r="F87" s="1"/>
      <c r="G87" s="1"/>
      <c r="H87" s="113"/>
      <c r="I87" s="1" t="s">
        <v>43</v>
      </c>
      <c r="J87" s="1"/>
      <c r="K87" s="261"/>
      <c r="L87" s="259" t="s">
        <v>381</v>
      </c>
      <c r="M87" s="198">
        <f>IF(J92&lt;D11,0,VLOOKUP(J92,C17:O72,9))</f>
        <v>2261762.8310746681</v>
      </c>
      <c r="N87" s="198">
        <f>IF(J92&lt;D11,0,VLOOKUP(J92,C17:O72,11))</f>
        <v>2261762.8310746681</v>
      </c>
      <c r="O87" s="199">
        <f>+N87-M87</f>
        <v>0</v>
      </c>
      <c r="P87" s="1"/>
    </row>
    <row r="88" spans="1:16" ht="15.75">
      <c r="C88" s="8"/>
      <c r="D88" s="2"/>
      <c r="E88" s="1"/>
      <c r="F88" s="1"/>
      <c r="G88" s="1"/>
      <c r="H88" s="1"/>
      <c r="I88" s="117"/>
      <c r="J88" s="117"/>
      <c r="K88" s="263"/>
      <c r="L88" s="264" t="s">
        <v>382</v>
      </c>
      <c r="M88" s="200">
        <f>IF(J92&lt;D11,0,VLOOKUP(J92,C99:P154,6))</f>
        <v>2253819.9284135839</v>
      </c>
      <c r="N88" s="200">
        <f>IF(J92&lt;D11,0,VLOOKUP(J92,C99:P154,7))</f>
        <v>2253819.9284135839</v>
      </c>
      <c r="O88" s="201">
        <f>+N88-M88</f>
        <v>0</v>
      </c>
      <c r="P88" s="1"/>
    </row>
    <row r="89" spans="1:16" ht="13.5" thickBot="1">
      <c r="C89" s="121" t="s">
        <v>79</v>
      </c>
      <c r="D89" s="246" t="str">
        <f>+D7</f>
        <v>Dekalb-New Boston 69 kV</v>
      </c>
      <c r="E89" s="1"/>
      <c r="F89" s="1"/>
      <c r="G89" s="1"/>
      <c r="H89" s="1"/>
      <c r="I89" s="3"/>
      <c r="J89" s="3"/>
      <c r="K89" s="262"/>
      <c r="L89" s="260" t="s">
        <v>151</v>
      </c>
      <c r="M89" s="203">
        <f>+M88-M87</f>
        <v>-7942.9026610841975</v>
      </c>
      <c r="N89" s="203">
        <f>+N88-N87</f>
        <v>-7942.9026610841975</v>
      </c>
      <c r="O89" s="204">
        <f>+O88-O87</f>
        <v>0</v>
      </c>
      <c r="P89" s="1"/>
    </row>
    <row r="90" spans="1:16" ht="13.5" thickBot="1">
      <c r="C90" s="170"/>
      <c r="D90" s="173" t="str">
        <f>D8</f>
        <v/>
      </c>
      <c r="E90" s="107"/>
      <c r="F90" s="107"/>
      <c r="G90" s="107"/>
      <c r="H90" s="126"/>
      <c r="I90" s="3"/>
      <c r="J90" s="3"/>
      <c r="K90" s="111"/>
      <c r="L90" s="3"/>
      <c r="M90" s="3"/>
      <c r="N90" s="3"/>
      <c r="O90" s="111"/>
      <c r="P90" s="1"/>
    </row>
    <row r="91" spans="1:16" ht="13.5" thickBot="1">
      <c r="A91" s="103"/>
      <c r="C91" s="205" t="s">
        <v>80</v>
      </c>
      <c r="D91" s="224">
        <f>+D9</f>
        <v>0</v>
      </c>
      <c r="E91" s="206"/>
      <c r="F91" s="206"/>
      <c r="G91" s="206"/>
      <c r="H91" s="206"/>
      <c r="I91" s="206"/>
      <c r="J91" s="206"/>
      <c r="K91" s="207"/>
      <c r="P91" s="131"/>
    </row>
    <row r="92" spans="1:16">
      <c r="C92" s="136" t="s">
        <v>47</v>
      </c>
      <c r="D92" s="417">
        <v>16142203</v>
      </c>
      <c r="E92" s="21" t="s">
        <v>81</v>
      </c>
      <c r="H92" s="134"/>
      <c r="I92" s="134"/>
      <c r="J92" s="135">
        <f>+'SWE.WS.G.BPU.ATRR.True-up'!M15</f>
        <v>2017</v>
      </c>
      <c r="K92" s="130"/>
      <c r="L92" s="111" t="s">
        <v>82</v>
      </c>
      <c r="P92" s="4"/>
    </row>
    <row r="93" spans="1:16">
      <c r="C93" s="136" t="s">
        <v>49</v>
      </c>
      <c r="D93" s="219">
        <f>IF(D11=I10,"",D11)</f>
        <v>2015</v>
      </c>
      <c r="E93" s="136" t="s">
        <v>50</v>
      </c>
      <c r="F93" s="134"/>
      <c r="G93" s="134"/>
      <c r="J93" s="138">
        <f>IF(H87="",0,'SWE.WS.G.BPU.ATRR.True-up'!$F$12)</f>
        <v>0</v>
      </c>
      <c r="K93" s="139"/>
      <c r="L93" t="str">
        <f>"          INPUT TRUE-UP ARR (WITH &amp; WITHOUT INCENTIVES) FROM EACH PRIOR YEAR"</f>
        <v xml:space="preserve">          INPUT TRUE-UP ARR (WITH &amp; WITHOUT INCENTIVES) FROM EACH PRIOR YEAR</v>
      </c>
      <c r="P93" s="4"/>
    </row>
    <row r="94" spans="1:16">
      <c r="C94" s="136" t="s">
        <v>51</v>
      </c>
      <c r="D94" s="218">
        <f>IF(D11=I10,"",D12)</f>
        <v>6</v>
      </c>
      <c r="E94" s="136" t="s">
        <v>52</v>
      </c>
      <c r="F94" s="134"/>
      <c r="G94" s="134"/>
      <c r="J94" s="140">
        <f>'SWE.WS.G.BPU.ATRR.True-up'!$F$80</f>
        <v>0.12147145768398206</v>
      </c>
      <c r="K94" s="141"/>
      <c r="L94" t="s">
        <v>83</v>
      </c>
      <c r="P94" s="4"/>
    </row>
    <row r="95" spans="1:16">
      <c r="C95" s="136" t="s">
        <v>54</v>
      </c>
      <c r="D95" s="138">
        <f>'SWE.WS.G.BPU.ATRR.True-up'!F$92</f>
        <v>42</v>
      </c>
      <c r="E95" s="136" t="s">
        <v>55</v>
      </c>
      <c r="F95" s="134"/>
      <c r="G95" s="134"/>
      <c r="J95" s="140">
        <f>IF(H87="",J94,'SWE.WS.G.BPU.ATRR.True-up'!$F$79)</f>
        <v>0.12147145768398206</v>
      </c>
      <c r="K95" s="58"/>
      <c r="L95" s="111" t="s">
        <v>56</v>
      </c>
      <c r="M95" s="58"/>
      <c r="N95" s="58"/>
      <c r="O95" s="58"/>
      <c r="P95" s="4"/>
    </row>
    <row r="96" spans="1:16" ht="13.5" thickBot="1">
      <c r="C96" s="136" t="s">
        <v>57</v>
      </c>
      <c r="D96" s="220" t="str">
        <f>+D14</f>
        <v>No</v>
      </c>
      <c r="E96" s="202" t="s">
        <v>59</v>
      </c>
      <c r="F96" s="208"/>
      <c r="G96" s="208"/>
      <c r="H96" s="209"/>
      <c r="I96" s="209"/>
      <c r="J96" s="124">
        <f>IF(D92=0,0,D92/D95)</f>
        <v>384338.16666666669</v>
      </c>
      <c r="K96" s="111"/>
      <c r="L96" s="111"/>
      <c r="M96" s="111"/>
      <c r="N96" s="111"/>
      <c r="O96" s="111"/>
      <c r="P96" s="4"/>
    </row>
    <row r="97" spans="1:16" ht="38.25">
      <c r="A97" s="6"/>
      <c r="B97" s="6"/>
      <c r="C97" s="210" t="s">
        <v>47</v>
      </c>
      <c r="D97" s="211" t="s">
        <v>60</v>
      </c>
      <c r="E97" s="146" t="s">
        <v>61</v>
      </c>
      <c r="F97" s="146" t="s">
        <v>62</v>
      </c>
      <c r="G97" s="144" t="s">
        <v>84</v>
      </c>
      <c r="H97" s="434" t="s">
        <v>378</v>
      </c>
      <c r="I97" s="435" t="s">
        <v>379</v>
      </c>
      <c r="J97" s="210" t="s">
        <v>85</v>
      </c>
      <c r="K97" s="212"/>
      <c r="L97" s="271" t="s">
        <v>220</v>
      </c>
      <c r="M97" s="146" t="s">
        <v>86</v>
      </c>
      <c r="N97" s="271" t="s">
        <v>220</v>
      </c>
      <c r="O97" s="146" t="s">
        <v>86</v>
      </c>
      <c r="P97" s="146" t="s">
        <v>65</v>
      </c>
    </row>
    <row r="98" spans="1:16" ht="13.5" thickBot="1">
      <c r="C98" s="147" t="s">
        <v>66</v>
      </c>
      <c r="D98" s="213" t="s">
        <v>67</v>
      </c>
      <c r="E98" s="147" t="s">
        <v>68</v>
      </c>
      <c r="F98" s="147" t="s">
        <v>67</v>
      </c>
      <c r="G98" s="147" t="s">
        <v>67</v>
      </c>
      <c r="H98" s="407" t="s">
        <v>69</v>
      </c>
      <c r="I98" s="148" t="s">
        <v>70</v>
      </c>
      <c r="J98" s="149" t="s">
        <v>89</v>
      </c>
      <c r="K98" s="150"/>
      <c r="L98" s="151" t="s">
        <v>72</v>
      </c>
      <c r="M98" s="151" t="s">
        <v>72</v>
      </c>
      <c r="N98" s="151" t="s">
        <v>90</v>
      </c>
      <c r="O98" s="151" t="s">
        <v>90</v>
      </c>
      <c r="P98" s="151" t="s">
        <v>90</v>
      </c>
    </row>
    <row r="99" spans="1:16" ht="13.5" thickBot="1">
      <c r="C99" s="153">
        <f>IF(D93= "","-",D93)</f>
        <v>2015</v>
      </c>
      <c r="D99" s="409">
        <v>0</v>
      </c>
      <c r="E99" s="410">
        <v>187832.27380952382</v>
      </c>
      <c r="F99" s="411">
        <v>15590078.726190476</v>
      </c>
      <c r="G99" s="412">
        <v>7795039.3630952379</v>
      </c>
      <c r="H99" s="413">
        <v>1214975.8636759706</v>
      </c>
      <c r="I99" s="414">
        <v>1214975.8636759706</v>
      </c>
      <c r="J99" s="158">
        <f>+I99-H99</f>
        <v>0</v>
      </c>
      <c r="K99" s="158"/>
      <c r="L99" s="256">
        <f>+H99</f>
        <v>1214975.8636759706</v>
      </c>
      <c r="M99" s="157">
        <f t="shared" ref="M99:M130" si="11">IF(L99&lt;&gt;0,+H99-L99,0)</f>
        <v>0</v>
      </c>
      <c r="N99" s="256">
        <f>+I99</f>
        <v>1214975.8636759706</v>
      </c>
      <c r="O99" s="157">
        <f t="shared" ref="O99:O130" si="12">IF(N99&lt;&gt;0,+I99-N99,0)</f>
        <v>0</v>
      </c>
      <c r="P99" s="157">
        <f t="shared" ref="P99:P130" si="13">+O99-M99</f>
        <v>0</v>
      </c>
    </row>
    <row r="100" spans="1:16">
      <c r="B100" s="9" t="str">
        <f>IF(D100=F99,"","IU")</f>
        <v>IU</v>
      </c>
      <c r="C100" s="153">
        <f>IF(D93="","-",+C99+1)</f>
        <v>2016</v>
      </c>
      <c r="D100" s="409">
        <v>15804084.726190476</v>
      </c>
      <c r="E100" s="410">
        <v>371905.04651162791</v>
      </c>
      <c r="F100" s="411">
        <v>15432179.679678848</v>
      </c>
      <c r="G100" s="412">
        <v>15618132.202934662</v>
      </c>
      <c r="H100" s="413">
        <v>2354626.7467602715</v>
      </c>
      <c r="I100" s="414">
        <v>2354626.7467602715</v>
      </c>
      <c r="J100" s="158">
        <v>0</v>
      </c>
      <c r="K100" s="158"/>
      <c r="L100" s="256">
        <f>+H100</f>
        <v>2354626.7467602715</v>
      </c>
      <c r="M100" s="157">
        <f>IF(L100&lt;&gt;0,+H100-L100,0)</f>
        <v>0</v>
      </c>
      <c r="N100" s="256">
        <f>+I100</f>
        <v>2354626.7467602715</v>
      </c>
      <c r="O100" s="157">
        <f>IF(N100&lt;&gt;0,+I100-N100,0)</f>
        <v>0</v>
      </c>
      <c r="P100" s="157">
        <f>+O100-M100</f>
        <v>0</v>
      </c>
    </row>
    <row r="101" spans="1:16">
      <c r="B101" s="9" t="str">
        <f t="shared" ref="B101:B154" si="14">IF(D101=F100,"","IU")</f>
        <v>IU</v>
      </c>
      <c r="C101" s="153">
        <f>IF(D93="","-",+C100+1)</f>
        <v>2017</v>
      </c>
      <c r="D101" s="154">
        <f>IF(F100+SUM(E$99:E100)=D$92,F100,D$92-SUM(E$99:E100))</f>
        <v>15582465.679678848</v>
      </c>
      <c r="E101" s="160">
        <f t="shared" ref="E101:E154" si="15">IF(+$J$96&lt;F100,$J$96,D101)</f>
        <v>384338.16666666669</v>
      </c>
      <c r="F101" s="159">
        <f t="shared" ref="F101:F154" si="16">+D101-E101</f>
        <v>15198127.513012182</v>
      </c>
      <c r="G101" s="159">
        <f t="shared" ref="G101:G154" si="17">+(F101+D101)/2</f>
        <v>15390296.596345514</v>
      </c>
      <c r="H101" s="163">
        <f t="shared" ref="H101:H154" si="18">+J$94*G101+E101</f>
        <v>2253819.9284135839</v>
      </c>
      <c r="I101" s="253">
        <f t="shared" ref="I101:I154" si="19">+J$95*G101+E101</f>
        <v>2253819.9284135839</v>
      </c>
      <c r="J101" s="158">
        <f t="shared" ref="J101:J154" si="20">+I101-H101</f>
        <v>0</v>
      </c>
      <c r="K101" s="158"/>
      <c r="L101" s="334"/>
      <c r="M101" s="158">
        <f t="shared" si="11"/>
        <v>0</v>
      </c>
      <c r="N101" s="334"/>
      <c r="O101" s="158">
        <f t="shared" si="12"/>
        <v>0</v>
      </c>
      <c r="P101" s="158">
        <f t="shared" si="13"/>
        <v>0</v>
      </c>
    </row>
    <row r="102" spans="1:16">
      <c r="B102" s="9" t="str">
        <f t="shared" si="14"/>
        <v/>
      </c>
      <c r="C102" s="153">
        <f>IF(D93="","-",+C101+1)</f>
        <v>2018</v>
      </c>
      <c r="D102" s="154">
        <f>IF(F101+SUM(E$99:E101)=D$92,F101,D$92-SUM(E$99:E101))</f>
        <v>15198127.513012182</v>
      </c>
      <c r="E102" s="160">
        <f t="shared" si="15"/>
        <v>384338.16666666669</v>
      </c>
      <c r="F102" s="159">
        <f t="shared" si="16"/>
        <v>14813789.346345516</v>
      </c>
      <c r="G102" s="159">
        <f t="shared" si="17"/>
        <v>15005958.42967885</v>
      </c>
      <c r="H102" s="163">
        <f t="shared" si="18"/>
        <v>2207133.8110649949</v>
      </c>
      <c r="I102" s="253">
        <f t="shared" si="19"/>
        <v>2207133.8110649949</v>
      </c>
      <c r="J102" s="158">
        <f t="shared" si="20"/>
        <v>0</v>
      </c>
      <c r="K102" s="158"/>
      <c r="L102" s="334"/>
      <c r="M102" s="158">
        <f t="shared" si="11"/>
        <v>0</v>
      </c>
      <c r="N102" s="334"/>
      <c r="O102" s="158">
        <f t="shared" si="12"/>
        <v>0</v>
      </c>
      <c r="P102" s="158">
        <f t="shared" si="13"/>
        <v>0</v>
      </c>
    </row>
    <row r="103" spans="1:16">
      <c r="B103" s="9" t="str">
        <f t="shared" si="14"/>
        <v/>
      </c>
      <c r="C103" s="153">
        <f>IF(D93="","-",+C102+1)</f>
        <v>2019</v>
      </c>
      <c r="D103" s="154">
        <f>IF(F102+SUM(E$99:E102)=D$92,F102,D$92-SUM(E$99:E102))</f>
        <v>14813789.346345516</v>
      </c>
      <c r="E103" s="160">
        <f t="shared" si="15"/>
        <v>384338.16666666669</v>
      </c>
      <c r="F103" s="159">
        <f t="shared" si="16"/>
        <v>14429451.17967885</v>
      </c>
      <c r="G103" s="159">
        <f t="shared" si="17"/>
        <v>14621620.263012182</v>
      </c>
      <c r="H103" s="163">
        <f t="shared" si="18"/>
        <v>2160447.6937164054</v>
      </c>
      <c r="I103" s="253">
        <f t="shared" si="19"/>
        <v>2160447.6937164054</v>
      </c>
      <c r="J103" s="158">
        <f t="shared" si="20"/>
        <v>0</v>
      </c>
      <c r="K103" s="158"/>
      <c r="L103" s="334"/>
      <c r="M103" s="158">
        <f t="shared" si="11"/>
        <v>0</v>
      </c>
      <c r="N103" s="334"/>
      <c r="O103" s="158">
        <f t="shared" si="12"/>
        <v>0</v>
      </c>
      <c r="P103" s="158">
        <f t="shared" si="13"/>
        <v>0</v>
      </c>
    </row>
    <row r="104" spans="1:16">
      <c r="B104" s="9" t="str">
        <f t="shared" si="14"/>
        <v/>
      </c>
      <c r="C104" s="153">
        <f>IF(D93="","-",+C103+1)</f>
        <v>2020</v>
      </c>
      <c r="D104" s="154">
        <f>IF(F103+SUM(E$99:E103)=D$92,F103,D$92-SUM(E$99:E103))</f>
        <v>14429451.17967885</v>
      </c>
      <c r="E104" s="160">
        <f t="shared" si="15"/>
        <v>384338.16666666669</v>
      </c>
      <c r="F104" s="159">
        <f t="shared" si="16"/>
        <v>14045113.013012184</v>
      </c>
      <c r="G104" s="159">
        <f t="shared" si="17"/>
        <v>14237282.096345518</v>
      </c>
      <c r="H104" s="163">
        <f t="shared" si="18"/>
        <v>2113761.5763678164</v>
      </c>
      <c r="I104" s="253">
        <f t="shared" si="19"/>
        <v>2113761.5763678164</v>
      </c>
      <c r="J104" s="158">
        <f t="shared" si="20"/>
        <v>0</v>
      </c>
      <c r="K104" s="158"/>
      <c r="L104" s="334"/>
      <c r="M104" s="158">
        <f t="shared" si="11"/>
        <v>0</v>
      </c>
      <c r="N104" s="334"/>
      <c r="O104" s="158">
        <f t="shared" si="12"/>
        <v>0</v>
      </c>
      <c r="P104" s="158">
        <f t="shared" si="13"/>
        <v>0</v>
      </c>
    </row>
    <row r="105" spans="1:16">
      <c r="B105" s="9" t="str">
        <f t="shared" si="14"/>
        <v/>
      </c>
      <c r="C105" s="153">
        <f>IF(D93="","-",+C104+1)</f>
        <v>2021</v>
      </c>
      <c r="D105" s="154">
        <f>IF(F104+SUM(E$99:E104)=D$92,F104,D$92-SUM(E$99:E104))</f>
        <v>14045113.013012184</v>
      </c>
      <c r="E105" s="160">
        <f t="shared" si="15"/>
        <v>384338.16666666669</v>
      </c>
      <c r="F105" s="159">
        <f t="shared" si="16"/>
        <v>13660774.846345518</v>
      </c>
      <c r="G105" s="159">
        <f t="shared" si="17"/>
        <v>13852943.92967885</v>
      </c>
      <c r="H105" s="163">
        <f t="shared" si="18"/>
        <v>2067075.4590192272</v>
      </c>
      <c r="I105" s="253">
        <f t="shared" si="19"/>
        <v>2067075.4590192272</v>
      </c>
      <c r="J105" s="158">
        <f t="shared" si="20"/>
        <v>0</v>
      </c>
      <c r="K105" s="158"/>
      <c r="L105" s="334"/>
      <c r="M105" s="158">
        <f t="shared" si="11"/>
        <v>0</v>
      </c>
      <c r="N105" s="334"/>
      <c r="O105" s="158">
        <f t="shared" si="12"/>
        <v>0</v>
      </c>
      <c r="P105" s="158">
        <f t="shared" si="13"/>
        <v>0</v>
      </c>
    </row>
    <row r="106" spans="1:16">
      <c r="B106" s="9" t="str">
        <f t="shared" si="14"/>
        <v/>
      </c>
      <c r="C106" s="153">
        <f>IF(D93="","-",+C105+1)</f>
        <v>2022</v>
      </c>
      <c r="D106" s="154">
        <f>IF(F105+SUM(E$99:E105)=D$92,F105,D$92-SUM(E$99:E105))</f>
        <v>13660774.846345518</v>
      </c>
      <c r="E106" s="160">
        <f t="shared" si="15"/>
        <v>384338.16666666669</v>
      </c>
      <c r="F106" s="159">
        <f t="shared" si="16"/>
        <v>13276436.679678852</v>
      </c>
      <c r="G106" s="159">
        <f t="shared" si="17"/>
        <v>13468605.763012186</v>
      </c>
      <c r="H106" s="163">
        <f t="shared" si="18"/>
        <v>2020389.3416706384</v>
      </c>
      <c r="I106" s="253">
        <f t="shared" si="19"/>
        <v>2020389.3416706384</v>
      </c>
      <c r="J106" s="158">
        <f t="shared" si="20"/>
        <v>0</v>
      </c>
      <c r="K106" s="158"/>
      <c r="L106" s="334"/>
      <c r="M106" s="158">
        <f t="shared" si="11"/>
        <v>0</v>
      </c>
      <c r="N106" s="334"/>
      <c r="O106" s="158">
        <f t="shared" si="12"/>
        <v>0</v>
      </c>
      <c r="P106" s="158">
        <f t="shared" si="13"/>
        <v>0</v>
      </c>
    </row>
    <row r="107" spans="1:16">
      <c r="B107" s="9" t="str">
        <f t="shared" si="14"/>
        <v/>
      </c>
      <c r="C107" s="153">
        <f>IF(D93="","-",+C106+1)</f>
        <v>2023</v>
      </c>
      <c r="D107" s="154">
        <f>IF(F106+SUM(E$99:E106)=D$92,F106,D$92-SUM(E$99:E106))</f>
        <v>13276436.679678852</v>
      </c>
      <c r="E107" s="160">
        <f t="shared" si="15"/>
        <v>384338.16666666669</v>
      </c>
      <c r="F107" s="159">
        <f t="shared" si="16"/>
        <v>12892098.513012186</v>
      </c>
      <c r="G107" s="159">
        <f t="shared" si="17"/>
        <v>13084267.596345518</v>
      </c>
      <c r="H107" s="163">
        <f t="shared" si="18"/>
        <v>1973703.2243220489</v>
      </c>
      <c r="I107" s="253">
        <f t="shared" si="19"/>
        <v>1973703.2243220489</v>
      </c>
      <c r="J107" s="158">
        <f t="shared" si="20"/>
        <v>0</v>
      </c>
      <c r="K107" s="158"/>
      <c r="L107" s="334"/>
      <c r="M107" s="158">
        <f t="shared" si="11"/>
        <v>0</v>
      </c>
      <c r="N107" s="334"/>
      <c r="O107" s="158">
        <f t="shared" si="12"/>
        <v>0</v>
      </c>
      <c r="P107" s="158">
        <f t="shared" si="13"/>
        <v>0</v>
      </c>
    </row>
    <row r="108" spans="1:16">
      <c r="B108" s="9" t="str">
        <f t="shared" si="14"/>
        <v/>
      </c>
      <c r="C108" s="153">
        <f>IF(D93="","-",+C107+1)</f>
        <v>2024</v>
      </c>
      <c r="D108" s="154">
        <f>IF(F107+SUM(E$99:E107)=D$92,F107,D$92-SUM(E$99:E107))</f>
        <v>12892098.513012186</v>
      </c>
      <c r="E108" s="160">
        <f t="shared" si="15"/>
        <v>384338.16666666669</v>
      </c>
      <c r="F108" s="159">
        <f t="shared" si="16"/>
        <v>12507760.34634552</v>
      </c>
      <c r="G108" s="159">
        <f t="shared" si="17"/>
        <v>12699929.429678854</v>
      </c>
      <c r="H108" s="163">
        <f t="shared" si="18"/>
        <v>1927017.1069734599</v>
      </c>
      <c r="I108" s="253">
        <f t="shared" si="19"/>
        <v>1927017.1069734599</v>
      </c>
      <c r="J108" s="158">
        <f t="shared" si="20"/>
        <v>0</v>
      </c>
      <c r="K108" s="158"/>
      <c r="L108" s="334"/>
      <c r="M108" s="158">
        <f t="shared" si="11"/>
        <v>0</v>
      </c>
      <c r="N108" s="334"/>
      <c r="O108" s="158">
        <f t="shared" si="12"/>
        <v>0</v>
      </c>
      <c r="P108" s="158">
        <f t="shared" si="13"/>
        <v>0</v>
      </c>
    </row>
    <row r="109" spans="1:16">
      <c r="B109" s="9" t="str">
        <f t="shared" si="14"/>
        <v/>
      </c>
      <c r="C109" s="153">
        <f>IF(D93="","-",+C108+1)</f>
        <v>2025</v>
      </c>
      <c r="D109" s="154">
        <f>IF(F108+SUM(E$99:E108)=D$92,F108,D$92-SUM(E$99:E108))</f>
        <v>12507760.34634552</v>
      </c>
      <c r="E109" s="160">
        <f t="shared" si="15"/>
        <v>384338.16666666669</v>
      </c>
      <c r="F109" s="159">
        <f t="shared" si="16"/>
        <v>12123422.179678854</v>
      </c>
      <c r="G109" s="159">
        <f t="shared" si="17"/>
        <v>12315591.263012186</v>
      </c>
      <c r="H109" s="163">
        <f t="shared" si="18"/>
        <v>1880330.9896248705</v>
      </c>
      <c r="I109" s="253">
        <f t="shared" si="19"/>
        <v>1880330.9896248705</v>
      </c>
      <c r="J109" s="158">
        <f t="shared" si="20"/>
        <v>0</v>
      </c>
      <c r="K109" s="158"/>
      <c r="L109" s="334"/>
      <c r="M109" s="158">
        <f t="shared" si="11"/>
        <v>0</v>
      </c>
      <c r="N109" s="334"/>
      <c r="O109" s="158">
        <f t="shared" si="12"/>
        <v>0</v>
      </c>
      <c r="P109" s="158">
        <f t="shared" si="13"/>
        <v>0</v>
      </c>
    </row>
    <row r="110" spans="1:16">
      <c r="B110" s="9" t="str">
        <f t="shared" si="14"/>
        <v/>
      </c>
      <c r="C110" s="153">
        <f>IF(D93="","-",+C109+1)</f>
        <v>2026</v>
      </c>
      <c r="D110" s="154">
        <f>IF(F109+SUM(E$99:E109)=D$92,F109,D$92-SUM(E$99:E109))</f>
        <v>12123422.179678854</v>
      </c>
      <c r="E110" s="160">
        <f t="shared" si="15"/>
        <v>384338.16666666669</v>
      </c>
      <c r="F110" s="159">
        <f t="shared" si="16"/>
        <v>11739084.013012188</v>
      </c>
      <c r="G110" s="159">
        <f t="shared" si="17"/>
        <v>11931253.096345522</v>
      </c>
      <c r="H110" s="163">
        <f t="shared" si="18"/>
        <v>1833644.8722762817</v>
      </c>
      <c r="I110" s="253">
        <f t="shared" si="19"/>
        <v>1833644.8722762817</v>
      </c>
      <c r="J110" s="158">
        <f t="shared" si="20"/>
        <v>0</v>
      </c>
      <c r="K110" s="158"/>
      <c r="L110" s="334"/>
      <c r="M110" s="158">
        <f t="shared" si="11"/>
        <v>0</v>
      </c>
      <c r="N110" s="334"/>
      <c r="O110" s="158">
        <f t="shared" si="12"/>
        <v>0</v>
      </c>
      <c r="P110" s="158">
        <f t="shared" si="13"/>
        <v>0</v>
      </c>
    </row>
    <row r="111" spans="1:16">
      <c r="B111" s="9" t="str">
        <f t="shared" si="14"/>
        <v/>
      </c>
      <c r="C111" s="153">
        <f>IF(D93="","-",+C110+1)</f>
        <v>2027</v>
      </c>
      <c r="D111" s="154">
        <f>IF(F110+SUM(E$99:E110)=D$92,F110,D$92-SUM(E$99:E110))</f>
        <v>11739084.013012188</v>
      </c>
      <c r="E111" s="160">
        <f t="shared" si="15"/>
        <v>384338.16666666669</v>
      </c>
      <c r="F111" s="159">
        <f t="shared" si="16"/>
        <v>11354745.846345522</v>
      </c>
      <c r="G111" s="159">
        <f t="shared" si="17"/>
        <v>11546914.929678854</v>
      </c>
      <c r="H111" s="163">
        <f t="shared" si="18"/>
        <v>1786958.7549276922</v>
      </c>
      <c r="I111" s="253">
        <f t="shared" si="19"/>
        <v>1786958.7549276922</v>
      </c>
      <c r="J111" s="158">
        <f t="shared" si="20"/>
        <v>0</v>
      </c>
      <c r="K111" s="158"/>
      <c r="L111" s="334"/>
      <c r="M111" s="158">
        <f t="shared" si="11"/>
        <v>0</v>
      </c>
      <c r="N111" s="334"/>
      <c r="O111" s="158">
        <f t="shared" si="12"/>
        <v>0</v>
      </c>
      <c r="P111" s="158">
        <f t="shared" si="13"/>
        <v>0</v>
      </c>
    </row>
    <row r="112" spans="1:16">
      <c r="B112" s="9" t="str">
        <f t="shared" si="14"/>
        <v/>
      </c>
      <c r="C112" s="153">
        <f>IF(D93="","-",+C111+1)</f>
        <v>2028</v>
      </c>
      <c r="D112" s="154">
        <f>IF(F111+SUM(E$99:E111)=D$92,F111,D$92-SUM(E$99:E111))</f>
        <v>11354745.846345522</v>
      </c>
      <c r="E112" s="160">
        <f t="shared" si="15"/>
        <v>384338.16666666669</v>
      </c>
      <c r="F112" s="159">
        <f t="shared" si="16"/>
        <v>10970407.679678855</v>
      </c>
      <c r="G112" s="159">
        <f t="shared" si="17"/>
        <v>11162576.763012189</v>
      </c>
      <c r="H112" s="163">
        <f t="shared" si="18"/>
        <v>1740272.6375791032</v>
      </c>
      <c r="I112" s="253">
        <f t="shared" si="19"/>
        <v>1740272.6375791032</v>
      </c>
      <c r="J112" s="158">
        <f t="shared" si="20"/>
        <v>0</v>
      </c>
      <c r="K112" s="158"/>
      <c r="L112" s="334"/>
      <c r="M112" s="158">
        <f t="shared" si="11"/>
        <v>0</v>
      </c>
      <c r="N112" s="334"/>
      <c r="O112" s="158">
        <f t="shared" si="12"/>
        <v>0</v>
      </c>
      <c r="P112" s="158">
        <f t="shared" si="13"/>
        <v>0</v>
      </c>
    </row>
    <row r="113" spans="2:16">
      <c r="B113" s="9" t="str">
        <f t="shared" si="14"/>
        <v/>
      </c>
      <c r="C113" s="153">
        <f>IF(D93="","-",+C112+1)</f>
        <v>2029</v>
      </c>
      <c r="D113" s="154">
        <f>IF(F112+SUM(E$99:E112)=D$92,F112,D$92-SUM(E$99:E112))</f>
        <v>10970407.679678855</v>
      </c>
      <c r="E113" s="160">
        <f t="shared" si="15"/>
        <v>384338.16666666669</v>
      </c>
      <c r="F113" s="159">
        <f t="shared" si="16"/>
        <v>10586069.513012189</v>
      </c>
      <c r="G113" s="159">
        <f t="shared" si="17"/>
        <v>10778238.596345522</v>
      </c>
      <c r="H113" s="163">
        <f t="shared" si="18"/>
        <v>1693586.520230514</v>
      </c>
      <c r="I113" s="253">
        <f t="shared" si="19"/>
        <v>1693586.520230514</v>
      </c>
      <c r="J113" s="158">
        <f t="shared" si="20"/>
        <v>0</v>
      </c>
      <c r="K113" s="158"/>
      <c r="L113" s="334"/>
      <c r="M113" s="158">
        <f t="shared" si="11"/>
        <v>0</v>
      </c>
      <c r="N113" s="334"/>
      <c r="O113" s="158">
        <f t="shared" si="12"/>
        <v>0</v>
      </c>
      <c r="P113" s="158">
        <f t="shared" si="13"/>
        <v>0</v>
      </c>
    </row>
    <row r="114" spans="2:16">
      <c r="B114" s="9" t="str">
        <f t="shared" si="14"/>
        <v/>
      </c>
      <c r="C114" s="153">
        <f>IF(D93="","-",+C113+1)</f>
        <v>2030</v>
      </c>
      <c r="D114" s="154">
        <f>IF(F113+SUM(E$99:E113)=D$92,F113,D$92-SUM(E$99:E113))</f>
        <v>10586069.513012189</v>
      </c>
      <c r="E114" s="160">
        <f t="shared" si="15"/>
        <v>384338.16666666669</v>
      </c>
      <c r="F114" s="159">
        <f t="shared" si="16"/>
        <v>10201731.346345523</v>
      </c>
      <c r="G114" s="159">
        <f t="shared" si="17"/>
        <v>10393900.429678857</v>
      </c>
      <c r="H114" s="163">
        <f t="shared" si="18"/>
        <v>1646900.402881925</v>
      </c>
      <c r="I114" s="253">
        <f t="shared" si="19"/>
        <v>1646900.402881925</v>
      </c>
      <c r="J114" s="158">
        <f t="shared" si="20"/>
        <v>0</v>
      </c>
      <c r="K114" s="158"/>
      <c r="L114" s="334"/>
      <c r="M114" s="158">
        <f t="shared" si="11"/>
        <v>0</v>
      </c>
      <c r="N114" s="334"/>
      <c r="O114" s="158">
        <f t="shared" si="12"/>
        <v>0</v>
      </c>
      <c r="P114" s="158">
        <f t="shared" si="13"/>
        <v>0</v>
      </c>
    </row>
    <row r="115" spans="2:16">
      <c r="B115" s="9" t="str">
        <f t="shared" si="14"/>
        <v/>
      </c>
      <c r="C115" s="153">
        <f>IF(D93="","-",+C114+1)</f>
        <v>2031</v>
      </c>
      <c r="D115" s="154">
        <f>IF(F114+SUM(E$99:E114)=D$92,F114,D$92-SUM(E$99:E114))</f>
        <v>10201731.346345523</v>
      </c>
      <c r="E115" s="160">
        <f t="shared" si="15"/>
        <v>384338.16666666669</v>
      </c>
      <c r="F115" s="159">
        <f t="shared" si="16"/>
        <v>9817393.1796788573</v>
      </c>
      <c r="G115" s="159">
        <f t="shared" si="17"/>
        <v>10009562.263012189</v>
      </c>
      <c r="H115" s="163">
        <f t="shared" si="18"/>
        <v>1600214.2855333355</v>
      </c>
      <c r="I115" s="253">
        <f t="shared" si="19"/>
        <v>1600214.2855333355</v>
      </c>
      <c r="J115" s="158">
        <f t="shared" si="20"/>
        <v>0</v>
      </c>
      <c r="K115" s="158"/>
      <c r="L115" s="334"/>
      <c r="M115" s="158">
        <f t="shared" si="11"/>
        <v>0</v>
      </c>
      <c r="N115" s="334"/>
      <c r="O115" s="158">
        <f t="shared" si="12"/>
        <v>0</v>
      </c>
      <c r="P115" s="158">
        <f t="shared" si="13"/>
        <v>0</v>
      </c>
    </row>
    <row r="116" spans="2:16">
      <c r="B116" s="9" t="str">
        <f t="shared" si="14"/>
        <v/>
      </c>
      <c r="C116" s="153">
        <f>IF(D93="","-",+C115+1)</f>
        <v>2032</v>
      </c>
      <c r="D116" s="154">
        <f>IF(F115+SUM(E$99:E115)=D$92,F115,D$92-SUM(E$99:E115))</f>
        <v>9817393.1796788573</v>
      </c>
      <c r="E116" s="160">
        <f t="shared" si="15"/>
        <v>384338.16666666669</v>
      </c>
      <c r="F116" s="159">
        <f t="shared" si="16"/>
        <v>9433055.0130121913</v>
      </c>
      <c r="G116" s="159">
        <f t="shared" si="17"/>
        <v>9625224.0963455252</v>
      </c>
      <c r="H116" s="163">
        <f t="shared" si="18"/>
        <v>1553528.1681847468</v>
      </c>
      <c r="I116" s="253">
        <f t="shared" si="19"/>
        <v>1553528.1681847468</v>
      </c>
      <c r="J116" s="158">
        <f t="shared" si="20"/>
        <v>0</v>
      </c>
      <c r="K116" s="158"/>
      <c r="L116" s="334"/>
      <c r="M116" s="158">
        <f t="shared" si="11"/>
        <v>0</v>
      </c>
      <c r="N116" s="334"/>
      <c r="O116" s="158">
        <f t="shared" si="12"/>
        <v>0</v>
      </c>
      <c r="P116" s="158">
        <f t="shared" si="13"/>
        <v>0</v>
      </c>
    </row>
    <row r="117" spans="2:16">
      <c r="B117" s="9" t="str">
        <f t="shared" si="14"/>
        <v/>
      </c>
      <c r="C117" s="153">
        <f>IF(D93="","-",+C116+1)</f>
        <v>2033</v>
      </c>
      <c r="D117" s="154">
        <f>IF(F116+SUM(E$99:E116)=D$92,F116,D$92-SUM(E$99:E116))</f>
        <v>9433055.0130121913</v>
      </c>
      <c r="E117" s="160">
        <f t="shared" si="15"/>
        <v>384338.16666666669</v>
      </c>
      <c r="F117" s="159">
        <f t="shared" si="16"/>
        <v>9048716.8463455252</v>
      </c>
      <c r="G117" s="159">
        <f t="shared" si="17"/>
        <v>9240885.9296788573</v>
      </c>
      <c r="H117" s="163">
        <f t="shared" si="18"/>
        <v>1506842.0508361573</v>
      </c>
      <c r="I117" s="253">
        <f t="shared" si="19"/>
        <v>1506842.0508361573</v>
      </c>
      <c r="J117" s="158">
        <f t="shared" si="20"/>
        <v>0</v>
      </c>
      <c r="K117" s="158"/>
      <c r="L117" s="334"/>
      <c r="M117" s="158">
        <f t="shared" si="11"/>
        <v>0</v>
      </c>
      <c r="N117" s="334"/>
      <c r="O117" s="158">
        <f t="shared" si="12"/>
        <v>0</v>
      </c>
      <c r="P117" s="158">
        <f t="shared" si="13"/>
        <v>0</v>
      </c>
    </row>
    <row r="118" spans="2:16">
      <c r="B118" s="9" t="str">
        <f t="shared" si="14"/>
        <v/>
      </c>
      <c r="C118" s="153">
        <f>IF(D93="","-",+C117+1)</f>
        <v>2034</v>
      </c>
      <c r="D118" s="154">
        <f>IF(F117+SUM(E$99:E117)=D$92,F117,D$92-SUM(E$99:E117))</f>
        <v>9048716.8463455252</v>
      </c>
      <c r="E118" s="160">
        <f t="shared" si="15"/>
        <v>384338.16666666669</v>
      </c>
      <c r="F118" s="159">
        <f t="shared" si="16"/>
        <v>8664378.6796788592</v>
      </c>
      <c r="G118" s="159">
        <f t="shared" si="17"/>
        <v>8856547.7630121931</v>
      </c>
      <c r="H118" s="163">
        <f t="shared" si="18"/>
        <v>1460155.9334875683</v>
      </c>
      <c r="I118" s="253">
        <f t="shared" si="19"/>
        <v>1460155.9334875683</v>
      </c>
      <c r="J118" s="158">
        <f t="shared" si="20"/>
        <v>0</v>
      </c>
      <c r="K118" s="158"/>
      <c r="L118" s="334"/>
      <c r="M118" s="158">
        <f t="shared" si="11"/>
        <v>0</v>
      </c>
      <c r="N118" s="334"/>
      <c r="O118" s="158">
        <f t="shared" si="12"/>
        <v>0</v>
      </c>
      <c r="P118" s="158">
        <f t="shared" si="13"/>
        <v>0</v>
      </c>
    </row>
    <row r="119" spans="2:16">
      <c r="B119" s="9" t="str">
        <f t="shared" si="14"/>
        <v/>
      </c>
      <c r="C119" s="153">
        <f>IF(D93="","-",+C118+1)</f>
        <v>2035</v>
      </c>
      <c r="D119" s="154">
        <f>IF(F118+SUM(E$99:E118)=D$92,F118,D$92-SUM(E$99:E118))</f>
        <v>8664378.6796788592</v>
      </c>
      <c r="E119" s="160">
        <f t="shared" si="15"/>
        <v>384338.16666666669</v>
      </c>
      <c r="F119" s="159">
        <f t="shared" si="16"/>
        <v>8280040.5130121922</v>
      </c>
      <c r="G119" s="159">
        <f t="shared" si="17"/>
        <v>8472209.5963455252</v>
      </c>
      <c r="H119" s="163">
        <f t="shared" si="18"/>
        <v>1413469.8161389788</v>
      </c>
      <c r="I119" s="253">
        <f t="shared" si="19"/>
        <v>1413469.8161389788</v>
      </c>
      <c r="J119" s="158">
        <f t="shared" si="20"/>
        <v>0</v>
      </c>
      <c r="K119" s="158"/>
      <c r="L119" s="334"/>
      <c r="M119" s="158">
        <f t="shared" si="11"/>
        <v>0</v>
      </c>
      <c r="N119" s="334"/>
      <c r="O119" s="158">
        <f t="shared" si="12"/>
        <v>0</v>
      </c>
      <c r="P119" s="158">
        <f t="shared" si="13"/>
        <v>0</v>
      </c>
    </row>
    <row r="120" spans="2:16">
      <c r="B120" s="9" t="str">
        <f t="shared" si="14"/>
        <v/>
      </c>
      <c r="C120" s="153">
        <f>IF(D93="","-",+C119+1)</f>
        <v>2036</v>
      </c>
      <c r="D120" s="154">
        <f>IF(F119+SUM(E$99:E119)=D$92,F119,D$92-SUM(E$99:E119))</f>
        <v>8280040.5130121922</v>
      </c>
      <c r="E120" s="160">
        <f t="shared" si="15"/>
        <v>384338.16666666669</v>
      </c>
      <c r="F120" s="159">
        <f t="shared" si="16"/>
        <v>7895702.3463455252</v>
      </c>
      <c r="G120" s="159">
        <f t="shared" si="17"/>
        <v>8087871.4296788592</v>
      </c>
      <c r="H120" s="163">
        <f t="shared" si="18"/>
        <v>1366783.6987903896</v>
      </c>
      <c r="I120" s="253">
        <f t="shared" si="19"/>
        <v>1366783.6987903896</v>
      </c>
      <c r="J120" s="158">
        <f t="shared" si="20"/>
        <v>0</v>
      </c>
      <c r="K120" s="158"/>
      <c r="L120" s="334"/>
      <c r="M120" s="158">
        <f t="shared" si="11"/>
        <v>0</v>
      </c>
      <c r="N120" s="334"/>
      <c r="O120" s="158">
        <f t="shared" si="12"/>
        <v>0</v>
      </c>
      <c r="P120" s="158">
        <f t="shared" si="13"/>
        <v>0</v>
      </c>
    </row>
    <row r="121" spans="2:16">
      <c r="B121" s="9" t="str">
        <f t="shared" si="14"/>
        <v/>
      </c>
      <c r="C121" s="153">
        <f>IF(D93="","-",+C120+1)</f>
        <v>2037</v>
      </c>
      <c r="D121" s="154">
        <f>IF(F120+SUM(E$99:E120)=D$92,F120,D$92-SUM(E$99:E120))</f>
        <v>7895702.3463455252</v>
      </c>
      <c r="E121" s="160">
        <f t="shared" si="15"/>
        <v>384338.16666666669</v>
      </c>
      <c r="F121" s="159">
        <f t="shared" si="16"/>
        <v>7511364.1796788583</v>
      </c>
      <c r="G121" s="159">
        <f t="shared" si="17"/>
        <v>7703533.2630121913</v>
      </c>
      <c r="H121" s="163">
        <f t="shared" si="18"/>
        <v>1320097.5814418003</v>
      </c>
      <c r="I121" s="253">
        <f t="shared" si="19"/>
        <v>1320097.5814418003</v>
      </c>
      <c r="J121" s="158">
        <f t="shared" si="20"/>
        <v>0</v>
      </c>
      <c r="K121" s="158"/>
      <c r="L121" s="334"/>
      <c r="M121" s="158">
        <f t="shared" si="11"/>
        <v>0</v>
      </c>
      <c r="N121" s="334"/>
      <c r="O121" s="158">
        <f t="shared" si="12"/>
        <v>0</v>
      </c>
      <c r="P121" s="158">
        <f t="shared" si="13"/>
        <v>0</v>
      </c>
    </row>
    <row r="122" spans="2:16">
      <c r="B122" s="9" t="str">
        <f t="shared" si="14"/>
        <v/>
      </c>
      <c r="C122" s="153">
        <f>IF(D93="","-",+C121+1)</f>
        <v>2038</v>
      </c>
      <c r="D122" s="154">
        <f>IF(F121+SUM(E$99:E121)=D$92,F121,D$92-SUM(E$99:E121))</f>
        <v>7511364.1796788583</v>
      </c>
      <c r="E122" s="160">
        <f t="shared" si="15"/>
        <v>384338.16666666669</v>
      </c>
      <c r="F122" s="159">
        <f t="shared" si="16"/>
        <v>7127026.0130121913</v>
      </c>
      <c r="G122" s="159">
        <f t="shared" si="17"/>
        <v>7319195.0963455252</v>
      </c>
      <c r="H122" s="163">
        <f t="shared" si="18"/>
        <v>1273411.4640932111</v>
      </c>
      <c r="I122" s="253">
        <f t="shared" si="19"/>
        <v>1273411.4640932111</v>
      </c>
      <c r="J122" s="158">
        <f t="shared" si="20"/>
        <v>0</v>
      </c>
      <c r="K122" s="158"/>
      <c r="L122" s="334"/>
      <c r="M122" s="158">
        <f t="shared" si="11"/>
        <v>0</v>
      </c>
      <c r="N122" s="334"/>
      <c r="O122" s="158">
        <f t="shared" si="12"/>
        <v>0</v>
      </c>
      <c r="P122" s="158">
        <f t="shared" si="13"/>
        <v>0</v>
      </c>
    </row>
    <row r="123" spans="2:16">
      <c r="B123" s="9" t="str">
        <f t="shared" si="14"/>
        <v/>
      </c>
      <c r="C123" s="153">
        <f>IF(D93="","-",+C122+1)</f>
        <v>2039</v>
      </c>
      <c r="D123" s="154">
        <f>IF(F122+SUM(E$99:E122)=D$92,F122,D$92-SUM(E$99:E122))</f>
        <v>7127026.0130121913</v>
      </c>
      <c r="E123" s="160">
        <f t="shared" si="15"/>
        <v>384338.16666666669</v>
      </c>
      <c r="F123" s="159">
        <f t="shared" si="16"/>
        <v>6742687.8463455243</v>
      </c>
      <c r="G123" s="159">
        <f t="shared" si="17"/>
        <v>6934856.9296788573</v>
      </c>
      <c r="H123" s="163">
        <f t="shared" si="18"/>
        <v>1226725.3467446216</v>
      </c>
      <c r="I123" s="253">
        <f t="shared" si="19"/>
        <v>1226725.3467446216</v>
      </c>
      <c r="J123" s="158">
        <f t="shared" si="20"/>
        <v>0</v>
      </c>
      <c r="K123" s="158"/>
      <c r="L123" s="334"/>
      <c r="M123" s="158">
        <f t="shared" si="11"/>
        <v>0</v>
      </c>
      <c r="N123" s="334"/>
      <c r="O123" s="158">
        <f t="shared" si="12"/>
        <v>0</v>
      </c>
      <c r="P123" s="158">
        <f t="shared" si="13"/>
        <v>0</v>
      </c>
    </row>
    <row r="124" spans="2:16">
      <c r="B124" s="9" t="str">
        <f t="shared" si="14"/>
        <v/>
      </c>
      <c r="C124" s="153">
        <f>IF(D93="","-",+C123+1)</f>
        <v>2040</v>
      </c>
      <c r="D124" s="154">
        <f>IF(F123+SUM(E$99:E123)=D$92,F123,D$92-SUM(E$99:E123))</f>
        <v>6742687.8463455243</v>
      </c>
      <c r="E124" s="160">
        <f t="shared" si="15"/>
        <v>384338.16666666669</v>
      </c>
      <c r="F124" s="159">
        <f t="shared" si="16"/>
        <v>6358349.6796788573</v>
      </c>
      <c r="G124" s="159">
        <f t="shared" si="17"/>
        <v>6550518.7630121913</v>
      </c>
      <c r="H124" s="163">
        <f t="shared" si="18"/>
        <v>1180039.2293960326</v>
      </c>
      <c r="I124" s="253">
        <f t="shared" si="19"/>
        <v>1180039.2293960326</v>
      </c>
      <c r="J124" s="158">
        <f t="shared" si="20"/>
        <v>0</v>
      </c>
      <c r="K124" s="158"/>
      <c r="L124" s="334"/>
      <c r="M124" s="158">
        <f t="shared" si="11"/>
        <v>0</v>
      </c>
      <c r="N124" s="334"/>
      <c r="O124" s="158">
        <f t="shared" si="12"/>
        <v>0</v>
      </c>
      <c r="P124" s="158">
        <f t="shared" si="13"/>
        <v>0</v>
      </c>
    </row>
    <row r="125" spans="2:16">
      <c r="B125" s="9" t="str">
        <f t="shared" si="14"/>
        <v/>
      </c>
      <c r="C125" s="153">
        <f>IF(D93="","-",+C124+1)</f>
        <v>2041</v>
      </c>
      <c r="D125" s="154">
        <f>IF(F124+SUM(E$99:E124)=D$92,F124,D$92-SUM(E$99:E124))</f>
        <v>6358349.6796788573</v>
      </c>
      <c r="E125" s="160">
        <f t="shared" si="15"/>
        <v>384338.16666666669</v>
      </c>
      <c r="F125" s="159">
        <f t="shared" si="16"/>
        <v>5974011.5130121903</v>
      </c>
      <c r="G125" s="159">
        <f t="shared" si="17"/>
        <v>6166180.5963455234</v>
      </c>
      <c r="H125" s="163">
        <f t="shared" si="18"/>
        <v>1133353.1120474432</v>
      </c>
      <c r="I125" s="253">
        <f t="shared" si="19"/>
        <v>1133353.1120474432</v>
      </c>
      <c r="J125" s="158">
        <f t="shared" si="20"/>
        <v>0</v>
      </c>
      <c r="K125" s="158"/>
      <c r="L125" s="334"/>
      <c r="M125" s="158">
        <f t="shared" si="11"/>
        <v>0</v>
      </c>
      <c r="N125" s="334"/>
      <c r="O125" s="158">
        <f t="shared" si="12"/>
        <v>0</v>
      </c>
      <c r="P125" s="158">
        <f t="shared" si="13"/>
        <v>0</v>
      </c>
    </row>
    <row r="126" spans="2:16">
      <c r="B126" s="9" t="str">
        <f t="shared" si="14"/>
        <v/>
      </c>
      <c r="C126" s="153">
        <f>IF(D93="","-",+C125+1)</f>
        <v>2042</v>
      </c>
      <c r="D126" s="154">
        <f>IF(F125+SUM(E$99:E125)=D$92,F125,D$92-SUM(E$99:E125))</f>
        <v>5974011.5130121903</v>
      </c>
      <c r="E126" s="160">
        <f t="shared" si="15"/>
        <v>384338.16666666669</v>
      </c>
      <c r="F126" s="159">
        <f t="shared" si="16"/>
        <v>5589673.3463455234</v>
      </c>
      <c r="G126" s="159">
        <f t="shared" si="17"/>
        <v>5781842.4296788573</v>
      </c>
      <c r="H126" s="163">
        <f t="shared" si="18"/>
        <v>1086666.9946988539</v>
      </c>
      <c r="I126" s="253">
        <f t="shared" si="19"/>
        <v>1086666.9946988539</v>
      </c>
      <c r="J126" s="158">
        <f t="shared" si="20"/>
        <v>0</v>
      </c>
      <c r="K126" s="158"/>
      <c r="L126" s="334"/>
      <c r="M126" s="158">
        <f t="shared" si="11"/>
        <v>0</v>
      </c>
      <c r="N126" s="334"/>
      <c r="O126" s="158">
        <f t="shared" si="12"/>
        <v>0</v>
      </c>
      <c r="P126" s="158">
        <f t="shared" si="13"/>
        <v>0</v>
      </c>
    </row>
    <row r="127" spans="2:16">
      <c r="B127" s="9" t="str">
        <f t="shared" si="14"/>
        <v/>
      </c>
      <c r="C127" s="153">
        <f>IF(D93="","-",+C126+1)</f>
        <v>2043</v>
      </c>
      <c r="D127" s="154">
        <f>IF(F126+SUM(E$99:E126)=D$92,F126,D$92-SUM(E$99:E126))</f>
        <v>5589673.3463455234</v>
      </c>
      <c r="E127" s="160">
        <f t="shared" si="15"/>
        <v>384338.16666666669</v>
      </c>
      <c r="F127" s="159">
        <f t="shared" si="16"/>
        <v>5205335.1796788564</v>
      </c>
      <c r="G127" s="159">
        <f t="shared" si="17"/>
        <v>5397504.2630121894</v>
      </c>
      <c r="H127" s="163">
        <f t="shared" si="18"/>
        <v>1039980.8773502647</v>
      </c>
      <c r="I127" s="253">
        <f t="shared" si="19"/>
        <v>1039980.8773502647</v>
      </c>
      <c r="J127" s="158">
        <f t="shared" si="20"/>
        <v>0</v>
      </c>
      <c r="K127" s="158"/>
      <c r="L127" s="334"/>
      <c r="M127" s="158">
        <f t="shared" si="11"/>
        <v>0</v>
      </c>
      <c r="N127" s="334"/>
      <c r="O127" s="158">
        <f t="shared" si="12"/>
        <v>0</v>
      </c>
      <c r="P127" s="158">
        <f t="shared" si="13"/>
        <v>0</v>
      </c>
    </row>
    <row r="128" spans="2:16">
      <c r="B128" s="9" t="str">
        <f t="shared" si="14"/>
        <v/>
      </c>
      <c r="C128" s="153">
        <f>IF(D93="","-",+C127+1)</f>
        <v>2044</v>
      </c>
      <c r="D128" s="154">
        <f>IF(F127+SUM(E$99:E127)=D$92,F127,D$92-SUM(E$99:E127))</f>
        <v>5205335.1796788564</v>
      </c>
      <c r="E128" s="160">
        <f t="shared" si="15"/>
        <v>384338.16666666669</v>
      </c>
      <c r="F128" s="159">
        <f t="shared" si="16"/>
        <v>4820997.0130121894</v>
      </c>
      <c r="G128" s="159">
        <f t="shared" si="17"/>
        <v>5013166.0963455234</v>
      </c>
      <c r="H128" s="163">
        <f t="shared" si="18"/>
        <v>993294.76000167546</v>
      </c>
      <c r="I128" s="253">
        <f t="shared" si="19"/>
        <v>993294.76000167546</v>
      </c>
      <c r="J128" s="158">
        <f t="shared" si="20"/>
        <v>0</v>
      </c>
      <c r="K128" s="158"/>
      <c r="L128" s="334"/>
      <c r="M128" s="158">
        <f t="shared" si="11"/>
        <v>0</v>
      </c>
      <c r="N128" s="334"/>
      <c r="O128" s="158">
        <f t="shared" si="12"/>
        <v>0</v>
      </c>
      <c r="P128" s="158">
        <f t="shared" si="13"/>
        <v>0</v>
      </c>
    </row>
    <row r="129" spans="2:16">
      <c r="B129" s="9" t="str">
        <f t="shared" si="14"/>
        <v/>
      </c>
      <c r="C129" s="153">
        <f>IF(D93="","-",+C128+1)</f>
        <v>2045</v>
      </c>
      <c r="D129" s="154">
        <f>IF(F128+SUM(E$99:E128)=D$92,F128,D$92-SUM(E$99:E128))</f>
        <v>4820997.0130121894</v>
      </c>
      <c r="E129" s="160">
        <f t="shared" si="15"/>
        <v>384338.16666666669</v>
      </c>
      <c r="F129" s="159">
        <f t="shared" si="16"/>
        <v>4436658.8463455224</v>
      </c>
      <c r="G129" s="159">
        <f t="shared" si="17"/>
        <v>4628827.9296788555</v>
      </c>
      <c r="H129" s="163">
        <f t="shared" si="18"/>
        <v>946608.64265308599</v>
      </c>
      <c r="I129" s="253">
        <f t="shared" si="19"/>
        <v>946608.64265308599</v>
      </c>
      <c r="J129" s="158">
        <f t="shared" si="20"/>
        <v>0</v>
      </c>
      <c r="K129" s="158"/>
      <c r="L129" s="334"/>
      <c r="M129" s="158">
        <f t="shared" si="11"/>
        <v>0</v>
      </c>
      <c r="N129" s="334"/>
      <c r="O129" s="158">
        <f t="shared" si="12"/>
        <v>0</v>
      </c>
      <c r="P129" s="158">
        <f t="shared" si="13"/>
        <v>0</v>
      </c>
    </row>
    <row r="130" spans="2:16">
      <c r="B130" s="9" t="str">
        <f t="shared" si="14"/>
        <v/>
      </c>
      <c r="C130" s="153">
        <f>IF(D93="","-",+C129+1)</f>
        <v>2046</v>
      </c>
      <c r="D130" s="154">
        <f>IF(F129+SUM(E$99:E129)=D$92,F129,D$92-SUM(E$99:E129))</f>
        <v>4436658.8463455224</v>
      </c>
      <c r="E130" s="160">
        <f t="shared" si="15"/>
        <v>384338.16666666669</v>
      </c>
      <c r="F130" s="159">
        <f t="shared" si="16"/>
        <v>4052320.6796788559</v>
      </c>
      <c r="G130" s="159">
        <f t="shared" si="17"/>
        <v>4244489.7630121894</v>
      </c>
      <c r="H130" s="163">
        <f t="shared" si="18"/>
        <v>899922.52530449687</v>
      </c>
      <c r="I130" s="253">
        <f t="shared" si="19"/>
        <v>899922.52530449687</v>
      </c>
      <c r="J130" s="158">
        <f t="shared" si="20"/>
        <v>0</v>
      </c>
      <c r="K130" s="158"/>
      <c r="L130" s="334"/>
      <c r="M130" s="158">
        <f t="shared" si="11"/>
        <v>0</v>
      </c>
      <c r="N130" s="334"/>
      <c r="O130" s="158">
        <f t="shared" si="12"/>
        <v>0</v>
      </c>
      <c r="P130" s="158">
        <f t="shared" si="13"/>
        <v>0</v>
      </c>
    </row>
    <row r="131" spans="2:16">
      <c r="B131" s="9" t="str">
        <f t="shared" si="14"/>
        <v/>
      </c>
      <c r="C131" s="153">
        <f>IF(D93="","-",+C130+1)</f>
        <v>2047</v>
      </c>
      <c r="D131" s="154">
        <f>IF(F130+SUM(E$99:E130)=D$92,F130,D$92-SUM(E$99:E130))</f>
        <v>4052320.6796788559</v>
      </c>
      <c r="E131" s="160">
        <f t="shared" si="15"/>
        <v>384338.16666666669</v>
      </c>
      <c r="F131" s="159">
        <f t="shared" si="16"/>
        <v>3667982.5130121894</v>
      </c>
      <c r="G131" s="159">
        <f t="shared" si="17"/>
        <v>3860151.5963455224</v>
      </c>
      <c r="H131" s="163">
        <f t="shared" si="18"/>
        <v>853236.40795590752</v>
      </c>
      <c r="I131" s="253">
        <f t="shared" si="19"/>
        <v>853236.40795590752</v>
      </c>
      <c r="J131" s="158">
        <f t="shared" si="20"/>
        <v>0</v>
      </c>
      <c r="K131" s="158"/>
      <c r="L131" s="334"/>
      <c r="M131" s="158">
        <f t="shared" ref="M131:M154" si="21">IF(L541&lt;&gt;0,+H541-L541,0)</f>
        <v>0</v>
      </c>
      <c r="N131" s="334"/>
      <c r="O131" s="158">
        <f t="shared" ref="O131:O154" si="22">IF(N541&lt;&gt;0,+I541-N541,0)</f>
        <v>0</v>
      </c>
      <c r="P131" s="158">
        <f t="shared" ref="P131:P154" si="23">+O541-M541</f>
        <v>0</v>
      </c>
    </row>
    <row r="132" spans="2:16">
      <c r="B132" s="9" t="str">
        <f t="shared" si="14"/>
        <v/>
      </c>
      <c r="C132" s="153">
        <f>IF(D93="","-",+C131+1)</f>
        <v>2048</v>
      </c>
      <c r="D132" s="154">
        <f>IF(F131+SUM(E$99:E131)=D$92,F131,D$92-SUM(E$99:E131))</f>
        <v>3667982.5130121894</v>
      </c>
      <c r="E132" s="160">
        <f t="shared" si="15"/>
        <v>384338.16666666669</v>
      </c>
      <c r="F132" s="159">
        <f t="shared" si="16"/>
        <v>3283644.3463455229</v>
      </c>
      <c r="G132" s="159">
        <f t="shared" si="17"/>
        <v>3475813.4296788564</v>
      </c>
      <c r="H132" s="163">
        <f t="shared" si="18"/>
        <v>806550.29060731851</v>
      </c>
      <c r="I132" s="253">
        <f t="shared" si="19"/>
        <v>806550.29060731851</v>
      </c>
      <c r="J132" s="158">
        <f t="shared" si="20"/>
        <v>0</v>
      </c>
      <c r="K132" s="158"/>
      <c r="L132" s="334"/>
      <c r="M132" s="158">
        <f t="shared" si="21"/>
        <v>0</v>
      </c>
      <c r="N132" s="334"/>
      <c r="O132" s="158">
        <f t="shared" si="22"/>
        <v>0</v>
      </c>
      <c r="P132" s="158">
        <f t="shared" si="23"/>
        <v>0</v>
      </c>
    </row>
    <row r="133" spans="2:16">
      <c r="B133" s="9" t="str">
        <f t="shared" si="14"/>
        <v/>
      </c>
      <c r="C133" s="153">
        <f>IF(D93="","-",+C132+1)</f>
        <v>2049</v>
      </c>
      <c r="D133" s="154">
        <f>IF(F132+SUM(E$99:E132)=D$92,F132,D$92-SUM(E$99:E132))</f>
        <v>3283644.3463455229</v>
      </c>
      <c r="E133" s="160">
        <f t="shared" si="15"/>
        <v>384338.16666666669</v>
      </c>
      <c r="F133" s="159">
        <f t="shared" si="16"/>
        <v>2899306.1796788564</v>
      </c>
      <c r="G133" s="159">
        <f t="shared" si="17"/>
        <v>3091475.2630121894</v>
      </c>
      <c r="H133" s="163">
        <f t="shared" si="18"/>
        <v>759864.17325872916</v>
      </c>
      <c r="I133" s="253">
        <f t="shared" si="19"/>
        <v>759864.17325872916</v>
      </c>
      <c r="J133" s="158">
        <f t="shared" si="20"/>
        <v>0</v>
      </c>
      <c r="K133" s="158"/>
      <c r="L133" s="334"/>
      <c r="M133" s="158">
        <f t="shared" si="21"/>
        <v>0</v>
      </c>
      <c r="N133" s="334"/>
      <c r="O133" s="158">
        <f t="shared" si="22"/>
        <v>0</v>
      </c>
      <c r="P133" s="158">
        <f t="shared" si="23"/>
        <v>0</v>
      </c>
    </row>
    <row r="134" spans="2:16">
      <c r="B134" s="9" t="str">
        <f t="shared" si="14"/>
        <v/>
      </c>
      <c r="C134" s="153">
        <f>IF(D93="","-",+C133+1)</f>
        <v>2050</v>
      </c>
      <c r="D134" s="154">
        <f>IF(F133+SUM(E$99:E133)=D$92,F133,D$92-SUM(E$99:E133))</f>
        <v>2899306.1796788564</v>
      </c>
      <c r="E134" s="160">
        <f t="shared" si="15"/>
        <v>384338.16666666669</v>
      </c>
      <c r="F134" s="159">
        <f t="shared" si="16"/>
        <v>2514968.0130121899</v>
      </c>
      <c r="G134" s="159">
        <f t="shared" si="17"/>
        <v>2707137.0963455234</v>
      </c>
      <c r="H134" s="163">
        <f t="shared" si="18"/>
        <v>713178.05591014004</v>
      </c>
      <c r="I134" s="253">
        <f t="shared" si="19"/>
        <v>713178.05591014004</v>
      </c>
      <c r="J134" s="158">
        <f t="shared" si="20"/>
        <v>0</v>
      </c>
      <c r="K134" s="158"/>
      <c r="L134" s="334"/>
      <c r="M134" s="158">
        <f t="shared" si="21"/>
        <v>0</v>
      </c>
      <c r="N134" s="334"/>
      <c r="O134" s="158">
        <f t="shared" si="22"/>
        <v>0</v>
      </c>
      <c r="P134" s="158">
        <f t="shared" si="23"/>
        <v>0</v>
      </c>
    </row>
    <row r="135" spans="2:16">
      <c r="B135" s="9" t="str">
        <f t="shared" si="14"/>
        <v/>
      </c>
      <c r="C135" s="153">
        <f>IF(D93="","-",+C134+1)</f>
        <v>2051</v>
      </c>
      <c r="D135" s="154">
        <f>IF(F134+SUM(E$99:E134)=D$92,F134,D$92-SUM(E$99:E134))</f>
        <v>2514968.0130121899</v>
      </c>
      <c r="E135" s="160">
        <f t="shared" si="15"/>
        <v>384338.16666666669</v>
      </c>
      <c r="F135" s="159">
        <f t="shared" si="16"/>
        <v>2130629.8463455234</v>
      </c>
      <c r="G135" s="159">
        <f t="shared" si="17"/>
        <v>2322798.9296788564</v>
      </c>
      <c r="H135" s="163">
        <f t="shared" si="18"/>
        <v>666491.93856155069</v>
      </c>
      <c r="I135" s="253">
        <f t="shared" si="19"/>
        <v>666491.93856155069</v>
      </c>
      <c r="J135" s="158">
        <f t="shared" si="20"/>
        <v>0</v>
      </c>
      <c r="K135" s="158"/>
      <c r="L135" s="334"/>
      <c r="M135" s="158">
        <f t="shared" si="21"/>
        <v>0</v>
      </c>
      <c r="N135" s="334"/>
      <c r="O135" s="158">
        <f t="shared" si="22"/>
        <v>0</v>
      </c>
      <c r="P135" s="158">
        <f t="shared" si="23"/>
        <v>0</v>
      </c>
    </row>
    <row r="136" spans="2:16">
      <c r="B136" s="9" t="str">
        <f t="shared" si="14"/>
        <v/>
      </c>
      <c r="C136" s="153">
        <f>IF(D93="","-",+C135+1)</f>
        <v>2052</v>
      </c>
      <c r="D136" s="154">
        <f>IF(F135+SUM(E$99:E135)=D$92,F135,D$92-SUM(E$99:E135))</f>
        <v>2130629.8463455234</v>
      </c>
      <c r="E136" s="160">
        <f t="shared" si="15"/>
        <v>384338.16666666669</v>
      </c>
      <c r="F136" s="159">
        <f t="shared" si="16"/>
        <v>1746291.6796788566</v>
      </c>
      <c r="G136" s="159">
        <f t="shared" si="17"/>
        <v>1938460.7630121899</v>
      </c>
      <c r="H136" s="163">
        <f t="shared" si="18"/>
        <v>619805.82121296145</v>
      </c>
      <c r="I136" s="253">
        <f t="shared" si="19"/>
        <v>619805.82121296145</v>
      </c>
      <c r="J136" s="158">
        <f t="shared" si="20"/>
        <v>0</v>
      </c>
      <c r="K136" s="158"/>
      <c r="L136" s="334"/>
      <c r="M136" s="158">
        <f t="shared" si="21"/>
        <v>0</v>
      </c>
      <c r="N136" s="334"/>
      <c r="O136" s="158">
        <f t="shared" si="22"/>
        <v>0</v>
      </c>
      <c r="P136" s="158">
        <f t="shared" si="23"/>
        <v>0</v>
      </c>
    </row>
    <row r="137" spans="2:16">
      <c r="B137" s="9" t="str">
        <f t="shared" si="14"/>
        <v/>
      </c>
      <c r="C137" s="153">
        <f>IF(D93="","-",+C136+1)</f>
        <v>2053</v>
      </c>
      <c r="D137" s="154">
        <f>IF(F136+SUM(E$99:E136)=D$92,F136,D$92-SUM(E$99:E136))</f>
        <v>1746291.6796788566</v>
      </c>
      <c r="E137" s="160">
        <f t="shared" si="15"/>
        <v>384338.16666666669</v>
      </c>
      <c r="F137" s="159">
        <f t="shared" si="16"/>
        <v>1361953.5130121899</v>
      </c>
      <c r="G137" s="159">
        <f t="shared" si="17"/>
        <v>1554122.5963455234</v>
      </c>
      <c r="H137" s="163">
        <f t="shared" si="18"/>
        <v>573119.70386437222</v>
      </c>
      <c r="I137" s="253">
        <f t="shared" si="19"/>
        <v>573119.70386437222</v>
      </c>
      <c r="J137" s="158">
        <f t="shared" si="20"/>
        <v>0</v>
      </c>
      <c r="K137" s="158"/>
      <c r="L137" s="334"/>
      <c r="M137" s="158">
        <f t="shared" si="21"/>
        <v>0</v>
      </c>
      <c r="N137" s="334"/>
      <c r="O137" s="158">
        <f t="shared" si="22"/>
        <v>0</v>
      </c>
      <c r="P137" s="158">
        <f t="shared" si="23"/>
        <v>0</v>
      </c>
    </row>
    <row r="138" spans="2:16">
      <c r="B138" s="9" t="str">
        <f t="shared" si="14"/>
        <v/>
      </c>
      <c r="C138" s="153">
        <f>IF(D93="","-",+C137+1)</f>
        <v>2054</v>
      </c>
      <c r="D138" s="154">
        <f>IF(F137+SUM(E$99:E137)=D$92,F137,D$92-SUM(E$99:E137))</f>
        <v>1361953.5130121899</v>
      </c>
      <c r="E138" s="160">
        <f t="shared" si="15"/>
        <v>384338.16666666669</v>
      </c>
      <c r="F138" s="159">
        <f t="shared" si="16"/>
        <v>977615.34634552314</v>
      </c>
      <c r="G138" s="159">
        <f t="shared" si="17"/>
        <v>1169784.4296788564</v>
      </c>
      <c r="H138" s="163">
        <f t="shared" si="18"/>
        <v>526433.58651578298</v>
      </c>
      <c r="I138" s="253">
        <f t="shared" si="19"/>
        <v>526433.58651578298</v>
      </c>
      <c r="J138" s="158">
        <f t="shared" si="20"/>
        <v>0</v>
      </c>
      <c r="K138" s="158"/>
      <c r="L138" s="334"/>
      <c r="M138" s="158">
        <f t="shared" si="21"/>
        <v>0</v>
      </c>
      <c r="N138" s="334"/>
      <c r="O138" s="158">
        <f t="shared" si="22"/>
        <v>0</v>
      </c>
      <c r="P138" s="158">
        <f t="shared" si="23"/>
        <v>0</v>
      </c>
    </row>
    <row r="139" spans="2:16">
      <c r="B139" s="9" t="str">
        <f t="shared" si="14"/>
        <v/>
      </c>
      <c r="C139" s="153">
        <f>IF(D93="","-",+C138+1)</f>
        <v>2055</v>
      </c>
      <c r="D139" s="154">
        <f>IF(F138+SUM(E$99:E138)=D$92,F138,D$92-SUM(E$99:E138))</f>
        <v>977615.34634552314</v>
      </c>
      <c r="E139" s="160">
        <f t="shared" si="15"/>
        <v>384338.16666666669</v>
      </c>
      <c r="F139" s="159">
        <f t="shared" si="16"/>
        <v>593277.1796788564</v>
      </c>
      <c r="G139" s="159">
        <f t="shared" si="17"/>
        <v>785446.26301218977</v>
      </c>
      <c r="H139" s="163">
        <f t="shared" si="18"/>
        <v>479747.46916719375</v>
      </c>
      <c r="I139" s="253">
        <f t="shared" si="19"/>
        <v>479747.46916719375</v>
      </c>
      <c r="J139" s="158">
        <f t="shared" si="20"/>
        <v>0</v>
      </c>
      <c r="K139" s="158"/>
      <c r="L139" s="334"/>
      <c r="M139" s="158">
        <f t="shared" si="21"/>
        <v>0</v>
      </c>
      <c r="N139" s="334"/>
      <c r="O139" s="158">
        <f t="shared" si="22"/>
        <v>0</v>
      </c>
      <c r="P139" s="158">
        <f t="shared" si="23"/>
        <v>0</v>
      </c>
    </row>
    <row r="140" spans="2:16">
      <c r="B140" s="9" t="str">
        <f t="shared" si="14"/>
        <v/>
      </c>
      <c r="C140" s="153">
        <f>IF(D93="","-",+C139+1)</f>
        <v>2056</v>
      </c>
      <c r="D140" s="154">
        <f>IF(F139+SUM(E$99:E139)=D$92,F139,D$92-SUM(E$99:E139))</f>
        <v>593277.1796788564</v>
      </c>
      <c r="E140" s="160">
        <f t="shared" si="15"/>
        <v>384338.16666666669</v>
      </c>
      <c r="F140" s="159">
        <f t="shared" si="16"/>
        <v>208939.01301218971</v>
      </c>
      <c r="G140" s="159">
        <f t="shared" si="17"/>
        <v>401108.09634552302</v>
      </c>
      <c r="H140" s="163">
        <f t="shared" si="18"/>
        <v>433061.35181860451</v>
      </c>
      <c r="I140" s="253">
        <f t="shared" si="19"/>
        <v>433061.35181860451</v>
      </c>
      <c r="J140" s="158">
        <f t="shared" si="20"/>
        <v>0</v>
      </c>
      <c r="K140" s="158"/>
      <c r="L140" s="334"/>
      <c r="M140" s="158">
        <f t="shared" si="21"/>
        <v>0</v>
      </c>
      <c r="N140" s="334"/>
      <c r="O140" s="158">
        <f t="shared" si="22"/>
        <v>0</v>
      </c>
      <c r="P140" s="158">
        <f t="shared" si="23"/>
        <v>0</v>
      </c>
    </row>
    <row r="141" spans="2:16">
      <c r="B141" s="9" t="str">
        <f t="shared" si="14"/>
        <v/>
      </c>
      <c r="C141" s="153">
        <f>IF(D93="","-",+C140+1)</f>
        <v>2057</v>
      </c>
      <c r="D141" s="154">
        <f>IF(F140+SUM(E$99:E140)=D$92,F140,D$92-SUM(E$99:E140))</f>
        <v>208939.01301218971</v>
      </c>
      <c r="E141" s="160">
        <f t="shared" si="15"/>
        <v>208939.01301218971</v>
      </c>
      <c r="F141" s="159">
        <f t="shared" si="16"/>
        <v>0</v>
      </c>
      <c r="G141" s="159">
        <f t="shared" si="17"/>
        <v>104469.50650609485</v>
      </c>
      <c r="H141" s="163">
        <f t="shared" si="18"/>
        <v>221629.07625101128</v>
      </c>
      <c r="I141" s="253">
        <f t="shared" si="19"/>
        <v>221629.07625101128</v>
      </c>
      <c r="J141" s="158">
        <f t="shared" si="20"/>
        <v>0</v>
      </c>
      <c r="K141" s="158"/>
      <c r="L141" s="334"/>
      <c r="M141" s="158">
        <f t="shared" si="21"/>
        <v>0</v>
      </c>
      <c r="N141" s="334"/>
      <c r="O141" s="158">
        <f t="shared" si="22"/>
        <v>0</v>
      </c>
      <c r="P141" s="158">
        <f t="shared" si="23"/>
        <v>0</v>
      </c>
    </row>
    <row r="142" spans="2:16">
      <c r="B142" s="9" t="str">
        <f t="shared" si="14"/>
        <v/>
      </c>
      <c r="C142" s="153">
        <f>IF(D93="","-",+C141+1)</f>
        <v>2058</v>
      </c>
      <c r="D142" s="154">
        <f>IF(F141+SUM(E$99:E141)=D$92,F141,D$92-SUM(E$99:E141))</f>
        <v>0</v>
      </c>
      <c r="E142" s="160">
        <f t="shared" si="15"/>
        <v>0</v>
      </c>
      <c r="F142" s="159">
        <f t="shared" si="16"/>
        <v>0</v>
      </c>
      <c r="G142" s="159">
        <f t="shared" si="17"/>
        <v>0</v>
      </c>
      <c r="H142" s="163">
        <f t="shared" si="18"/>
        <v>0</v>
      </c>
      <c r="I142" s="253">
        <f t="shared" si="19"/>
        <v>0</v>
      </c>
      <c r="J142" s="158">
        <f t="shared" si="20"/>
        <v>0</v>
      </c>
      <c r="K142" s="158"/>
      <c r="L142" s="334"/>
      <c r="M142" s="158">
        <f t="shared" si="21"/>
        <v>0</v>
      </c>
      <c r="N142" s="334"/>
      <c r="O142" s="158">
        <f t="shared" si="22"/>
        <v>0</v>
      </c>
      <c r="P142" s="158">
        <f t="shared" si="23"/>
        <v>0</v>
      </c>
    </row>
    <row r="143" spans="2:16">
      <c r="B143" s="9" t="str">
        <f t="shared" si="14"/>
        <v/>
      </c>
      <c r="C143" s="153">
        <f>IF(D93="","-",+C142+1)</f>
        <v>2059</v>
      </c>
      <c r="D143" s="154">
        <f>IF(F142+SUM(E$99:E142)=D$92,F142,D$92-SUM(E$99:E142))</f>
        <v>0</v>
      </c>
      <c r="E143" s="160">
        <f t="shared" si="15"/>
        <v>0</v>
      </c>
      <c r="F143" s="159">
        <f t="shared" si="16"/>
        <v>0</v>
      </c>
      <c r="G143" s="159">
        <f t="shared" si="17"/>
        <v>0</v>
      </c>
      <c r="H143" s="163">
        <f t="shared" si="18"/>
        <v>0</v>
      </c>
      <c r="I143" s="253">
        <f t="shared" si="19"/>
        <v>0</v>
      </c>
      <c r="J143" s="158">
        <f t="shared" si="20"/>
        <v>0</v>
      </c>
      <c r="K143" s="158"/>
      <c r="L143" s="334"/>
      <c r="M143" s="158">
        <f t="shared" si="21"/>
        <v>0</v>
      </c>
      <c r="N143" s="334"/>
      <c r="O143" s="158">
        <f t="shared" si="22"/>
        <v>0</v>
      </c>
      <c r="P143" s="158">
        <f t="shared" si="23"/>
        <v>0</v>
      </c>
    </row>
    <row r="144" spans="2:16">
      <c r="B144" s="9" t="str">
        <f t="shared" si="14"/>
        <v/>
      </c>
      <c r="C144" s="153">
        <f>IF(D93="","-",+C143+1)</f>
        <v>2060</v>
      </c>
      <c r="D144" s="154">
        <f>IF(F143+SUM(E$99:E143)=D$92,F143,D$92-SUM(E$99:E143))</f>
        <v>0</v>
      </c>
      <c r="E144" s="160">
        <f t="shared" si="15"/>
        <v>0</v>
      </c>
      <c r="F144" s="159">
        <f t="shared" si="16"/>
        <v>0</v>
      </c>
      <c r="G144" s="159">
        <f t="shared" si="17"/>
        <v>0</v>
      </c>
      <c r="H144" s="163">
        <f t="shared" si="18"/>
        <v>0</v>
      </c>
      <c r="I144" s="253">
        <f t="shared" si="19"/>
        <v>0</v>
      </c>
      <c r="J144" s="158">
        <f t="shared" si="20"/>
        <v>0</v>
      </c>
      <c r="K144" s="158"/>
      <c r="L144" s="334"/>
      <c r="M144" s="158">
        <f t="shared" si="21"/>
        <v>0</v>
      </c>
      <c r="N144" s="334"/>
      <c r="O144" s="158">
        <f t="shared" si="22"/>
        <v>0</v>
      </c>
      <c r="P144" s="158">
        <f t="shared" si="23"/>
        <v>0</v>
      </c>
    </row>
    <row r="145" spans="2:16">
      <c r="B145" s="9" t="str">
        <f t="shared" si="14"/>
        <v/>
      </c>
      <c r="C145" s="153">
        <f>IF(D93="","-",+C144+1)</f>
        <v>2061</v>
      </c>
      <c r="D145" s="154">
        <f>IF(F144+SUM(E$99:E144)=D$92,F144,D$92-SUM(E$99:E144))</f>
        <v>0</v>
      </c>
      <c r="E145" s="160">
        <f t="shared" si="15"/>
        <v>0</v>
      </c>
      <c r="F145" s="159">
        <f t="shared" si="16"/>
        <v>0</v>
      </c>
      <c r="G145" s="159">
        <f t="shared" si="17"/>
        <v>0</v>
      </c>
      <c r="H145" s="163">
        <f t="shared" si="18"/>
        <v>0</v>
      </c>
      <c r="I145" s="253">
        <f t="shared" si="19"/>
        <v>0</v>
      </c>
      <c r="J145" s="158">
        <f t="shared" si="20"/>
        <v>0</v>
      </c>
      <c r="K145" s="158"/>
      <c r="L145" s="334"/>
      <c r="M145" s="158">
        <f t="shared" si="21"/>
        <v>0</v>
      </c>
      <c r="N145" s="334"/>
      <c r="O145" s="158">
        <f t="shared" si="22"/>
        <v>0</v>
      </c>
      <c r="P145" s="158">
        <f t="shared" si="23"/>
        <v>0</v>
      </c>
    </row>
    <row r="146" spans="2:16">
      <c r="B146" s="9" t="str">
        <f t="shared" si="14"/>
        <v/>
      </c>
      <c r="C146" s="153">
        <f>IF(D93="","-",+C145+1)</f>
        <v>2062</v>
      </c>
      <c r="D146" s="154">
        <f>IF(F145+SUM(E$99:E145)=D$92,F145,D$92-SUM(E$99:E145))</f>
        <v>0</v>
      </c>
      <c r="E146" s="160">
        <f t="shared" si="15"/>
        <v>0</v>
      </c>
      <c r="F146" s="159">
        <f t="shared" si="16"/>
        <v>0</v>
      </c>
      <c r="G146" s="159">
        <f t="shared" si="17"/>
        <v>0</v>
      </c>
      <c r="H146" s="163">
        <f t="shared" si="18"/>
        <v>0</v>
      </c>
      <c r="I146" s="253">
        <f t="shared" si="19"/>
        <v>0</v>
      </c>
      <c r="J146" s="158">
        <f t="shared" si="20"/>
        <v>0</v>
      </c>
      <c r="K146" s="158"/>
      <c r="L146" s="334"/>
      <c r="M146" s="158">
        <f t="shared" si="21"/>
        <v>0</v>
      </c>
      <c r="N146" s="334"/>
      <c r="O146" s="158">
        <f t="shared" si="22"/>
        <v>0</v>
      </c>
      <c r="P146" s="158">
        <f t="shared" si="23"/>
        <v>0</v>
      </c>
    </row>
    <row r="147" spans="2:16">
      <c r="B147" s="9" t="str">
        <f t="shared" si="14"/>
        <v/>
      </c>
      <c r="C147" s="153">
        <f>IF(D93="","-",+C146+1)</f>
        <v>2063</v>
      </c>
      <c r="D147" s="154">
        <f>IF(F146+SUM(E$99:E146)=D$92,F146,D$92-SUM(E$99:E146))</f>
        <v>0</v>
      </c>
      <c r="E147" s="160">
        <f t="shared" si="15"/>
        <v>0</v>
      </c>
      <c r="F147" s="159">
        <f t="shared" si="16"/>
        <v>0</v>
      </c>
      <c r="G147" s="159">
        <f t="shared" si="17"/>
        <v>0</v>
      </c>
      <c r="H147" s="163">
        <f t="shared" si="18"/>
        <v>0</v>
      </c>
      <c r="I147" s="253">
        <f t="shared" si="19"/>
        <v>0</v>
      </c>
      <c r="J147" s="158">
        <f t="shared" si="20"/>
        <v>0</v>
      </c>
      <c r="K147" s="158"/>
      <c r="L147" s="334"/>
      <c r="M147" s="158">
        <f t="shared" si="21"/>
        <v>0</v>
      </c>
      <c r="N147" s="334"/>
      <c r="O147" s="158">
        <f t="shared" si="22"/>
        <v>0</v>
      </c>
      <c r="P147" s="158">
        <f t="shared" si="23"/>
        <v>0</v>
      </c>
    </row>
    <row r="148" spans="2:16">
      <c r="B148" s="9" t="str">
        <f t="shared" si="14"/>
        <v/>
      </c>
      <c r="C148" s="153">
        <f>IF(D93="","-",+C147+1)</f>
        <v>2064</v>
      </c>
      <c r="D148" s="154">
        <f>IF(F147+SUM(E$99:E147)=D$92,F147,D$92-SUM(E$99:E147))</f>
        <v>0</v>
      </c>
      <c r="E148" s="160">
        <f t="shared" si="15"/>
        <v>0</v>
      </c>
      <c r="F148" s="159">
        <f t="shared" si="16"/>
        <v>0</v>
      </c>
      <c r="G148" s="159">
        <f t="shared" si="17"/>
        <v>0</v>
      </c>
      <c r="H148" s="163">
        <f t="shared" si="18"/>
        <v>0</v>
      </c>
      <c r="I148" s="253">
        <f t="shared" si="19"/>
        <v>0</v>
      </c>
      <c r="J148" s="158">
        <f t="shared" si="20"/>
        <v>0</v>
      </c>
      <c r="K148" s="158"/>
      <c r="L148" s="334"/>
      <c r="M148" s="158">
        <f t="shared" si="21"/>
        <v>0</v>
      </c>
      <c r="N148" s="334"/>
      <c r="O148" s="158">
        <f t="shared" si="22"/>
        <v>0</v>
      </c>
      <c r="P148" s="158">
        <f t="shared" si="23"/>
        <v>0</v>
      </c>
    </row>
    <row r="149" spans="2:16">
      <c r="B149" s="9" t="str">
        <f t="shared" si="14"/>
        <v/>
      </c>
      <c r="C149" s="153">
        <f>IF(D93="","-",+C148+1)</f>
        <v>2065</v>
      </c>
      <c r="D149" s="154">
        <f>IF(F148+SUM(E$99:E148)=D$92,F148,D$92-SUM(E$99:E148))</f>
        <v>0</v>
      </c>
      <c r="E149" s="160">
        <f t="shared" si="15"/>
        <v>0</v>
      </c>
      <c r="F149" s="159">
        <f t="shared" si="16"/>
        <v>0</v>
      </c>
      <c r="G149" s="159">
        <f t="shared" si="17"/>
        <v>0</v>
      </c>
      <c r="H149" s="163">
        <f t="shared" si="18"/>
        <v>0</v>
      </c>
      <c r="I149" s="253">
        <f t="shared" si="19"/>
        <v>0</v>
      </c>
      <c r="J149" s="158">
        <f t="shared" si="20"/>
        <v>0</v>
      </c>
      <c r="K149" s="158"/>
      <c r="L149" s="334"/>
      <c r="M149" s="158">
        <f t="shared" si="21"/>
        <v>0</v>
      </c>
      <c r="N149" s="334"/>
      <c r="O149" s="158">
        <f t="shared" si="22"/>
        <v>0</v>
      </c>
      <c r="P149" s="158">
        <f t="shared" si="23"/>
        <v>0</v>
      </c>
    </row>
    <row r="150" spans="2:16">
      <c r="B150" s="9" t="str">
        <f t="shared" si="14"/>
        <v/>
      </c>
      <c r="C150" s="153">
        <f>IF(D93="","-",+C149+1)</f>
        <v>2066</v>
      </c>
      <c r="D150" s="154">
        <f>IF(F149+SUM(E$99:E149)=D$92,F149,D$92-SUM(E$99:E149))</f>
        <v>0</v>
      </c>
      <c r="E150" s="160">
        <f t="shared" si="15"/>
        <v>0</v>
      </c>
      <c r="F150" s="159">
        <f t="shared" si="16"/>
        <v>0</v>
      </c>
      <c r="G150" s="159">
        <f t="shared" si="17"/>
        <v>0</v>
      </c>
      <c r="H150" s="163">
        <f t="shared" si="18"/>
        <v>0</v>
      </c>
      <c r="I150" s="253">
        <f t="shared" si="19"/>
        <v>0</v>
      </c>
      <c r="J150" s="158">
        <f t="shared" si="20"/>
        <v>0</v>
      </c>
      <c r="K150" s="158"/>
      <c r="L150" s="334"/>
      <c r="M150" s="158">
        <f t="shared" si="21"/>
        <v>0</v>
      </c>
      <c r="N150" s="334"/>
      <c r="O150" s="158">
        <f t="shared" si="22"/>
        <v>0</v>
      </c>
      <c r="P150" s="158">
        <f t="shared" si="23"/>
        <v>0</v>
      </c>
    </row>
    <row r="151" spans="2:16">
      <c r="B151" s="9" t="str">
        <f t="shared" si="14"/>
        <v/>
      </c>
      <c r="C151" s="153">
        <f>IF(D93="","-",+C150+1)</f>
        <v>2067</v>
      </c>
      <c r="D151" s="154">
        <f>IF(F150+SUM(E$99:E150)=D$92,F150,D$92-SUM(E$99:E150))</f>
        <v>0</v>
      </c>
      <c r="E151" s="160">
        <f t="shared" si="15"/>
        <v>0</v>
      </c>
      <c r="F151" s="159">
        <f t="shared" si="16"/>
        <v>0</v>
      </c>
      <c r="G151" s="159">
        <f t="shared" si="17"/>
        <v>0</v>
      </c>
      <c r="H151" s="163">
        <f t="shared" si="18"/>
        <v>0</v>
      </c>
      <c r="I151" s="253">
        <f t="shared" si="19"/>
        <v>0</v>
      </c>
      <c r="J151" s="158">
        <f t="shared" si="20"/>
        <v>0</v>
      </c>
      <c r="K151" s="158"/>
      <c r="L151" s="334"/>
      <c r="M151" s="158">
        <f t="shared" si="21"/>
        <v>0</v>
      </c>
      <c r="N151" s="334"/>
      <c r="O151" s="158">
        <f t="shared" si="22"/>
        <v>0</v>
      </c>
      <c r="P151" s="158">
        <f t="shared" si="23"/>
        <v>0</v>
      </c>
    </row>
    <row r="152" spans="2:16">
      <c r="B152" s="9" t="str">
        <f t="shared" si="14"/>
        <v/>
      </c>
      <c r="C152" s="153">
        <f>IF(D93="","-",+C151+1)</f>
        <v>2068</v>
      </c>
      <c r="D152" s="154">
        <f>IF(F151+SUM(E$99:E151)=D$92,F151,D$92-SUM(E$99:E151))</f>
        <v>0</v>
      </c>
      <c r="E152" s="160">
        <f t="shared" si="15"/>
        <v>0</v>
      </c>
      <c r="F152" s="159">
        <f t="shared" si="16"/>
        <v>0</v>
      </c>
      <c r="G152" s="159">
        <f t="shared" si="17"/>
        <v>0</v>
      </c>
      <c r="H152" s="163">
        <f t="shared" si="18"/>
        <v>0</v>
      </c>
      <c r="I152" s="253">
        <f t="shared" si="19"/>
        <v>0</v>
      </c>
      <c r="J152" s="158">
        <f t="shared" si="20"/>
        <v>0</v>
      </c>
      <c r="K152" s="158"/>
      <c r="L152" s="334"/>
      <c r="M152" s="158">
        <f t="shared" si="21"/>
        <v>0</v>
      </c>
      <c r="N152" s="334"/>
      <c r="O152" s="158">
        <f t="shared" si="22"/>
        <v>0</v>
      </c>
      <c r="P152" s="158">
        <f t="shared" si="23"/>
        <v>0</v>
      </c>
    </row>
    <row r="153" spans="2:16">
      <c r="B153" s="9" t="str">
        <f t="shared" si="14"/>
        <v/>
      </c>
      <c r="C153" s="153">
        <f>IF(D93="","-",+C152+1)</f>
        <v>2069</v>
      </c>
      <c r="D153" s="154">
        <f>IF(F152+SUM(E$99:E152)=D$92,F152,D$92-SUM(E$99:E152))</f>
        <v>0</v>
      </c>
      <c r="E153" s="160">
        <f t="shared" si="15"/>
        <v>0</v>
      </c>
      <c r="F153" s="159">
        <f t="shared" si="16"/>
        <v>0</v>
      </c>
      <c r="G153" s="159">
        <f t="shared" si="17"/>
        <v>0</v>
      </c>
      <c r="H153" s="163">
        <f t="shared" si="18"/>
        <v>0</v>
      </c>
      <c r="I153" s="253">
        <f t="shared" si="19"/>
        <v>0</v>
      </c>
      <c r="J153" s="158">
        <f t="shared" si="20"/>
        <v>0</v>
      </c>
      <c r="K153" s="158"/>
      <c r="L153" s="334"/>
      <c r="M153" s="158">
        <f t="shared" si="21"/>
        <v>0</v>
      </c>
      <c r="N153" s="334"/>
      <c r="O153" s="158">
        <f t="shared" si="22"/>
        <v>0</v>
      </c>
      <c r="P153" s="158">
        <f t="shared" si="23"/>
        <v>0</v>
      </c>
    </row>
    <row r="154" spans="2:16" ht="13.5" thickBot="1">
      <c r="B154" s="9" t="str">
        <f t="shared" si="14"/>
        <v/>
      </c>
      <c r="C154" s="164">
        <f>IF(D93="","-",+C153+1)</f>
        <v>2070</v>
      </c>
      <c r="D154" s="154">
        <f>IF(F153+SUM(E$99:E153)=D$92,F153,D$92-SUM(E$99:E153))</f>
        <v>0</v>
      </c>
      <c r="E154" s="160">
        <f t="shared" si="15"/>
        <v>0</v>
      </c>
      <c r="F154" s="159">
        <f t="shared" si="16"/>
        <v>0</v>
      </c>
      <c r="G154" s="159">
        <f t="shared" si="17"/>
        <v>0</v>
      </c>
      <c r="H154" s="163">
        <f t="shared" si="18"/>
        <v>0</v>
      </c>
      <c r="I154" s="253">
        <f t="shared" si="19"/>
        <v>0</v>
      </c>
      <c r="J154" s="158">
        <f t="shared" si="20"/>
        <v>0</v>
      </c>
      <c r="K154" s="158"/>
      <c r="L154" s="335"/>
      <c r="M154" s="169">
        <f t="shared" si="21"/>
        <v>0</v>
      </c>
      <c r="N154" s="335"/>
      <c r="O154" s="169">
        <f t="shared" si="22"/>
        <v>0</v>
      </c>
      <c r="P154" s="169">
        <f t="shared" si="23"/>
        <v>0</v>
      </c>
    </row>
    <row r="155" spans="2:16">
      <c r="C155" s="154" t="s">
        <v>73</v>
      </c>
      <c r="D155" s="111"/>
      <c r="E155" s="111">
        <f>SUM(E99:E154)</f>
        <v>16142202.999999998</v>
      </c>
      <c r="F155" s="111"/>
      <c r="G155" s="111"/>
      <c r="H155" s="111">
        <f>SUM(H99:H154)</f>
        <v>57528857.291331016</v>
      </c>
      <c r="I155" s="111">
        <f>SUM(I99:I154)</f>
        <v>57528857.291331016</v>
      </c>
      <c r="J155" s="111">
        <f>SUM(J99:J154)</f>
        <v>0</v>
      </c>
      <c r="K155" s="111"/>
      <c r="L155" s="111"/>
      <c r="M155" s="111"/>
      <c r="N155" s="111"/>
      <c r="O155" s="111"/>
      <c r="P155" s="1"/>
    </row>
    <row r="156" spans="2:16">
      <c r="C156" t="s">
        <v>87</v>
      </c>
      <c r="D156" s="2"/>
      <c r="E156" s="1"/>
      <c r="F156" s="1"/>
      <c r="G156" s="1"/>
      <c r="H156" s="1"/>
      <c r="I156" s="3"/>
      <c r="J156" s="3"/>
      <c r="K156" s="111"/>
      <c r="L156" s="3"/>
      <c r="M156" s="3"/>
      <c r="N156" s="3"/>
      <c r="O156" s="3"/>
      <c r="P156" s="1"/>
    </row>
    <row r="157" spans="2:16">
      <c r="C157" s="216"/>
      <c r="D157" s="2"/>
      <c r="E157" s="1"/>
      <c r="F157" s="1"/>
      <c r="G157" s="1"/>
      <c r="H157" s="1"/>
      <c r="I157" s="3"/>
      <c r="J157" s="3"/>
      <c r="K157" s="111"/>
      <c r="L157" s="3"/>
      <c r="M157" s="3"/>
      <c r="N157" s="3"/>
      <c r="O157" s="3"/>
      <c r="P157" s="1"/>
    </row>
    <row r="158" spans="2:16">
      <c r="C158" s="248" t="s">
        <v>127</v>
      </c>
      <c r="D158" s="2"/>
      <c r="E158" s="1"/>
      <c r="F158" s="1"/>
      <c r="G158" s="1"/>
      <c r="H158" s="1"/>
      <c r="I158" s="3"/>
      <c r="J158" s="3"/>
      <c r="K158" s="111"/>
      <c r="L158" s="3"/>
      <c r="M158" s="3"/>
      <c r="N158" s="3"/>
      <c r="O158" s="3"/>
      <c r="P158" s="1"/>
    </row>
    <row r="159" spans="2:16">
      <c r="C159" s="121" t="s">
        <v>74</v>
      </c>
      <c r="D159" s="154"/>
      <c r="E159" s="154"/>
      <c r="F159" s="154"/>
      <c r="G159" s="154"/>
      <c r="H159" s="111"/>
      <c r="I159" s="111"/>
      <c r="J159" s="171"/>
      <c r="K159" s="171"/>
      <c r="L159" s="171"/>
      <c r="M159" s="171"/>
      <c r="N159" s="171"/>
      <c r="O159" s="171"/>
      <c r="P159" s="1"/>
    </row>
    <row r="160" spans="2:16">
      <c r="C160" s="217" t="s">
        <v>75</v>
      </c>
      <c r="D160" s="154"/>
      <c r="E160" s="154"/>
      <c r="F160" s="154"/>
      <c r="G160" s="154"/>
      <c r="H160" s="111"/>
      <c r="I160" s="111"/>
      <c r="J160" s="171"/>
      <c r="K160" s="171"/>
      <c r="L160" s="171"/>
      <c r="M160" s="171"/>
      <c r="N160" s="171"/>
      <c r="O160" s="171"/>
      <c r="P160" s="1"/>
    </row>
    <row r="161" spans="3:16">
      <c r="C161" s="217"/>
      <c r="D161" s="154"/>
      <c r="E161" s="154"/>
      <c r="F161" s="154"/>
      <c r="G161" s="154"/>
      <c r="H161" s="111"/>
      <c r="I161" s="111"/>
      <c r="J161" s="171"/>
      <c r="K161" s="171"/>
      <c r="L161" s="171"/>
      <c r="M161" s="171"/>
      <c r="N161" s="171"/>
      <c r="O161" s="171"/>
      <c r="P161" s="1"/>
    </row>
    <row r="162" spans="3:16" ht="18">
      <c r="C162" s="217"/>
      <c r="D162" s="154"/>
      <c r="E162" s="154"/>
      <c r="F162" s="154"/>
      <c r="G162" s="154"/>
      <c r="H162" s="111"/>
      <c r="I162" s="111"/>
      <c r="J162" s="171"/>
      <c r="K162" s="171"/>
      <c r="L162" s="171"/>
      <c r="M162" s="171"/>
      <c r="N162" s="171"/>
      <c r="P162" s="245" t="s">
        <v>126</v>
      </c>
    </row>
  </sheetData>
  <conditionalFormatting sqref="C17:C72">
    <cfRule type="cellIs" dxfId="64" priority="1" stopIfTrue="1" operator="equal">
      <formula>$I$10</formula>
    </cfRule>
  </conditionalFormatting>
  <conditionalFormatting sqref="C99:C154">
    <cfRule type="cellIs" dxfId="63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0"/>
  <dimension ref="A1:P162"/>
  <sheetViews>
    <sheetView view="pageBreakPreview" zoomScale="82" zoomScaleNormal="100" zoomScaleSheetLayoutView="82" workbookViewId="0">
      <selection activeCell="C19" sqref="C19"/>
    </sheetView>
  </sheetViews>
  <sheetFormatPr defaultRowHeight="12.75" customHeight="1"/>
  <cols>
    <col min="1" max="1" width="4.7109375" customWidth="1"/>
    <col min="2" max="2" width="6.7109375" customWidth="1"/>
    <col min="3" max="3" width="23.28515625" customWidth="1"/>
    <col min="4" max="8" width="17.7109375" customWidth="1"/>
    <col min="9" max="9" width="20.42578125" customWidth="1"/>
    <col min="10" max="10" width="16.42578125" customWidth="1"/>
    <col min="11" max="11" width="17.7109375" customWidth="1"/>
    <col min="12" max="12" width="16.140625" customWidth="1"/>
    <col min="13" max="13" width="17.7109375" customWidth="1"/>
    <col min="14" max="14" width="16.7109375" customWidth="1"/>
    <col min="15" max="15" width="16.85546875" customWidth="1"/>
    <col min="16" max="16" width="24.42578125" customWidth="1"/>
    <col min="17" max="17" width="9.140625" customWidth="1"/>
    <col min="23" max="23" width="9.140625" customWidth="1"/>
  </cols>
  <sheetData>
    <row r="1" spans="1:16" ht="20.25">
      <c r="A1" s="243" t="s">
        <v>128</v>
      </c>
      <c r="B1" s="1"/>
      <c r="C1" s="21"/>
      <c r="D1" s="2"/>
      <c r="E1" s="1"/>
      <c r="F1" s="99"/>
      <c r="G1" s="1"/>
      <c r="H1" s="3"/>
      <c r="J1" s="7"/>
      <c r="K1" s="109"/>
      <c r="L1" s="109"/>
      <c r="M1" s="109"/>
      <c r="P1" s="249" t="str">
        <f ca="1">"SWEPCO Project "&amp;RIGHT(MID(CELL("filename",$A$1),FIND("]",CELL("filename",$A$1))+1,256),2)&amp;" of "&amp;COUNT('S.001:S.xyz - blank'!$P$3)-1</f>
        <v>SWEPCO Project 51 of 73</v>
      </c>
    </row>
    <row r="2" spans="1:16" ht="18">
      <c r="B2" s="1"/>
      <c r="C2" s="1"/>
      <c r="D2" s="2"/>
      <c r="E2" s="1"/>
      <c r="F2" s="1"/>
      <c r="G2" s="1"/>
      <c r="H2" s="3"/>
      <c r="I2" s="1"/>
      <c r="J2" s="4"/>
      <c r="K2" s="1"/>
      <c r="L2" s="1"/>
      <c r="M2" s="1"/>
      <c r="N2" s="1"/>
      <c r="P2" s="244" t="s">
        <v>124</v>
      </c>
    </row>
    <row r="3" spans="1:16" ht="18.75">
      <c r="B3" s="5" t="s">
        <v>40</v>
      </c>
      <c r="C3" s="68" t="s">
        <v>41</v>
      </c>
      <c r="D3" s="2"/>
      <c r="E3" s="1"/>
      <c r="F3" s="1"/>
      <c r="G3" s="1"/>
      <c r="H3" s="3"/>
      <c r="I3" s="3"/>
      <c r="J3" s="111"/>
      <c r="K3" s="3"/>
      <c r="L3" s="3"/>
      <c r="M3" s="3"/>
      <c r="N3" s="3"/>
      <c r="O3" s="1"/>
      <c r="P3" s="240">
        <v>1</v>
      </c>
    </row>
    <row r="4" spans="1:16" ht="15.75" thickBot="1">
      <c r="C4" s="67"/>
      <c r="D4" s="2"/>
      <c r="E4" s="1"/>
      <c r="F4" s="1"/>
      <c r="G4" s="1"/>
      <c r="H4" s="3"/>
      <c r="I4" s="3"/>
      <c r="J4" s="111"/>
      <c r="K4" s="3"/>
      <c r="L4" s="3"/>
      <c r="M4" s="3"/>
      <c r="N4" s="3"/>
      <c r="O4" s="1"/>
      <c r="P4" s="1"/>
    </row>
    <row r="5" spans="1:16" ht="15">
      <c r="C5" s="112" t="s">
        <v>42</v>
      </c>
      <c r="D5" s="2"/>
      <c r="E5" s="1"/>
      <c r="F5" s="1"/>
      <c r="G5" s="113"/>
      <c r="H5" s="1" t="s">
        <v>43</v>
      </c>
      <c r="I5" s="1"/>
      <c r="J5" s="4"/>
      <c r="K5" s="268" t="s">
        <v>152</v>
      </c>
      <c r="L5" s="114"/>
      <c r="M5" s="115"/>
      <c r="N5" s="116">
        <f>VLOOKUP(I10,C17:I72,5)</f>
        <v>622065.93295104732</v>
      </c>
      <c r="P5" s="1"/>
    </row>
    <row r="6" spans="1:16" ht="15.75">
      <c r="C6" s="8"/>
      <c r="D6" s="2"/>
      <c r="E6" s="1"/>
      <c r="F6" s="1"/>
      <c r="G6" s="1"/>
      <c r="H6" s="117"/>
      <c r="I6" s="117"/>
      <c r="J6" s="118"/>
      <c r="K6" s="269" t="s">
        <v>153</v>
      </c>
      <c r="L6" s="119"/>
      <c r="M6" s="4"/>
      <c r="N6" s="120">
        <f>VLOOKUP(I10,C17:I72,6)</f>
        <v>622065.93295104732</v>
      </c>
      <c r="O6" s="1"/>
      <c r="P6" s="1"/>
    </row>
    <row r="7" spans="1:16" ht="13.5" thickBot="1">
      <c r="C7" s="121" t="s">
        <v>44</v>
      </c>
      <c r="D7" s="386" t="s">
        <v>329</v>
      </c>
      <c r="E7" s="379"/>
      <c r="F7" s="379"/>
      <c r="G7" s="379"/>
      <c r="H7" s="383"/>
      <c r="I7" s="3"/>
      <c r="J7" s="111"/>
      <c r="K7" s="122" t="s">
        <v>45</v>
      </c>
      <c r="L7" s="123"/>
      <c r="M7" s="123"/>
      <c r="N7" s="124">
        <f>+N6-N5</f>
        <v>0</v>
      </c>
      <c r="O7" s="1"/>
      <c r="P7" s="1"/>
    </row>
    <row r="8" spans="1:16" ht="13.5" thickBot="1">
      <c r="C8" s="125"/>
      <c r="D8" s="352" t="str">
        <f>IF(D10&lt;100000,"DOES NOT MEET SPP $100,000 MINIMUM INVESTMENT FOR REGIONAL BPU SHARING.","")</f>
        <v/>
      </c>
      <c r="E8" s="126"/>
      <c r="F8" s="126"/>
      <c r="G8" s="126"/>
      <c r="H8" s="126"/>
      <c r="I8" s="126"/>
      <c r="J8" s="101"/>
      <c r="K8" s="126"/>
      <c r="L8" s="126"/>
      <c r="M8" s="126"/>
      <c r="N8" s="126"/>
      <c r="O8" s="101"/>
      <c r="P8" s="21"/>
    </row>
    <row r="9" spans="1:16" ht="13.5" thickBot="1">
      <c r="C9" s="127" t="s">
        <v>46</v>
      </c>
      <c r="D9" s="225"/>
      <c r="E9" s="401" t="s">
        <v>438</v>
      </c>
      <c r="F9" s="128"/>
      <c r="G9" s="128"/>
      <c r="H9" s="128"/>
      <c r="I9" s="129"/>
      <c r="J9" s="130"/>
      <c r="O9" s="131"/>
      <c r="P9" s="4"/>
    </row>
    <row r="10" spans="1:16">
      <c r="C10" s="132" t="s">
        <v>47</v>
      </c>
      <c r="D10" s="133">
        <v>5429685</v>
      </c>
      <c r="E10" s="61" t="s">
        <v>459</v>
      </c>
      <c r="F10" s="131"/>
      <c r="G10" s="134"/>
      <c r="H10" s="134"/>
      <c r="I10" s="135">
        <f>+SWE.WS.F.BPU.ATRR.Projected!K17</f>
        <v>2019</v>
      </c>
      <c r="J10" s="130"/>
      <c r="K10" s="111" t="s">
        <v>48</v>
      </c>
      <c r="O10" s="4"/>
      <c r="P10" s="4"/>
    </row>
    <row r="11" spans="1:16">
      <c r="C11" s="136" t="s">
        <v>49</v>
      </c>
      <c r="D11" s="137">
        <v>2015</v>
      </c>
      <c r="E11" s="136" t="s">
        <v>50</v>
      </c>
      <c r="F11" s="134"/>
      <c r="G11" s="7"/>
      <c r="H11" s="7"/>
      <c r="I11" s="138">
        <f>IF(G5="",0,SWE.WS.F.BPU.ATRR.Projected!F$11)</f>
        <v>0</v>
      </c>
      <c r="J11" s="139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4"/>
      <c r="P11" s="4"/>
    </row>
    <row r="12" spans="1:16">
      <c r="C12" s="136" t="s">
        <v>51</v>
      </c>
      <c r="D12" s="133">
        <v>6</v>
      </c>
      <c r="E12" s="136" t="s">
        <v>52</v>
      </c>
      <c r="F12" s="134"/>
      <c r="G12" s="7"/>
      <c r="H12" s="7"/>
      <c r="I12" s="140">
        <f>SWE.WS.F.BPU.ATRR.Projected!$F$76</f>
        <v>9.9555672459071778E-2</v>
      </c>
      <c r="J12" s="141"/>
      <c r="K12" t="s">
        <v>53</v>
      </c>
      <c r="O12" s="4"/>
      <c r="P12" s="4"/>
    </row>
    <row r="13" spans="1:16">
      <c r="C13" s="136" t="s">
        <v>54</v>
      </c>
      <c r="D13" s="138">
        <f>+SWE.WS.F.BPU.ATRR.Projected!F$87</f>
        <v>43</v>
      </c>
      <c r="E13" s="136" t="s">
        <v>55</v>
      </c>
      <c r="F13" s="134"/>
      <c r="G13" s="7"/>
      <c r="H13" s="7"/>
      <c r="I13" s="140">
        <f>IF(G5="",I12,SWE.WS.F.BPU.ATRR.Projected!$F$75)</f>
        <v>9.9555672459071778E-2</v>
      </c>
      <c r="J13" s="141"/>
      <c r="K13" s="111" t="s">
        <v>56</v>
      </c>
      <c r="L13" s="58"/>
      <c r="M13" s="58"/>
      <c r="N13" s="58"/>
      <c r="O13" s="4"/>
      <c r="P13" s="4"/>
    </row>
    <row r="14" spans="1:16" ht="13.5" thickBot="1">
      <c r="C14" s="136" t="s">
        <v>57</v>
      </c>
      <c r="D14" s="137" t="s">
        <v>58</v>
      </c>
      <c r="E14" s="4" t="s">
        <v>59</v>
      </c>
      <c r="F14" s="134"/>
      <c r="G14" s="7"/>
      <c r="H14" s="7"/>
      <c r="I14" s="142">
        <f>IF(D10=0,0,D10/D13)</f>
        <v>126271.74418604652</v>
      </c>
      <c r="J14" s="111"/>
      <c r="K14" s="111"/>
      <c r="L14" s="111"/>
      <c r="M14" s="111"/>
      <c r="N14" s="111"/>
      <c r="O14" s="4"/>
      <c r="P14" s="4"/>
    </row>
    <row r="15" spans="1:16" ht="38.25">
      <c r="C15" s="143" t="s">
        <v>47</v>
      </c>
      <c r="D15" s="144" t="s">
        <v>60</v>
      </c>
      <c r="E15" s="144" t="s">
        <v>61</v>
      </c>
      <c r="F15" s="144" t="s">
        <v>62</v>
      </c>
      <c r="G15" s="434" t="s">
        <v>378</v>
      </c>
      <c r="H15" s="435" t="s">
        <v>379</v>
      </c>
      <c r="I15" s="143" t="s">
        <v>63</v>
      </c>
      <c r="J15" s="145"/>
      <c r="K15" s="271" t="s">
        <v>219</v>
      </c>
      <c r="L15" s="146" t="s">
        <v>64</v>
      </c>
      <c r="M15" s="271" t="s">
        <v>219</v>
      </c>
      <c r="N15" s="146" t="s">
        <v>64</v>
      </c>
      <c r="O15" s="146" t="s">
        <v>65</v>
      </c>
      <c r="P15" s="4"/>
    </row>
    <row r="16" spans="1:16" ht="13.5" thickBot="1">
      <c r="C16" s="147" t="s">
        <v>66</v>
      </c>
      <c r="D16" s="147" t="s">
        <v>67</v>
      </c>
      <c r="E16" s="147" t="s">
        <v>68</v>
      </c>
      <c r="F16" s="147" t="s">
        <v>67</v>
      </c>
      <c r="G16" s="408" t="s">
        <v>69</v>
      </c>
      <c r="H16" s="148" t="s">
        <v>70</v>
      </c>
      <c r="I16" s="149" t="s">
        <v>89</v>
      </c>
      <c r="J16" s="150" t="s">
        <v>71</v>
      </c>
      <c r="K16" s="151" t="s">
        <v>72</v>
      </c>
      <c r="L16" s="151" t="s">
        <v>72</v>
      </c>
      <c r="M16" s="151" t="s">
        <v>90</v>
      </c>
      <c r="N16" s="152" t="s">
        <v>90</v>
      </c>
      <c r="O16" s="151" t="s">
        <v>90</v>
      </c>
      <c r="P16" s="4"/>
    </row>
    <row r="17" spans="2:16">
      <c r="C17" s="153">
        <f>IF(D11= "","-",D11)</f>
        <v>2015</v>
      </c>
      <c r="D17" s="409">
        <v>5200000</v>
      </c>
      <c r="E17" s="415">
        <v>0</v>
      </c>
      <c r="F17" s="409">
        <v>5200000</v>
      </c>
      <c r="G17" s="415">
        <v>684864.96507057885</v>
      </c>
      <c r="H17" s="416">
        <v>684864.96507057885</v>
      </c>
      <c r="I17" s="156">
        <v>0</v>
      </c>
      <c r="J17" s="156"/>
      <c r="K17" s="258">
        <f>G17</f>
        <v>684864.96507057885</v>
      </c>
      <c r="L17" s="257">
        <f>IF(K17&lt;&gt;0,+G17-K17,0)</f>
        <v>0</v>
      </c>
      <c r="M17" s="258">
        <f>H17</f>
        <v>684864.96507057885</v>
      </c>
      <c r="N17" s="158">
        <f>IF(M17&lt;&gt;0,+H17-M17,0)</f>
        <v>0</v>
      </c>
      <c r="O17" s="158">
        <f>+N17-L17</f>
        <v>0</v>
      </c>
      <c r="P17" s="4"/>
    </row>
    <row r="18" spans="2:16">
      <c r="B18" s="9" t="str">
        <f>IF(D18=F17,"","IU")</f>
        <v>IU</v>
      </c>
      <c r="C18" s="153">
        <f>IF(D11="","-",+C17+1)</f>
        <v>2016</v>
      </c>
      <c r="D18" s="411">
        <v>5366606</v>
      </c>
      <c r="E18" s="410">
        <v>127776.33333333333</v>
      </c>
      <c r="F18" s="411">
        <v>5238829.666666667</v>
      </c>
      <c r="G18" s="410">
        <v>809243.16550170211</v>
      </c>
      <c r="H18" s="416">
        <v>809243.16550170211</v>
      </c>
      <c r="I18" s="156">
        <f>H18-G18</f>
        <v>0</v>
      </c>
      <c r="J18" s="156"/>
      <c r="K18" s="258">
        <f>G18</f>
        <v>809243.16550170211</v>
      </c>
      <c r="L18" s="257">
        <f>IF(K18&lt;&gt;0,+G18-K18,0)</f>
        <v>0</v>
      </c>
      <c r="M18" s="258">
        <f>H18</f>
        <v>809243.16550170211</v>
      </c>
      <c r="N18" s="158">
        <f>IF(M18&lt;&gt;0,+H18-M18,0)</f>
        <v>0</v>
      </c>
      <c r="O18" s="158">
        <f>+N18-L18</f>
        <v>0</v>
      </c>
      <c r="P18" s="4"/>
    </row>
    <row r="19" spans="2:16">
      <c r="B19" s="9" t="str">
        <f>IF(D19=F18,"","IU")</f>
        <v>IU</v>
      </c>
      <c r="C19" s="153">
        <f>IF(D11="","-",+C18+1)</f>
        <v>2017</v>
      </c>
      <c r="D19" s="411">
        <v>5301908.666666667</v>
      </c>
      <c r="E19" s="410">
        <v>126271.74418604652</v>
      </c>
      <c r="F19" s="411">
        <v>5175636.9224806204</v>
      </c>
      <c r="G19" s="410">
        <v>775316.5787465215</v>
      </c>
      <c r="H19" s="416">
        <v>775316.5787465215</v>
      </c>
      <c r="I19" s="156">
        <v>0</v>
      </c>
      <c r="J19" s="156"/>
      <c r="K19" s="258">
        <f>G19</f>
        <v>775316.5787465215</v>
      </c>
      <c r="L19" s="257">
        <f>IF(K19&lt;&gt;0,+G19-K19,0)</f>
        <v>0</v>
      </c>
      <c r="M19" s="258">
        <f>H19</f>
        <v>775316.5787465215</v>
      </c>
      <c r="N19" s="158">
        <f>IF(M19&lt;&gt;0,+H19-M19,0)</f>
        <v>0</v>
      </c>
      <c r="O19" s="158">
        <f>+N19-L19</f>
        <v>0</v>
      </c>
      <c r="P19" s="4"/>
    </row>
    <row r="20" spans="2:16">
      <c r="B20" s="9" t="str">
        <f t="shared" ref="B20:B72" si="0">IF(D20=F19,"","IU")</f>
        <v/>
      </c>
      <c r="C20" s="153">
        <f>IF(D11="","-",+C19+1)</f>
        <v>2018</v>
      </c>
      <c r="D20" s="411">
        <v>5175636.9224806204</v>
      </c>
      <c r="E20" s="410">
        <v>132431.34146341463</v>
      </c>
      <c r="F20" s="411">
        <v>5043205.5810172055</v>
      </c>
      <c r="G20" s="410">
        <v>704094.90197021642</v>
      </c>
      <c r="H20" s="416">
        <v>704094.90197021642</v>
      </c>
      <c r="I20" s="156">
        <f t="shared" ref="I20:I72" si="1">H20-G20</f>
        <v>0</v>
      </c>
      <c r="J20" s="156"/>
      <c r="K20" s="258">
        <f>G20</f>
        <v>704094.90197021642</v>
      </c>
      <c r="L20" s="257">
        <f>IF(K20&lt;&gt;0,+G20-K20,0)</f>
        <v>0</v>
      </c>
      <c r="M20" s="258">
        <f>H20</f>
        <v>704094.90197021642</v>
      </c>
      <c r="N20" s="158">
        <f>IF(M20&lt;&gt;0,+H20-M20,0)</f>
        <v>0</v>
      </c>
      <c r="O20" s="158">
        <f>+N20-L20</f>
        <v>0</v>
      </c>
      <c r="P20" s="4"/>
    </row>
    <row r="21" spans="2:16">
      <c r="B21" s="9" t="str">
        <f t="shared" si="0"/>
        <v/>
      </c>
      <c r="C21" s="153">
        <f>IF(D11="","-",+C20+1)</f>
        <v>2019</v>
      </c>
      <c r="D21" s="159">
        <f>IF(F20+SUM(E$17:E20)=D$10,F20,D$10-SUM(E$17:E20))</f>
        <v>5043205.5810172055</v>
      </c>
      <c r="E21" s="160">
        <f t="shared" ref="E21:E72" si="2">IF(+$I$14&lt;F20,$I$14,D21)</f>
        <v>126271.74418604652</v>
      </c>
      <c r="F21" s="159">
        <f t="shared" ref="F21:F72" si="3">+D21-E21</f>
        <v>4916933.836831159</v>
      </c>
      <c r="G21" s="161">
        <f t="shared" ref="G21:G50" si="4">+I$12*((D21+F21)/2)+E21</f>
        <v>622065.93295104732</v>
      </c>
      <c r="H21" s="142">
        <f t="shared" ref="H21:H50" si="5">+I$13*((D21+F21)/2)+E21</f>
        <v>622065.93295104732</v>
      </c>
      <c r="I21" s="156">
        <f t="shared" si="1"/>
        <v>0</v>
      </c>
      <c r="J21" s="156"/>
      <c r="K21" s="334"/>
      <c r="L21" s="158">
        <f t="shared" ref="L21:L72" si="6">IF(K21&lt;&gt;0,+G21-K21,0)</f>
        <v>0</v>
      </c>
      <c r="M21" s="334"/>
      <c r="N21" s="158">
        <f t="shared" ref="N21:N72" si="7">IF(M21&lt;&gt;0,+H21-M21,0)</f>
        <v>0</v>
      </c>
      <c r="O21" s="158">
        <f t="shared" ref="O21:O72" si="8">+N21-L21</f>
        <v>0</v>
      </c>
      <c r="P21" s="4"/>
    </row>
    <row r="22" spans="2:16">
      <c r="B22" s="9" t="str">
        <f t="shared" si="0"/>
        <v/>
      </c>
      <c r="C22" s="153">
        <f>IF(D11="","-",+C21+1)</f>
        <v>2020</v>
      </c>
      <c r="D22" s="159">
        <f>IF(F21+SUM(E$17:E21)=D$10,F21,D$10-SUM(E$17:E21))</f>
        <v>4916933.836831159</v>
      </c>
      <c r="E22" s="160">
        <f t="shared" si="2"/>
        <v>126271.74418604652</v>
      </c>
      <c r="F22" s="159">
        <f t="shared" si="3"/>
        <v>4790662.0926451124</v>
      </c>
      <c r="G22" s="161">
        <f t="shared" si="4"/>
        <v>609494.86454602564</v>
      </c>
      <c r="H22" s="142">
        <f t="shared" si="5"/>
        <v>609494.86454602564</v>
      </c>
      <c r="I22" s="156">
        <f t="shared" si="1"/>
        <v>0</v>
      </c>
      <c r="J22" s="156"/>
      <c r="K22" s="334"/>
      <c r="L22" s="158">
        <f t="shared" si="6"/>
        <v>0</v>
      </c>
      <c r="M22" s="334"/>
      <c r="N22" s="158">
        <f t="shared" si="7"/>
        <v>0</v>
      </c>
      <c r="O22" s="158">
        <f t="shared" si="8"/>
        <v>0</v>
      </c>
      <c r="P22" s="4"/>
    </row>
    <row r="23" spans="2:16">
      <c r="B23" s="9" t="str">
        <f t="shared" si="0"/>
        <v/>
      </c>
      <c r="C23" s="153">
        <f>IF(D11="","-",+C22+1)</f>
        <v>2021</v>
      </c>
      <c r="D23" s="159">
        <f>IF(F22+SUM(E$17:E22)=D$10,F22,D$10-SUM(E$17:E22))</f>
        <v>4790662.0926451124</v>
      </c>
      <c r="E23" s="160">
        <f t="shared" si="2"/>
        <v>126271.74418604652</v>
      </c>
      <c r="F23" s="159">
        <f t="shared" si="3"/>
        <v>4664390.3484590659</v>
      </c>
      <c r="G23" s="161">
        <f t="shared" si="4"/>
        <v>596923.79614100372</v>
      </c>
      <c r="H23" s="142">
        <f t="shared" si="5"/>
        <v>596923.79614100372</v>
      </c>
      <c r="I23" s="156">
        <f t="shared" si="1"/>
        <v>0</v>
      </c>
      <c r="J23" s="156"/>
      <c r="K23" s="334"/>
      <c r="L23" s="158">
        <f t="shared" si="6"/>
        <v>0</v>
      </c>
      <c r="M23" s="334"/>
      <c r="N23" s="158">
        <f t="shared" si="7"/>
        <v>0</v>
      </c>
      <c r="O23" s="158">
        <f t="shared" si="8"/>
        <v>0</v>
      </c>
      <c r="P23" s="4"/>
    </row>
    <row r="24" spans="2:16">
      <c r="B24" s="9" t="str">
        <f t="shared" si="0"/>
        <v/>
      </c>
      <c r="C24" s="153">
        <f>IF(D11="","-",+C23+1)</f>
        <v>2022</v>
      </c>
      <c r="D24" s="159">
        <f>IF(F23+SUM(E$17:E23)=D$10,F23,D$10-SUM(E$17:E23))</f>
        <v>4664390.3484590659</v>
      </c>
      <c r="E24" s="160">
        <f t="shared" si="2"/>
        <v>126271.74418604652</v>
      </c>
      <c r="F24" s="159">
        <f t="shared" si="3"/>
        <v>4538118.6042730194</v>
      </c>
      <c r="G24" s="161">
        <f t="shared" si="4"/>
        <v>584352.72773598216</v>
      </c>
      <c r="H24" s="142">
        <f t="shared" si="5"/>
        <v>584352.72773598216</v>
      </c>
      <c r="I24" s="156">
        <f t="shared" si="1"/>
        <v>0</v>
      </c>
      <c r="J24" s="156"/>
      <c r="K24" s="334"/>
      <c r="L24" s="158">
        <f t="shared" si="6"/>
        <v>0</v>
      </c>
      <c r="M24" s="334"/>
      <c r="N24" s="158">
        <f t="shared" si="7"/>
        <v>0</v>
      </c>
      <c r="O24" s="158">
        <f t="shared" si="8"/>
        <v>0</v>
      </c>
      <c r="P24" s="4"/>
    </row>
    <row r="25" spans="2:16">
      <c r="B25" s="9" t="str">
        <f t="shared" si="0"/>
        <v/>
      </c>
      <c r="C25" s="153">
        <f>IF(D11="","-",+C24+1)</f>
        <v>2023</v>
      </c>
      <c r="D25" s="159">
        <f>IF(F24+SUM(E$17:E24)=D$10,F24,D$10-SUM(E$17:E24))</f>
        <v>4538118.6042730194</v>
      </c>
      <c r="E25" s="160">
        <f t="shared" si="2"/>
        <v>126271.74418604652</v>
      </c>
      <c r="F25" s="159">
        <f t="shared" si="3"/>
        <v>4411846.8600869728</v>
      </c>
      <c r="G25" s="161">
        <f t="shared" si="4"/>
        <v>571781.65933096025</v>
      </c>
      <c r="H25" s="142">
        <f t="shared" si="5"/>
        <v>571781.65933096025</v>
      </c>
      <c r="I25" s="156">
        <f t="shared" si="1"/>
        <v>0</v>
      </c>
      <c r="J25" s="156"/>
      <c r="K25" s="334"/>
      <c r="L25" s="158">
        <f t="shared" si="6"/>
        <v>0</v>
      </c>
      <c r="M25" s="334"/>
      <c r="N25" s="158">
        <f t="shared" si="7"/>
        <v>0</v>
      </c>
      <c r="O25" s="158">
        <f t="shared" si="8"/>
        <v>0</v>
      </c>
      <c r="P25" s="4"/>
    </row>
    <row r="26" spans="2:16">
      <c r="B26" s="9" t="str">
        <f t="shared" si="0"/>
        <v/>
      </c>
      <c r="C26" s="153">
        <f>IF(D11="","-",+C25+1)</f>
        <v>2024</v>
      </c>
      <c r="D26" s="159">
        <f>IF(F25+SUM(E$17:E25)=D$10,F25,D$10-SUM(E$17:E25))</f>
        <v>4411846.8600869728</v>
      </c>
      <c r="E26" s="160">
        <f t="shared" si="2"/>
        <v>126271.74418604652</v>
      </c>
      <c r="F26" s="159">
        <f t="shared" si="3"/>
        <v>4285575.1159009263</v>
      </c>
      <c r="G26" s="161">
        <f t="shared" si="4"/>
        <v>559210.59092593857</v>
      </c>
      <c r="H26" s="142">
        <f t="shared" si="5"/>
        <v>559210.59092593857</v>
      </c>
      <c r="I26" s="156">
        <f t="shared" si="1"/>
        <v>0</v>
      </c>
      <c r="J26" s="156"/>
      <c r="K26" s="334"/>
      <c r="L26" s="158">
        <f t="shared" si="6"/>
        <v>0</v>
      </c>
      <c r="M26" s="334"/>
      <c r="N26" s="158">
        <f t="shared" si="7"/>
        <v>0</v>
      </c>
      <c r="O26" s="158">
        <f t="shared" si="8"/>
        <v>0</v>
      </c>
      <c r="P26" s="4"/>
    </row>
    <row r="27" spans="2:16">
      <c r="B27" s="9" t="str">
        <f t="shared" si="0"/>
        <v/>
      </c>
      <c r="C27" s="153">
        <f>IF(D11="","-",+C26+1)</f>
        <v>2025</v>
      </c>
      <c r="D27" s="159">
        <f>IF(F26+SUM(E$17:E26)=D$10,F26,D$10-SUM(E$17:E26))</f>
        <v>4285575.1159009263</v>
      </c>
      <c r="E27" s="160">
        <f t="shared" si="2"/>
        <v>126271.74418604652</v>
      </c>
      <c r="F27" s="159">
        <f t="shared" si="3"/>
        <v>4159303.3717148798</v>
      </c>
      <c r="G27" s="161">
        <f t="shared" si="4"/>
        <v>546639.52252091677</v>
      </c>
      <c r="H27" s="142">
        <f t="shared" si="5"/>
        <v>546639.52252091677</v>
      </c>
      <c r="I27" s="156">
        <f t="shared" si="1"/>
        <v>0</v>
      </c>
      <c r="J27" s="156"/>
      <c r="K27" s="334"/>
      <c r="L27" s="158">
        <f t="shared" si="6"/>
        <v>0</v>
      </c>
      <c r="M27" s="334"/>
      <c r="N27" s="158">
        <f t="shared" si="7"/>
        <v>0</v>
      </c>
      <c r="O27" s="158">
        <f t="shared" si="8"/>
        <v>0</v>
      </c>
      <c r="P27" s="4"/>
    </row>
    <row r="28" spans="2:16">
      <c r="B28" s="9" t="str">
        <f t="shared" si="0"/>
        <v/>
      </c>
      <c r="C28" s="153">
        <f>IF(D11="","-",+C27+1)</f>
        <v>2026</v>
      </c>
      <c r="D28" s="159">
        <f>IF(F27+SUM(E$17:E27)=D$10,F27,D$10-SUM(E$17:E27))</f>
        <v>4159303.3717148798</v>
      </c>
      <c r="E28" s="160">
        <f t="shared" si="2"/>
        <v>126271.74418604652</v>
      </c>
      <c r="F28" s="159">
        <f t="shared" si="3"/>
        <v>4033031.6275288332</v>
      </c>
      <c r="G28" s="161">
        <f t="shared" si="4"/>
        <v>534068.45411589509</v>
      </c>
      <c r="H28" s="142">
        <f t="shared" si="5"/>
        <v>534068.45411589509</v>
      </c>
      <c r="I28" s="156">
        <f t="shared" si="1"/>
        <v>0</v>
      </c>
      <c r="J28" s="156"/>
      <c r="K28" s="334"/>
      <c r="L28" s="158">
        <f t="shared" si="6"/>
        <v>0</v>
      </c>
      <c r="M28" s="334"/>
      <c r="N28" s="158">
        <f t="shared" si="7"/>
        <v>0</v>
      </c>
      <c r="O28" s="158">
        <f t="shared" si="8"/>
        <v>0</v>
      </c>
      <c r="P28" s="4"/>
    </row>
    <row r="29" spans="2:16">
      <c r="B29" s="9" t="str">
        <f t="shared" si="0"/>
        <v/>
      </c>
      <c r="C29" s="153">
        <f>IF(D11="","-",+C28+1)</f>
        <v>2027</v>
      </c>
      <c r="D29" s="159">
        <f>IF(F28+SUM(E$17:E28)=D$10,F28,D$10-SUM(E$17:E28))</f>
        <v>4033031.6275288332</v>
      </c>
      <c r="E29" s="160">
        <f t="shared" si="2"/>
        <v>126271.74418604652</v>
      </c>
      <c r="F29" s="159">
        <f t="shared" si="3"/>
        <v>3906759.8833427867</v>
      </c>
      <c r="G29" s="161">
        <f t="shared" si="4"/>
        <v>521497.38571087335</v>
      </c>
      <c r="H29" s="142">
        <f t="shared" si="5"/>
        <v>521497.38571087335</v>
      </c>
      <c r="I29" s="156">
        <f t="shared" si="1"/>
        <v>0</v>
      </c>
      <c r="J29" s="156"/>
      <c r="K29" s="334"/>
      <c r="L29" s="158">
        <f t="shared" si="6"/>
        <v>0</v>
      </c>
      <c r="M29" s="334"/>
      <c r="N29" s="158">
        <f t="shared" si="7"/>
        <v>0</v>
      </c>
      <c r="O29" s="158">
        <f t="shared" si="8"/>
        <v>0</v>
      </c>
      <c r="P29" s="4"/>
    </row>
    <row r="30" spans="2:16">
      <c r="B30" s="9" t="str">
        <f t="shared" si="0"/>
        <v/>
      </c>
      <c r="C30" s="153">
        <f>IF(D11="","-",+C29+1)</f>
        <v>2028</v>
      </c>
      <c r="D30" s="159">
        <f>IF(F29+SUM(E$17:E29)=D$10,F29,D$10-SUM(E$17:E29))</f>
        <v>3906759.8833427867</v>
      </c>
      <c r="E30" s="160">
        <f t="shared" si="2"/>
        <v>126271.74418604652</v>
      </c>
      <c r="F30" s="159">
        <f t="shared" si="3"/>
        <v>3780488.1391567402</v>
      </c>
      <c r="G30" s="161">
        <f t="shared" si="4"/>
        <v>508926.31730585161</v>
      </c>
      <c r="H30" s="142">
        <f t="shared" si="5"/>
        <v>508926.31730585161</v>
      </c>
      <c r="I30" s="156">
        <f t="shared" si="1"/>
        <v>0</v>
      </c>
      <c r="J30" s="156"/>
      <c r="K30" s="334"/>
      <c r="L30" s="158">
        <f t="shared" si="6"/>
        <v>0</v>
      </c>
      <c r="M30" s="334"/>
      <c r="N30" s="158">
        <f t="shared" si="7"/>
        <v>0</v>
      </c>
      <c r="O30" s="158">
        <f t="shared" si="8"/>
        <v>0</v>
      </c>
      <c r="P30" s="4"/>
    </row>
    <row r="31" spans="2:16">
      <c r="B31" s="9" t="str">
        <f t="shared" si="0"/>
        <v/>
      </c>
      <c r="C31" s="153">
        <f>IF(D11="","-",+C30+1)</f>
        <v>2029</v>
      </c>
      <c r="D31" s="159">
        <f>IF(F30+SUM(E$17:E30)=D$10,F30,D$10-SUM(E$17:E30))</f>
        <v>3780488.1391567402</v>
      </c>
      <c r="E31" s="160">
        <f t="shared" si="2"/>
        <v>126271.74418604652</v>
      </c>
      <c r="F31" s="159">
        <f t="shared" si="3"/>
        <v>3654216.3949706936</v>
      </c>
      <c r="G31" s="161">
        <f t="shared" si="4"/>
        <v>496355.24890082987</v>
      </c>
      <c r="H31" s="142">
        <f t="shared" si="5"/>
        <v>496355.24890082987</v>
      </c>
      <c r="I31" s="156">
        <f t="shared" si="1"/>
        <v>0</v>
      </c>
      <c r="J31" s="156"/>
      <c r="K31" s="334"/>
      <c r="L31" s="158">
        <f t="shared" si="6"/>
        <v>0</v>
      </c>
      <c r="M31" s="334"/>
      <c r="N31" s="158">
        <f t="shared" si="7"/>
        <v>0</v>
      </c>
      <c r="O31" s="158">
        <f t="shared" si="8"/>
        <v>0</v>
      </c>
      <c r="P31" s="4"/>
    </row>
    <row r="32" spans="2:16">
      <c r="B32" s="9" t="str">
        <f t="shared" si="0"/>
        <v/>
      </c>
      <c r="C32" s="153">
        <f>IF(D11="","-",+C31+1)</f>
        <v>2030</v>
      </c>
      <c r="D32" s="159">
        <f>IF(F31+SUM(E$17:E31)=D$10,F31,D$10-SUM(E$17:E31))</f>
        <v>3654216.3949706936</v>
      </c>
      <c r="E32" s="160">
        <f t="shared" si="2"/>
        <v>126271.74418604652</v>
      </c>
      <c r="F32" s="159">
        <f t="shared" si="3"/>
        <v>3527944.6507846471</v>
      </c>
      <c r="G32" s="161">
        <f t="shared" si="4"/>
        <v>483784.18049580808</v>
      </c>
      <c r="H32" s="142">
        <f t="shared" si="5"/>
        <v>483784.18049580808</v>
      </c>
      <c r="I32" s="156">
        <f t="shared" si="1"/>
        <v>0</v>
      </c>
      <c r="J32" s="156"/>
      <c r="K32" s="334"/>
      <c r="L32" s="158">
        <f t="shared" si="6"/>
        <v>0</v>
      </c>
      <c r="M32" s="334"/>
      <c r="N32" s="158">
        <f t="shared" si="7"/>
        <v>0</v>
      </c>
      <c r="O32" s="158">
        <f t="shared" si="8"/>
        <v>0</v>
      </c>
      <c r="P32" s="4"/>
    </row>
    <row r="33" spans="2:16">
      <c r="B33" s="9" t="str">
        <f t="shared" si="0"/>
        <v/>
      </c>
      <c r="C33" s="153">
        <f>IF(D11="","-",+C32+1)</f>
        <v>2031</v>
      </c>
      <c r="D33" s="159">
        <f>IF(F32+SUM(E$17:E32)=D$10,F32,D$10-SUM(E$17:E32))</f>
        <v>3527944.6507846471</v>
      </c>
      <c r="E33" s="160">
        <f t="shared" si="2"/>
        <v>126271.74418604652</v>
      </c>
      <c r="F33" s="159">
        <f t="shared" si="3"/>
        <v>3401672.9065986006</v>
      </c>
      <c r="G33" s="161">
        <f t="shared" si="4"/>
        <v>471213.11209078634</v>
      </c>
      <c r="H33" s="142">
        <f t="shared" si="5"/>
        <v>471213.11209078634</v>
      </c>
      <c r="I33" s="156">
        <f t="shared" si="1"/>
        <v>0</v>
      </c>
      <c r="J33" s="156"/>
      <c r="K33" s="334"/>
      <c r="L33" s="158">
        <f t="shared" si="6"/>
        <v>0</v>
      </c>
      <c r="M33" s="334"/>
      <c r="N33" s="158">
        <f t="shared" si="7"/>
        <v>0</v>
      </c>
      <c r="O33" s="158">
        <f t="shared" si="8"/>
        <v>0</v>
      </c>
      <c r="P33" s="4"/>
    </row>
    <row r="34" spans="2:16">
      <c r="B34" s="9" t="str">
        <f t="shared" si="0"/>
        <v/>
      </c>
      <c r="C34" s="153">
        <f>IF(D11="","-",+C33+1)</f>
        <v>2032</v>
      </c>
      <c r="D34" s="159">
        <f>IF(F33+SUM(E$17:E33)=D$10,F33,D$10-SUM(E$17:E33))</f>
        <v>3401672.9065986006</v>
      </c>
      <c r="E34" s="160">
        <f t="shared" si="2"/>
        <v>126271.74418604652</v>
      </c>
      <c r="F34" s="159">
        <f t="shared" si="3"/>
        <v>3275401.162412554</v>
      </c>
      <c r="G34" s="161">
        <f t="shared" si="4"/>
        <v>458642.0436857646</v>
      </c>
      <c r="H34" s="142">
        <f t="shared" si="5"/>
        <v>458642.0436857646</v>
      </c>
      <c r="I34" s="156">
        <f t="shared" si="1"/>
        <v>0</v>
      </c>
      <c r="J34" s="156"/>
      <c r="K34" s="334"/>
      <c r="L34" s="158">
        <f t="shared" si="6"/>
        <v>0</v>
      </c>
      <c r="M34" s="334"/>
      <c r="N34" s="158">
        <f t="shared" si="7"/>
        <v>0</v>
      </c>
      <c r="O34" s="158">
        <f t="shared" si="8"/>
        <v>0</v>
      </c>
      <c r="P34" s="4"/>
    </row>
    <row r="35" spans="2:16">
      <c r="B35" s="9" t="str">
        <f t="shared" si="0"/>
        <v/>
      </c>
      <c r="C35" s="153">
        <f>IF(D11="","-",+C34+1)</f>
        <v>2033</v>
      </c>
      <c r="D35" s="159">
        <f>IF(F34+SUM(E$17:E34)=D$10,F34,D$10-SUM(E$17:E34))</f>
        <v>3275401.162412554</v>
      </c>
      <c r="E35" s="160">
        <f t="shared" si="2"/>
        <v>126271.74418604652</v>
      </c>
      <c r="F35" s="159">
        <f t="shared" si="3"/>
        <v>3149129.4182265075</v>
      </c>
      <c r="G35" s="161">
        <f t="shared" si="4"/>
        <v>446070.97528074286</v>
      </c>
      <c r="H35" s="142">
        <f t="shared" si="5"/>
        <v>446070.97528074286</v>
      </c>
      <c r="I35" s="156">
        <f t="shared" si="1"/>
        <v>0</v>
      </c>
      <c r="J35" s="156"/>
      <c r="K35" s="334"/>
      <c r="L35" s="158">
        <f t="shared" si="6"/>
        <v>0</v>
      </c>
      <c r="M35" s="334"/>
      <c r="N35" s="158">
        <f t="shared" si="7"/>
        <v>0</v>
      </c>
      <c r="O35" s="158">
        <f t="shared" si="8"/>
        <v>0</v>
      </c>
      <c r="P35" s="4"/>
    </row>
    <row r="36" spans="2:16">
      <c r="B36" s="9" t="str">
        <f t="shared" si="0"/>
        <v/>
      </c>
      <c r="C36" s="153">
        <f>IF(D11="","-",+C35+1)</f>
        <v>2034</v>
      </c>
      <c r="D36" s="159">
        <f>IF(F35+SUM(E$17:E35)=D$10,F35,D$10-SUM(E$17:E35))</f>
        <v>3149129.4182265075</v>
      </c>
      <c r="E36" s="160">
        <f t="shared" si="2"/>
        <v>126271.74418604652</v>
      </c>
      <c r="F36" s="159">
        <f t="shared" si="3"/>
        <v>3022857.674040461</v>
      </c>
      <c r="G36" s="161">
        <f t="shared" si="4"/>
        <v>433499.90687572112</v>
      </c>
      <c r="H36" s="142">
        <f t="shared" si="5"/>
        <v>433499.90687572112</v>
      </c>
      <c r="I36" s="156">
        <f t="shared" si="1"/>
        <v>0</v>
      </c>
      <c r="J36" s="156"/>
      <c r="K36" s="334"/>
      <c r="L36" s="158">
        <f t="shared" si="6"/>
        <v>0</v>
      </c>
      <c r="M36" s="334"/>
      <c r="N36" s="158">
        <f t="shared" si="7"/>
        <v>0</v>
      </c>
      <c r="O36" s="158">
        <f t="shared" si="8"/>
        <v>0</v>
      </c>
      <c r="P36" s="4"/>
    </row>
    <row r="37" spans="2:16">
      <c r="B37" s="9" t="str">
        <f t="shared" si="0"/>
        <v/>
      </c>
      <c r="C37" s="153">
        <f>IF(D11="","-",+C36+1)</f>
        <v>2035</v>
      </c>
      <c r="D37" s="159">
        <f>IF(F36+SUM(E$17:E36)=D$10,F36,D$10-SUM(E$17:E36))</f>
        <v>3022857.674040461</v>
      </c>
      <c r="E37" s="160">
        <f t="shared" si="2"/>
        <v>126271.74418604652</v>
      </c>
      <c r="F37" s="159">
        <f t="shared" si="3"/>
        <v>2896585.9298544144</v>
      </c>
      <c r="G37" s="161">
        <f t="shared" si="4"/>
        <v>420928.83847069932</v>
      </c>
      <c r="H37" s="142">
        <f t="shared" si="5"/>
        <v>420928.83847069932</v>
      </c>
      <c r="I37" s="156">
        <f t="shared" si="1"/>
        <v>0</v>
      </c>
      <c r="J37" s="156"/>
      <c r="K37" s="334"/>
      <c r="L37" s="158">
        <f t="shared" si="6"/>
        <v>0</v>
      </c>
      <c r="M37" s="334"/>
      <c r="N37" s="158">
        <f t="shared" si="7"/>
        <v>0</v>
      </c>
      <c r="O37" s="158">
        <f t="shared" si="8"/>
        <v>0</v>
      </c>
      <c r="P37" s="4"/>
    </row>
    <row r="38" spans="2:16">
      <c r="B38" s="9" t="str">
        <f t="shared" si="0"/>
        <v/>
      </c>
      <c r="C38" s="153">
        <f>IF(D11="","-",+C37+1)</f>
        <v>2036</v>
      </c>
      <c r="D38" s="159">
        <f>IF(F37+SUM(E$17:E37)=D$10,F37,D$10-SUM(E$17:E37))</f>
        <v>2896585.9298544144</v>
      </c>
      <c r="E38" s="160">
        <f t="shared" si="2"/>
        <v>126271.74418604652</v>
      </c>
      <c r="F38" s="159">
        <f t="shared" si="3"/>
        <v>2770314.1856683679</v>
      </c>
      <c r="G38" s="161">
        <f t="shared" si="4"/>
        <v>408357.77006567759</v>
      </c>
      <c r="H38" s="142">
        <f t="shared" si="5"/>
        <v>408357.77006567759</v>
      </c>
      <c r="I38" s="156">
        <f t="shared" si="1"/>
        <v>0</v>
      </c>
      <c r="J38" s="156"/>
      <c r="K38" s="334"/>
      <c r="L38" s="158">
        <f t="shared" si="6"/>
        <v>0</v>
      </c>
      <c r="M38" s="334"/>
      <c r="N38" s="158">
        <f t="shared" si="7"/>
        <v>0</v>
      </c>
      <c r="O38" s="158">
        <f t="shared" si="8"/>
        <v>0</v>
      </c>
      <c r="P38" s="4"/>
    </row>
    <row r="39" spans="2:16">
      <c r="B39" s="9" t="str">
        <f t="shared" si="0"/>
        <v/>
      </c>
      <c r="C39" s="153">
        <f>IF(D11="","-",+C38+1)</f>
        <v>2037</v>
      </c>
      <c r="D39" s="159">
        <f>IF(F38+SUM(E$17:E38)=D$10,F38,D$10-SUM(E$17:E38))</f>
        <v>2770314.1856683679</v>
      </c>
      <c r="E39" s="160">
        <f t="shared" si="2"/>
        <v>126271.74418604652</v>
      </c>
      <c r="F39" s="159">
        <f t="shared" si="3"/>
        <v>2644042.4414823214</v>
      </c>
      <c r="G39" s="161">
        <f t="shared" si="4"/>
        <v>395786.70166065585</v>
      </c>
      <c r="H39" s="142">
        <f t="shared" si="5"/>
        <v>395786.70166065585</v>
      </c>
      <c r="I39" s="156">
        <f t="shared" si="1"/>
        <v>0</v>
      </c>
      <c r="J39" s="156"/>
      <c r="K39" s="334"/>
      <c r="L39" s="158">
        <f t="shared" si="6"/>
        <v>0</v>
      </c>
      <c r="M39" s="334"/>
      <c r="N39" s="158">
        <f t="shared" si="7"/>
        <v>0</v>
      </c>
      <c r="O39" s="158">
        <f t="shared" si="8"/>
        <v>0</v>
      </c>
      <c r="P39" s="4"/>
    </row>
    <row r="40" spans="2:16">
      <c r="B40" s="9" t="str">
        <f t="shared" si="0"/>
        <v/>
      </c>
      <c r="C40" s="153">
        <f>IF(D11="","-",+C39+1)</f>
        <v>2038</v>
      </c>
      <c r="D40" s="159">
        <f>IF(F39+SUM(E$17:E39)=D$10,F39,D$10-SUM(E$17:E39))</f>
        <v>2644042.4414823214</v>
      </c>
      <c r="E40" s="160">
        <f t="shared" si="2"/>
        <v>126271.74418604652</v>
      </c>
      <c r="F40" s="159">
        <f t="shared" si="3"/>
        <v>2517770.6972962748</v>
      </c>
      <c r="G40" s="161">
        <f t="shared" si="4"/>
        <v>383215.63325563411</v>
      </c>
      <c r="H40" s="142">
        <f t="shared" si="5"/>
        <v>383215.63325563411</v>
      </c>
      <c r="I40" s="156">
        <f t="shared" si="1"/>
        <v>0</v>
      </c>
      <c r="J40" s="156"/>
      <c r="K40" s="334"/>
      <c r="L40" s="158">
        <f t="shared" si="6"/>
        <v>0</v>
      </c>
      <c r="M40" s="334"/>
      <c r="N40" s="158">
        <f t="shared" si="7"/>
        <v>0</v>
      </c>
      <c r="O40" s="158">
        <f t="shared" si="8"/>
        <v>0</v>
      </c>
      <c r="P40" s="4"/>
    </row>
    <row r="41" spans="2:16">
      <c r="B41" s="9" t="str">
        <f t="shared" si="0"/>
        <v/>
      </c>
      <c r="C41" s="153">
        <f>IF(D11="","-",+C40+1)</f>
        <v>2039</v>
      </c>
      <c r="D41" s="159">
        <f>IF(F40+SUM(E$17:E40)=D$10,F40,D$10-SUM(E$17:E40))</f>
        <v>2517770.6972962748</v>
      </c>
      <c r="E41" s="160">
        <f t="shared" si="2"/>
        <v>126271.74418604652</v>
      </c>
      <c r="F41" s="159">
        <f t="shared" si="3"/>
        <v>2391498.9531102283</v>
      </c>
      <c r="G41" s="161">
        <f t="shared" si="4"/>
        <v>370644.56485061231</v>
      </c>
      <c r="H41" s="142">
        <f t="shared" si="5"/>
        <v>370644.56485061231</v>
      </c>
      <c r="I41" s="156">
        <f t="shared" si="1"/>
        <v>0</v>
      </c>
      <c r="J41" s="156"/>
      <c r="K41" s="334"/>
      <c r="L41" s="158">
        <f t="shared" si="6"/>
        <v>0</v>
      </c>
      <c r="M41" s="334"/>
      <c r="N41" s="158">
        <f t="shared" si="7"/>
        <v>0</v>
      </c>
      <c r="O41" s="158">
        <f t="shared" si="8"/>
        <v>0</v>
      </c>
      <c r="P41" s="4"/>
    </row>
    <row r="42" spans="2:16">
      <c r="B42" s="9" t="str">
        <f t="shared" si="0"/>
        <v/>
      </c>
      <c r="C42" s="153">
        <f>IF(D11="","-",+C41+1)</f>
        <v>2040</v>
      </c>
      <c r="D42" s="159">
        <f>IF(F41+SUM(E$17:E41)=D$10,F41,D$10-SUM(E$17:E41))</f>
        <v>2391498.9531102283</v>
      </c>
      <c r="E42" s="160">
        <f t="shared" si="2"/>
        <v>126271.74418604652</v>
      </c>
      <c r="F42" s="159">
        <f t="shared" si="3"/>
        <v>2265227.2089241818</v>
      </c>
      <c r="G42" s="161">
        <f t="shared" si="4"/>
        <v>358073.49644559057</v>
      </c>
      <c r="H42" s="142">
        <f t="shared" si="5"/>
        <v>358073.49644559057</v>
      </c>
      <c r="I42" s="156">
        <f t="shared" si="1"/>
        <v>0</v>
      </c>
      <c r="J42" s="156"/>
      <c r="K42" s="334"/>
      <c r="L42" s="158">
        <f t="shared" si="6"/>
        <v>0</v>
      </c>
      <c r="M42" s="334"/>
      <c r="N42" s="158">
        <f t="shared" si="7"/>
        <v>0</v>
      </c>
      <c r="O42" s="158">
        <f t="shared" si="8"/>
        <v>0</v>
      </c>
      <c r="P42" s="4"/>
    </row>
    <row r="43" spans="2:16">
      <c r="B43" s="9" t="str">
        <f t="shared" si="0"/>
        <v/>
      </c>
      <c r="C43" s="153">
        <f>IF(D11="","-",+C42+1)</f>
        <v>2041</v>
      </c>
      <c r="D43" s="159">
        <f>IF(F42+SUM(E$17:E42)=D$10,F42,D$10-SUM(E$17:E42))</f>
        <v>2265227.2089241818</v>
      </c>
      <c r="E43" s="160">
        <f t="shared" si="2"/>
        <v>126271.74418604652</v>
      </c>
      <c r="F43" s="159">
        <f t="shared" si="3"/>
        <v>2138955.4647381352</v>
      </c>
      <c r="G43" s="161">
        <f t="shared" si="4"/>
        <v>345502.42804056883</v>
      </c>
      <c r="H43" s="142">
        <f t="shared" si="5"/>
        <v>345502.42804056883</v>
      </c>
      <c r="I43" s="156">
        <f t="shared" si="1"/>
        <v>0</v>
      </c>
      <c r="J43" s="156"/>
      <c r="K43" s="334"/>
      <c r="L43" s="158">
        <f t="shared" si="6"/>
        <v>0</v>
      </c>
      <c r="M43" s="334"/>
      <c r="N43" s="158">
        <f t="shared" si="7"/>
        <v>0</v>
      </c>
      <c r="O43" s="158">
        <f t="shared" si="8"/>
        <v>0</v>
      </c>
      <c r="P43" s="4"/>
    </row>
    <row r="44" spans="2:16">
      <c r="B44" s="9" t="str">
        <f t="shared" si="0"/>
        <v/>
      </c>
      <c r="C44" s="153">
        <f>IF(D11="","-",+C43+1)</f>
        <v>2042</v>
      </c>
      <c r="D44" s="159">
        <f>IF(F43+SUM(E$17:E43)=D$10,F43,D$10-SUM(E$17:E43))</f>
        <v>2138955.4647381352</v>
      </c>
      <c r="E44" s="160">
        <f t="shared" si="2"/>
        <v>126271.74418604652</v>
      </c>
      <c r="F44" s="159">
        <f t="shared" si="3"/>
        <v>2012683.7205520887</v>
      </c>
      <c r="G44" s="161">
        <f t="shared" si="4"/>
        <v>332931.35963554709</v>
      </c>
      <c r="H44" s="142">
        <f t="shared" si="5"/>
        <v>332931.35963554709</v>
      </c>
      <c r="I44" s="156">
        <f t="shared" si="1"/>
        <v>0</v>
      </c>
      <c r="J44" s="156"/>
      <c r="K44" s="334"/>
      <c r="L44" s="158">
        <f t="shared" si="6"/>
        <v>0</v>
      </c>
      <c r="M44" s="334"/>
      <c r="N44" s="158">
        <f t="shared" si="7"/>
        <v>0</v>
      </c>
      <c r="O44" s="158">
        <f t="shared" si="8"/>
        <v>0</v>
      </c>
      <c r="P44" s="4"/>
    </row>
    <row r="45" spans="2:16">
      <c r="B45" s="9" t="str">
        <f t="shared" si="0"/>
        <v/>
      </c>
      <c r="C45" s="153">
        <f>IF(D11="","-",+C44+1)</f>
        <v>2043</v>
      </c>
      <c r="D45" s="159">
        <f>IF(F44+SUM(E$17:E44)=D$10,F44,D$10-SUM(E$17:E44))</f>
        <v>2012683.7205520887</v>
      </c>
      <c r="E45" s="160">
        <f t="shared" si="2"/>
        <v>126271.74418604652</v>
      </c>
      <c r="F45" s="159">
        <f t="shared" si="3"/>
        <v>1886411.9763660422</v>
      </c>
      <c r="G45" s="161">
        <f t="shared" si="4"/>
        <v>320360.29123052536</v>
      </c>
      <c r="H45" s="142">
        <f t="shared" si="5"/>
        <v>320360.29123052536</v>
      </c>
      <c r="I45" s="156">
        <f t="shared" si="1"/>
        <v>0</v>
      </c>
      <c r="J45" s="156"/>
      <c r="K45" s="334"/>
      <c r="L45" s="158">
        <f t="shared" si="6"/>
        <v>0</v>
      </c>
      <c r="M45" s="334"/>
      <c r="N45" s="158">
        <f t="shared" si="7"/>
        <v>0</v>
      </c>
      <c r="O45" s="158">
        <f t="shared" si="8"/>
        <v>0</v>
      </c>
      <c r="P45" s="4"/>
    </row>
    <row r="46" spans="2:16">
      <c r="B46" s="9" t="str">
        <f t="shared" si="0"/>
        <v/>
      </c>
      <c r="C46" s="153">
        <f>IF(D11="","-",+C45+1)</f>
        <v>2044</v>
      </c>
      <c r="D46" s="159">
        <f>IF(F45+SUM(E$17:E45)=D$10,F45,D$10-SUM(E$17:E45))</f>
        <v>1886411.9763660422</v>
      </c>
      <c r="E46" s="160">
        <f t="shared" si="2"/>
        <v>126271.74418604652</v>
      </c>
      <c r="F46" s="159">
        <f t="shared" si="3"/>
        <v>1760140.2321799956</v>
      </c>
      <c r="G46" s="161">
        <f t="shared" si="4"/>
        <v>307789.22282550362</v>
      </c>
      <c r="H46" s="142">
        <f t="shared" si="5"/>
        <v>307789.22282550362</v>
      </c>
      <c r="I46" s="156">
        <f t="shared" si="1"/>
        <v>0</v>
      </c>
      <c r="J46" s="156"/>
      <c r="K46" s="334"/>
      <c r="L46" s="158">
        <f t="shared" si="6"/>
        <v>0</v>
      </c>
      <c r="M46" s="334"/>
      <c r="N46" s="158">
        <f t="shared" si="7"/>
        <v>0</v>
      </c>
      <c r="O46" s="158">
        <f t="shared" si="8"/>
        <v>0</v>
      </c>
      <c r="P46" s="4"/>
    </row>
    <row r="47" spans="2:16">
      <c r="B47" s="9" t="str">
        <f t="shared" si="0"/>
        <v/>
      </c>
      <c r="C47" s="153">
        <f>IF(D11="","-",+C46+1)</f>
        <v>2045</v>
      </c>
      <c r="D47" s="159">
        <f>IF(F46+SUM(E$17:E46)=D$10,F46,D$10-SUM(E$17:E46))</f>
        <v>1760140.2321799956</v>
      </c>
      <c r="E47" s="160">
        <f t="shared" si="2"/>
        <v>126271.74418604652</v>
      </c>
      <c r="F47" s="159">
        <f t="shared" si="3"/>
        <v>1633868.4879939491</v>
      </c>
      <c r="G47" s="161">
        <f t="shared" si="4"/>
        <v>295218.15442048182</v>
      </c>
      <c r="H47" s="142">
        <f t="shared" si="5"/>
        <v>295218.15442048182</v>
      </c>
      <c r="I47" s="156">
        <f t="shared" si="1"/>
        <v>0</v>
      </c>
      <c r="J47" s="156"/>
      <c r="K47" s="334"/>
      <c r="L47" s="158">
        <f t="shared" si="6"/>
        <v>0</v>
      </c>
      <c r="M47" s="334"/>
      <c r="N47" s="158">
        <f t="shared" si="7"/>
        <v>0</v>
      </c>
      <c r="O47" s="158">
        <f t="shared" si="8"/>
        <v>0</v>
      </c>
      <c r="P47" s="4"/>
    </row>
    <row r="48" spans="2:16">
      <c r="B48" s="9" t="str">
        <f t="shared" si="0"/>
        <v/>
      </c>
      <c r="C48" s="153">
        <f>IF(D11="","-",+C47+1)</f>
        <v>2046</v>
      </c>
      <c r="D48" s="159">
        <f>IF(F47+SUM(E$17:E47)=D$10,F47,D$10-SUM(E$17:E47))</f>
        <v>1633868.4879939491</v>
      </c>
      <c r="E48" s="160">
        <f t="shared" si="2"/>
        <v>126271.74418604652</v>
      </c>
      <c r="F48" s="159">
        <f t="shared" si="3"/>
        <v>1507596.7438079026</v>
      </c>
      <c r="G48" s="161">
        <f t="shared" si="4"/>
        <v>282647.08601546008</v>
      </c>
      <c r="H48" s="142">
        <f t="shared" si="5"/>
        <v>282647.08601546008</v>
      </c>
      <c r="I48" s="156">
        <f t="shared" si="1"/>
        <v>0</v>
      </c>
      <c r="J48" s="156"/>
      <c r="K48" s="334"/>
      <c r="L48" s="158">
        <f t="shared" si="6"/>
        <v>0</v>
      </c>
      <c r="M48" s="334"/>
      <c r="N48" s="158">
        <f t="shared" si="7"/>
        <v>0</v>
      </c>
      <c r="O48" s="158">
        <f t="shared" si="8"/>
        <v>0</v>
      </c>
      <c r="P48" s="4"/>
    </row>
    <row r="49" spans="2:16">
      <c r="B49" s="9" t="str">
        <f t="shared" si="0"/>
        <v/>
      </c>
      <c r="C49" s="153">
        <f>IF(D11="","-",+C48+1)</f>
        <v>2047</v>
      </c>
      <c r="D49" s="159">
        <f>IF(F48+SUM(E$17:E48)=D$10,F48,D$10-SUM(E$17:E48))</f>
        <v>1507596.7438079026</v>
      </c>
      <c r="E49" s="160">
        <f t="shared" si="2"/>
        <v>126271.74418604652</v>
      </c>
      <c r="F49" s="159">
        <f t="shared" si="3"/>
        <v>1381324.999621856</v>
      </c>
      <c r="G49" s="161">
        <f t="shared" si="4"/>
        <v>270076.01761043834</v>
      </c>
      <c r="H49" s="142">
        <f t="shared" si="5"/>
        <v>270076.01761043834</v>
      </c>
      <c r="I49" s="156">
        <f t="shared" si="1"/>
        <v>0</v>
      </c>
      <c r="J49" s="156"/>
      <c r="K49" s="334"/>
      <c r="L49" s="158">
        <f t="shared" si="6"/>
        <v>0</v>
      </c>
      <c r="M49" s="334"/>
      <c r="N49" s="158">
        <f t="shared" si="7"/>
        <v>0</v>
      </c>
      <c r="O49" s="158">
        <f t="shared" si="8"/>
        <v>0</v>
      </c>
      <c r="P49" s="4"/>
    </row>
    <row r="50" spans="2:16">
      <c r="B50" s="9" t="str">
        <f t="shared" si="0"/>
        <v/>
      </c>
      <c r="C50" s="153">
        <f>IF(D11="","-",+C49+1)</f>
        <v>2048</v>
      </c>
      <c r="D50" s="159">
        <f>IF(F49+SUM(E$17:E49)=D$10,F49,D$10-SUM(E$17:E49))</f>
        <v>1381324.999621856</v>
      </c>
      <c r="E50" s="160">
        <f t="shared" si="2"/>
        <v>126271.74418604652</v>
      </c>
      <c r="F50" s="159">
        <f t="shared" si="3"/>
        <v>1255053.2554358095</v>
      </c>
      <c r="G50" s="161">
        <f t="shared" si="4"/>
        <v>257504.9492054166</v>
      </c>
      <c r="H50" s="142">
        <f t="shared" si="5"/>
        <v>257504.9492054166</v>
      </c>
      <c r="I50" s="156">
        <f t="shared" si="1"/>
        <v>0</v>
      </c>
      <c r="J50" s="156"/>
      <c r="K50" s="334"/>
      <c r="L50" s="158">
        <f t="shared" si="6"/>
        <v>0</v>
      </c>
      <c r="M50" s="334"/>
      <c r="N50" s="158">
        <f t="shared" si="7"/>
        <v>0</v>
      </c>
      <c r="O50" s="158">
        <f t="shared" si="8"/>
        <v>0</v>
      </c>
      <c r="P50" s="4"/>
    </row>
    <row r="51" spans="2:16">
      <c r="B51" s="9" t="str">
        <f t="shared" si="0"/>
        <v/>
      </c>
      <c r="C51" s="153">
        <f>IF(D11="","-",+C50+1)</f>
        <v>2049</v>
      </c>
      <c r="D51" s="159">
        <f>IF(F50+SUM(E$17:E50)=D$10,F50,D$10-SUM(E$17:E50))</f>
        <v>1255053.2554358095</v>
      </c>
      <c r="E51" s="160">
        <f t="shared" si="2"/>
        <v>126271.74418604652</v>
      </c>
      <c r="F51" s="159">
        <f t="shared" si="3"/>
        <v>1128781.511249763</v>
      </c>
      <c r="G51" s="161">
        <f t="shared" ref="G51:G72" si="9">+I$12*((D51+F51)/2)+E51</f>
        <v>244933.88080039484</v>
      </c>
      <c r="H51" s="142">
        <f t="shared" ref="H51:H72" si="10">+I$13*((D51+F51)/2)+E51</f>
        <v>244933.88080039484</v>
      </c>
      <c r="I51" s="156">
        <f t="shared" si="1"/>
        <v>0</v>
      </c>
      <c r="J51" s="156"/>
      <c r="K51" s="334"/>
      <c r="L51" s="158">
        <f t="shared" si="6"/>
        <v>0</v>
      </c>
      <c r="M51" s="334"/>
      <c r="N51" s="158">
        <f t="shared" si="7"/>
        <v>0</v>
      </c>
      <c r="O51" s="158">
        <f t="shared" si="8"/>
        <v>0</v>
      </c>
      <c r="P51" s="4"/>
    </row>
    <row r="52" spans="2:16">
      <c r="B52" s="9" t="str">
        <f t="shared" si="0"/>
        <v/>
      </c>
      <c r="C52" s="153">
        <f>IF(D11="","-",+C51+1)</f>
        <v>2050</v>
      </c>
      <c r="D52" s="159">
        <f>IF(F51+SUM(E$17:E51)=D$10,F51,D$10-SUM(E$17:E51))</f>
        <v>1128781.511249763</v>
      </c>
      <c r="E52" s="160">
        <f t="shared" si="2"/>
        <v>126271.74418604652</v>
      </c>
      <c r="F52" s="159">
        <f t="shared" si="3"/>
        <v>1002509.7670637164</v>
      </c>
      <c r="G52" s="161">
        <f t="shared" si="9"/>
        <v>232362.8123953731</v>
      </c>
      <c r="H52" s="142">
        <f t="shared" si="10"/>
        <v>232362.8123953731</v>
      </c>
      <c r="I52" s="156">
        <f t="shared" si="1"/>
        <v>0</v>
      </c>
      <c r="J52" s="156"/>
      <c r="K52" s="334"/>
      <c r="L52" s="158">
        <f t="shared" si="6"/>
        <v>0</v>
      </c>
      <c r="M52" s="334"/>
      <c r="N52" s="158">
        <f t="shared" si="7"/>
        <v>0</v>
      </c>
      <c r="O52" s="158">
        <f t="shared" si="8"/>
        <v>0</v>
      </c>
      <c r="P52" s="4"/>
    </row>
    <row r="53" spans="2:16">
      <c r="B53" s="9" t="str">
        <f t="shared" si="0"/>
        <v/>
      </c>
      <c r="C53" s="153">
        <f>IF(D11="","-",+C52+1)</f>
        <v>2051</v>
      </c>
      <c r="D53" s="159">
        <f>IF(F52+SUM(E$17:E52)=D$10,F52,D$10-SUM(E$17:E52))</f>
        <v>1002509.7670637164</v>
      </c>
      <c r="E53" s="160">
        <f t="shared" si="2"/>
        <v>126271.74418604652</v>
      </c>
      <c r="F53" s="159">
        <f t="shared" si="3"/>
        <v>876238.02287766989</v>
      </c>
      <c r="G53" s="161">
        <f t="shared" si="9"/>
        <v>219791.74399035133</v>
      </c>
      <c r="H53" s="142">
        <f t="shared" si="10"/>
        <v>219791.74399035133</v>
      </c>
      <c r="I53" s="156">
        <f t="shared" si="1"/>
        <v>0</v>
      </c>
      <c r="J53" s="156"/>
      <c r="K53" s="334"/>
      <c r="L53" s="158">
        <f t="shared" si="6"/>
        <v>0</v>
      </c>
      <c r="M53" s="334"/>
      <c r="N53" s="158">
        <f t="shared" si="7"/>
        <v>0</v>
      </c>
      <c r="O53" s="158">
        <f t="shared" si="8"/>
        <v>0</v>
      </c>
      <c r="P53" s="4"/>
    </row>
    <row r="54" spans="2:16">
      <c r="B54" s="9" t="str">
        <f t="shared" si="0"/>
        <v/>
      </c>
      <c r="C54" s="153">
        <f>IF(D11="","-",+C53+1)</f>
        <v>2052</v>
      </c>
      <c r="D54" s="159">
        <f>IF(F53+SUM(E$17:E53)=D$10,F53,D$10-SUM(E$17:E53))</f>
        <v>876238.02287766989</v>
      </c>
      <c r="E54" s="160">
        <f t="shared" si="2"/>
        <v>126271.74418604652</v>
      </c>
      <c r="F54" s="159">
        <f t="shared" si="3"/>
        <v>749966.27869162336</v>
      </c>
      <c r="G54" s="161">
        <f t="shared" si="9"/>
        <v>207220.67558532959</v>
      </c>
      <c r="H54" s="142">
        <f t="shared" si="10"/>
        <v>207220.67558532959</v>
      </c>
      <c r="I54" s="156">
        <f t="shared" si="1"/>
        <v>0</v>
      </c>
      <c r="J54" s="156"/>
      <c r="K54" s="334"/>
      <c r="L54" s="158">
        <f t="shared" si="6"/>
        <v>0</v>
      </c>
      <c r="M54" s="334"/>
      <c r="N54" s="158">
        <f t="shared" si="7"/>
        <v>0</v>
      </c>
      <c r="O54" s="158">
        <f t="shared" si="8"/>
        <v>0</v>
      </c>
      <c r="P54" s="4"/>
    </row>
    <row r="55" spans="2:16">
      <c r="B55" s="9" t="str">
        <f t="shared" si="0"/>
        <v/>
      </c>
      <c r="C55" s="153">
        <f>IF(D11="","-",+C54+1)</f>
        <v>2053</v>
      </c>
      <c r="D55" s="159">
        <f>IF(F54+SUM(E$17:E54)=D$10,F54,D$10-SUM(E$17:E54))</f>
        <v>749966.27869162336</v>
      </c>
      <c r="E55" s="160">
        <f t="shared" si="2"/>
        <v>126271.74418604652</v>
      </c>
      <c r="F55" s="159">
        <f t="shared" si="3"/>
        <v>623694.53450557683</v>
      </c>
      <c r="G55" s="161">
        <f t="shared" si="9"/>
        <v>194649.60718030785</v>
      </c>
      <c r="H55" s="142">
        <f t="shared" si="10"/>
        <v>194649.60718030785</v>
      </c>
      <c r="I55" s="156">
        <f t="shared" si="1"/>
        <v>0</v>
      </c>
      <c r="J55" s="156"/>
      <c r="K55" s="334"/>
      <c r="L55" s="158">
        <f t="shared" si="6"/>
        <v>0</v>
      </c>
      <c r="M55" s="334"/>
      <c r="N55" s="158">
        <f t="shared" si="7"/>
        <v>0</v>
      </c>
      <c r="O55" s="158">
        <f t="shared" si="8"/>
        <v>0</v>
      </c>
      <c r="P55" s="4"/>
    </row>
    <row r="56" spans="2:16">
      <c r="B56" s="9" t="str">
        <f t="shared" si="0"/>
        <v/>
      </c>
      <c r="C56" s="153">
        <f>IF(D11="","-",+C55+1)</f>
        <v>2054</v>
      </c>
      <c r="D56" s="159">
        <f>IF(F55+SUM(E$17:E55)=D$10,F55,D$10-SUM(E$17:E55))</f>
        <v>623694.53450557683</v>
      </c>
      <c r="E56" s="160">
        <f t="shared" si="2"/>
        <v>126271.74418604652</v>
      </c>
      <c r="F56" s="159">
        <f t="shared" si="3"/>
        <v>497422.79031953029</v>
      </c>
      <c r="G56" s="161">
        <f t="shared" si="9"/>
        <v>182078.53877528608</v>
      </c>
      <c r="H56" s="142">
        <f t="shared" si="10"/>
        <v>182078.53877528608</v>
      </c>
      <c r="I56" s="156">
        <f t="shared" si="1"/>
        <v>0</v>
      </c>
      <c r="J56" s="156"/>
      <c r="K56" s="334"/>
      <c r="L56" s="158">
        <f t="shared" si="6"/>
        <v>0</v>
      </c>
      <c r="M56" s="334"/>
      <c r="N56" s="158">
        <f t="shared" si="7"/>
        <v>0</v>
      </c>
      <c r="O56" s="158">
        <f t="shared" si="8"/>
        <v>0</v>
      </c>
      <c r="P56" s="4"/>
    </row>
    <row r="57" spans="2:16">
      <c r="B57" s="9" t="str">
        <f t="shared" si="0"/>
        <v/>
      </c>
      <c r="C57" s="153">
        <f>IF(D11="","-",+C56+1)</f>
        <v>2055</v>
      </c>
      <c r="D57" s="159">
        <f>IF(F56+SUM(E$17:E56)=D$10,F56,D$10-SUM(E$17:E56))</f>
        <v>497422.79031953029</v>
      </c>
      <c r="E57" s="160">
        <f t="shared" si="2"/>
        <v>126271.74418604652</v>
      </c>
      <c r="F57" s="159">
        <f t="shared" si="3"/>
        <v>371151.04613348376</v>
      </c>
      <c r="G57" s="161">
        <f t="shared" si="9"/>
        <v>169507.47037026435</v>
      </c>
      <c r="H57" s="142">
        <f t="shared" si="10"/>
        <v>169507.47037026435</v>
      </c>
      <c r="I57" s="156">
        <f t="shared" si="1"/>
        <v>0</v>
      </c>
      <c r="J57" s="156"/>
      <c r="K57" s="334"/>
      <c r="L57" s="158">
        <f t="shared" si="6"/>
        <v>0</v>
      </c>
      <c r="M57" s="334"/>
      <c r="N57" s="158">
        <f t="shared" si="7"/>
        <v>0</v>
      </c>
      <c r="O57" s="158">
        <f t="shared" si="8"/>
        <v>0</v>
      </c>
      <c r="P57" s="4"/>
    </row>
    <row r="58" spans="2:16">
      <c r="B58" s="9" t="str">
        <f t="shared" si="0"/>
        <v/>
      </c>
      <c r="C58" s="153">
        <f>IF(D11="","-",+C57+1)</f>
        <v>2056</v>
      </c>
      <c r="D58" s="159">
        <f>IF(F57+SUM(E$17:E57)=D$10,F57,D$10-SUM(E$17:E57))</f>
        <v>371151.04613348376</v>
      </c>
      <c r="E58" s="160">
        <f t="shared" si="2"/>
        <v>126271.74418604652</v>
      </c>
      <c r="F58" s="159">
        <f t="shared" si="3"/>
        <v>244879.30194743723</v>
      </c>
      <c r="G58" s="161">
        <f t="shared" si="9"/>
        <v>156936.40196524258</v>
      </c>
      <c r="H58" s="142">
        <f t="shared" si="10"/>
        <v>156936.40196524258</v>
      </c>
      <c r="I58" s="156">
        <f t="shared" si="1"/>
        <v>0</v>
      </c>
      <c r="J58" s="156"/>
      <c r="K58" s="334"/>
      <c r="L58" s="158">
        <f t="shared" si="6"/>
        <v>0</v>
      </c>
      <c r="M58" s="334"/>
      <c r="N58" s="158">
        <f t="shared" si="7"/>
        <v>0</v>
      </c>
      <c r="O58" s="158">
        <f t="shared" si="8"/>
        <v>0</v>
      </c>
      <c r="P58" s="4"/>
    </row>
    <row r="59" spans="2:16">
      <c r="B59" s="9" t="str">
        <f t="shared" si="0"/>
        <v/>
      </c>
      <c r="C59" s="153">
        <f>IF(D11="","-",+C58+1)</f>
        <v>2057</v>
      </c>
      <c r="D59" s="159">
        <f>IF(F58+SUM(E$17:E58)=D$10,F58,D$10-SUM(E$17:E58))</f>
        <v>244879.30194743723</v>
      </c>
      <c r="E59" s="160">
        <f t="shared" si="2"/>
        <v>126271.74418604652</v>
      </c>
      <c r="F59" s="159">
        <f t="shared" si="3"/>
        <v>118607.55776139071</v>
      </c>
      <c r="G59" s="161">
        <f t="shared" si="9"/>
        <v>144365.33356022084</v>
      </c>
      <c r="H59" s="142">
        <f t="shared" si="10"/>
        <v>144365.33356022084</v>
      </c>
      <c r="I59" s="156">
        <f t="shared" si="1"/>
        <v>0</v>
      </c>
      <c r="J59" s="156"/>
      <c r="K59" s="334"/>
      <c r="L59" s="158">
        <f t="shared" si="6"/>
        <v>0</v>
      </c>
      <c r="M59" s="334"/>
      <c r="N59" s="158">
        <f t="shared" si="7"/>
        <v>0</v>
      </c>
      <c r="O59" s="158">
        <f t="shared" si="8"/>
        <v>0</v>
      </c>
      <c r="P59" s="4"/>
    </row>
    <row r="60" spans="2:16">
      <c r="B60" s="9" t="str">
        <f t="shared" si="0"/>
        <v/>
      </c>
      <c r="C60" s="153">
        <f>IF(D11="","-",+C59+1)</f>
        <v>2058</v>
      </c>
      <c r="D60" s="159">
        <f>IF(F59+SUM(E$17:E59)=D$10,F59,D$10-SUM(E$17:E59))</f>
        <v>118607.55776139071</v>
      </c>
      <c r="E60" s="160">
        <f t="shared" si="2"/>
        <v>118607.55776139071</v>
      </c>
      <c r="F60" s="159">
        <f t="shared" si="3"/>
        <v>0</v>
      </c>
      <c r="G60" s="161">
        <f t="shared" si="9"/>
        <v>124511.58534722243</v>
      </c>
      <c r="H60" s="142">
        <f t="shared" si="10"/>
        <v>124511.58534722243</v>
      </c>
      <c r="I60" s="156">
        <f t="shared" si="1"/>
        <v>0</v>
      </c>
      <c r="J60" s="156"/>
      <c r="K60" s="334"/>
      <c r="L60" s="158">
        <f t="shared" si="6"/>
        <v>0</v>
      </c>
      <c r="M60" s="334"/>
      <c r="N60" s="158">
        <f t="shared" si="7"/>
        <v>0</v>
      </c>
      <c r="O60" s="158">
        <f t="shared" si="8"/>
        <v>0</v>
      </c>
      <c r="P60" s="4"/>
    </row>
    <row r="61" spans="2:16">
      <c r="B61" s="9" t="str">
        <f t="shared" si="0"/>
        <v/>
      </c>
      <c r="C61" s="153">
        <f>IF(D11="","-",+C60+1)</f>
        <v>2059</v>
      </c>
      <c r="D61" s="159">
        <f>IF(F60+SUM(E$17:E60)=D$10,F60,D$10-SUM(E$17:E60))</f>
        <v>0</v>
      </c>
      <c r="E61" s="160">
        <f t="shared" si="2"/>
        <v>0</v>
      </c>
      <c r="F61" s="159">
        <f t="shared" si="3"/>
        <v>0</v>
      </c>
      <c r="G61" s="161">
        <f t="shared" si="9"/>
        <v>0</v>
      </c>
      <c r="H61" s="142">
        <f t="shared" si="10"/>
        <v>0</v>
      </c>
      <c r="I61" s="156">
        <f t="shared" si="1"/>
        <v>0</v>
      </c>
      <c r="J61" s="156"/>
      <c r="K61" s="334"/>
      <c r="L61" s="158">
        <f t="shared" si="6"/>
        <v>0</v>
      </c>
      <c r="M61" s="334"/>
      <c r="N61" s="158">
        <f t="shared" si="7"/>
        <v>0</v>
      </c>
      <c r="O61" s="158">
        <f t="shared" si="8"/>
        <v>0</v>
      </c>
      <c r="P61" s="4"/>
    </row>
    <row r="62" spans="2:16">
      <c r="B62" s="9" t="str">
        <f t="shared" si="0"/>
        <v/>
      </c>
      <c r="C62" s="153">
        <f>IF(D11="","-",+C61+1)</f>
        <v>2060</v>
      </c>
      <c r="D62" s="159">
        <f>IF(F61+SUM(E$17:E61)=D$10,F61,D$10-SUM(E$17:E61))</f>
        <v>0</v>
      </c>
      <c r="E62" s="160">
        <f t="shared" si="2"/>
        <v>0</v>
      </c>
      <c r="F62" s="159">
        <f t="shared" si="3"/>
        <v>0</v>
      </c>
      <c r="G62" s="161">
        <f t="shared" si="9"/>
        <v>0</v>
      </c>
      <c r="H62" s="142">
        <f t="shared" si="10"/>
        <v>0</v>
      </c>
      <c r="I62" s="156">
        <f t="shared" si="1"/>
        <v>0</v>
      </c>
      <c r="J62" s="156"/>
      <c r="K62" s="334"/>
      <c r="L62" s="158">
        <f t="shared" si="6"/>
        <v>0</v>
      </c>
      <c r="M62" s="334"/>
      <c r="N62" s="158">
        <f t="shared" si="7"/>
        <v>0</v>
      </c>
      <c r="O62" s="158">
        <f t="shared" si="8"/>
        <v>0</v>
      </c>
      <c r="P62" s="4"/>
    </row>
    <row r="63" spans="2:16">
      <c r="B63" s="9" t="str">
        <f t="shared" si="0"/>
        <v/>
      </c>
      <c r="C63" s="153">
        <f>IF(D11="","-",+C62+1)</f>
        <v>2061</v>
      </c>
      <c r="D63" s="159">
        <f>IF(F62+SUM(E$17:E62)=D$10,F62,D$10-SUM(E$17:E62))</f>
        <v>0</v>
      </c>
      <c r="E63" s="160">
        <f t="shared" si="2"/>
        <v>0</v>
      </c>
      <c r="F63" s="159">
        <f t="shared" si="3"/>
        <v>0</v>
      </c>
      <c r="G63" s="161">
        <f t="shared" si="9"/>
        <v>0</v>
      </c>
      <c r="H63" s="142">
        <f t="shared" si="10"/>
        <v>0</v>
      </c>
      <c r="I63" s="156">
        <f t="shared" si="1"/>
        <v>0</v>
      </c>
      <c r="J63" s="156"/>
      <c r="K63" s="334"/>
      <c r="L63" s="158">
        <f t="shared" si="6"/>
        <v>0</v>
      </c>
      <c r="M63" s="334"/>
      <c r="N63" s="158">
        <f t="shared" si="7"/>
        <v>0</v>
      </c>
      <c r="O63" s="158">
        <f t="shared" si="8"/>
        <v>0</v>
      </c>
      <c r="P63" s="4"/>
    </row>
    <row r="64" spans="2:16">
      <c r="B64" s="9" t="str">
        <f t="shared" si="0"/>
        <v/>
      </c>
      <c r="C64" s="153">
        <f>IF(D11="","-",+C63+1)</f>
        <v>2062</v>
      </c>
      <c r="D64" s="159">
        <f>IF(F63+SUM(E$17:E63)=D$10,F63,D$10-SUM(E$17:E63))</f>
        <v>0</v>
      </c>
      <c r="E64" s="160">
        <f t="shared" si="2"/>
        <v>0</v>
      </c>
      <c r="F64" s="159">
        <f t="shared" si="3"/>
        <v>0</v>
      </c>
      <c r="G64" s="161">
        <f t="shared" si="9"/>
        <v>0</v>
      </c>
      <c r="H64" s="142">
        <f t="shared" si="10"/>
        <v>0</v>
      </c>
      <c r="I64" s="156">
        <f t="shared" si="1"/>
        <v>0</v>
      </c>
      <c r="J64" s="156"/>
      <c r="K64" s="334"/>
      <c r="L64" s="158">
        <f t="shared" si="6"/>
        <v>0</v>
      </c>
      <c r="M64" s="334"/>
      <c r="N64" s="158">
        <f t="shared" si="7"/>
        <v>0</v>
      </c>
      <c r="O64" s="158">
        <f t="shared" si="8"/>
        <v>0</v>
      </c>
      <c r="P64" s="4"/>
    </row>
    <row r="65" spans="2:16">
      <c r="B65" s="9" t="str">
        <f t="shared" si="0"/>
        <v/>
      </c>
      <c r="C65" s="153">
        <f>IF(D11="","-",+C64+1)</f>
        <v>2063</v>
      </c>
      <c r="D65" s="159">
        <f>IF(F64+SUM(E$17:E64)=D$10,F64,D$10-SUM(E$17:E64))</f>
        <v>0</v>
      </c>
      <c r="E65" s="160">
        <f t="shared" si="2"/>
        <v>0</v>
      </c>
      <c r="F65" s="159">
        <f t="shared" si="3"/>
        <v>0</v>
      </c>
      <c r="G65" s="161">
        <f t="shared" si="9"/>
        <v>0</v>
      </c>
      <c r="H65" s="142">
        <f t="shared" si="10"/>
        <v>0</v>
      </c>
      <c r="I65" s="156">
        <f t="shared" si="1"/>
        <v>0</v>
      </c>
      <c r="J65" s="156"/>
      <c r="K65" s="334"/>
      <c r="L65" s="158">
        <f t="shared" si="6"/>
        <v>0</v>
      </c>
      <c r="M65" s="334"/>
      <c r="N65" s="158">
        <f t="shared" si="7"/>
        <v>0</v>
      </c>
      <c r="O65" s="158">
        <f t="shared" si="8"/>
        <v>0</v>
      </c>
      <c r="P65" s="4"/>
    </row>
    <row r="66" spans="2:16">
      <c r="B66" s="9" t="str">
        <f t="shared" si="0"/>
        <v/>
      </c>
      <c r="C66" s="153">
        <f>IF(D11="","-",+C65+1)</f>
        <v>2064</v>
      </c>
      <c r="D66" s="159">
        <f>IF(F65+SUM(E$17:E65)=D$10,F65,D$10-SUM(E$17:E65))</f>
        <v>0</v>
      </c>
      <c r="E66" s="160">
        <f t="shared" si="2"/>
        <v>0</v>
      </c>
      <c r="F66" s="159">
        <f t="shared" si="3"/>
        <v>0</v>
      </c>
      <c r="G66" s="161">
        <f t="shared" si="9"/>
        <v>0</v>
      </c>
      <c r="H66" s="142">
        <f t="shared" si="10"/>
        <v>0</v>
      </c>
      <c r="I66" s="156">
        <f t="shared" si="1"/>
        <v>0</v>
      </c>
      <c r="J66" s="156"/>
      <c r="K66" s="334"/>
      <c r="L66" s="158">
        <f t="shared" si="6"/>
        <v>0</v>
      </c>
      <c r="M66" s="334"/>
      <c r="N66" s="158">
        <f t="shared" si="7"/>
        <v>0</v>
      </c>
      <c r="O66" s="158">
        <f t="shared" si="8"/>
        <v>0</v>
      </c>
      <c r="P66" s="4"/>
    </row>
    <row r="67" spans="2:16">
      <c r="B67" s="9" t="str">
        <f t="shared" si="0"/>
        <v/>
      </c>
      <c r="C67" s="153">
        <f>IF(D11="","-",+C66+1)</f>
        <v>2065</v>
      </c>
      <c r="D67" s="159">
        <f>IF(F66+SUM(E$17:E66)=D$10,F66,D$10-SUM(E$17:E66))</f>
        <v>0</v>
      </c>
      <c r="E67" s="160">
        <f t="shared" si="2"/>
        <v>0</v>
      </c>
      <c r="F67" s="159">
        <f t="shared" si="3"/>
        <v>0</v>
      </c>
      <c r="G67" s="161">
        <f t="shared" si="9"/>
        <v>0</v>
      </c>
      <c r="H67" s="142">
        <f t="shared" si="10"/>
        <v>0</v>
      </c>
      <c r="I67" s="156">
        <f t="shared" si="1"/>
        <v>0</v>
      </c>
      <c r="J67" s="156"/>
      <c r="K67" s="334"/>
      <c r="L67" s="158">
        <f t="shared" si="6"/>
        <v>0</v>
      </c>
      <c r="M67" s="334"/>
      <c r="N67" s="158">
        <f t="shared" si="7"/>
        <v>0</v>
      </c>
      <c r="O67" s="158">
        <f t="shared" si="8"/>
        <v>0</v>
      </c>
      <c r="P67" s="4"/>
    </row>
    <row r="68" spans="2:16">
      <c r="B68" s="9" t="str">
        <f t="shared" si="0"/>
        <v/>
      </c>
      <c r="C68" s="153">
        <f>IF(D11="","-",+C67+1)</f>
        <v>2066</v>
      </c>
      <c r="D68" s="159">
        <f>IF(F67+SUM(E$17:E67)=D$10,F67,D$10-SUM(E$17:E67))</f>
        <v>0</v>
      </c>
      <c r="E68" s="160">
        <f t="shared" si="2"/>
        <v>0</v>
      </c>
      <c r="F68" s="159">
        <f t="shared" si="3"/>
        <v>0</v>
      </c>
      <c r="G68" s="161">
        <f t="shared" si="9"/>
        <v>0</v>
      </c>
      <c r="H68" s="142">
        <f t="shared" si="10"/>
        <v>0</v>
      </c>
      <c r="I68" s="156">
        <f t="shared" si="1"/>
        <v>0</v>
      </c>
      <c r="J68" s="156"/>
      <c r="K68" s="334"/>
      <c r="L68" s="158">
        <f t="shared" si="6"/>
        <v>0</v>
      </c>
      <c r="M68" s="334"/>
      <c r="N68" s="158">
        <f t="shared" si="7"/>
        <v>0</v>
      </c>
      <c r="O68" s="158">
        <f t="shared" si="8"/>
        <v>0</v>
      </c>
      <c r="P68" s="4"/>
    </row>
    <row r="69" spans="2:16">
      <c r="B69" s="9" t="str">
        <f t="shared" si="0"/>
        <v/>
      </c>
      <c r="C69" s="153">
        <f>IF(D11="","-",+C68+1)</f>
        <v>2067</v>
      </c>
      <c r="D69" s="159">
        <f>IF(F68+SUM(E$17:E68)=D$10,F68,D$10-SUM(E$17:E68))</f>
        <v>0</v>
      </c>
      <c r="E69" s="160">
        <f t="shared" si="2"/>
        <v>0</v>
      </c>
      <c r="F69" s="159">
        <f t="shared" si="3"/>
        <v>0</v>
      </c>
      <c r="G69" s="161">
        <f t="shared" si="9"/>
        <v>0</v>
      </c>
      <c r="H69" s="142">
        <f t="shared" si="10"/>
        <v>0</v>
      </c>
      <c r="I69" s="156">
        <f t="shared" si="1"/>
        <v>0</v>
      </c>
      <c r="J69" s="156"/>
      <c r="K69" s="334"/>
      <c r="L69" s="158">
        <f t="shared" si="6"/>
        <v>0</v>
      </c>
      <c r="M69" s="334"/>
      <c r="N69" s="158">
        <f t="shared" si="7"/>
        <v>0</v>
      </c>
      <c r="O69" s="158">
        <f t="shared" si="8"/>
        <v>0</v>
      </c>
      <c r="P69" s="4"/>
    </row>
    <row r="70" spans="2:16">
      <c r="B70" s="9" t="str">
        <f t="shared" si="0"/>
        <v/>
      </c>
      <c r="C70" s="153">
        <f>IF(D11="","-",+C69+1)</f>
        <v>2068</v>
      </c>
      <c r="D70" s="159">
        <f>IF(F69+SUM(E$17:E69)=D$10,F69,D$10-SUM(E$17:E69))</f>
        <v>0</v>
      </c>
      <c r="E70" s="160">
        <f t="shared" si="2"/>
        <v>0</v>
      </c>
      <c r="F70" s="159">
        <f t="shared" si="3"/>
        <v>0</v>
      </c>
      <c r="G70" s="161">
        <f t="shared" si="9"/>
        <v>0</v>
      </c>
      <c r="H70" s="142">
        <f t="shared" si="10"/>
        <v>0</v>
      </c>
      <c r="I70" s="156">
        <f t="shared" si="1"/>
        <v>0</v>
      </c>
      <c r="J70" s="156"/>
      <c r="K70" s="334"/>
      <c r="L70" s="158">
        <f t="shared" si="6"/>
        <v>0</v>
      </c>
      <c r="M70" s="334"/>
      <c r="N70" s="158">
        <f t="shared" si="7"/>
        <v>0</v>
      </c>
      <c r="O70" s="158">
        <f t="shared" si="8"/>
        <v>0</v>
      </c>
      <c r="P70" s="4"/>
    </row>
    <row r="71" spans="2:16">
      <c r="B71" s="9" t="str">
        <f t="shared" si="0"/>
        <v/>
      </c>
      <c r="C71" s="153">
        <f>IF(D11="","-",+C70+1)</f>
        <v>2069</v>
      </c>
      <c r="D71" s="159">
        <f>IF(F70+SUM(E$17:E70)=D$10,F70,D$10-SUM(E$17:E70))</f>
        <v>0</v>
      </c>
      <c r="E71" s="160">
        <f t="shared" si="2"/>
        <v>0</v>
      </c>
      <c r="F71" s="159">
        <f t="shared" si="3"/>
        <v>0</v>
      </c>
      <c r="G71" s="161">
        <f t="shared" si="9"/>
        <v>0</v>
      </c>
      <c r="H71" s="142">
        <f t="shared" si="10"/>
        <v>0</v>
      </c>
      <c r="I71" s="156">
        <f t="shared" si="1"/>
        <v>0</v>
      </c>
      <c r="J71" s="156"/>
      <c r="K71" s="334"/>
      <c r="L71" s="158">
        <f t="shared" si="6"/>
        <v>0</v>
      </c>
      <c r="M71" s="334"/>
      <c r="N71" s="158">
        <f t="shared" si="7"/>
        <v>0</v>
      </c>
      <c r="O71" s="158">
        <f t="shared" si="8"/>
        <v>0</v>
      </c>
      <c r="P71" s="4"/>
    </row>
    <row r="72" spans="2:16" ht="13.5" thickBot="1">
      <c r="B72" s="9" t="str">
        <f t="shared" si="0"/>
        <v/>
      </c>
      <c r="C72" s="164">
        <f>IF(D11="","-",+C71+1)</f>
        <v>2070</v>
      </c>
      <c r="D72" s="159">
        <f>IF(F71+SUM(E$17:E71)=D$10,F71,D$10-SUM(E$17:E71))</f>
        <v>0</v>
      </c>
      <c r="E72" s="160">
        <f t="shared" si="2"/>
        <v>0</v>
      </c>
      <c r="F72" s="159">
        <f t="shared" si="3"/>
        <v>0</v>
      </c>
      <c r="G72" s="161">
        <f t="shared" si="9"/>
        <v>0</v>
      </c>
      <c r="H72" s="142">
        <f t="shared" si="10"/>
        <v>0</v>
      </c>
      <c r="I72" s="156">
        <f t="shared" si="1"/>
        <v>0</v>
      </c>
      <c r="J72" s="156"/>
      <c r="K72" s="335"/>
      <c r="L72" s="169">
        <f t="shared" si="6"/>
        <v>0</v>
      </c>
      <c r="M72" s="335"/>
      <c r="N72" s="169">
        <f t="shared" si="7"/>
        <v>0</v>
      </c>
      <c r="O72" s="169">
        <f t="shared" si="8"/>
        <v>0</v>
      </c>
      <c r="P72" s="4"/>
    </row>
    <row r="73" spans="2:16">
      <c r="C73" s="154" t="s">
        <v>73</v>
      </c>
      <c r="D73" s="111"/>
      <c r="E73" s="111">
        <f>SUM(E17:E72)</f>
        <v>5429685</v>
      </c>
      <c r="F73" s="111"/>
      <c r="G73" s="111">
        <f>SUM(G17:G72)</f>
        <v>18043440.893605974</v>
      </c>
      <c r="H73" s="111">
        <f>SUM(H17:H72)</f>
        <v>18043440.893605974</v>
      </c>
      <c r="I73" s="111">
        <f>SUM(I17:I72)</f>
        <v>0</v>
      </c>
      <c r="J73" s="111"/>
      <c r="K73" s="111"/>
      <c r="L73" s="111"/>
      <c r="M73" s="111"/>
      <c r="N73" s="111"/>
      <c r="O73" s="4"/>
      <c r="P73" s="4"/>
    </row>
    <row r="74" spans="2:16">
      <c r="D74" s="2"/>
      <c r="E74" s="1"/>
      <c r="F74" s="1"/>
      <c r="G74" s="1"/>
      <c r="H74" s="3"/>
      <c r="I74" s="3"/>
      <c r="J74" s="111"/>
      <c r="K74" s="3"/>
      <c r="L74" s="3"/>
      <c r="M74" s="3"/>
      <c r="N74" s="3"/>
      <c r="O74" s="1"/>
      <c r="P74" s="1"/>
    </row>
    <row r="75" spans="2:16">
      <c r="C75" s="170" t="s">
        <v>91</v>
      </c>
      <c r="D75" s="2"/>
      <c r="E75" s="1"/>
      <c r="F75" s="1"/>
      <c r="G75" s="1"/>
      <c r="H75" s="3"/>
      <c r="I75" s="3"/>
      <c r="J75" s="111"/>
      <c r="K75" s="3"/>
      <c r="L75" s="3"/>
      <c r="M75" s="3"/>
      <c r="N75" s="3"/>
      <c r="O75" s="1"/>
      <c r="P75" s="1"/>
    </row>
    <row r="76" spans="2:16">
      <c r="C76" s="121" t="s">
        <v>74</v>
      </c>
      <c r="D76" s="2"/>
      <c r="E76" s="1"/>
      <c r="F76" s="1"/>
      <c r="G76" s="1"/>
      <c r="H76" s="3"/>
      <c r="I76" s="3"/>
      <c r="J76" s="111"/>
      <c r="K76" s="3"/>
      <c r="L76" s="3"/>
      <c r="M76" s="3"/>
      <c r="N76" s="3"/>
      <c r="O76" s="4"/>
      <c r="P76" s="4"/>
    </row>
    <row r="77" spans="2:16">
      <c r="C77" s="121" t="s">
        <v>75</v>
      </c>
      <c r="D77" s="154"/>
      <c r="E77" s="154"/>
      <c r="F77" s="154"/>
      <c r="G77" s="111"/>
      <c r="H77" s="111"/>
      <c r="I77" s="171"/>
      <c r="J77" s="171"/>
      <c r="K77" s="171"/>
      <c r="L77" s="171"/>
      <c r="M77" s="171"/>
      <c r="N77" s="171"/>
      <c r="O77" s="4"/>
      <c r="P77" s="4"/>
    </row>
    <row r="78" spans="2:16">
      <c r="C78" s="121"/>
      <c r="D78" s="154"/>
      <c r="E78" s="154"/>
      <c r="F78" s="154"/>
      <c r="G78" s="111"/>
      <c r="H78" s="111"/>
      <c r="I78" s="171"/>
      <c r="J78" s="171"/>
      <c r="K78" s="171"/>
      <c r="L78" s="171"/>
      <c r="M78" s="171"/>
      <c r="N78" s="171"/>
      <c r="O78" s="4"/>
      <c r="P78" s="1"/>
    </row>
    <row r="79" spans="2:16">
      <c r="B79" s="1"/>
      <c r="C79" s="21"/>
      <c r="D79" s="2"/>
      <c r="E79" s="1"/>
      <c r="F79" s="107"/>
      <c r="G79" s="1"/>
      <c r="H79" s="3"/>
      <c r="I79" s="1"/>
      <c r="J79" s="4"/>
      <c r="K79" s="1"/>
      <c r="L79" s="1"/>
      <c r="M79" s="1"/>
      <c r="N79" s="1"/>
      <c r="O79" s="1"/>
      <c r="P79" s="1"/>
    </row>
    <row r="80" spans="2:16" ht="18">
      <c r="B80" s="1"/>
      <c r="C80" s="242"/>
      <c r="D80" s="2"/>
      <c r="E80" s="1"/>
      <c r="F80" s="107"/>
      <c r="G80" s="1"/>
      <c r="H80" s="3"/>
      <c r="I80" s="1"/>
      <c r="J80" s="4"/>
      <c r="K80" s="1"/>
      <c r="L80" s="1"/>
      <c r="M80" s="1"/>
      <c r="N80" s="1"/>
      <c r="P80" s="244" t="s">
        <v>125</v>
      </c>
    </row>
    <row r="81" spans="1:16">
      <c r="B81" s="1"/>
      <c r="C81" s="21"/>
      <c r="D81" s="2"/>
      <c r="E81" s="1"/>
      <c r="F81" s="107"/>
      <c r="G81" s="1"/>
      <c r="H81" s="3"/>
      <c r="I81" s="1"/>
      <c r="J81" s="4"/>
      <c r="K81" s="1"/>
      <c r="L81" s="1"/>
      <c r="M81" s="1"/>
      <c r="N81" s="1"/>
      <c r="O81" s="1"/>
      <c r="P81" s="1"/>
    </row>
    <row r="82" spans="1:16">
      <c r="B82" s="1"/>
      <c r="C82" s="21"/>
      <c r="D82" s="2"/>
      <c r="E82" s="1"/>
      <c r="F82" s="107"/>
      <c r="G82" s="1"/>
      <c r="H82" s="3"/>
      <c r="I82" s="1"/>
      <c r="J82" s="4"/>
      <c r="K82" s="1"/>
      <c r="L82" s="1"/>
      <c r="M82" s="1"/>
      <c r="N82" s="1"/>
      <c r="O82" s="1"/>
      <c r="P82" s="1"/>
    </row>
    <row r="83" spans="1:16" ht="20.25">
      <c r="A83" s="243" t="s">
        <v>129</v>
      </c>
      <c r="B83" s="1"/>
      <c r="C83" s="21"/>
      <c r="D83" s="2"/>
      <c r="E83" s="1"/>
      <c r="F83" s="99"/>
      <c r="G83" s="99"/>
      <c r="H83" s="1"/>
      <c r="I83" s="3"/>
      <c r="K83" s="7"/>
      <c r="L83" s="109"/>
      <c r="M83" s="109"/>
      <c r="P83" s="109" t="str">
        <f ca="1">P1</f>
        <v>SWEPCO Project 51 of 73</v>
      </c>
    </row>
    <row r="84" spans="1:16" ht="18">
      <c r="B84" s="1"/>
      <c r="C84" s="1"/>
      <c r="D84" s="2"/>
      <c r="E84" s="1"/>
      <c r="F84" s="1"/>
      <c r="G84" s="1"/>
      <c r="H84" s="1"/>
      <c r="I84" s="3"/>
      <c r="J84" s="1"/>
      <c r="K84" s="4"/>
      <c r="L84" s="1"/>
      <c r="M84" s="1"/>
      <c r="P84" s="244" t="s">
        <v>123</v>
      </c>
    </row>
    <row r="85" spans="1:16" ht="18.75" thickBot="1">
      <c r="B85" s="5" t="s">
        <v>40</v>
      </c>
      <c r="C85" s="197" t="s">
        <v>78</v>
      </c>
      <c r="D85" s="2"/>
      <c r="E85" s="1"/>
      <c r="F85" s="1"/>
      <c r="G85" s="1"/>
      <c r="H85" s="1"/>
      <c r="I85" s="3"/>
      <c r="J85" s="3"/>
      <c r="K85" s="111"/>
      <c r="L85" s="3"/>
      <c r="M85" s="3"/>
      <c r="N85" s="3"/>
      <c r="O85" s="111"/>
      <c r="P85" s="1"/>
    </row>
    <row r="86" spans="1:16" ht="15.75" thickBot="1">
      <c r="C86" s="67"/>
      <c r="D86" s="2"/>
      <c r="E86" s="1"/>
      <c r="F86" s="1"/>
      <c r="G86" s="1"/>
      <c r="H86" s="1"/>
      <c r="I86" s="3"/>
      <c r="J86" s="3"/>
      <c r="K86" s="111"/>
      <c r="L86" s="265">
        <f>+J92</f>
        <v>2017</v>
      </c>
      <c r="M86" s="266" t="s">
        <v>7</v>
      </c>
      <c r="N86" s="270" t="s">
        <v>154</v>
      </c>
      <c r="O86" s="267" t="s">
        <v>9</v>
      </c>
      <c r="P86" s="1"/>
    </row>
    <row r="87" spans="1:16" ht="15">
      <c r="C87" s="235" t="s">
        <v>42</v>
      </c>
      <c r="D87" s="2"/>
      <c r="E87" s="1"/>
      <c r="F87" s="1"/>
      <c r="G87" s="1"/>
      <c r="H87" s="113"/>
      <c r="I87" s="1" t="s">
        <v>43</v>
      </c>
      <c r="J87" s="1"/>
      <c r="K87" s="261"/>
      <c r="L87" s="259" t="s">
        <v>381</v>
      </c>
      <c r="M87" s="198">
        <f>IF(J92&lt;D11,0,VLOOKUP(J92,C17:O72,9))</f>
        <v>775316.5787465215</v>
      </c>
      <c r="N87" s="198">
        <f>IF(J92&lt;D11,0,VLOOKUP(J92,C17:O72,11))</f>
        <v>775316.5787465215</v>
      </c>
      <c r="O87" s="199">
        <f>+N87-M87</f>
        <v>0</v>
      </c>
      <c r="P87" s="1"/>
    </row>
    <row r="88" spans="1:16" ht="15.75">
      <c r="C88" s="8"/>
      <c r="D88" s="2"/>
      <c r="E88" s="1"/>
      <c r="F88" s="1"/>
      <c r="G88" s="1"/>
      <c r="H88" s="1"/>
      <c r="I88" s="117"/>
      <c r="J88" s="117"/>
      <c r="K88" s="263"/>
      <c r="L88" s="264" t="s">
        <v>382</v>
      </c>
      <c r="M88" s="200">
        <f>IF(J92&lt;D11,0,VLOOKUP(J92,C99:P154,6))</f>
        <v>779055.49944878952</v>
      </c>
      <c r="N88" s="200">
        <f>IF(J92&lt;D11,0,VLOOKUP(J92,C99:P154,7))</f>
        <v>779055.49944878952</v>
      </c>
      <c r="O88" s="201">
        <f>+N88-M88</f>
        <v>0</v>
      </c>
      <c r="P88" s="1"/>
    </row>
    <row r="89" spans="1:16" ht="13.5" thickBot="1">
      <c r="C89" s="121" t="s">
        <v>79</v>
      </c>
      <c r="D89" s="246" t="str">
        <f>+D7</f>
        <v>Hardy Street-Waterworks 69 kV</v>
      </c>
      <c r="E89" s="1"/>
      <c r="F89" s="1"/>
      <c r="G89" s="1"/>
      <c r="H89" s="1"/>
      <c r="I89" s="3"/>
      <c r="J89" s="3"/>
      <c r="K89" s="262"/>
      <c r="L89" s="260" t="s">
        <v>151</v>
      </c>
      <c r="M89" s="203">
        <f>+M88-M87</f>
        <v>3738.9207022680202</v>
      </c>
      <c r="N89" s="203">
        <f>+N88-N87</f>
        <v>3738.9207022680202</v>
      </c>
      <c r="O89" s="204">
        <f>+O88-O87</f>
        <v>0</v>
      </c>
      <c r="P89" s="1"/>
    </row>
    <row r="90" spans="1:16" ht="13.5" thickBot="1">
      <c r="C90" s="170"/>
      <c r="D90" s="173" t="str">
        <f>D8</f>
        <v/>
      </c>
      <c r="E90" s="107"/>
      <c r="F90" s="107"/>
      <c r="G90" s="107"/>
      <c r="H90" s="126"/>
      <c r="I90" s="3"/>
      <c r="J90" s="3"/>
      <c r="K90" s="111"/>
      <c r="L90" s="3"/>
      <c r="M90" s="3"/>
      <c r="N90" s="3"/>
      <c r="O90" s="111"/>
      <c r="P90" s="1"/>
    </row>
    <row r="91" spans="1:16" ht="13.5" thickBot="1">
      <c r="A91" s="103"/>
      <c r="C91" s="205" t="s">
        <v>80</v>
      </c>
      <c r="D91" s="224">
        <f>+D9</f>
        <v>0</v>
      </c>
      <c r="E91" s="206"/>
      <c r="F91" s="206"/>
      <c r="G91" s="206"/>
      <c r="H91" s="206"/>
      <c r="I91" s="206"/>
      <c r="J91" s="206"/>
      <c r="K91" s="207"/>
      <c r="P91" s="131"/>
    </row>
    <row r="92" spans="1:16">
      <c r="C92" s="136" t="s">
        <v>47</v>
      </c>
      <c r="D92" s="417">
        <v>5522411</v>
      </c>
      <c r="E92" s="21" t="s">
        <v>81</v>
      </c>
      <c r="H92" s="134"/>
      <c r="I92" s="134"/>
      <c r="J92" s="135">
        <f>+'SWE.WS.G.BPU.ATRR.True-up'!M15</f>
        <v>2017</v>
      </c>
      <c r="K92" s="130"/>
      <c r="L92" s="111" t="s">
        <v>82</v>
      </c>
      <c r="P92" s="4"/>
    </row>
    <row r="93" spans="1:16">
      <c r="C93" s="136" t="s">
        <v>49</v>
      </c>
      <c r="D93" s="219">
        <f>IF(D11=I10,"",D11)</f>
        <v>2015</v>
      </c>
      <c r="E93" s="136" t="s">
        <v>50</v>
      </c>
      <c r="F93" s="134"/>
      <c r="G93" s="134"/>
      <c r="J93" s="138">
        <f>IF(H87="",0,'SWE.WS.G.BPU.ATRR.True-up'!$F$12)</f>
        <v>0</v>
      </c>
      <c r="K93" s="139"/>
      <c r="L93" t="str">
        <f>"          INPUT TRUE-UP ARR (WITH &amp; WITHOUT INCENTIVES) FROM EACH PRIOR YEAR"</f>
        <v xml:space="preserve">          INPUT TRUE-UP ARR (WITH &amp; WITHOUT INCENTIVES) FROM EACH PRIOR YEAR</v>
      </c>
      <c r="P93" s="4"/>
    </row>
    <row r="94" spans="1:16">
      <c r="C94" s="136" t="s">
        <v>51</v>
      </c>
      <c r="D94" s="218">
        <f>IF(D11=I10,"",D12)</f>
        <v>6</v>
      </c>
      <c r="E94" s="136" t="s">
        <v>52</v>
      </c>
      <c r="F94" s="134"/>
      <c r="G94" s="134"/>
      <c r="J94" s="140">
        <f>'SWE.WS.G.BPU.ATRR.True-up'!$F$80</f>
        <v>0.12147145768398206</v>
      </c>
      <c r="K94" s="141"/>
      <c r="L94" t="s">
        <v>83</v>
      </c>
      <c r="P94" s="4"/>
    </row>
    <row r="95" spans="1:16">
      <c r="C95" s="136" t="s">
        <v>54</v>
      </c>
      <c r="D95" s="138">
        <f>'SWE.WS.G.BPU.ATRR.True-up'!F$92</f>
        <v>42</v>
      </c>
      <c r="E95" s="136" t="s">
        <v>55</v>
      </c>
      <c r="F95" s="134"/>
      <c r="G95" s="134"/>
      <c r="J95" s="140">
        <f>IF(H87="",J94,'SWE.WS.G.BPU.ATRR.True-up'!$F$79)</f>
        <v>0.12147145768398206</v>
      </c>
      <c r="K95" s="58"/>
      <c r="L95" s="111" t="s">
        <v>56</v>
      </c>
      <c r="M95" s="58"/>
      <c r="N95" s="58"/>
      <c r="O95" s="58"/>
      <c r="P95" s="4"/>
    </row>
    <row r="96" spans="1:16" ht="13.5" thickBot="1">
      <c r="C96" s="136" t="s">
        <v>57</v>
      </c>
      <c r="D96" s="220" t="str">
        <f>+D14</f>
        <v>No</v>
      </c>
      <c r="E96" s="202" t="s">
        <v>59</v>
      </c>
      <c r="F96" s="208"/>
      <c r="G96" s="208"/>
      <c r="H96" s="209"/>
      <c r="I96" s="209"/>
      <c r="J96" s="124">
        <f>IF(D92=0,0,D92/D95)</f>
        <v>131485.97619047618</v>
      </c>
      <c r="K96" s="111"/>
      <c r="L96" s="111"/>
      <c r="M96" s="111"/>
      <c r="N96" s="111"/>
      <c r="O96" s="111"/>
      <c r="P96" s="4"/>
    </row>
    <row r="97" spans="1:16" ht="38.25">
      <c r="A97" s="6"/>
      <c r="B97" s="6"/>
      <c r="C97" s="210" t="s">
        <v>47</v>
      </c>
      <c r="D97" s="211" t="s">
        <v>60</v>
      </c>
      <c r="E97" s="146" t="s">
        <v>61</v>
      </c>
      <c r="F97" s="146" t="s">
        <v>62</v>
      </c>
      <c r="G97" s="144" t="s">
        <v>84</v>
      </c>
      <c r="H97" s="434" t="s">
        <v>378</v>
      </c>
      <c r="I97" s="435" t="s">
        <v>379</v>
      </c>
      <c r="J97" s="210" t="s">
        <v>85</v>
      </c>
      <c r="K97" s="212"/>
      <c r="L97" s="271" t="s">
        <v>220</v>
      </c>
      <c r="M97" s="146" t="s">
        <v>86</v>
      </c>
      <c r="N97" s="271" t="s">
        <v>220</v>
      </c>
      <c r="O97" s="146" t="s">
        <v>86</v>
      </c>
      <c r="P97" s="146" t="s">
        <v>65</v>
      </c>
    </row>
    <row r="98" spans="1:16" ht="13.5" thickBot="1">
      <c r="C98" s="147" t="s">
        <v>66</v>
      </c>
      <c r="D98" s="213" t="s">
        <v>67</v>
      </c>
      <c r="E98" s="147" t="s">
        <v>68</v>
      </c>
      <c r="F98" s="147" t="s">
        <v>67</v>
      </c>
      <c r="G98" s="147" t="s">
        <v>67</v>
      </c>
      <c r="H98" s="407" t="s">
        <v>69</v>
      </c>
      <c r="I98" s="148" t="s">
        <v>70</v>
      </c>
      <c r="J98" s="149" t="s">
        <v>89</v>
      </c>
      <c r="K98" s="150"/>
      <c r="L98" s="151" t="s">
        <v>72</v>
      </c>
      <c r="M98" s="151" t="s">
        <v>72</v>
      </c>
      <c r="N98" s="151" t="s">
        <v>90</v>
      </c>
      <c r="O98" s="151" t="s">
        <v>90</v>
      </c>
      <c r="P98" s="151" t="s">
        <v>90</v>
      </c>
    </row>
    <row r="99" spans="1:16" ht="13.5" thickBot="1">
      <c r="C99" s="153">
        <f>IF(D93= "","-",D93)</f>
        <v>2015</v>
      </c>
      <c r="D99" s="409">
        <v>0</v>
      </c>
      <c r="E99" s="410">
        <v>0</v>
      </c>
      <c r="F99" s="411">
        <v>5366606</v>
      </c>
      <c r="G99" s="412">
        <v>2683303</v>
      </c>
      <c r="H99" s="413">
        <v>353575.82530859788</v>
      </c>
      <c r="I99" s="414">
        <v>353575.82530859788</v>
      </c>
      <c r="J99" s="158">
        <f>+I99-H99</f>
        <v>0</v>
      </c>
      <c r="K99" s="158"/>
      <c r="L99" s="256">
        <f>+H99</f>
        <v>353575.82530859788</v>
      </c>
      <c r="M99" s="157">
        <f t="shared" ref="M99:M130" si="11">IF(L99&lt;&gt;0,+H99-L99,0)</f>
        <v>0</v>
      </c>
      <c r="N99" s="256">
        <f>+I99</f>
        <v>353575.82530859788</v>
      </c>
      <c r="O99" s="157">
        <f t="shared" ref="O99:O130" si="12">IF(N99&lt;&gt;0,+I99-N99,0)</f>
        <v>0</v>
      </c>
      <c r="P99" s="157">
        <f t="shared" ref="P99:P130" si="13">+O99-M99</f>
        <v>0</v>
      </c>
    </row>
    <row r="100" spans="1:16">
      <c r="B100" s="9" t="str">
        <f>IF(D100=F99,"","IU")</f>
        <v>IU</v>
      </c>
      <c r="C100" s="153">
        <f>IF(D93="","-",+C99+1)</f>
        <v>2016</v>
      </c>
      <c r="D100" s="409">
        <v>5401890</v>
      </c>
      <c r="E100" s="410">
        <v>125625.3488372093</v>
      </c>
      <c r="F100" s="411">
        <v>5276264.6511627911</v>
      </c>
      <c r="G100" s="412">
        <v>5339077.325581396</v>
      </c>
      <c r="H100" s="413">
        <v>803421.15279042628</v>
      </c>
      <c r="I100" s="414">
        <v>803421.15279042628</v>
      </c>
      <c r="J100" s="158">
        <v>0</v>
      </c>
      <c r="K100" s="158"/>
      <c r="L100" s="256">
        <f>+H100</f>
        <v>803421.15279042628</v>
      </c>
      <c r="M100" s="157">
        <f>IF(L100&lt;&gt;0,+H100-L100,0)</f>
        <v>0</v>
      </c>
      <c r="N100" s="256">
        <f>+I100</f>
        <v>803421.15279042628</v>
      </c>
      <c r="O100" s="157">
        <f>IF(N100&lt;&gt;0,+I100-N100,0)</f>
        <v>0</v>
      </c>
      <c r="P100" s="157">
        <f>+O100-M100</f>
        <v>0</v>
      </c>
    </row>
    <row r="101" spans="1:16">
      <c r="B101" s="9" t="str">
        <f t="shared" ref="B101:B154" si="14">IF(D101=F100,"","IU")</f>
        <v>IU</v>
      </c>
      <c r="C101" s="153">
        <f>IF(D93="","-",+C100+1)</f>
        <v>2017</v>
      </c>
      <c r="D101" s="154">
        <f>IF(F100+SUM(E$99:E100)=D$92,F100,D$92-SUM(E$99:E100))</f>
        <v>5396785.6511627911</v>
      </c>
      <c r="E101" s="160">
        <f t="shared" ref="E101:E154" si="15">IF(+$J$96&lt;F100,$J$96,D101)</f>
        <v>131485.97619047618</v>
      </c>
      <c r="F101" s="159">
        <f t="shared" ref="F101:F154" si="16">+D101-E101</f>
        <v>5265299.6749723153</v>
      </c>
      <c r="G101" s="159">
        <f t="shared" ref="G101:G154" si="17">+(F101+D101)/2</f>
        <v>5331042.6630675532</v>
      </c>
      <c r="H101" s="163">
        <f t="shared" ref="H101:H154" si="18">+J$94*G101+E101</f>
        <v>779055.49944878952</v>
      </c>
      <c r="I101" s="253">
        <f t="shared" ref="I101:I154" si="19">+J$95*G101+E101</f>
        <v>779055.49944878952</v>
      </c>
      <c r="J101" s="158">
        <f t="shared" ref="J101:J154" si="20">+I101-H101</f>
        <v>0</v>
      </c>
      <c r="K101" s="158"/>
      <c r="L101" s="334"/>
      <c r="M101" s="158">
        <f t="shared" si="11"/>
        <v>0</v>
      </c>
      <c r="N101" s="334"/>
      <c r="O101" s="158">
        <f t="shared" si="12"/>
        <v>0</v>
      </c>
      <c r="P101" s="158">
        <f t="shared" si="13"/>
        <v>0</v>
      </c>
    </row>
    <row r="102" spans="1:16">
      <c r="B102" s="9" t="str">
        <f t="shared" si="14"/>
        <v/>
      </c>
      <c r="C102" s="153">
        <f>IF(D93="","-",+C101+1)</f>
        <v>2018</v>
      </c>
      <c r="D102" s="154">
        <f>IF(F101+SUM(E$99:E101)=D$92,F101,D$92-SUM(E$99:E101))</f>
        <v>5265299.6749723153</v>
      </c>
      <c r="E102" s="160">
        <f t="shared" si="15"/>
        <v>131485.97619047618</v>
      </c>
      <c r="F102" s="159">
        <f t="shared" si="16"/>
        <v>5133813.6987818396</v>
      </c>
      <c r="G102" s="159">
        <f t="shared" si="17"/>
        <v>5199556.6868770774</v>
      </c>
      <c r="H102" s="163">
        <f t="shared" si="18"/>
        <v>763083.70625593106</v>
      </c>
      <c r="I102" s="253">
        <f t="shared" si="19"/>
        <v>763083.70625593106</v>
      </c>
      <c r="J102" s="158">
        <f t="shared" si="20"/>
        <v>0</v>
      </c>
      <c r="K102" s="158"/>
      <c r="L102" s="334"/>
      <c r="M102" s="158">
        <f t="shared" si="11"/>
        <v>0</v>
      </c>
      <c r="N102" s="334"/>
      <c r="O102" s="158">
        <f t="shared" si="12"/>
        <v>0</v>
      </c>
      <c r="P102" s="158">
        <f t="shared" si="13"/>
        <v>0</v>
      </c>
    </row>
    <row r="103" spans="1:16">
      <c r="B103" s="9" t="str">
        <f t="shared" si="14"/>
        <v/>
      </c>
      <c r="C103" s="153">
        <f>IF(D93="","-",+C102+1)</f>
        <v>2019</v>
      </c>
      <c r="D103" s="154">
        <f>IF(F102+SUM(E$99:E102)=D$92,F102,D$92-SUM(E$99:E102))</f>
        <v>5133813.6987818396</v>
      </c>
      <c r="E103" s="160">
        <f t="shared" si="15"/>
        <v>131485.97619047618</v>
      </c>
      <c r="F103" s="159">
        <f t="shared" si="16"/>
        <v>5002327.7225913638</v>
      </c>
      <c r="G103" s="159">
        <f t="shared" si="17"/>
        <v>5068070.7106866017</v>
      </c>
      <c r="H103" s="163">
        <f t="shared" si="18"/>
        <v>747111.9130630726</v>
      </c>
      <c r="I103" s="253">
        <f t="shared" si="19"/>
        <v>747111.9130630726</v>
      </c>
      <c r="J103" s="158">
        <f t="shared" si="20"/>
        <v>0</v>
      </c>
      <c r="K103" s="158"/>
      <c r="L103" s="334"/>
      <c r="M103" s="158">
        <f t="shared" si="11"/>
        <v>0</v>
      </c>
      <c r="N103" s="334"/>
      <c r="O103" s="158">
        <f t="shared" si="12"/>
        <v>0</v>
      </c>
      <c r="P103" s="158">
        <f t="shared" si="13"/>
        <v>0</v>
      </c>
    </row>
    <row r="104" spans="1:16">
      <c r="B104" s="9" t="str">
        <f t="shared" si="14"/>
        <v/>
      </c>
      <c r="C104" s="153">
        <f>IF(D93="","-",+C103+1)</f>
        <v>2020</v>
      </c>
      <c r="D104" s="154">
        <f>IF(F103+SUM(E$99:E103)=D$92,F103,D$92-SUM(E$99:E103))</f>
        <v>5002327.7225913638</v>
      </c>
      <c r="E104" s="160">
        <f t="shared" si="15"/>
        <v>131485.97619047618</v>
      </c>
      <c r="F104" s="159">
        <f t="shared" si="16"/>
        <v>4870841.7464008881</v>
      </c>
      <c r="G104" s="159">
        <f t="shared" si="17"/>
        <v>4936584.734496126</v>
      </c>
      <c r="H104" s="163">
        <f t="shared" si="18"/>
        <v>731140.11987021414</v>
      </c>
      <c r="I104" s="253">
        <f t="shared" si="19"/>
        <v>731140.11987021414</v>
      </c>
      <c r="J104" s="158">
        <f t="shared" si="20"/>
        <v>0</v>
      </c>
      <c r="K104" s="158"/>
      <c r="L104" s="334"/>
      <c r="M104" s="158">
        <f t="shared" si="11"/>
        <v>0</v>
      </c>
      <c r="N104" s="334"/>
      <c r="O104" s="158">
        <f t="shared" si="12"/>
        <v>0</v>
      </c>
      <c r="P104" s="158">
        <f t="shared" si="13"/>
        <v>0</v>
      </c>
    </row>
    <row r="105" spans="1:16">
      <c r="B105" s="9" t="str">
        <f t="shared" si="14"/>
        <v/>
      </c>
      <c r="C105" s="153">
        <f>IF(D93="","-",+C104+1)</f>
        <v>2021</v>
      </c>
      <c r="D105" s="154">
        <f>IF(F104+SUM(E$99:E104)=D$92,F104,D$92-SUM(E$99:E104))</f>
        <v>4870841.7464008881</v>
      </c>
      <c r="E105" s="160">
        <f t="shared" si="15"/>
        <v>131485.97619047618</v>
      </c>
      <c r="F105" s="159">
        <f t="shared" si="16"/>
        <v>4739355.7702104123</v>
      </c>
      <c r="G105" s="159">
        <f t="shared" si="17"/>
        <v>4805098.7583056502</v>
      </c>
      <c r="H105" s="163">
        <f t="shared" si="18"/>
        <v>715168.32667735568</v>
      </c>
      <c r="I105" s="253">
        <f t="shared" si="19"/>
        <v>715168.32667735568</v>
      </c>
      <c r="J105" s="158">
        <f t="shared" si="20"/>
        <v>0</v>
      </c>
      <c r="K105" s="158"/>
      <c r="L105" s="334"/>
      <c r="M105" s="158">
        <f t="shared" si="11"/>
        <v>0</v>
      </c>
      <c r="N105" s="334"/>
      <c r="O105" s="158">
        <f t="shared" si="12"/>
        <v>0</v>
      </c>
      <c r="P105" s="158">
        <f t="shared" si="13"/>
        <v>0</v>
      </c>
    </row>
    <row r="106" spans="1:16">
      <c r="B106" s="9" t="str">
        <f t="shared" si="14"/>
        <v/>
      </c>
      <c r="C106" s="153">
        <f>IF(D93="","-",+C105+1)</f>
        <v>2022</v>
      </c>
      <c r="D106" s="154">
        <f>IF(F105+SUM(E$99:E105)=D$92,F105,D$92-SUM(E$99:E105))</f>
        <v>4739355.7702104123</v>
      </c>
      <c r="E106" s="160">
        <f t="shared" si="15"/>
        <v>131485.97619047618</v>
      </c>
      <c r="F106" s="159">
        <f t="shared" si="16"/>
        <v>4607869.7940199366</v>
      </c>
      <c r="G106" s="159">
        <f t="shared" si="17"/>
        <v>4673612.7821151745</v>
      </c>
      <c r="H106" s="163">
        <f t="shared" si="18"/>
        <v>699196.53348449722</v>
      </c>
      <c r="I106" s="253">
        <f t="shared" si="19"/>
        <v>699196.53348449722</v>
      </c>
      <c r="J106" s="158">
        <f t="shared" si="20"/>
        <v>0</v>
      </c>
      <c r="K106" s="158"/>
      <c r="L106" s="334"/>
      <c r="M106" s="158">
        <f t="shared" si="11"/>
        <v>0</v>
      </c>
      <c r="N106" s="334"/>
      <c r="O106" s="158">
        <f t="shared" si="12"/>
        <v>0</v>
      </c>
      <c r="P106" s="158">
        <f t="shared" si="13"/>
        <v>0</v>
      </c>
    </row>
    <row r="107" spans="1:16">
      <c r="B107" s="9" t="str">
        <f t="shared" si="14"/>
        <v/>
      </c>
      <c r="C107" s="153">
        <f>IF(D93="","-",+C106+1)</f>
        <v>2023</v>
      </c>
      <c r="D107" s="154">
        <f>IF(F106+SUM(E$99:E106)=D$92,F106,D$92-SUM(E$99:E106))</f>
        <v>4607869.7940199366</v>
      </c>
      <c r="E107" s="160">
        <f t="shared" si="15"/>
        <v>131485.97619047618</v>
      </c>
      <c r="F107" s="159">
        <f t="shared" si="16"/>
        <v>4476383.8178294608</v>
      </c>
      <c r="G107" s="159">
        <f t="shared" si="17"/>
        <v>4542126.8059246987</v>
      </c>
      <c r="H107" s="163">
        <f t="shared" si="18"/>
        <v>683224.74029163888</v>
      </c>
      <c r="I107" s="253">
        <f t="shared" si="19"/>
        <v>683224.74029163888</v>
      </c>
      <c r="J107" s="158">
        <f t="shared" si="20"/>
        <v>0</v>
      </c>
      <c r="K107" s="158"/>
      <c r="L107" s="334"/>
      <c r="M107" s="158">
        <f t="shared" si="11"/>
        <v>0</v>
      </c>
      <c r="N107" s="334"/>
      <c r="O107" s="158">
        <f t="shared" si="12"/>
        <v>0</v>
      </c>
      <c r="P107" s="158">
        <f t="shared" si="13"/>
        <v>0</v>
      </c>
    </row>
    <row r="108" spans="1:16">
      <c r="B108" s="9" t="str">
        <f t="shared" si="14"/>
        <v/>
      </c>
      <c r="C108" s="153">
        <f>IF(D93="","-",+C107+1)</f>
        <v>2024</v>
      </c>
      <c r="D108" s="154">
        <f>IF(F107+SUM(E$99:E107)=D$92,F107,D$92-SUM(E$99:E107))</f>
        <v>4476383.8178294608</v>
      </c>
      <c r="E108" s="160">
        <f t="shared" si="15"/>
        <v>131485.97619047618</v>
      </c>
      <c r="F108" s="159">
        <f t="shared" si="16"/>
        <v>4344897.8416389851</v>
      </c>
      <c r="G108" s="159">
        <f t="shared" si="17"/>
        <v>4410640.829734223</v>
      </c>
      <c r="H108" s="163">
        <f t="shared" si="18"/>
        <v>667252.94709878042</v>
      </c>
      <c r="I108" s="253">
        <f t="shared" si="19"/>
        <v>667252.94709878042</v>
      </c>
      <c r="J108" s="158">
        <f t="shared" si="20"/>
        <v>0</v>
      </c>
      <c r="K108" s="158"/>
      <c r="L108" s="334"/>
      <c r="M108" s="158">
        <f t="shared" si="11"/>
        <v>0</v>
      </c>
      <c r="N108" s="334"/>
      <c r="O108" s="158">
        <f t="shared" si="12"/>
        <v>0</v>
      </c>
      <c r="P108" s="158">
        <f t="shared" si="13"/>
        <v>0</v>
      </c>
    </row>
    <row r="109" spans="1:16">
      <c r="B109" s="9" t="str">
        <f t="shared" si="14"/>
        <v/>
      </c>
      <c r="C109" s="153">
        <f>IF(D93="","-",+C108+1)</f>
        <v>2025</v>
      </c>
      <c r="D109" s="154">
        <f>IF(F108+SUM(E$99:E108)=D$92,F108,D$92-SUM(E$99:E108))</f>
        <v>4344897.8416389851</v>
      </c>
      <c r="E109" s="160">
        <f t="shared" si="15"/>
        <v>131485.97619047618</v>
      </c>
      <c r="F109" s="159">
        <f t="shared" si="16"/>
        <v>4213411.8654485093</v>
      </c>
      <c r="G109" s="159">
        <f t="shared" si="17"/>
        <v>4279154.8535437472</v>
      </c>
      <c r="H109" s="163">
        <f t="shared" si="18"/>
        <v>651281.15390592196</v>
      </c>
      <c r="I109" s="253">
        <f t="shared" si="19"/>
        <v>651281.15390592196</v>
      </c>
      <c r="J109" s="158">
        <f t="shared" si="20"/>
        <v>0</v>
      </c>
      <c r="K109" s="158"/>
      <c r="L109" s="334"/>
      <c r="M109" s="158">
        <f t="shared" si="11"/>
        <v>0</v>
      </c>
      <c r="N109" s="334"/>
      <c r="O109" s="158">
        <f t="shared" si="12"/>
        <v>0</v>
      </c>
      <c r="P109" s="158">
        <f t="shared" si="13"/>
        <v>0</v>
      </c>
    </row>
    <row r="110" spans="1:16">
      <c r="B110" s="9" t="str">
        <f t="shared" si="14"/>
        <v/>
      </c>
      <c r="C110" s="153">
        <f>IF(D93="","-",+C109+1)</f>
        <v>2026</v>
      </c>
      <c r="D110" s="154">
        <f>IF(F109+SUM(E$99:E109)=D$92,F109,D$92-SUM(E$99:E109))</f>
        <v>4213411.8654485093</v>
      </c>
      <c r="E110" s="160">
        <f t="shared" si="15"/>
        <v>131485.97619047618</v>
      </c>
      <c r="F110" s="159">
        <f t="shared" si="16"/>
        <v>4081925.8892580331</v>
      </c>
      <c r="G110" s="159">
        <f t="shared" si="17"/>
        <v>4147668.8773532715</v>
      </c>
      <c r="H110" s="163">
        <f t="shared" si="18"/>
        <v>635309.36071306351</v>
      </c>
      <c r="I110" s="253">
        <f t="shared" si="19"/>
        <v>635309.36071306351</v>
      </c>
      <c r="J110" s="158">
        <f t="shared" si="20"/>
        <v>0</v>
      </c>
      <c r="K110" s="158"/>
      <c r="L110" s="334"/>
      <c r="M110" s="158">
        <f t="shared" si="11"/>
        <v>0</v>
      </c>
      <c r="N110" s="334"/>
      <c r="O110" s="158">
        <f t="shared" si="12"/>
        <v>0</v>
      </c>
      <c r="P110" s="158">
        <f t="shared" si="13"/>
        <v>0</v>
      </c>
    </row>
    <row r="111" spans="1:16">
      <c r="B111" s="9" t="str">
        <f t="shared" si="14"/>
        <v/>
      </c>
      <c r="C111" s="153">
        <f>IF(D93="","-",+C110+1)</f>
        <v>2027</v>
      </c>
      <c r="D111" s="154">
        <f>IF(F110+SUM(E$99:E110)=D$92,F110,D$92-SUM(E$99:E110))</f>
        <v>4081925.8892580331</v>
      </c>
      <c r="E111" s="160">
        <f t="shared" si="15"/>
        <v>131485.97619047618</v>
      </c>
      <c r="F111" s="159">
        <f t="shared" si="16"/>
        <v>3950439.9130675569</v>
      </c>
      <c r="G111" s="159">
        <f t="shared" si="17"/>
        <v>4016182.9011627948</v>
      </c>
      <c r="H111" s="163">
        <f t="shared" si="18"/>
        <v>619337.56752020493</v>
      </c>
      <c r="I111" s="253">
        <f t="shared" si="19"/>
        <v>619337.56752020493</v>
      </c>
      <c r="J111" s="158">
        <f t="shared" si="20"/>
        <v>0</v>
      </c>
      <c r="K111" s="158"/>
      <c r="L111" s="334"/>
      <c r="M111" s="158">
        <f t="shared" si="11"/>
        <v>0</v>
      </c>
      <c r="N111" s="334"/>
      <c r="O111" s="158">
        <f t="shared" si="12"/>
        <v>0</v>
      </c>
      <c r="P111" s="158">
        <f t="shared" si="13"/>
        <v>0</v>
      </c>
    </row>
    <row r="112" spans="1:16">
      <c r="B112" s="9" t="str">
        <f t="shared" si="14"/>
        <v/>
      </c>
      <c r="C112" s="153">
        <f>IF(D93="","-",+C111+1)</f>
        <v>2028</v>
      </c>
      <c r="D112" s="154">
        <f>IF(F111+SUM(E$99:E111)=D$92,F111,D$92-SUM(E$99:E111))</f>
        <v>3950439.9130675569</v>
      </c>
      <c r="E112" s="160">
        <f t="shared" si="15"/>
        <v>131485.97619047618</v>
      </c>
      <c r="F112" s="159">
        <f t="shared" si="16"/>
        <v>3818953.9368770807</v>
      </c>
      <c r="G112" s="159">
        <f t="shared" si="17"/>
        <v>3884696.924972319</v>
      </c>
      <c r="H112" s="163">
        <f t="shared" si="18"/>
        <v>603365.77432734647</v>
      </c>
      <c r="I112" s="253">
        <f t="shared" si="19"/>
        <v>603365.77432734647</v>
      </c>
      <c r="J112" s="158">
        <f t="shared" si="20"/>
        <v>0</v>
      </c>
      <c r="K112" s="158"/>
      <c r="L112" s="334"/>
      <c r="M112" s="158">
        <f t="shared" si="11"/>
        <v>0</v>
      </c>
      <c r="N112" s="334"/>
      <c r="O112" s="158">
        <f t="shared" si="12"/>
        <v>0</v>
      </c>
      <c r="P112" s="158">
        <f t="shared" si="13"/>
        <v>0</v>
      </c>
    </row>
    <row r="113" spans="2:16">
      <c r="B113" s="9" t="str">
        <f t="shared" si="14"/>
        <v/>
      </c>
      <c r="C113" s="153">
        <f>IF(D93="","-",+C112+1)</f>
        <v>2029</v>
      </c>
      <c r="D113" s="154">
        <f>IF(F112+SUM(E$99:E112)=D$92,F112,D$92-SUM(E$99:E112))</f>
        <v>3818953.9368770807</v>
      </c>
      <c r="E113" s="160">
        <f t="shared" si="15"/>
        <v>131485.97619047618</v>
      </c>
      <c r="F113" s="159">
        <f t="shared" si="16"/>
        <v>3687467.9606866045</v>
      </c>
      <c r="G113" s="159">
        <f t="shared" si="17"/>
        <v>3753210.9487818424</v>
      </c>
      <c r="H113" s="163">
        <f t="shared" si="18"/>
        <v>587393.9811344879</v>
      </c>
      <c r="I113" s="253">
        <f t="shared" si="19"/>
        <v>587393.9811344879</v>
      </c>
      <c r="J113" s="158">
        <f t="shared" si="20"/>
        <v>0</v>
      </c>
      <c r="K113" s="158"/>
      <c r="L113" s="334"/>
      <c r="M113" s="158">
        <f t="shared" si="11"/>
        <v>0</v>
      </c>
      <c r="N113" s="334"/>
      <c r="O113" s="158">
        <f t="shared" si="12"/>
        <v>0</v>
      </c>
      <c r="P113" s="158">
        <f t="shared" si="13"/>
        <v>0</v>
      </c>
    </row>
    <row r="114" spans="2:16">
      <c r="B114" s="9" t="str">
        <f t="shared" si="14"/>
        <v/>
      </c>
      <c r="C114" s="153">
        <f>IF(D93="","-",+C113+1)</f>
        <v>2030</v>
      </c>
      <c r="D114" s="154">
        <f>IF(F113+SUM(E$99:E113)=D$92,F113,D$92-SUM(E$99:E113))</f>
        <v>3687467.9606866045</v>
      </c>
      <c r="E114" s="160">
        <f t="shared" si="15"/>
        <v>131485.97619047618</v>
      </c>
      <c r="F114" s="159">
        <f t="shared" si="16"/>
        <v>3555981.9844961283</v>
      </c>
      <c r="G114" s="159">
        <f t="shared" si="17"/>
        <v>3621724.9725913666</v>
      </c>
      <c r="H114" s="163">
        <f t="shared" si="18"/>
        <v>571422.18794162944</v>
      </c>
      <c r="I114" s="253">
        <f t="shared" si="19"/>
        <v>571422.18794162944</v>
      </c>
      <c r="J114" s="158">
        <f t="shared" si="20"/>
        <v>0</v>
      </c>
      <c r="K114" s="158"/>
      <c r="L114" s="334"/>
      <c r="M114" s="158">
        <f t="shared" si="11"/>
        <v>0</v>
      </c>
      <c r="N114" s="334"/>
      <c r="O114" s="158">
        <f t="shared" si="12"/>
        <v>0</v>
      </c>
      <c r="P114" s="158">
        <f t="shared" si="13"/>
        <v>0</v>
      </c>
    </row>
    <row r="115" spans="2:16">
      <c r="B115" s="9" t="str">
        <f t="shared" si="14"/>
        <v/>
      </c>
      <c r="C115" s="153">
        <f>IF(D93="","-",+C114+1)</f>
        <v>2031</v>
      </c>
      <c r="D115" s="154">
        <f>IF(F114+SUM(E$99:E114)=D$92,F114,D$92-SUM(E$99:E114))</f>
        <v>3555981.9844961283</v>
      </c>
      <c r="E115" s="160">
        <f t="shared" si="15"/>
        <v>131485.97619047618</v>
      </c>
      <c r="F115" s="159">
        <f t="shared" si="16"/>
        <v>3424496.0083056521</v>
      </c>
      <c r="G115" s="159">
        <f t="shared" si="17"/>
        <v>3490238.9964008899</v>
      </c>
      <c r="H115" s="163">
        <f t="shared" si="18"/>
        <v>555450.39474877086</v>
      </c>
      <c r="I115" s="253">
        <f t="shared" si="19"/>
        <v>555450.39474877086</v>
      </c>
      <c r="J115" s="158">
        <f t="shared" si="20"/>
        <v>0</v>
      </c>
      <c r="K115" s="158"/>
      <c r="L115" s="334"/>
      <c r="M115" s="158">
        <f t="shared" si="11"/>
        <v>0</v>
      </c>
      <c r="N115" s="334"/>
      <c r="O115" s="158">
        <f t="shared" si="12"/>
        <v>0</v>
      </c>
      <c r="P115" s="158">
        <f t="shared" si="13"/>
        <v>0</v>
      </c>
    </row>
    <row r="116" spans="2:16">
      <c r="B116" s="9" t="str">
        <f t="shared" si="14"/>
        <v/>
      </c>
      <c r="C116" s="153">
        <f>IF(D93="","-",+C115+1)</f>
        <v>2032</v>
      </c>
      <c r="D116" s="154">
        <f>IF(F115+SUM(E$99:E115)=D$92,F115,D$92-SUM(E$99:E115))</f>
        <v>3424496.0083056521</v>
      </c>
      <c r="E116" s="160">
        <f t="shared" si="15"/>
        <v>131485.97619047618</v>
      </c>
      <c r="F116" s="159">
        <f t="shared" si="16"/>
        <v>3293010.0321151759</v>
      </c>
      <c r="G116" s="159">
        <f t="shared" si="17"/>
        <v>3358753.0202104142</v>
      </c>
      <c r="H116" s="163">
        <f t="shared" si="18"/>
        <v>539478.60155591241</v>
      </c>
      <c r="I116" s="253">
        <f t="shared" si="19"/>
        <v>539478.60155591241</v>
      </c>
      <c r="J116" s="158">
        <f t="shared" si="20"/>
        <v>0</v>
      </c>
      <c r="K116" s="158"/>
      <c r="L116" s="334"/>
      <c r="M116" s="158">
        <f t="shared" si="11"/>
        <v>0</v>
      </c>
      <c r="N116" s="334"/>
      <c r="O116" s="158">
        <f t="shared" si="12"/>
        <v>0</v>
      </c>
      <c r="P116" s="158">
        <f t="shared" si="13"/>
        <v>0</v>
      </c>
    </row>
    <row r="117" spans="2:16">
      <c r="B117" s="9" t="str">
        <f t="shared" si="14"/>
        <v/>
      </c>
      <c r="C117" s="153">
        <f>IF(D93="","-",+C116+1)</f>
        <v>2033</v>
      </c>
      <c r="D117" s="154">
        <f>IF(F116+SUM(E$99:E116)=D$92,F116,D$92-SUM(E$99:E116))</f>
        <v>3293010.0321151759</v>
      </c>
      <c r="E117" s="160">
        <f t="shared" si="15"/>
        <v>131485.97619047618</v>
      </c>
      <c r="F117" s="159">
        <f t="shared" si="16"/>
        <v>3161524.0559246996</v>
      </c>
      <c r="G117" s="159">
        <f t="shared" si="17"/>
        <v>3227267.0440199375</v>
      </c>
      <c r="H117" s="163">
        <f t="shared" si="18"/>
        <v>523506.80836305383</v>
      </c>
      <c r="I117" s="253">
        <f t="shared" si="19"/>
        <v>523506.80836305383</v>
      </c>
      <c r="J117" s="158">
        <f t="shared" si="20"/>
        <v>0</v>
      </c>
      <c r="K117" s="158"/>
      <c r="L117" s="334"/>
      <c r="M117" s="158">
        <f t="shared" si="11"/>
        <v>0</v>
      </c>
      <c r="N117" s="334"/>
      <c r="O117" s="158">
        <f t="shared" si="12"/>
        <v>0</v>
      </c>
      <c r="P117" s="158">
        <f t="shared" si="13"/>
        <v>0</v>
      </c>
    </row>
    <row r="118" spans="2:16">
      <c r="B118" s="9" t="str">
        <f t="shared" si="14"/>
        <v/>
      </c>
      <c r="C118" s="153">
        <f>IF(D93="","-",+C117+1)</f>
        <v>2034</v>
      </c>
      <c r="D118" s="154">
        <f>IF(F117+SUM(E$99:E117)=D$92,F117,D$92-SUM(E$99:E117))</f>
        <v>3161524.0559246996</v>
      </c>
      <c r="E118" s="160">
        <f t="shared" si="15"/>
        <v>131485.97619047618</v>
      </c>
      <c r="F118" s="159">
        <f t="shared" si="16"/>
        <v>3030038.0797342234</v>
      </c>
      <c r="G118" s="159">
        <f t="shared" si="17"/>
        <v>3095781.0678294618</v>
      </c>
      <c r="H118" s="163">
        <f t="shared" si="18"/>
        <v>507535.01517019549</v>
      </c>
      <c r="I118" s="253">
        <f t="shared" si="19"/>
        <v>507535.01517019549</v>
      </c>
      <c r="J118" s="158">
        <f t="shared" si="20"/>
        <v>0</v>
      </c>
      <c r="K118" s="158"/>
      <c r="L118" s="334"/>
      <c r="M118" s="158">
        <f t="shared" si="11"/>
        <v>0</v>
      </c>
      <c r="N118" s="334"/>
      <c r="O118" s="158">
        <f t="shared" si="12"/>
        <v>0</v>
      </c>
      <c r="P118" s="158">
        <f t="shared" si="13"/>
        <v>0</v>
      </c>
    </row>
    <row r="119" spans="2:16">
      <c r="B119" s="9" t="str">
        <f t="shared" si="14"/>
        <v/>
      </c>
      <c r="C119" s="153">
        <f>IF(D93="","-",+C118+1)</f>
        <v>2035</v>
      </c>
      <c r="D119" s="154">
        <f>IF(F118+SUM(E$99:E118)=D$92,F118,D$92-SUM(E$99:E118))</f>
        <v>3030038.0797342234</v>
      </c>
      <c r="E119" s="160">
        <f t="shared" si="15"/>
        <v>131485.97619047618</v>
      </c>
      <c r="F119" s="159">
        <f t="shared" si="16"/>
        <v>2898552.1035437472</v>
      </c>
      <c r="G119" s="159">
        <f t="shared" si="17"/>
        <v>2964295.0916389851</v>
      </c>
      <c r="H119" s="163">
        <f t="shared" si="18"/>
        <v>491563.22197733691</v>
      </c>
      <c r="I119" s="253">
        <f t="shared" si="19"/>
        <v>491563.22197733691</v>
      </c>
      <c r="J119" s="158">
        <f t="shared" si="20"/>
        <v>0</v>
      </c>
      <c r="K119" s="158"/>
      <c r="L119" s="334"/>
      <c r="M119" s="158">
        <f t="shared" si="11"/>
        <v>0</v>
      </c>
      <c r="N119" s="334"/>
      <c r="O119" s="158">
        <f t="shared" si="12"/>
        <v>0</v>
      </c>
      <c r="P119" s="158">
        <f t="shared" si="13"/>
        <v>0</v>
      </c>
    </row>
    <row r="120" spans="2:16">
      <c r="B120" s="9" t="str">
        <f t="shared" si="14"/>
        <v/>
      </c>
      <c r="C120" s="153">
        <f>IF(D93="","-",+C119+1)</f>
        <v>2036</v>
      </c>
      <c r="D120" s="154">
        <f>IF(F119+SUM(E$99:E119)=D$92,F119,D$92-SUM(E$99:E119))</f>
        <v>2898552.1035437472</v>
      </c>
      <c r="E120" s="160">
        <f t="shared" si="15"/>
        <v>131485.97619047618</v>
      </c>
      <c r="F120" s="159">
        <f t="shared" si="16"/>
        <v>2767066.127353271</v>
      </c>
      <c r="G120" s="159">
        <f t="shared" si="17"/>
        <v>2832809.1154485093</v>
      </c>
      <c r="H120" s="163">
        <f t="shared" si="18"/>
        <v>475591.42878447846</v>
      </c>
      <c r="I120" s="253">
        <f t="shared" si="19"/>
        <v>475591.42878447846</v>
      </c>
      <c r="J120" s="158">
        <f t="shared" si="20"/>
        <v>0</v>
      </c>
      <c r="K120" s="158"/>
      <c r="L120" s="334"/>
      <c r="M120" s="158">
        <f t="shared" si="11"/>
        <v>0</v>
      </c>
      <c r="N120" s="334"/>
      <c r="O120" s="158">
        <f t="shared" si="12"/>
        <v>0</v>
      </c>
      <c r="P120" s="158">
        <f t="shared" si="13"/>
        <v>0</v>
      </c>
    </row>
    <row r="121" spans="2:16">
      <c r="B121" s="9" t="str">
        <f t="shared" si="14"/>
        <v/>
      </c>
      <c r="C121" s="153">
        <f>IF(D93="","-",+C120+1)</f>
        <v>2037</v>
      </c>
      <c r="D121" s="154">
        <f>IF(F120+SUM(E$99:E120)=D$92,F120,D$92-SUM(E$99:E120))</f>
        <v>2767066.127353271</v>
      </c>
      <c r="E121" s="160">
        <f t="shared" si="15"/>
        <v>131485.97619047618</v>
      </c>
      <c r="F121" s="159">
        <f t="shared" si="16"/>
        <v>2635580.1511627948</v>
      </c>
      <c r="G121" s="159">
        <f t="shared" si="17"/>
        <v>2701323.1392580327</v>
      </c>
      <c r="H121" s="163">
        <f t="shared" si="18"/>
        <v>459619.63559161988</v>
      </c>
      <c r="I121" s="253">
        <f t="shared" si="19"/>
        <v>459619.63559161988</v>
      </c>
      <c r="J121" s="158">
        <f t="shared" si="20"/>
        <v>0</v>
      </c>
      <c r="K121" s="158"/>
      <c r="L121" s="334"/>
      <c r="M121" s="158">
        <f t="shared" si="11"/>
        <v>0</v>
      </c>
      <c r="N121" s="334"/>
      <c r="O121" s="158">
        <f t="shared" si="12"/>
        <v>0</v>
      </c>
      <c r="P121" s="158">
        <f t="shared" si="13"/>
        <v>0</v>
      </c>
    </row>
    <row r="122" spans="2:16">
      <c r="B122" s="9" t="str">
        <f t="shared" si="14"/>
        <v/>
      </c>
      <c r="C122" s="153">
        <f>IF(D93="","-",+C121+1)</f>
        <v>2038</v>
      </c>
      <c r="D122" s="154">
        <f>IF(F121+SUM(E$99:E121)=D$92,F121,D$92-SUM(E$99:E121))</f>
        <v>2635580.1511627948</v>
      </c>
      <c r="E122" s="160">
        <f t="shared" si="15"/>
        <v>131485.97619047618</v>
      </c>
      <c r="F122" s="159">
        <f t="shared" si="16"/>
        <v>2504094.1749723186</v>
      </c>
      <c r="G122" s="159">
        <f t="shared" si="17"/>
        <v>2569837.1630675569</v>
      </c>
      <c r="H122" s="163">
        <f t="shared" si="18"/>
        <v>443647.84239876142</v>
      </c>
      <c r="I122" s="253">
        <f t="shared" si="19"/>
        <v>443647.84239876142</v>
      </c>
      <c r="J122" s="158">
        <f t="shared" si="20"/>
        <v>0</v>
      </c>
      <c r="K122" s="158"/>
      <c r="L122" s="334"/>
      <c r="M122" s="158">
        <f t="shared" si="11"/>
        <v>0</v>
      </c>
      <c r="N122" s="334"/>
      <c r="O122" s="158">
        <f t="shared" si="12"/>
        <v>0</v>
      </c>
      <c r="P122" s="158">
        <f t="shared" si="13"/>
        <v>0</v>
      </c>
    </row>
    <row r="123" spans="2:16">
      <c r="B123" s="9" t="str">
        <f t="shared" si="14"/>
        <v/>
      </c>
      <c r="C123" s="153">
        <f>IF(D93="","-",+C122+1)</f>
        <v>2039</v>
      </c>
      <c r="D123" s="154">
        <f>IF(F122+SUM(E$99:E122)=D$92,F122,D$92-SUM(E$99:E122))</f>
        <v>2504094.1749723186</v>
      </c>
      <c r="E123" s="160">
        <f t="shared" si="15"/>
        <v>131485.97619047618</v>
      </c>
      <c r="F123" s="159">
        <f t="shared" si="16"/>
        <v>2372608.1987818424</v>
      </c>
      <c r="G123" s="159">
        <f t="shared" si="17"/>
        <v>2438351.1868770802</v>
      </c>
      <c r="H123" s="163">
        <f t="shared" si="18"/>
        <v>427676.04920590285</v>
      </c>
      <c r="I123" s="253">
        <f t="shared" si="19"/>
        <v>427676.04920590285</v>
      </c>
      <c r="J123" s="158">
        <f t="shared" si="20"/>
        <v>0</v>
      </c>
      <c r="K123" s="158"/>
      <c r="L123" s="334"/>
      <c r="M123" s="158">
        <f t="shared" si="11"/>
        <v>0</v>
      </c>
      <c r="N123" s="334"/>
      <c r="O123" s="158">
        <f t="shared" si="12"/>
        <v>0</v>
      </c>
      <c r="P123" s="158">
        <f t="shared" si="13"/>
        <v>0</v>
      </c>
    </row>
    <row r="124" spans="2:16">
      <c r="B124" s="9" t="str">
        <f t="shared" si="14"/>
        <v/>
      </c>
      <c r="C124" s="153">
        <f>IF(D93="","-",+C123+1)</f>
        <v>2040</v>
      </c>
      <c r="D124" s="154">
        <f>IF(F123+SUM(E$99:E123)=D$92,F123,D$92-SUM(E$99:E123))</f>
        <v>2372608.1987818424</v>
      </c>
      <c r="E124" s="160">
        <f t="shared" si="15"/>
        <v>131485.97619047618</v>
      </c>
      <c r="F124" s="159">
        <f t="shared" si="16"/>
        <v>2241122.2225913662</v>
      </c>
      <c r="G124" s="159">
        <f t="shared" si="17"/>
        <v>2306865.2106866045</v>
      </c>
      <c r="H124" s="163">
        <f t="shared" si="18"/>
        <v>411704.25601304439</v>
      </c>
      <c r="I124" s="253">
        <f t="shared" si="19"/>
        <v>411704.25601304439</v>
      </c>
      <c r="J124" s="158">
        <f t="shared" si="20"/>
        <v>0</v>
      </c>
      <c r="K124" s="158"/>
      <c r="L124" s="334"/>
      <c r="M124" s="158">
        <f t="shared" si="11"/>
        <v>0</v>
      </c>
      <c r="N124" s="334"/>
      <c r="O124" s="158">
        <f t="shared" si="12"/>
        <v>0</v>
      </c>
      <c r="P124" s="158">
        <f t="shared" si="13"/>
        <v>0</v>
      </c>
    </row>
    <row r="125" spans="2:16">
      <c r="B125" s="9" t="str">
        <f t="shared" si="14"/>
        <v/>
      </c>
      <c r="C125" s="153">
        <f>IF(D93="","-",+C124+1)</f>
        <v>2041</v>
      </c>
      <c r="D125" s="154">
        <f>IF(F124+SUM(E$99:E124)=D$92,F124,D$92-SUM(E$99:E124))</f>
        <v>2241122.2225913662</v>
      </c>
      <c r="E125" s="160">
        <f t="shared" si="15"/>
        <v>131485.97619047618</v>
      </c>
      <c r="F125" s="159">
        <f t="shared" si="16"/>
        <v>2109636.2464008899</v>
      </c>
      <c r="G125" s="159">
        <f t="shared" si="17"/>
        <v>2175379.2344961278</v>
      </c>
      <c r="H125" s="163">
        <f t="shared" si="18"/>
        <v>395732.46282018581</v>
      </c>
      <c r="I125" s="253">
        <f t="shared" si="19"/>
        <v>395732.46282018581</v>
      </c>
      <c r="J125" s="158">
        <f t="shared" si="20"/>
        <v>0</v>
      </c>
      <c r="K125" s="158"/>
      <c r="L125" s="334"/>
      <c r="M125" s="158">
        <f t="shared" si="11"/>
        <v>0</v>
      </c>
      <c r="N125" s="334"/>
      <c r="O125" s="158">
        <f t="shared" si="12"/>
        <v>0</v>
      </c>
      <c r="P125" s="158">
        <f t="shared" si="13"/>
        <v>0</v>
      </c>
    </row>
    <row r="126" spans="2:16">
      <c r="B126" s="9" t="str">
        <f t="shared" si="14"/>
        <v/>
      </c>
      <c r="C126" s="153">
        <f>IF(D93="","-",+C125+1)</f>
        <v>2042</v>
      </c>
      <c r="D126" s="154">
        <f>IF(F125+SUM(E$99:E125)=D$92,F125,D$92-SUM(E$99:E125))</f>
        <v>2109636.2464008899</v>
      </c>
      <c r="E126" s="160">
        <f t="shared" si="15"/>
        <v>131485.97619047618</v>
      </c>
      <c r="F126" s="159">
        <f t="shared" si="16"/>
        <v>1978150.2702104137</v>
      </c>
      <c r="G126" s="159">
        <f t="shared" si="17"/>
        <v>2043893.2583056518</v>
      </c>
      <c r="H126" s="163">
        <f t="shared" si="18"/>
        <v>379760.66962732736</v>
      </c>
      <c r="I126" s="253">
        <f t="shared" si="19"/>
        <v>379760.66962732736</v>
      </c>
      <c r="J126" s="158">
        <f t="shared" si="20"/>
        <v>0</v>
      </c>
      <c r="K126" s="158"/>
      <c r="L126" s="334"/>
      <c r="M126" s="158">
        <f t="shared" si="11"/>
        <v>0</v>
      </c>
      <c r="N126" s="334"/>
      <c r="O126" s="158">
        <f t="shared" si="12"/>
        <v>0</v>
      </c>
      <c r="P126" s="158">
        <f t="shared" si="13"/>
        <v>0</v>
      </c>
    </row>
    <row r="127" spans="2:16">
      <c r="B127" s="9" t="str">
        <f t="shared" si="14"/>
        <v/>
      </c>
      <c r="C127" s="153">
        <f>IF(D93="","-",+C126+1)</f>
        <v>2043</v>
      </c>
      <c r="D127" s="154">
        <f>IF(F126+SUM(E$99:E126)=D$92,F126,D$92-SUM(E$99:E126))</f>
        <v>1978150.2702104137</v>
      </c>
      <c r="E127" s="160">
        <f t="shared" si="15"/>
        <v>131485.97619047618</v>
      </c>
      <c r="F127" s="159">
        <f t="shared" si="16"/>
        <v>1846664.2940199375</v>
      </c>
      <c r="G127" s="159">
        <f t="shared" si="17"/>
        <v>1912407.2821151756</v>
      </c>
      <c r="H127" s="163">
        <f t="shared" si="18"/>
        <v>363788.8764344689</v>
      </c>
      <c r="I127" s="253">
        <f t="shared" si="19"/>
        <v>363788.8764344689</v>
      </c>
      <c r="J127" s="158">
        <f t="shared" si="20"/>
        <v>0</v>
      </c>
      <c r="K127" s="158"/>
      <c r="L127" s="334"/>
      <c r="M127" s="158">
        <f t="shared" si="11"/>
        <v>0</v>
      </c>
      <c r="N127" s="334"/>
      <c r="O127" s="158">
        <f t="shared" si="12"/>
        <v>0</v>
      </c>
      <c r="P127" s="158">
        <f t="shared" si="13"/>
        <v>0</v>
      </c>
    </row>
    <row r="128" spans="2:16">
      <c r="B128" s="9" t="str">
        <f t="shared" si="14"/>
        <v/>
      </c>
      <c r="C128" s="153">
        <f>IF(D93="","-",+C127+1)</f>
        <v>2044</v>
      </c>
      <c r="D128" s="154">
        <f>IF(F127+SUM(E$99:E127)=D$92,F127,D$92-SUM(E$99:E127))</f>
        <v>1846664.2940199375</v>
      </c>
      <c r="E128" s="160">
        <f t="shared" si="15"/>
        <v>131485.97619047618</v>
      </c>
      <c r="F128" s="159">
        <f t="shared" si="16"/>
        <v>1715178.3178294613</v>
      </c>
      <c r="G128" s="159">
        <f t="shared" si="17"/>
        <v>1780921.3059246994</v>
      </c>
      <c r="H128" s="163">
        <f t="shared" si="18"/>
        <v>347817.08324161038</v>
      </c>
      <c r="I128" s="253">
        <f t="shared" si="19"/>
        <v>347817.08324161038</v>
      </c>
      <c r="J128" s="158">
        <f t="shared" si="20"/>
        <v>0</v>
      </c>
      <c r="K128" s="158"/>
      <c r="L128" s="334"/>
      <c r="M128" s="158">
        <f t="shared" si="11"/>
        <v>0</v>
      </c>
      <c r="N128" s="334"/>
      <c r="O128" s="158">
        <f t="shared" si="12"/>
        <v>0</v>
      </c>
      <c r="P128" s="158">
        <f t="shared" si="13"/>
        <v>0</v>
      </c>
    </row>
    <row r="129" spans="2:16">
      <c r="B129" s="9" t="str">
        <f t="shared" si="14"/>
        <v/>
      </c>
      <c r="C129" s="153">
        <f>IF(D93="","-",+C128+1)</f>
        <v>2045</v>
      </c>
      <c r="D129" s="154">
        <f>IF(F128+SUM(E$99:E128)=D$92,F128,D$92-SUM(E$99:E128))</f>
        <v>1715178.3178294613</v>
      </c>
      <c r="E129" s="160">
        <f t="shared" si="15"/>
        <v>131485.97619047618</v>
      </c>
      <c r="F129" s="159">
        <f t="shared" si="16"/>
        <v>1583692.3416389851</v>
      </c>
      <c r="G129" s="159">
        <f t="shared" si="17"/>
        <v>1649435.3297342232</v>
      </c>
      <c r="H129" s="163">
        <f t="shared" si="18"/>
        <v>331845.29004875186</v>
      </c>
      <c r="I129" s="253">
        <f t="shared" si="19"/>
        <v>331845.29004875186</v>
      </c>
      <c r="J129" s="158">
        <f t="shared" si="20"/>
        <v>0</v>
      </c>
      <c r="K129" s="158"/>
      <c r="L129" s="334"/>
      <c r="M129" s="158">
        <f t="shared" si="11"/>
        <v>0</v>
      </c>
      <c r="N129" s="334"/>
      <c r="O129" s="158">
        <f t="shared" si="12"/>
        <v>0</v>
      </c>
      <c r="P129" s="158">
        <f t="shared" si="13"/>
        <v>0</v>
      </c>
    </row>
    <row r="130" spans="2:16">
      <c r="B130" s="9" t="str">
        <f t="shared" si="14"/>
        <v/>
      </c>
      <c r="C130" s="153">
        <f>IF(D93="","-",+C129+1)</f>
        <v>2046</v>
      </c>
      <c r="D130" s="154">
        <f>IF(F129+SUM(E$99:E129)=D$92,F129,D$92-SUM(E$99:E129))</f>
        <v>1583692.3416389851</v>
      </c>
      <c r="E130" s="160">
        <f t="shared" si="15"/>
        <v>131485.97619047618</v>
      </c>
      <c r="F130" s="159">
        <f t="shared" si="16"/>
        <v>1452206.3654485089</v>
      </c>
      <c r="G130" s="159">
        <f t="shared" si="17"/>
        <v>1517949.353543747</v>
      </c>
      <c r="H130" s="163">
        <f t="shared" si="18"/>
        <v>315873.49685589341</v>
      </c>
      <c r="I130" s="253">
        <f t="shared" si="19"/>
        <v>315873.49685589341</v>
      </c>
      <c r="J130" s="158">
        <f t="shared" si="20"/>
        <v>0</v>
      </c>
      <c r="K130" s="158"/>
      <c r="L130" s="334"/>
      <c r="M130" s="158">
        <f t="shared" si="11"/>
        <v>0</v>
      </c>
      <c r="N130" s="334"/>
      <c r="O130" s="158">
        <f t="shared" si="12"/>
        <v>0</v>
      </c>
      <c r="P130" s="158">
        <f t="shared" si="13"/>
        <v>0</v>
      </c>
    </row>
    <row r="131" spans="2:16">
      <c r="B131" s="9" t="str">
        <f t="shared" si="14"/>
        <v/>
      </c>
      <c r="C131" s="153">
        <f>IF(D93="","-",+C130+1)</f>
        <v>2047</v>
      </c>
      <c r="D131" s="154">
        <f>IF(F130+SUM(E$99:E130)=D$92,F130,D$92-SUM(E$99:E130))</f>
        <v>1452206.3654485089</v>
      </c>
      <c r="E131" s="160">
        <f t="shared" si="15"/>
        <v>131485.97619047618</v>
      </c>
      <c r="F131" s="159">
        <f t="shared" si="16"/>
        <v>1320720.3892580327</v>
      </c>
      <c r="G131" s="159">
        <f t="shared" si="17"/>
        <v>1386463.3773532708</v>
      </c>
      <c r="H131" s="163">
        <f t="shared" si="18"/>
        <v>299901.70366303483</v>
      </c>
      <c r="I131" s="253">
        <f t="shared" si="19"/>
        <v>299901.70366303483</v>
      </c>
      <c r="J131" s="158">
        <f t="shared" si="20"/>
        <v>0</v>
      </c>
      <c r="K131" s="158"/>
      <c r="L131" s="334"/>
      <c r="M131" s="158">
        <f t="shared" ref="M131:M154" si="21">IF(L541&lt;&gt;0,+H541-L541,0)</f>
        <v>0</v>
      </c>
      <c r="N131" s="334"/>
      <c r="O131" s="158">
        <f t="shared" ref="O131:O154" si="22">IF(N541&lt;&gt;0,+I541-N541,0)</f>
        <v>0</v>
      </c>
      <c r="P131" s="158">
        <f t="shared" ref="P131:P154" si="23">+O541-M541</f>
        <v>0</v>
      </c>
    </row>
    <row r="132" spans="2:16">
      <c r="B132" s="9" t="str">
        <f t="shared" si="14"/>
        <v/>
      </c>
      <c r="C132" s="153">
        <f>IF(D93="","-",+C131+1)</f>
        <v>2048</v>
      </c>
      <c r="D132" s="154">
        <f>IF(F131+SUM(E$99:E131)=D$92,F131,D$92-SUM(E$99:E131))</f>
        <v>1320720.3892580327</v>
      </c>
      <c r="E132" s="160">
        <f t="shared" si="15"/>
        <v>131485.97619047618</v>
      </c>
      <c r="F132" s="159">
        <f t="shared" si="16"/>
        <v>1189234.4130675565</v>
      </c>
      <c r="G132" s="159">
        <f t="shared" si="17"/>
        <v>1254977.4011627946</v>
      </c>
      <c r="H132" s="163">
        <f t="shared" si="18"/>
        <v>283929.91047017637</v>
      </c>
      <c r="I132" s="253">
        <f t="shared" si="19"/>
        <v>283929.91047017637</v>
      </c>
      <c r="J132" s="158">
        <f t="shared" si="20"/>
        <v>0</v>
      </c>
      <c r="K132" s="158"/>
      <c r="L132" s="334"/>
      <c r="M132" s="158">
        <f t="shared" si="21"/>
        <v>0</v>
      </c>
      <c r="N132" s="334"/>
      <c r="O132" s="158">
        <f t="shared" si="22"/>
        <v>0</v>
      </c>
      <c r="P132" s="158">
        <f t="shared" si="23"/>
        <v>0</v>
      </c>
    </row>
    <row r="133" spans="2:16">
      <c r="B133" s="9" t="str">
        <f t="shared" si="14"/>
        <v/>
      </c>
      <c r="C133" s="153">
        <f>IF(D93="","-",+C132+1)</f>
        <v>2049</v>
      </c>
      <c r="D133" s="154">
        <f>IF(F132+SUM(E$99:E132)=D$92,F132,D$92-SUM(E$99:E132))</f>
        <v>1189234.4130675565</v>
      </c>
      <c r="E133" s="160">
        <f t="shared" si="15"/>
        <v>131485.97619047618</v>
      </c>
      <c r="F133" s="159">
        <f t="shared" si="16"/>
        <v>1057748.4368770802</v>
      </c>
      <c r="G133" s="159">
        <f t="shared" si="17"/>
        <v>1123491.4249723183</v>
      </c>
      <c r="H133" s="163">
        <f t="shared" si="18"/>
        <v>267958.11727731786</v>
      </c>
      <c r="I133" s="253">
        <f t="shared" si="19"/>
        <v>267958.11727731786</v>
      </c>
      <c r="J133" s="158">
        <f t="shared" si="20"/>
        <v>0</v>
      </c>
      <c r="K133" s="158"/>
      <c r="L133" s="334"/>
      <c r="M133" s="158">
        <f t="shared" si="21"/>
        <v>0</v>
      </c>
      <c r="N133" s="334"/>
      <c r="O133" s="158">
        <f t="shared" si="22"/>
        <v>0</v>
      </c>
      <c r="P133" s="158">
        <f t="shared" si="23"/>
        <v>0</v>
      </c>
    </row>
    <row r="134" spans="2:16">
      <c r="B134" s="9" t="str">
        <f t="shared" si="14"/>
        <v/>
      </c>
      <c r="C134" s="153">
        <f>IF(D93="","-",+C133+1)</f>
        <v>2050</v>
      </c>
      <c r="D134" s="154">
        <f>IF(F133+SUM(E$99:E133)=D$92,F133,D$92-SUM(E$99:E133))</f>
        <v>1057748.4368770802</v>
      </c>
      <c r="E134" s="160">
        <f t="shared" si="15"/>
        <v>131485.97619047618</v>
      </c>
      <c r="F134" s="159">
        <f t="shared" si="16"/>
        <v>926262.46068660403</v>
      </c>
      <c r="G134" s="159">
        <f t="shared" si="17"/>
        <v>992005.44878184213</v>
      </c>
      <c r="H134" s="163">
        <f t="shared" si="18"/>
        <v>251986.32408445934</v>
      </c>
      <c r="I134" s="253">
        <f t="shared" si="19"/>
        <v>251986.32408445934</v>
      </c>
      <c r="J134" s="158">
        <f t="shared" si="20"/>
        <v>0</v>
      </c>
      <c r="K134" s="158"/>
      <c r="L134" s="334"/>
      <c r="M134" s="158">
        <f t="shared" si="21"/>
        <v>0</v>
      </c>
      <c r="N134" s="334"/>
      <c r="O134" s="158">
        <f t="shared" si="22"/>
        <v>0</v>
      </c>
      <c r="P134" s="158">
        <f t="shared" si="23"/>
        <v>0</v>
      </c>
    </row>
    <row r="135" spans="2:16">
      <c r="B135" s="9" t="str">
        <f t="shared" si="14"/>
        <v/>
      </c>
      <c r="C135" s="153">
        <f>IF(D93="","-",+C134+1)</f>
        <v>2051</v>
      </c>
      <c r="D135" s="154">
        <f>IF(F134+SUM(E$99:E134)=D$92,F134,D$92-SUM(E$99:E134))</f>
        <v>926262.46068660403</v>
      </c>
      <c r="E135" s="160">
        <f t="shared" si="15"/>
        <v>131485.97619047618</v>
      </c>
      <c r="F135" s="159">
        <f t="shared" si="16"/>
        <v>794776.48449612781</v>
      </c>
      <c r="G135" s="159">
        <f t="shared" si="17"/>
        <v>860519.47259136592</v>
      </c>
      <c r="H135" s="163">
        <f t="shared" si="18"/>
        <v>236014.53089160085</v>
      </c>
      <c r="I135" s="253">
        <f t="shared" si="19"/>
        <v>236014.53089160085</v>
      </c>
      <c r="J135" s="158">
        <f t="shared" si="20"/>
        <v>0</v>
      </c>
      <c r="K135" s="158"/>
      <c r="L135" s="334"/>
      <c r="M135" s="158">
        <f t="shared" si="21"/>
        <v>0</v>
      </c>
      <c r="N135" s="334"/>
      <c r="O135" s="158">
        <f t="shared" si="22"/>
        <v>0</v>
      </c>
      <c r="P135" s="158">
        <f t="shared" si="23"/>
        <v>0</v>
      </c>
    </row>
    <row r="136" spans="2:16">
      <c r="B136" s="9" t="str">
        <f t="shared" si="14"/>
        <v/>
      </c>
      <c r="C136" s="153">
        <f>IF(D93="","-",+C135+1)</f>
        <v>2052</v>
      </c>
      <c r="D136" s="154">
        <f>IF(F135+SUM(E$99:E135)=D$92,F135,D$92-SUM(E$99:E135))</f>
        <v>794776.48449612781</v>
      </c>
      <c r="E136" s="160">
        <f t="shared" si="15"/>
        <v>131485.97619047618</v>
      </c>
      <c r="F136" s="159">
        <f t="shared" si="16"/>
        <v>663290.5083056516</v>
      </c>
      <c r="G136" s="159">
        <f t="shared" si="17"/>
        <v>729033.49640088971</v>
      </c>
      <c r="H136" s="163">
        <f t="shared" si="18"/>
        <v>220042.73769874236</v>
      </c>
      <c r="I136" s="253">
        <f t="shared" si="19"/>
        <v>220042.73769874236</v>
      </c>
      <c r="J136" s="158">
        <f t="shared" si="20"/>
        <v>0</v>
      </c>
      <c r="K136" s="158"/>
      <c r="L136" s="334"/>
      <c r="M136" s="158">
        <f t="shared" si="21"/>
        <v>0</v>
      </c>
      <c r="N136" s="334"/>
      <c r="O136" s="158">
        <f t="shared" si="22"/>
        <v>0</v>
      </c>
      <c r="P136" s="158">
        <f t="shared" si="23"/>
        <v>0</v>
      </c>
    </row>
    <row r="137" spans="2:16">
      <c r="B137" s="9" t="str">
        <f t="shared" si="14"/>
        <v/>
      </c>
      <c r="C137" s="153">
        <f>IF(D93="","-",+C136+1)</f>
        <v>2053</v>
      </c>
      <c r="D137" s="154">
        <f>IF(F136+SUM(E$99:E136)=D$92,F136,D$92-SUM(E$99:E136))</f>
        <v>663290.5083056516</v>
      </c>
      <c r="E137" s="160">
        <f t="shared" si="15"/>
        <v>131485.97619047618</v>
      </c>
      <c r="F137" s="159">
        <f t="shared" si="16"/>
        <v>531804.53211517539</v>
      </c>
      <c r="G137" s="159">
        <f t="shared" si="17"/>
        <v>597547.5202104135</v>
      </c>
      <c r="H137" s="163">
        <f t="shared" si="18"/>
        <v>204070.94450588385</v>
      </c>
      <c r="I137" s="253">
        <f t="shared" si="19"/>
        <v>204070.94450588385</v>
      </c>
      <c r="J137" s="158">
        <f t="shared" si="20"/>
        <v>0</v>
      </c>
      <c r="K137" s="158"/>
      <c r="L137" s="334"/>
      <c r="M137" s="158">
        <f t="shared" si="21"/>
        <v>0</v>
      </c>
      <c r="N137" s="334"/>
      <c r="O137" s="158">
        <f t="shared" si="22"/>
        <v>0</v>
      </c>
      <c r="P137" s="158">
        <f t="shared" si="23"/>
        <v>0</v>
      </c>
    </row>
    <row r="138" spans="2:16">
      <c r="B138" s="9" t="str">
        <f t="shared" si="14"/>
        <v/>
      </c>
      <c r="C138" s="153">
        <f>IF(D93="","-",+C137+1)</f>
        <v>2054</v>
      </c>
      <c r="D138" s="154">
        <f>IF(F137+SUM(E$99:E137)=D$92,F137,D$92-SUM(E$99:E137))</f>
        <v>531804.53211517539</v>
      </c>
      <c r="E138" s="160">
        <f t="shared" si="15"/>
        <v>131485.97619047618</v>
      </c>
      <c r="F138" s="159">
        <f t="shared" si="16"/>
        <v>400318.55592469918</v>
      </c>
      <c r="G138" s="159">
        <f t="shared" si="17"/>
        <v>466061.54401993728</v>
      </c>
      <c r="H138" s="163">
        <f t="shared" si="18"/>
        <v>188099.15131302533</v>
      </c>
      <c r="I138" s="253">
        <f t="shared" si="19"/>
        <v>188099.15131302533</v>
      </c>
      <c r="J138" s="158">
        <f t="shared" si="20"/>
        <v>0</v>
      </c>
      <c r="K138" s="158"/>
      <c r="L138" s="334"/>
      <c r="M138" s="158">
        <f t="shared" si="21"/>
        <v>0</v>
      </c>
      <c r="N138" s="334"/>
      <c r="O138" s="158">
        <f t="shared" si="22"/>
        <v>0</v>
      </c>
      <c r="P138" s="158">
        <f t="shared" si="23"/>
        <v>0</v>
      </c>
    </row>
    <row r="139" spans="2:16">
      <c r="B139" s="9" t="str">
        <f t="shared" si="14"/>
        <v/>
      </c>
      <c r="C139" s="153">
        <f>IF(D93="","-",+C138+1)</f>
        <v>2055</v>
      </c>
      <c r="D139" s="154">
        <f>IF(F138+SUM(E$99:E138)=D$92,F138,D$92-SUM(E$99:E138))</f>
        <v>400318.55592469918</v>
      </c>
      <c r="E139" s="160">
        <f t="shared" si="15"/>
        <v>131485.97619047618</v>
      </c>
      <c r="F139" s="159">
        <f t="shared" si="16"/>
        <v>268832.57973422296</v>
      </c>
      <c r="G139" s="159">
        <f t="shared" si="17"/>
        <v>334575.56782946107</v>
      </c>
      <c r="H139" s="163">
        <f t="shared" si="18"/>
        <v>172127.35812016684</v>
      </c>
      <c r="I139" s="253">
        <f t="shared" si="19"/>
        <v>172127.35812016684</v>
      </c>
      <c r="J139" s="158">
        <f t="shared" si="20"/>
        <v>0</v>
      </c>
      <c r="K139" s="158"/>
      <c r="L139" s="334"/>
      <c r="M139" s="158">
        <f t="shared" si="21"/>
        <v>0</v>
      </c>
      <c r="N139" s="334"/>
      <c r="O139" s="158">
        <f t="shared" si="22"/>
        <v>0</v>
      </c>
      <c r="P139" s="158">
        <f t="shared" si="23"/>
        <v>0</v>
      </c>
    </row>
    <row r="140" spans="2:16">
      <c r="B140" s="9" t="str">
        <f t="shared" si="14"/>
        <v/>
      </c>
      <c r="C140" s="153">
        <f>IF(D93="","-",+C139+1)</f>
        <v>2056</v>
      </c>
      <c r="D140" s="154">
        <f>IF(F139+SUM(E$99:E139)=D$92,F139,D$92-SUM(E$99:E139))</f>
        <v>268832.57973422296</v>
      </c>
      <c r="E140" s="160">
        <f t="shared" si="15"/>
        <v>131485.97619047618</v>
      </c>
      <c r="F140" s="159">
        <f t="shared" si="16"/>
        <v>137346.60354374678</v>
      </c>
      <c r="G140" s="159">
        <f t="shared" si="17"/>
        <v>203089.59163898486</v>
      </c>
      <c r="H140" s="163">
        <f t="shared" si="18"/>
        <v>156155.56492730833</v>
      </c>
      <c r="I140" s="253">
        <f t="shared" si="19"/>
        <v>156155.56492730833</v>
      </c>
      <c r="J140" s="158">
        <f t="shared" si="20"/>
        <v>0</v>
      </c>
      <c r="K140" s="158"/>
      <c r="L140" s="334"/>
      <c r="M140" s="158">
        <f t="shared" si="21"/>
        <v>0</v>
      </c>
      <c r="N140" s="334"/>
      <c r="O140" s="158">
        <f t="shared" si="22"/>
        <v>0</v>
      </c>
      <c r="P140" s="158">
        <f t="shared" si="23"/>
        <v>0</v>
      </c>
    </row>
    <row r="141" spans="2:16">
      <c r="B141" s="9" t="str">
        <f t="shared" si="14"/>
        <v/>
      </c>
      <c r="C141" s="153">
        <f>IF(D93="","-",+C140+1)</f>
        <v>2057</v>
      </c>
      <c r="D141" s="154">
        <f>IF(F140+SUM(E$99:E140)=D$92,F140,D$92-SUM(E$99:E140))</f>
        <v>137346.60354374678</v>
      </c>
      <c r="E141" s="160">
        <f t="shared" si="15"/>
        <v>131485.97619047618</v>
      </c>
      <c r="F141" s="159">
        <f t="shared" si="16"/>
        <v>5860.6273532705964</v>
      </c>
      <c r="G141" s="159">
        <f t="shared" si="17"/>
        <v>71603.615448508688</v>
      </c>
      <c r="H141" s="163">
        <f t="shared" si="18"/>
        <v>140183.77173444984</v>
      </c>
      <c r="I141" s="253">
        <f t="shared" si="19"/>
        <v>140183.77173444984</v>
      </c>
      <c r="J141" s="158">
        <f t="shared" si="20"/>
        <v>0</v>
      </c>
      <c r="K141" s="158"/>
      <c r="L141" s="334"/>
      <c r="M141" s="158">
        <f t="shared" si="21"/>
        <v>0</v>
      </c>
      <c r="N141" s="334"/>
      <c r="O141" s="158">
        <f t="shared" si="22"/>
        <v>0</v>
      </c>
      <c r="P141" s="158">
        <f t="shared" si="23"/>
        <v>0</v>
      </c>
    </row>
    <row r="142" spans="2:16">
      <c r="B142" s="9" t="str">
        <f t="shared" si="14"/>
        <v/>
      </c>
      <c r="C142" s="153">
        <f>IF(D93="","-",+C141+1)</f>
        <v>2058</v>
      </c>
      <c r="D142" s="154">
        <f>IF(F141+SUM(E$99:E141)=D$92,F141,D$92-SUM(E$99:E141))</f>
        <v>5860.6273532705964</v>
      </c>
      <c r="E142" s="160">
        <f t="shared" si="15"/>
        <v>5860.6273532705964</v>
      </c>
      <c r="F142" s="159">
        <f t="shared" si="16"/>
        <v>0</v>
      </c>
      <c r="G142" s="159">
        <f t="shared" si="17"/>
        <v>2930.3136766352982</v>
      </c>
      <c r="H142" s="163">
        <f t="shared" si="18"/>
        <v>6216.5768270427952</v>
      </c>
      <c r="I142" s="253">
        <f t="shared" si="19"/>
        <v>6216.5768270427952</v>
      </c>
      <c r="J142" s="158">
        <f t="shared" si="20"/>
        <v>0</v>
      </c>
      <c r="K142" s="158"/>
      <c r="L142" s="334"/>
      <c r="M142" s="158">
        <f t="shared" si="21"/>
        <v>0</v>
      </c>
      <c r="N142" s="334"/>
      <c r="O142" s="158">
        <f t="shared" si="22"/>
        <v>0</v>
      </c>
      <c r="P142" s="158">
        <f t="shared" si="23"/>
        <v>0</v>
      </c>
    </row>
    <row r="143" spans="2:16">
      <c r="B143" s="9" t="str">
        <f t="shared" si="14"/>
        <v/>
      </c>
      <c r="C143" s="153">
        <f>IF(D93="","-",+C142+1)</f>
        <v>2059</v>
      </c>
      <c r="D143" s="154">
        <f>IF(F142+SUM(E$99:E142)=D$92,F142,D$92-SUM(E$99:E142))</f>
        <v>0</v>
      </c>
      <c r="E143" s="160">
        <f t="shared" si="15"/>
        <v>0</v>
      </c>
      <c r="F143" s="159">
        <f t="shared" si="16"/>
        <v>0</v>
      </c>
      <c r="G143" s="159">
        <f t="shared" si="17"/>
        <v>0</v>
      </c>
      <c r="H143" s="163">
        <f t="shared" si="18"/>
        <v>0</v>
      </c>
      <c r="I143" s="253">
        <f t="shared" si="19"/>
        <v>0</v>
      </c>
      <c r="J143" s="158">
        <f t="shared" si="20"/>
        <v>0</v>
      </c>
      <c r="K143" s="158"/>
      <c r="L143" s="334"/>
      <c r="M143" s="158">
        <f t="shared" si="21"/>
        <v>0</v>
      </c>
      <c r="N143" s="334"/>
      <c r="O143" s="158">
        <f t="shared" si="22"/>
        <v>0</v>
      </c>
      <c r="P143" s="158">
        <f t="shared" si="23"/>
        <v>0</v>
      </c>
    </row>
    <row r="144" spans="2:16">
      <c r="B144" s="9" t="str">
        <f t="shared" si="14"/>
        <v/>
      </c>
      <c r="C144" s="153">
        <f>IF(D93="","-",+C143+1)</f>
        <v>2060</v>
      </c>
      <c r="D144" s="154">
        <f>IF(F143+SUM(E$99:E143)=D$92,F143,D$92-SUM(E$99:E143))</f>
        <v>0</v>
      </c>
      <c r="E144" s="160">
        <f t="shared" si="15"/>
        <v>0</v>
      </c>
      <c r="F144" s="159">
        <f t="shared" si="16"/>
        <v>0</v>
      </c>
      <c r="G144" s="159">
        <f t="shared" si="17"/>
        <v>0</v>
      </c>
      <c r="H144" s="163">
        <f t="shared" si="18"/>
        <v>0</v>
      </c>
      <c r="I144" s="253">
        <f t="shared" si="19"/>
        <v>0</v>
      </c>
      <c r="J144" s="158">
        <f t="shared" si="20"/>
        <v>0</v>
      </c>
      <c r="K144" s="158"/>
      <c r="L144" s="334"/>
      <c r="M144" s="158">
        <f t="shared" si="21"/>
        <v>0</v>
      </c>
      <c r="N144" s="334"/>
      <c r="O144" s="158">
        <f t="shared" si="22"/>
        <v>0</v>
      </c>
      <c r="P144" s="158">
        <f t="shared" si="23"/>
        <v>0</v>
      </c>
    </row>
    <row r="145" spans="2:16">
      <c r="B145" s="9" t="str">
        <f t="shared" si="14"/>
        <v/>
      </c>
      <c r="C145" s="153">
        <f>IF(D93="","-",+C144+1)</f>
        <v>2061</v>
      </c>
      <c r="D145" s="154">
        <f>IF(F144+SUM(E$99:E144)=D$92,F144,D$92-SUM(E$99:E144))</f>
        <v>0</v>
      </c>
      <c r="E145" s="160">
        <f t="shared" si="15"/>
        <v>0</v>
      </c>
      <c r="F145" s="159">
        <f t="shared" si="16"/>
        <v>0</v>
      </c>
      <c r="G145" s="159">
        <f t="shared" si="17"/>
        <v>0</v>
      </c>
      <c r="H145" s="163">
        <f t="shared" si="18"/>
        <v>0</v>
      </c>
      <c r="I145" s="253">
        <f t="shared" si="19"/>
        <v>0</v>
      </c>
      <c r="J145" s="158">
        <f t="shared" si="20"/>
        <v>0</v>
      </c>
      <c r="K145" s="158"/>
      <c r="L145" s="334"/>
      <c r="M145" s="158">
        <f t="shared" si="21"/>
        <v>0</v>
      </c>
      <c r="N145" s="334"/>
      <c r="O145" s="158">
        <f t="shared" si="22"/>
        <v>0</v>
      </c>
      <c r="P145" s="158">
        <f t="shared" si="23"/>
        <v>0</v>
      </c>
    </row>
    <row r="146" spans="2:16">
      <c r="B146" s="9" t="str">
        <f t="shared" si="14"/>
        <v/>
      </c>
      <c r="C146" s="153">
        <f>IF(D93="","-",+C145+1)</f>
        <v>2062</v>
      </c>
      <c r="D146" s="154">
        <f>IF(F145+SUM(E$99:E145)=D$92,F145,D$92-SUM(E$99:E145))</f>
        <v>0</v>
      </c>
      <c r="E146" s="160">
        <f t="shared" si="15"/>
        <v>0</v>
      </c>
      <c r="F146" s="159">
        <f t="shared" si="16"/>
        <v>0</v>
      </c>
      <c r="G146" s="159">
        <f t="shared" si="17"/>
        <v>0</v>
      </c>
      <c r="H146" s="163">
        <f t="shared" si="18"/>
        <v>0</v>
      </c>
      <c r="I146" s="253">
        <f t="shared" si="19"/>
        <v>0</v>
      </c>
      <c r="J146" s="158">
        <f t="shared" si="20"/>
        <v>0</v>
      </c>
      <c r="K146" s="158"/>
      <c r="L146" s="334"/>
      <c r="M146" s="158">
        <f t="shared" si="21"/>
        <v>0</v>
      </c>
      <c r="N146" s="334"/>
      <c r="O146" s="158">
        <f t="shared" si="22"/>
        <v>0</v>
      </c>
      <c r="P146" s="158">
        <f t="shared" si="23"/>
        <v>0</v>
      </c>
    </row>
    <row r="147" spans="2:16">
      <c r="B147" s="9" t="str">
        <f t="shared" si="14"/>
        <v/>
      </c>
      <c r="C147" s="153">
        <f>IF(D93="","-",+C146+1)</f>
        <v>2063</v>
      </c>
      <c r="D147" s="154">
        <f>IF(F146+SUM(E$99:E146)=D$92,F146,D$92-SUM(E$99:E146))</f>
        <v>0</v>
      </c>
      <c r="E147" s="160">
        <f t="shared" si="15"/>
        <v>0</v>
      </c>
      <c r="F147" s="159">
        <f t="shared" si="16"/>
        <v>0</v>
      </c>
      <c r="G147" s="159">
        <f t="shared" si="17"/>
        <v>0</v>
      </c>
      <c r="H147" s="163">
        <f t="shared" si="18"/>
        <v>0</v>
      </c>
      <c r="I147" s="253">
        <f t="shared" si="19"/>
        <v>0</v>
      </c>
      <c r="J147" s="158">
        <f t="shared" si="20"/>
        <v>0</v>
      </c>
      <c r="K147" s="158"/>
      <c r="L147" s="334"/>
      <c r="M147" s="158">
        <f t="shared" si="21"/>
        <v>0</v>
      </c>
      <c r="N147" s="334"/>
      <c r="O147" s="158">
        <f t="shared" si="22"/>
        <v>0</v>
      </c>
      <c r="P147" s="158">
        <f t="shared" si="23"/>
        <v>0</v>
      </c>
    </row>
    <row r="148" spans="2:16">
      <c r="B148" s="9" t="str">
        <f t="shared" si="14"/>
        <v/>
      </c>
      <c r="C148" s="153">
        <f>IF(D93="","-",+C147+1)</f>
        <v>2064</v>
      </c>
      <c r="D148" s="154">
        <f>IF(F147+SUM(E$99:E147)=D$92,F147,D$92-SUM(E$99:E147))</f>
        <v>0</v>
      </c>
      <c r="E148" s="160">
        <f t="shared" si="15"/>
        <v>0</v>
      </c>
      <c r="F148" s="159">
        <f t="shared" si="16"/>
        <v>0</v>
      </c>
      <c r="G148" s="159">
        <f t="shared" si="17"/>
        <v>0</v>
      </c>
      <c r="H148" s="163">
        <f t="shared" si="18"/>
        <v>0</v>
      </c>
      <c r="I148" s="253">
        <f t="shared" si="19"/>
        <v>0</v>
      </c>
      <c r="J148" s="158">
        <f t="shared" si="20"/>
        <v>0</v>
      </c>
      <c r="K148" s="158"/>
      <c r="L148" s="334"/>
      <c r="M148" s="158">
        <f t="shared" si="21"/>
        <v>0</v>
      </c>
      <c r="N148" s="334"/>
      <c r="O148" s="158">
        <f t="shared" si="22"/>
        <v>0</v>
      </c>
      <c r="P148" s="158">
        <f t="shared" si="23"/>
        <v>0</v>
      </c>
    </row>
    <row r="149" spans="2:16">
      <c r="B149" s="9" t="str">
        <f t="shared" si="14"/>
        <v/>
      </c>
      <c r="C149" s="153">
        <f>IF(D93="","-",+C148+1)</f>
        <v>2065</v>
      </c>
      <c r="D149" s="154">
        <f>IF(F148+SUM(E$99:E148)=D$92,F148,D$92-SUM(E$99:E148))</f>
        <v>0</v>
      </c>
      <c r="E149" s="160">
        <f t="shared" si="15"/>
        <v>0</v>
      </c>
      <c r="F149" s="159">
        <f t="shared" si="16"/>
        <v>0</v>
      </c>
      <c r="G149" s="159">
        <f t="shared" si="17"/>
        <v>0</v>
      </c>
      <c r="H149" s="163">
        <f t="shared" si="18"/>
        <v>0</v>
      </c>
      <c r="I149" s="253">
        <f t="shared" si="19"/>
        <v>0</v>
      </c>
      <c r="J149" s="158">
        <f t="shared" si="20"/>
        <v>0</v>
      </c>
      <c r="K149" s="158"/>
      <c r="L149" s="334"/>
      <c r="M149" s="158">
        <f t="shared" si="21"/>
        <v>0</v>
      </c>
      <c r="N149" s="334"/>
      <c r="O149" s="158">
        <f t="shared" si="22"/>
        <v>0</v>
      </c>
      <c r="P149" s="158">
        <f t="shared" si="23"/>
        <v>0</v>
      </c>
    </row>
    <row r="150" spans="2:16">
      <c r="B150" s="9" t="str">
        <f t="shared" si="14"/>
        <v/>
      </c>
      <c r="C150" s="153">
        <f>IF(D93="","-",+C149+1)</f>
        <v>2066</v>
      </c>
      <c r="D150" s="154">
        <f>IF(F149+SUM(E$99:E149)=D$92,F149,D$92-SUM(E$99:E149))</f>
        <v>0</v>
      </c>
      <c r="E150" s="160">
        <f t="shared" si="15"/>
        <v>0</v>
      </c>
      <c r="F150" s="159">
        <f t="shared" si="16"/>
        <v>0</v>
      </c>
      <c r="G150" s="159">
        <f t="shared" si="17"/>
        <v>0</v>
      </c>
      <c r="H150" s="163">
        <f t="shared" si="18"/>
        <v>0</v>
      </c>
      <c r="I150" s="253">
        <f t="shared" si="19"/>
        <v>0</v>
      </c>
      <c r="J150" s="158">
        <f t="shared" si="20"/>
        <v>0</v>
      </c>
      <c r="K150" s="158"/>
      <c r="L150" s="334"/>
      <c r="M150" s="158">
        <f t="shared" si="21"/>
        <v>0</v>
      </c>
      <c r="N150" s="334"/>
      <c r="O150" s="158">
        <f t="shared" si="22"/>
        <v>0</v>
      </c>
      <c r="P150" s="158">
        <f t="shared" si="23"/>
        <v>0</v>
      </c>
    </row>
    <row r="151" spans="2:16">
      <c r="B151" s="9" t="str">
        <f t="shared" si="14"/>
        <v/>
      </c>
      <c r="C151" s="153">
        <f>IF(D93="","-",+C150+1)</f>
        <v>2067</v>
      </c>
      <c r="D151" s="154">
        <f>IF(F150+SUM(E$99:E150)=D$92,F150,D$92-SUM(E$99:E150))</f>
        <v>0</v>
      </c>
      <c r="E151" s="160">
        <f t="shared" si="15"/>
        <v>0</v>
      </c>
      <c r="F151" s="159">
        <f t="shared" si="16"/>
        <v>0</v>
      </c>
      <c r="G151" s="159">
        <f t="shared" si="17"/>
        <v>0</v>
      </c>
      <c r="H151" s="163">
        <f t="shared" si="18"/>
        <v>0</v>
      </c>
      <c r="I151" s="253">
        <f t="shared" si="19"/>
        <v>0</v>
      </c>
      <c r="J151" s="158">
        <f t="shared" si="20"/>
        <v>0</v>
      </c>
      <c r="K151" s="158"/>
      <c r="L151" s="334"/>
      <c r="M151" s="158">
        <f t="shared" si="21"/>
        <v>0</v>
      </c>
      <c r="N151" s="334"/>
      <c r="O151" s="158">
        <f t="shared" si="22"/>
        <v>0</v>
      </c>
      <c r="P151" s="158">
        <f t="shared" si="23"/>
        <v>0</v>
      </c>
    </row>
    <row r="152" spans="2:16">
      <c r="B152" s="9" t="str">
        <f t="shared" si="14"/>
        <v/>
      </c>
      <c r="C152" s="153">
        <f>IF(D93="","-",+C151+1)</f>
        <v>2068</v>
      </c>
      <c r="D152" s="154">
        <f>IF(F151+SUM(E$99:E151)=D$92,F151,D$92-SUM(E$99:E151))</f>
        <v>0</v>
      </c>
      <c r="E152" s="160">
        <f t="shared" si="15"/>
        <v>0</v>
      </c>
      <c r="F152" s="159">
        <f t="shared" si="16"/>
        <v>0</v>
      </c>
      <c r="G152" s="159">
        <f t="shared" si="17"/>
        <v>0</v>
      </c>
      <c r="H152" s="163">
        <f t="shared" si="18"/>
        <v>0</v>
      </c>
      <c r="I152" s="253">
        <f t="shared" si="19"/>
        <v>0</v>
      </c>
      <c r="J152" s="158">
        <f t="shared" si="20"/>
        <v>0</v>
      </c>
      <c r="K152" s="158"/>
      <c r="L152" s="334"/>
      <c r="M152" s="158">
        <f t="shared" si="21"/>
        <v>0</v>
      </c>
      <c r="N152" s="334"/>
      <c r="O152" s="158">
        <f t="shared" si="22"/>
        <v>0</v>
      </c>
      <c r="P152" s="158">
        <f t="shared" si="23"/>
        <v>0</v>
      </c>
    </row>
    <row r="153" spans="2:16">
      <c r="B153" s="9" t="str">
        <f t="shared" si="14"/>
        <v/>
      </c>
      <c r="C153" s="153">
        <f>IF(D93="","-",+C152+1)</f>
        <v>2069</v>
      </c>
      <c r="D153" s="154">
        <f>IF(F152+SUM(E$99:E152)=D$92,F152,D$92-SUM(E$99:E152))</f>
        <v>0</v>
      </c>
      <c r="E153" s="160">
        <f t="shared" si="15"/>
        <v>0</v>
      </c>
      <c r="F153" s="159">
        <f t="shared" si="16"/>
        <v>0</v>
      </c>
      <c r="G153" s="159">
        <f t="shared" si="17"/>
        <v>0</v>
      </c>
      <c r="H153" s="163">
        <f t="shared" si="18"/>
        <v>0</v>
      </c>
      <c r="I153" s="253">
        <f t="shared" si="19"/>
        <v>0</v>
      </c>
      <c r="J153" s="158">
        <f t="shared" si="20"/>
        <v>0</v>
      </c>
      <c r="K153" s="158"/>
      <c r="L153" s="334"/>
      <c r="M153" s="158">
        <f t="shared" si="21"/>
        <v>0</v>
      </c>
      <c r="N153" s="334"/>
      <c r="O153" s="158">
        <f t="shared" si="22"/>
        <v>0</v>
      </c>
      <c r="P153" s="158">
        <f t="shared" si="23"/>
        <v>0</v>
      </c>
    </row>
    <row r="154" spans="2:16" ht="13.5" thickBot="1">
      <c r="B154" s="9" t="str">
        <f t="shared" si="14"/>
        <v/>
      </c>
      <c r="C154" s="164">
        <f>IF(D93="","-",+C153+1)</f>
        <v>2070</v>
      </c>
      <c r="D154" s="154">
        <f>IF(F153+SUM(E$99:E153)=D$92,F153,D$92-SUM(E$99:E153))</f>
        <v>0</v>
      </c>
      <c r="E154" s="160">
        <f t="shared" si="15"/>
        <v>0</v>
      </c>
      <c r="F154" s="159">
        <f t="shared" si="16"/>
        <v>0</v>
      </c>
      <c r="G154" s="159">
        <f t="shared" si="17"/>
        <v>0</v>
      </c>
      <c r="H154" s="163">
        <f t="shared" si="18"/>
        <v>0</v>
      </c>
      <c r="I154" s="253">
        <f t="shared" si="19"/>
        <v>0</v>
      </c>
      <c r="J154" s="158">
        <f t="shared" si="20"/>
        <v>0</v>
      </c>
      <c r="K154" s="158"/>
      <c r="L154" s="335"/>
      <c r="M154" s="169">
        <f t="shared" si="21"/>
        <v>0</v>
      </c>
      <c r="N154" s="335"/>
      <c r="O154" s="169">
        <f t="shared" si="22"/>
        <v>0</v>
      </c>
      <c r="P154" s="169">
        <f t="shared" si="23"/>
        <v>0</v>
      </c>
    </row>
    <row r="155" spans="2:16">
      <c r="C155" s="154" t="s">
        <v>73</v>
      </c>
      <c r="D155" s="111"/>
      <c r="E155" s="111">
        <f>SUM(E99:E154)</f>
        <v>5522410.9999999991</v>
      </c>
      <c r="F155" s="111"/>
      <c r="G155" s="111"/>
      <c r="H155" s="111">
        <f>SUM(H99:H154)</f>
        <v>20007618.614182483</v>
      </c>
      <c r="I155" s="111">
        <f>SUM(I99:I154)</f>
        <v>20007618.614182483</v>
      </c>
      <c r="J155" s="111">
        <f>SUM(J99:J154)</f>
        <v>0</v>
      </c>
      <c r="K155" s="111"/>
      <c r="L155" s="111"/>
      <c r="M155" s="111"/>
      <c r="N155" s="111"/>
      <c r="O155" s="111"/>
      <c r="P155" s="1"/>
    </row>
    <row r="156" spans="2:16">
      <c r="C156" t="s">
        <v>87</v>
      </c>
      <c r="D156" s="2"/>
      <c r="E156" s="1"/>
      <c r="F156" s="1"/>
      <c r="G156" s="1"/>
      <c r="H156" s="1"/>
      <c r="I156" s="3"/>
      <c r="J156" s="3"/>
      <c r="K156" s="111"/>
      <c r="L156" s="3"/>
      <c r="M156" s="3"/>
      <c r="N156" s="3"/>
      <c r="O156" s="3"/>
      <c r="P156" s="1"/>
    </row>
    <row r="157" spans="2:16">
      <c r="C157" s="216"/>
      <c r="D157" s="2"/>
      <c r="E157" s="1"/>
      <c r="F157" s="1"/>
      <c r="G157" s="1"/>
      <c r="H157" s="1"/>
      <c r="I157" s="3"/>
      <c r="J157" s="3"/>
      <c r="K157" s="111"/>
      <c r="L157" s="3"/>
      <c r="M157" s="3"/>
      <c r="N157" s="3"/>
      <c r="O157" s="3"/>
      <c r="P157" s="1"/>
    </row>
    <row r="158" spans="2:16">
      <c r="C158" s="248" t="s">
        <v>127</v>
      </c>
      <c r="D158" s="2"/>
      <c r="E158" s="1"/>
      <c r="F158" s="1"/>
      <c r="G158" s="1"/>
      <c r="H158" s="1"/>
      <c r="I158" s="3"/>
      <c r="J158" s="3"/>
      <c r="K158" s="111"/>
      <c r="L158" s="3"/>
      <c r="M158" s="3"/>
      <c r="N158" s="3"/>
      <c r="O158" s="3"/>
      <c r="P158" s="1"/>
    </row>
    <row r="159" spans="2:16">
      <c r="C159" s="121" t="s">
        <v>74</v>
      </c>
      <c r="D159" s="154"/>
      <c r="E159" s="154"/>
      <c r="F159" s="154"/>
      <c r="G159" s="154"/>
      <c r="H159" s="111"/>
      <c r="I159" s="111"/>
      <c r="J159" s="171"/>
      <c r="K159" s="171"/>
      <c r="L159" s="171"/>
      <c r="M159" s="171"/>
      <c r="N159" s="171"/>
      <c r="O159" s="171"/>
      <c r="P159" s="1"/>
    </row>
    <row r="160" spans="2:16">
      <c r="C160" s="217" t="s">
        <v>75</v>
      </c>
      <c r="D160" s="154"/>
      <c r="E160" s="154"/>
      <c r="F160" s="154"/>
      <c r="G160" s="154"/>
      <c r="H160" s="111"/>
      <c r="I160" s="111"/>
      <c r="J160" s="171"/>
      <c r="K160" s="171"/>
      <c r="L160" s="171"/>
      <c r="M160" s="171"/>
      <c r="N160" s="171"/>
      <c r="O160" s="171"/>
      <c r="P160" s="1"/>
    </row>
    <row r="161" spans="3:16">
      <c r="C161" s="217"/>
      <c r="D161" s="154"/>
      <c r="E161" s="154"/>
      <c r="F161" s="154"/>
      <c r="G161" s="154"/>
      <c r="H161" s="111"/>
      <c r="I161" s="111"/>
      <c r="J161" s="171"/>
      <c r="K161" s="171"/>
      <c r="L161" s="171"/>
      <c r="M161" s="171"/>
      <c r="N161" s="171"/>
      <c r="O161" s="171"/>
      <c r="P161" s="1"/>
    </row>
    <row r="162" spans="3:16" ht="18">
      <c r="C162" s="217"/>
      <c r="D162" s="154"/>
      <c r="E162" s="154"/>
      <c r="F162" s="154"/>
      <c r="G162" s="154"/>
      <c r="H162" s="111"/>
      <c r="I162" s="111"/>
      <c r="J162" s="171"/>
      <c r="K162" s="171"/>
      <c r="L162" s="171"/>
      <c r="M162" s="171"/>
      <c r="N162" s="171"/>
      <c r="P162" s="245" t="s">
        <v>126</v>
      </c>
    </row>
  </sheetData>
  <conditionalFormatting sqref="C17:C72">
    <cfRule type="cellIs" dxfId="62" priority="1" stopIfTrue="1" operator="equal">
      <formula>$I$10</formula>
    </cfRule>
  </conditionalFormatting>
  <conditionalFormatting sqref="C99:C154">
    <cfRule type="cellIs" dxfId="61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1"/>
  <dimension ref="A1:P162"/>
  <sheetViews>
    <sheetView view="pageBreakPreview" zoomScale="82" zoomScaleNormal="100" zoomScaleSheetLayoutView="82" workbookViewId="0">
      <selection activeCell="C19" sqref="C19"/>
    </sheetView>
  </sheetViews>
  <sheetFormatPr defaultRowHeight="12.75" customHeight="1"/>
  <cols>
    <col min="1" max="1" width="4.7109375" customWidth="1"/>
    <col min="2" max="2" width="6.7109375" customWidth="1"/>
    <col min="3" max="3" width="23.28515625" customWidth="1"/>
    <col min="4" max="8" width="17.7109375" customWidth="1"/>
    <col min="9" max="9" width="20.42578125" customWidth="1"/>
    <col min="10" max="10" width="16.42578125" customWidth="1"/>
    <col min="11" max="11" width="17.7109375" customWidth="1"/>
    <col min="12" max="12" width="16.140625" customWidth="1"/>
    <col min="13" max="13" width="17.7109375" customWidth="1"/>
    <col min="14" max="14" width="16.7109375" customWidth="1"/>
    <col min="15" max="15" width="16.85546875" customWidth="1"/>
    <col min="16" max="16" width="24.42578125" customWidth="1"/>
    <col min="17" max="17" width="9.140625" customWidth="1"/>
    <col min="23" max="23" width="9.140625" customWidth="1"/>
  </cols>
  <sheetData>
    <row r="1" spans="1:16" ht="20.25">
      <c r="A1" s="243" t="s">
        <v>128</v>
      </c>
      <c r="B1" s="1"/>
      <c r="C1" s="21"/>
      <c r="D1" s="2"/>
      <c r="E1" s="1"/>
      <c r="F1" s="99"/>
      <c r="G1" s="1"/>
      <c r="H1" s="3"/>
      <c r="J1" s="7"/>
      <c r="K1" s="109"/>
      <c r="L1" s="109"/>
      <c r="M1" s="109"/>
      <c r="P1" s="249" t="str">
        <f ca="1">"SWEPCO Project "&amp;RIGHT(MID(CELL("filename",$A$1),FIND("]",CELL("filename",$A$1))+1,256),2)&amp;" of "&amp;COUNT('S.001:S.xyz - blank'!$P$3)-1</f>
        <v>SWEPCO Project 52 of 73</v>
      </c>
    </row>
    <row r="2" spans="1:16" ht="18">
      <c r="B2" s="1"/>
      <c r="C2" s="1"/>
      <c r="D2" s="2"/>
      <c r="E2" s="1"/>
      <c r="F2" s="1"/>
      <c r="G2" s="1"/>
      <c r="H2" s="3"/>
      <c r="I2" s="1"/>
      <c r="J2" s="4"/>
      <c r="K2" s="1"/>
      <c r="L2" s="1"/>
      <c r="M2" s="1"/>
      <c r="N2" s="1"/>
      <c r="P2" s="244" t="s">
        <v>124</v>
      </c>
    </row>
    <row r="3" spans="1:16" ht="18.75">
      <c r="B3" s="5" t="s">
        <v>40</v>
      </c>
      <c r="C3" s="68" t="s">
        <v>41</v>
      </c>
      <c r="D3" s="2"/>
      <c r="E3" s="1"/>
      <c r="F3" s="1"/>
      <c r="G3" s="1"/>
      <c r="H3" s="3"/>
      <c r="I3" s="3"/>
      <c r="J3" s="111"/>
      <c r="K3" s="3"/>
      <c r="L3" s="3"/>
      <c r="M3" s="3"/>
      <c r="N3" s="3"/>
      <c r="O3" s="1"/>
      <c r="P3" s="240">
        <v>1</v>
      </c>
    </row>
    <row r="4" spans="1:16" ht="15.75" thickBot="1">
      <c r="C4" s="67"/>
      <c r="D4" s="2"/>
      <c r="E4" s="1"/>
      <c r="F4" s="1"/>
      <c r="G4" s="1"/>
      <c r="H4" s="3"/>
      <c r="I4" s="3"/>
      <c r="J4" s="111"/>
      <c r="K4" s="3"/>
      <c r="L4" s="3"/>
      <c r="M4" s="3"/>
      <c r="N4" s="3"/>
      <c r="O4" s="1"/>
      <c r="P4" s="1"/>
    </row>
    <row r="5" spans="1:16" ht="15">
      <c r="C5" s="112" t="s">
        <v>42</v>
      </c>
      <c r="D5" s="2"/>
      <c r="E5" s="1"/>
      <c r="F5" s="1"/>
      <c r="G5" s="113"/>
      <c r="H5" s="1" t="s">
        <v>43</v>
      </c>
      <c r="I5" s="1"/>
      <c r="J5" s="4"/>
      <c r="K5" s="268" t="s">
        <v>152</v>
      </c>
      <c r="L5" s="114"/>
      <c r="M5" s="115"/>
      <c r="N5" s="116">
        <f>VLOOKUP(I10,C17:I72,5)</f>
        <v>1361979.1659013417</v>
      </c>
      <c r="P5" s="1"/>
    </row>
    <row r="6" spans="1:16" ht="15.75">
      <c r="C6" s="8"/>
      <c r="D6" s="2"/>
      <c r="E6" s="1"/>
      <c r="F6" s="1"/>
      <c r="G6" s="1"/>
      <c r="H6" s="117"/>
      <c r="I6" s="117"/>
      <c r="J6" s="118"/>
      <c r="K6" s="269" t="s">
        <v>153</v>
      </c>
      <c r="L6" s="119"/>
      <c r="M6" s="4"/>
      <c r="N6" s="120">
        <f>VLOOKUP(I10,C17:I72,6)</f>
        <v>1361979.1659013417</v>
      </c>
      <c r="O6" s="1"/>
      <c r="P6" s="1"/>
    </row>
    <row r="7" spans="1:16" ht="13.5" thickBot="1">
      <c r="C7" s="121" t="s">
        <v>44</v>
      </c>
      <c r="D7" s="386" t="s">
        <v>330</v>
      </c>
      <c r="E7" s="379"/>
      <c r="F7" s="379"/>
      <c r="G7" s="379"/>
      <c r="H7" s="383"/>
      <c r="I7" s="3"/>
      <c r="J7" s="111"/>
      <c r="K7" s="122" t="s">
        <v>45</v>
      </c>
      <c r="L7" s="123"/>
      <c r="M7" s="123"/>
      <c r="N7" s="124">
        <f>+N6-N5</f>
        <v>0</v>
      </c>
      <c r="O7" s="1"/>
      <c r="P7" s="1"/>
    </row>
    <row r="8" spans="1:16" ht="13.5" thickBot="1">
      <c r="C8" s="125"/>
      <c r="D8" s="352" t="str">
        <f>IF(D10&lt;100000,"DOES NOT MEET SPP $100,000 MINIMUM INVESTMENT FOR REGIONAL BPU SHARING.","")</f>
        <v/>
      </c>
      <c r="E8" s="126"/>
      <c r="F8" s="126"/>
      <c r="G8" s="126"/>
      <c r="H8" s="126"/>
      <c r="I8" s="126"/>
      <c r="J8" s="101"/>
      <c r="K8" s="126"/>
      <c r="L8" s="126"/>
      <c r="M8" s="126"/>
      <c r="N8" s="126"/>
      <c r="O8" s="101"/>
      <c r="P8" s="21"/>
    </row>
    <row r="9" spans="1:16" ht="13.5" thickBot="1">
      <c r="C9" s="127" t="s">
        <v>46</v>
      </c>
      <c r="D9" s="225" t="s">
        <v>324</v>
      </c>
      <c r="E9" s="401" t="s">
        <v>439</v>
      </c>
      <c r="F9" s="128"/>
      <c r="G9" s="128"/>
      <c r="H9" s="128"/>
      <c r="I9" s="129"/>
      <c r="J9" s="130"/>
      <c r="O9" s="131"/>
      <c r="P9" s="4"/>
    </row>
    <row r="10" spans="1:16">
      <c r="C10" s="132" t="s">
        <v>47</v>
      </c>
      <c r="D10" s="133">
        <v>12017567</v>
      </c>
      <c r="E10" s="61" t="s">
        <v>459</v>
      </c>
      <c r="F10" s="131"/>
      <c r="G10" s="134"/>
      <c r="H10" s="134"/>
      <c r="I10" s="135">
        <f>+SWE.WS.F.BPU.ATRR.Projected!K17</f>
        <v>2019</v>
      </c>
      <c r="J10" s="130"/>
      <c r="K10" s="111" t="s">
        <v>48</v>
      </c>
      <c r="O10" s="4"/>
      <c r="P10" s="4"/>
    </row>
    <row r="11" spans="1:16">
      <c r="C11" s="136" t="s">
        <v>49</v>
      </c>
      <c r="D11" s="137">
        <v>2015</v>
      </c>
      <c r="E11" s="136" t="s">
        <v>50</v>
      </c>
      <c r="F11" s="134"/>
      <c r="G11" s="7"/>
      <c r="H11" s="7"/>
      <c r="I11" s="138">
        <f>IF(G5="",0,SWE.WS.F.BPU.ATRR.Projected!F$11)</f>
        <v>0</v>
      </c>
      <c r="J11" s="139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4"/>
      <c r="P11" s="4"/>
    </row>
    <row r="12" spans="1:16">
      <c r="C12" s="136" t="s">
        <v>51</v>
      </c>
      <c r="D12" s="133">
        <v>5</v>
      </c>
      <c r="E12" s="136" t="s">
        <v>52</v>
      </c>
      <c r="F12" s="134"/>
      <c r="G12" s="7"/>
      <c r="H12" s="7"/>
      <c r="I12" s="140">
        <f>SWE.WS.F.BPU.ATRR.Projected!$F$76</f>
        <v>9.9555672459071778E-2</v>
      </c>
      <c r="J12" s="141"/>
      <c r="K12" t="s">
        <v>53</v>
      </c>
      <c r="O12" s="4"/>
      <c r="P12" s="4"/>
    </row>
    <row r="13" spans="1:16">
      <c r="C13" s="136" t="s">
        <v>54</v>
      </c>
      <c r="D13" s="138">
        <f>+SWE.WS.F.BPU.ATRR.Projected!F$87</f>
        <v>43</v>
      </c>
      <c r="E13" s="136" t="s">
        <v>55</v>
      </c>
      <c r="F13" s="134"/>
      <c r="G13" s="7"/>
      <c r="H13" s="7"/>
      <c r="I13" s="140">
        <f>IF(G5="",I12,SWE.WS.F.BPU.ATRR.Projected!$F$75)</f>
        <v>9.9555672459071778E-2</v>
      </c>
      <c r="J13" s="141"/>
      <c r="K13" s="111" t="s">
        <v>56</v>
      </c>
      <c r="L13" s="58"/>
      <c r="M13" s="58"/>
      <c r="N13" s="58"/>
      <c r="O13" s="4"/>
      <c r="P13" s="4"/>
    </row>
    <row r="14" spans="1:16" ht="13.5" thickBot="1">
      <c r="C14" s="136" t="s">
        <v>57</v>
      </c>
      <c r="D14" s="137" t="s">
        <v>58</v>
      </c>
      <c r="E14" s="4" t="s">
        <v>59</v>
      </c>
      <c r="F14" s="134"/>
      <c r="G14" s="7"/>
      <c r="H14" s="7"/>
      <c r="I14" s="142">
        <f>IF(D10=0,0,D10/D13)</f>
        <v>279478.30232558138</v>
      </c>
      <c r="J14" s="111"/>
      <c r="K14" s="111"/>
      <c r="L14" s="111"/>
      <c r="M14" s="111"/>
      <c r="N14" s="111"/>
      <c r="O14" s="4"/>
      <c r="P14" s="4"/>
    </row>
    <row r="15" spans="1:16" ht="38.25">
      <c r="C15" s="143" t="s">
        <v>47</v>
      </c>
      <c r="D15" s="144" t="s">
        <v>60</v>
      </c>
      <c r="E15" s="144" t="s">
        <v>61</v>
      </c>
      <c r="F15" s="144" t="s">
        <v>62</v>
      </c>
      <c r="G15" s="434" t="s">
        <v>378</v>
      </c>
      <c r="H15" s="435" t="s">
        <v>379</v>
      </c>
      <c r="I15" s="143" t="s">
        <v>63</v>
      </c>
      <c r="J15" s="145"/>
      <c r="K15" s="271" t="s">
        <v>219</v>
      </c>
      <c r="L15" s="146" t="s">
        <v>64</v>
      </c>
      <c r="M15" s="271" t="s">
        <v>219</v>
      </c>
      <c r="N15" s="146" t="s">
        <v>64</v>
      </c>
      <c r="O15" s="146" t="s">
        <v>65</v>
      </c>
      <c r="P15" s="4"/>
    </row>
    <row r="16" spans="1:16" ht="13.5" thickBot="1">
      <c r="C16" s="147" t="s">
        <v>66</v>
      </c>
      <c r="D16" s="147" t="s">
        <v>67</v>
      </c>
      <c r="E16" s="147" t="s">
        <v>68</v>
      </c>
      <c r="F16" s="147" t="s">
        <v>67</v>
      </c>
      <c r="G16" s="408" t="s">
        <v>69</v>
      </c>
      <c r="H16" s="148" t="s">
        <v>70</v>
      </c>
      <c r="I16" s="149" t="s">
        <v>89</v>
      </c>
      <c r="J16" s="150" t="s">
        <v>71</v>
      </c>
      <c r="K16" s="151" t="s">
        <v>72</v>
      </c>
      <c r="L16" s="151" t="s">
        <v>72</v>
      </c>
      <c r="M16" s="151" t="s">
        <v>90</v>
      </c>
      <c r="N16" s="152" t="s">
        <v>90</v>
      </c>
      <c r="O16" s="151" t="s">
        <v>90</v>
      </c>
      <c r="P16" s="4"/>
    </row>
    <row r="17" spans="2:16">
      <c r="C17" s="153">
        <f>IF(D11= "","-",D11)</f>
        <v>2015</v>
      </c>
      <c r="D17" s="409">
        <v>12300000</v>
      </c>
      <c r="E17" s="415">
        <v>146428.57142857142</v>
      </c>
      <c r="F17" s="409">
        <v>12153571.428571429</v>
      </c>
      <c r="G17" s="415">
        <v>1747112.2775653705</v>
      </c>
      <c r="H17" s="416">
        <v>1747112.2775653705</v>
      </c>
      <c r="I17" s="156">
        <v>0</v>
      </c>
      <c r="J17" s="156"/>
      <c r="K17" s="258">
        <f>G17</f>
        <v>1747112.2775653705</v>
      </c>
      <c r="L17" s="257">
        <f>IF(K17&lt;&gt;0,+G17-K17,0)</f>
        <v>0</v>
      </c>
      <c r="M17" s="258">
        <f>H17</f>
        <v>1747112.2775653705</v>
      </c>
      <c r="N17" s="158">
        <f>IF(M17&lt;&gt;0,+H17-M17,0)</f>
        <v>0</v>
      </c>
      <c r="O17" s="158">
        <f>+N17-L17</f>
        <v>0</v>
      </c>
      <c r="P17" s="4"/>
    </row>
    <row r="18" spans="2:16">
      <c r="B18" s="9" t="str">
        <f>IF(D18=F17,"","IU")</f>
        <v>IU</v>
      </c>
      <c r="C18" s="153">
        <f>IF(D11="","-",+C17+1)</f>
        <v>2016</v>
      </c>
      <c r="D18" s="411">
        <v>11844058.428571429</v>
      </c>
      <c r="E18" s="410">
        <v>285487.78571428574</v>
      </c>
      <c r="F18" s="411">
        <v>11558570.642857144</v>
      </c>
      <c r="G18" s="410">
        <v>1789026.3661915467</v>
      </c>
      <c r="H18" s="416">
        <v>1789026.3661915467</v>
      </c>
      <c r="I18" s="156">
        <f>H18-G18</f>
        <v>0</v>
      </c>
      <c r="J18" s="156"/>
      <c r="K18" s="258">
        <f>G18</f>
        <v>1789026.3661915467</v>
      </c>
      <c r="L18" s="257">
        <f>IF(K18&lt;&gt;0,+G18-K18,0)</f>
        <v>0</v>
      </c>
      <c r="M18" s="258">
        <f>H18</f>
        <v>1789026.3661915467</v>
      </c>
      <c r="N18" s="158">
        <f>IF(M18&lt;&gt;0,+H18-M18,0)</f>
        <v>0</v>
      </c>
      <c r="O18" s="158">
        <f>+N18-L18</f>
        <v>0</v>
      </c>
      <c r="P18" s="4"/>
    </row>
    <row r="19" spans="2:16">
      <c r="B19" s="9" t="str">
        <f>IF(D19=F18,"","IU")</f>
        <v>IU</v>
      </c>
      <c r="C19" s="153">
        <f>IF(D11="","-",+C18+1)</f>
        <v>2017</v>
      </c>
      <c r="D19" s="411">
        <v>11585650.642857144</v>
      </c>
      <c r="E19" s="410">
        <v>279478.30232558138</v>
      </c>
      <c r="F19" s="411">
        <v>11306172.340531562</v>
      </c>
      <c r="G19" s="410">
        <v>1697541.2765808336</v>
      </c>
      <c r="H19" s="416">
        <v>1697541.2765808336</v>
      </c>
      <c r="I19" s="156">
        <v>0</v>
      </c>
      <c r="J19" s="156"/>
      <c r="K19" s="258">
        <f>G19</f>
        <v>1697541.2765808336</v>
      </c>
      <c r="L19" s="257">
        <f>IF(K19&lt;&gt;0,+G19-K19,0)</f>
        <v>0</v>
      </c>
      <c r="M19" s="258">
        <f>H19</f>
        <v>1697541.2765808336</v>
      </c>
      <c r="N19" s="158">
        <f>IF(M19&lt;&gt;0,+H19-M19,0)</f>
        <v>0</v>
      </c>
      <c r="O19" s="158">
        <f>+N19-L19</f>
        <v>0</v>
      </c>
      <c r="P19" s="4"/>
    </row>
    <row r="20" spans="2:16">
      <c r="B20" s="9" t="str">
        <f t="shared" ref="B20:B72" si="0">IF(D20=F19,"","IU")</f>
        <v/>
      </c>
      <c r="C20" s="153">
        <f>IF(D11="","-",+C19+1)</f>
        <v>2018</v>
      </c>
      <c r="D20" s="411">
        <v>11306172.340531562</v>
      </c>
      <c r="E20" s="410">
        <v>293111.39024390245</v>
      </c>
      <c r="F20" s="411">
        <v>11013060.950287659</v>
      </c>
      <c r="G20" s="410">
        <v>1541696.2829501289</v>
      </c>
      <c r="H20" s="416">
        <v>1541696.2829501289</v>
      </c>
      <c r="I20" s="156">
        <f t="shared" ref="I20:I72" si="1">H20-G20</f>
        <v>0</v>
      </c>
      <c r="J20" s="156"/>
      <c r="K20" s="258">
        <f>G20</f>
        <v>1541696.2829501289</v>
      </c>
      <c r="L20" s="257">
        <f>IF(K20&lt;&gt;0,+G20-K20,0)</f>
        <v>0</v>
      </c>
      <c r="M20" s="258">
        <f>H20</f>
        <v>1541696.2829501289</v>
      </c>
      <c r="N20" s="158">
        <f>IF(M20&lt;&gt;0,+H20-M20,0)</f>
        <v>0</v>
      </c>
      <c r="O20" s="158">
        <f>+N20-L20</f>
        <v>0</v>
      </c>
      <c r="P20" s="4"/>
    </row>
    <row r="21" spans="2:16">
      <c r="B21" s="9" t="str">
        <f t="shared" si="0"/>
        <v/>
      </c>
      <c r="C21" s="153">
        <f>IF(D11="","-",+C20+1)</f>
        <v>2019</v>
      </c>
      <c r="D21" s="159">
        <f>IF(F20+SUM(E$17:E20)=D$10,F20,D$10-SUM(E$17:E20))</f>
        <v>11013060.950287659</v>
      </c>
      <c r="E21" s="160">
        <f t="shared" ref="E21:E72" si="2">IF(+$I$14&lt;F20,$I$14,D21)</f>
        <v>279478.30232558138</v>
      </c>
      <c r="F21" s="159">
        <f t="shared" ref="F21:F72" si="3">+D21-E21</f>
        <v>10733582.647962077</v>
      </c>
      <c r="G21" s="161">
        <f t="shared" ref="G21:G50" si="4">+I$12*((D21+F21)/2)+E21</f>
        <v>1361979.1659013417</v>
      </c>
      <c r="H21" s="142">
        <f t="shared" ref="H21:H50" si="5">+I$13*((D21+F21)/2)+E21</f>
        <v>1361979.1659013417</v>
      </c>
      <c r="I21" s="156">
        <f t="shared" si="1"/>
        <v>0</v>
      </c>
      <c r="J21" s="156"/>
      <c r="K21" s="334"/>
      <c r="L21" s="158">
        <f t="shared" ref="L21:L72" si="6">IF(K21&lt;&gt;0,+G21-K21,0)</f>
        <v>0</v>
      </c>
      <c r="M21" s="334"/>
      <c r="N21" s="158">
        <f t="shared" ref="N21:N72" si="7">IF(M21&lt;&gt;0,+H21-M21,0)</f>
        <v>0</v>
      </c>
      <c r="O21" s="158">
        <f t="shared" ref="O21:O72" si="8">+N21-L21</f>
        <v>0</v>
      </c>
      <c r="P21" s="4"/>
    </row>
    <row r="22" spans="2:16">
      <c r="B22" s="9" t="str">
        <f t="shared" si="0"/>
        <v/>
      </c>
      <c r="C22" s="153">
        <f>IF(D11="","-",+C21+1)</f>
        <v>2020</v>
      </c>
      <c r="D22" s="159">
        <f>IF(F21+SUM(E$17:E21)=D$10,F21,D$10-SUM(E$17:E21))</f>
        <v>10733582.647962077</v>
      </c>
      <c r="E22" s="160">
        <f t="shared" si="2"/>
        <v>279478.30232558138</v>
      </c>
      <c r="F22" s="159">
        <f t="shared" si="3"/>
        <v>10454104.345636494</v>
      </c>
      <c r="G22" s="161">
        <f t="shared" si="4"/>
        <v>1334155.5155755989</v>
      </c>
      <c r="H22" s="142">
        <f t="shared" si="5"/>
        <v>1334155.5155755989</v>
      </c>
      <c r="I22" s="156">
        <f t="shared" si="1"/>
        <v>0</v>
      </c>
      <c r="J22" s="156"/>
      <c r="K22" s="334"/>
      <c r="L22" s="158">
        <f t="shared" si="6"/>
        <v>0</v>
      </c>
      <c r="M22" s="334"/>
      <c r="N22" s="158">
        <f t="shared" si="7"/>
        <v>0</v>
      </c>
      <c r="O22" s="158">
        <f t="shared" si="8"/>
        <v>0</v>
      </c>
      <c r="P22" s="4"/>
    </row>
    <row r="23" spans="2:16">
      <c r="B23" s="9" t="str">
        <f t="shared" si="0"/>
        <v/>
      </c>
      <c r="C23" s="153">
        <f>IF(D11="","-",+C22+1)</f>
        <v>2021</v>
      </c>
      <c r="D23" s="159">
        <f>IF(F22+SUM(E$17:E22)=D$10,F22,D$10-SUM(E$17:E22))</f>
        <v>10454104.345636494</v>
      </c>
      <c r="E23" s="160">
        <f t="shared" si="2"/>
        <v>279478.30232558138</v>
      </c>
      <c r="F23" s="159">
        <f t="shared" si="3"/>
        <v>10174626.043310912</v>
      </c>
      <c r="G23" s="161">
        <f t="shared" si="4"/>
        <v>1306331.8652498554</v>
      </c>
      <c r="H23" s="142">
        <f t="shared" si="5"/>
        <v>1306331.8652498554</v>
      </c>
      <c r="I23" s="156">
        <f t="shared" si="1"/>
        <v>0</v>
      </c>
      <c r="J23" s="156"/>
      <c r="K23" s="334"/>
      <c r="L23" s="158">
        <f t="shared" si="6"/>
        <v>0</v>
      </c>
      <c r="M23" s="334"/>
      <c r="N23" s="158">
        <f t="shared" si="7"/>
        <v>0</v>
      </c>
      <c r="O23" s="158">
        <f t="shared" si="8"/>
        <v>0</v>
      </c>
      <c r="P23" s="4"/>
    </row>
    <row r="24" spans="2:16">
      <c r="B24" s="9" t="str">
        <f t="shared" si="0"/>
        <v/>
      </c>
      <c r="C24" s="153">
        <f>IF(D11="","-",+C23+1)</f>
        <v>2022</v>
      </c>
      <c r="D24" s="159">
        <f>IF(F23+SUM(E$17:E23)=D$10,F23,D$10-SUM(E$17:E23))</f>
        <v>10174626.043310912</v>
      </c>
      <c r="E24" s="160">
        <f t="shared" si="2"/>
        <v>279478.30232558138</v>
      </c>
      <c r="F24" s="159">
        <f t="shared" si="3"/>
        <v>9895147.7409853302</v>
      </c>
      <c r="G24" s="161">
        <f t="shared" si="4"/>
        <v>1278508.2149241127</v>
      </c>
      <c r="H24" s="142">
        <f t="shared" si="5"/>
        <v>1278508.2149241127</v>
      </c>
      <c r="I24" s="156">
        <f t="shared" si="1"/>
        <v>0</v>
      </c>
      <c r="J24" s="156"/>
      <c r="K24" s="334"/>
      <c r="L24" s="158">
        <f t="shared" si="6"/>
        <v>0</v>
      </c>
      <c r="M24" s="334"/>
      <c r="N24" s="158">
        <f t="shared" si="7"/>
        <v>0</v>
      </c>
      <c r="O24" s="158">
        <f t="shared" si="8"/>
        <v>0</v>
      </c>
      <c r="P24" s="4"/>
    </row>
    <row r="25" spans="2:16">
      <c r="B25" s="9" t="str">
        <f t="shared" si="0"/>
        <v/>
      </c>
      <c r="C25" s="153">
        <f>IF(D11="","-",+C24+1)</f>
        <v>2023</v>
      </c>
      <c r="D25" s="159">
        <f>IF(F24+SUM(E$17:E24)=D$10,F24,D$10-SUM(E$17:E24))</f>
        <v>9895147.7409853302</v>
      </c>
      <c r="E25" s="160">
        <f t="shared" si="2"/>
        <v>279478.30232558138</v>
      </c>
      <c r="F25" s="159">
        <f t="shared" si="3"/>
        <v>9615669.4386597481</v>
      </c>
      <c r="G25" s="161">
        <f t="shared" si="4"/>
        <v>1250684.5645983694</v>
      </c>
      <c r="H25" s="142">
        <f t="shared" si="5"/>
        <v>1250684.5645983694</v>
      </c>
      <c r="I25" s="156">
        <f t="shared" si="1"/>
        <v>0</v>
      </c>
      <c r="J25" s="156"/>
      <c r="K25" s="334"/>
      <c r="L25" s="158">
        <f t="shared" si="6"/>
        <v>0</v>
      </c>
      <c r="M25" s="334"/>
      <c r="N25" s="158">
        <f t="shared" si="7"/>
        <v>0</v>
      </c>
      <c r="O25" s="158">
        <f t="shared" si="8"/>
        <v>0</v>
      </c>
      <c r="P25" s="4"/>
    </row>
    <row r="26" spans="2:16">
      <c r="B26" s="9" t="str">
        <f t="shared" si="0"/>
        <v/>
      </c>
      <c r="C26" s="153">
        <f>IF(D11="","-",+C25+1)</f>
        <v>2024</v>
      </c>
      <c r="D26" s="159">
        <f>IF(F25+SUM(E$17:E25)=D$10,F25,D$10-SUM(E$17:E25))</f>
        <v>9615669.4386597481</v>
      </c>
      <c r="E26" s="160">
        <f t="shared" si="2"/>
        <v>279478.30232558138</v>
      </c>
      <c r="F26" s="159">
        <f t="shared" si="3"/>
        <v>9336191.1363341659</v>
      </c>
      <c r="G26" s="161">
        <f t="shared" si="4"/>
        <v>1222860.9142726264</v>
      </c>
      <c r="H26" s="142">
        <f t="shared" si="5"/>
        <v>1222860.9142726264</v>
      </c>
      <c r="I26" s="156">
        <f t="shared" si="1"/>
        <v>0</v>
      </c>
      <c r="J26" s="156"/>
      <c r="K26" s="334"/>
      <c r="L26" s="158">
        <f t="shared" si="6"/>
        <v>0</v>
      </c>
      <c r="M26" s="334"/>
      <c r="N26" s="158">
        <f t="shared" si="7"/>
        <v>0</v>
      </c>
      <c r="O26" s="158">
        <f t="shared" si="8"/>
        <v>0</v>
      </c>
      <c r="P26" s="4"/>
    </row>
    <row r="27" spans="2:16">
      <c r="B27" s="9" t="str">
        <f t="shared" si="0"/>
        <v/>
      </c>
      <c r="C27" s="153">
        <f>IF(D11="","-",+C26+1)</f>
        <v>2025</v>
      </c>
      <c r="D27" s="159">
        <f>IF(F26+SUM(E$17:E26)=D$10,F26,D$10-SUM(E$17:E26))</f>
        <v>9336191.1363341659</v>
      </c>
      <c r="E27" s="160">
        <f t="shared" si="2"/>
        <v>279478.30232558138</v>
      </c>
      <c r="F27" s="159">
        <f t="shared" si="3"/>
        <v>9056712.8340085838</v>
      </c>
      <c r="G27" s="161">
        <f t="shared" si="4"/>
        <v>1195037.2639468831</v>
      </c>
      <c r="H27" s="142">
        <f t="shared" si="5"/>
        <v>1195037.2639468831</v>
      </c>
      <c r="I27" s="156">
        <f t="shared" si="1"/>
        <v>0</v>
      </c>
      <c r="J27" s="156"/>
      <c r="K27" s="334"/>
      <c r="L27" s="158">
        <f t="shared" si="6"/>
        <v>0</v>
      </c>
      <c r="M27" s="334"/>
      <c r="N27" s="158">
        <f t="shared" si="7"/>
        <v>0</v>
      </c>
      <c r="O27" s="158">
        <f t="shared" si="8"/>
        <v>0</v>
      </c>
      <c r="P27" s="4"/>
    </row>
    <row r="28" spans="2:16">
      <c r="B28" s="9" t="str">
        <f t="shared" si="0"/>
        <v/>
      </c>
      <c r="C28" s="153">
        <f>IF(D11="","-",+C27+1)</f>
        <v>2026</v>
      </c>
      <c r="D28" s="159">
        <f>IF(F27+SUM(E$17:E27)=D$10,F27,D$10-SUM(E$17:E27))</f>
        <v>9056712.8340085838</v>
      </c>
      <c r="E28" s="160">
        <f t="shared" si="2"/>
        <v>279478.30232558138</v>
      </c>
      <c r="F28" s="159">
        <f t="shared" si="3"/>
        <v>8777234.5316830017</v>
      </c>
      <c r="G28" s="161">
        <f t="shared" si="4"/>
        <v>1167213.6136211401</v>
      </c>
      <c r="H28" s="142">
        <f t="shared" si="5"/>
        <v>1167213.6136211401</v>
      </c>
      <c r="I28" s="156">
        <f t="shared" si="1"/>
        <v>0</v>
      </c>
      <c r="J28" s="156"/>
      <c r="K28" s="334"/>
      <c r="L28" s="158">
        <f t="shared" si="6"/>
        <v>0</v>
      </c>
      <c r="M28" s="334"/>
      <c r="N28" s="158">
        <f t="shared" si="7"/>
        <v>0</v>
      </c>
      <c r="O28" s="158">
        <f t="shared" si="8"/>
        <v>0</v>
      </c>
      <c r="P28" s="4"/>
    </row>
    <row r="29" spans="2:16">
      <c r="B29" s="9" t="str">
        <f t="shared" si="0"/>
        <v/>
      </c>
      <c r="C29" s="153">
        <f>IF(D11="","-",+C28+1)</f>
        <v>2027</v>
      </c>
      <c r="D29" s="159">
        <f>IF(F28+SUM(E$17:E28)=D$10,F28,D$10-SUM(E$17:E28))</f>
        <v>8777234.5316830017</v>
      </c>
      <c r="E29" s="160">
        <f t="shared" si="2"/>
        <v>279478.30232558138</v>
      </c>
      <c r="F29" s="159">
        <f t="shared" si="3"/>
        <v>8497756.2293574195</v>
      </c>
      <c r="G29" s="161">
        <f t="shared" si="4"/>
        <v>1139389.9632953969</v>
      </c>
      <c r="H29" s="142">
        <f t="shared" si="5"/>
        <v>1139389.9632953969</v>
      </c>
      <c r="I29" s="156">
        <f t="shared" si="1"/>
        <v>0</v>
      </c>
      <c r="J29" s="156"/>
      <c r="K29" s="334"/>
      <c r="L29" s="158">
        <f t="shared" si="6"/>
        <v>0</v>
      </c>
      <c r="M29" s="334"/>
      <c r="N29" s="158">
        <f t="shared" si="7"/>
        <v>0</v>
      </c>
      <c r="O29" s="158">
        <f t="shared" si="8"/>
        <v>0</v>
      </c>
      <c r="P29" s="4"/>
    </row>
    <row r="30" spans="2:16">
      <c r="B30" s="9" t="str">
        <f t="shared" si="0"/>
        <v/>
      </c>
      <c r="C30" s="153">
        <f>IF(D11="","-",+C29+1)</f>
        <v>2028</v>
      </c>
      <c r="D30" s="159">
        <f>IF(F29+SUM(E$17:E29)=D$10,F29,D$10-SUM(E$17:E29))</f>
        <v>8497756.2293574195</v>
      </c>
      <c r="E30" s="160">
        <f t="shared" si="2"/>
        <v>279478.30232558138</v>
      </c>
      <c r="F30" s="159">
        <f t="shared" si="3"/>
        <v>8218277.9270318383</v>
      </c>
      <c r="G30" s="161">
        <f t="shared" si="4"/>
        <v>1111566.3129696541</v>
      </c>
      <c r="H30" s="142">
        <f t="shared" si="5"/>
        <v>1111566.3129696541</v>
      </c>
      <c r="I30" s="156">
        <f t="shared" si="1"/>
        <v>0</v>
      </c>
      <c r="J30" s="156"/>
      <c r="K30" s="334"/>
      <c r="L30" s="158">
        <f t="shared" si="6"/>
        <v>0</v>
      </c>
      <c r="M30" s="334"/>
      <c r="N30" s="158">
        <f t="shared" si="7"/>
        <v>0</v>
      </c>
      <c r="O30" s="158">
        <f t="shared" si="8"/>
        <v>0</v>
      </c>
      <c r="P30" s="4"/>
    </row>
    <row r="31" spans="2:16">
      <c r="B31" s="9" t="str">
        <f t="shared" si="0"/>
        <v/>
      </c>
      <c r="C31" s="153">
        <f>IF(D11="","-",+C30+1)</f>
        <v>2029</v>
      </c>
      <c r="D31" s="159">
        <f>IF(F30+SUM(E$17:E30)=D$10,F30,D$10-SUM(E$17:E30))</f>
        <v>8218277.9270318383</v>
      </c>
      <c r="E31" s="160">
        <f t="shared" si="2"/>
        <v>279478.30232558138</v>
      </c>
      <c r="F31" s="159">
        <f t="shared" si="3"/>
        <v>7938799.6247062571</v>
      </c>
      <c r="G31" s="161">
        <f t="shared" si="4"/>
        <v>1083742.6626439109</v>
      </c>
      <c r="H31" s="142">
        <f t="shared" si="5"/>
        <v>1083742.6626439109</v>
      </c>
      <c r="I31" s="156">
        <f t="shared" si="1"/>
        <v>0</v>
      </c>
      <c r="J31" s="156"/>
      <c r="K31" s="334"/>
      <c r="L31" s="158">
        <f t="shared" si="6"/>
        <v>0</v>
      </c>
      <c r="M31" s="334"/>
      <c r="N31" s="158">
        <f t="shared" si="7"/>
        <v>0</v>
      </c>
      <c r="O31" s="158">
        <f t="shared" si="8"/>
        <v>0</v>
      </c>
      <c r="P31" s="4"/>
    </row>
    <row r="32" spans="2:16">
      <c r="B32" s="9" t="str">
        <f t="shared" si="0"/>
        <v/>
      </c>
      <c r="C32" s="153">
        <f>IF(D11="","-",+C31+1)</f>
        <v>2030</v>
      </c>
      <c r="D32" s="159">
        <f>IF(F31+SUM(E$17:E31)=D$10,F31,D$10-SUM(E$17:E31))</f>
        <v>7938799.6247062571</v>
      </c>
      <c r="E32" s="160">
        <f t="shared" si="2"/>
        <v>279478.30232558138</v>
      </c>
      <c r="F32" s="159">
        <f t="shared" si="3"/>
        <v>7659321.3223806759</v>
      </c>
      <c r="G32" s="161">
        <f t="shared" si="4"/>
        <v>1055919.0123181681</v>
      </c>
      <c r="H32" s="142">
        <f t="shared" si="5"/>
        <v>1055919.0123181681</v>
      </c>
      <c r="I32" s="156">
        <f t="shared" si="1"/>
        <v>0</v>
      </c>
      <c r="J32" s="156"/>
      <c r="K32" s="334"/>
      <c r="L32" s="158">
        <f t="shared" si="6"/>
        <v>0</v>
      </c>
      <c r="M32" s="334"/>
      <c r="N32" s="158">
        <f t="shared" si="7"/>
        <v>0</v>
      </c>
      <c r="O32" s="158">
        <f t="shared" si="8"/>
        <v>0</v>
      </c>
      <c r="P32" s="4"/>
    </row>
    <row r="33" spans="2:16">
      <c r="B33" s="9" t="str">
        <f t="shared" si="0"/>
        <v/>
      </c>
      <c r="C33" s="153">
        <f>IF(D11="","-",+C32+1)</f>
        <v>2031</v>
      </c>
      <c r="D33" s="159">
        <f>IF(F32+SUM(E$17:E32)=D$10,F32,D$10-SUM(E$17:E32))</f>
        <v>7659321.3223806759</v>
      </c>
      <c r="E33" s="160">
        <f t="shared" si="2"/>
        <v>279478.30232558138</v>
      </c>
      <c r="F33" s="159">
        <f t="shared" si="3"/>
        <v>7379843.0200550947</v>
      </c>
      <c r="G33" s="161">
        <f t="shared" si="4"/>
        <v>1028095.3619924248</v>
      </c>
      <c r="H33" s="142">
        <f t="shared" si="5"/>
        <v>1028095.3619924248</v>
      </c>
      <c r="I33" s="156">
        <f t="shared" si="1"/>
        <v>0</v>
      </c>
      <c r="J33" s="156"/>
      <c r="K33" s="334"/>
      <c r="L33" s="158">
        <f t="shared" si="6"/>
        <v>0</v>
      </c>
      <c r="M33" s="334"/>
      <c r="N33" s="158">
        <f t="shared" si="7"/>
        <v>0</v>
      </c>
      <c r="O33" s="158">
        <f t="shared" si="8"/>
        <v>0</v>
      </c>
      <c r="P33" s="4"/>
    </row>
    <row r="34" spans="2:16">
      <c r="B34" s="9" t="str">
        <f t="shared" si="0"/>
        <v/>
      </c>
      <c r="C34" s="153">
        <f>IF(D11="","-",+C33+1)</f>
        <v>2032</v>
      </c>
      <c r="D34" s="159">
        <f>IF(F33+SUM(E$17:E33)=D$10,F33,D$10-SUM(E$17:E33))</f>
        <v>7379843.0200550947</v>
      </c>
      <c r="E34" s="160">
        <f t="shared" si="2"/>
        <v>279478.30232558138</v>
      </c>
      <c r="F34" s="159">
        <f t="shared" si="3"/>
        <v>7100364.7177295135</v>
      </c>
      <c r="G34" s="161">
        <f t="shared" si="4"/>
        <v>1000271.711666682</v>
      </c>
      <c r="H34" s="142">
        <f t="shared" si="5"/>
        <v>1000271.711666682</v>
      </c>
      <c r="I34" s="156">
        <f t="shared" si="1"/>
        <v>0</v>
      </c>
      <c r="J34" s="156"/>
      <c r="K34" s="334"/>
      <c r="L34" s="158">
        <f t="shared" si="6"/>
        <v>0</v>
      </c>
      <c r="M34" s="334"/>
      <c r="N34" s="158">
        <f t="shared" si="7"/>
        <v>0</v>
      </c>
      <c r="O34" s="158">
        <f t="shared" si="8"/>
        <v>0</v>
      </c>
      <c r="P34" s="4"/>
    </row>
    <row r="35" spans="2:16">
      <c r="B35" s="9" t="str">
        <f t="shared" si="0"/>
        <v/>
      </c>
      <c r="C35" s="153">
        <f>IF(D11="","-",+C34+1)</f>
        <v>2033</v>
      </c>
      <c r="D35" s="159">
        <f>IF(F34+SUM(E$17:E34)=D$10,F34,D$10-SUM(E$17:E34))</f>
        <v>7100364.7177295135</v>
      </c>
      <c r="E35" s="160">
        <f t="shared" si="2"/>
        <v>279478.30232558138</v>
      </c>
      <c r="F35" s="159">
        <f t="shared" si="3"/>
        <v>6820886.4154039323</v>
      </c>
      <c r="G35" s="161">
        <f t="shared" si="4"/>
        <v>972448.06134093902</v>
      </c>
      <c r="H35" s="142">
        <f t="shared" si="5"/>
        <v>972448.06134093902</v>
      </c>
      <c r="I35" s="156">
        <f t="shared" si="1"/>
        <v>0</v>
      </c>
      <c r="J35" s="156"/>
      <c r="K35" s="334"/>
      <c r="L35" s="158">
        <f t="shared" si="6"/>
        <v>0</v>
      </c>
      <c r="M35" s="334"/>
      <c r="N35" s="158">
        <f t="shared" si="7"/>
        <v>0</v>
      </c>
      <c r="O35" s="158">
        <f t="shared" si="8"/>
        <v>0</v>
      </c>
      <c r="P35" s="4"/>
    </row>
    <row r="36" spans="2:16">
      <c r="B36" s="9" t="str">
        <f t="shared" si="0"/>
        <v/>
      </c>
      <c r="C36" s="153">
        <f>IF(D11="","-",+C35+1)</f>
        <v>2034</v>
      </c>
      <c r="D36" s="159">
        <f>IF(F35+SUM(E$17:E35)=D$10,F35,D$10-SUM(E$17:E35))</f>
        <v>6820886.4154039323</v>
      </c>
      <c r="E36" s="160">
        <f t="shared" si="2"/>
        <v>279478.30232558138</v>
      </c>
      <c r="F36" s="159">
        <f t="shared" si="3"/>
        <v>6541408.1130783511</v>
      </c>
      <c r="G36" s="161">
        <f t="shared" si="4"/>
        <v>944624.411015196</v>
      </c>
      <c r="H36" s="142">
        <f t="shared" si="5"/>
        <v>944624.411015196</v>
      </c>
      <c r="I36" s="156">
        <f t="shared" si="1"/>
        <v>0</v>
      </c>
      <c r="J36" s="156"/>
      <c r="K36" s="334"/>
      <c r="L36" s="158">
        <f t="shared" si="6"/>
        <v>0</v>
      </c>
      <c r="M36" s="334"/>
      <c r="N36" s="158">
        <f t="shared" si="7"/>
        <v>0</v>
      </c>
      <c r="O36" s="158">
        <f t="shared" si="8"/>
        <v>0</v>
      </c>
      <c r="P36" s="4"/>
    </row>
    <row r="37" spans="2:16">
      <c r="B37" s="9" t="str">
        <f t="shared" si="0"/>
        <v/>
      </c>
      <c r="C37" s="153">
        <f>IF(D11="","-",+C36+1)</f>
        <v>2035</v>
      </c>
      <c r="D37" s="159">
        <f>IF(F36+SUM(E$17:E36)=D$10,F36,D$10-SUM(E$17:E36))</f>
        <v>6541408.1130783511</v>
      </c>
      <c r="E37" s="160">
        <f t="shared" si="2"/>
        <v>279478.30232558138</v>
      </c>
      <c r="F37" s="159">
        <f t="shared" si="3"/>
        <v>6261929.8107527699</v>
      </c>
      <c r="G37" s="161">
        <f t="shared" si="4"/>
        <v>916800.76068945299</v>
      </c>
      <c r="H37" s="142">
        <f t="shared" si="5"/>
        <v>916800.76068945299</v>
      </c>
      <c r="I37" s="156">
        <f t="shared" si="1"/>
        <v>0</v>
      </c>
      <c r="J37" s="156"/>
      <c r="K37" s="334"/>
      <c r="L37" s="158">
        <f t="shared" si="6"/>
        <v>0</v>
      </c>
      <c r="M37" s="334"/>
      <c r="N37" s="158">
        <f t="shared" si="7"/>
        <v>0</v>
      </c>
      <c r="O37" s="158">
        <f t="shared" si="8"/>
        <v>0</v>
      </c>
      <c r="P37" s="4"/>
    </row>
    <row r="38" spans="2:16">
      <c r="B38" s="9" t="str">
        <f t="shared" si="0"/>
        <v/>
      </c>
      <c r="C38" s="153">
        <f>IF(D11="","-",+C37+1)</f>
        <v>2036</v>
      </c>
      <c r="D38" s="159">
        <f>IF(F37+SUM(E$17:E37)=D$10,F37,D$10-SUM(E$17:E37))</f>
        <v>6261929.8107527699</v>
      </c>
      <c r="E38" s="160">
        <f t="shared" si="2"/>
        <v>279478.30232558138</v>
      </c>
      <c r="F38" s="159">
        <f t="shared" si="3"/>
        <v>5982451.5084271887</v>
      </c>
      <c r="G38" s="161">
        <f t="shared" si="4"/>
        <v>888977.11036370997</v>
      </c>
      <c r="H38" s="142">
        <f t="shared" si="5"/>
        <v>888977.11036370997</v>
      </c>
      <c r="I38" s="156">
        <f t="shared" si="1"/>
        <v>0</v>
      </c>
      <c r="J38" s="156"/>
      <c r="K38" s="334"/>
      <c r="L38" s="158">
        <f t="shared" si="6"/>
        <v>0</v>
      </c>
      <c r="M38" s="334"/>
      <c r="N38" s="158">
        <f t="shared" si="7"/>
        <v>0</v>
      </c>
      <c r="O38" s="158">
        <f t="shared" si="8"/>
        <v>0</v>
      </c>
      <c r="P38" s="4"/>
    </row>
    <row r="39" spans="2:16">
      <c r="B39" s="9" t="str">
        <f t="shared" si="0"/>
        <v/>
      </c>
      <c r="C39" s="153">
        <f>IF(D11="","-",+C38+1)</f>
        <v>2037</v>
      </c>
      <c r="D39" s="159">
        <f>IF(F38+SUM(E$17:E38)=D$10,F38,D$10-SUM(E$17:E38))</f>
        <v>5982451.5084271887</v>
      </c>
      <c r="E39" s="160">
        <f t="shared" si="2"/>
        <v>279478.30232558138</v>
      </c>
      <c r="F39" s="159">
        <f t="shared" si="3"/>
        <v>5702973.2061016075</v>
      </c>
      <c r="G39" s="161">
        <f t="shared" si="4"/>
        <v>861153.46003796696</v>
      </c>
      <c r="H39" s="142">
        <f t="shared" si="5"/>
        <v>861153.46003796696</v>
      </c>
      <c r="I39" s="156">
        <f t="shared" si="1"/>
        <v>0</v>
      </c>
      <c r="J39" s="156"/>
      <c r="K39" s="334"/>
      <c r="L39" s="158">
        <f t="shared" si="6"/>
        <v>0</v>
      </c>
      <c r="M39" s="334"/>
      <c r="N39" s="158">
        <f t="shared" si="7"/>
        <v>0</v>
      </c>
      <c r="O39" s="158">
        <f t="shared" si="8"/>
        <v>0</v>
      </c>
      <c r="P39" s="4"/>
    </row>
    <row r="40" spans="2:16">
      <c r="B40" s="9" t="str">
        <f t="shared" si="0"/>
        <v/>
      </c>
      <c r="C40" s="153">
        <f>IF(D11="","-",+C39+1)</f>
        <v>2038</v>
      </c>
      <c r="D40" s="159">
        <f>IF(F39+SUM(E$17:E39)=D$10,F39,D$10-SUM(E$17:E39))</f>
        <v>5702973.2061016075</v>
      </c>
      <c r="E40" s="160">
        <f t="shared" si="2"/>
        <v>279478.30232558138</v>
      </c>
      <c r="F40" s="159">
        <f t="shared" si="3"/>
        <v>5423494.9037760263</v>
      </c>
      <c r="G40" s="161">
        <f t="shared" si="4"/>
        <v>833329.80971222394</v>
      </c>
      <c r="H40" s="142">
        <f t="shared" si="5"/>
        <v>833329.80971222394</v>
      </c>
      <c r="I40" s="156">
        <f t="shared" si="1"/>
        <v>0</v>
      </c>
      <c r="J40" s="156"/>
      <c r="K40" s="334"/>
      <c r="L40" s="158">
        <f t="shared" si="6"/>
        <v>0</v>
      </c>
      <c r="M40" s="334"/>
      <c r="N40" s="158">
        <f t="shared" si="7"/>
        <v>0</v>
      </c>
      <c r="O40" s="158">
        <f t="shared" si="8"/>
        <v>0</v>
      </c>
      <c r="P40" s="4"/>
    </row>
    <row r="41" spans="2:16">
      <c r="B41" s="9" t="str">
        <f t="shared" si="0"/>
        <v/>
      </c>
      <c r="C41" s="153">
        <f>IF(D11="","-",+C40+1)</f>
        <v>2039</v>
      </c>
      <c r="D41" s="159">
        <f>IF(F40+SUM(E$17:E40)=D$10,F40,D$10-SUM(E$17:E40))</f>
        <v>5423494.9037760263</v>
      </c>
      <c r="E41" s="160">
        <f t="shared" si="2"/>
        <v>279478.30232558138</v>
      </c>
      <c r="F41" s="159">
        <f t="shared" si="3"/>
        <v>5144016.6014504451</v>
      </c>
      <c r="G41" s="161">
        <f t="shared" si="4"/>
        <v>805506.15938648093</v>
      </c>
      <c r="H41" s="142">
        <f t="shared" si="5"/>
        <v>805506.15938648093</v>
      </c>
      <c r="I41" s="156">
        <f t="shared" si="1"/>
        <v>0</v>
      </c>
      <c r="J41" s="156"/>
      <c r="K41" s="334"/>
      <c r="L41" s="158">
        <f t="shared" si="6"/>
        <v>0</v>
      </c>
      <c r="M41" s="334"/>
      <c r="N41" s="158">
        <f t="shared" si="7"/>
        <v>0</v>
      </c>
      <c r="O41" s="158">
        <f t="shared" si="8"/>
        <v>0</v>
      </c>
      <c r="P41" s="4"/>
    </row>
    <row r="42" spans="2:16">
      <c r="B42" s="9" t="str">
        <f t="shared" si="0"/>
        <v/>
      </c>
      <c r="C42" s="153">
        <f>IF(D11="","-",+C41+1)</f>
        <v>2040</v>
      </c>
      <c r="D42" s="159">
        <f>IF(F41+SUM(E$17:E41)=D$10,F41,D$10-SUM(E$17:E41))</f>
        <v>5144016.6014504451</v>
      </c>
      <c r="E42" s="160">
        <f t="shared" si="2"/>
        <v>279478.30232558138</v>
      </c>
      <c r="F42" s="159">
        <f t="shared" si="3"/>
        <v>4864538.2991248639</v>
      </c>
      <c r="G42" s="161">
        <f t="shared" si="4"/>
        <v>777682.50906073803</v>
      </c>
      <c r="H42" s="142">
        <f t="shared" si="5"/>
        <v>777682.50906073803</v>
      </c>
      <c r="I42" s="156">
        <f t="shared" si="1"/>
        <v>0</v>
      </c>
      <c r="J42" s="156"/>
      <c r="K42" s="334"/>
      <c r="L42" s="158">
        <f t="shared" si="6"/>
        <v>0</v>
      </c>
      <c r="M42" s="334"/>
      <c r="N42" s="158">
        <f t="shared" si="7"/>
        <v>0</v>
      </c>
      <c r="O42" s="158">
        <f t="shared" si="8"/>
        <v>0</v>
      </c>
      <c r="P42" s="4"/>
    </row>
    <row r="43" spans="2:16">
      <c r="B43" s="9" t="str">
        <f t="shared" si="0"/>
        <v/>
      </c>
      <c r="C43" s="153">
        <f>IF(D11="","-",+C42+1)</f>
        <v>2041</v>
      </c>
      <c r="D43" s="159">
        <f>IF(F42+SUM(E$17:E42)=D$10,F42,D$10-SUM(E$17:E42))</f>
        <v>4864538.2991248639</v>
      </c>
      <c r="E43" s="160">
        <f t="shared" si="2"/>
        <v>279478.30232558138</v>
      </c>
      <c r="F43" s="159">
        <f t="shared" si="3"/>
        <v>4585059.9967992827</v>
      </c>
      <c r="G43" s="161">
        <f t="shared" si="4"/>
        <v>749858.85873499489</v>
      </c>
      <c r="H43" s="142">
        <f t="shared" si="5"/>
        <v>749858.85873499489</v>
      </c>
      <c r="I43" s="156">
        <f t="shared" si="1"/>
        <v>0</v>
      </c>
      <c r="J43" s="156"/>
      <c r="K43" s="334"/>
      <c r="L43" s="158">
        <f t="shared" si="6"/>
        <v>0</v>
      </c>
      <c r="M43" s="334"/>
      <c r="N43" s="158">
        <f t="shared" si="7"/>
        <v>0</v>
      </c>
      <c r="O43" s="158">
        <f t="shared" si="8"/>
        <v>0</v>
      </c>
      <c r="P43" s="4"/>
    </row>
    <row r="44" spans="2:16">
      <c r="B44" s="9" t="str">
        <f t="shared" si="0"/>
        <v/>
      </c>
      <c r="C44" s="153">
        <f>IF(D11="","-",+C43+1)</f>
        <v>2042</v>
      </c>
      <c r="D44" s="159">
        <f>IF(F43+SUM(E$17:E43)=D$10,F43,D$10-SUM(E$17:E43))</f>
        <v>4585059.9967992827</v>
      </c>
      <c r="E44" s="160">
        <f t="shared" si="2"/>
        <v>279478.30232558138</v>
      </c>
      <c r="F44" s="159">
        <f t="shared" si="3"/>
        <v>4305581.6944737015</v>
      </c>
      <c r="G44" s="161">
        <f t="shared" si="4"/>
        <v>722035.20840925199</v>
      </c>
      <c r="H44" s="142">
        <f t="shared" si="5"/>
        <v>722035.20840925199</v>
      </c>
      <c r="I44" s="156">
        <f t="shared" si="1"/>
        <v>0</v>
      </c>
      <c r="J44" s="156"/>
      <c r="K44" s="334"/>
      <c r="L44" s="158">
        <f t="shared" si="6"/>
        <v>0</v>
      </c>
      <c r="M44" s="334"/>
      <c r="N44" s="158">
        <f t="shared" si="7"/>
        <v>0</v>
      </c>
      <c r="O44" s="158">
        <f t="shared" si="8"/>
        <v>0</v>
      </c>
      <c r="P44" s="4"/>
    </row>
    <row r="45" spans="2:16">
      <c r="B45" s="9" t="str">
        <f t="shared" si="0"/>
        <v/>
      </c>
      <c r="C45" s="153">
        <f>IF(D11="","-",+C44+1)</f>
        <v>2043</v>
      </c>
      <c r="D45" s="159">
        <f>IF(F44+SUM(E$17:E44)=D$10,F44,D$10-SUM(E$17:E44))</f>
        <v>4305581.6944737015</v>
      </c>
      <c r="E45" s="160">
        <f t="shared" si="2"/>
        <v>279478.30232558138</v>
      </c>
      <c r="F45" s="159">
        <f t="shared" si="3"/>
        <v>4026103.3921481203</v>
      </c>
      <c r="G45" s="161">
        <f t="shared" si="4"/>
        <v>694211.55808350898</v>
      </c>
      <c r="H45" s="142">
        <f t="shared" si="5"/>
        <v>694211.55808350898</v>
      </c>
      <c r="I45" s="156">
        <f t="shared" si="1"/>
        <v>0</v>
      </c>
      <c r="J45" s="156"/>
      <c r="K45" s="334"/>
      <c r="L45" s="158">
        <f t="shared" si="6"/>
        <v>0</v>
      </c>
      <c r="M45" s="334"/>
      <c r="N45" s="158">
        <f t="shared" si="7"/>
        <v>0</v>
      </c>
      <c r="O45" s="158">
        <f t="shared" si="8"/>
        <v>0</v>
      </c>
      <c r="P45" s="4"/>
    </row>
    <row r="46" spans="2:16">
      <c r="B46" s="9" t="str">
        <f t="shared" si="0"/>
        <v/>
      </c>
      <c r="C46" s="153">
        <f>IF(D11="","-",+C45+1)</f>
        <v>2044</v>
      </c>
      <c r="D46" s="159">
        <f>IF(F45+SUM(E$17:E45)=D$10,F45,D$10-SUM(E$17:E45))</f>
        <v>4026103.3921481203</v>
      </c>
      <c r="E46" s="160">
        <f t="shared" si="2"/>
        <v>279478.30232558138</v>
      </c>
      <c r="F46" s="159">
        <f t="shared" si="3"/>
        <v>3746625.0898225391</v>
      </c>
      <c r="G46" s="161">
        <f t="shared" si="4"/>
        <v>666387.90775776596</v>
      </c>
      <c r="H46" s="142">
        <f t="shared" si="5"/>
        <v>666387.90775776596</v>
      </c>
      <c r="I46" s="156">
        <f t="shared" si="1"/>
        <v>0</v>
      </c>
      <c r="J46" s="156"/>
      <c r="K46" s="334"/>
      <c r="L46" s="158">
        <f t="shared" si="6"/>
        <v>0</v>
      </c>
      <c r="M46" s="334"/>
      <c r="N46" s="158">
        <f t="shared" si="7"/>
        <v>0</v>
      </c>
      <c r="O46" s="158">
        <f t="shared" si="8"/>
        <v>0</v>
      </c>
      <c r="P46" s="4"/>
    </row>
    <row r="47" spans="2:16">
      <c r="B47" s="9" t="str">
        <f t="shared" si="0"/>
        <v/>
      </c>
      <c r="C47" s="153">
        <f>IF(D11="","-",+C46+1)</f>
        <v>2045</v>
      </c>
      <c r="D47" s="159">
        <f>IF(F46+SUM(E$17:E46)=D$10,F46,D$10-SUM(E$17:E46))</f>
        <v>3746625.0898225391</v>
      </c>
      <c r="E47" s="160">
        <f t="shared" si="2"/>
        <v>279478.30232558138</v>
      </c>
      <c r="F47" s="159">
        <f t="shared" si="3"/>
        <v>3467146.7874969579</v>
      </c>
      <c r="G47" s="161">
        <f t="shared" si="4"/>
        <v>638564.25743202295</v>
      </c>
      <c r="H47" s="142">
        <f t="shared" si="5"/>
        <v>638564.25743202295</v>
      </c>
      <c r="I47" s="156">
        <f t="shared" si="1"/>
        <v>0</v>
      </c>
      <c r="J47" s="156"/>
      <c r="K47" s="334"/>
      <c r="L47" s="158">
        <f t="shared" si="6"/>
        <v>0</v>
      </c>
      <c r="M47" s="334"/>
      <c r="N47" s="158">
        <f t="shared" si="7"/>
        <v>0</v>
      </c>
      <c r="O47" s="158">
        <f t="shared" si="8"/>
        <v>0</v>
      </c>
      <c r="P47" s="4"/>
    </row>
    <row r="48" spans="2:16">
      <c r="B48" s="9" t="str">
        <f t="shared" si="0"/>
        <v/>
      </c>
      <c r="C48" s="153">
        <f>IF(D11="","-",+C47+1)</f>
        <v>2046</v>
      </c>
      <c r="D48" s="159">
        <f>IF(F47+SUM(E$17:E47)=D$10,F47,D$10-SUM(E$17:E47))</f>
        <v>3467146.7874969579</v>
      </c>
      <c r="E48" s="160">
        <f t="shared" si="2"/>
        <v>279478.30232558138</v>
      </c>
      <c r="F48" s="159">
        <f t="shared" si="3"/>
        <v>3187668.4851713767</v>
      </c>
      <c r="G48" s="161">
        <f t="shared" si="4"/>
        <v>610740.60710628005</v>
      </c>
      <c r="H48" s="142">
        <f t="shared" si="5"/>
        <v>610740.60710628005</v>
      </c>
      <c r="I48" s="156">
        <f t="shared" si="1"/>
        <v>0</v>
      </c>
      <c r="J48" s="156"/>
      <c r="K48" s="334"/>
      <c r="L48" s="158">
        <f t="shared" si="6"/>
        <v>0</v>
      </c>
      <c r="M48" s="334"/>
      <c r="N48" s="158">
        <f t="shared" si="7"/>
        <v>0</v>
      </c>
      <c r="O48" s="158">
        <f t="shared" si="8"/>
        <v>0</v>
      </c>
      <c r="P48" s="4"/>
    </row>
    <row r="49" spans="2:16">
      <c r="B49" s="9" t="str">
        <f t="shared" si="0"/>
        <v/>
      </c>
      <c r="C49" s="153">
        <f>IF(D11="","-",+C48+1)</f>
        <v>2047</v>
      </c>
      <c r="D49" s="159">
        <f>IF(F48+SUM(E$17:E48)=D$10,F48,D$10-SUM(E$17:E48))</f>
        <v>3187668.4851713767</v>
      </c>
      <c r="E49" s="160">
        <f t="shared" si="2"/>
        <v>279478.30232558138</v>
      </c>
      <c r="F49" s="159">
        <f t="shared" si="3"/>
        <v>2908190.1828457955</v>
      </c>
      <c r="G49" s="161">
        <f t="shared" si="4"/>
        <v>582916.95678053703</v>
      </c>
      <c r="H49" s="142">
        <f t="shared" si="5"/>
        <v>582916.95678053703</v>
      </c>
      <c r="I49" s="156">
        <f t="shared" si="1"/>
        <v>0</v>
      </c>
      <c r="J49" s="156"/>
      <c r="K49" s="334"/>
      <c r="L49" s="158">
        <f t="shared" si="6"/>
        <v>0</v>
      </c>
      <c r="M49" s="334"/>
      <c r="N49" s="158">
        <f t="shared" si="7"/>
        <v>0</v>
      </c>
      <c r="O49" s="158">
        <f t="shared" si="8"/>
        <v>0</v>
      </c>
      <c r="P49" s="4"/>
    </row>
    <row r="50" spans="2:16">
      <c r="B50" s="9" t="str">
        <f t="shared" si="0"/>
        <v/>
      </c>
      <c r="C50" s="153">
        <f>IF(D11="","-",+C49+1)</f>
        <v>2048</v>
      </c>
      <c r="D50" s="159">
        <f>IF(F49+SUM(E$17:E49)=D$10,F49,D$10-SUM(E$17:E49))</f>
        <v>2908190.1828457955</v>
      </c>
      <c r="E50" s="160">
        <f t="shared" si="2"/>
        <v>279478.30232558138</v>
      </c>
      <c r="F50" s="159">
        <f t="shared" si="3"/>
        <v>2628711.8805202143</v>
      </c>
      <c r="G50" s="161">
        <f t="shared" si="4"/>
        <v>555093.30645479402</v>
      </c>
      <c r="H50" s="142">
        <f t="shared" si="5"/>
        <v>555093.30645479402</v>
      </c>
      <c r="I50" s="156">
        <f t="shared" si="1"/>
        <v>0</v>
      </c>
      <c r="J50" s="156"/>
      <c r="K50" s="334"/>
      <c r="L50" s="158">
        <f t="shared" si="6"/>
        <v>0</v>
      </c>
      <c r="M50" s="334"/>
      <c r="N50" s="158">
        <f t="shared" si="7"/>
        <v>0</v>
      </c>
      <c r="O50" s="158">
        <f t="shared" si="8"/>
        <v>0</v>
      </c>
      <c r="P50" s="4"/>
    </row>
    <row r="51" spans="2:16">
      <c r="B51" s="9" t="str">
        <f t="shared" si="0"/>
        <v/>
      </c>
      <c r="C51" s="153">
        <f>IF(D11="","-",+C50+1)</f>
        <v>2049</v>
      </c>
      <c r="D51" s="159">
        <f>IF(F50+SUM(E$17:E50)=D$10,F50,D$10-SUM(E$17:E50))</f>
        <v>2628711.8805202143</v>
      </c>
      <c r="E51" s="160">
        <f t="shared" si="2"/>
        <v>279478.30232558138</v>
      </c>
      <c r="F51" s="159">
        <f t="shared" si="3"/>
        <v>2349233.5781946331</v>
      </c>
      <c r="G51" s="161">
        <f t="shared" ref="G51:G72" si="9">+I$12*((D51+F51)/2)+E51</f>
        <v>527269.656129051</v>
      </c>
      <c r="H51" s="142">
        <f t="shared" ref="H51:H72" si="10">+I$13*((D51+F51)/2)+E51</f>
        <v>527269.656129051</v>
      </c>
      <c r="I51" s="156">
        <f t="shared" si="1"/>
        <v>0</v>
      </c>
      <c r="J51" s="156"/>
      <c r="K51" s="334"/>
      <c r="L51" s="158">
        <f t="shared" si="6"/>
        <v>0</v>
      </c>
      <c r="M51" s="334"/>
      <c r="N51" s="158">
        <f t="shared" si="7"/>
        <v>0</v>
      </c>
      <c r="O51" s="158">
        <f t="shared" si="8"/>
        <v>0</v>
      </c>
      <c r="P51" s="4"/>
    </row>
    <row r="52" spans="2:16">
      <c r="B52" s="9" t="str">
        <f t="shared" si="0"/>
        <v/>
      </c>
      <c r="C52" s="153">
        <f>IF(D11="","-",+C51+1)</f>
        <v>2050</v>
      </c>
      <c r="D52" s="159">
        <f>IF(F51+SUM(E$17:E51)=D$10,F51,D$10-SUM(E$17:E51))</f>
        <v>2349233.5781946331</v>
      </c>
      <c r="E52" s="160">
        <f t="shared" si="2"/>
        <v>279478.30232558138</v>
      </c>
      <c r="F52" s="159">
        <f t="shared" si="3"/>
        <v>2069755.2758690517</v>
      </c>
      <c r="G52" s="161">
        <f t="shared" si="9"/>
        <v>499446.00580330798</v>
      </c>
      <c r="H52" s="142">
        <f t="shared" si="10"/>
        <v>499446.00580330798</v>
      </c>
      <c r="I52" s="156">
        <f t="shared" si="1"/>
        <v>0</v>
      </c>
      <c r="J52" s="156"/>
      <c r="K52" s="334"/>
      <c r="L52" s="158">
        <f t="shared" si="6"/>
        <v>0</v>
      </c>
      <c r="M52" s="334"/>
      <c r="N52" s="158">
        <f t="shared" si="7"/>
        <v>0</v>
      </c>
      <c r="O52" s="158">
        <f t="shared" si="8"/>
        <v>0</v>
      </c>
      <c r="P52" s="4"/>
    </row>
    <row r="53" spans="2:16">
      <c r="B53" s="9" t="str">
        <f t="shared" si="0"/>
        <v/>
      </c>
      <c r="C53" s="153">
        <f>IF(D11="","-",+C52+1)</f>
        <v>2051</v>
      </c>
      <c r="D53" s="159">
        <f>IF(F52+SUM(E$17:E52)=D$10,F52,D$10-SUM(E$17:E52))</f>
        <v>2069755.2758690517</v>
      </c>
      <c r="E53" s="160">
        <f t="shared" si="2"/>
        <v>279478.30232558138</v>
      </c>
      <c r="F53" s="159">
        <f t="shared" si="3"/>
        <v>1790276.9735434703</v>
      </c>
      <c r="G53" s="161">
        <f t="shared" si="9"/>
        <v>471622.35547756491</v>
      </c>
      <c r="H53" s="142">
        <f t="shared" si="10"/>
        <v>471622.35547756491</v>
      </c>
      <c r="I53" s="156">
        <f t="shared" si="1"/>
        <v>0</v>
      </c>
      <c r="J53" s="156"/>
      <c r="K53" s="334"/>
      <c r="L53" s="158">
        <f t="shared" si="6"/>
        <v>0</v>
      </c>
      <c r="M53" s="334"/>
      <c r="N53" s="158">
        <f t="shared" si="7"/>
        <v>0</v>
      </c>
      <c r="O53" s="158">
        <f t="shared" si="8"/>
        <v>0</v>
      </c>
      <c r="P53" s="4"/>
    </row>
    <row r="54" spans="2:16">
      <c r="B54" s="9" t="str">
        <f t="shared" si="0"/>
        <v/>
      </c>
      <c r="C54" s="153">
        <f>IF(D11="","-",+C53+1)</f>
        <v>2052</v>
      </c>
      <c r="D54" s="159">
        <f>IF(F53+SUM(E$17:E53)=D$10,F53,D$10-SUM(E$17:E53))</f>
        <v>1790276.9735434703</v>
      </c>
      <c r="E54" s="160">
        <f t="shared" si="2"/>
        <v>279478.30232558138</v>
      </c>
      <c r="F54" s="159">
        <f t="shared" si="3"/>
        <v>1510798.6712178888</v>
      </c>
      <c r="G54" s="161">
        <f t="shared" si="9"/>
        <v>443798.70515182195</v>
      </c>
      <c r="H54" s="142">
        <f t="shared" si="10"/>
        <v>443798.70515182195</v>
      </c>
      <c r="I54" s="156">
        <f t="shared" si="1"/>
        <v>0</v>
      </c>
      <c r="J54" s="156"/>
      <c r="K54" s="334"/>
      <c r="L54" s="158">
        <f t="shared" si="6"/>
        <v>0</v>
      </c>
      <c r="M54" s="334"/>
      <c r="N54" s="158">
        <f t="shared" si="7"/>
        <v>0</v>
      </c>
      <c r="O54" s="158">
        <f t="shared" si="8"/>
        <v>0</v>
      </c>
      <c r="P54" s="4"/>
    </row>
    <row r="55" spans="2:16">
      <c r="B55" s="9" t="str">
        <f t="shared" si="0"/>
        <v/>
      </c>
      <c r="C55" s="153">
        <f>IF(D11="","-",+C54+1)</f>
        <v>2053</v>
      </c>
      <c r="D55" s="159">
        <f>IF(F54+SUM(E$17:E54)=D$10,F54,D$10-SUM(E$17:E54))</f>
        <v>1510798.6712178888</v>
      </c>
      <c r="E55" s="160">
        <f t="shared" si="2"/>
        <v>279478.30232558138</v>
      </c>
      <c r="F55" s="159">
        <f t="shared" si="3"/>
        <v>1231320.3688923074</v>
      </c>
      <c r="G55" s="161">
        <f t="shared" si="9"/>
        <v>415975.05482607888</v>
      </c>
      <c r="H55" s="142">
        <f t="shared" si="10"/>
        <v>415975.05482607888</v>
      </c>
      <c r="I55" s="156">
        <f t="shared" si="1"/>
        <v>0</v>
      </c>
      <c r="J55" s="156"/>
      <c r="K55" s="334"/>
      <c r="L55" s="158">
        <f t="shared" si="6"/>
        <v>0</v>
      </c>
      <c r="M55" s="334"/>
      <c r="N55" s="158">
        <f t="shared" si="7"/>
        <v>0</v>
      </c>
      <c r="O55" s="158">
        <f t="shared" si="8"/>
        <v>0</v>
      </c>
      <c r="P55" s="4"/>
    </row>
    <row r="56" spans="2:16">
      <c r="B56" s="9" t="str">
        <f t="shared" si="0"/>
        <v/>
      </c>
      <c r="C56" s="153">
        <f>IF(D11="","-",+C55+1)</f>
        <v>2054</v>
      </c>
      <c r="D56" s="159">
        <f>IF(F55+SUM(E$17:E55)=D$10,F55,D$10-SUM(E$17:E55))</f>
        <v>1231320.3688923074</v>
      </c>
      <c r="E56" s="160">
        <f t="shared" si="2"/>
        <v>279478.30232558138</v>
      </c>
      <c r="F56" s="159">
        <f t="shared" si="3"/>
        <v>951842.06656672596</v>
      </c>
      <c r="G56" s="161">
        <f t="shared" si="9"/>
        <v>388151.40450033586</v>
      </c>
      <c r="H56" s="142">
        <f t="shared" si="10"/>
        <v>388151.40450033586</v>
      </c>
      <c r="I56" s="156">
        <f t="shared" si="1"/>
        <v>0</v>
      </c>
      <c r="J56" s="156"/>
      <c r="K56" s="334"/>
      <c r="L56" s="158">
        <f t="shared" si="6"/>
        <v>0</v>
      </c>
      <c r="M56" s="334"/>
      <c r="N56" s="158">
        <f t="shared" si="7"/>
        <v>0</v>
      </c>
      <c r="O56" s="158">
        <f t="shared" si="8"/>
        <v>0</v>
      </c>
      <c r="P56" s="4"/>
    </row>
    <row r="57" spans="2:16">
      <c r="B57" s="9" t="str">
        <f t="shared" si="0"/>
        <v/>
      </c>
      <c r="C57" s="153">
        <f>IF(D11="","-",+C56+1)</f>
        <v>2055</v>
      </c>
      <c r="D57" s="159">
        <f>IF(F56+SUM(E$17:E56)=D$10,F56,D$10-SUM(E$17:E56))</f>
        <v>951842.06656672596</v>
      </c>
      <c r="E57" s="160">
        <f t="shared" si="2"/>
        <v>279478.30232558138</v>
      </c>
      <c r="F57" s="159">
        <f t="shared" si="3"/>
        <v>672363.76424114453</v>
      </c>
      <c r="G57" s="161">
        <f t="shared" si="9"/>
        <v>360327.75417459285</v>
      </c>
      <c r="H57" s="142">
        <f t="shared" si="10"/>
        <v>360327.75417459285</v>
      </c>
      <c r="I57" s="156">
        <f t="shared" si="1"/>
        <v>0</v>
      </c>
      <c r="J57" s="156"/>
      <c r="K57" s="334"/>
      <c r="L57" s="158">
        <f t="shared" si="6"/>
        <v>0</v>
      </c>
      <c r="M57" s="334"/>
      <c r="N57" s="158">
        <f t="shared" si="7"/>
        <v>0</v>
      </c>
      <c r="O57" s="158">
        <f t="shared" si="8"/>
        <v>0</v>
      </c>
      <c r="P57" s="4"/>
    </row>
    <row r="58" spans="2:16">
      <c r="B58" s="9" t="str">
        <f t="shared" si="0"/>
        <v/>
      </c>
      <c r="C58" s="153">
        <f>IF(D11="","-",+C57+1)</f>
        <v>2056</v>
      </c>
      <c r="D58" s="159">
        <f>IF(F57+SUM(E$17:E57)=D$10,F57,D$10-SUM(E$17:E57))</f>
        <v>672363.76424114453</v>
      </c>
      <c r="E58" s="160">
        <f t="shared" si="2"/>
        <v>279478.30232558138</v>
      </c>
      <c r="F58" s="159">
        <f t="shared" si="3"/>
        <v>392885.46191556315</v>
      </c>
      <c r="G58" s="161">
        <f t="shared" si="9"/>
        <v>332504.10384884983</v>
      </c>
      <c r="H58" s="142">
        <f t="shared" si="10"/>
        <v>332504.10384884983</v>
      </c>
      <c r="I58" s="156">
        <f t="shared" si="1"/>
        <v>0</v>
      </c>
      <c r="J58" s="156"/>
      <c r="K58" s="334"/>
      <c r="L58" s="158">
        <f t="shared" si="6"/>
        <v>0</v>
      </c>
      <c r="M58" s="334"/>
      <c r="N58" s="158">
        <f t="shared" si="7"/>
        <v>0</v>
      </c>
      <c r="O58" s="158">
        <f t="shared" si="8"/>
        <v>0</v>
      </c>
      <c r="P58" s="4"/>
    </row>
    <row r="59" spans="2:16">
      <c r="B59" s="9" t="str">
        <f t="shared" si="0"/>
        <v/>
      </c>
      <c r="C59" s="153">
        <f>IF(D11="","-",+C58+1)</f>
        <v>2057</v>
      </c>
      <c r="D59" s="159">
        <f>IF(F58+SUM(E$17:E58)=D$10,F58,D$10-SUM(E$17:E58))</f>
        <v>392885.46191556315</v>
      </c>
      <c r="E59" s="160">
        <f t="shared" si="2"/>
        <v>279478.30232558138</v>
      </c>
      <c r="F59" s="159">
        <f t="shared" si="3"/>
        <v>113407.15958998178</v>
      </c>
      <c r="G59" s="161">
        <f t="shared" si="9"/>
        <v>304680.45352310681</v>
      </c>
      <c r="H59" s="142">
        <f t="shared" si="10"/>
        <v>304680.45352310681</v>
      </c>
      <c r="I59" s="156">
        <f t="shared" si="1"/>
        <v>0</v>
      </c>
      <c r="J59" s="156"/>
      <c r="K59" s="334"/>
      <c r="L59" s="158">
        <f t="shared" si="6"/>
        <v>0</v>
      </c>
      <c r="M59" s="334"/>
      <c r="N59" s="158">
        <f t="shared" si="7"/>
        <v>0</v>
      </c>
      <c r="O59" s="158">
        <f t="shared" si="8"/>
        <v>0</v>
      </c>
      <c r="P59" s="4"/>
    </row>
    <row r="60" spans="2:16">
      <c r="B60" s="9" t="str">
        <f t="shared" si="0"/>
        <v/>
      </c>
      <c r="C60" s="153">
        <f>IF(D11="","-",+C59+1)</f>
        <v>2058</v>
      </c>
      <c r="D60" s="159">
        <f>IF(F59+SUM(E$17:E59)=D$10,F59,D$10-SUM(E$17:E59))</f>
        <v>113407.15958998178</v>
      </c>
      <c r="E60" s="160">
        <f t="shared" si="2"/>
        <v>113407.15958998178</v>
      </c>
      <c r="F60" s="159">
        <f t="shared" si="3"/>
        <v>0</v>
      </c>
      <c r="G60" s="161">
        <f t="shared" si="9"/>
        <v>119052.32260730873</v>
      </c>
      <c r="H60" s="142">
        <f t="shared" si="10"/>
        <v>119052.32260730873</v>
      </c>
      <c r="I60" s="156">
        <f t="shared" si="1"/>
        <v>0</v>
      </c>
      <c r="J60" s="156"/>
      <c r="K60" s="334"/>
      <c r="L60" s="158">
        <f t="shared" si="6"/>
        <v>0</v>
      </c>
      <c r="M60" s="334"/>
      <c r="N60" s="158">
        <f t="shared" si="7"/>
        <v>0</v>
      </c>
      <c r="O60" s="158">
        <f t="shared" si="8"/>
        <v>0</v>
      </c>
      <c r="P60" s="4"/>
    </row>
    <row r="61" spans="2:16">
      <c r="B61" s="9" t="str">
        <f t="shared" si="0"/>
        <v/>
      </c>
      <c r="C61" s="153">
        <f>IF(D11="","-",+C60+1)</f>
        <v>2059</v>
      </c>
      <c r="D61" s="159">
        <f>IF(F60+SUM(E$17:E60)=D$10,F60,D$10-SUM(E$17:E60))</f>
        <v>0</v>
      </c>
      <c r="E61" s="160">
        <f t="shared" si="2"/>
        <v>0</v>
      </c>
      <c r="F61" s="159">
        <f t="shared" si="3"/>
        <v>0</v>
      </c>
      <c r="G61" s="161">
        <f t="shared" si="9"/>
        <v>0</v>
      </c>
      <c r="H61" s="142">
        <f t="shared" si="10"/>
        <v>0</v>
      </c>
      <c r="I61" s="156">
        <f t="shared" si="1"/>
        <v>0</v>
      </c>
      <c r="J61" s="156"/>
      <c r="K61" s="334"/>
      <c r="L61" s="158">
        <f t="shared" si="6"/>
        <v>0</v>
      </c>
      <c r="M61" s="334"/>
      <c r="N61" s="158">
        <f t="shared" si="7"/>
        <v>0</v>
      </c>
      <c r="O61" s="158">
        <f t="shared" si="8"/>
        <v>0</v>
      </c>
      <c r="P61" s="4"/>
    </row>
    <row r="62" spans="2:16">
      <c r="B62" s="9" t="str">
        <f t="shared" si="0"/>
        <v/>
      </c>
      <c r="C62" s="153">
        <f>IF(D11="","-",+C61+1)</f>
        <v>2060</v>
      </c>
      <c r="D62" s="159">
        <f>IF(F61+SUM(E$17:E61)=D$10,F61,D$10-SUM(E$17:E61))</f>
        <v>0</v>
      </c>
      <c r="E62" s="160">
        <f t="shared" si="2"/>
        <v>0</v>
      </c>
      <c r="F62" s="159">
        <f t="shared" si="3"/>
        <v>0</v>
      </c>
      <c r="G62" s="161">
        <f t="shared" si="9"/>
        <v>0</v>
      </c>
      <c r="H62" s="142">
        <f t="shared" si="10"/>
        <v>0</v>
      </c>
      <c r="I62" s="156">
        <f t="shared" si="1"/>
        <v>0</v>
      </c>
      <c r="J62" s="156"/>
      <c r="K62" s="334"/>
      <c r="L62" s="158">
        <f t="shared" si="6"/>
        <v>0</v>
      </c>
      <c r="M62" s="334"/>
      <c r="N62" s="158">
        <f t="shared" si="7"/>
        <v>0</v>
      </c>
      <c r="O62" s="158">
        <f t="shared" si="8"/>
        <v>0</v>
      </c>
      <c r="P62" s="4"/>
    </row>
    <row r="63" spans="2:16">
      <c r="B63" s="9" t="str">
        <f t="shared" si="0"/>
        <v/>
      </c>
      <c r="C63" s="153">
        <f>IF(D11="","-",+C62+1)</f>
        <v>2061</v>
      </c>
      <c r="D63" s="159">
        <f>IF(F62+SUM(E$17:E62)=D$10,F62,D$10-SUM(E$17:E62))</f>
        <v>0</v>
      </c>
      <c r="E63" s="160">
        <f t="shared" si="2"/>
        <v>0</v>
      </c>
      <c r="F63" s="159">
        <f t="shared" si="3"/>
        <v>0</v>
      </c>
      <c r="G63" s="161">
        <f t="shared" si="9"/>
        <v>0</v>
      </c>
      <c r="H63" s="142">
        <f t="shared" si="10"/>
        <v>0</v>
      </c>
      <c r="I63" s="156">
        <f t="shared" si="1"/>
        <v>0</v>
      </c>
      <c r="J63" s="156"/>
      <c r="K63" s="334"/>
      <c r="L63" s="158">
        <f t="shared" si="6"/>
        <v>0</v>
      </c>
      <c r="M63" s="334"/>
      <c r="N63" s="158">
        <f t="shared" si="7"/>
        <v>0</v>
      </c>
      <c r="O63" s="158">
        <f t="shared" si="8"/>
        <v>0</v>
      </c>
      <c r="P63" s="4"/>
    </row>
    <row r="64" spans="2:16">
      <c r="B64" s="9" t="str">
        <f t="shared" si="0"/>
        <v/>
      </c>
      <c r="C64" s="153">
        <f>IF(D11="","-",+C63+1)</f>
        <v>2062</v>
      </c>
      <c r="D64" s="159">
        <f>IF(F63+SUM(E$17:E63)=D$10,F63,D$10-SUM(E$17:E63))</f>
        <v>0</v>
      </c>
      <c r="E64" s="160">
        <f t="shared" si="2"/>
        <v>0</v>
      </c>
      <c r="F64" s="159">
        <f t="shared" si="3"/>
        <v>0</v>
      </c>
      <c r="G64" s="161">
        <f t="shared" si="9"/>
        <v>0</v>
      </c>
      <c r="H64" s="142">
        <f t="shared" si="10"/>
        <v>0</v>
      </c>
      <c r="I64" s="156">
        <f t="shared" si="1"/>
        <v>0</v>
      </c>
      <c r="J64" s="156"/>
      <c r="K64" s="334"/>
      <c r="L64" s="158">
        <f t="shared" si="6"/>
        <v>0</v>
      </c>
      <c r="M64" s="334"/>
      <c r="N64" s="158">
        <f t="shared" si="7"/>
        <v>0</v>
      </c>
      <c r="O64" s="158">
        <f t="shared" si="8"/>
        <v>0</v>
      </c>
      <c r="P64" s="4"/>
    </row>
    <row r="65" spans="2:16">
      <c r="B65" s="9" t="str">
        <f t="shared" si="0"/>
        <v/>
      </c>
      <c r="C65" s="153">
        <f>IF(D11="","-",+C64+1)</f>
        <v>2063</v>
      </c>
      <c r="D65" s="159">
        <f>IF(F64+SUM(E$17:E64)=D$10,F64,D$10-SUM(E$17:E64))</f>
        <v>0</v>
      </c>
      <c r="E65" s="160">
        <f t="shared" si="2"/>
        <v>0</v>
      </c>
      <c r="F65" s="159">
        <f t="shared" si="3"/>
        <v>0</v>
      </c>
      <c r="G65" s="161">
        <f t="shared" si="9"/>
        <v>0</v>
      </c>
      <c r="H65" s="142">
        <f t="shared" si="10"/>
        <v>0</v>
      </c>
      <c r="I65" s="156">
        <f t="shared" si="1"/>
        <v>0</v>
      </c>
      <c r="J65" s="156"/>
      <c r="K65" s="334"/>
      <c r="L65" s="158">
        <f t="shared" si="6"/>
        <v>0</v>
      </c>
      <c r="M65" s="334"/>
      <c r="N65" s="158">
        <f t="shared" si="7"/>
        <v>0</v>
      </c>
      <c r="O65" s="158">
        <f t="shared" si="8"/>
        <v>0</v>
      </c>
      <c r="P65" s="4"/>
    </row>
    <row r="66" spans="2:16">
      <c r="B66" s="9" t="str">
        <f t="shared" si="0"/>
        <v/>
      </c>
      <c r="C66" s="153">
        <f>IF(D11="","-",+C65+1)</f>
        <v>2064</v>
      </c>
      <c r="D66" s="159">
        <f>IF(F65+SUM(E$17:E65)=D$10,F65,D$10-SUM(E$17:E65))</f>
        <v>0</v>
      </c>
      <c r="E66" s="160">
        <f t="shared" si="2"/>
        <v>0</v>
      </c>
      <c r="F66" s="159">
        <f t="shared" si="3"/>
        <v>0</v>
      </c>
      <c r="G66" s="161">
        <f t="shared" si="9"/>
        <v>0</v>
      </c>
      <c r="H66" s="142">
        <f t="shared" si="10"/>
        <v>0</v>
      </c>
      <c r="I66" s="156">
        <f t="shared" si="1"/>
        <v>0</v>
      </c>
      <c r="J66" s="156"/>
      <c r="K66" s="334"/>
      <c r="L66" s="158">
        <f t="shared" si="6"/>
        <v>0</v>
      </c>
      <c r="M66" s="334"/>
      <c r="N66" s="158">
        <f t="shared" si="7"/>
        <v>0</v>
      </c>
      <c r="O66" s="158">
        <f t="shared" si="8"/>
        <v>0</v>
      </c>
      <c r="P66" s="4"/>
    </row>
    <row r="67" spans="2:16">
      <c r="B67" s="9" t="str">
        <f t="shared" si="0"/>
        <v/>
      </c>
      <c r="C67" s="153">
        <f>IF(D11="","-",+C66+1)</f>
        <v>2065</v>
      </c>
      <c r="D67" s="159">
        <f>IF(F66+SUM(E$17:E66)=D$10,F66,D$10-SUM(E$17:E66))</f>
        <v>0</v>
      </c>
      <c r="E67" s="160">
        <f t="shared" si="2"/>
        <v>0</v>
      </c>
      <c r="F67" s="159">
        <f t="shared" si="3"/>
        <v>0</v>
      </c>
      <c r="G67" s="161">
        <f t="shared" si="9"/>
        <v>0</v>
      </c>
      <c r="H67" s="142">
        <f t="shared" si="10"/>
        <v>0</v>
      </c>
      <c r="I67" s="156">
        <f t="shared" si="1"/>
        <v>0</v>
      </c>
      <c r="J67" s="156"/>
      <c r="K67" s="334"/>
      <c r="L67" s="158">
        <f t="shared" si="6"/>
        <v>0</v>
      </c>
      <c r="M67" s="334"/>
      <c r="N67" s="158">
        <f t="shared" si="7"/>
        <v>0</v>
      </c>
      <c r="O67" s="158">
        <f t="shared" si="8"/>
        <v>0</v>
      </c>
      <c r="P67" s="4"/>
    </row>
    <row r="68" spans="2:16">
      <c r="B68" s="9" t="str">
        <f t="shared" si="0"/>
        <v/>
      </c>
      <c r="C68" s="153">
        <f>IF(D11="","-",+C67+1)</f>
        <v>2066</v>
      </c>
      <c r="D68" s="159">
        <f>IF(F67+SUM(E$17:E67)=D$10,F67,D$10-SUM(E$17:E67))</f>
        <v>0</v>
      </c>
      <c r="E68" s="160">
        <f t="shared" si="2"/>
        <v>0</v>
      </c>
      <c r="F68" s="159">
        <f t="shared" si="3"/>
        <v>0</v>
      </c>
      <c r="G68" s="161">
        <f t="shared" si="9"/>
        <v>0</v>
      </c>
      <c r="H68" s="142">
        <f t="shared" si="10"/>
        <v>0</v>
      </c>
      <c r="I68" s="156">
        <f t="shared" si="1"/>
        <v>0</v>
      </c>
      <c r="J68" s="156"/>
      <c r="K68" s="334"/>
      <c r="L68" s="158">
        <f t="shared" si="6"/>
        <v>0</v>
      </c>
      <c r="M68" s="334"/>
      <c r="N68" s="158">
        <f t="shared" si="7"/>
        <v>0</v>
      </c>
      <c r="O68" s="158">
        <f t="shared" si="8"/>
        <v>0</v>
      </c>
      <c r="P68" s="4"/>
    </row>
    <row r="69" spans="2:16">
      <c r="B69" s="9" t="str">
        <f t="shared" si="0"/>
        <v/>
      </c>
      <c r="C69" s="153">
        <f>IF(D11="","-",+C68+1)</f>
        <v>2067</v>
      </c>
      <c r="D69" s="159">
        <f>IF(F68+SUM(E$17:E68)=D$10,F68,D$10-SUM(E$17:E68))</f>
        <v>0</v>
      </c>
      <c r="E69" s="160">
        <f t="shared" si="2"/>
        <v>0</v>
      </c>
      <c r="F69" s="159">
        <f t="shared" si="3"/>
        <v>0</v>
      </c>
      <c r="G69" s="161">
        <f t="shared" si="9"/>
        <v>0</v>
      </c>
      <c r="H69" s="142">
        <f t="shared" si="10"/>
        <v>0</v>
      </c>
      <c r="I69" s="156">
        <f t="shared" si="1"/>
        <v>0</v>
      </c>
      <c r="J69" s="156"/>
      <c r="K69" s="334"/>
      <c r="L69" s="158">
        <f t="shared" si="6"/>
        <v>0</v>
      </c>
      <c r="M69" s="334"/>
      <c r="N69" s="158">
        <f t="shared" si="7"/>
        <v>0</v>
      </c>
      <c r="O69" s="158">
        <f t="shared" si="8"/>
        <v>0</v>
      </c>
      <c r="P69" s="4"/>
    </row>
    <row r="70" spans="2:16">
      <c r="B70" s="9" t="str">
        <f t="shared" si="0"/>
        <v/>
      </c>
      <c r="C70" s="153">
        <f>IF(D11="","-",+C69+1)</f>
        <v>2068</v>
      </c>
      <c r="D70" s="159">
        <f>IF(F69+SUM(E$17:E69)=D$10,F69,D$10-SUM(E$17:E69))</f>
        <v>0</v>
      </c>
      <c r="E70" s="160">
        <f t="shared" si="2"/>
        <v>0</v>
      </c>
      <c r="F70" s="159">
        <f t="shared" si="3"/>
        <v>0</v>
      </c>
      <c r="G70" s="161">
        <f t="shared" si="9"/>
        <v>0</v>
      </c>
      <c r="H70" s="142">
        <f t="shared" si="10"/>
        <v>0</v>
      </c>
      <c r="I70" s="156">
        <f t="shared" si="1"/>
        <v>0</v>
      </c>
      <c r="J70" s="156"/>
      <c r="K70" s="334"/>
      <c r="L70" s="158">
        <f t="shared" si="6"/>
        <v>0</v>
      </c>
      <c r="M70" s="334"/>
      <c r="N70" s="158">
        <f t="shared" si="7"/>
        <v>0</v>
      </c>
      <c r="O70" s="158">
        <f t="shared" si="8"/>
        <v>0</v>
      </c>
      <c r="P70" s="4"/>
    </row>
    <row r="71" spans="2:16">
      <c r="B71" s="9" t="str">
        <f t="shared" si="0"/>
        <v/>
      </c>
      <c r="C71" s="153">
        <f>IF(D11="","-",+C70+1)</f>
        <v>2069</v>
      </c>
      <c r="D71" s="159">
        <f>IF(F70+SUM(E$17:E70)=D$10,F70,D$10-SUM(E$17:E70))</f>
        <v>0</v>
      </c>
      <c r="E71" s="160">
        <f t="shared" si="2"/>
        <v>0</v>
      </c>
      <c r="F71" s="159">
        <f t="shared" si="3"/>
        <v>0</v>
      </c>
      <c r="G71" s="161">
        <f t="shared" si="9"/>
        <v>0</v>
      </c>
      <c r="H71" s="142">
        <f t="shared" si="10"/>
        <v>0</v>
      </c>
      <c r="I71" s="156">
        <f t="shared" si="1"/>
        <v>0</v>
      </c>
      <c r="J71" s="156"/>
      <c r="K71" s="334"/>
      <c r="L71" s="158">
        <f t="shared" si="6"/>
        <v>0</v>
      </c>
      <c r="M71" s="334"/>
      <c r="N71" s="158">
        <f t="shared" si="7"/>
        <v>0</v>
      </c>
      <c r="O71" s="158">
        <f t="shared" si="8"/>
        <v>0</v>
      </c>
      <c r="P71" s="4"/>
    </row>
    <row r="72" spans="2:16" ht="13.5" thickBot="1">
      <c r="B72" s="9" t="str">
        <f t="shared" si="0"/>
        <v/>
      </c>
      <c r="C72" s="164">
        <f>IF(D11="","-",+C71+1)</f>
        <v>2070</v>
      </c>
      <c r="D72" s="159">
        <f>IF(F71+SUM(E$17:E71)=D$10,F71,D$10-SUM(E$17:E71))</f>
        <v>0</v>
      </c>
      <c r="E72" s="160">
        <f t="shared" si="2"/>
        <v>0</v>
      </c>
      <c r="F72" s="159">
        <f t="shared" si="3"/>
        <v>0</v>
      </c>
      <c r="G72" s="161">
        <f t="shared" si="9"/>
        <v>0</v>
      </c>
      <c r="H72" s="142">
        <f t="shared" si="10"/>
        <v>0</v>
      </c>
      <c r="I72" s="156">
        <f t="shared" si="1"/>
        <v>0</v>
      </c>
      <c r="J72" s="156"/>
      <c r="K72" s="335"/>
      <c r="L72" s="169">
        <f t="shared" si="6"/>
        <v>0</v>
      </c>
      <c r="M72" s="335"/>
      <c r="N72" s="169">
        <f t="shared" si="7"/>
        <v>0</v>
      </c>
      <c r="O72" s="169">
        <f t="shared" si="8"/>
        <v>0</v>
      </c>
      <c r="P72" s="4"/>
    </row>
    <row r="73" spans="2:16">
      <c r="C73" s="154" t="s">
        <v>73</v>
      </c>
      <c r="D73" s="111"/>
      <c r="E73" s="111">
        <f>SUM(E17:E72)</f>
        <v>12017567.000000002</v>
      </c>
      <c r="F73" s="111"/>
      <c r="G73" s="111">
        <f>SUM(G17:G72)</f>
        <v>39394291.104671933</v>
      </c>
      <c r="H73" s="111">
        <f>SUM(H17:H72)</f>
        <v>39394291.104671933</v>
      </c>
      <c r="I73" s="111">
        <f>SUM(I17:I72)</f>
        <v>0</v>
      </c>
      <c r="J73" s="111"/>
      <c r="K73" s="111"/>
      <c r="L73" s="111"/>
      <c r="M73" s="111"/>
      <c r="N73" s="111"/>
      <c r="O73" s="4"/>
      <c r="P73" s="4"/>
    </row>
    <row r="74" spans="2:16">
      <c r="D74" s="2"/>
      <c r="E74" s="1"/>
      <c r="F74" s="1"/>
      <c r="G74" s="1"/>
      <c r="H74" s="3"/>
      <c r="I74" s="3"/>
      <c r="J74" s="111"/>
      <c r="K74" s="3"/>
      <c r="L74" s="3"/>
      <c r="M74" s="3"/>
      <c r="N74" s="3"/>
      <c r="O74" s="1"/>
      <c r="P74" s="1"/>
    </row>
    <row r="75" spans="2:16">
      <c r="C75" s="170" t="s">
        <v>91</v>
      </c>
      <c r="D75" s="2"/>
      <c r="E75" s="1"/>
      <c r="F75" s="1"/>
      <c r="G75" s="1"/>
      <c r="H75" s="3"/>
      <c r="I75" s="3"/>
      <c r="J75" s="111"/>
      <c r="K75" s="3"/>
      <c r="L75" s="3"/>
      <c r="M75" s="3"/>
      <c r="N75" s="3"/>
      <c r="O75" s="1"/>
      <c r="P75" s="1"/>
    </row>
    <row r="76" spans="2:16">
      <c r="C76" s="121" t="s">
        <v>74</v>
      </c>
      <c r="D76" s="2"/>
      <c r="E76" s="1"/>
      <c r="F76" s="1"/>
      <c r="G76" s="1"/>
      <c r="H76" s="3"/>
      <c r="I76" s="3"/>
      <c r="J76" s="111"/>
      <c r="K76" s="3"/>
      <c r="L76" s="3"/>
      <c r="M76" s="3"/>
      <c r="N76" s="3"/>
      <c r="O76" s="4"/>
      <c r="P76" s="4"/>
    </row>
    <row r="77" spans="2:16">
      <c r="C77" s="121" t="s">
        <v>75</v>
      </c>
      <c r="D77" s="154"/>
      <c r="E77" s="154"/>
      <c r="F77" s="154"/>
      <c r="G77" s="111"/>
      <c r="H77" s="111"/>
      <c r="I77" s="171"/>
      <c r="J77" s="171"/>
      <c r="K77" s="171"/>
      <c r="L77" s="171"/>
      <c r="M77" s="171"/>
      <c r="N77" s="171"/>
      <c r="O77" s="4"/>
      <c r="P77" s="4"/>
    </row>
    <row r="78" spans="2:16">
      <c r="C78" s="121"/>
      <c r="D78" s="154"/>
      <c r="E78" s="154"/>
      <c r="F78" s="154"/>
      <c r="G78" s="111"/>
      <c r="H78" s="111"/>
      <c r="I78" s="171"/>
      <c r="J78" s="171"/>
      <c r="K78" s="171"/>
      <c r="L78" s="171"/>
      <c r="M78" s="171"/>
      <c r="N78" s="171"/>
      <c r="O78" s="4"/>
      <c r="P78" s="1"/>
    </row>
    <row r="79" spans="2:16">
      <c r="B79" s="1"/>
      <c r="C79" s="21"/>
      <c r="D79" s="2"/>
      <c r="E79" s="1"/>
      <c r="F79" s="107"/>
      <c r="G79" s="1"/>
      <c r="H79" s="3"/>
      <c r="I79" s="1"/>
      <c r="J79" s="4"/>
      <c r="K79" s="1"/>
      <c r="L79" s="1"/>
      <c r="M79" s="1"/>
      <c r="N79" s="1"/>
      <c r="O79" s="1"/>
      <c r="P79" s="1"/>
    </row>
    <row r="80" spans="2:16" ht="18">
      <c r="B80" s="1"/>
      <c r="C80" s="242"/>
      <c r="D80" s="2"/>
      <c r="E80" s="1"/>
      <c r="F80" s="107"/>
      <c r="G80" s="1"/>
      <c r="H80" s="3"/>
      <c r="I80" s="1"/>
      <c r="J80" s="4"/>
      <c r="K80" s="1"/>
      <c r="L80" s="1"/>
      <c r="M80" s="1"/>
      <c r="N80" s="1"/>
      <c r="P80" s="244" t="s">
        <v>125</v>
      </c>
    </row>
    <row r="81" spans="1:16">
      <c r="B81" s="1"/>
      <c r="C81" s="21"/>
      <c r="D81" s="2"/>
      <c r="E81" s="1"/>
      <c r="F81" s="107"/>
      <c r="G81" s="1"/>
      <c r="H81" s="3"/>
      <c r="I81" s="1"/>
      <c r="J81" s="4"/>
      <c r="K81" s="1"/>
      <c r="L81" s="1"/>
      <c r="M81" s="1"/>
      <c r="N81" s="1"/>
      <c r="O81" s="1"/>
      <c r="P81" s="1"/>
    </row>
    <row r="82" spans="1:16">
      <c r="B82" s="1"/>
      <c r="C82" s="21"/>
      <c r="D82" s="2"/>
      <c r="E82" s="1"/>
      <c r="F82" s="107"/>
      <c r="G82" s="1"/>
      <c r="H82" s="3"/>
      <c r="I82" s="1"/>
      <c r="J82" s="4"/>
      <c r="K82" s="1"/>
      <c r="L82" s="1"/>
      <c r="M82" s="1"/>
      <c r="N82" s="1"/>
      <c r="O82" s="1"/>
      <c r="P82" s="1"/>
    </row>
    <row r="83" spans="1:16" ht="20.25">
      <c r="A83" s="243" t="s">
        <v>129</v>
      </c>
      <c r="B83" s="1"/>
      <c r="C83" s="21"/>
      <c r="D83" s="2"/>
      <c r="E83" s="1"/>
      <c r="F83" s="99"/>
      <c r="G83" s="99"/>
      <c r="H83" s="1"/>
      <c r="I83" s="3"/>
      <c r="K83" s="7"/>
      <c r="L83" s="109"/>
      <c r="M83" s="109"/>
      <c r="P83" s="109" t="str">
        <f ca="1">P1</f>
        <v>SWEPCO Project 52 of 73</v>
      </c>
    </row>
    <row r="84" spans="1:16" ht="18">
      <c r="B84" s="1"/>
      <c r="C84" s="1"/>
      <c r="D84" s="2"/>
      <c r="E84" s="1"/>
      <c r="F84" s="1"/>
      <c r="G84" s="1"/>
      <c r="H84" s="1"/>
      <c r="I84" s="3"/>
      <c r="J84" s="1"/>
      <c r="K84" s="4"/>
      <c r="L84" s="1"/>
      <c r="M84" s="1"/>
      <c r="P84" s="244" t="s">
        <v>123</v>
      </c>
    </row>
    <row r="85" spans="1:16" ht="18.75" thickBot="1">
      <c r="B85" s="5" t="s">
        <v>40</v>
      </c>
      <c r="C85" s="197" t="s">
        <v>78</v>
      </c>
      <c r="D85" s="2"/>
      <c r="E85" s="1"/>
      <c r="F85" s="1"/>
      <c r="G85" s="1"/>
      <c r="H85" s="1"/>
      <c r="I85" s="3"/>
      <c r="J85" s="3"/>
      <c r="K85" s="111"/>
      <c r="L85" s="3"/>
      <c r="M85" s="3"/>
      <c r="N85" s="3"/>
      <c r="O85" s="111"/>
      <c r="P85" s="1"/>
    </row>
    <row r="86" spans="1:16" ht="15.75" thickBot="1">
      <c r="C86" s="67"/>
      <c r="D86" s="2"/>
      <c r="E86" s="1"/>
      <c r="F86" s="1"/>
      <c r="G86" s="1"/>
      <c r="H86" s="1"/>
      <c r="I86" s="3"/>
      <c r="J86" s="3"/>
      <c r="K86" s="111"/>
      <c r="L86" s="265">
        <f>+J92</f>
        <v>2017</v>
      </c>
      <c r="M86" s="266" t="s">
        <v>7</v>
      </c>
      <c r="N86" s="270" t="s">
        <v>154</v>
      </c>
      <c r="O86" s="267" t="s">
        <v>9</v>
      </c>
      <c r="P86" s="1"/>
    </row>
    <row r="87" spans="1:16" ht="15">
      <c r="C87" s="235" t="s">
        <v>42</v>
      </c>
      <c r="D87" s="2"/>
      <c r="E87" s="1"/>
      <c r="F87" s="1"/>
      <c r="G87" s="1"/>
      <c r="H87" s="113"/>
      <c r="I87" s="1" t="s">
        <v>43</v>
      </c>
      <c r="J87" s="1"/>
      <c r="K87" s="261"/>
      <c r="L87" s="259" t="s">
        <v>381</v>
      </c>
      <c r="M87" s="198">
        <f>IF(J92&lt;D11,0,VLOOKUP(J92,C17:O72,9))</f>
        <v>1697541.2765808336</v>
      </c>
      <c r="N87" s="198">
        <f>IF(J92&lt;D11,0,VLOOKUP(J92,C17:O72,11))</f>
        <v>1697541.2765808336</v>
      </c>
      <c r="O87" s="199">
        <f>+N87-M87</f>
        <v>0</v>
      </c>
      <c r="P87" s="1"/>
    </row>
    <row r="88" spans="1:16" ht="15.75">
      <c r="C88" s="8"/>
      <c r="D88" s="2"/>
      <c r="E88" s="1"/>
      <c r="F88" s="1"/>
      <c r="G88" s="1"/>
      <c r="H88" s="1"/>
      <c r="I88" s="117"/>
      <c r="J88" s="117"/>
      <c r="K88" s="263"/>
      <c r="L88" s="264" t="s">
        <v>382</v>
      </c>
      <c r="M88" s="200">
        <f>IF(J92&lt;D11,0,VLOOKUP(J92,C99:P154,6))</f>
        <v>1677257.5145835318</v>
      </c>
      <c r="N88" s="200">
        <f>IF(J92&lt;D11,0,VLOOKUP(J92,C99:P154,7))</f>
        <v>1677257.5145835318</v>
      </c>
      <c r="O88" s="201">
        <f>+N88-M88</f>
        <v>0</v>
      </c>
      <c r="P88" s="1"/>
    </row>
    <row r="89" spans="1:16" ht="13.5" thickBot="1">
      <c r="C89" s="121" t="s">
        <v>79</v>
      </c>
      <c r="D89" s="246" t="str">
        <f>+D7</f>
        <v>Red Oak (State Line)-North Huntington 69 kV</v>
      </c>
      <c r="E89" s="1"/>
      <c r="F89" s="1"/>
      <c r="G89" s="1"/>
      <c r="H89" s="1"/>
      <c r="I89" s="3"/>
      <c r="J89" s="3"/>
      <c r="K89" s="262"/>
      <c r="L89" s="260" t="s">
        <v>151</v>
      </c>
      <c r="M89" s="203">
        <f>+M88-M87</f>
        <v>-20283.76199730183</v>
      </c>
      <c r="N89" s="203">
        <f>+N88-N87</f>
        <v>-20283.76199730183</v>
      </c>
      <c r="O89" s="204">
        <f>+O88-O87</f>
        <v>0</v>
      </c>
      <c r="P89" s="1"/>
    </row>
    <row r="90" spans="1:16" ht="13.5" thickBot="1">
      <c r="C90" s="170"/>
      <c r="D90" s="173" t="str">
        <f>D8</f>
        <v/>
      </c>
      <c r="E90" s="107"/>
      <c r="F90" s="107"/>
      <c r="G90" s="107"/>
      <c r="H90" s="126"/>
      <c r="I90" s="3"/>
      <c r="J90" s="3"/>
      <c r="K90" s="111"/>
      <c r="L90" s="3"/>
      <c r="M90" s="3"/>
      <c r="N90" s="3"/>
      <c r="O90" s="111"/>
      <c r="P90" s="1"/>
    </row>
    <row r="91" spans="1:16" ht="13.5" thickBot="1">
      <c r="A91" s="103"/>
      <c r="C91" s="205" t="s">
        <v>80</v>
      </c>
      <c r="D91" s="224" t="str">
        <f>+D9</f>
        <v>TP2007166</v>
      </c>
      <c r="E91" s="206"/>
      <c r="F91" s="206"/>
      <c r="G91" s="206"/>
      <c r="H91" s="206"/>
      <c r="I91" s="206"/>
      <c r="J91" s="206"/>
      <c r="K91" s="207"/>
      <c r="P91" s="131"/>
    </row>
    <row r="92" spans="1:16">
      <c r="C92" s="136" t="s">
        <v>47</v>
      </c>
      <c r="D92" s="417">
        <v>12017567</v>
      </c>
      <c r="E92" s="21" t="s">
        <v>81</v>
      </c>
      <c r="H92" s="134"/>
      <c r="I92" s="134"/>
      <c r="J92" s="135">
        <f>+'SWE.WS.G.BPU.ATRR.True-up'!M15</f>
        <v>2017</v>
      </c>
      <c r="K92" s="130"/>
      <c r="L92" s="111" t="s">
        <v>82</v>
      </c>
      <c r="P92" s="4"/>
    </row>
    <row r="93" spans="1:16">
      <c r="C93" s="136" t="s">
        <v>49</v>
      </c>
      <c r="D93" s="219">
        <f>IF(D11=I10,"",D11)</f>
        <v>2015</v>
      </c>
      <c r="E93" s="136" t="s">
        <v>50</v>
      </c>
      <c r="F93" s="134"/>
      <c r="G93" s="134"/>
      <c r="J93" s="138">
        <f>IF(H87="",0,'SWE.WS.G.BPU.ATRR.True-up'!$F$12)</f>
        <v>0</v>
      </c>
      <c r="K93" s="139"/>
      <c r="L93" t="str">
        <f>"          INPUT TRUE-UP ARR (WITH &amp; WITHOUT INCENTIVES) FROM EACH PRIOR YEAR"</f>
        <v xml:space="preserve">          INPUT TRUE-UP ARR (WITH &amp; WITHOUT INCENTIVES) FROM EACH PRIOR YEAR</v>
      </c>
      <c r="P93" s="4"/>
    </row>
    <row r="94" spans="1:16">
      <c r="C94" s="136" t="s">
        <v>51</v>
      </c>
      <c r="D94" s="218">
        <f>IF(D11=I10,"",D12)</f>
        <v>5</v>
      </c>
      <c r="E94" s="136" t="s">
        <v>52</v>
      </c>
      <c r="F94" s="134"/>
      <c r="G94" s="134"/>
      <c r="J94" s="140">
        <f>'SWE.WS.G.BPU.ATRR.True-up'!$F$80</f>
        <v>0.12147145768398206</v>
      </c>
      <c r="K94" s="141"/>
      <c r="L94" t="s">
        <v>83</v>
      </c>
      <c r="P94" s="4"/>
    </row>
    <row r="95" spans="1:16">
      <c r="C95" s="136" t="s">
        <v>54</v>
      </c>
      <c r="D95" s="138">
        <f>'SWE.WS.G.BPU.ATRR.True-up'!F$92</f>
        <v>42</v>
      </c>
      <c r="E95" s="136" t="s">
        <v>55</v>
      </c>
      <c r="F95" s="134"/>
      <c r="G95" s="134"/>
      <c r="J95" s="140">
        <f>IF(H87="",J94,'SWE.WS.G.BPU.ATRR.True-up'!$F$79)</f>
        <v>0.12147145768398206</v>
      </c>
      <c r="K95" s="58"/>
      <c r="L95" s="111" t="s">
        <v>56</v>
      </c>
      <c r="M95" s="58"/>
      <c r="N95" s="58"/>
      <c r="O95" s="58"/>
      <c r="P95" s="4"/>
    </row>
    <row r="96" spans="1:16" ht="13.5" thickBot="1">
      <c r="C96" s="136" t="s">
        <v>57</v>
      </c>
      <c r="D96" s="220" t="str">
        <f>+D14</f>
        <v>No</v>
      </c>
      <c r="E96" s="202" t="s">
        <v>59</v>
      </c>
      <c r="F96" s="208"/>
      <c r="G96" s="208"/>
      <c r="H96" s="209"/>
      <c r="I96" s="209"/>
      <c r="J96" s="124">
        <f>IF(D92=0,0,D92/D95)</f>
        <v>286132.54761904763</v>
      </c>
      <c r="K96" s="111"/>
      <c r="L96" s="111"/>
      <c r="M96" s="111"/>
      <c r="N96" s="111"/>
      <c r="O96" s="111"/>
      <c r="P96" s="4"/>
    </row>
    <row r="97" spans="1:16" ht="38.25">
      <c r="A97" s="6"/>
      <c r="B97" s="6"/>
      <c r="C97" s="210" t="s">
        <v>47</v>
      </c>
      <c r="D97" s="211" t="s">
        <v>60</v>
      </c>
      <c r="E97" s="146" t="s">
        <v>61</v>
      </c>
      <c r="F97" s="146" t="s">
        <v>62</v>
      </c>
      <c r="G97" s="144" t="s">
        <v>84</v>
      </c>
      <c r="H97" s="434" t="s">
        <v>378</v>
      </c>
      <c r="I97" s="435" t="s">
        <v>379</v>
      </c>
      <c r="J97" s="210" t="s">
        <v>85</v>
      </c>
      <c r="K97" s="212"/>
      <c r="L97" s="271" t="s">
        <v>220</v>
      </c>
      <c r="M97" s="146" t="s">
        <v>86</v>
      </c>
      <c r="N97" s="271" t="s">
        <v>220</v>
      </c>
      <c r="O97" s="146" t="s">
        <v>86</v>
      </c>
      <c r="P97" s="146" t="s">
        <v>65</v>
      </c>
    </row>
    <row r="98" spans="1:16" ht="13.5" thickBot="1">
      <c r="C98" s="147" t="s">
        <v>66</v>
      </c>
      <c r="D98" s="213" t="s">
        <v>67</v>
      </c>
      <c r="E98" s="147" t="s">
        <v>68</v>
      </c>
      <c r="F98" s="147" t="s">
        <v>67</v>
      </c>
      <c r="G98" s="147" t="s">
        <v>67</v>
      </c>
      <c r="H98" s="407" t="s">
        <v>69</v>
      </c>
      <c r="I98" s="148" t="s">
        <v>70</v>
      </c>
      <c r="J98" s="149" t="s">
        <v>89</v>
      </c>
      <c r="K98" s="150"/>
      <c r="L98" s="151" t="s">
        <v>72</v>
      </c>
      <c r="M98" s="151" t="s">
        <v>72</v>
      </c>
      <c r="N98" s="151" t="s">
        <v>90</v>
      </c>
      <c r="O98" s="151" t="s">
        <v>90</v>
      </c>
      <c r="P98" s="151" t="s">
        <v>90</v>
      </c>
    </row>
    <row r="99" spans="1:16" ht="13.5" thickBot="1">
      <c r="C99" s="153">
        <f>IF(D93= "","-",D93)</f>
        <v>2015</v>
      </c>
      <c r="D99" s="409">
        <v>0</v>
      </c>
      <c r="E99" s="410">
        <v>142743.89285714287</v>
      </c>
      <c r="F99" s="411">
        <v>11847743.107142856</v>
      </c>
      <c r="G99" s="412">
        <v>5923871.5535714282</v>
      </c>
      <c r="H99" s="413">
        <v>923325.80014683155</v>
      </c>
      <c r="I99" s="414">
        <v>923325.80014683155</v>
      </c>
      <c r="J99" s="158">
        <f>+I99-H99</f>
        <v>0</v>
      </c>
      <c r="K99" s="158"/>
      <c r="L99" s="256">
        <f>+H99</f>
        <v>923325.80014683155</v>
      </c>
      <c r="M99" s="157">
        <f t="shared" ref="M99:M130" si="11">IF(L99&lt;&gt;0,+H99-L99,0)</f>
        <v>0</v>
      </c>
      <c r="N99" s="256">
        <f>+I99</f>
        <v>923325.80014683155</v>
      </c>
      <c r="O99" s="157">
        <f t="shared" ref="O99:O130" si="12">IF(N99&lt;&gt;0,+I99-N99,0)</f>
        <v>0</v>
      </c>
      <c r="P99" s="157">
        <f t="shared" ref="P99:P130" si="13">+O99-M99</f>
        <v>0</v>
      </c>
    </row>
    <row r="100" spans="1:16">
      <c r="B100" s="9" t="str">
        <f>IF(D100=F99,"","IU")</f>
        <v>IU</v>
      </c>
      <c r="C100" s="153">
        <f>IF(D93="","-",+C99+1)</f>
        <v>2016</v>
      </c>
      <c r="D100" s="409">
        <v>11874823.107142856</v>
      </c>
      <c r="E100" s="410">
        <v>279478.30232558138</v>
      </c>
      <c r="F100" s="411">
        <v>11595344.804817274</v>
      </c>
      <c r="G100" s="412">
        <v>11735083.955980066</v>
      </c>
      <c r="H100" s="413">
        <v>1769247.0731001948</v>
      </c>
      <c r="I100" s="414">
        <v>1769247.0731001948</v>
      </c>
      <c r="J100" s="158">
        <f>+I100-H100</f>
        <v>0</v>
      </c>
      <c r="K100" s="158"/>
      <c r="L100" s="256">
        <f>+H100</f>
        <v>1769247.0731001948</v>
      </c>
      <c r="M100" s="157">
        <f>IF(L100&lt;&gt;0,+H100-L100,0)</f>
        <v>0</v>
      </c>
      <c r="N100" s="256">
        <f>+I100</f>
        <v>1769247.0731001948</v>
      </c>
      <c r="O100" s="157">
        <f>IF(N100&lt;&gt;0,+I100-N100,0)</f>
        <v>0</v>
      </c>
      <c r="P100" s="157">
        <f>+O100-M100</f>
        <v>0</v>
      </c>
    </row>
    <row r="101" spans="1:16">
      <c r="B101" s="9" t="str">
        <f t="shared" ref="B101:B154" si="14">IF(D101=F100,"","IU")</f>
        <v/>
      </c>
      <c r="C101" s="153">
        <f>IF(D93="","-",+C100+1)</f>
        <v>2017</v>
      </c>
      <c r="D101" s="154">
        <f>IF(F100+SUM(E$99:E100)=D$92,F100,D$92-SUM(E$99:E100))</f>
        <v>11595344.804817274</v>
      </c>
      <c r="E101" s="160">
        <f t="shared" ref="E101:E154" si="15">IF(+$J$96&lt;F100,$J$96,D101)</f>
        <v>286132.54761904763</v>
      </c>
      <c r="F101" s="159">
        <f t="shared" ref="F101:F154" si="16">+D101-E101</f>
        <v>11309212.257198226</v>
      </c>
      <c r="G101" s="159">
        <f t="shared" ref="G101:G154" si="17">+(F101+D101)/2</f>
        <v>11452278.53100775</v>
      </c>
      <c r="H101" s="163">
        <f t="shared" ref="H101:H154" si="18">+J$94*G101+E101</f>
        <v>1677257.5145835318</v>
      </c>
      <c r="I101" s="253">
        <f t="shared" ref="I101:I154" si="19">+J$95*G101+E101</f>
        <v>1677257.5145835318</v>
      </c>
      <c r="J101" s="158">
        <f t="shared" ref="J101:J154" si="20">+I101-H101</f>
        <v>0</v>
      </c>
      <c r="K101" s="158"/>
      <c r="L101" s="334"/>
      <c r="M101" s="158">
        <f t="shared" si="11"/>
        <v>0</v>
      </c>
      <c r="N101" s="334"/>
      <c r="O101" s="158">
        <f t="shared" si="12"/>
        <v>0</v>
      </c>
      <c r="P101" s="158">
        <f t="shared" si="13"/>
        <v>0</v>
      </c>
    </row>
    <row r="102" spans="1:16">
      <c r="B102" s="9" t="str">
        <f t="shared" si="14"/>
        <v/>
      </c>
      <c r="C102" s="153">
        <f>IF(D93="","-",+C101+1)</f>
        <v>2018</v>
      </c>
      <c r="D102" s="154">
        <f>IF(F101+SUM(E$99:E101)=D$92,F101,D$92-SUM(E$99:E101))</f>
        <v>11309212.257198226</v>
      </c>
      <c r="E102" s="160">
        <f t="shared" si="15"/>
        <v>286132.54761904763</v>
      </c>
      <c r="F102" s="159">
        <f t="shared" si="16"/>
        <v>11023079.709579177</v>
      </c>
      <c r="G102" s="159">
        <f t="shared" si="17"/>
        <v>11166145.983388701</v>
      </c>
      <c r="H102" s="163">
        <f t="shared" si="18"/>
        <v>1642500.5769334144</v>
      </c>
      <c r="I102" s="253">
        <f t="shared" si="19"/>
        <v>1642500.5769334144</v>
      </c>
      <c r="J102" s="158">
        <f t="shared" si="20"/>
        <v>0</v>
      </c>
      <c r="K102" s="158"/>
      <c r="L102" s="334"/>
      <c r="M102" s="158">
        <f t="shared" si="11"/>
        <v>0</v>
      </c>
      <c r="N102" s="334"/>
      <c r="O102" s="158">
        <f t="shared" si="12"/>
        <v>0</v>
      </c>
      <c r="P102" s="158">
        <f t="shared" si="13"/>
        <v>0</v>
      </c>
    </row>
    <row r="103" spans="1:16">
      <c r="B103" s="9" t="str">
        <f t="shared" si="14"/>
        <v/>
      </c>
      <c r="C103" s="153">
        <f>IF(D93="","-",+C102+1)</f>
        <v>2019</v>
      </c>
      <c r="D103" s="154">
        <f>IF(F102+SUM(E$99:E102)=D$92,F102,D$92-SUM(E$99:E102))</f>
        <v>11023079.709579177</v>
      </c>
      <c r="E103" s="160">
        <f t="shared" si="15"/>
        <v>286132.54761904763</v>
      </c>
      <c r="F103" s="159">
        <f t="shared" si="16"/>
        <v>10736947.161960129</v>
      </c>
      <c r="G103" s="159">
        <f t="shared" si="17"/>
        <v>10880013.435769653</v>
      </c>
      <c r="H103" s="163">
        <f t="shared" si="18"/>
        <v>1607743.6392832971</v>
      </c>
      <c r="I103" s="253">
        <f t="shared" si="19"/>
        <v>1607743.6392832971</v>
      </c>
      <c r="J103" s="158">
        <f t="shared" si="20"/>
        <v>0</v>
      </c>
      <c r="K103" s="158"/>
      <c r="L103" s="334"/>
      <c r="M103" s="158">
        <f t="shared" si="11"/>
        <v>0</v>
      </c>
      <c r="N103" s="334"/>
      <c r="O103" s="158">
        <f t="shared" si="12"/>
        <v>0</v>
      </c>
      <c r="P103" s="158">
        <f t="shared" si="13"/>
        <v>0</v>
      </c>
    </row>
    <row r="104" spans="1:16">
      <c r="B104" s="9" t="str">
        <f t="shared" si="14"/>
        <v/>
      </c>
      <c r="C104" s="153">
        <f>IF(D93="","-",+C103+1)</f>
        <v>2020</v>
      </c>
      <c r="D104" s="154">
        <f>IF(F103+SUM(E$99:E103)=D$92,F103,D$92-SUM(E$99:E103))</f>
        <v>10736947.161960129</v>
      </c>
      <c r="E104" s="160">
        <f t="shared" si="15"/>
        <v>286132.54761904763</v>
      </c>
      <c r="F104" s="159">
        <f t="shared" si="16"/>
        <v>10450814.61434108</v>
      </c>
      <c r="G104" s="159">
        <f t="shared" si="17"/>
        <v>10593880.888150604</v>
      </c>
      <c r="H104" s="163">
        <f t="shared" si="18"/>
        <v>1572986.70163318</v>
      </c>
      <c r="I104" s="253">
        <f t="shared" si="19"/>
        <v>1572986.70163318</v>
      </c>
      <c r="J104" s="158">
        <f t="shared" si="20"/>
        <v>0</v>
      </c>
      <c r="K104" s="158"/>
      <c r="L104" s="334"/>
      <c r="M104" s="158">
        <f t="shared" si="11"/>
        <v>0</v>
      </c>
      <c r="N104" s="334"/>
      <c r="O104" s="158">
        <f t="shared" si="12"/>
        <v>0</v>
      </c>
      <c r="P104" s="158">
        <f t="shared" si="13"/>
        <v>0</v>
      </c>
    </row>
    <row r="105" spans="1:16">
      <c r="B105" s="9" t="str">
        <f t="shared" si="14"/>
        <v/>
      </c>
      <c r="C105" s="153">
        <f>IF(D93="","-",+C104+1)</f>
        <v>2021</v>
      </c>
      <c r="D105" s="154">
        <f>IF(F104+SUM(E$99:E104)=D$92,F104,D$92-SUM(E$99:E104))</f>
        <v>10450814.61434108</v>
      </c>
      <c r="E105" s="160">
        <f t="shared" si="15"/>
        <v>286132.54761904763</v>
      </c>
      <c r="F105" s="159">
        <f t="shared" si="16"/>
        <v>10164682.066722032</v>
      </c>
      <c r="G105" s="159">
        <f t="shared" si="17"/>
        <v>10307748.340531556</v>
      </c>
      <c r="H105" s="163">
        <f t="shared" si="18"/>
        <v>1538229.7639830627</v>
      </c>
      <c r="I105" s="253">
        <f t="shared" si="19"/>
        <v>1538229.7639830627</v>
      </c>
      <c r="J105" s="158">
        <f t="shared" si="20"/>
        <v>0</v>
      </c>
      <c r="K105" s="158"/>
      <c r="L105" s="334"/>
      <c r="M105" s="158">
        <f t="shared" si="11"/>
        <v>0</v>
      </c>
      <c r="N105" s="334"/>
      <c r="O105" s="158">
        <f t="shared" si="12"/>
        <v>0</v>
      </c>
      <c r="P105" s="158">
        <f t="shared" si="13"/>
        <v>0</v>
      </c>
    </row>
    <row r="106" spans="1:16">
      <c r="B106" s="9" t="str">
        <f t="shared" si="14"/>
        <v/>
      </c>
      <c r="C106" s="153">
        <f>IF(D93="","-",+C105+1)</f>
        <v>2022</v>
      </c>
      <c r="D106" s="154">
        <f>IF(F105+SUM(E$99:E105)=D$92,F105,D$92-SUM(E$99:E105))</f>
        <v>10164682.066722032</v>
      </c>
      <c r="E106" s="160">
        <f t="shared" si="15"/>
        <v>286132.54761904763</v>
      </c>
      <c r="F106" s="159">
        <f t="shared" si="16"/>
        <v>9878549.5191029832</v>
      </c>
      <c r="G106" s="159">
        <f t="shared" si="17"/>
        <v>10021615.792912507</v>
      </c>
      <c r="H106" s="163">
        <f t="shared" si="18"/>
        <v>1503472.8263329456</v>
      </c>
      <c r="I106" s="253">
        <f t="shared" si="19"/>
        <v>1503472.8263329456</v>
      </c>
      <c r="J106" s="158">
        <f t="shared" si="20"/>
        <v>0</v>
      </c>
      <c r="K106" s="158"/>
      <c r="L106" s="334"/>
      <c r="M106" s="158">
        <f t="shared" si="11"/>
        <v>0</v>
      </c>
      <c r="N106" s="334"/>
      <c r="O106" s="158">
        <f t="shared" si="12"/>
        <v>0</v>
      </c>
      <c r="P106" s="158">
        <f t="shared" si="13"/>
        <v>0</v>
      </c>
    </row>
    <row r="107" spans="1:16">
      <c r="B107" s="9" t="str">
        <f t="shared" si="14"/>
        <v/>
      </c>
      <c r="C107" s="153">
        <f>IF(D93="","-",+C106+1)</f>
        <v>2023</v>
      </c>
      <c r="D107" s="154">
        <f>IF(F106+SUM(E$99:E106)=D$92,F106,D$92-SUM(E$99:E106))</f>
        <v>9878549.5191029832</v>
      </c>
      <c r="E107" s="160">
        <f t="shared" si="15"/>
        <v>286132.54761904763</v>
      </c>
      <c r="F107" s="159">
        <f t="shared" si="16"/>
        <v>9592416.9714839347</v>
      </c>
      <c r="G107" s="159">
        <f t="shared" si="17"/>
        <v>9735483.2452934589</v>
      </c>
      <c r="H107" s="163">
        <f t="shared" si="18"/>
        <v>1468715.8886828283</v>
      </c>
      <c r="I107" s="253">
        <f t="shared" si="19"/>
        <v>1468715.8886828283</v>
      </c>
      <c r="J107" s="158">
        <f t="shared" si="20"/>
        <v>0</v>
      </c>
      <c r="K107" s="158"/>
      <c r="L107" s="334"/>
      <c r="M107" s="158">
        <f t="shared" si="11"/>
        <v>0</v>
      </c>
      <c r="N107" s="334"/>
      <c r="O107" s="158">
        <f t="shared" si="12"/>
        <v>0</v>
      </c>
      <c r="P107" s="158">
        <f t="shared" si="13"/>
        <v>0</v>
      </c>
    </row>
    <row r="108" spans="1:16">
      <c r="B108" s="9" t="str">
        <f t="shared" si="14"/>
        <v/>
      </c>
      <c r="C108" s="153">
        <f>IF(D93="","-",+C107+1)</f>
        <v>2024</v>
      </c>
      <c r="D108" s="154">
        <f>IF(F107+SUM(E$99:E107)=D$92,F107,D$92-SUM(E$99:E107))</f>
        <v>9592416.9714839347</v>
      </c>
      <c r="E108" s="160">
        <f t="shared" si="15"/>
        <v>286132.54761904763</v>
      </c>
      <c r="F108" s="159">
        <f t="shared" si="16"/>
        <v>9306284.4238648862</v>
      </c>
      <c r="G108" s="159">
        <f t="shared" si="17"/>
        <v>9449350.6976744104</v>
      </c>
      <c r="H108" s="163">
        <f t="shared" si="18"/>
        <v>1433958.951032711</v>
      </c>
      <c r="I108" s="253">
        <f t="shared" si="19"/>
        <v>1433958.951032711</v>
      </c>
      <c r="J108" s="158">
        <f t="shared" si="20"/>
        <v>0</v>
      </c>
      <c r="K108" s="158"/>
      <c r="L108" s="334"/>
      <c r="M108" s="158">
        <f t="shared" si="11"/>
        <v>0</v>
      </c>
      <c r="N108" s="334"/>
      <c r="O108" s="158">
        <f t="shared" si="12"/>
        <v>0</v>
      </c>
      <c r="P108" s="158">
        <f t="shared" si="13"/>
        <v>0</v>
      </c>
    </row>
    <row r="109" spans="1:16">
      <c r="B109" s="9" t="str">
        <f t="shared" si="14"/>
        <v/>
      </c>
      <c r="C109" s="153">
        <f>IF(D93="","-",+C108+1)</f>
        <v>2025</v>
      </c>
      <c r="D109" s="154">
        <f>IF(F108+SUM(E$99:E108)=D$92,F108,D$92-SUM(E$99:E108))</f>
        <v>9306284.4238648862</v>
      </c>
      <c r="E109" s="160">
        <f t="shared" si="15"/>
        <v>286132.54761904763</v>
      </c>
      <c r="F109" s="159">
        <f t="shared" si="16"/>
        <v>9020151.8762458377</v>
      </c>
      <c r="G109" s="159">
        <f t="shared" si="17"/>
        <v>9163218.1500553619</v>
      </c>
      <c r="H109" s="163">
        <f t="shared" si="18"/>
        <v>1399202.0133825939</v>
      </c>
      <c r="I109" s="253">
        <f t="shared" si="19"/>
        <v>1399202.0133825939</v>
      </c>
      <c r="J109" s="158">
        <f t="shared" si="20"/>
        <v>0</v>
      </c>
      <c r="K109" s="158"/>
      <c r="L109" s="334"/>
      <c r="M109" s="158">
        <f t="shared" si="11"/>
        <v>0</v>
      </c>
      <c r="N109" s="334"/>
      <c r="O109" s="158">
        <f t="shared" si="12"/>
        <v>0</v>
      </c>
      <c r="P109" s="158">
        <f t="shared" si="13"/>
        <v>0</v>
      </c>
    </row>
    <row r="110" spans="1:16">
      <c r="B110" s="9" t="str">
        <f t="shared" si="14"/>
        <v/>
      </c>
      <c r="C110" s="153">
        <f>IF(D93="","-",+C109+1)</f>
        <v>2026</v>
      </c>
      <c r="D110" s="154">
        <f>IF(F109+SUM(E$99:E109)=D$92,F109,D$92-SUM(E$99:E109))</f>
        <v>9020151.8762458377</v>
      </c>
      <c r="E110" s="160">
        <f t="shared" si="15"/>
        <v>286132.54761904763</v>
      </c>
      <c r="F110" s="159">
        <f t="shared" si="16"/>
        <v>8734019.3286267892</v>
      </c>
      <c r="G110" s="159">
        <f t="shared" si="17"/>
        <v>8877085.6024363134</v>
      </c>
      <c r="H110" s="163">
        <f t="shared" si="18"/>
        <v>1364445.0757324765</v>
      </c>
      <c r="I110" s="253">
        <f t="shared" si="19"/>
        <v>1364445.0757324765</v>
      </c>
      <c r="J110" s="158">
        <f t="shared" si="20"/>
        <v>0</v>
      </c>
      <c r="K110" s="158"/>
      <c r="L110" s="334"/>
      <c r="M110" s="158">
        <f t="shared" si="11"/>
        <v>0</v>
      </c>
      <c r="N110" s="334"/>
      <c r="O110" s="158">
        <f t="shared" si="12"/>
        <v>0</v>
      </c>
      <c r="P110" s="158">
        <f t="shared" si="13"/>
        <v>0</v>
      </c>
    </row>
    <row r="111" spans="1:16">
      <c r="B111" s="9" t="str">
        <f t="shared" si="14"/>
        <v/>
      </c>
      <c r="C111" s="153">
        <f>IF(D93="","-",+C110+1)</f>
        <v>2027</v>
      </c>
      <c r="D111" s="154">
        <f>IF(F110+SUM(E$99:E110)=D$92,F110,D$92-SUM(E$99:E110))</f>
        <v>8734019.3286267892</v>
      </c>
      <c r="E111" s="160">
        <f t="shared" si="15"/>
        <v>286132.54761904763</v>
      </c>
      <c r="F111" s="159">
        <f t="shared" si="16"/>
        <v>8447886.7810077406</v>
      </c>
      <c r="G111" s="159">
        <f t="shared" si="17"/>
        <v>8590953.0548172649</v>
      </c>
      <c r="H111" s="163">
        <f t="shared" si="18"/>
        <v>1329688.1380823595</v>
      </c>
      <c r="I111" s="253">
        <f t="shared" si="19"/>
        <v>1329688.1380823595</v>
      </c>
      <c r="J111" s="158">
        <f t="shared" si="20"/>
        <v>0</v>
      </c>
      <c r="K111" s="158"/>
      <c r="L111" s="334"/>
      <c r="M111" s="158">
        <f t="shared" si="11"/>
        <v>0</v>
      </c>
      <c r="N111" s="334"/>
      <c r="O111" s="158">
        <f t="shared" si="12"/>
        <v>0</v>
      </c>
      <c r="P111" s="158">
        <f t="shared" si="13"/>
        <v>0</v>
      </c>
    </row>
    <row r="112" spans="1:16">
      <c r="B112" s="9" t="str">
        <f t="shared" si="14"/>
        <v/>
      </c>
      <c r="C112" s="153">
        <f>IF(D93="","-",+C111+1)</f>
        <v>2028</v>
      </c>
      <c r="D112" s="154">
        <f>IF(F111+SUM(E$99:E111)=D$92,F111,D$92-SUM(E$99:E111))</f>
        <v>8447886.7810077406</v>
      </c>
      <c r="E112" s="160">
        <f t="shared" si="15"/>
        <v>286132.54761904763</v>
      </c>
      <c r="F112" s="159">
        <f t="shared" si="16"/>
        <v>8161754.2333886931</v>
      </c>
      <c r="G112" s="159">
        <f t="shared" si="17"/>
        <v>8304820.5071982164</v>
      </c>
      <c r="H112" s="163">
        <f t="shared" si="18"/>
        <v>1294931.2004322421</v>
      </c>
      <c r="I112" s="253">
        <f t="shared" si="19"/>
        <v>1294931.2004322421</v>
      </c>
      <c r="J112" s="158">
        <f t="shared" si="20"/>
        <v>0</v>
      </c>
      <c r="K112" s="158"/>
      <c r="L112" s="334"/>
      <c r="M112" s="158">
        <f t="shared" si="11"/>
        <v>0</v>
      </c>
      <c r="N112" s="334"/>
      <c r="O112" s="158">
        <f t="shared" si="12"/>
        <v>0</v>
      </c>
      <c r="P112" s="158">
        <f t="shared" si="13"/>
        <v>0</v>
      </c>
    </row>
    <row r="113" spans="2:16">
      <c r="B113" s="9" t="str">
        <f t="shared" si="14"/>
        <v/>
      </c>
      <c r="C113" s="153">
        <f>IF(D93="","-",+C112+1)</f>
        <v>2029</v>
      </c>
      <c r="D113" s="154">
        <f>IF(F112+SUM(E$99:E112)=D$92,F112,D$92-SUM(E$99:E112))</f>
        <v>8161754.2333886931</v>
      </c>
      <c r="E113" s="160">
        <f t="shared" si="15"/>
        <v>286132.54761904763</v>
      </c>
      <c r="F113" s="159">
        <f t="shared" si="16"/>
        <v>7875621.6857696455</v>
      </c>
      <c r="G113" s="159">
        <f t="shared" si="17"/>
        <v>8018687.9595791698</v>
      </c>
      <c r="H113" s="163">
        <f t="shared" si="18"/>
        <v>1260174.2627821253</v>
      </c>
      <c r="I113" s="253">
        <f t="shared" si="19"/>
        <v>1260174.2627821253</v>
      </c>
      <c r="J113" s="158">
        <f t="shared" si="20"/>
        <v>0</v>
      </c>
      <c r="K113" s="158"/>
      <c r="L113" s="334"/>
      <c r="M113" s="158">
        <f t="shared" si="11"/>
        <v>0</v>
      </c>
      <c r="N113" s="334"/>
      <c r="O113" s="158">
        <f t="shared" si="12"/>
        <v>0</v>
      </c>
      <c r="P113" s="158">
        <f t="shared" si="13"/>
        <v>0</v>
      </c>
    </row>
    <row r="114" spans="2:16">
      <c r="B114" s="9" t="str">
        <f t="shared" si="14"/>
        <v/>
      </c>
      <c r="C114" s="153">
        <f>IF(D93="","-",+C113+1)</f>
        <v>2030</v>
      </c>
      <c r="D114" s="154">
        <f>IF(F113+SUM(E$99:E113)=D$92,F113,D$92-SUM(E$99:E113))</f>
        <v>7875621.6857696455</v>
      </c>
      <c r="E114" s="160">
        <f t="shared" si="15"/>
        <v>286132.54761904763</v>
      </c>
      <c r="F114" s="159">
        <f t="shared" si="16"/>
        <v>7589489.1381505979</v>
      </c>
      <c r="G114" s="159">
        <f t="shared" si="17"/>
        <v>7732555.4119601212</v>
      </c>
      <c r="H114" s="163">
        <f t="shared" si="18"/>
        <v>1225417.3251320079</v>
      </c>
      <c r="I114" s="253">
        <f t="shared" si="19"/>
        <v>1225417.3251320079</v>
      </c>
      <c r="J114" s="158">
        <f t="shared" si="20"/>
        <v>0</v>
      </c>
      <c r="K114" s="158"/>
      <c r="L114" s="334"/>
      <c r="M114" s="158">
        <f t="shared" si="11"/>
        <v>0</v>
      </c>
      <c r="N114" s="334"/>
      <c r="O114" s="158">
        <f t="shared" si="12"/>
        <v>0</v>
      </c>
      <c r="P114" s="158">
        <f t="shared" si="13"/>
        <v>0</v>
      </c>
    </row>
    <row r="115" spans="2:16">
      <c r="B115" s="9" t="str">
        <f t="shared" si="14"/>
        <v/>
      </c>
      <c r="C115" s="153">
        <f>IF(D93="","-",+C114+1)</f>
        <v>2031</v>
      </c>
      <c r="D115" s="154">
        <f>IF(F114+SUM(E$99:E114)=D$92,F114,D$92-SUM(E$99:E114))</f>
        <v>7589489.1381505979</v>
      </c>
      <c r="E115" s="160">
        <f t="shared" si="15"/>
        <v>286132.54761904763</v>
      </c>
      <c r="F115" s="159">
        <f t="shared" si="16"/>
        <v>7303356.5905315503</v>
      </c>
      <c r="G115" s="159">
        <f t="shared" si="17"/>
        <v>7446422.8643410746</v>
      </c>
      <c r="H115" s="163">
        <f t="shared" si="18"/>
        <v>1190660.3874818909</v>
      </c>
      <c r="I115" s="253">
        <f t="shared" si="19"/>
        <v>1190660.3874818909</v>
      </c>
      <c r="J115" s="158">
        <f t="shared" si="20"/>
        <v>0</v>
      </c>
      <c r="K115" s="158"/>
      <c r="L115" s="334"/>
      <c r="M115" s="158">
        <f t="shared" si="11"/>
        <v>0</v>
      </c>
      <c r="N115" s="334"/>
      <c r="O115" s="158">
        <f t="shared" si="12"/>
        <v>0</v>
      </c>
      <c r="P115" s="158">
        <f t="shared" si="13"/>
        <v>0</v>
      </c>
    </row>
    <row r="116" spans="2:16">
      <c r="B116" s="9" t="str">
        <f t="shared" si="14"/>
        <v/>
      </c>
      <c r="C116" s="153">
        <f>IF(D93="","-",+C115+1)</f>
        <v>2032</v>
      </c>
      <c r="D116" s="154">
        <f>IF(F115+SUM(E$99:E115)=D$92,F115,D$92-SUM(E$99:E115))</f>
        <v>7303356.5905315503</v>
      </c>
      <c r="E116" s="160">
        <f t="shared" si="15"/>
        <v>286132.54761904763</v>
      </c>
      <c r="F116" s="159">
        <f t="shared" si="16"/>
        <v>7017224.0429125028</v>
      </c>
      <c r="G116" s="159">
        <f t="shared" si="17"/>
        <v>7160290.3167220261</v>
      </c>
      <c r="H116" s="163">
        <f t="shared" si="18"/>
        <v>1155903.4498317738</v>
      </c>
      <c r="I116" s="253">
        <f t="shared" si="19"/>
        <v>1155903.4498317738</v>
      </c>
      <c r="J116" s="158">
        <f t="shared" si="20"/>
        <v>0</v>
      </c>
      <c r="K116" s="158"/>
      <c r="L116" s="334"/>
      <c r="M116" s="158">
        <f t="shared" si="11"/>
        <v>0</v>
      </c>
      <c r="N116" s="334"/>
      <c r="O116" s="158">
        <f t="shared" si="12"/>
        <v>0</v>
      </c>
      <c r="P116" s="158">
        <f t="shared" si="13"/>
        <v>0</v>
      </c>
    </row>
    <row r="117" spans="2:16">
      <c r="B117" s="9" t="str">
        <f t="shared" si="14"/>
        <v/>
      </c>
      <c r="C117" s="153">
        <f>IF(D93="","-",+C116+1)</f>
        <v>2033</v>
      </c>
      <c r="D117" s="154">
        <f>IF(F116+SUM(E$99:E116)=D$92,F116,D$92-SUM(E$99:E116))</f>
        <v>7017224.0429125028</v>
      </c>
      <c r="E117" s="160">
        <f t="shared" si="15"/>
        <v>286132.54761904763</v>
      </c>
      <c r="F117" s="159">
        <f t="shared" si="16"/>
        <v>6731091.4952934552</v>
      </c>
      <c r="G117" s="159">
        <f t="shared" si="17"/>
        <v>6874157.7691029795</v>
      </c>
      <c r="H117" s="163">
        <f t="shared" si="18"/>
        <v>1121146.5121816567</v>
      </c>
      <c r="I117" s="253">
        <f t="shared" si="19"/>
        <v>1121146.5121816567</v>
      </c>
      <c r="J117" s="158">
        <f t="shared" si="20"/>
        <v>0</v>
      </c>
      <c r="K117" s="158"/>
      <c r="L117" s="334"/>
      <c r="M117" s="158">
        <f t="shared" si="11"/>
        <v>0</v>
      </c>
      <c r="N117" s="334"/>
      <c r="O117" s="158">
        <f t="shared" si="12"/>
        <v>0</v>
      </c>
      <c r="P117" s="158">
        <f t="shared" si="13"/>
        <v>0</v>
      </c>
    </row>
    <row r="118" spans="2:16">
      <c r="B118" s="9" t="str">
        <f t="shared" si="14"/>
        <v/>
      </c>
      <c r="C118" s="153">
        <f>IF(D93="","-",+C117+1)</f>
        <v>2034</v>
      </c>
      <c r="D118" s="154">
        <f>IF(F117+SUM(E$99:E117)=D$92,F117,D$92-SUM(E$99:E117))</f>
        <v>6731091.4952934552</v>
      </c>
      <c r="E118" s="160">
        <f t="shared" si="15"/>
        <v>286132.54761904763</v>
      </c>
      <c r="F118" s="159">
        <f t="shared" si="16"/>
        <v>6444958.9476744076</v>
      </c>
      <c r="G118" s="159">
        <f t="shared" si="17"/>
        <v>6588025.2214839309</v>
      </c>
      <c r="H118" s="163">
        <f t="shared" si="18"/>
        <v>1086389.5745315396</v>
      </c>
      <c r="I118" s="253">
        <f t="shared" si="19"/>
        <v>1086389.5745315396</v>
      </c>
      <c r="J118" s="158">
        <f t="shared" si="20"/>
        <v>0</v>
      </c>
      <c r="K118" s="158"/>
      <c r="L118" s="334"/>
      <c r="M118" s="158">
        <f t="shared" si="11"/>
        <v>0</v>
      </c>
      <c r="N118" s="334"/>
      <c r="O118" s="158">
        <f t="shared" si="12"/>
        <v>0</v>
      </c>
      <c r="P118" s="158">
        <f t="shared" si="13"/>
        <v>0</v>
      </c>
    </row>
    <row r="119" spans="2:16">
      <c r="B119" s="9" t="str">
        <f t="shared" si="14"/>
        <v/>
      </c>
      <c r="C119" s="153">
        <f>IF(D93="","-",+C118+1)</f>
        <v>2035</v>
      </c>
      <c r="D119" s="154">
        <f>IF(F118+SUM(E$99:E118)=D$92,F118,D$92-SUM(E$99:E118))</f>
        <v>6444958.9476744076</v>
      </c>
      <c r="E119" s="160">
        <f t="shared" si="15"/>
        <v>286132.54761904763</v>
      </c>
      <c r="F119" s="159">
        <f t="shared" si="16"/>
        <v>6158826.40005536</v>
      </c>
      <c r="G119" s="159">
        <f t="shared" si="17"/>
        <v>6301892.6738648843</v>
      </c>
      <c r="H119" s="163">
        <f t="shared" si="18"/>
        <v>1051632.6368814225</v>
      </c>
      <c r="I119" s="253">
        <f t="shared" si="19"/>
        <v>1051632.6368814225</v>
      </c>
      <c r="J119" s="158">
        <f t="shared" si="20"/>
        <v>0</v>
      </c>
      <c r="K119" s="158"/>
      <c r="L119" s="334"/>
      <c r="M119" s="158">
        <f t="shared" si="11"/>
        <v>0</v>
      </c>
      <c r="N119" s="334"/>
      <c r="O119" s="158">
        <f t="shared" si="12"/>
        <v>0</v>
      </c>
      <c r="P119" s="158">
        <f t="shared" si="13"/>
        <v>0</v>
      </c>
    </row>
    <row r="120" spans="2:16">
      <c r="B120" s="9" t="str">
        <f t="shared" si="14"/>
        <v/>
      </c>
      <c r="C120" s="153">
        <f>IF(D93="","-",+C119+1)</f>
        <v>2036</v>
      </c>
      <c r="D120" s="154">
        <f>IF(F119+SUM(E$99:E119)=D$92,F119,D$92-SUM(E$99:E119))</f>
        <v>6158826.40005536</v>
      </c>
      <c r="E120" s="160">
        <f t="shared" si="15"/>
        <v>286132.54761904763</v>
      </c>
      <c r="F120" s="159">
        <f t="shared" si="16"/>
        <v>5872693.8524363125</v>
      </c>
      <c r="G120" s="159">
        <f t="shared" si="17"/>
        <v>6015760.1262458358</v>
      </c>
      <c r="H120" s="163">
        <f t="shared" si="18"/>
        <v>1016875.6992313052</v>
      </c>
      <c r="I120" s="253">
        <f t="shared" si="19"/>
        <v>1016875.6992313052</v>
      </c>
      <c r="J120" s="158">
        <f t="shared" si="20"/>
        <v>0</v>
      </c>
      <c r="K120" s="158"/>
      <c r="L120" s="334"/>
      <c r="M120" s="158">
        <f t="shared" si="11"/>
        <v>0</v>
      </c>
      <c r="N120" s="334"/>
      <c r="O120" s="158">
        <f t="shared" si="12"/>
        <v>0</v>
      </c>
      <c r="P120" s="158">
        <f t="shared" si="13"/>
        <v>0</v>
      </c>
    </row>
    <row r="121" spans="2:16">
      <c r="B121" s="9" t="str">
        <f t="shared" si="14"/>
        <v/>
      </c>
      <c r="C121" s="153">
        <f>IF(D93="","-",+C120+1)</f>
        <v>2037</v>
      </c>
      <c r="D121" s="154">
        <f>IF(F120+SUM(E$99:E120)=D$92,F120,D$92-SUM(E$99:E120))</f>
        <v>5872693.8524363125</v>
      </c>
      <c r="E121" s="160">
        <f t="shared" si="15"/>
        <v>286132.54761904763</v>
      </c>
      <c r="F121" s="159">
        <f t="shared" si="16"/>
        <v>5586561.3048172649</v>
      </c>
      <c r="G121" s="159">
        <f t="shared" si="17"/>
        <v>5729627.5786267892</v>
      </c>
      <c r="H121" s="163">
        <f t="shared" si="18"/>
        <v>982118.7615811883</v>
      </c>
      <c r="I121" s="253">
        <f t="shared" si="19"/>
        <v>982118.7615811883</v>
      </c>
      <c r="J121" s="158">
        <f t="shared" si="20"/>
        <v>0</v>
      </c>
      <c r="K121" s="158"/>
      <c r="L121" s="334"/>
      <c r="M121" s="158">
        <f t="shared" si="11"/>
        <v>0</v>
      </c>
      <c r="N121" s="334"/>
      <c r="O121" s="158">
        <f t="shared" si="12"/>
        <v>0</v>
      </c>
      <c r="P121" s="158">
        <f t="shared" si="13"/>
        <v>0</v>
      </c>
    </row>
    <row r="122" spans="2:16">
      <c r="B122" s="9" t="str">
        <f t="shared" si="14"/>
        <v/>
      </c>
      <c r="C122" s="153">
        <f>IF(D93="","-",+C121+1)</f>
        <v>2038</v>
      </c>
      <c r="D122" s="154">
        <f>IF(F121+SUM(E$99:E121)=D$92,F121,D$92-SUM(E$99:E121))</f>
        <v>5586561.3048172649</v>
      </c>
      <c r="E122" s="160">
        <f t="shared" si="15"/>
        <v>286132.54761904763</v>
      </c>
      <c r="F122" s="159">
        <f t="shared" si="16"/>
        <v>5300428.7571982173</v>
      </c>
      <c r="G122" s="159">
        <f t="shared" si="17"/>
        <v>5443495.0310077406</v>
      </c>
      <c r="H122" s="163">
        <f t="shared" si="18"/>
        <v>947361.82393107098</v>
      </c>
      <c r="I122" s="253">
        <f t="shared" si="19"/>
        <v>947361.82393107098</v>
      </c>
      <c r="J122" s="158">
        <f t="shared" si="20"/>
        <v>0</v>
      </c>
      <c r="K122" s="158"/>
      <c r="L122" s="334"/>
      <c r="M122" s="158">
        <f t="shared" si="11"/>
        <v>0</v>
      </c>
      <c r="N122" s="334"/>
      <c r="O122" s="158">
        <f t="shared" si="12"/>
        <v>0</v>
      </c>
      <c r="P122" s="158">
        <f t="shared" si="13"/>
        <v>0</v>
      </c>
    </row>
    <row r="123" spans="2:16">
      <c r="B123" s="9" t="str">
        <f t="shared" si="14"/>
        <v/>
      </c>
      <c r="C123" s="153">
        <f>IF(D93="","-",+C122+1)</f>
        <v>2039</v>
      </c>
      <c r="D123" s="154">
        <f>IF(F122+SUM(E$99:E122)=D$92,F122,D$92-SUM(E$99:E122))</f>
        <v>5300428.7571982173</v>
      </c>
      <c r="E123" s="160">
        <f t="shared" si="15"/>
        <v>286132.54761904763</v>
      </c>
      <c r="F123" s="159">
        <f t="shared" si="16"/>
        <v>5014296.2095791698</v>
      </c>
      <c r="G123" s="159">
        <f t="shared" si="17"/>
        <v>5157362.483388694</v>
      </c>
      <c r="H123" s="163">
        <f t="shared" si="18"/>
        <v>912604.88628095388</v>
      </c>
      <c r="I123" s="253">
        <f t="shared" si="19"/>
        <v>912604.88628095388</v>
      </c>
      <c r="J123" s="158">
        <f t="shared" si="20"/>
        <v>0</v>
      </c>
      <c r="K123" s="158"/>
      <c r="L123" s="334"/>
      <c r="M123" s="158">
        <f t="shared" si="11"/>
        <v>0</v>
      </c>
      <c r="N123" s="334"/>
      <c r="O123" s="158">
        <f t="shared" si="12"/>
        <v>0</v>
      </c>
      <c r="P123" s="158">
        <f t="shared" si="13"/>
        <v>0</v>
      </c>
    </row>
    <row r="124" spans="2:16">
      <c r="B124" s="9" t="str">
        <f t="shared" si="14"/>
        <v/>
      </c>
      <c r="C124" s="153">
        <f>IF(D93="","-",+C123+1)</f>
        <v>2040</v>
      </c>
      <c r="D124" s="154">
        <f>IF(F123+SUM(E$99:E123)=D$92,F123,D$92-SUM(E$99:E123))</f>
        <v>5014296.2095791698</v>
      </c>
      <c r="E124" s="160">
        <f t="shared" si="15"/>
        <v>286132.54761904763</v>
      </c>
      <c r="F124" s="159">
        <f t="shared" si="16"/>
        <v>4728163.6619601222</v>
      </c>
      <c r="G124" s="159">
        <f t="shared" si="17"/>
        <v>4871229.9357696455</v>
      </c>
      <c r="H124" s="163">
        <f t="shared" si="18"/>
        <v>877847.94863083679</v>
      </c>
      <c r="I124" s="253">
        <f t="shared" si="19"/>
        <v>877847.94863083679</v>
      </c>
      <c r="J124" s="158">
        <f t="shared" si="20"/>
        <v>0</v>
      </c>
      <c r="K124" s="158"/>
      <c r="L124" s="334"/>
      <c r="M124" s="158">
        <f t="shared" si="11"/>
        <v>0</v>
      </c>
      <c r="N124" s="334"/>
      <c r="O124" s="158">
        <f t="shared" si="12"/>
        <v>0</v>
      </c>
      <c r="P124" s="158">
        <f t="shared" si="13"/>
        <v>0</v>
      </c>
    </row>
    <row r="125" spans="2:16">
      <c r="B125" s="9" t="str">
        <f t="shared" si="14"/>
        <v/>
      </c>
      <c r="C125" s="153">
        <f>IF(D93="","-",+C124+1)</f>
        <v>2041</v>
      </c>
      <c r="D125" s="154">
        <f>IF(F124+SUM(E$99:E124)=D$92,F124,D$92-SUM(E$99:E124))</f>
        <v>4728163.6619601222</v>
      </c>
      <c r="E125" s="160">
        <f t="shared" si="15"/>
        <v>286132.54761904763</v>
      </c>
      <c r="F125" s="159">
        <f t="shared" si="16"/>
        <v>4442031.1143410746</v>
      </c>
      <c r="G125" s="159">
        <f t="shared" si="17"/>
        <v>4585097.3881505989</v>
      </c>
      <c r="H125" s="163">
        <f t="shared" si="18"/>
        <v>843091.0109807197</v>
      </c>
      <c r="I125" s="253">
        <f t="shared" si="19"/>
        <v>843091.0109807197</v>
      </c>
      <c r="J125" s="158">
        <f t="shared" si="20"/>
        <v>0</v>
      </c>
      <c r="K125" s="158"/>
      <c r="L125" s="334"/>
      <c r="M125" s="158">
        <f t="shared" si="11"/>
        <v>0</v>
      </c>
      <c r="N125" s="334"/>
      <c r="O125" s="158">
        <f t="shared" si="12"/>
        <v>0</v>
      </c>
      <c r="P125" s="158">
        <f t="shared" si="13"/>
        <v>0</v>
      </c>
    </row>
    <row r="126" spans="2:16">
      <c r="B126" s="9" t="str">
        <f t="shared" si="14"/>
        <v/>
      </c>
      <c r="C126" s="153">
        <f>IF(D93="","-",+C125+1)</f>
        <v>2042</v>
      </c>
      <c r="D126" s="154">
        <f>IF(F125+SUM(E$99:E125)=D$92,F125,D$92-SUM(E$99:E125))</f>
        <v>4442031.1143410746</v>
      </c>
      <c r="E126" s="160">
        <f t="shared" si="15"/>
        <v>286132.54761904763</v>
      </c>
      <c r="F126" s="159">
        <f t="shared" si="16"/>
        <v>4155898.566722027</v>
      </c>
      <c r="G126" s="159">
        <f t="shared" si="17"/>
        <v>4298964.8405315503</v>
      </c>
      <c r="H126" s="163">
        <f t="shared" si="18"/>
        <v>808334.07333060249</v>
      </c>
      <c r="I126" s="253">
        <f t="shared" si="19"/>
        <v>808334.07333060249</v>
      </c>
      <c r="J126" s="158">
        <f t="shared" si="20"/>
        <v>0</v>
      </c>
      <c r="K126" s="158"/>
      <c r="L126" s="334"/>
      <c r="M126" s="158">
        <f t="shared" si="11"/>
        <v>0</v>
      </c>
      <c r="N126" s="334"/>
      <c r="O126" s="158">
        <f t="shared" si="12"/>
        <v>0</v>
      </c>
      <c r="P126" s="158">
        <f t="shared" si="13"/>
        <v>0</v>
      </c>
    </row>
    <row r="127" spans="2:16">
      <c r="B127" s="9" t="str">
        <f t="shared" si="14"/>
        <v/>
      </c>
      <c r="C127" s="153">
        <f>IF(D93="","-",+C126+1)</f>
        <v>2043</v>
      </c>
      <c r="D127" s="154">
        <f>IF(F126+SUM(E$99:E126)=D$92,F126,D$92-SUM(E$99:E126))</f>
        <v>4155898.566722027</v>
      </c>
      <c r="E127" s="160">
        <f t="shared" si="15"/>
        <v>286132.54761904763</v>
      </c>
      <c r="F127" s="159">
        <f t="shared" si="16"/>
        <v>3869766.0191029795</v>
      </c>
      <c r="G127" s="159">
        <f t="shared" si="17"/>
        <v>4012832.2929125032</v>
      </c>
      <c r="H127" s="163">
        <f t="shared" si="18"/>
        <v>773577.13568048552</v>
      </c>
      <c r="I127" s="253">
        <f t="shared" si="19"/>
        <v>773577.13568048552</v>
      </c>
      <c r="J127" s="158">
        <f t="shared" si="20"/>
        <v>0</v>
      </c>
      <c r="K127" s="158"/>
      <c r="L127" s="334"/>
      <c r="M127" s="158">
        <f t="shared" si="11"/>
        <v>0</v>
      </c>
      <c r="N127" s="334"/>
      <c r="O127" s="158">
        <f t="shared" si="12"/>
        <v>0</v>
      </c>
      <c r="P127" s="158">
        <f t="shared" si="13"/>
        <v>0</v>
      </c>
    </row>
    <row r="128" spans="2:16">
      <c r="B128" s="9" t="str">
        <f t="shared" si="14"/>
        <v/>
      </c>
      <c r="C128" s="153">
        <f>IF(D93="","-",+C127+1)</f>
        <v>2044</v>
      </c>
      <c r="D128" s="154">
        <f>IF(F127+SUM(E$99:E127)=D$92,F127,D$92-SUM(E$99:E127))</f>
        <v>3869766.0191029795</v>
      </c>
      <c r="E128" s="160">
        <f t="shared" si="15"/>
        <v>286132.54761904763</v>
      </c>
      <c r="F128" s="159">
        <f t="shared" si="16"/>
        <v>3583633.4714839319</v>
      </c>
      <c r="G128" s="159">
        <f t="shared" si="17"/>
        <v>3726699.7452934557</v>
      </c>
      <c r="H128" s="163">
        <f t="shared" si="18"/>
        <v>738820.19803036842</v>
      </c>
      <c r="I128" s="253">
        <f t="shared" si="19"/>
        <v>738820.19803036842</v>
      </c>
      <c r="J128" s="158">
        <f t="shared" si="20"/>
        <v>0</v>
      </c>
      <c r="K128" s="158"/>
      <c r="L128" s="334"/>
      <c r="M128" s="158">
        <f t="shared" si="11"/>
        <v>0</v>
      </c>
      <c r="N128" s="334"/>
      <c r="O128" s="158">
        <f t="shared" si="12"/>
        <v>0</v>
      </c>
      <c r="P128" s="158">
        <f t="shared" si="13"/>
        <v>0</v>
      </c>
    </row>
    <row r="129" spans="2:16">
      <c r="B129" s="9" t="str">
        <f t="shared" si="14"/>
        <v/>
      </c>
      <c r="C129" s="153">
        <f>IF(D93="","-",+C128+1)</f>
        <v>2045</v>
      </c>
      <c r="D129" s="154">
        <f>IF(F128+SUM(E$99:E128)=D$92,F128,D$92-SUM(E$99:E128))</f>
        <v>3583633.4714839319</v>
      </c>
      <c r="E129" s="160">
        <f t="shared" si="15"/>
        <v>286132.54761904763</v>
      </c>
      <c r="F129" s="159">
        <f t="shared" si="16"/>
        <v>3297500.9238648843</v>
      </c>
      <c r="G129" s="159">
        <f t="shared" si="17"/>
        <v>3440567.1976744081</v>
      </c>
      <c r="H129" s="163">
        <f t="shared" si="18"/>
        <v>704063.26038025122</v>
      </c>
      <c r="I129" s="253">
        <f t="shared" si="19"/>
        <v>704063.26038025122</v>
      </c>
      <c r="J129" s="158">
        <f t="shared" si="20"/>
        <v>0</v>
      </c>
      <c r="K129" s="158"/>
      <c r="L129" s="334"/>
      <c r="M129" s="158">
        <f t="shared" si="11"/>
        <v>0</v>
      </c>
      <c r="N129" s="334"/>
      <c r="O129" s="158">
        <f t="shared" si="12"/>
        <v>0</v>
      </c>
      <c r="P129" s="158">
        <f t="shared" si="13"/>
        <v>0</v>
      </c>
    </row>
    <row r="130" spans="2:16">
      <c r="B130" s="9" t="str">
        <f t="shared" si="14"/>
        <v/>
      </c>
      <c r="C130" s="153">
        <f>IF(D93="","-",+C129+1)</f>
        <v>2046</v>
      </c>
      <c r="D130" s="154">
        <f>IF(F129+SUM(E$99:E129)=D$92,F129,D$92-SUM(E$99:E129))</f>
        <v>3297500.9238648843</v>
      </c>
      <c r="E130" s="160">
        <f t="shared" si="15"/>
        <v>286132.54761904763</v>
      </c>
      <c r="F130" s="159">
        <f t="shared" si="16"/>
        <v>3011368.3762458367</v>
      </c>
      <c r="G130" s="159">
        <f t="shared" si="17"/>
        <v>3154434.6500553605</v>
      </c>
      <c r="H130" s="163">
        <f t="shared" si="18"/>
        <v>669306.32273013412</v>
      </c>
      <c r="I130" s="253">
        <f t="shared" si="19"/>
        <v>669306.32273013412</v>
      </c>
      <c r="J130" s="158">
        <f t="shared" si="20"/>
        <v>0</v>
      </c>
      <c r="K130" s="158"/>
      <c r="L130" s="334"/>
      <c r="M130" s="158">
        <f t="shared" si="11"/>
        <v>0</v>
      </c>
      <c r="N130" s="334"/>
      <c r="O130" s="158">
        <f t="shared" si="12"/>
        <v>0</v>
      </c>
      <c r="P130" s="158">
        <f t="shared" si="13"/>
        <v>0</v>
      </c>
    </row>
    <row r="131" spans="2:16">
      <c r="B131" s="9" t="str">
        <f t="shared" si="14"/>
        <v/>
      </c>
      <c r="C131" s="153">
        <f>IF(D93="","-",+C130+1)</f>
        <v>2047</v>
      </c>
      <c r="D131" s="154">
        <f>IF(F130+SUM(E$99:E130)=D$92,F130,D$92-SUM(E$99:E130))</f>
        <v>3011368.3762458367</v>
      </c>
      <c r="E131" s="160">
        <f t="shared" si="15"/>
        <v>286132.54761904763</v>
      </c>
      <c r="F131" s="159">
        <f t="shared" si="16"/>
        <v>2725235.8286267892</v>
      </c>
      <c r="G131" s="159">
        <f t="shared" si="17"/>
        <v>2868302.1024363129</v>
      </c>
      <c r="H131" s="163">
        <f t="shared" si="18"/>
        <v>634549.38508001692</v>
      </c>
      <c r="I131" s="253">
        <f t="shared" si="19"/>
        <v>634549.38508001692</v>
      </c>
      <c r="J131" s="158">
        <f t="shared" si="20"/>
        <v>0</v>
      </c>
      <c r="K131" s="158"/>
      <c r="L131" s="334"/>
      <c r="M131" s="158">
        <f t="shared" ref="M131:M154" si="21">IF(L541&lt;&gt;0,+H541-L541,0)</f>
        <v>0</v>
      </c>
      <c r="N131" s="334"/>
      <c r="O131" s="158">
        <f t="shared" ref="O131:O154" si="22">IF(N541&lt;&gt;0,+I541-N541,0)</f>
        <v>0</v>
      </c>
      <c r="P131" s="158">
        <f t="shared" ref="P131:P154" si="23">+O541-M541</f>
        <v>0</v>
      </c>
    </row>
    <row r="132" spans="2:16">
      <c r="B132" s="9" t="str">
        <f t="shared" si="14"/>
        <v/>
      </c>
      <c r="C132" s="153">
        <f>IF(D93="","-",+C131+1)</f>
        <v>2048</v>
      </c>
      <c r="D132" s="154">
        <f>IF(F131+SUM(E$99:E131)=D$92,F131,D$92-SUM(E$99:E131))</f>
        <v>2725235.8286267892</v>
      </c>
      <c r="E132" s="160">
        <f t="shared" si="15"/>
        <v>286132.54761904763</v>
      </c>
      <c r="F132" s="159">
        <f t="shared" si="16"/>
        <v>2439103.2810077416</v>
      </c>
      <c r="G132" s="159">
        <f t="shared" si="17"/>
        <v>2582169.5548172654</v>
      </c>
      <c r="H132" s="163">
        <f t="shared" si="18"/>
        <v>599792.44742989982</v>
      </c>
      <c r="I132" s="253">
        <f t="shared" si="19"/>
        <v>599792.44742989982</v>
      </c>
      <c r="J132" s="158">
        <f t="shared" si="20"/>
        <v>0</v>
      </c>
      <c r="K132" s="158"/>
      <c r="L132" s="334"/>
      <c r="M132" s="158">
        <f t="shared" si="21"/>
        <v>0</v>
      </c>
      <c r="N132" s="334"/>
      <c r="O132" s="158">
        <f t="shared" si="22"/>
        <v>0</v>
      </c>
      <c r="P132" s="158">
        <f t="shared" si="23"/>
        <v>0</v>
      </c>
    </row>
    <row r="133" spans="2:16">
      <c r="B133" s="9" t="str">
        <f t="shared" si="14"/>
        <v/>
      </c>
      <c r="C133" s="153">
        <f>IF(D93="","-",+C132+1)</f>
        <v>2049</v>
      </c>
      <c r="D133" s="154">
        <f>IF(F132+SUM(E$99:E132)=D$92,F132,D$92-SUM(E$99:E132))</f>
        <v>2439103.2810077416</v>
      </c>
      <c r="E133" s="160">
        <f t="shared" si="15"/>
        <v>286132.54761904763</v>
      </c>
      <c r="F133" s="159">
        <f t="shared" si="16"/>
        <v>2152970.733388694</v>
      </c>
      <c r="G133" s="159">
        <f t="shared" si="17"/>
        <v>2296037.0071982178</v>
      </c>
      <c r="H133" s="163">
        <f t="shared" si="18"/>
        <v>565035.50977978273</v>
      </c>
      <c r="I133" s="253">
        <f t="shared" si="19"/>
        <v>565035.50977978273</v>
      </c>
      <c r="J133" s="158">
        <f t="shared" si="20"/>
        <v>0</v>
      </c>
      <c r="K133" s="158"/>
      <c r="L133" s="334"/>
      <c r="M133" s="158">
        <f t="shared" si="21"/>
        <v>0</v>
      </c>
      <c r="N133" s="334"/>
      <c r="O133" s="158">
        <f t="shared" si="22"/>
        <v>0</v>
      </c>
      <c r="P133" s="158">
        <f t="shared" si="23"/>
        <v>0</v>
      </c>
    </row>
    <row r="134" spans="2:16">
      <c r="B134" s="9" t="str">
        <f t="shared" si="14"/>
        <v/>
      </c>
      <c r="C134" s="153">
        <f>IF(D93="","-",+C133+1)</f>
        <v>2050</v>
      </c>
      <c r="D134" s="154">
        <f>IF(F133+SUM(E$99:E133)=D$92,F133,D$92-SUM(E$99:E133))</f>
        <v>2152970.733388694</v>
      </c>
      <c r="E134" s="160">
        <f t="shared" si="15"/>
        <v>286132.54761904763</v>
      </c>
      <c r="F134" s="159">
        <f t="shared" si="16"/>
        <v>1866838.1857696464</v>
      </c>
      <c r="G134" s="159">
        <f t="shared" si="17"/>
        <v>2009904.4595791702</v>
      </c>
      <c r="H134" s="163">
        <f t="shared" si="18"/>
        <v>530278.57212966564</v>
      </c>
      <c r="I134" s="253">
        <f t="shared" si="19"/>
        <v>530278.57212966564</v>
      </c>
      <c r="J134" s="158">
        <f t="shared" si="20"/>
        <v>0</v>
      </c>
      <c r="K134" s="158"/>
      <c r="L134" s="334"/>
      <c r="M134" s="158">
        <f t="shared" si="21"/>
        <v>0</v>
      </c>
      <c r="N134" s="334"/>
      <c r="O134" s="158">
        <f t="shared" si="22"/>
        <v>0</v>
      </c>
      <c r="P134" s="158">
        <f t="shared" si="23"/>
        <v>0</v>
      </c>
    </row>
    <row r="135" spans="2:16">
      <c r="B135" s="9" t="str">
        <f t="shared" si="14"/>
        <v/>
      </c>
      <c r="C135" s="153">
        <f>IF(D93="","-",+C134+1)</f>
        <v>2051</v>
      </c>
      <c r="D135" s="154">
        <f>IF(F134+SUM(E$99:E134)=D$92,F134,D$92-SUM(E$99:E134))</f>
        <v>1866838.1857696464</v>
      </c>
      <c r="E135" s="160">
        <f t="shared" si="15"/>
        <v>286132.54761904763</v>
      </c>
      <c r="F135" s="159">
        <f t="shared" si="16"/>
        <v>1580705.6381505989</v>
      </c>
      <c r="G135" s="159">
        <f t="shared" si="17"/>
        <v>1723771.9119601226</v>
      </c>
      <c r="H135" s="163">
        <f t="shared" si="18"/>
        <v>495521.63447954855</v>
      </c>
      <c r="I135" s="253">
        <f t="shared" si="19"/>
        <v>495521.63447954855</v>
      </c>
      <c r="J135" s="158">
        <f t="shared" si="20"/>
        <v>0</v>
      </c>
      <c r="K135" s="158"/>
      <c r="L135" s="334"/>
      <c r="M135" s="158">
        <f t="shared" si="21"/>
        <v>0</v>
      </c>
      <c r="N135" s="334"/>
      <c r="O135" s="158">
        <f t="shared" si="22"/>
        <v>0</v>
      </c>
      <c r="P135" s="158">
        <f t="shared" si="23"/>
        <v>0</v>
      </c>
    </row>
    <row r="136" spans="2:16">
      <c r="B136" s="9" t="str">
        <f t="shared" si="14"/>
        <v/>
      </c>
      <c r="C136" s="153">
        <f>IF(D93="","-",+C135+1)</f>
        <v>2052</v>
      </c>
      <c r="D136" s="154">
        <f>IF(F135+SUM(E$99:E135)=D$92,F135,D$92-SUM(E$99:E135))</f>
        <v>1580705.6381505989</v>
      </c>
      <c r="E136" s="160">
        <f t="shared" si="15"/>
        <v>286132.54761904763</v>
      </c>
      <c r="F136" s="159">
        <f t="shared" si="16"/>
        <v>1294573.0905315513</v>
      </c>
      <c r="G136" s="159">
        <f t="shared" si="17"/>
        <v>1437639.3643410751</v>
      </c>
      <c r="H136" s="163">
        <f t="shared" si="18"/>
        <v>460764.6968294314</v>
      </c>
      <c r="I136" s="253">
        <f t="shared" si="19"/>
        <v>460764.6968294314</v>
      </c>
      <c r="J136" s="158">
        <f t="shared" si="20"/>
        <v>0</v>
      </c>
      <c r="K136" s="158"/>
      <c r="L136" s="334"/>
      <c r="M136" s="158">
        <f t="shared" si="21"/>
        <v>0</v>
      </c>
      <c r="N136" s="334"/>
      <c r="O136" s="158">
        <f t="shared" si="22"/>
        <v>0</v>
      </c>
      <c r="P136" s="158">
        <f t="shared" si="23"/>
        <v>0</v>
      </c>
    </row>
    <row r="137" spans="2:16">
      <c r="B137" s="9" t="str">
        <f t="shared" si="14"/>
        <v/>
      </c>
      <c r="C137" s="153">
        <f>IF(D93="","-",+C136+1)</f>
        <v>2053</v>
      </c>
      <c r="D137" s="154">
        <f>IF(F136+SUM(E$99:E136)=D$92,F136,D$92-SUM(E$99:E136))</f>
        <v>1294573.0905315513</v>
      </c>
      <c r="E137" s="160">
        <f t="shared" si="15"/>
        <v>286132.54761904763</v>
      </c>
      <c r="F137" s="159">
        <f t="shared" si="16"/>
        <v>1008440.5429125037</v>
      </c>
      <c r="G137" s="159">
        <f t="shared" si="17"/>
        <v>1151506.8167220275</v>
      </c>
      <c r="H137" s="163">
        <f t="shared" si="18"/>
        <v>426007.75917931425</v>
      </c>
      <c r="I137" s="253">
        <f t="shared" si="19"/>
        <v>426007.75917931425</v>
      </c>
      <c r="J137" s="158">
        <f t="shared" si="20"/>
        <v>0</v>
      </c>
      <c r="K137" s="158"/>
      <c r="L137" s="334"/>
      <c r="M137" s="158">
        <f t="shared" si="21"/>
        <v>0</v>
      </c>
      <c r="N137" s="334"/>
      <c r="O137" s="158">
        <f t="shared" si="22"/>
        <v>0</v>
      </c>
      <c r="P137" s="158">
        <f t="shared" si="23"/>
        <v>0</v>
      </c>
    </row>
    <row r="138" spans="2:16">
      <c r="B138" s="9" t="str">
        <f t="shared" si="14"/>
        <v/>
      </c>
      <c r="C138" s="153">
        <f>IF(D93="","-",+C137+1)</f>
        <v>2054</v>
      </c>
      <c r="D138" s="154">
        <f>IF(F137+SUM(E$99:E137)=D$92,F137,D$92-SUM(E$99:E137))</f>
        <v>1008440.5429125037</v>
      </c>
      <c r="E138" s="160">
        <f t="shared" si="15"/>
        <v>286132.54761904763</v>
      </c>
      <c r="F138" s="159">
        <f t="shared" si="16"/>
        <v>722307.99529345613</v>
      </c>
      <c r="G138" s="159">
        <f t="shared" si="17"/>
        <v>865374.26910297992</v>
      </c>
      <c r="H138" s="163">
        <f t="shared" si="18"/>
        <v>391250.82152919716</v>
      </c>
      <c r="I138" s="253">
        <f t="shared" si="19"/>
        <v>391250.82152919716</v>
      </c>
      <c r="J138" s="158">
        <f t="shared" si="20"/>
        <v>0</v>
      </c>
      <c r="K138" s="158"/>
      <c r="L138" s="334"/>
      <c r="M138" s="158">
        <f t="shared" si="21"/>
        <v>0</v>
      </c>
      <c r="N138" s="334"/>
      <c r="O138" s="158">
        <f t="shared" si="22"/>
        <v>0</v>
      </c>
      <c r="P138" s="158">
        <f t="shared" si="23"/>
        <v>0</v>
      </c>
    </row>
    <row r="139" spans="2:16">
      <c r="B139" s="9" t="str">
        <f t="shared" si="14"/>
        <v/>
      </c>
      <c r="C139" s="153">
        <f>IF(D93="","-",+C138+1)</f>
        <v>2055</v>
      </c>
      <c r="D139" s="154">
        <f>IF(F138+SUM(E$99:E138)=D$92,F138,D$92-SUM(E$99:E138))</f>
        <v>722307.99529345613</v>
      </c>
      <c r="E139" s="160">
        <f t="shared" si="15"/>
        <v>286132.54761904763</v>
      </c>
      <c r="F139" s="159">
        <f t="shared" si="16"/>
        <v>436175.4476744085</v>
      </c>
      <c r="G139" s="159">
        <f t="shared" si="17"/>
        <v>579241.72148393234</v>
      </c>
      <c r="H139" s="163">
        <f t="shared" si="18"/>
        <v>356493.88387908007</v>
      </c>
      <c r="I139" s="253">
        <f t="shared" si="19"/>
        <v>356493.88387908007</v>
      </c>
      <c r="J139" s="158">
        <f t="shared" si="20"/>
        <v>0</v>
      </c>
      <c r="K139" s="158"/>
      <c r="L139" s="334"/>
      <c r="M139" s="158">
        <f t="shared" si="21"/>
        <v>0</v>
      </c>
      <c r="N139" s="334"/>
      <c r="O139" s="158">
        <f t="shared" si="22"/>
        <v>0</v>
      </c>
      <c r="P139" s="158">
        <f t="shared" si="23"/>
        <v>0</v>
      </c>
    </row>
    <row r="140" spans="2:16">
      <c r="B140" s="9" t="str">
        <f t="shared" si="14"/>
        <v/>
      </c>
      <c r="C140" s="153">
        <f>IF(D93="","-",+C139+1)</f>
        <v>2056</v>
      </c>
      <c r="D140" s="154">
        <f>IF(F139+SUM(E$99:E139)=D$92,F139,D$92-SUM(E$99:E139))</f>
        <v>436175.4476744085</v>
      </c>
      <c r="E140" s="160">
        <f t="shared" si="15"/>
        <v>286132.54761904763</v>
      </c>
      <c r="F140" s="159">
        <f t="shared" si="16"/>
        <v>150042.90005536086</v>
      </c>
      <c r="G140" s="159">
        <f t="shared" si="17"/>
        <v>293109.17386488465</v>
      </c>
      <c r="H140" s="163">
        <f t="shared" si="18"/>
        <v>321736.94622896292</v>
      </c>
      <c r="I140" s="253">
        <f t="shared" si="19"/>
        <v>321736.94622896292</v>
      </c>
      <c r="J140" s="158">
        <f t="shared" si="20"/>
        <v>0</v>
      </c>
      <c r="K140" s="158"/>
      <c r="L140" s="334"/>
      <c r="M140" s="158">
        <f t="shared" si="21"/>
        <v>0</v>
      </c>
      <c r="N140" s="334"/>
      <c r="O140" s="158">
        <f t="shared" si="22"/>
        <v>0</v>
      </c>
      <c r="P140" s="158">
        <f t="shared" si="23"/>
        <v>0</v>
      </c>
    </row>
    <row r="141" spans="2:16">
      <c r="B141" s="9" t="str">
        <f t="shared" si="14"/>
        <v/>
      </c>
      <c r="C141" s="153">
        <f>IF(D93="","-",+C140+1)</f>
        <v>2057</v>
      </c>
      <c r="D141" s="154">
        <f>IF(F140+SUM(E$99:E140)=D$92,F140,D$92-SUM(E$99:E140))</f>
        <v>150042.90005536086</v>
      </c>
      <c r="E141" s="160">
        <f t="shared" si="15"/>
        <v>150042.90005536086</v>
      </c>
      <c r="F141" s="159">
        <f t="shared" si="16"/>
        <v>0</v>
      </c>
      <c r="G141" s="159">
        <f t="shared" si="17"/>
        <v>75021.450027680432</v>
      </c>
      <c r="H141" s="163">
        <f t="shared" si="18"/>
        <v>159155.86494778923</v>
      </c>
      <c r="I141" s="253">
        <f t="shared" si="19"/>
        <v>159155.86494778923</v>
      </c>
      <c r="J141" s="158">
        <f t="shared" si="20"/>
        <v>0</v>
      </c>
      <c r="K141" s="158"/>
      <c r="L141" s="334"/>
      <c r="M141" s="158">
        <f t="shared" si="21"/>
        <v>0</v>
      </c>
      <c r="N141" s="334"/>
      <c r="O141" s="158">
        <f t="shared" si="22"/>
        <v>0</v>
      </c>
      <c r="P141" s="158">
        <f t="shared" si="23"/>
        <v>0</v>
      </c>
    </row>
    <row r="142" spans="2:16">
      <c r="B142" s="9" t="str">
        <f t="shared" si="14"/>
        <v/>
      </c>
      <c r="C142" s="153">
        <f>IF(D93="","-",+C141+1)</f>
        <v>2058</v>
      </c>
      <c r="D142" s="154">
        <f>IF(F141+SUM(E$99:E141)=D$92,F141,D$92-SUM(E$99:E141))</f>
        <v>0</v>
      </c>
      <c r="E142" s="160">
        <f t="shared" si="15"/>
        <v>0</v>
      </c>
      <c r="F142" s="159">
        <f t="shared" si="16"/>
        <v>0</v>
      </c>
      <c r="G142" s="159">
        <f t="shared" si="17"/>
        <v>0</v>
      </c>
      <c r="H142" s="163">
        <f t="shared" si="18"/>
        <v>0</v>
      </c>
      <c r="I142" s="253">
        <f t="shared" si="19"/>
        <v>0</v>
      </c>
      <c r="J142" s="158">
        <f t="shared" si="20"/>
        <v>0</v>
      </c>
      <c r="K142" s="158"/>
      <c r="L142" s="334"/>
      <c r="M142" s="158">
        <f t="shared" si="21"/>
        <v>0</v>
      </c>
      <c r="N142" s="334"/>
      <c r="O142" s="158">
        <f t="shared" si="22"/>
        <v>0</v>
      </c>
      <c r="P142" s="158">
        <f t="shared" si="23"/>
        <v>0</v>
      </c>
    </row>
    <row r="143" spans="2:16">
      <c r="B143" s="9" t="str">
        <f t="shared" si="14"/>
        <v/>
      </c>
      <c r="C143" s="153">
        <f>IF(D93="","-",+C142+1)</f>
        <v>2059</v>
      </c>
      <c r="D143" s="154">
        <f>IF(F142+SUM(E$99:E142)=D$92,F142,D$92-SUM(E$99:E142))</f>
        <v>0</v>
      </c>
      <c r="E143" s="160">
        <f t="shared" si="15"/>
        <v>0</v>
      </c>
      <c r="F143" s="159">
        <f t="shared" si="16"/>
        <v>0</v>
      </c>
      <c r="G143" s="159">
        <f t="shared" si="17"/>
        <v>0</v>
      </c>
      <c r="H143" s="163">
        <f t="shared" si="18"/>
        <v>0</v>
      </c>
      <c r="I143" s="253">
        <f t="shared" si="19"/>
        <v>0</v>
      </c>
      <c r="J143" s="158">
        <f t="shared" si="20"/>
        <v>0</v>
      </c>
      <c r="K143" s="158"/>
      <c r="L143" s="334"/>
      <c r="M143" s="158">
        <f t="shared" si="21"/>
        <v>0</v>
      </c>
      <c r="N143" s="334"/>
      <c r="O143" s="158">
        <f t="shared" si="22"/>
        <v>0</v>
      </c>
      <c r="P143" s="158">
        <f t="shared" si="23"/>
        <v>0</v>
      </c>
    </row>
    <row r="144" spans="2:16">
      <c r="B144" s="9" t="str">
        <f t="shared" si="14"/>
        <v/>
      </c>
      <c r="C144" s="153">
        <f>IF(D93="","-",+C143+1)</f>
        <v>2060</v>
      </c>
      <c r="D144" s="154">
        <f>IF(F143+SUM(E$99:E143)=D$92,F143,D$92-SUM(E$99:E143))</f>
        <v>0</v>
      </c>
      <c r="E144" s="160">
        <f t="shared" si="15"/>
        <v>0</v>
      </c>
      <c r="F144" s="159">
        <f t="shared" si="16"/>
        <v>0</v>
      </c>
      <c r="G144" s="159">
        <f t="shared" si="17"/>
        <v>0</v>
      </c>
      <c r="H144" s="163">
        <f t="shared" si="18"/>
        <v>0</v>
      </c>
      <c r="I144" s="253">
        <f t="shared" si="19"/>
        <v>0</v>
      </c>
      <c r="J144" s="158">
        <f t="shared" si="20"/>
        <v>0</v>
      </c>
      <c r="K144" s="158"/>
      <c r="L144" s="334"/>
      <c r="M144" s="158">
        <f t="shared" si="21"/>
        <v>0</v>
      </c>
      <c r="N144" s="334"/>
      <c r="O144" s="158">
        <f t="shared" si="22"/>
        <v>0</v>
      </c>
      <c r="P144" s="158">
        <f t="shared" si="23"/>
        <v>0</v>
      </c>
    </row>
    <row r="145" spans="2:16">
      <c r="B145" s="9" t="str">
        <f t="shared" si="14"/>
        <v/>
      </c>
      <c r="C145" s="153">
        <f>IF(D93="","-",+C144+1)</f>
        <v>2061</v>
      </c>
      <c r="D145" s="154">
        <f>IF(F144+SUM(E$99:E144)=D$92,F144,D$92-SUM(E$99:E144))</f>
        <v>0</v>
      </c>
      <c r="E145" s="160">
        <f t="shared" si="15"/>
        <v>0</v>
      </c>
      <c r="F145" s="159">
        <f t="shared" si="16"/>
        <v>0</v>
      </c>
      <c r="G145" s="159">
        <f t="shared" si="17"/>
        <v>0</v>
      </c>
      <c r="H145" s="163">
        <f t="shared" si="18"/>
        <v>0</v>
      </c>
      <c r="I145" s="253">
        <f t="shared" si="19"/>
        <v>0</v>
      </c>
      <c r="J145" s="158">
        <f t="shared" si="20"/>
        <v>0</v>
      </c>
      <c r="K145" s="158"/>
      <c r="L145" s="334"/>
      <c r="M145" s="158">
        <f t="shared" si="21"/>
        <v>0</v>
      </c>
      <c r="N145" s="334"/>
      <c r="O145" s="158">
        <f t="shared" si="22"/>
        <v>0</v>
      </c>
      <c r="P145" s="158">
        <f t="shared" si="23"/>
        <v>0</v>
      </c>
    </row>
    <row r="146" spans="2:16">
      <c r="B146" s="9" t="str">
        <f t="shared" si="14"/>
        <v/>
      </c>
      <c r="C146" s="153">
        <f>IF(D93="","-",+C145+1)</f>
        <v>2062</v>
      </c>
      <c r="D146" s="154">
        <f>IF(F145+SUM(E$99:E145)=D$92,F145,D$92-SUM(E$99:E145))</f>
        <v>0</v>
      </c>
      <c r="E146" s="160">
        <f t="shared" si="15"/>
        <v>0</v>
      </c>
      <c r="F146" s="159">
        <f t="shared" si="16"/>
        <v>0</v>
      </c>
      <c r="G146" s="159">
        <f t="shared" si="17"/>
        <v>0</v>
      </c>
      <c r="H146" s="163">
        <f t="shared" si="18"/>
        <v>0</v>
      </c>
      <c r="I146" s="253">
        <f t="shared" si="19"/>
        <v>0</v>
      </c>
      <c r="J146" s="158">
        <f t="shared" si="20"/>
        <v>0</v>
      </c>
      <c r="K146" s="158"/>
      <c r="L146" s="334"/>
      <c r="M146" s="158">
        <f t="shared" si="21"/>
        <v>0</v>
      </c>
      <c r="N146" s="334"/>
      <c r="O146" s="158">
        <f t="shared" si="22"/>
        <v>0</v>
      </c>
      <c r="P146" s="158">
        <f t="shared" si="23"/>
        <v>0</v>
      </c>
    </row>
    <row r="147" spans="2:16">
      <c r="B147" s="9" t="str">
        <f t="shared" si="14"/>
        <v/>
      </c>
      <c r="C147" s="153">
        <f>IF(D93="","-",+C146+1)</f>
        <v>2063</v>
      </c>
      <c r="D147" s="154">
        <f>IF(F146+SUM(E$99:E146)=D$92,F146,D$92-SUM(E$99:E146))</f>
        <v>0</v>
      </c>
      <c r="E147" s="160">
        <f t="shared" si="15"/>
        <v>0</v>
      </c>
      <c r="F147" s="159">
        <f t="shared" si="16"/>
        <v>0</v>
      </c>
      <c r="G147" s="159">
        <f t="shared" si="17"/>
        <v>0</v>
      </c>
      <c r="H147" s="163">
        <f t="shared" si="18"/>
        <v>0</v>
      </c>
      <c r="I147" s="253">
        <f t="shared" si="19"/>
        <v>0</v>
      </c>
      <c r="J147" s="158">
        <f t="shared" si="20"/>
        <v>0</v>
      </c>
      <c r="K147" s="158"/>
      <c r="L147" s="334"/>
      <c r="M147" s="158">
        <f t="shared" si="21"/>
        <v>0</v>
      </c>
      <c r="N147" s="334"/>
      <c r="O147" s="158">
        <f t="shared" si="22"/>
        <v>0</v>
      </c>
      <c r="P147" s="158">
        <f t="shared" si="23"/>
        <v>0</v>
      </c>
    </row>
    <row r="148" spans="2:16">
      <c r="B148" s="9" t="str">
        <f t="shared" si="14"/>
        <v/>
      </c>
      <c r="C148" s="153">
        <f>IF(D93="","-",+C147+1)</f>
        <v>2064</v>
      </c>
      <c r="D148" s="154">
        <f>IF(F147+SUM(E$99:E147)=D$92,F147,D$92-SUM(E$99:E147))</f>
        <v>0</v>
      </c>
      <c r="E148" s="160">
        <f t="shared" si="15"/>
        <v>0</v>
      </c>
      <c r="F148" s="159">
        <f t="shared" si="16"/>
        <v>0</v>
      </c>
      <c r="G148" s="159">
        <f t="shared" si="17"/>
        <v>0</v>
      </c>
      <c r="H148" s="163">
        <f t="shared" si="18"/>
        <v>0</v>
      </c>
      <c r="I148" s="253">
        <f t="shared" si="19"/>
        <v>0</v>
      </c>
      <c r="J148" s="158">
        <f t="shared" si="20"/>
        <v>0</v>
      </c>
      <c r="K148" s="158"/>
      <c r="L148" s="334"/>
      <c r="M148" s="158">
        <f t="shared" si="21"/>
        <v>0</v>
      </c>
      <c r="N148" s="334"/>
      <c r="O148" s="158">
        <f t="shared" si="22"/>
        <v>0</v>
      </c>
      <c r="P148" s="158">
        <f t="shared" si="23"/>
        <v>0</v>
      </c>
    </row>
    <row r="149" spans="2:16">
      <c r="B149" s="9" t="str">
        <f t="shared" si="14"/>
        <v/>
      </c>
      <c r="C149" s="153">
        <f>IF(D93="","-",+C148+1)</f>
        <v>2065</v>
      </c>
      <c r="D149" s="154">
        <f>IF(F148+SUM(E$99:E148)=D$92,F148,D$92-SUM(E$99:E148))</f>
        <v>0</v>
      </c>
      <c r="E149" s="160">
        <f t="shared" si="15"/>
        <v>0</v>
      </c>
      <c r="F149" s="159">
        <f t="shared" si="16"/>
        <v>0</v>
      </c>
      <c r="G149" s="159">
        <f t="shared" si="17"/>
        <v>0</v>
      </c>
      <c r="H149" s="163">
        <f t="shared" si="18"/>
        <v>0</v>
      </c>
      <c r="I149" s="253">
        <f t="shared" si="19"/>
        <v>0</v>
      </c>
      <c r="J149" s="158">
        <f t="shared" si="20"/>
        <v>0</v>
      </c>
      <c r="K149" s="158"/>
      <c r="L149" s="334"/>
      <c r="M149" s="158">
        <f t="shared" si="21"/>
        <v>0</v>
      </c>
      <c r="N149" s="334"/>
      <c r="O149" s="158">
        <f t="shared" si="22"/>
        <v>0</v>
      </c>
      <c r="P149" s="158">
        <f t="shared" si="23"/>
        <v>0</v>
      </c>
    </row>
    <row r="150" spans="2:16">
      <c r="B150" s="9" t="str">
        <f t="shared" si="14"/>
        <v/>
      </c>
      <c r="C150" s="153">
        <f>IF(D93="","-",+C149+1)</f>
        <v>2066</v>
      </c>
      <c r="D150" s="154">
        <f>IF(F149+SUM(E$99:E149)=D$92,F149,D$92-SUM(E$99:E149))</f>
        <v>0</v>
      </c>
      <c r="E150" s="160">
        <f t="shared" si="15"/>
        <v>0</v>
      </c>
      <c r="F150" s="159">
        <f t="shared" si="16"/>
        <v>0</v>
      </c>
      <c r="G150" s="159">
        <f t="shared" si="17"/>
        <v>0</v>
      </c>
      <c r="H150" s="163">
        <f t="shared" si="18"/>
        <v>0</v>
      </c>
      <c r="I150" s="253">
        <f t="shared" si="19"/>
        <v>0</v>
      </c>
      <c r="J150" s="158">
        <f t="shared" si="20"/>
        <v>0</v>
      </c>
      <c r="K150" s="158"/>
      <c r="L150" s="334"/>
      <c r="M150" s="158">
        <f t="shared" si="21"/>
        <v>0</v>
      </c>
      <c r="N150" s="334"/>
      <c r="O150" s="158">
        <f t="shared" si="22"/>
        <v>0</v>
      </c>
      <c r="P150" s="158">
        <f t="shared" si="23"/>
        <v>0</v>
      </c>
    </row>
    <row r="151" spans="2:16">
      <c r="B151" s="9" t="str">
        <f t="shared" si="14"/>
        <v/>
      </c>
      <c r="C151" s="153">
        <f>IF(D93="","-",+C150+1)</f>
        <v>2067</v>
      </c>
      <c r="D151" s="154">
        <f>IF(F150+SUM(E$99:E150)=D$92,F150,D$92-SUM(E$99:E150))</f>
        <v>0</v>
      </c>
      <c r="E151" s="160">
        <f t="shared" si="15"/>
        <v>0</v>
      </c>
      <c r="F151" s="159">
        <f t="shared" si="16"/>
        <v>0</v>
      </c>
      <c r="G151" s="159">
        <f t="shared" si="17"/>
        <v>0</v>
      </c>
      <c r="H151" s="163">
        <f t="shared" si="18"/>
        <v>0</v>
      </c>
      <c r="I151" s="253">
        <f t="shared" si="19"/>
        <v>0</v>
      </c>
      <c r="J151" s="158">
        <f t="shared" si="20"/>
        <v>0</v>
      </c>
      <c r="K151" s="158"/>
      <c r="L151" s="334"/>
      <c r="M151" s="158">
        <f t="shared" si="21"/>
        <v>0</v>
      </c>
      <c r="N151" s="334"/>
      <c r="O151" s="158">
        <f t="shared" si="22"/>
        <v>0</v>
      </c>
      <c r="P151" s="158">
        <f t="shared" si="23"/>
        <v>0</v>
      </c>
    </row>
    <row r="152" spans="2:16">
      <c r="B152" s="9" t="str">
        <f t="shared" si="14"/>
        <v/>
      </c>
      <c r="C152" s="153">
        <f>IF(D93="","-",+C151+1)</f>
        <v>2068</v>
      </c>
      <c r="D152" s="154">
        <f>IF(F151+SUM(E$99:E151)=D$92,F151,D$92-SUM(E$99:E151))</f>
        <v>0</v>
      </c>
      <c r="E152" s="160">
        <f t="shared" si="15"/>
        <v>0</v>
      </c>
      <c r="F152" s="159">
        <f t="shared" si="16"/>
        <v>0</v>
      </c>
      <c r="G152" s="159">
        <f t="shared" si="17"/>
        <v>0</v>
      </c>
      <c r="H152" s="163">
        <f t="shared" si="18"/>
        <v>0</v>
      </c>
      <c r="I152" s="253">
        <f t="shared" si="19"/>
        <v>0</v>
      </c>
      <c r="J152" s="158">
        <f t="shared" si="20"/>
        <v>0</v>
      </c>
      <c r="K152" s="158"/>
      <c r="L152" s="334"/>
      <c r="M152" s="158">
        <f t="shared" si="21"/>
        <v>0</v>
      </c>
      <c r="N152" s="334"/>
      <c r="O152" s="158">
        <f t="shared" si="22"/>
        <v>0</v>
      </c>
      <c r="P152" s="158">
        <f t="shared" si="23"/>
        <v>0</v>
      </c>
    </row>
    <row r="153" spans="2:16">
      <c r="B153" s="9" t="str">
        <f t="shared" si="14"/>
        <v/>
      </c>
      <c r="C153" s="153">
        <f>IF(D93="","-",+C152+1)</f>
        <v>2069</v>
      </c>
      <c r="D153" s="154">
        <f>IF(F152+SUM(E$99:E152)=D$92,F152,D$92-SUM(E$99:E152))</f>
        <v>0</v>
      </c>
      <c r="E153" s="160">
        <f t="shared" si="15"/>
        <v>0</v>
      </c>
      <c r="F153" s="159">
        <f t="shared" si="16"/>
        <v>0</v>
      </c>
      <c r="G153" s="159">
        <f t="shared" si="17"/>
        <v>0</v>
      </c>
      <c r="H153" s="163">
        <f t="shared" si="18"/>
        <v>0</v>
      </c>
      <c r="I153" s="253">
        <f t="shared" si="19"/>
        <v>0</v>
      </c>
      <c r="J153" s="158">
        <f t="shared" si="20"/>
        <v>0</v>
      </c>
      <c r="K153" s="158"/>
      <c r="L153" s="334"/>
      <c r="M153" s="158">
        <f t="shared" si="21"/>
        <v>0</v>
      </c>
      <c r="N153" s="334"/>
      <c r="O153" s="158">
        <f t="shared" si="22"/>
        <v>0</v>
      </c>
      <c r="P153" s="158">
        <f t="shared" si="23"/>
        <v>0</v>
      </c>
    </row>
    <row r="154" spans="2:16" ht="13.5" thickBot="1">
      <c r="B154" s="9" t="str">
        <f t="shared" si="14"/>
        <v/>
      </c>
      <c r="C154" s="164">
        <f>IF(D93="","-",+C153+1)</f>
        <v>2070</v>
      </c>
      <c r="D154" s="154">
        <f>IF(F153+SUM(E$99:E153)=D$92,F153,D$92-SUM(E$99:E153))</f>
        <v>0</v>
      </c>
      <c r="E154" s="160">
        <f t="shared" si="15"/>
        <v>0</v>
      </c>
      <c r="F154" s="159">
        <f t="shared" si="16"/>
        <v>0</v>
      </c>
      <c r="G154" s="159">
        <f t="shared" si="17"/>
        <v>0</v>
      </c>
      <c r="H154" s="163">
        <f t="shared" si="18"/>
        <v>0</v>
      </c>
      <c r="I154" s="253">
        <f t="shared" si="19"/>
        <v>0</v>
      </c>
      <c r="J154" s="158">
        <f t="shared" si="20"/>
        <v>0</v>
      </c>
      <c r="K154" s="158"/>
      <c r="L154" s="335"/>
      <c r="M154" s="169">
        <f t="shared" si="21"/>
        <v>0</v>
      </c>
      <c r="N154" s="335"/>
      <c r="O154" s="169">
        <f t="shared" si="22"/>
        <v>0</v>
      </c>
      <c r="P154" s="169">
        <f t="shared" si="23"/>
        <v>0</v>
      </c>
    </row>
    <row r="155" spans="2:16">
      <c r="C155" s="154" t="s">
        <v>73</v>
      </c>
      <c r="D155" s="111"/>
      <c r="E155" s="111">
        <f>SUM(E99:E154)</f>
        <v>12017567</v>
      </c>
      <c r="F155" s="111"/>
      <c r="G155" s="111"/>
      <c r="H155" s="111">
        <f>SUM(H99:H154)</f>
        <v>42831617.954444699</v>
      </c>
      <c r="I155" s="111">
        <f>SUM(I99:I154)</f>
        <v>42831617.954444699</v>
      </c>
      <c r="J155" s="111">
        <f>SUM(J99:J154)</f>
        <v>0</v>
      </c>
      <c r="K155" s="111"/>
      <c r="L155" s="111"/>
      <c r="M155" s="111"/>
      <c r="N155" s="111"/>
      <c r="O155" s="111"/>
      <c r="P155" s="1"/>
    </row>
    <row r="156" spans="2:16">
      <c r="C156" t="s">
        <v>87</v>
      </c>
      <c r="D156" s="2"/>
      <c r="E156" s="1"/>
      <c r="F156" s="1"/>
      <c r="G156" s="1"/>
      <c r="H156" s="1"/>
      <c r="I156" s="3"/>
      <c r="J156" s="3"/>
      <c r="K156" s="111"/>
      <c r="L156" s="3"/>
      <c r="M156" s="3"/>
      <c r="N156" s="3"/>
      <c r="O156" s="3"/>
      <c r="P156" s="1"/>
    </row>
    <row r="157" spans="2:16">
      <c r="C157" s="216"/>
      <c r="D157" s="2"/>
      <c r="E157" s="1"/>
      <c r="F157" s="1"/>
      <c r="G157" s="1"/>
      <c r="H157" s="1"/>
      <c r="I157" s="3"/>
      <c r="J157" s="3"/>
      <c r="K157" s="111"/>
      <c r="L157" s="3"/>
      <c r="M157" s="3"/>
      <c r="N157" s="3"/>
      <c r="O157" s="3"/>
      <c r="P157" s="1"/>
    </row>
    <row r="158" spans="2:16">
      <c r="C158" s="248" t="s">
        <v>127</v>
      </c>
      <c r="D158" s="2"/>
      <c r="E158" s="1"/>
      <c r="F158" s="1"/>
      <c r="G158" s="1"/>
      <c r="H158" s="1"/>
      <c r="I158" s="3"/>
      <c r="J158" s="3"/>
      <c r="K158" s="111"/>
      <c r="L158" s="3"/>
      <c r="M158" s="3"/>
      <c r="N158" s="3"/>
      <c r="O158" s="3"/>
      <c r="P158" s="1"/>
    </row>
    <row r="159" spans="2:16">
      <c r="C159" s="121" t="s">
        <v>74</v>
      </c>
      <c r="D159" s="154"/>
      <c r="E159" s="154"/>
      <c r="F159" s="154"/>
      <c r="G159" s="154"/>
      <c r="H159" s="111"/>
      <c r="I159" s="111"/>
      <c r="J159" s="171"/>
      <c r="K159" s="171"/>
      <c r="L159" s="171"/>
      <c r="M159" s="171"/>
      <c r="N159" s="171"/>
      <c r="O159" s="171"/>
      <c r="P159" s="1"/>
    </row>
    <row r="160" spans="2:16">
      <c r="C160" s="217" t="s">
        <v>75</v>
      </c>
      <c r="D160" s="154"/>
      <c r="E160" s="154"/>
      <c r="F160" s="154"/>
      <c r="G160" s="154"/>
      <c r="H160" s="111"/>
      <c r="I160" s="111"/>
      <c r="J160" s="171"/>
      <c r="K160" s="171"/>
      <c r="L160" s="171"/>
      <c r="M160" s="171"/>
      <c r="N160" s="171"/>
      <c r="O160" s="171"/>
      <c r="P160" s="1"/>
    </row>
    <row r="161" spans="3:16">
      <c r="C161" s="217"/>
      <c r="D161" s="154"/>
      <c r="E161" s="154"/>
      <c r="F161" s="154"/>
      <c r="G161" s="154"/>
      <c r="H161" s="111"/>
      <c r="I161" s="111"/>
      <c r="J161" s="171"/>
      <c r="K161" s="171"/>
      <c r="L161" s="171"/>
      <c r="M161" s="171"/>
      <c r="N161" s="171"/>
      <c r="O161" s="171"/>
      <c r="P161" s="1"/>
    </row>
    <row r="162" spans="3:16" ht="18">
      <c r="C162" s="217"/>
      <c r="D162" s="154"/>
      <c r="E162" s="154"/>
      <c r="F162" s="154"/>
      <c r="G162" s="154"/>
      <c r="H162" s="111"/>
      <c r="I162" s="111"/>
      <c r="J162" s="171"/>
      <c r="K162" s="171"/>
      <c r="L162" s="171"/>
      <c r="M162" s="171"/>
      <c r="N162" s="171"/>
      <c r="P162" s="245" t="s">
        <v>126</v>
      </c>
    </row>
  </sheetData>
  <conditionalFormatting sqref="C17:C72">
    <cfRule type="cellIs" dxfId="60" priority="1" stopIfTrue="1" operator="equal">
      <formula>$I$10</formula>
    </cfRule>
  </conditionalFormatting>
  <conditionalFormatting sqref="C99:C154">
    <cfRule type="cellIs" dxfId="59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2"/>
  <dimension ref="A1:P162"/>
  <sheetViews>
    <sheetView view="pageBreakPreview" topLeftCell="A34" zoomScale="82" zoomScaleNormal="100" zoomScaleSheetLayoutView="82" workbookViewId="0">
      <selection activeCell="C19" sqref="C19"/>
    </sheetView>
  </sheetViews>
  <sheetFormatPr defaultRowHeight="12.75" customHeight="1"/>
  <cols>
    <col min="1" max="1" width="4.7109375" customWidth="1"/>
    <col min="2" max="2" width="6.7109375" customWidth="1"/>
    <col min="3" max="3" width="23.28515625" customWidth="1"/>
    <col min="4" max="8" width="17.7109375" customWidth="1"/>
    <col min="9" max="9" width="20.42578125" customWidth="1"/>
    <col min="10" max="10" width="16.42578125" customWidth="1"/>
    <col min="11" max="11" width="17.7109375" customWidth="1"/>
    <col min="12" max="12" width="16.140625" customWidth="1"/>
    <col min="13" max="13" width="17.7109375" customWidth="1"/>
    <col min="14" max="14" width="16.7109375" customWidth="1"/>
    <col min="15" max="15" width="16.85546875" customWidth="1"/>
    <col min="16" max="16" width="24.42578125" customWidth="1"/>
    <col min="17" max="17" width="9.140625" customWidth="1"/>
    <col min="23" max="23" width="9.140625" customWidth="1"/>
  </cols>
  <sheetData>
    <row r="1" spans="1:16" ht="20.25">
      <c r="A1" s="243" t="s">
        <v>128</v>
      </c>
      <c r="B1" s="1"/>
      <c r="C1" s="21"/>
      <c r="D1" s="2"/>
      <c r="E1" s="1"/>
      <c r="F1" s="99"/>
      <c r="G1" s="1"/>
      <c r="H1" s="3"/>
      <c r="J1" s="7"/>
      <c r="K1" s="109"/>
      <c r="L1" s="109"/>
      <c r="M1" s="109"/>
      <c r="P1" s="249" t="str">
        <f ca="1">"SWEPCO Project "&amp;RIGHT(MID(CELL("filename",$A$1),FIND("]",CELL("filename",$A$1))+1,256),2)&amp;" of "&amp;COUNT('S.001:S.xyz - blank'!$P$3)-1</f>
        <v>SWEPCO Project 53 of 73</v>
      </c>
    </row>
    <row r="2" spans="1:16" ht="18">
      <c r="B2" s="1"/>
      <c r="C2" s="1"/>
      <c r="D2" s="2"/>
      <c r="E2" s="1"/>
      <c r="F2" s="1"/>
      <c r="G2" s="1"/>
      <c r="H2" s="3"/>
      <c r="I2" s="1"/>
      <c r="J2" s="4"/>
      <c r="K2" s="1"/>
      <c r="L2" s="1"/>
      <c r="M2" s="1"/>
      <c r="N2" s="1"/>
      <c r="P2" s="244" t="s">
        <v>124</v>
      </c>
    </row>
    <row r="3" spans="1:16" ht="18.75">
      <c r="B3" s="5" t="s">
        <v>40</v>
      </c>
      <c r="C3" s="68" t="s">
        <v>41</v>
      </c>
      <c r="D3" s="2"/>
      <c r="E3" s="1"/>
      <c r="F3" s="1"/>
      <c r="G3" s="1"/>
      <c r="H3" s="3"/>
      <c r="I3" s="3"/>
      <c r="J3" s="111"/>
      <c r="K3" s="3"/>
      <c r="L3" s="3"/>
      <c r="M3" s="3"/>
      <c r="N3" s="3"/>
      <c r="O3" s="1"/>
      <c r="P3" s="240">
        <v>1</v>
      </c>
    </row>
    <row r="4" spans="1:16" ht="15.75" thickBot="1">
      <c r="C4" s="67"/>
      <c r="D4" s="2"/>
      <c r="E4" s="1"/>
      <c r="F4" s="1"/>
      <c r="G4" s="1"/>
      <c r="H4" s="3"/>
      <c r="I4" s="3"/>
      <c r="J4" s="111"/>
      <c r="K4" s="3"/>
      <c r="L4" s="3"/>
      <c r="M4" s="3"/>
      <c r="N4" s="3"/>
      <c r="O4" s="1"/>
      <c r="P4" s="1"/>
    </row>
    <row r="5" spans="1:16" ht="15">
      <c r="C5" s="112" t="s">
        <v>42</v>
      </c>
      <c r="D5" s="2"/>
      <c r="E5" s="1"/>
      <c r="F5" s="1"/>
      <c r="G5" s="113"/>
      <c r="H5" s="1" t="s">
        <v>43</v>
      </c>
      <c r="I5" s="1"/>
      <c r="J5" s="4"/>
      <c r="K5" s="268" t="s">
        <v>152</v>
      </c>
      <c r="L5" s="114"/>
      <c r="M5" s="115"/>
      <c r="N5" s="116">
        <f>VLOOKUP(I10,C17:I72,5)</f>
        <v>656098.79913720628</v>
      </c>
      <c r="P5" s="1"/>
    </row>
    <row r="6" spans="1:16" ht="15.75">
      <c r="C6" s="8"/>
      <c r="D6" s="2"/>
      <c r="E6" s="1"/>
      <c r="F6" s="1"/>
      <c r="G6" s="1"/>
      <c r="H6" s="117"/>
      <c r="I6" s="117"/>
      <c r="J6" s="118"/>
      <c r="K6" s="269" t="s">
        <v>153</v>
      </c>
      <c r="L6" s="119"/>
      <c r="M6" s="4"/>
      <c r="N6" s="120">
        <f>VLOOKUP(I10,C17:I72,6)</f>
        <v>656098.79913720628</v>
      </c>
      <c r="O6" s="1"/>
      <c r="P6" s="1"/>
    </row>
    <row r="7" spans="1:16" ht="13.5" thickBot="1">
      <c r="C7" s="121" t="s">
        <v>44</v>
      </c>
      <c r="D7" s="386" t="s">
        <v>331</v>
      </c>
      <c r="E7" s="379"/>
      <c r="F7" s="379"/>
      <c r="G7" s="379"/>
      <c r="H7" s="383"/>
      <c r="I7" s="3"/>
      <c r="J7" s="111"/>
      <c r="K7" s="122" t="s">
        <v>45</v>
      </c>
      <c r="L7" s="123"/>
      <c r="M7" s="123"/>
      <c r="N7" s="124">
        <f>+N6-N5</f>
        <v>0</v>
      </c>
      <c r="O7" s="1"/>
      <c r="P7" s="1"/>
    </row>
    <row r="8" spans="1:16" ht="13.5" thickBot="1">
      <c r="C8" s="125"/>
      <c r="D8" s="352" t="str">
        <f>IF(D10&lt;100000,"DOES NOT MEET SPP $100,000 MINIMUM INVESTMENT FOR REGIONAL BPU SHARING.","")</f>
        <v/>
      </c>
      <c r="E8" s="126"/>
      <c r="F8" s="126"/>
      <c r="G8" s="126"/>
      <c r="H8" s="126"/>
      <c r="I8" s="126"/>
      <c r="J8" s="101"/>
      <c r="K8" s="126"/>
      <c r="L8" s="126"/>
      <c r="M8" s="126"/>
      <c r="N8" s="126"/>
      <c r="O8" s="101"/>
      <c r="P8" s="21"/>
    </row>
    <row r="9" spans="1:16" ht="13.5" thickBot="1">
      <c r="C9" s="127" t="s">
        <v>46</v>
      </c>
      <c r="D9" s="225" t="s">
        <v>324</v>
      </c>
      <c r="E9" s="401" t="s">
        <v>440</v>
      </c>
      <c r="F9" s="128"/>
      <c r="G9" s="128"/>
      <c r="H9" s="128"/>
      <c r="I9" s="129"/>
      <c r="J9" s="130"/>
      <c r="O9" s="131"/>
      <c r="P9" s="4"/>
    </row>
    <row r="10" spans="1:16">
      <c r="C10" s="132" t="s">
        <v>47</v>
      </c>
      <c r="D10" s="133">
        <v>5738013</v>
      </c>
      <c r="E10" s="61" t="s">
        <v>459</v>
      </c>
      <c r="F10" s="131"/>
      <c r="G10" s="134"/>
      <c r="H10" s="134"/>
      <c r="I10" s="135">
        <f>+SWE.WS.F.BPU.ATRR.Projected!K17</f>
        <v>2019</v>
      </c>
      <c r="J10" s="130"/>
      <c r="K10" s="111" t="s">
        <v>48</v>
      </c>
      <c r="O10" s="4"/>
      <c r="P10" s="4"/>
    </row>
    <row r="11" spans="1:16">
      <c r="C11" s="136" t="s">
        <v>49</v>
      </c>
      <c r="D11" s="137">
        <v>2015</v>
      </c>
      <c r="E11" s="136" t="s">
        <v>50</v>
      </c>
      <c r="F11" s="134"/>
      <c r="G11" s="7"/>
      <c r="H11" s="7"/>
      <c r="I11" s="138">
        <f>IF(G5="",0,SWE.WS.F.BPU.ATRR.Projected!F$11)</f>
        <v>0</v>
      </c>
      <c r="J11" s="139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4"/>
      <c r="P11" s="4"/>
    </row>
    <row r="12" spans="1:16">
      <c r="C12" s="136" t="s">
        <v>51</v>
      </c>
      <c r="D12" s="133">
        <v>11</v>
      </c>
      <c r="E12" s="136" t="s">
        <v>52</v>
      </c>
      <c r="F12" s="134"/>
      <c r="G12" s="7"/>
      <c r="H12" s="7"/>
      <c r="I12" s="140">
        <f>SWE.WS.F.BPU.ATRR.Projected!$F$76</f>
        <v>9.9555672459071778E-2</v>
      </c>
      <c r="J12" s="141"/>
      <c r="K12" t="s">
        <v>53</v>
      </c>
      <c r="O12" s="4"/>
      <c r="P12" s="4"/>
    </row>
    <row r="13" spans="1:16">
      <c r="C13" s="136" t="s">
        <v>54</v>
      </c>
      <c r="D13" s="138">
        <f>+SWE.WS.F.BPU.ATRR.Projected!F$87</f>
        <v>43</v>
      </c>
      <c r="E13" s="136" t="s">
        <v>55</v>
      </c>
      <c r="F13" s="134"/>
      <c r="G13" s="7"/>
      <c r="H13" s="7"/>
      <c r="I13" s="140">
        <f>IF(G5="",I12,SWE.WS.F.BPU.ATRR.Projected!$F$75)</f>
        <v>9.9555672459071778E-2</v>
      </c>
      <c r="J13" s="141"/>
      <c r="K13" s="111" t="s">
        <v>56</v>
      </c>
      <c r="L13" s="58"/>
      <c r="M13" s="58"/>
      <c r="N13" s="58"/>
      <c r="O13" s="4"/>
      <c r="P13" s="4"/>
    </row>
    <row r="14" spans="1:16" ht="13.5" thickBot="1">
      <c r="C14" s="136" t="s">
        <v>57</v>
      </c>
      <c r="D14" s="137" t="s">
        <v>58</v>
      </c>
      <c r="E14" s="4" t="s">
        <v>59</v>
      </c>
      <c r="F14" s="134"/>
      <c r="G14" s="7"/>
      <c r="H14" s="7"/>
      <c r="I14" s="142">
        <f>IF(D10=0,0,D10/D13)</f>
        <v>133442.16279069768</v>
      </c>
      <c r="J14" s="111"/>
      <c r="K14" s="111"/>
      <c r="L14" s="111"/>
      <c r="M14" s="111"/>
      <c r="N14" s="111"/>
      <c r="O14" s="4"/>
      <c r="P14" s="4"/>
    </row>
    <row r="15" spans="1:16" ht="38.25">
      <c r="C15" s="143" t="s">
        <v>47</v>
      </c>
      <c r="D15" s="144" t="s">
        <v>60</v>
      </c>
      <c r="E15" s="144" t="s">
        <v>61</v>
      </c>
      <c r="F15" s="144" t="s">
        <v>62</v>
      </c>
      <c r="G15" s="434" t="s">
        <v>378</v>
      </c>
      <c r="H15" s="435" t="s">
        <v>379</v>
      </c>
      <c r="I15" s="143" t="s">
        <v>63</v>
      </c>
      <c r="J15" s="145"/>
      <c r="K15" s="271" t="s">
        <v>219</v>
      </c>
      <c r="L15" s="146" t="s">
        <v>64</v>
      </c>
      <c r="M15" s="271" t="s">
        <v>219</v>
      </c>
      <c r="N15" s="146" t="s">
        <v>64</v>
      </c>
      <c r="O15" s="146" t="s">
        <v>65</v>
      </c>
      <c r="P15" s="4"/>
    </row>
    <row r="16" spans="1:16" ht="13.5" thickBot="1">
      <c r="C16" s="147" t="s">
        <v>66</v>
      </c>
      <c r="D16" s="147" t="s">
        <v>67</v>
      </c>
      <c r="E16" s="147" t="s">
        <v>68</v>
      </c>
      <c r="F16" s="147" t="s">
        <v>67</v>
      </c>
      <c r="G16" s="408" t="s">
        <v>69</v>
      </c>
      <c r="H16" s="148" t="s">
        <v>70</v>
      </c>
      <c r="I16" s="149" t="s">
        <v>89</v>
      </c>
      <c r="J16" s="150" t="s">
        <v>71</v>
      </c>
      <c r="K16" s="151" t="s">
        <v>72</v>
      </c>
      <c r="L16" s="151" t="s">
        <v>72</v>
      </c>
      <c r="M16" s="151" t="s">
        <v>90</v>
      </c>
      <c r="N16" s="152" t="s">
        <v>90</v>
      </c>
      <c r="O16" s="151" t="s">
        <v>90</v>
      </c>
      <c r="P16" s="4"/>
    </row>
    <row r="17" spans="2:16">
      <c r="C17" s="153">
        <f>IF(D11= "","-",D11)</f>
        <v>2015</v>
      </c>
      <c r="D17" s="409">
        <v>5900000</v>
      </c>
      <c r="E17" s="415">
        <v>11706.349206349207</v>
      </c>
      <c r="F17" s="409">
        <v>5888293.6507936511</v>
      </c>
      <c r="G17" s="415">
        <v>787222.89256713865</v>
      </c>
      <c r="H17" s="416">
        <v>787222.89256713865</v>
      </c>
      <c r="I17" s="156">
        <v>0</v>
      </c>
      <c r="J17" s="156"/>
      <c r="K17" s="258">
        <f>G17</f>
        <v>787222.89256713865</v>
      </c>
      <c r="L17" s="257">
        <f>IF(K17&lt;&gt;0,+G17-K17,0)</f>
        <v>0</v>
      </c>
      <c r="M17" s="258">
        <f>H17</f>
        <v>787222.89256713865</v>
      </c>
      <c r="N17" s="158">
        <f>IF(M17&lt;&gt;0,+H17-M17,0)</f>
        <v>0</v>
      </c>
      <c r="O17" s="158">
        <f>+N17-L17</f>
        <v>0</v>
      </c>
      <c r="P17" s="4"/>
    </row>
    <row r="18" spans="2:16">
      <c r="B18" s="9" t="str">
        <f>IF(D18=F17,"","IU")</f>
        <v>IU</v>
      </c>
      <c r="C18" s="153">
        <f>IF(D11="","-",+C17+1)</f>
        <v>2016</v>
      </c>
      <c r="D18" s="411">
        <v>5712842.6507936511</v>
      </c>
      <c r="E18" s="410">
        <v>136298.78571428571</v>
      </c>
      <c r="F18" s="411">
        <v>5576543.8650793657</v>
      </c>
      <c r="G18" s="410">
        <v>861695.47237571224</v>
      </c>
      <c r="H18" s="416">
        <v>861695.47237571224</v>
      </c>
      <c r="I18" s="156">
        <f>H18-G18</f>
        <v>0</v>
      </c>
      <c r="J18" s="156"/>
      <c r="K18" s="258">
        <f>G18</f>
        <v>861695.47237571224</v>
      </c>
      <c r="L18" s="257">
        <f>IF(K18&lt;&gt;0,+G18-K18,0)</f>
        <v>0</v>
      </c>
      <c r="M18" s="258">
        <f>H18</f>
        <v>861695.47237571224</v>
      </c>
      <c r="N18" s="158">
        <f>IF(M18&lt;&gt;0,+H18-M18,0)</f>
        <v>0</v>
      </c>
      <c r="O18" s="158">
        <f>+N18-L18</f>
        <v>0</v>
      </c>
      <c r="P18" s="4"/>
    </row>
    <row r="19" spans="2:16">
      <c r="B19" s="9" t="str">
        <f>IF(D19=F18,"","IU")</f>
        <v>IU</v>
      </c>
      <c r="C19" s="153">
        <f>IF(D11="","-",+C18+1)</f>
        <v>2017</v>
      </c>
      <c r="D19" s="411">
        <v>5590007.8650793647</v>
      </c>
      <c r="E19" s="410">
        <v>133442.16279069768</v>
      </c>
      <c r="F19" s="411">
        <v>5456565.7022886667</v>
      </c>
      <c r="G19" s="410">
        <v>817736.15631136962</v>
      </c>
      <c r="H19" s="416">
        <v>817736.15631136962</v>
      </c>
      <c r="I19" s="156">
        <v>0</v>
      </c>
      <c r="J19" s="156"/>
      <c r="K19" s="258">
        <f>G19</f>
        <v>817736.15631136962</v>
      </c>
      <c r="L19" s="257">
        <f>IF(K19&lt;&gt;0,+G19-K19,0)</f>
        <v>0</v>
      </c>
      <c r="M19" s="258">
        <f>H19</f>
        <v>817736.15631136962</v>
      </c>
      <c r="N19" s="158">
        <f>IF(M19&lt;&gt;0,+H19-M19,0)</f>
        <v>0</v>
      </c>
      <c r="O19" s="158">
        <f>+N19-L19</f>
        <v>0</v>
      </c>
      <c r="P19" s="4"/>
    </row>
    <row r="20" spans="2:16">
      <c r="B20" s="9" t="str">
        <f t="shared" ref="B20:B72" si="0">IF(D20=F19,"","IU")</f>
        <v/>
      </c>
      <c r="C20" s="153">
        <f>IF(D11="","-",+C19+1)</f>
        <v>2018</v>
      </c>
      <c r="D20" s="411">
        <v>5456565.7022886667</v>
      </c>
      <c r="E20" s="410">
        <v>139951.53658536586</v>
      </c>
      <c r="F20" s="411">
        <v>5316614.1657033013</v>
      </c>
      <c r="G20" s="410">
        <v>742625.89615284489</v>
      </c>
      <c r="H20" s="416">
        <v>742625.89615284489</v>
      </c>
      <c r="I20" s="156">
        <f t="shared" ref="I20:I72" si="1">H20-G20</f>
        <v>0</v>
      </c>
      <c r="J20" s="156"/>
      <c r="K20" s="258">
        <f>G20</f>
        <v>742625.89615284489</v>
      </c>
      <c r="L20" s="257">
        <f>IF(K20&lt;&gt;0,+G20-K20,0)</f>
        <v>0</v>
      </c>
      <c r="M20" s="258">
        <f>H20</f>
        <v>742625.89615284489</v>
      </c>
      <c r="N20" s="158">
        <f>IF(M20&lt;&gt;0,+H20-M20,0)</f>
        <v>0</v>
      </c>
      <c r="O20" s="158">
        <f>+N20-L20</f>
        <v>0</v>
      </c>
      <c r="P20" s="4"/>
    </row>
    <row r="21" spans="2:16">
      <c r="B21" s="9" t="str">
        <f t="shared" si="0"/>
        <v/>
      </c>
      <c r="C21" s="153">
        <f>IF(D11="","-",+C20+1)</f>
        <v>2019</v>
      </c>
      <c r="D21" s="159">
        <f>IF(F20+SUM(E$17:E20)=D$10,F20,D$10-SUM(E$17:E20))</f>
        <v>5316614.1657033013</v>
      </c>
      <c r="E21" s="160">
        <f t="shared" ref="E21:E72" si="2">IF(+$I$14&lt;F20,$I$14,D21)</f>
        <v>133442.16279069768</v>
      </c>
      <c r="F21" s="159">
        <f t="shared" ref="F21:F72" si="3">+D21-E21</f>
        <v>5183172.0029126033</v>
      </c>
      <c r="G21" s="161">
        <f t="shared" ref="G21:G50" si="4">+I$12*((D21+F21)/2)+E21</f>
        <v>656098.79913720628</v>
      </c>
      <c r="H21" s="142">
        <f t="shared" ref="H21:H50" si="5">+I$13*((D21+F21)/2)+E21</f>
        <v>656098.79913720628</v>
      </c>
      <c r="I21" s="156">
        <f t="shared" si="1"/>
        <v>0</v>
      </c>
      <c r="J21" s="156"/>
      <c r="K21" s="334"/>
      <c r="L21" s="158">
        <f t="shared" ref="L21:L72" si="6">IF(K21&lt;&gt;0,+G21-K21,0)</f>
        <v>0</v>
      </c>
      <c r="M21" s="334"/>
      <c r="N21" s="158">
        <f t="shared" ref="N21:N72" si="7">IF(M21&lt;&gt;0,+H21-M21,0)</f>
        <v>0</v>
      </c>
      <c r="O21" s="158">
        <f t="shared" ref="O21:O72" si="8">+N21-L21</f>
        <v>0</v>
      </c>
      <c r="P21" s="4"/>
    </row>
    <row r="22" spans="2:16">
      <c r="B22" s="9" t="str">
        <f t="shared" si="0"/>
        <v/>
      </c>
      <c r="C22" s="153">
        <f>IF(D11="","-",+C21+1)</f>
        <v>2020</v>
      </c>
      <c r="D22" s="159">
        <f>IF(F21+SUM(E$17:E21)=D$10,F21,D$10-SUM(E$17:E21))</f>
        <v>5183172.0029126033</v>
      </c>
      <c r="E22" s="160">
        <f t="shared" si="2"/>
        <v>133442.16279069768</v>
      </c>
      <c r="F22" s="159">
        <f t="shared" si="3"/>
        <v>5049729.8401219053</v>
      </c>
      <c r="G22" s="161">
        <f t="shared" si="4"/>
        <v>642813.87488618551</v>
      </c>
      <c r="H22" s="142">
        <f t="shared" si="5"/>
        <v>642813.87488618551</v>
      </c>
      <c r="I22" s="156">
        <f t="shared" si="1"/>
        <v>0</v>
      </c>
      <c r="J22" s="156"/>
      <c r="K22" s="334"/>
      <c r="L22" s="158">
        <f t="shared" si="6"/>
        <v>0</v>
      </c>
      <c r="M22" s="334"/>
      <c r="N22" s="158">
        <f t="shared" si="7"/>
        <v>0</v>
      </c>
      <c r="O22" s="158">
        <f t="shared" si="8"/>
        <v>0</v>
      </c>
      <c r="P22" s="4"/>
    </row>
    <row r="23" spans="2:16">
      <c r="B23" s="9" t="str">
        <f t="shared" si="0"/>
        <v/>
      </c>
      <c r="C23" s="153">
        <f>IF(D11="","-",+C22+1)</f>
        <v>2021</v>
      </c>
      <c r="D23" s="159">
        <f>IF(F22+SUM(E$17:E22)=D$10,F22,D$10-SUM(E$17:E22))</f>
        <v>5049729.8401219053</v>
      </c>
      <c r="E23" s="160">
        <f t="shared" si="2"/>
        <v>133442.16279069768</v>
      </c>
      <c r="F23" s="159">
        <f t="shared" si="3"/>
        <v>4916287.6773312073</v>
      </c>
      <c r="G23" s="161">
        <f t="shared" si="4"/>
        <v>629528.95063516451</v>
      </c>
      <c r="H23" s="142">
        <f t="shared" si="5"/>
        <v>629528.95063516451</v>
      </c>
      <c r="I23" s="156">
        <f t="shared" si="1"/>
        <v>0</v>
      </c>
      <c r="J23" s="156"/>
      <c r="K23" s="334"/>
      <c r="L23" s="158">
        <f t="shared" si="6"/>
        <v>0</v>
      </c>
      <c r="M23" s="334"/>
      <c r="N23" s="158">
        <f t="shared" si="7"/>
        <v>0</v>
      </c>
      <c r="O23" s="158">
        <f t="shared" si="8"/>
        <v>0</v>
      </c>
      <c r="P23" s="4"/>
    </row>
    <row r="24" spans="2:16">
      <c r="B24" s="9" t="str">
        <f t="shared" si="0"/>
        <v/>
      </c>
      <c r="C24" s="153">
        <f>IF(D11="","-",+C23+1)</f>
        <v>2022</v>
      </c>
      <c r="D24" s="159">
        <f>IF(F23+SUM(E$17:E23)=D$10,F23,D$10-SUM(E$17:E23))</f>
        <v>4916287.6773312073</v>
      </c>
      <c r="E24" s="160">
        <f t="shared" si="2"/>
        <v>133442.16279069768</v>
      </c>
      <c r="F24" s="159">
        <f t="shared" si="3"/>
        <v>4782845.5145405093</v>
      </c>
      <c r="G24" s="161">
        <f t="shared" si="4"/>
        <v>616244.02638414374</v>
      </c>
      <c r="H24" s="142">
        <f t="shared" si="5"/>
        <v>616244.02638414374</v>
      </c>
      <c r="I24" s="156">
        <f t="shared" si="1"/>
        <v>0</v>
      </c>
      <c r="J24" s="156"/>
      <c r="K24" s="334"/>
      <c r="L24" s="158">
        <f t="shared" si="6"/>
        <v>0</v>
      </c>
      <c r="M24" s="334"/>
      <c r="N24" s="158">
        <f t="shared" si="7"/>
        <v>0</v>
      </c>
      <c r="O24" s="158">
        <f t="shared" si="8"/>
        <v>0</v>
      </c>
      <c r="P24" s="4"/>
    </row>
    <row r="25" spans="2:16">
      <c r="B25" s="9" t="str">
        <f t="shared" si="0"/>
        <v/>
      </c>
      <c r="C25" s="153">
        <f>IF(D11="","-",+C24+1)</f>
        <v>2023</v>
      </c>
      <c r="D25" s="159">
        <f>IF(F24+SUM(E$17:E24)=D$10,F24,D$10-SUM(E$17:E24))</f>
        <v>4782845.5145405093</v>
      </c>
      <c r="E25" s="160">
        <f t="shared" si="2"/>
        <v>133442.16279069768</v>
      </c>
      <c r="F25" s="159">
        <f t="shared" si="3"/>
        <v>4649403.3517498113</v>
      </c>
      <c r="G25" s="161">
        <f t="shared" si="4"/>
        <v>602959.10213312274</v>
      </c>
      <c r="H25" s="142">
        <f t="shared" si="5"/>
        <v>602959.10213312274</v>
      </c>
      <c r="I25" s="156">
        <f t="shared" si="1"/>
        <v>0</v>
      </c>
      <c r="J25" s="156"/>
      <c r="K25" s="334"/>
      <c r="L25" s="158">
        <f t="shared" si="6"/>
        <v>0</v>
      </c>
      <c r="M25" s="334"/>
      <c r="N25" s="158">
        <f t="shared" si="7"/>
        <v>0</v>
      </c>
      <c r="O25" s="158">
        <f t="shared" si="8"/>
        <v>0</v>
      </c>
      <c r="P25" s="4"/>
    </row>
    <row r="26" spans="2:16">
      <c r="B26" s="9" t="str">
        <f t="shared" si="0"/>
        <v/>
      </c>
      <c r="C26" s="153">
        <f>IF(D11="","-",+C25+1)</f>
        <v>2024</v>
      </c>
      <c r="D26" s="159">
        <f>IF(F25+SUM(E$17:E25)=D$10,F25,D$10-SUM(E$17:E25))</f>
        <v>4649403.3517498113</v>
      </c>
      <c r="E26" s="160">
        <f t="shared" si="2"/>
        <v>133442.16279069768</v>
      </c>
      <c r="F26" s="159">
        <f t="shared" si="3"/>
        <v>4515961.1889591133</v>
      </c>
      <c r="G26" s="161">
        <f t="shared" si="4"/>
        <v>589674.17788210197</v>
      </c>
      <c r="H26" s="142">
        <f t="shared" si="5"/>
        <v>589674.17788210197</v>
      </c>
      <c r="I26" s="156">
        <f t="shared" si="1"/>
        <v>0</v>
      </c>
      <c r="J26" s="156"/>
      <c r="K26" s="334"/>
      <c r="L26" s="158">
        <f t="shared" si="6"/>
        <v>0</v>
      </c>
      <c r="M26" s="334"/>
      <c r="N26" s="158">
        <f t="shared" si="7"/>
        <v>0</v>
      </c>
      <c r="O26" s="158">
        <f t="shared" si="8"/>
        <v>0</v>
      </c>
      <c r="P26" s="4"/>
    </row>
    <row r="27" spans="2:16">
      <c r="B27" s="9" t="str">
        <f t="shared" si="0"/>
        <v/>
      </c>
      <c r="C27" s="153">
        <f>IF(D11="","-",+C26+1)</f>
        <v>2025</v>
      </c>
      <c r="D27" s="159">
        <f>IF(F26+SUM(E$17:E26)=D$10,F26,D$10-SUM(E$17:E26))</f>
        <v>4515961.1889591133</v>
      </c>
      <c r="E27" s="160">
        <f t="shared" si="2"/>
        <v>133442.16279069768</v>
      </c>
      <c r="F27" s="159">
        <f t="shared" si="3"/>
        <v>4382519.0261684153</v>
      </c>
      <c r="G27" s="161">
        <f t="shared" si="4"/>
        <v>576389.25363108108</v>
      </c>
      <c r="H27" s="142">
        <f t="shared" si="5"/>
        <v>576389.25363108108</v>
      </c>
      <c r="I27" s="156">
        <f t="shared" si="1"/>
        <v>0</v>
      </c>
      <c r="J27" s="156"/>
      <c r="K27" s="334"/>
      <c r="L27" s="158">
        <f t="shared" si="6"/>
        <v>0</v>
      </c>
      <c r="M27" s="334"/>
      <c r="N27" s="158">
        <f t="shared" si="7"/>
        <v>0</v>
      </c>
      <c r="O27" s="158">
        <f t="shared" si="8"/>
        <v>0</v>
      </c>
      <c r="P27" s="4"/>
    </row>
    <row r="28" spans="2:16">
      <c r="B28" s="9" t="str">
        <f t="shared" si="0"/>
        <v/>
      </c>
      <c r="C28" s="153">
        <f>IF(D11="","-",+C27+1)</f>
        <v>2026</v>
      </c>
      <c r="D28" s="159">
        <f>IF(F27+SUM(E$17:E27)=D$10,F27,D$10-SUM(E$17:E27))</f>
        <v>4382519.0261684153</v>
      </c>
      <c r="E28" s="160">
        <f t="shared" si="2"/>
        <v>133442.16279069768</v>
      </c>
      <c r="F28" s="159">
        <f t="shared" si="3"/>
        <v>4249076.8633777173</v>
      </c>
      <c r="G28" s="161">
        <f t="shared" si="4"/>
        <v>563104.32938006031</v>
      </c>
      <c r="H28" s="142">
        <f t="shared" si="5"/>
        <v>563104.32938006031</v>
      </c>
      <c r="I28" s="156">
        <f t="shared" si="1"/>
        <v>0</v>
      </c>
      <c r="J28" s="156"/>
      <c r="K28" s="334"/>
      <c r="L28" s="158">
        <f t="shared" si="6"/>
        <v>0</v>
      </c>
      <c r="M28" s="334"/>
      <c r="N28" s="158">
        <f t="shared" si="7"/>
        <v>0</v>
      </c>
      <c r="O28" s="158">
        <f t="shared" si="8"/>
        <v>0</v>
      </c>
      <c r="P28" s="4"/>
    </row>
    <row r="29" spans="2:16">
      <c r="B29" s="9" t="str">
        <f t="shared" si="0"/>
        <v/>
      </c>
      <c r="C29" s="153">
        <f>IF(D11="","-",+C28+1)</f>
        <v>2027</v>
      </c>
      <c r="D29" s="159">
        <f>IF(F28+SUM(E$17:E28)=D$10,F28,D$10-SUM(E$17:E28))</f>
        <v>4249076.8633777173</v>
      </c>
      <c r="E29" s="160">
        <f t="shared" si="2"/>
        <v>133442.16279069768</v>
      </c>
      <c r="F29" s="159">
        <f t="shared" si="3"/>
        <v>4115634.7005870198</v>
      </c>
      <c r="G29" s="161">
        <f t="shared" si="4"/>
        <v>549819.40512903943</v>
      </c>
      <c r="H29" s="142">
        <f t="shared" si="5"/>
        <v>549819.40512903943</v>
      </c>
      <c r="I29" s="156">
        <f t="shared" si="1"/>
        <v>0</v>
      </c>
      <c r="J29" s="156"/>
      <c r="K29" s="334"/>
      <c r="L29" s="158">
        <f t="shared" si="6"/>
        <v>0</v>
      </c>
      <c r="M29" s="334"/>
      <c r="N29" s="158">
        <f t="shared" si="7"/>
        <v>0</v>
      </c>
      <c r="O29" s="158">
        <f t="shared" si="8"/>
        <v>0</v>
      </c>
      <c r="P29" s="4"/>
    </row>
    <row r="30" spans="2:16">
      <c r="B30" s="9" t="str">
        <f t="shared" si="0"/>
        <v/>
      </c>
      <c r="C30" s="153">
        <f>IF(D11="","-",+C29+1)</f>
        <v>2028</v>
      </c>
      <c r="D30" s="159">
        <f>IF(F29+SUM(E$17:E29)=D$10,F29,D$10-SUM(E$17:E29))</f>
        <v>4115634.7005870198</v>
      </c>
      <c r="E30" s="160">
        <f t="shared" si="2"/>
        <v>133442.16279069768</v>
      </c>
      <c r="F30" s="159">
        <f t="shared" si="3"/>
        <v>3982192.5377963223</v>
      </c>
      <c r="G30" s="161">
        <f t="shared" si="4"/>
        <v>536534.48087801854</v>
      </c>
      <c r="H30" s="142">
        <f t="shared" si="5"/>
        <v>536534.48087801854</v>
      </c>
      <c r="I30" s="156">
        <f t="shared" si="1"/>
        <v>0</v>
      </c>
      <c r="J30" s="156"/>
      <c r="K30" s="334"/>
      <c r="L30" s="158">
        <f t="shared" si="6"/>
        <v>0</v>
      </c>
      <c r="M30" s="334"/>
      <c r="N30" s="158">
        <f t="shared" si="7"/>
        <v>0</v>
      </c>
      <c r="O30" s="158">
        <f t="shared" si="8"/>
        <v>0</v>
      </c>
      <c r="P30" s="4"/>
    </row>
    <row r="31" spans="2:16">
      <c r="B31" s="9" t="str">
        <f t="shared" si="0"/>
        <v/>
      </c>
      <c r="C31" s="153">
        <f>IF(D11="","-",+C30+1)</f>
        <v>2029</v>
      </c>
      <c r="D31" s="159">
        <f>IF(F30+SUM(E$17:E30)=D$10,F30,D$10-SUM(E$17:E30))</f>
        <v>3982192.5377963223</v>
      </c>
      <c r="E31" s="160">
        <f t="shared" si="2"/>
        <v>133442.16279069768</v>
      </c>
      <c r="F31" s="159">
        <f t="shared" si="3"/>
        <v>3848750.3750056247</v>
      </c>
      <c r="G31" s="161">
        <f t="shared" si="4"/>
        <v>523249.55662699777</v>
      </c>
      <c r="H31" s="142">
        <f t="shared" si="5"/>
        <v>523249.55662699777</v>
      </c>
      <c r="I31" s="156">
        <f t="shared" si="1"/>
        <v>0</v>
      </c>
      <c r="J31" s="156"/>
      <c r="K31" s="334"/>
      <c r="L31" s="158">
        <f t="shared" si="6"/>
        <v>0</v>
      </c>
      <c r="M31" s="334"/>
      <c r="N31" s="158">
        <f t="shared" si="7"/>
        <v>0</v>
      </c>
      <c r="O31" s="158">
        <f t="shared" si="8"/>
        <v>0</v>
      </c>
      <c r="P31" s="4"/>
    </row>
    <row r="32" spans="2:16">
      <c r="B32" s="9" t="str">
        <f t="shared" si="0"/>
        <v/>
      </c>
      <c r="C32" s="153">
        <f>IF(D11="","-",+C31+1)</f>
        <v>2030</v>
      </c>
      <c r="D32" s="159">
        <f>IF(F31+SUM(E$17:E31)=D$10,F31,D$10-SUM(E$17:E31))</f>
        <v>3848750.3750056247</v>
      </c>
      <c r="E32" s="160">
        <f t="shared" si="2"/>
        <v>133442.16279069768</v>
      </c>
      <c r="F32" s="159">
        <f t="shared" si="3"/>
        <v>3715308.2122149272</v>
      </c>
      <c r="G32" s="161">
        <f t="shared" si="4"/>
        <v>509964.63237597689</v>
      </c>
      <c r="H32" s="142">
        <f t="shared" si="5"/>
        <v>509964.63237597689</v>
      </c>
      <c r="I32" s="156">
        <f t="shared" si="1"/>
        <v>0</v>
      </c>
      <c r="J32" s="156"/>
      <c r="K32" s="334"/>
      <c r="L32" s="158">
        <f t="shared" si="6"/>
        <v>0</v>
      </c>
      <c r="M32" s="334"/>
      <c r="N32" s="158">
        <f t="shared" si="7"/>
        <v>0</v>
      </c>
      <c r="O32" s="158">
        <f t="shared" si="8"/>
        <v>0</v>
      </c>
      <c r="P32" s="4"/>
    </row>
    <row r="33" spans="2:16">
      <c r="B33" s="9" t="str">
        <f t="shared" si="0"/>
        <v/>
      </c>
      <c r="C33" s="153">
        <f>IF(D11="","-",+C32+1)</f>
        <v>2031</v>
      </c>
      <c r="D33" s="159">
        <f>IF(F32+SUM(E$17:E32)=D$10,F32,D$10-SUM(E$17:E32))</f>
        <v>3715308.2122149272</v>
      </c>
      <c r="E33" s="160">
        <f t="shared" si="2"/>
        <v>133442.16279069768</v>
      </c>
      <c r="F33" s="159">
        <f t="shared" si="3"/>
        <v>3581866.0494242297</v>
      </c>
      <c r="G33" s="161">
        <f t="shared" si="4"/>
        <v>496679.70812495612</v>
      </c>
      <c r="H33" s="142">
        <f t="shared" si="5"/>
        <v>496679.70812495612</v>
      </c>
      <c r="I33" s="156">
        <f t="shared" si="1"/>
        <v>0</v>
      </c>
      <c r="J33" s="156"/>
      <c r="K33" s="334"/>
      <c r="L33" s="158">
        <f t="shared" si="6"/>
        <v>0</v>
      </c>
      <c r="M33" s="334"/>
      <c r="N33" s="158">
        <f t="shared" si="7"/>
        <v>0</v>
      </c>
      <c r="O33" s="158">
        <f t="shared" si="8"/>
        <v>0</v>
      </c>
      <c r="P33" s="4"/>
    </row>
    <row r="34" spans="2:16">
      <c r="B34" s="9" t="str">
        <f t="shared" si="0"/>
        <v/>
      </c>
      <c r="C34" s="153">
        <f>IF(D11="","-",+C33+1)</f>
        <v>2032</v>
      </c>
      <c r="D34" s="159">
        <f>IF(F33+SUM(E$17:E33)=D$10,F33,D$10-SUM(E$17:E33))</f>
        <v>3581866.0494242297</v>
      </c>
      <c r="E34" s="160">
        <f t="shared" si="2"/>
        <v>133442.16279069768</v>
      </c>
      <c r="F34" s="159">
        <f t="shared" si="3"/>
        <v>3448423.8866335321</v>
      </c>
      <c r="G34" s="161">
        <f t="shared" si="4"/>
        <v>483394.78387393523</v>
      </c>
      <c r="H34" s="142">
        <f t="shared" si="5"/>
        <v>483394.78387393523</v>
      </c>
      <c r="I34" s="156">
        <f t="shared" si="1"/>
        <v>0</v>
      </c>
      <c r="J34" s="156"/>
      <c r="K34" s="334"/>
      <c r="L34" s="158">
        <f t="shared" si="6"/>
        <v>0</v>
      </c>
      <c r="M34" s="334"/>
      <c r="N34" s="158">
        <f t="shared" si="7"/>
        <v>0</v>
      </c>
      <c r="O34" s="158">
        <f t="shared" si="8"/>
        <v>0</v>
      </c>
      <c r="P34" s="4"/>
    </row>
    <row r="35" spans="2:16">
      <c r="B35" s="9" t="str">
        <f t="shared" si="0"/>
        <v/>
      </c>
      <c r="C35" s="153">
        <f>IF(D11="","-",+C34+1)</f>
        <v>2033</v>
      </c>
      <c r="D35" s="159">
        <f>IF(F34+SUM(E$17:E34)=D$10,F34,D$10-SUM(E$17:E34))</f>
        <v>3448423.8866335321</v>
      </c>
      <c r="E35" s="160">
        <f t="shared" si="2"/>
        <v>133442.16279069768</v>
      </c>
      <c r="F35" s="159">
        <f t="shared" si="3"/>
        <v>3314981.7238428346</v>
      </c>
      <c r="G35" s="161">
        <f t="shared" si="4"/>
        <v>470109.85962291446</v>
      </c>
      <c r="H35" s="142">
        <f t="shared" si="5"/>
        <v>470109.85962291446</v>
      </c>
      <c r="I35" s="156">
        <f t="shared" si="1"/>
        <v>0</v>
      </c>
      <c r="J35" s="156"/>
      <c r="K35" s="334"/>
      <c r="L35" s="158">
        <f t="shared" si="6"/>
        <v>0</v>
      </c>
      <c r="M35" s="334"/>
      <c r="N35" s="158">
        <f t="shared" si="7"/>
        <v>0</v>
      </c>
      <c r="O35" s="158">
        <f t="shared" si="8"/>
        <v>0</v>
      </c>
      <c r="P35" s="4"/>
    </row>
    <row r="36" spans="2:16">
      <c r="B36" s="9" t="str">
        <f t="shared" si="0"/>
        <v/>
      </c>
      <c r="C36" s="153">
        <f>IF(D11="","-",+C35+1)</f>
        <v>2034</v>
      </c>
      <c r="D36" s="159">
        <f>IF(F35+SUM(E$17:E35)=D$10,F35,D$10-SUM(E$17:E35))</f>
        <v>3314981.7238428346</v>
      </c>
      <c r="E36" s="160">
        <f t="shared" si="2"/>
        <v>133442.16279069768</v>
      </c>
      <c r="F36" s="159">
        <f t="shared" si="3"/>
        <v>3181539.5610521371</v>
      </c>
      <c r="G36" s="161">
        <f t="shared" si="4"/>
        <v>456824.93537189357</v>
      </c>
      <c r="H36" s="142">
        <f t="shared" si="5"/>
        <v>456824.93537189357</v>
      </c>
      <c r="I36" s="156">
        <f t="shared" si="1"/>
        <v>0</v>
      </c>
      <c r="J36" s="156"/>
      <c r="K36" s="334"/>
      <c r="L36" s="158">
        <f t="shared" si="6"/>
        <v>0</v>
      </c>
      <c r="M36" s="334"/>
      <c r="N36" s="158">
        <f t="shared" si="7"/>
        <v>0</v>
      </c>
      <c r="O36" s="158">
        <f t="shared" si="8"/>
        <v>0</v>
      </c>
      <c r="P36" s="4"/>
    </row>
    <row r="37" spans="2:16">
      <c r="B37" s="9" t="str">
        <f t="shared" si="0"/>
        <v/>
      </c>
      <c r="C37" s="153">
        <f>IF(D11="","-",+C36+1)</f>
        <v>2035</v>
      </c>
      <c r="D37" s="159">
        <f>IF(F36+SUM(E$17:E36)=D$10,F36,D$10-SUM(E$17:E36))</f>
        <v>3181539.5610521371</v>
      </c>
      <c r="E37" s="160">
        <f t="shared" si="2"/>
        <v>133442.16279069768</v>
      </c>
      <c r="F37" s="159">
        <f t="shared" si="3"/>
        <v>3048097.3982614395</v>
      </c>
      <c r="G37" s="161">
        <f t="shared" si="4"/>
        <v>443540.0111208728</v>
      </c>
      <c r="H37" s="142">
        <f t="shared" si="5"/>
        <v>443540.0111208728</v>
      </c>
      <c r="I37" s="156">
        <f t="shared" si="1"/>
        <v>0</v>
      </c>
      <c r="J37" s="156"/>
      <c r="K37" s="334"/>
      <c r="L37" s="158">
        <f t="shared" si="6"/>
        <v>0</v>
      </c>
      <c r="M37" s="334"/>
      <c r="N37" s="158">
        <f t="shared" si="7"/>
        <v>0</v>
      </c>
      <c r="O37" s="158">
        <f t="shared" si="8"/>
        <v>0</v>
      </c>
      <c r="P37" s="4"/>
    </row>
    <row r="38" spans="2:16">
      <c r="B38" s="9" t="str">
        <f t="shared" si="0"/>
        <v/>
      </c>
      <c r="C38" s="153">
        <f>IF(D11="","-",+C37+1)</f>
        <v>2036</v>
      </c>
      <c r="D38" s="159">
        <f>IF(F37+SUM(E$17:E37)=D$10,F37,D$10-SUM(E$17:E37))</f>
        <v>3048097.3982614395</v>
      </c>
      <c r="E38" s="160">
        <f t="shared" si="2"/>
        <v>133442.16279069768</v>
      </c>
      <c r="F38" s="159">
        <f t="shared" si="3"/>
        <v>2914655.235470742</v>
      </c>
      <c r="G38" s="161">
        <f t="shared" si="4"/>
        <v>430255.08686985204</v>
      </c>
      <c r="H38" s="142">
        <f t="shared" si="5"/>
        <v>430255.08686985204</v>
      </c>
      <c r="I38" s="156">
        <f t="shared" si="1"/>
        <v>0</v>
      </c>
      <c r="J38" s="156"/>
      <c r="K38" s="334"/>
      <c r="L38" s="158">
        <f t="shared" si="6"/>
        <v>0</v>
      </c>
      <c r="M38" s="334"/>
      <c r="N38" s="158">
        <f t="shared" si="7"/>
        <v>0</v>
      </c>
      <c r="O38" s="158">
        <f t="shared" si="8"/>
        <v>0</v>
      </c>
      <c r="P38" s="4"/>
    </row>
    <row r="39" spans="2:16">
      <c r="B39" s="9" t="str">
        <f t="shared" si="0"/>
        <v/>
      </c>
      <c r="C39" s="153">
        <f>IF(D11="","-",+C38+1)</f>
        <v>2037</v>
      </c>
      <c r="D39" s="159">
        <f>IF(F38+SUM(E$17:E38)=D$10,F38,D$10-SUM(E$17:E38))</f>
        <v>2914655.235470742</v>
      </c>
      <c r="E39" s="160">
        <f t="shared" si="2"/>
        <v>133442.16279069768</v>
      </c>
      <c r="F39" s="159">
        <f t="shared" si="3"/>
        <v>2781213.0726800445</v>
      </c>
      <c r="G39" s="161">
        <f t="shared" si="4"/>
        <v>416970.16261883127</v>
      </c>
      <c r="H39" s="142">
        <f t="shared" si="5"/>
        <v>416970.16261883127</v>
      </c>
      <c r="I39" s="156">
        <f t="shared" si="1"/>
        <v>0</v>
      </c>
      <c r="J39" s="156"/>
      <c r="K39" s="334"/>
      <c r="L39" s="158">
        <f t="shared" si="6"/>
        <v>0</v>
      </c>
      <c r="M39" s="334"/>
      <c r="N39" s="158">
        <f t="shared" si="7"/>
        <v>0</v>
      </c>
      <c r="O39" s="158">
        <f t="shared" si="8"/>
        <v>0</v>
      </c>
      <c r="P39" s="4"/>
    </row>
    <row r="40" spans="2:16">
      <c r="B40" s="9" t="str">
        <f t="shared" si="0"/>
        <v/>
      </c>
      <c r="C40" s="153">
        <f>IF(D11="","-",+C39+1)</f>
        <v>2038</v>
      </c>
      <c r="D40" s="159">
        <f>IF(F39+SUM(E$17:E39)=D$10,F39,D$10-SUM(E$17:E39))</f>
        <v>2781213.0726800445</v>
      </c>
      <c r="E40" s="160">
        <f t="shared" si="2"/>
        <v>133442.16279069768</v>
      </c>
      <c r="F40" s="159">
        <f t="shared" si="3"/>
        <v>2647770.9098893469</v>
      </c>
      <c r="G40" s="161">
        <f t="shared" si="4"/>
        <v>403685.23836781038</v>
      </c>
      <c r="H40" s="142">
        <f t="shared" si="5"/>
        <v>403685.23836781038</v>
      </c>
      <c r="I40" s="156">
        <f t="shared" si="1"/>
        <v>0</v>
      </c>
      <c r="J40" s="156"/>
      <c r="K40" s="334"/>
      <c r="L40" s="158">
        <f t="shared" si="6"/>
        <v>0</v>
      </c>
      <c r="M40" s="334"/>
      <c r="N40" s="158">
        <f t="shared" si="7"/>
        <v>0</v>
      </c>
      <c r="O40" s="158">
        <f t="shared" si="8"/>
        <v>0</v>
      </c>
      <c r="P40" s="4"/>
    </row>
    <row r="41" spans="2:16">
      <c r="B41" s="9" t="str">
        <f t="shared" si="0"/>
        <v/>
      </c>
      <c r="C41" s="153">
        <f>IF(D11="","-",+C40+1)</f>
        <v>2039</v>
      </c>
      <c r="D41" s="159">
        <f>IF(F40+SUM(E$17:E40)=D$10,F40,D$10-SUM(E$17:E40))</f>
        <v>2647770.9098893469</v>
      </c>
      <c r="E41" s="160">
        <f t="shared" si="2"/>
        <v>133442.16279069768</v>
      </c>
      <c r="F41" s="159">
        <f t="shared" si="3"/>
        <v>2514328.7470986494</v>
      </c>
      <c r="G41" s="161">
        <f t="shared" si="4"/>
        <v>390400.31411678961</v>
      </c>
      <c r="H41" s="142">
        <f t="shared" si="5"/>
        <v>390400.31411678961</v>
      </c>
      <c r="I41" s="156">
        <f t="shared" si="1"/>
        <v>0</v>
      </c>
      <c r="J41" s="156"/>
      <c r="K41" s="334"/>
      <c r="L41" s="158">
        <f t="shared" si="6"/>
        <v>0</v>
      </c>
      <c r="M41" s="334"/>
      <c r="N41" s="158">
        <f t="shared" si="7"/>
        <v>0</v>
      </c>
      <c r="O41" s="158">
        <f t="shared" si="8"/>
        <v>0</v>
      </c>
      <c r="P41" s="4"/>
    </row>
    <row r="42" spans="2:16">
      <c r="B42" s="9" t="str">
        <f t="shared" si="0"/>
        <v/>
      </c>
      <c r="C42" s="153">
        <f>IF(D11="","-",+C41+1)</f>
        <v>2040</v>
      </c>
      <c r="D42" s="159">
        <f>IF(F41+SUM(E$17:E41)=D$10,F41,D$10-SUM(E$17:E41))</f>
        <v>2514328.7470986494</v>
      </c>
      <c r="E42" s="160">
        <f t="shared" si="2"/>
        <v>133442.16279069768</v>
      </c>
      <c r="F42" s="159">
        <f t="shared" si="3"/>
        <v>2380886.5843079519</v>
      </c>
      <c r="G42" s="161">
        <f t="shared" si="4"/>
        <v>377115.38986576872</v>
      </c>
      <c r="H42" s="142">
        <f t="shared" si="5"/>
        <v>377115.38986576872</v>
      </c>
      <c r="I42" s="156">
        <f t="shared" si="1"/>
        <v>0</v>
      </c>
      <c r="J42" s="156"/>
      <c r="K42" s="334"/>
      <c r="L42" s="158">
        <f t="shared" si="6"/>
        <v>0</v>
      </c>
      <c r="M42" s="334"/>
      <c r="N42" s="158">
        <f t="shared" si="7"/>
        <v>0</v>
      </c>
      <c r="O42" s="158">
        <f t="shared" si="8"/>
        <v>0</v>
      </c>
      <c r="P42" s="4"/>
    </row>
    <row r="43" spans="2:16">
      <c r="B43" s="9" t="str">
        <f t="shared" si="0"/>
        <v/>
      </c>
      <c r="C43" s="153">
        <f>IF(D11="","-",+C42+1)</f>
        <v>2041</v>
      </c>
      <c r="D43" s="159">
        <f>IF(F42+SUM(E$17:E42)=D$10,F42,D$10-SUM(E$17:E42))</f>
        <v>2380886.5843079519</v>
      </c>
      <c r="E43" s="160">
        <f t="shared" si="2"/>
        <v>133442.16279069768</v>
      </c>
      <c r="F43" s="159">
        <f t="shared" si="3"/>
        <v>2247444.4215172543</v>
      </c>
      <c r="G43" s="161">
        <f t="shared" si="4"/>
        <v>363830.46561474795</v>
      </c>
      <c r="H43" s="142">
        <f t="shared" si="5"/>
        <v>363830.46561474795</v>
      </c>
      <c r="I43" s="156">
        <f t="shared" si="1"/>
        <v>0</v>
      </c>
      <c r="J43" s="156"/>
      <c r="K43" s="334"/>
      <c r="L43" s="158">
        <f t="shared" si="6"/>
        <v>0</v>
      </c>
      <c r="M43" s="334"/>
      <c r="N43" s="158">
        <f t="shared" si="7"/>
        <v>0</v>
      </c>
      <c r="O43" s="158">
        <f t="shared" si="8"/>
        <v>0</v>
      </c>
      <c r="P43" s="4"/>
    </row>
    <row r="44" spans="2:16">
      <c r="B44" s="9" t="str">
        <f t="shared" si="0"/>
        <v/>
      </c>
      <c r="C44" s="153">
        <f>IF(D11="","-",+C43+1)</f>
        <v>2042</v>
      </c>
      <c r="D44" s="159">
        <f>IF(F43+SUM(E$17:E43)=D$10,F43,D$10-SUM(E$17:E43))</f>
        <v>2247444.4215172543</v>
      </c>
      <c r="E44" s="160">
        <f t="shared" si="2"/>
        <v>133442.16279069768</v>
      </c>
      <c r="F44" s="159">
        <f t="shared" si="3"/>
        <v>2114002.2587265568</v>
      </c>
      <c r="G44" s="161">
        <f t="shared" si="4"/>
        <v>350545.54136372707</v>
      </c>
      <c r="H44" s="142">
        <f t="shared" si="5"/>
        <v>350545.54136372707</v>
      </c>
      <c r="I44" s="156">
        <f t="shared" si="1"/>
        <v>0</v>
      </c>
      <c r="J44" s="156"/>
      <c r="K44" s="334"/>
      <c r="L44" s="158">
        <f t="shared" si="6"/>
        <v>0</v>
      </c>
      <c r="M44" s="334"/>
      <c r="N44" s="158">
        <f t="shared" si="7"/>
        <v>0</v>
      </c>
      <c r="O44" s="158">
        <f t="shared" si="8"/>
        <v>0</v>
      </c>
      <c r="P44" s="4"/>
    </row>
    <row r="45" spans="2:16">
      <c r="B45" s="9" t="str">
        <f t="shared" si="0"/>
        <v/>
      </c>
      <c r="C45" s="153">
        <f>IF(D11="","-",+C44+1)</f>
        <v>2043</v>
      </c>
      <c r="D45" s="159">
        <f>IF(F44+SUM(E$17:E44)=D$10,F44,D$10-SUM(E$17:E44))</f>
        <v>2114002.2587265568</v>
      </c>
      <c r="E45" s="160">
        <f t="shared" si="2"/>
        <v>133442.16279069768</v>
      </c>
      <c r="F45" s="159">
        <f t="shared" si="3"/>
        <v>1980560.095935859</v>
      </c>
      <c r="G45" s="161">
        <f t="shared" si="4"/>
        <v>337260.61711270624</v>
      </c>
      <c r="H45" s="142">
        <f t="shared" si="5"/>
        <v>337260.61711270624</v>
      </c>
      <c r="I45" s="156">
        <f t="shared" si="1"/>
        <v>0</v>
      </c>
      <c r="J45" s="156"/>
      <c r="K45" s="334"/>
      <c r="L45" s="158">
        <f t="shared" si="6"/>
        <v>0</v>
      </c>
      <c r="M45" s="334"/>
      <c r="N45" s="158">
        <f t="shared" si="7"/>
        <v>0</v>
      </c>
      <c r="O45" s="158">
        <f t="shared" si="8"/>
        <v>0</v>
      </c>
      <c r="P45" s="4"/>
    </row>
    <row r="46" spans="2:16">
      <c r="B46" s="9" t="str">
        <f t="shared" si="0"/>
        <v/>
      </c>
      <c r="C46" s="153">
        <f>IF(D11="","-",+C45+1)</f>
        <v>2044</v>
      </c>
      <c r="D46" s="159">
        <f>IF(F45+SUM(E$17:E45)=D$10,F45,D$10-SUM(E$17:E45))</f>
        <v>1980560.095935859</v>
      </c>
      <c r="E46" s="160">
        <f t="shared" si="2"/>
        <v>133442.16279069768</v>
      </c>
      <c r="F46" s="159">
        <f t="shared" si="3"/>
        <v>1847117.9331451613</v>
      </c>
      <c r="G46" s="161">
        <f t="shared" si="4"/>
        <v>323975.69286168541</v>
      </c>
      <c r="H46" s="142">
        <f t="shared" si="5"/>
        <v>323975.69286168541</v>
      </c>
      <c r="I46" s="156">
        <f t="shared" si="1"/>
        <v>0</v>
      </c>
      <c r="J46" s="156"/>
      <c r="K46" s="334"/>
      <c r="L46" s="158">
        <f t="shared" si="6"/>
        <v>0</v>
      </c>
      <c r="M46" s="334"/>
      <c r="N46" s="158">
        <f t="shared" si="7"/>
        <v>0</v>
      </c>
      <c r="O46" s="158">
        <f t="shared" si="8"/>
        <v>0</v>
      </c>
      <c r="P46" s="4"/>
    </row>
    <row r="47" spans="2:16">
      <c r="B47" s="9" t="str">
        <f t="shared" si="0"/>
        <v/>
      </c>
      <c r="C47" s="153">
        <f>IF(D11="","-",+C46+1)</f>
        <v>2045</v>
      </c>
      <c r="D47" s="159">
        <f>IF(F46+SUM(E$17:E46)=D$10,F46,D$10-SUM(E$17:E46))</f>
        <v>1847117.9331451613</v>
      </c>
      <c r="E47" s="160">
        <f t="shared" si="2"/>
        <v>133442.16279069768</v>
      </c>
      <c r="F47" s="159">
        <f t="shared" si="3"/>
        <v>1713675.7703544635</v>
      </c>
      <c r="G47" s="161">
        <f t="shared" si="4"/>
        <v>310690.76861066453</v>
      </c>
      <c r="H47" s="142">
        <f t="shared" si="5"/>
        <v>310690.76861066453</v>
      </c>
      <c r="I47" s="156">
        <f t="shared" si="1"/>
        <v>0</v>
      </c>
      <c r="J47" s="156"/>
      <c r="K47" s="334"/>
      <c r="L47" s="158">
        <f t="shared" si="6"/>
        <v>0</v>
      </c>
      <c r="M47" s="334"/>
      <c r="N47" s="158">
        <f t="shared" si="7"/>
        <v>0</v>
      </c>
      <c r="O47" s="158">
        <f t="shared" si="8"/>
        <v>0</v>
      </c>
      <c r="P47" s="4"/>
    </row>
    <row r="48" spans="2:16">
      <c r="B48" s="9" t="str">
        <f t="shared" si="0"/>
        <v/>
      </c>
      <c r="C48" s="153">
        <f>IF(D11="","-",+C47+1)</f>
        <v>2046</v>
      </c>
      <c r="D48" s="159">
        <f>IF(F47+SUM(E$17:E47)=D$10,F47,D$10-SUM(E$17:E47))</f>
        <v>1713675.7703544635</v>
      </c>
      <c r="E48" s="160">
        <f t="shared" si="2"/>
        <v>133442.16279069768</v>
      </c>
      <c r="F48" s="159">
        <f t="shared" si="3"/>
        <v>1580233.6075637657</v>
      </c>
      <c r="G48" s="161">
        <f t="shared" si="4"/>
        <v>297405.84435964376</v>
      </c>
      <c r="H48" s="142">
        <f t="shared" si="5"/>
        <v>297405.84435964376</v>
      </c>
      <c r="I48" s="156">
        <f t="shared" si="1"/>
        <v>0</v>
      </c>
      <c r="J48" s="156"/>
      <c r="K48" s="334"/>
      <c r="L48" s="158">
        <f t="shared" si="6"/>
        <v>0</v>
      </c>
      <c r="M48" s="334"/>
      <c r="N48" s="158">
        <f t="shared" si="7"/>
        <v>0</v>
      </c>
      <c r="O48" s="158">
        <f t="shared" si="8"/>
        <v>0</v>
      </c>
      <c r="P48" s="4"/>
    </row>
    <row r="49" spans="2:16">
      <c r="B49" s="9" t="str">
        <f t="shared" si="0"/>
        <v/>
      </c>
      <c r="C49" s="153">
        <f>IF(D11="","-",+C48+1)</f>
        <v>2047</v>
      </c>
      <c r="D49" s="159">
        <f>IF(F48+SUM(E$17:E48)=D$10,F48,D$10-SUM(E$17:E48))</f>
        <v>1580233.6075637657</v>
      </c>
      <c r="E49" s="160">
        <f t="shared" si="2"/>
        <v>133442.16279069768</v>
      </c>
      <c r="F49" s="159">
        <f t="shared" si="3"/>
        <v>1446791.444773068</v>
      </c>
      <c r="G49" s="161">
        <f t="shared" si="4"/>
        <v>284120.92010862287</v>
      </c>
      <c r="H49" s="142">
        <f t="shared" si="5"/>
        <v>284120.92010862287</v>
      </c>
      <c r="I49" s="156">
        <f t="shared" si="1"/>
        <v>0</v>
      </c>
      <c r="J49" s="156"/>
      <c r="K49" s="334"/>
      <c r="L49" s="158">
        <f t="shared" si="6"/>
        <v>0</v>
      </c>
      <c r="M49" s="334"/>
      <c r="N49" s="158">
        <f t="shared" si="7"/>
        <v>0</v>
      </c>
      <c r="O49" s="158">
        <f t="shared" si="8"/>
        <v>0</v>
      </c>
      <c r="P49" s="4"/>
    </row>
    <row r="50" spans="2:16">
      <c r="B50" s="9" t="str">
        <f t="shared" si="0"/>
        <v/>
      </c>
      <c r="C50" s="153">
        <f>IF(D11="","-",+C49+1)</f>
        <v>2048</v>
      </c>
      <c r="D50" s="159">
        <f>IF(F49+SUM(E$17:E49)=D$10,F49,D$10-SUM(E$17:E49))</f>
        <v>1446791.444773068</v>
      </c>
      <c r="E50" s="160">
        <f t="shared" si="2"/>
        <v>133442.16279069768</v>
      </c>
      <c r="F50" s="159">
        <f t="shared" si="3"/>
        <v>1313349.2819823702</v>
      </c>
      <c r="G50" s="161">
        <f t="shared" si="4"/>
        <v>270835.9958576021</v>
      </c>
      <c r="H50" s="142">
        <f t="shared" si="5"/>
        <v>270835.9958576021</v>
      </c>
      <c r="I50" s="156">
        <f t="shared" si="1"/>
        <v>0</v>
      </c>
      <c r="J50" s="156"/>
      <c r="K50" s="334"/>
      <c r="L50" s="158">
        <f t="shared" si="6"/>
        <v>0</v>
      </c>
      <c r="M50" s="334"/>
      <c r="N50" s="158">
        <f t="shared" si="7"/>
        <v>0</v>
      </c>
      <c r="O50" s="158">
        <f t="shared" si="8"/>
        <v>0</v>
      </c>
      <c r="P50" s="4"/>
    </row>
    <row r="51" spans="2:16">
      <c r="B51" s="9" t="str">
        <f t="shared" si="0"/>
        <v/>
      </c>
      <c r="C51" s="153">
        <f>IF(D11="","-",+C50+1)</f>
        <v>2049</v>
      </c>
      <c r="D51" s="159">
        <f>IF(F50+SUM(E$17:E50)=D$10,F50,D$10-SUM(E$17:E50))</f>
        <v>1313349.2819823702</v>
      </c>
      <c r="E51" s="160">
        <f t="shared" si="2"/>
        <v>133442.16279069768</v>
      </c>
      <c r="F51" s="159">
        <f t="shared" si="3"/>
        <v>1179907.1191916724</v>
      </c>
      <c r="G51" s="161">
        <f t="shared" ref="G51:G72" si="9">+I$12*((D51+F51)/2)+E51</f>
        <v>257551.07160658119</v>
      </c>
      <c r="H51" s="142">
        <f t="shared" ref="H51:H72" si="10">+I$13*((D51+F51)/2)+E51</f>
        <v>257551.07160658119</v>
      </c>
      <c r="I51" s="156">
        <f t="shared" si="1"/>
        <v>0</v>
      </c>
      <c r="J51" s="156"/>
      <c r="K51" s="334"/>
      <c r="L51" s="158">
        <f t="shared" si="6"/>
        <v>0</v>
      </c>
      <c r="M51" s="334"/>
      <c r="N51" s="158">
        <f t="shared" si="7"/>
        <v>0</v>
      </c>
      <c r="O51" s="158">
        <f t="shared" si="8"/>
        <v>0</v>
      </c>
      <c r="P51" s="4"/>
    </row>
    <row r="52" spans="2:16">
      <c r="B52" s="9" t="str">
        <f t="shared" si="0"/>
        <v/>
      </c>
      <c r="C52" s="153">
        <f>IF(D11="","-",+C51+1)</f>
        <v>2050</v>
      </c>
      <c r="D52" s="159">
        <f>IF(F51+SUM(E$17:E51)=D$10,F51,D$10-SUM(E$17:E51))</f>
        <v>1179907.1191916724</v>
      </c>
      <c r="E52" s="160">
        <f t="shared" si="2"/>
        <v>133442.16279069768</v>
      </c>
      <c r="F52" s="159">
        <f t="shared" si="3"/>
        <v>1046464.9564009748</v>
      </c>
      <c r="G52" s="161">
        <f t="shared" si="9"/>
        <v>244266.14735556039</v>
      </c>
      <c r="H52" s="142">
        <f t="shared" si="10"/>
        <v>244266.14735556039</v>
      </c>
      <c r="I52" s="156">
        <f t="shared" si="1"/>
        <v>0</v>
      </c>
      <c r="J52" s="156"/>
      <c r="K52" s="334"/>
      <c r="L52" s="158">
        <f t="shared" si="6"/>
        <v>0</v>
      </c>
      <c r="M52" s="334"/>
      <c r="N52" s="158">
        <f t="shared" si="7"/>
        <v>0</v>
      </c>
      <c r="O52" s="158">
        <f t="shared" si="8"/>
        <v>0</v>
      </c>
      <c r="P52" s="4"/>
    </row>
    <row r="53" spans="2:16">
      <c r="B53" s="9" t="str">
        <f t="shared" si="0"/>
        <v/>
      </c>
      <c r="C53" s="153">
        <f>IF(D11="","-",+C52+1)</f>
        <v>2051</v>
      </c>
      <c r="D53" s="159">
        <f>IF(F52+SUM(E$17:E52)=D$10,F52,D$10-SUM(E$17:E52))</f>
        <v>1046464.9564009748</v>
      </c>
      <c r="E53" s="160">
        <f t="shared" si="2"/>
        <v>133442.16279069768</v>
      </c>
      <c r="F53" s="159">
        <f t="shared" si="3"/>
        <v>913022.79361027712</v>
      </c>
      <c r="G53" s="161">
        <f t="shared" si="9"/>
        <v>230981.22310453953</v>
      </c>
      <c r="H53" s="142">
        <f t="shared" si="10"/>
        <v>230981.22310453953</v>
      </c>
      <c r="I53" s="156">
        <f t="shared" si="1"/>
        <v>0</v>
      </c>
      <c r="J53" s="156"/>
      <c r="K53" s="334"/>
      <c r="L53" s="158">
        <f t="shared" si="6"/>
        <v>0</v>
      </c>
      <c r="M53" s="334"/>
      <c r="N53" s="158">
        <f t="shared" si="7"/>
        <v>0</v>
      </c>
      <c r="O53" s="158">
        <f t="shared" si="8"/>
        <v>0</v>
      </c>
      <c r="P53" s="4"/>
    </row>
    <row r="54" spans="2:16">
      <c r="B54" s="9" t="str">
        <f t="shared" si="0"/>
        <v/>
      </c>
      <c r="C54" s="153">
        <f>IF(D11="","-",+C53+1)</f>
        <v>2052</v>
      </c>
      <c r="D54" s="159">
        <f>IF(F53+SUM(E$17:E53)=D$10,F53,D$10-SUM(E$17:E53))</f>
        <v>913022.79361027712</v>
      </c>
      <c r="E54" s="160">
        <f t="shared" si="2"/>
        <v>133442.16279069768</v>
      </c>
      <c r="F54" s="159">
        <f t="shared" si="3"/>
        <v>779580.63081957947</v>
      </c>
      <c r="G54" s="161">
        <f t="shared" si="9"/>
        <v>217696.29885351873</v>
      </c>
      <c r="H54" s="142">
        <f t="shared" si="10"/>
        <v>217696.29885351873</v>
      </c>
      <c r="I54" s="156">
        <f t="shared" si="1"/>
        <v>0</v>
      </c>
      <c r="J54" s="156"/>
      <c r="K54" s="334"/>
      <c r="L54" s="158">
        <f t="shared" si="6"/>
        <v>0</v>
      </c>
      <c r="M54" s="334"/>
      <c r="N54" s="158">
        <f t="shared" si="7"/>
        <v>0</v>
      </c>
      <c r="O54" s="158">
        <f t="shared" si="8"/>
        <v>0</v>
      </c>
      <c r="P54" s="4"/>
    </row>
    <row r="55" spans="2:16">
      <c r="B55" s="9" t="str">
        <f t="shared" si="0"/>
        <v/>
      </c>
      <c r="C55" s="153">
        <f>IF(D11="","-",+C54+1)</f>
        <v>2053</v>
      </c>
      <c r="D55" s="159">
        <f>IF(F54+SUM(E$17:E54)=D$10,F54,D$10-SUM(E$17:E54))</f>
        <v>779580.63081957947</v>
      </c>
      <c r="E55" s="160">
        <f t="shared" si="2"/>
        <v>133442.16279069768</v>
      </c>
      <c r="F55" s="159">
        <f t="shared" si="3"/>
        <v>646138.46802888182</v>
      </c>
      <c r="G55" s="161">
        <f t="shared" si="9"/>
        <v>204411.37460249788</v>
      </c>
      <c r="H55" s="142">
        <f t="shared" si="10"/>
        <v>204411.37460249788</v>
      </c>
      <c r="I55" s="156">
        <f t="shared" si="1"/>
        <v>0</v>
      </c>
      <c r="J55" s="156"/>
      <c r="K55" s="334"/>
      <c r="L55" s="158">
        <f t="shared" si="6"/>
        <v>0</v>
      </c>
      <c r="M55" s="334"/>
      <c r="N55" s="158">
        <f t="shared" si="7"/>
        <v>0</v>
      </c>
      <c r="O55" s="158">
        <f t="shared" si="8"/>
        <v>0</v>
      </c>
      <c r="P55" s="4"/>
    </row>
    <row r="56" spans="2:16">
      <c r="B56" s="9" t="str">
        <f t="shared" si="0"/>
        <v/>
      </c>
      <c r="C56" s="153">
        <f>IF(D11="","-",+C55+1)</f>
        <v>2054</v>
      </c>
      <c r="D56" s="159">
        <f>IF(F55+SUM(E$17:E55)=D$10,F55,D$10-SUM(E$17:E55))</f>
        <v>646138.46802888182</v>
      </c>
      <c r="E56" s="160">
        <f t="shared" si="2"/>
        <v>133442.16279069768</v>
      </c>
      <c r="F56" s="159">
        <f t="shared" si="3"/>
        <v>512696.30523818417</v>
      </c>
      <c r="G56" s="161">
        <f t="shared" si="9"/>
        <v>191126.45035147705</v>
      </c>
      <c r="H56" s="142">
        <f t="shared" si="10"/>
        <v>191126.45035147705</v>
      </c>
      <c r="I56" s="156">
        <f t="shared" si="1"/>
        <v>0</v>
      </c>
      <c r="J56" s="156"/>
      <c r="K56" s="334"/>
      <c r="L56" s="158">
        <f t="shared" si="6"/>
        <v>0</v>
      </c>
      <c r="M56" s="334"/>
      <c r="N56" s="158">
        <f t="shared" si="7"/>
        <v>0</v>
      </c>
      <c r="O56" s="158">
        <f t="shared" si="8"/>
        <v>0</v>
      </c>
      <c r="P56" s="4"/>
    </row>
    <row r="57" spans="2:16">
      <c r="B57" s="9" t="str">
        <f t="shared" si="0"/>
        <v/>
      </c>
      <c r="C57" s="153">
        <f>IF(D11="","-",+C56+1)</f>
        <v>2055</v>
      </c>
      <c r="D57" s="159">
        <f>IF(F56+SUM(E$17:E56)=D$10,F56,D$10-SUM(E$17:E56))</f>
        <v>512696.30523818417</v>
      </c>
      <c r="E57" s="160">
        <f t="shared" si="2"/>
        <v>133442.16279069768</v>
      </c>
      <c r="F57" s="159">
        <f t="shared" si="3"/>
        <v>379254.14244748652</v>
      </c>
      <c r="G57" s="161">
        <f t="shared" si="9"/>
        <v>177841.52610045622</v>
      </c>
      <c r="H57" s="142">
        <f t="shared" si="10"/>
        <v>177841.52610045622</v>
      </c>
      <c r="I57" s="156">
        <f t="shared" si="1"/>
        <v>0</v>
      </c>
      <c r="J57" s="156"/>
      <c r="K57" s="334"/>
      <c r="L57" s="158">
        <f t="shared" si="6"/>
        <v>0</v>
      </c>
      <c r="M57" s="334"/>
      <c r="N57" s="158">
        <f t="shared" si="7"/>
        <v>0</v>
      </c>
      <c r="O57" s="158">
        <f t="shared" si="8"/>
        <v>0</v>
      </c>
      <c r="P57" s="4"/>
    </row>
    <row r="58" spans="2:16">
      <c r="B58" s="9" t="str">
        <f t="shared" si="0"/>
        <v/>
      </c>
      <c r="C58" s="153">
        <f>IF(D11="","-",+C57+1)</f>
        <v>2056</v>
      </c>
      <c r="D58" s="159">
        <f>IF(F57+SUM(E$17:E57)=D$10,F57,D$10-SUM(E$17:E57))</f>
        <v>379254.14244748652</v>
      </c>
      <c r="E58" s="160">
        <f t="shared" si="2"/>
        <v>133442.16279069768</v>
      </c>
      <c r="F58" s="159">
        <f t="shared" si="3"/>
        <v>245811.97965678884</v>
      </c>
      <c r="G58" s="161">
        <f t="shared" si="9"/>
        <v>164556.60184943539</v>
      </c>
      <c r="H58" s="142">
        <f t="shared" si="10"/>
        <v>164556.60184943539</v>
      </c>
      <c r="I58" s="156">
        <f t="shared" si="1"/>
        <v>0</v>
      </c>
      <c r="J58" s="156"/>
      <c r="K58" s="334"/>
      <c r="L58" s="158">
        <f t="shared" si="6"/>
        <v>0</v>
      </c>
      <c r="M58" s="334"/>
      <c r="N58" s="158">
        <f t="shared" si="7"/>
        <v>0</v>
      </c>
      <c r="O58" s="158">
        <f t="shared" si="8"/>
        <v>0</v>
      </c>
      <c r="P58" s="4"/>
    </row>
    <row r="59" spans="2:16">
      <c r="B59" s="9" t="str">
        <f t="shared" si="0"/>
        <v/>
      </c>
      <c r="C59" s="153">
        <f>IF(D11="","-",+C58+1)</f>
        <v>2057</v>
      </c>
      <c r="D59" s="159">
        <f>IF(F58+SUM(E$17:E58)=D$10,F58,D$10-SUM(E$17:E58))</f>
        <v>245811.97965678884</v>
      </c>
      <c r="E59" s="160">
        <f t="shared" si="2"/>
        <v>133442.16279069768</v>
      </c>
      <c r="F59" s="159">
        <f t="shared" si="3"/>
        <v>112369.81686609116</v>
      </c>
      <c r="G59" s="161">
        <f t="shared" si="9"/>
        <v>151271.67759841454</v>
      </c>
      <c r="H59" s="142">
        <f t="shared" si="10"/>
        <v>151271.67759841454</v>
      </c>
      <c r="I59" s="156">
        <f t="shared" si="1"/>
        <v>0</v>
      </c>
      <c r="J59" s="156"/>
      <c r="K59" s="334"/>
      <c r="L59" s="158">
        <f t="shared" si="6"/>
        <v>0</v>
      </c>
      <c r="M59" s="334"/>
      <c r="N59" s="158">
        <f t="shared" si="7"/>
        <v>0</v>
      </c>
      <c r="O59" s="158">
        <f t="shared" si="8"/>
        <v>0</v>
      </c>
      <c r="P59" s="4"/>
    </row>
    <row r="60" spans="2:16">
      <c r="B60" s="9" t="str">
        <f t="shared" si="0"/>
        <v/>
      </c>
      <c r="C60" s="153">
        <f>IF(D11="","-",+C59+1)</f>
        <v>2058</v>
      </c>
      <c r="D60" s="159">
        <f>IF(F59+SUM(E$17:E59)=D$10,F59,D$10-SUM(E$17:E59))</f>
        <v>112369.81686609116</v>
      </c>
      <c r="E60" s="160">
        <f t="shared" si="2"/>
        <v>112369.81686609116</v>
      </c>
      <c r="F60" s="159">
        <f t="shared" si="3"/>
        <v>0</v>
      </c>
      <c r="G60" s="161">
        <f t="shared" si="9"/>
        <v>117963.34320719438</v>
      </c>
      <c r="H60" s="142">
        <f t="shared" si="10"/>
        <v>117963.34320719438</v>
      </c>
      <c r="I60" s="156">
        <f t="shared" si="1"/>
        <v>0</v>
      </c>
      <c r="J60" s="156"/>
      <c r="K60" s="334"/>
      <c r="L60" s="158">
        <f t="shared" si="6"/>
        <v>0</v>
      </c>
      <c r="M60" s="334"/>
      <c r="N60" s="158">
        <f t="shared" si="7"/>
        <v>0</v>
      </c>
      <c r="O60" s="158">
        <f t="shared" si="8"/>
        <v>0</v>
      </c>
      <c r="P60" s="4"/>
    </row>
    <row r="61" spans="2:16">
      <c r="B61" s="9" t="str">
        <f t="shared" si="0"/>
        <v/>
      </c>
      <c r="C61" s="153">
        <f>IF(D11="","-",+C60+1)</f>
        <v>2059</v>
      </c>
      <c r="D61" s="159">
        <f>IF(F60+SUM(E$17:E60)=D$10,F60,D$10-SUM(E$17:E60))</f>
        <v>0</v>
      </c>
      <c r="E61" s="160">
        <f t="shared" si="2"/>
        <v>0</v>
      </c>
      <c r="F61" s="159">
        <f t="shared" si="3"/>
        <v>0</v>
      </c>
      <c r="G61" s="161">
        <f t="shared" si="9"/>
        <v>0</v>
      </c>
      <c r="H61" s="142">
        <f t="shared" si="10"/>
        <v>0</v>
      </c>
      <c r="I61" s="156">
        <f t="shared" si="1"/>
        <v>0</v>
      </c>
      <c r="J61" s="156"/>
      <c r="K61" s="334"/>
      <c r="L61" s="158">
        <f t="shared" si="6"/>
        <v>0</v>
      </c>
      <c r="M61" s="334"/>
      <c r="N61" s="158">
        <f t="shared" si="7"/>
        <v>0</v>
      </c>
      <c r="O61" s="158">
        <f t="shared" si="8"/>
        <v>0</v>
      </c>
      <c r="P61" s="4"/>
    </row>
    <row r="62" spans="2:16">
      <c r="B62" s="9" t="str">
        <f t="shared" si="0"/>
        <v/>
      </c>
      <c r="C62" s="153">
        <f>IF(D11="","-",+C61+1)</f>
        <v>2060</v>
      </c>
      <c r="D62" s="159">
        <f>IF(F61+SUM(E$17:E61)=D$10,F61,D$10-SUM(E$17:E61))</f>
        <v>0</v>
      </c>
      <c r="E62" s="160">
        <f t="shared" si="2"/>
        <v>0</v>
      </c>
      <c r="F62" s="159">
        <f t="shared" si="3"/>
        <v>0</v>
      </c>
      <c r="G62" s="161">
        <f t="shared" si="9"/>
        <v>0</v>
      </c>
      <c r="H62" s="142">
        <f t="shared" si="10"/>
        <v>0</v>
      </c>
      <c r="I62" s="156">
        <f t="shared" si="1"/>
        <v>0</v>
      </c>
      <c r="J62" s="156"/>
      <c r="K62" s="334"/>
      <c r="L62" s="158">
        <f t="shared" si="6"/>
        <v>0</v>
      </c>
      <c r="M62" s="334"/>
      <c r="N62" s="158">
        <f t="shared" si="7"/>
        <v>0</v>
      </c>
      <c r="O62" s="158">
        <f t="shared" si="8"/>
        <v>0</v>
      </c>
      <c r="P62" s="4"/>
    </row>
    <row r="63" spans="2:16">
      <c r="B63" s="9" t="str">
        <f t="shared" si="0"/>
        <v/>
      </c>
      <c r="C63" s="153">
        <f>IF(D11="","-",+C62+1)</f>
        <v>2061</v>
      </c>
      <c r="D63" s="159">
        <f>IF(F62+SUM(E$17:E62)=D$10,F62,D$10-SUM(E$17:E62))</f>
        <v>0</v>
      </c>
      <c r="E63" s="160">
        <f t="shared" si="2"/>
        <v>0</v>
      </c>
      <c r="F63" s="159">
        <f t="shared" si="3"/>
        <v>0</v>
      </c>
      <c r="G63" s="161">
        <f t="shared" si="9"/>
        <v>0</v>
      </c>
      <c r="H63" s="142">
        <f t="shared" si="10"/>
        <v>0</v>
      </c>
      <c r="I63" s="156">
        <f t="shared" si="1"/>
        <v>0</v>
      </c>
      <c r="J63" s="156"/>
      <c r="K63" s="334"/>
      <c r="L63" s="158">
        <f t="shared" si="6"/>
        <v>0</v>
      </c>
      <c r="M63" s="334"/>
      <c r="N63" s="158">
        <f t="shared" si="7"/>
        <v>0</v>
      </c>
      <c r="O63" s="158">
        <f t="shared" si="8"/>
        <v>0</v>
      </c>
      <c r="P63" s="4"/>
    </row>
    <row r="64" spans="2:16">
      <c r="B64" s="9" t="str">
        <f t="shared" si="0"/>
        <v/>
      </c>
      <c r="C64" s="153">
        <f>IF(D11="","-",+C63+1)</f>
        <v>2062</v>
      </c>
      <c r="D64" s="159">
        <f>IF(F63+SUM(E$17:E63)=D$10,F63,D$10-SUM(E$17:E63))</f>
        <v>0</v>
      </c>
      <c r="E64" s="160">
        <f t="shared" si="2"/>
        <v>0</v>
      </c>
      <c r="F64" s="159">
        <f t="shared" si="3"/>
        <v>0</v>
      </c>
      <c r="G64" s="161">
        <f t="shared" si="9"/>
        <v>0</v>
      </c>
      <c r="H64" s="142">
        <f t="shared" si="10"/>
        <v>0</v>
      </c>
      <c r="I64" s="156">
        <f t="shared" si="1"/>
        <v>0</v>
      </c>
      <c r="J64" s="156"/>
      <c r="K64" s="334"/>
      <c r="L64" s="158">
        <f t="shared" si="6"/>
        <v>0</v>
      </c>
      <c r="M64" s="334"/>
      <c r="N64" s="158">
        <f t="shared" si="7"/>
        <v>0</v>
      </c>
      <c r="O64" s="158">
        <f t="shared" si="8"/>
        <v>0</v>
      </c>
      <c r="P64" s="4"/>
    </row>
    <row r="65" spans="2:16">
      <c r="B65" s="9" t="str">
        <f t="shared" si="0"/>
        <v/>
      </c>
      <c r="C65" s="153">
        <f>IF(D11="","-",+C64+1)</f>
        <v>2063</v>
      </c>
      <c r="D65" s="159">
        <f>IF(F64+SUM(E$17:E64)=D$10,F64,D$10-SUM(E$17:E64))</f>
        <v>0</v>
      </c>
      <c r="E65" s="160">
        <f t="shared" si="2"/>
        <v>0</v>
      </c>
      <c r="F65" s="159">
        <f t="shared" si="3"/>
        <v>0</v>
      </c>
      <c r="G65" s="161">
        <f t="shared" si="9"/>
        <v>0</v>
      </c>
      <c r="H65" s="142">
        <f t="shared" si="10"/>
        <v>0</v>
      </c>
      <c r="I65" s="156">
        <f t="shared" si="1"/>
        <v>0</v>
      </c>
      <c r="J65" s="156"/>
      <c r="K65" s="334"/>
      <c r="L65" s="158">
        <f t="shared" si="6"/>
        <v>0</v>
      </c>
      <c r="M65" s="334"/>
      <c r="N65" s="158">
        <f t="shared" si="7"/>
        <v>0</v>
      </c>
      <c r="O65" s="158">
        <f t="shared" si="8"/>
        <v>0</v>
      </c>
      <c r="P65" s="4"/>
    </row>
    <row r="66" spans="2:16">
      <c r="B66" s="9" t="str">
        <f t="shared" si="0"/>
        <v/>
      </c>
      <c r="C66" s="153">
        <f>IF(D11="","-",+C65+1)</f>
        <v>2064</v>
      </c>
      <c r="D66" s="159">
        <f>IF(F65+SUM(E$17:E65)=D$10,F65,D$10-SUM(E$17:E65))</f>
        <v>0</v>
      </c>
      <c r="E66" s="160">
        <f t="shared" si="2"/>
        <v>0</v>
      </c>
      <c r="F66" s="159">
        <f t="shared" si="3"/>
        <v>0</v>
      </c>
      <c r="G66" s="161">
        <f t="shared" si="9"/>
        <v>0</v>
      </c>
      <c r="H66" s="142">
        <f t="shared" si="10"/>
        <v>0</v>
      </c>
      <c r="I66" s="156">
        <f t="shared" si="1"/>
        <v>0</v>
      </c>
      <c r="J66" s="156"/>
      <c r="K66" s="334"/>
      <c r="L66" s="158">
        <f t="shared" si="6"/>
        <v>0</v>
      </c>
      <c r="M66" s="334"/>
      <c r="N66" s="158">
        <f t="shared" si="7"/>
        <v>0</v>
      </c>
      <c r="O66" s="158">
        <f t="shared" si="8"/>
        <v>0</v>
      </c>
      <c r="P66" s="4"/>
    </row>
    <row r="67" spans="2:16">
      <c r="B67" s="9" t="str">
        <f t="shared" si="0"/>
        <v/>
      </c>
      <c r="C67" s="153">
        <f>IF(D11="","-",+C66+1)</f>
        <v>2065</v>
      </c>
      <c r="D67" s="159">
        <f>IF(F66+SUM(E$17:E66)=D$10,F66,D$10-SUM(E$17:E66))</f>
        <v>0</v>
      </c>
      <c r="E67" s="160">
        <f t="shared" si="2"/>
        <v>0</v>
      </c>
      <c r="F67" s="159">
        <f t="shared" si="3"/>
        <v>0</v>
      </c>
      <c r="G67" s="161">
        <f t="shared" si="9"/>
        <v>0</v>
      </c>
      <c r="H67" s="142">
        <f t="shared" si="10"/>
        <v>0</v>
      </c>
      <c r="I67" s="156">
        <f t="shared" si="1"/>
        <v>0</v>
      </c>
      <c r="J67" s="156"/>
      <c r="K67" s="334"/>
      <c r="L67" s="158">
        <f t="shared" si="6"/>
        <v>0</v>
      </c>
      <c r="M67" s="334"/>
      <c r="N67" s="158">
        <f t="shared" si="7"/>
        <v>0</v>
      </c>
      <c r="O67" s="158">
        <f t="shared" si="8"/>
        <v>0</v>
      </c>
      <c r="P67" s="4"/>
    </row>
    <row r="68" spans="2:16">
      <c r="B68" s="9" t="str">
        <f t="shared" si="0"/>
        <v/>
      </c>
      <c r="C68" s="153">
        <f>IF(D11="","-",+C67+1)</f>
        <v>2066</v>
      </c>
      <c r="D68" s="159">
        <f>IF(F67+SUM(E$17:E67)=D$10,F67,D$10-SUM(E$17:E67))</f>
        <v>0</v>
      </c>
      <c r="E68" s="160">
        <f t="shared" si="2"/>
        <v>0</v>
      </c>
      <c r="F68" s="159">
        <f t="shared" si="3"/>
        <v>0</v>
      </c>
      <c r="G68" s="161">
        <f t="shared" si="9"/>
        <v>0</v>
      </c>
      <c r="H68" s="142">
        <f t="shared" si="10"/>
        <v>0</v>
      </c>
      <c r="I68" s="156">
        <f t="shared" si="1"/>
        <v>0</v>
      </c>
      <c r="J68" s="156"/>
      <c r="K68" s="334"/>
      <c r="L68" s="158">
        <f t="shared" si="6"/>
        <v>0</v>
      </c>
      <c r="M68" s="334"/>
      <c r="N68" s="158">
        <f t="shared" si="7"/>
        <v>0</v>
      </c>
      <c r="O68" s="158">
        <f t="shared" si="8"/>
        <v>0</v>
      </c>
      <c r="P68" s="4"/>
    </row>
    <row r="69" spans="2:16">
      <c r="B69" s="9" t="str">
        <f t="shared" si="0"/>
        <v/>
      </c>
      <c r="C69" s="153">
        <f>IF(D11="","-",+C68+1)</f>
        <v>2067</v>
      </c>
      <c r="D69" s="159">
        <f>IF(F68+SUM(E$17:E68)=D$10,F68,D$10-SUM(E$17:E68))</f>
        <v>0</v>
      </c>
      <c r="E69" s="160">
        <f t="shared" si="2"/>
        <v>0</v>
      </c>
      <c r="F69" s="159">
        <f t="shared" si="3"/>
        <v>0</v>
      </c>
      <c r="G69" s="161">
        <f t="shared" si="9"/>
        <v>0</v>
      </c>
      <c r="H69" s="142">
        <f t="shared" si="10"/>
        <v>0</v>
      </c>
      <c r="I69" s="156">
        <f t="shared" si="1"/>
        <v>0</v>
      </c>
      <c r="J69" s="156"/>
      <c r="K69" s="334"/>
      <c r="L69" s="158">
        <f t="shared" si="6"/>
        <v>0</v>
      </c>
      <c r="M69" s="334"/>
      <c r="N69" s="158">
        <f t="shared" si="7"/>
        <v>0</v>
      </c>
      <c r="O69" s="158">
        <f t="shared" si="8"/>
        <v>0</v>
      </c>
      <c r="P69" s="4"/>
    </row>
    <row r="70" spans="2:16">
      <c r="B70" s="9" t="str">
        <f t="shared" si="0"/>
        <v/>
      </c>
      <c r="C70" s="153">
        <f>IF(D11="","-",+C69+1)</f>
        <v>2068</v>
      </c>
      <c r="D70" s="159">
        <f>IF(F69+SUM(E$17:E69)=D$10,F69,D$10-SUM(E$17:E69))</f>
        <v>0</v>
      </c>
      <c r="E70" s="160">
        <f t="shared" si="2"/>
        <v>0</v>
      </c>
      <c r="F70" s="159">
        <f t="shared" si="3"/>
        <v>0</v>
      </c>
      <c r="G70" s="161">
        <f t="shared" si="9"/>
        <v>0</v>
      </c>
      <c r="H70" s="142">
        <f t="shared" si="10"/>
        <v>0</v>
      </c>
      <c r="I70" s="156">
        <f t="shared" si="1"/>
        <v>0</v>
      </c>
      <c r="J70" s="156"/>
      <c r="K70" s="334"/>
      <c r="L70" s="158">
        <f t="shared" si="6"/>
        <v>0</v>
      </c>
      <c r="M70" s="334"/>
      <c r="N70" s="158">
        <f t="shared" si="7"/>
        <v>0</v>
      </c>
      <c r="O70" s="158">
        <f t="shared" si="8"/>
        <v>0</v>
      </c>
      <c r="P70" s="4"/>
    </row>
    <row r="71" spans="2:16">
      <c r="B71" s="9" t="str">
        <f t="shared" si="0"/>
        <v/>
      </c>
      <c r="C71" s="153">
        <f>IF(D11="","-",+C70+1)</f>
        <v>2069</v>
      </c>
      <c r="D71" s="159">
        <f>IF(F70+SUM(E$17:E70)=D$10,F70,D$10-SUM(E$17:E70))</f>
        <v>0</v>
      </c>
      <c r="E71" s="160">
        <f t="shared" si="2"/>
        <v>0</v>
      </c>
      <c r="F71" s="159">
        <f t="shared" si="3"/>
        <v>0</v>
      </c>
      <c r="G71" s="161">
        <f t="shared" si="9"/>
        <v>0</v>
      </c>
      <c r="H71" s="142">
        <f t="shared" si="10"/>
        <v>0</v>
      </c>
      <c r="I71" s="156">
        <f t="shared" si="1"/>
        <v>0</v>
      </c>
      <c r="J71" s="156"/>
      <c r="K71" s="334"/>
      <c r="L71" s="158">
        <f t="shared" si="6"/>
        <v>0</v>
      </c>
      <c r="M71" s="334"/>
      <c r="N71" s="158">
        <f t="shared" si="7"/>
        <v>0</v>
      </c>
      <c r="O71" s="158">
        <f t="shared" si="8"/>
        <v>0</v>
      </c>
      <c r="P71" s="4"/>
    </row>
    <row r="72" spans="2:16" ht="13.5" thickBot="1">
      <c r="B72" s="9" t="str">
        <f t="shared" si="0"/>
        <v/>
      </c>
      <c r="C72" s="164">
        <f>IF(D11="","-",+C71+1)</f>
        <v>2070</v>
      </c>
      <c r="D72" s="159">
        <f>IF(F71+SUM(E$17:E71)=D$10,F71,D$10-SUM(E$17:E71))</f>
        <v>0</v>
      </c>
      <c r="E72" s="160">
        <f t="shared" si="2"/>
        <v>0</v>
      </c>
      <c r="F72" s="159">
        <f t="shared" si="3"/>
        <v>0</v>
      </c>
      <c r="G72" s="161">
        <f t="shared" si="9"/>
        <v>0</v>
      </c>
      <c r="H72" s="142">
        <f t="shared" si="10"/>
        <v>0</v>
      </c>
      <c r="I72" s="156">
        <f t="shared" si="1"/>
        <v>0</v>
      </c>
      <c r="J72" s="156"/>
      <c r="K72" s="335"/>
      <c r="L72" s="169">
        <f t="shared" si="6"/>
        <v>0</v>
      </c>
      <c r="M72" s="335"/>
      <c r="N72" s="169">
        <f t="shared" si="7"/>
        <v>0</v>
      </c>
      <c r="O72" s="169">
        <f t="shared" si="8"/>
        <v>0</v>
      </c>
      <c r="P72" s="4"/>
    </row>
    <row r="73" spans="2:16">
      <c r="C73" s="154" t="s">
        <v>73</v>
      </c>
      <c r="D73" s="111"/>
      <c r="E73" s="111">
        <f>SUM(E17:E72)</f>
        <v>5738013.0000000009</v>
      </c>
      <c r="F73" s="111"/>
      <c r="G73" s="111">
        <f>SUM(G17:G72)</f>
        <v>19070968.056958865</v>
      </c>
      <c r="H73" s="111">
        <f>SUM(H17:H72)</f>
        <v>19070968.056958865</v>
      </c>
      <c r="I73" s="111">
        <f>SUM(I17:I72)</f>
        <v>0</v>
      </c>
      <c r="J73" s="111"/>
      <c r="K73" s="111"/>
      <c r="L73" s="111"/>
      <c r="M73" s="111"/>
      <c r="N73" s="111"/>
      <c r="O73" s="4"/>
      <c r="P73" s="4"/>
    </row>
    <row r="74" spans="2:16">
      <c r="D74" s="2"/>
      <c r="E74" s="1"/>
      <c r="F74" s="1"/>
      <c r="G74" s="1"/>
      <c r="H74" s="3"/>
      <c r="I74" s="3"/>
      <c r="J74" s="111"/>
      <c r="K74" s="3"/>
      <c r="L74" s="3"/>
      <c r="M74" s="3"/>
      <c r="N74" s="3"/>
      <c r="O74" s="1"/>
      <c r="P74" s="1"/>
    </row>
    <row r="75" spans="2:16">
      <c r="C75" s="170" t="s">
        <v>91</v>
      </c>
      <c r="D75" s="2"/>
      <c r="E75" s="1"/>
      <c r="F75" s="1"/>
      <c r="G75" s="1"/>
      <c r="H75" s="3"/>
      <c r="I75" s="3"/>
      <c r="J75" s="111"/>
      <c r="K75" s="3"/>
      <c r="L75" s="3"/>
      <c r="M75" s="3"/>
      <c r="N75" s="3"/>
      <c r="O75" s="1"/>
      <c r="P75" s="1"/>
    </row>
    <row r="76" spans="2:16">
      <c r="C76" s="121" t="s">
        <v>74</v>
      </c>
      <c r="D76" s="2"/>
      <c r="E76" s="1"/>
      <c r="F76" s="1"/>
      <c r="G76" s="1"/>
      <c r="H76" s="3"/>
      <c r="I76" s="3"/>
      <c r="J76" s="111"/>
      <c r="K76" s="3"/>
      <c r="L76" s="3"/>
      <c r="M76" s="3"/>
      <c r="N76" s="3"/>
      <c r="O76" s="4"/>
      <c r="P76" s="4"/>
    </row>
    <row r="77" spans="2:16">
      <c r="C77" s="121" t="s">
        <v>75</v>
      </c>
      <c r="D77" s="154"/>
      <c r="E77" s="154"/>
      <c r="F77" s="154"/>
      <c r="G77" s="111"/>
      <c r="H77" s="111"/>
      <c r="I77" s="171"/>
      <c r="J77" s="171"/>
      <c r="K77" s="171"/>
      <c r="L77" s="171"/>
      <c r="M77" s="171"/>
      <c r="N77" s="171"/>
      <c r="O77" s="4"/>
      <c r="P77" s="4"/>
    </row>
    <row r="78" spans="2:16">
      <c r="C78" s="121"/>
      <c r="D78" s="154"/>
      <c r="E78" s="154"/>
      <c r="F78" s="154"/>
      <c r="G78" s="111"/>
      <c r="H78" s="111"/>
      <c r="I78" s="171"/>
      <c r="J78" s="171"/>
      <c r="K78" s="171"/>
      <c r="L78" s="171"/>
      <c r="M78" s="171"/>
      <c r="N78" s="171"/>
      <c r="O78" s="4"/>
      <c r="P78" s="1"/>
    </row>
    <row r="79" spans="2:16">
      <c r="B79" s="1"/>
      <c r="C79" s="21"/>
      <c r="D79" s="2"/>
      <c r="E79" s="1"/>
      <c r="F79" s="107"/>
      <c r="G79" s="1"/>
      <c r="H79" s="3"/>
      <c r="I79" s="1"/>
      <c r="J79" s="4"/>
      <c r="K79" s="1"/>
      <c r="L79" s="1"/>
      <c r="M79" s="1"/>
      <c r="N79" s="1"/>
      <c r="O79" s="1"/>
      <c r="P79" s="1"/>
    </row>
    <row r="80" spans="2:16" ht="18">
      <c r="B80" s="1"/>
      <c r="C80" s="242"/>
      <c r="D80" s="2"/>
      <c r="E80" s="1"/>
      <c r="F80" s="107"/>
      <c r="G80" s="1"/>
      <c r="H80" s="3"/>
      <c r="I80" s="1"/>
      <c r="J80" s="4"/>
      <c r="K80" s="1"/>
      <c r="L80" s="1"/>
      <c r="M80" s="1"/>
      <c r="N80" s="1"/>
      <c r="P80" s="244" t="s">
        <v>125</v>
      </c>
    </row>
    <row r="81" spans="1:16">
      <c r="B81" s="1"/>
      <c r="C81" s="21"/>
      <c r="D81" s="2"/>
      <c r="E81" s="1"/>
      <c r="F81" s="107"/>
      <c r="G81" s="1"/>
      <c r="H81" s="3"/>
      <c r="I81" s="1"/>
      <c r="J81" s="4"/>
      <c r="K81" s="1"/>
      <c r="L81" s="1"/>
      <c r="M81" s="1"/>
      <c r="N81" s="1"/>
      <c r="O81" s="1"/>
      <c r="P81" s="1"/>
    </row>
    <row r="82" spans="1:16">
      <c r="B82" s="1"/>
      <c r="C82" s="21"/>
      <c r="D82" s="2"/>
      <c r="E82" s="1"/>
      <c r="F82" s="107"/>
      <c r="G82" s="1"/>
      <c r="H82" s="3"/>
      <c r="I82" s="1"/>
      <c r="J82" s="4"/>
      <c r="K82" s="1"/>
      <c r="L82" s="1"/>
      <c r="M82" s="1"/>
      <c r="N82" s="1"/>
      <c r="O82" s="1"/>
      <c r="P82" s="1"/>
    </row>
    <row r="83" spans="1:16" ht="20.25">
      <c r="A83" s="243" t="s">
        <v>129</v>
      </c>
      <c r="B83" s="1"/>
      <c r="C83" s="21"/>
      <c r="D83" s="2"/>
      <c r="E83" s="1"/>
      <c r="F83" s="99"/>
      <c r="G83" s="99"/>
      <c r="H83" s="1"/>
      <c r="I83" s="3"/>
      <c r="K83" s="7"/>
      <c r="L83" s="109"/>
      <c r="M83" s="109"/>
      <c r="P83" s="109" t="str">
        <f ca="1">P1</f>
        <v>SWEPCO Project 53 of 73</v>
      </c>
    </row>
    <row r="84" spans="1:16" ht="18">
      <c r="B84" s="1"/>
      <c r="C84" s="1"/>
      <c r="D84" s="2"/>
      <c r="E84" s="1"/>
      <c r="F84" s="1"/>
      <c r="G84" s="1"/>
      <c r="H84" s="1"/>
      <c r="I84" s="3"/>
      <c r="J84" s="1"/>
      <c r="K84" s="4"/>
      <c r="L84" s="1"/>
      <c r="M84" s="1"/>
      <c r="P84" s="244" t="s">
        <v>123</v>
      </c>
    </row>
    <row r="85" spans="1:16" ht="18.75" thickBot="1">
      <c r="B85" s="5" t="s">
        <v>40</v>
      </c>
      <c r="C85" s="197" t="s">
        <v>78</v>
      </c>
      <c r="D85" s="2"/>
      <c r="E85" s="1"/>
      <c r="F85" s="1"/>
      <c r="G85" s="1"/>
      <c r="H85" s="1"/>
      <c r="I85" s="3"/>
      <c r="J85" s="3"/>
      <c r="K85" s="111"/>
      <c r="L85" s="3"/>
      <c r="M85" s="3"/>
      <c r="N85" s="3"/>
      <c r="O85" s="111"/>
      <c r="P85" s="1"/>
    </row>
    <row r="86" spans="1:16" ht="15.75" thickBot="1">
      <c r="C86" s="67"/>
      <c r="D86" s="2"/>
      <c r="E86" s="1"/>
      <c r="F86" s="1"/>
      <c r="G86" s="1"/>
      <c r="H86" s="1"/>
      <c r="I86" s="3"/>
      <c r="J86" s="3"/>
      <c r="K86" s="111"/>
      <c r="L86" s="265">
        <f>+J92</f>
        <v>2017</v>
      </c>
      <c r="M86" s="266" t="s">
        <v>7</v>
      </c>
      <c r="N86" s="270" t="s">
        <v>154</v>
      </c>
      <c r="O86" s="267" t="s">
        <v>9</v>
      </c>
      <c r="P86" s="1"/>
    </row>
    <row r="87" spans="1:16" ht="15">
      <c r="C87" s="235" t="s">
        <v>42</v>
      </c>
      <c r="D87" s="2"/>
      <c r="E87" s="1"/>
      <c r="F87" s="1"/>
      <c r="G87" s="1"/>
      <c r="H87" s="113"/>
      <c r="I87" s="1" t="s">
        <v>43</v>
      </c>
      <c r="J87" s="1"/>
      <c r="K87" s="261"/>
      <c r="L87" s="259" t="s">
        <v>381</v>
      </c>
      <c r="M87" s="198">
        <f>IF(J92&lt;D11,0,VLOOKUP(J92,C17:O72,9))</f>
        <v>817736.15631136962</v>
      </c>
      <c r="N87" s="198">
        <f>IF(J92&lt;D11,0,VLOOKUP(J92,C17:O72,11))</f>
        <v>817736.15631136962</v>
      </c>
      <c r="O87" s="199">
        <f>+N87-M87</f>
        <v>0</v>
      </c>
      <c r="P87" s="1"/>
    </row>
    <row r="88" spans="1:16" ht="15.75">
      <c r="C88" s="8"/>
      <c r="D88" s="2"/>
      <c r="E88" s="1"/>
      <c r="F88" s="1"/>
      <c r="G88" s="1"/>
      <c r="H88" s="1"/>
      <c r="I88" s="117"/>
      <c r="J88" s="117"/>
      <c r="K88" s="263"/>
      <c r="L88" s="264" t="s">
        <v>382</v>
      </c>
      <c r="M88" s="200">
        <f>IF(J92&lt;D11,0,VLOOKUP(J92,C99:P154,6))</f>
        <v>807737.36918670509</v>
      </c>
      <c r="N88" s="200">
        <f>IF(J92&lt;D11,0,VLOOKUP(J92,C99:P154,7))</f>
        <v>807737.36918670509</v>
      </c>
      <c r="O88" s="201">
        <f>+N88-M88</f>
        <v>0</v>
      </c>
      <c r="P88" s="1"/>
    </row>
    <row r="89" spans="1:16" ht="13.5" thickBot="1">
      <c r="C89" s="121" t="s">
        <v>79</v>
      </c>
      <c r="D89" s="246" t="str">
        <f>+D7</f>
        <v>Mt. Pleasant - West Mt. Pleasant 69 kV Ckt 1)</v>
      </c>
      <c r="E89" s="1"/>
      <c r="F89" s="1"/>
      <c r="G89" s="1"/>
      <c r="H89" s="1"/>
      <c r="I89" s="3"/>
      <c r="J89" s="3"/>
      <c r="K89" s="262"/>
      <c r="L89" s="260" t="s">
        <v>151</v>
      </c>
      <c r="M89" s="203">
        <f>+M88-M87</f>
        <v>-9998.7871246645227</v>
      </c>
      <c r="N89" s="203">
        <f>+N88-N87</f>
        <v>-9998.7871246645227</v>
      </c>
      <c r="O89" s="204">
        <f>+O88-O87</f>
        <v>0</v>
      </c>
      <c r="P89" s="1"/>
    </row>
    <row r="90" spans="1:16" ht="13.5" thickBot="1">
      <c r="C90" s="170"/>
      <c r="D90" s="173" t="str">
        <f>D8</f>
        <v/>
      </c>
      <c r="E90" s="107"/>
      <c r="F90" s="107"/>
      <c r="G90" s="107"/>
      <c r="H90" s="126"/>
      <c r="I90" s="3"/>
      <c r="J90" s="3"/>
      <c r="K90" s="111"/>
      <c r="L90" s="3"/>
      <c r="M90" s="3"/>
      <c r="N90" s="3"/>
      <c r="O90" s="111"/>
      <c r="P90" s="1"/>
    </row>
    <row r="91" spans="1:16" ht="13.5" thickBot="1">
      <c r="A91" s="103"/>
      <c r="C91" s="205" t="s">
        <v>80</v>
      </c>
      <c r="D91" s="224" t="str">
        <f>+D9</f>
        <v>TP2007166</v>
      </c>
      <c r="E91" s="206"/>
      <c r="F91" s="206"/>
      <c r="G91" s="206"/>
      <c r="H91" s="206"/>
      <c r="I91" s="206"/>
      <c r="J91" s="206"/>
      <c r="K91" s="207"/>
      <c r="P91" s="131"/>
    </row>
    <row r="92" spans="1:16">
      <c r="C92" s="136" t="s">
        <v>47</v>
      </c>
      <c r="D92" s="417">
        <v>5738013</v>
      </c>
      <c r="E92" s="21" t="s">
        <v>81</v>
      </c>
      <c r="H92" s="134"/>
      <c r="I92" s="134"/>
      <c r="J92" s="135">
        <f>+'SWE.WS.G.BPU.ATRR.True-up'!M15</f>
        <v>2017</v>
      </c>
      <c r="K92" s="130"/>
      <c r="L92" s="111" t="s">
        <v>82</v>
      </c>
      <c r="P92" s="4"/>
    </row>
    <row r="93" spans="1:16">
      <c r="C93" s="136" t="s">
        <v>49</v>
      </c>
      <c r="D93" s="219">
        <f>IF(D11=I10,"",D11)</f>
        <v>2015</v>
      </c>
      <c r="E93" s="136" t="s">
        <v>50</v>
      </c>
      <c r="F93" s="134"/>
      <c r="G93" s="134"/>
      <c r="J93" s="138">
        <f>IF(H87="",0,'SWE.WS.G.BPU.ATRR.True-up'!$F$12)</f>
        <v>0</v>
      </c>
      <c r="K93" s="139"/>
      <c r="L93" t="str">
        <f>"          INPUT TRUE-UP ARR (WITH &amp; WITHOUT INCENTIVES) FROM EACH PRIOR YEAR"</f>
        <v xml:space="preserve">          INPUT TRUE-UP ARR (WITH &amp; WITHOUT INCENTIVES) FROM EACH PRIOR YEAR</v>
      </c>
      <c r="P93" s="4"/>
    </row>
    <row r="94" spans="1:16">
      <c r="C94" s="136" t="s">
        <v>51</v>
      </c>
      <c r="D94" s="218">
        <f>IF(D11=I10,"",D12)</f>
        <v>11</v>
      </c>
      <c r="E94" s="136" t="s">
        <v>52</v>
      </c>
      <c r="F94" s="134"/>
      <c r="G94" s="134"/>
      <c r="J94" s="140">
        <f>'SWE.WS.G.BPU.ATRR.True-up'!$F$80</f>
        <v>0.12147145768398206</v>
      </c>
      <c r="K94" s="141"/>
      <c r="L94" t="s">
        <v>83</v>
      </c>
      <c r="P94" s="4"/>
    </row>
    <row r="95" spans="1:16">
      <c r="C95" s="136" t="s">
        <v>54</v>
      </c>
      <c r="D95" s="138">
        <f>'SWE.WS.G.BPU.ATRR.True-up'!F$92</f>
        <v>42</v>
      </c>
      <c r="E95" s="136" t="s">
        <v>55</v>
      </c>
      <c r="F95" s="134"/>
      <c r="G95" s="134"/>
      <c r="J95" s="140">
        <f>IF(H87="",J94,'SWE.WS.G.BPU.ATRR.True-up'!$F$79)</f>
        <v>0.12147145768398206</v>
      </c>
      <c r="K95" s="58"/>
      <c r="L95" s="111" t="s">
        <v>56</v>
      </c>
      <c r="M95" s="58"/>
      <c r="N95" s="58"/>
      <c r="O95" s="58"/>
      <c r="P95" s="4"/>
    </row>
    <row r="96" spans="1:16" ht="13.5" thickBot="1">
      <c r="C96" s="136" t="s">
        <v>57</v>
      </c>
      <c r="D96" s="220" t="str">
        <f>+D14</f>
        <v>No</v>
      </c>
      <c r="E96" s="202" t="s">
        <v>59</v>
      </c>
      <c r="F96" s="208"/>
      <c r="G96" s="208"/>
      <c r="H96" s="209"/>
      <c r="I96" s="209"/>
      <c r="J96" s="124">
        <f>IF(D92=0,0,D92/D95)</f>
        <v>136619.35714285713</v>
      </c>
      <c r="K96" s="111"/>
      <c r="L96" s="111"/>
      <c r="M96" s="111"/>
      <c r="N96" s="111"/>
      <c r="O96" s="111"/>
      <c r="P96" s="4"/>
    </row>
    <row r="97" spans="1:16" ht="38.25">
      <c r="A97" s="6"/>
      <c r="B97" s="6"/>
      <c r="C97" s="210" t="s">
        <v>47</v>
      </c>
      <c r="D97" s="211" t="s">
        <v>60</v>
      </c>
      <c r="E97" s="146" t="s">
        <v>61</v>
      </c>
      <c r="F97" s="146" t="s">
        <v>62</v>
      </c>
      <c r="G97" s="144" t="s">
        <v>84</v>
      </c>
      <c r="H97" s="434" t="s">
        <v>378</v>
      </c>
      <c r="I97" s="435" t="s">
        <v>379</v>
      </c>
      <c r="J97" s="210" t="s">
        <v>85</v>
      </c>
      <c r="K97" s="212"/>
      <c r="L97" s="271" t="s">
        <v>220</v>
      </c>
      <c r="M97" s="146" t="s">
        <v>86</v>
      </c>
      <c r="N97" s="271" t="s">
        <v>220</v>
      </c>
      <c r="O97" s="146" t="s">
        <v>86</v>
      </c>
      <c r="P97" s="146" t="s">
        <v>65</v>
      </c>
    </row>
    <row r="98" spans="1:16" ht="13.5" thickBot="1">
      <c r="C98" s="147" t="s">
        <v>66</v>
      </c>
      <c r="D98" s="213" t="s">
        <v>67</v>
      </c>
      <c r="E98" s="147" t="s">
        <v>68</v>
      </c>
      <c r="F98" s="147" t="s">
        <v>67</v>
      </c>
      <c r="G98" s="147" t="s">
        <v>67</v>
      </c>
      <c r="H98" s="407" t="s">
        <v>69</v>
      </c>
      <c r="I98" s="148" t="s">
        <v>70</v>
      </c>
      <c r="J98" s="149" t="s">
        <v>89</v>
      </c>
      <c r="K98" s="150"/>
      <c r="L98" s="151" t="s">
        <v>72</v>
      </c>
      <c r="M98" s="151" t="s">
        <v>72</v>
      </c>
      <c r="N98" s="151" t="s">
        <v>90</v>
      </c>
      <c r="O98" s="151" t="s">
        <v>90</v>
      </c>
      <c r="P98" s="151" t="s">
        <v>90</v>
      </c>
    </row>
    <row r="99" spans="1:16" ht="13.5" thickBot="1">
      <c r="C99" s="153">
        <f>IF(D93= "","-",D93)</f>
        <v>2015</v>
      </c>
      <c r="D99" s="409">
        <v>0</v>
      </c>
      <c r="E99" s="410">
        <v>11358.232142857143</v>
      </c>
      <c r="F99" s="411">
        <v>5713190.7678571427</v>
      </c>
      <c r="G99" s="412">
        <v>2856595.3839285714</v>
      </c>
      <c r="H99" s="413">
        <v>387768.60042600508</v>
      </c>
      <c r="I99" s="414">
        <v>387768.60042600508</v>
      </c>
      <c r="J99" s="158">
        <f>+I99-H99</f>
        <v>0</v>
      </c>
      <c r="K99" s="158"/>
      <c r="L99" s="256">
        <f>+H99</f>
        <v>387768.60042600508</v>
      </c>
      <c r="M99" s="157">
        <f t="shared" ref="M99:M130" si="11">IF(L99&lt;&gt;0,+H99-L99,0)</f>
        <v>0</v>
      </c>
      <c r="N99" s="256">
        <f>+I99</f>
        <v>387768.60042600508</v>
      </c>
      <c r="O99" s="157">
        <f t="shared" ref="O99:O130" si="12">IF(N99&lt;&gt;0,+I99-N99,0)</f>
        <v>0</v>
      </c>
      <c r="P99" s="157">
        <f t="shared" ref="P99:P130" si="13">+O99-M99</f>
        <v>0</v>
      </c>
    </row>
    <row r="100" spans="1:16">
      <c r="B100" s="9" t="str">
        <f>IF(D100=F99,"","IU")</f>
        <v>IU</v>
      </c>
      <c r="C100" s="153">
        <f>IF(D93="","-",+C99+1)</f>
        <v>2016</v>
      </c>
      <c r="D100" s="409">
        <v>5726654.7678571427</v>
      </c>
      <c r="E100" s="410">
        <v>133442.16279069768</v>
      </c>
      <c r="F100" s="411">
        <v>5593212.6050664447</v>
      </c>
      <c r="G100" s="412">
        <v>5659933.6864617933</v>
      </c>
      <c r="H100" s="413">
        <v>851970.67799992743</v>
      </c>
      <c r="I100" s="414">
        <v>851970.67799992743</v>
      </c>
      <c r="J100" s="158">
        <v>0</v>
      </c>
      <c r="K100" s="158"/>
      <c r="L100" s="256">
        <f>+H100</f>
        <v>851970.67799992743</v>
      </c>
      <c r="M100" s="157">
        <f>IF(L100&lt;&gt;0,+H100-L100,0)</f>
        <v>0</v>
      </c>
      <c r="N100" s="256">
        <f>+I100</f>
        <v>851970.67799992743</v>
      </c>
      <c r="O100" s="157">
        <f>IF(N100&lt;&gt;0,+I100-N100,0)</f>
        <v>0</v>
      </c>
      <c r="P100" s="157">
        <f>+O100-M100</f>
        <v>0</v>
      </c>
    </row>
    <row r="101" spans="1:16">
      <c r="B101" s="9" t="str">
        <f t="shared" ref="B101:B154" si="14">IF(D101=F100,"","IU")</f>
        <v/>
      </c>
      <c r="C101" s="153">
        <f>IF(D93="","-",+C100+1)</f>
        <v>2017</v>
      </c>
      <c r="D101" s="154">
        <f>IF(F100+SUM(E$99:E100)=D$92,F100,D$92-SUM(E$99:E100))</f>
        <v>5593212.6050664447</v>
      </c>
      <c r="E101" s="160">
        <f t="shared" ref="E101:E154" si="15">IF(+$J$96&lt;F100,$J$96,D101)</f>
        <v>136619.35714285713</v>
      </c>
      <c r="F101" s="159">
        <f t="shared" ref="F101:F154" si="16">+D101-E101</f>
        <v>5456593.2479235874</v>
      </c>
      <c r="G101" s="159">
        <f t="shared" ref="G101:G154" si="17">+(F101+D101)/2</f>
        <v>5524902.9264950156</v>
      </c>
      <c r="H101" s="163">
        <f t="shared" ref="H101:H154" si="18">+J$94*G101+E101</f>
        <v>807737.36918670509</v>
      </c>
      <c r="I101" s="253">
        <f t="shared" ref="I101:I154" si="19">+J$95*G101+E101</f>
        <v>807737.36918670509</v>
      </c>
      <c r="J101" s="158">
        <f t="shared" ref="J101:J154" si="20">+I101-H101</f>
        <v>0</v>
      </c>
      <c r="K101" s="158"/>
      <c r="L101" s="334"/>
      <c r="M101" s="158">
        <f t="shared" si="11"/>
        <v>0</v>
      </c>
      <c r="N101" s="334"/>
      <c r="O101" s="158">
        <f t="shared" si="12"/>
        <v>0</v>
      </c>
      <c r="P101" s="158">
        <f t="shared" si="13"/>
        <v>0</v>
      </c>
    </row>
    <row r="102" spans="1:16">
      <c r="B102" s="9" t="str">
        <f t="shared" si="14"/>
        <v/>
      </c>
      <c r="C102" s="153">
        <f>IF(D93="","-",+C101+1)</f>
        <v>2018</v>
      </c>
      <c r="D102" s="154">
        <f>IF(F101+SUM(E$99:E101)=D$92,F101,D$92-SUM(E$99:E101))</f>
        <v>5456593.2479235874</v>
      </c>
      <c r="E102" s="160">
        <f t="shared" si="15"/>
        <v>136619.35714285713</v>
      </c>
      <c r="F102" s="159">
        <f t="shared" si="16"/>
        <v>5319973.8907807302</v>
      </c>
      <c r="G102" s="159">
        <f t="shared" si="17"/>
        <v>5388283.5693521593</v>
      </c>
      <c r="H102" s="163">
        <f t="shared" si="18"/>
        <v>791142.01672671374</v>
      </c>
      <c r="I102" s="253">
        <f t="shared" si="19"/>
        <v>791142.01672671374</v>
      </c>
      <c r="J102" s="158">
        <f t="shared" si="20"/>
        <v>0</v>
      </c>
      <c r="K102" s="158"/>
      <c r="L102" s="334"/>
      <c r="M102" s="158">
        <f t="shared" si="11"/>
        <v>0</v>
      </c>
      <c r="N102" s="334"/>
      <c r="O102" s="158">
        <f t="shared" si="12"/>
        <v>0</v>
      </c>
      <c r="P102" s="158">
        <f t="shared" si="13"/>
        <v>0</v>
      </c>
    </row>
    <row r="103" spans="1:16">
      <c r="B103" s="9" t="str">
        <f t="shared" si="14"/>
        <v/>
      </c>
      <c r="C103" s="153">
        <f>IF(D93="","-",+C102+1)</f>
        <v>2019</v>
      </c>
      <c r="D103" s="154">
        <f>IF(F102+SUM(E$99:E102)=D$92,F102,D$92-SUM(E$99:E102))</f>
        <v>5319973.8907807302</v>
      </c>
      <c r="E103" s="160">
        <f t="shared" si="15"/>
        <v>136619.35714285713</v>
      </c>
      <c r="F103" s="159">
        <f t="shared" si="16"/>
        <v>5183354.5336378729</v>
      </c>
      <c r="G103" s="159">
        <f t="shared" si="17"/>
        <v>5251664.2122093011</v>
      </c>
      <c r="H103" s="163">
        <f t="shared" si="18"/>
        <v>774546.66426672228</v>
      </c>
      <c r="I103" s="253">
        <f t="shared" si="19"/>
        <v>774546.66426672228</v>
      </c>
      <c r="J103" s="158">
        <f t="shared" si="20"/>
        <v>0</v>
      </c>
      <c r="K103" s="158"/>
      <c r="L103" s="334"/>
      <c r="M103" s="158">
        <f t="shared" si="11"/>
        <v>0</v>
      </c>
      <c r="N103" s="334"/>
      <c r="O103" s="158">
        <f t="shared" si="12"/>
        <v>0</v>
      </c>
      <c r="P103" s="158">
        <f t="shared" si="13"/>
        <v>0</v>
      </c>
    </row>
    <row r="104" spans="1:16">
      <c r="B104" s="9" t="str">
        <f t="shared" si="14"/>
        <v/>
      </c>
      <c r="C104" s="153">
        <f>IF(D93="","-",+C103+1)</f>
        <v>2020</v>
      </c>
      <c r="D104" s="154">
        <f>IF(F103+SUM(E$99:E103)=D$92,F103,D$92-SUM(E$99:E103))</f>
        <v>5183354.5336378729</v>
      </c>
      <c r="E104" s="160">
        <f t="shared" si="15"/>
        <v>136619.35714285713</v>
      </c>
      <c r="F104" s="159">
        <f t="shared" si="16"/>
        <v>5046735.1764950156</v>
      </c>
      <c r="G104" s="159">
        <f t="shared" si="17"/>
        <v>5115044.8550664447</v>
      </c>
      <c r="H104" s="163">
        <f t="shared" si="18"/>
        <v>757951.31180673093</v>
      </c>
      <c r="I104" s="253">
        <f t="shared" si="19"/>
        <v>757951.31180673093</v>
      </c>
      <c r="J104" s="158">
        <f t="shared" si="20"/>
        <v>0</v>
      </c>
      <c r="K104" s="158"/>
      <c r="L104" s="334"/>
      <c r="M104" s="158">
        <f t="shared" si="11"/>
        <v>0</v>
      </c>
      <c r="N104" s="334"/>
      <c r="O104" s="158">
        <f t="shared" si="12"/>
        <v>0</v>
      </c>
      <c r="P104" s="158">
        <f t="shared" si="13"/>
        <v>0</v>
      </c>
    </row>
    <row r="105" spans="1:16">
      <c r="B105" s="9" t="str">
        <f t="shared" si="14"/>
        <v/>
      </c>
      <c r="C105" s="153">
        <f>IF(D93="","-",+C104+1)</f>
        <v>2021</v>
      </c>
      <c r="D105" s="154">
        <f>IF(F104+SUM(E$99:E104)=D$92,F104,D$92-SUM(E$99:E104))</f>
        <v>5046735.1764950156</v>
      </c>
      <c r="E105" s="160">
        <f t="shared" si="15"/>
        <v>136619.35714285713</v>
      </c>
      <c r="F105" s="159">
        <f t="shared" si="16"/>
        <v>4910115.8193521583</v>
      </c>
      <c r="G105" s="159">
        <f t="shared" si="17"/>
        <v>4978425.4979235865</v>
      </c>
      <c r="H105" s="163">
        <f t="shared" si="18"/>
        <v>741355.95934673934</v>
      </c>
      <c r="I105" s="253">
        <f t="shared" si="19"/>
        <v>741355.95934673934</v>
      </c>
      <c r="J105" s="158">
        <f t="shared" si="20"/>
        <v>0</v>
      </c>
      <c r="K105" s="158"/>
      <c r="L105" s="334"/>
      <c r="M105" s="158">
        <f t="shared" si="11"/>
        <v>0</v>
      </c>
      <c r="N105" s="334"/>
      <c r="O105" s="158">
        <f t="shared" si="12"/>
        <v>0</v>
      </c>
      <c r="P105" s="158">
        <f t="shared" si="13"/>
        <v>0</v>
      </c>
    </row>
    <row r="106" spans="1:16">
      <c r="B106" s="9" t="str">
        <f t="shared" si="14"/>
        <v/>
      </c>
      <c r="C106" s="153">
        <f>IF(D93="","-",+C105+1)</f>
        <v>2022</v>
      </c>
      <c r="D106" s="154">
        <f>IF(F105+SUM(E$99:E105)=D$92,F105,D$92-SUM(E$99:E105))</f>
        <v>4910115.8193521583</v>
      </c>
      <c r="E106" s="160">
        <f t="shared" si="15"/>
        <v>136619.35714285713</v>
      </c>
      <c r="F106" s="159">
        <f t="shared" si="16"/>
        <v>4773496.4622093011</v>
      </c>
      <c r="G106" s="159">
        <f t="shared" si="17"/>
        <v>4841806.1407807302</v>
      </c>
      <c r="H106" s="163">
        <f t="shared" si="18"/>
        <v>724760.60688674811</v>
      </c>
      <c r="I106" s="253">
        <f t="shared" si="19"/>
        <v>724760.60688674811</v>
      </c>
      <c r="J106" s="158">
        <f t="shared" si="20"/>
        <v>0</v>
      </c>
      <c r="K106" s="158"/>
      <c r="L106" s="334"/>
      <c r="M106" s="158">
        <f t="shared" si="11"/>
        <v>0</v>
      </c>
      <c r="N106" s="334"/>
      <c r="O106" s="158">
        <f t="shared" si="12"/>
        <v>0</v>
      </c>
      <c r="P106" s="158">
        <f t="shared" si="13"/>
        <v>0</v>
      </c>
    </row>
    <row r="107" spans="1:16">
      <c r="B107" s="9" t="str">
        <f t="shared" si="14"/>
        <v/>
      </c>
      <c r="C107" s="153">
        <f>IF(D93="","-",+C106+1)</f>
        <v>2023</v>
      </c>
      <c r="D107" s="154">
        <f>IF(F106+SUM(E$99:E106)=D$92,F106,D$92-SUM(E$99:E106))</f>
        <v>4773496.4622093011</v>
      </c>
      <c r="E107" s="160">
        <f t="shared" si="15"/>
        <v>136619.35714285713</v>
      </c>
      <c r="F107" s="159">
        <f t="shared" si="16"/>
        <v>4636877.1050664438</v>
      </c>
      <c r="G107" s="159">
        <f t="shared" si="17"/>
        <v>4705186.783637872</v>
      </c>
      <c r="H107" s="163">
        <f t="shared" si="18"/>
        <v>708165.25442675652</v>
      </c>
      <c r="I107" s="253">
        <f t="shared" si="19"/>
        <v>708165.25442675652</v>
      </c>
      <c r="J107" s="158">
        <f t="shared" si="20"/>
        <v>0</v>
      </c>
      <c r="K107" s="158"/>
      <c r="L107" s="334"/>
      <c r="M107" s="158">
        <f t="shared" si="11"/>
        <v>0</v>
      </c>
      <c r="N107" s="334"/>
      <c r="O107" s="158">
        <f t="shared" si="12"/>
        <v>0</v>
      </c>
      <c r="P107" s="158">
        <f t="shared" si="13"/>
        <v>0</v>
      </c>
    </row>
    <row r="108" spans="1:16">
      <c r="B108" s="9" t="str">
        <f t="shared" si="14"/>
        <v/>
      </c>
      <c r="C108" s="153">
        <f>IF(D93="","-",+C107+1)</f>
        <v>2024</v>
      </c>
      <c r="D108" s="154">
        <f>IF(F107+SUM(E$99:E107)=D$92,F107,D$92-SUM(E$99:E107))</f>
        <v>4636877.1050664438</v>
      </c>
      <c r="E108" s="160">
        <f t="shared" si="15"/>
        <v>136619.35714285713</v>
      </c>
      <c r="F108" s="159">
        <f t="shared" si="16"/>
        <v>4500257.7479235865</v>
      </c>
      <c r="G108" s="159">
        <f t="shared" si="17"/>
        <v>4568567.4264950156</v>
      </c>
      <c r="H108" s="163">
        <f t="shared" si="18"/>
        <v>691569.90196676529</v>
      </c>
      <c r="I108" s="253">
        <f t="shared" si="19"/>
        <v>691569.90196676529</v>
      </c>
      <c r="J108" s="158">
        <f t="shared" si="20"/>
        <v>0</v>
      </c>
      <c r="K108" s="158"/>
      <c r="L108" s="334"/>
      <c r="M108" s="158">
        <f t="shared" si="11"/>
        <v>0</v>
      </c>
      <c r="N108" s="334"/>
      <c r="O108" s="158">
        <f t="shared" si="12"/>
        <v>0</v>
      </c>
      <c r="P108" s="158">
        <f t="shared" si="13"/>
        <v>0</v>
      </c>
    </row>
    <row r="109" spans="1:16">
      <c r="B109" s="9" t="str">
        <f t="shared" si="14"/>
        <v/>
      </c>
      <c r="C109" s="153">
        <f>IF(D93="","-",+C108+1)</f>
        <v>2025</v>
      </c>
      <c r="D109" s="154">
        <f>IF(F108+SUM(E$99:E108)=D$92,F108,D$92-SUM(E$99:E108))</f>
        <v>4500257.7479235865</v>
      </c>
      <c r="E109" s="160">
        <f t="shared" si="15"/>
        <v>136619.35714285713</v>
      </c>
      <c r="F109" s="159">
        <f t="shared" si="16"/>
        <v>4363638.3907807292</v>
      </c>
      <c r="G109" s="159">
        <f t="shared" si="17"/>
        <v>4431948.0693521574</v>
      </c>
      <c r="H109" s="163">
        <f t="shared" si="18"/>
        <v>674974.54950677371</v>
      </c>
      <c r="I109" s="253">
        <f t="shared" si="19"/>
        <v>674974.54950677371</v>
      </c>
      <c r="J109" s="158">
        <f t="shared" si="20"/>
        <v>0</v>
      </c>
      <c r="K109" s="158"/>
      <c r="L109" s="334"/>
      <c r="M109" s="158">
        <f t="shared" si="11"/>
        <v>0</v>
      </c>
      <c r="N109" s="334"/>
      <c r="O109" s="158">
        <f t="shared" si="12"/>
        <v>0</v>
      </c>
      <c r="P109" s="158">
        <f t="shared" si="13"/>
        <v>0</v>
      </c>
    </row>
    <row r="110" spans="1:16">
      <c r="B110" s="9" t="str">
        <f t="shared" si="14"/>
        <v/>
      </c>
      <c r="C110" s="153">
        <f>IF(D93="","-",+C109+1)</f>
        <v>2026</v>
      </c>
      <c r="D110" s="154">
        <f>IF(F109+SUM(E$99:E109)=D$92,F109,D$92-SUM(E$99:E109))</f>
        <v>4363638.3907807292</v>
      </c>
      <c r="E110" s="160">
        <f t="shared" si="15"/>
        <v>136619.35714285713</v>
      </c>
      <c r="F110" s="159">
        <f t="shared" si="16"/>
        <v>4227019.033637872</v>
      </c>
      <c r="G110" s="159">
        <f t="shared" si="17"/>
        <v>4295328.7122093011</v>
      </c>
      <c r="H110" s="163">
        <f t="shared" si="18"/>
        <v>658379.19704678236</v>
      </c>
      <c r="I110" s="253">
        <f t="shared" si="19"/>
        <v>658379.19704678236</v>
      </c>
      <c r="J110" s="158">
        <f t="shared" si="20"/>
        <v>0</v>
      </c>
      <c r="K110" s="158"/>
      <c r="L110" s="334"/>
      <c r="M110" s="158">
        <f t="shared" si="11"/>
        <v>0</v>
      </c>
      <c r="N110" s="334"/>
      <c r="O110" s="158">
        <f t="shared" si="12"/>
        <v>0</v>
      </c>
      <c r="P110" s="158">
        <f t="shared" si="13"/>
        <v>0</v>
      </c>
    </row>
    <row r="111" spans="1:16">
      <c r="B111" s="9" t="str">
        <f t="shared" si="14"/>
        <v/>
      </c>
      <c r="C111" s="153">
        <f>IF(D93="","-",+C110+1)</f>
        <v>2027</v>
      </c>
      <c r="D111" s="154">
        <f>IF(F110+SUM(E$99:E110)=D$92,F110,D$92-SUM(E$99:E110))</f>
        <v>4227019.033637872</v>
      </c>
      <c r="E111" s="160">
        <f t="shared" si="15"/>
        <v>136619.35714285713</v>
      </c>
      <c r="F111" s="159">
        <f t="shared" si="16"/>
        <v>4090399.6764950147</v>
      </c>
      <c r="G111" s="159">
        <f t="shared" si="17"/>
        <v>4158709.3550664433</v>
      </c>
      <c r="H111" s="163">
        <f t="shared" si="18"/>
        <v>641783.84458679089</v>
      </c>
      <c r="I111" s="253">
        <f t="shared" si="19"/>
        <v>641783.84458679089</v>
      </c>
      <c r="J111" s="158">
        <f t="shared" si="20"/>
        <v>0</v>
      </c>
      <c r="K111" s="158"/>
      <c r="L111" s="334"/>
      <c r="M111" s="158">
        <f t="shared" si="11"/>
        <v>0</v>
      </c>
      <c r="N111" s="334"/>
      <c r="O111" s="158">
        <f t="shared" si="12"/>
        <v>0</v>
      </c>
      <c r="P111" s="158">
        <f t="shared" si="13"/>
        <v>0</v>
      </c>
    </row>
    <row r="112" spans="1:16">
      <c r="B112" s="9" t="str">
        <f t="shared" si="14"/>
        <v/>
      </c>
      <c r="C112" s="153">
        <f>IF(D93="","-",+C111+1)</f>
        <v>2028</v>
      </c>
      <c r="D112" s="154">
        <f>IF(F111+SUM(E$99:E111)=D$92,F111,D$92-SUM(E$99:E111))</f>
        <v>4090399.6764950147</v>
      </c>
      <c r="E112" s="160">
        <f t="shared" si="15"/>
        <v>136619.35714285713</v>
      </c>
      <c r="F112" s="159">
        <f t="shared" si="16"/>
        <v>3953780.3193521574</v>
      </c>
      <c r="G112" s="159">
        <f t="shared" si="17"/>
        <v>4022089.9979235861</v>
      </c>
      <c r="H112" s="163">
        <f t="shared" si="18"/>
        <v>625188.49212679954</v>
      </c>
      <c r="I112" s="253">
        <f t="shared" si="19"/>
        <v>625188.49212679954</v>
      </c>
      <c r="J112" s="158">
        <f t="shared" si="20"/>
        <v>0</v>
      </c>
      <c r="K112" s="158"/>
      <c r="L112" s="334"/>
      <c r="M112" s="158">
        <f t="shared" si="11"/>
        <v>0</v>
      </c>
      <c r="N112" s="334"/>
      <c r="O112" s="158">
        <f t="shared" si="12"/>
        <v>0</v>
      </c>
      <c r="P112" s="158">
        <f t="shared" si="13"/>
        <v>0</v>
      </c>
    </row>
    <row r="113" spans="2:16">
      <c r="B113" s="9" t="str">
        <f t="shared" si="14"/>
        <v/>
      </c>
      <c r="C113" s="153">
        <f>IF(D93="","-",+C112+1)</f>
        <v>2029</v>
      </c>
      <c r="D113" s="154">
        <f>IF(F112+SUM(E$99:E112)=D$92,F112,D$92-SUM(E$99:E112))</f>
        <v>3953780.3193521574</v>
      </c>
      <c r="E113" s="160">
        <f t="shared" si="15"/>
        <v>136619.35714285713</v>
      </c>
      <c r="F113" s="159">
        <f t="shared" si="16"/>
        <v>3817160.9622093001</v>
      </c>
      <c r="G113" s="159">
        <f t="shared" si="17"/>
        <v>3885470.6407807288</v>
      </c>
      <c r="H113" s="163">
        <f t="shared" si="18"/>
        <v>608593.13966680807</v>
      </c>
      <c r="I113" s="253">
        <f t="shared" si="19"/>
        <v>608593.13966680807</v>
      </c>
      <c r="J113" s="158">
        <f t="shared" si="20"/>
        <v>0</v>
      </c>
      <c r="K113" s="158"/>
      <c r="L113" s="334"/>
      <c r="M113" s="158">
        <f t="shared" si="11"/>
        <v>0</v>
      </c>
      <c r="N113" s="334"/>
      <c r="O113" s="158">
        <f t="shared" si="12"/>
        <v>0</v>
      </c>
      <c r="P113" s="158">
        <f t="shared" si="13"/>
        <v>0</v>
      </c>
    </row>
    <row r="114" spans="2:16">
      <c r="B114" s="9" t="str">
        <f t="shared" si="14"/>
        <v/>
      </c>
      <c r="C114" s="153">
        <f>IF(D93="","-",+C113+1)</f>
        <v>2030</v>
      </c>
      <c r="D114" s="154">
        <f>IF(F113+SUM(E$99:E113)=D$92,F113,D$92-SUM(E$99:E113))</f>
        <v>3817160.9622093001</v>
      </c>
      <c r="E114" s="160">
        <f t="shared" si="15"/>
        <v>136619.35714285713</v>
      </c>
      <c r="F114" s="159">
        <f t="shared" si="16"/>
        <v>3680541.6050664429</v>
      </c>
      <c r="G114" s="159">
        <f t="shared" si="17"/>
        <v>3748851.2836378715</v>
      </c>
      <c r="H114" s="163">
        <f t="shared" si="18"/>
        <v>591997.7872068166</v>
      </c>
      <c r="I114" s="253">
        <f t="shared" si="19"/>
        <v>591997.7872068166</v>
      </c>
      <c r="J114" s="158">
        <f t="shared" si="20"/>
        <v>0</v>
      </c>
      <c r="K114" s="158"/>
      <c r="L114" s="334"/>
      <c r="M114" s="158">
        <f t="shared" si="11"/>
        <v>0</v>
      </c>
      <c r="N114" s="334"/>
      <c r="O114" s="158">
        <f t="shared" si="12"/>
        <v>0</v>
      </c>
      <c r="P114" s="158">
        <f t="shared" si="13"/>
        <v>0</v>
      </c>
    </row>
    <row r="115" spans="2:16">
      <c r="B115" s="9" t="str">
        <f t="shared" si="14"/>
        <v/>
      </c>
      <c r="C115" s="153">
        <f>IF(D93="","-",+C114+1)</f>
        <v>2031</v>
      </c>
      <c r="D115" s="154">
        <f>IF(F114+SUM(E$99:E114)=D$92,F114,D$92-SUM(E$99:E114))</f>
        <v>3680541.6050664429</v>
      </c>
      <c r="E115" s="160">
        <f t="shared" si="15"/>
        <v>136619.35714285713</v>
      </c>
      <c r="F115" s="159">
        <f t="shared" si="16"/>
        <v>3543922.2479235856</v>
      </c>
      <c r="G115" s="159">
        <f t="shared" si="17"/>
        <v>3612231.9264950142</v>
      </c>
      <c r="H115" s="163">
        <f t="shared" si="18"/>
        <v>575402.43474682525</v>
      </c>
      <c r="I115" s="253">
        <f t="shared" si="19"/>
        <v>575402.43474682525</v>
      </c>
      <c r="J115" s="158">
        <f t="shared" si="20"/>
        <v>0</v>
      </c>
      <c r="K115" s="158"/>
      <c r="L115" s="334"/>
      <c r="M115" s="158">
        <f t="shared" si="11"/>
        <v>0</v>
      </c>
      <c r="N115" s="334"/>
      <c r="O115" s="158">
        <f t="shared" si="12"/>
        <v>0</v>
      </c>
      <c r="P115" s="158">
        <f t="shared" si="13"/>
        <v>0</v>
      </c>
    </row>
    <row r="116" spans="2:16">
      <c r="B116" s="9" t="str">
        <f t="shared" si="14"/>
        <v/>
      </c>
      <c r="C116" s="153">
        <f>IF(D93="","-",+C115+1)</f>
        <v>2032</v>
      </c>
      <c r="D116" s="154">
        <f>IF(F115+SUM(E$99:E115)=D$92,F115,D$92-SUM(E$99:E115))</f>
        <v>3543922.2479235856</v>
      </c>
      <c r="E116" s="160">
        <f t="shared" si="15"/>
        <v>136619.35714285713</v>
      </c>
      <c r="F116" s="159">
        <f t="shared" si="16"/>
        <v>3407302.8907807283</v>
      </c>
      <c r="G116" s="159">
        <f t="shared" si="17"/>
        <v>3475612.5693521569</v>
      </c>
      <c r="H116" s="163">
        <f t="shared" si="18"/>
        <v>558807.08228683379</v>
      </c>
      <c r="I116" s="253">
        <f t="shared" si="19"/>
        <v>558807.08228683379</v>
      </c>
      <c r="J116" s="158">
        <f t="shared" si="20"/>
        <v>0</v>
      </c>
      <c r="K116" s="158"/>
      <c r="L116" s="334"/>
      <c r="M116" s="158">
        <f t="shared" si="11"/>
        <v>0</v>
      </c>
      <c r="N116" s="334"/>
      <c r="O116" s="158">
        <f t="shared" si="12"/>
        <v>0</v>
      </c>
      <c r="P116" s="158">
        <f t="shared" si="13"/>
        <v>0</v>
      </c>
    </row>
    <row r="117" spans="2:16">
      <c r="B117" s="9" t="str">
        <f t="shared" si="14"/>
        <v/>
      </c>
      <c r="C117" s="153">
        <f>IF(D93="","-",+C116+1)</f>
        <v>2033</v>
      </c>
      <c r="D117" s="154">
        <f>IF(F116+SUM(E$99:E116)=D$92,F116,D$92-SUM(E$99:E116))</f>
        <v>3407302.8907807283</v>
      </c>
      <c r="E117" s="160">
        <f t="shared" si="15"/>
        <v>136619.35714285713</v>
      </c>
      <c r="F117" s="159">
        <f t="shared" si="16"/>
        <v>3270683.533637871</v>
      </c>
      <c r="G117" s="159">
        <f t="shared" si="17"/>
        <v>3338993.2122092997</v>
      </c>
      <c r="H117" s="163">
        <f t="shared" si="18"/>
        <v>542211.72982684243</v>
      </c>
      <c r="I117" s="253">
        <f t="shared" si="19"/>
        <v>542211.72982684243</v>
      </c>
      <c r="J117" s="158">
        <f t="shared" si="20"/>
        <v>0</v>
      </c>
      <c r="K117" s="158"/>
      <c r="L117" s="334"/>
      <c r="M117" s="158">
        <f t="shared" si="11"/>
        <v>0</v>
      </c>
      <c r="N117" s="334"/>
      <c r="O117" s="158">
        <f t="shared" si="12"/>
        <v>0</v>
      </c>
      <c r="P117" s="158">
        <f t="shared" si="13"/>
        <v>0</v>
      </c>
    </row>
    <row r="118" spans="2:16">
      <c r="B118" s="9" t="str">
        <f t="shared" si="14"/>
        <v/>
      </c>
      <c r="C118" s="153">
        <f>IF(D93="","-",+C117+1)</f>
        <v>2034</v>
      </c>
      <c r="D118" s="154">
        <f>IF(F117+SUM(E$99:E117)=D$92,F117,D$92-SUM(E$99:E117))</f>
        <v>3270683.533637871</v>
      </c>
      <c r="E118" s="160">
        <f t="shared" si="15"/>
        <v>136619.35714285713</v>
      </c>
      <c r="F118" s="159">
        <f t="shared" si="16"/>
        <v>3134064.1764950138</v>
      </c>
      <c r="G118" s="159">
        <f t="shared" si="17"/>
        <v>3202373.8550664424</v>
      </c>
      <c r="H118" s="163">
        <f t="shared" si="18"/>
        <v>525616.37736685097</v>
      </c>
      <c r="I118" s="253">
        <f t="shared" si="19"/>
        <v>525616.37736685097</v>
      </c>
      <c r="J118" s="158">
        <f t="shared" si="20"/>
        <v>0</v>
      </c>
      <c r="K118" s="158"/>
      <c r="L118" s="334"/>
      <c r="M118" s="158">
        <f t="shared" si="11"/>
        <v>0</v>
      </c>
      <c r="N118" s="334"/>
      <c r="O118" s="158">
        <f t="shared" si="12"/>
        <v>0</v>
      </c>
      <c r="P118" s="158">
        <f t="shared" si="13"/>
        <v>0</v>
      </c>
    </row>
    <row r="119" spans="2:16">
      <c r="B119" s="9" t="str">
        <f t="shared" si="14"/>
        <v/>
      </c>
      <c r="C119" s="153">
        <f>IF(D93="","-",+C118+1)</f>
        <v>2035</v>
      </c>
      <c r="D119" s="154">
        <f>IF(F118+SUM(E$99:E118)=D$92,F118,D$92-SUM(E$99:E118))</f>
        <v>3134064.1764950138</v>
      </c>
      <c r="E119" s="160">
        <f t="shared" si="15"/>
        <v>136619.35714285713</v>
      </c>
      <c r="F119" s="159">
        <f t="shared" si="16"/>
        <v>2997444.8193521565</v>
      </c>
      <c r="G119" s="159">
        <f t="shared" si="17"/>
        <v>3065754.4979235851</v>
      </c>
      <c r="H119" s="163">
        <f t="shared" si="18"/>
        <v>509021.0249068595</v>
      </c>
      <c r="I119" s="253">
        <f t="shared" si="19"/>
        <v>509021.0249068595</v>
      </c>
      <c r="J119" s="158">
        <f t="shared" si="20"/>
        <v>0</v>
      </c>
      <c r="K119" s="158"/>
      <c r="L119" s="334"/>
      <c r="M119" s="158">
        <f t="shared" si="11"/>
        <v>0</v>
      </c>
      <c r="N119" s="334"/>
      <c r="O119" s="158">
        <f t="shared" si="12"/>
        <v>0</v>
      </c>
      <c r="P119" s="158">
        <f t="shared" si="13"/>
        <v>0</v>
      </c>
    </row>
    <row r="120" spans="2:16">
      <c r="B120" s="9" t="str">
        <f t="shared" si="14"/>
        <v/>
      </c>
      <c r="C120" s="153">
        <f>IF(D93="","-",+C119+1)</f>
        <v>2036</v>
      </c>
      <c r="D120" s="154">
        <f>IF(F119+SUM(E$99:E119)=D$92,F119,D$92-SUM(E$99:E119))</f>
        <v>2997444.8193521565</v>
      </c>
      <c r="E120" s="160">
        <f t="shared" si="15"/>
        <v>136619.35714285713</v>
      </c>
      <c r="F120" s="159">
        <f t="shared" si="16"/>
        <v>2860825.4622092992</v>
      </c>
      <c r="G120" s="159">
        <f t="shared" si="17"/>
        <v>2929135.1407807278</v>
      </c>
      <c r="H120" s="163">
        <f t="shared" si="18"/>
        <v>492425.67244686815</v>
      </c>
      <c r="I120" s="253">
        <f t="shared" si="19"/>
        <v>492425.67244686815</v>
      </c>
      <c r="J120" s="158">
        <f t="shared" si="20"/>
        <v>0</v>
      </c>
      <c r="K120" s="158"/>
      <c r="L120" s="334"/>
      <c r="M120" s="158">
        <f t="shared" si="11"/>
        <v>0</v>
      </c>
      <c r="N120" s="334"/>
      <c r="O120" s="158">
        <f t="shared" si="12"/>
        <v>0</v>
      </c>
      <c r="P120" s="158">
        <f t="shared" si="13"/>
        <v>0</v>
      </c>
    </row>
    <row r="121" spans="2:16">
      <c r="B121" s="9" t="str">
        <f t="shared" si="14"/>
        <v/>
      </c>
      <c r="C121" s="153">
        <f>IF(D93="","-",+C120+1)</f>
        <v>2037</v>
      </c>
      <c r="D121" s="154">
        <f>IF(F120+SUM(E$99:E120)=D$92,F120,D$92-SUM(E$99:E120))</f>
        <v>2860825.4622092992</v>
      </c>
      <c r="E121" s="160">
        <f t="shared" si="15"/>
        <v>136619.35714285713</v>
      </c>
      <c r="F121" s="159">
        <f t="shared" si="16"/>
        <v>2724206.1050664419</v>
      </c>
      <c r="G121" s="159">
        <f t="shared" si="17"/>
        <v>2792515.7836378706</v>
      </c>
      <c r="H121" s="163">
        <f t="shared" si="18"/>
        <v>475830.31998687668</v>
      </c>
      <c r="I121" s="253">
        <f t="shared" si="19"/>
        <v>475830.31998687668</v>
      </c>
      <c r="J121" s="158">
        <f t="shared" si="20"/>
        <v>0</v>
      </c>
      <c r="K121" s="158"/>
      <c r="L121" s="334"/>
      <c r="M121" s="158">
        <f t="shared" si="11"/>
        <v>0</v>
      </c>
      <c r="N121" s="334"/>
      <c r="O121" s="158">
        <f t="shared" si="12"/>
        <v>0</v>
      </c>
      <c r="P121" s="158">
        <f t="shared" si="13"/>
        <v>0</v>
      </c>
    </row>
    <row r="122" spans="2:16">
      <c r="B122" s="9" t="str">
        <f t="shared" si="14"/>
        <v/>
      </c>
      <c r="C122" s="153">
        <f>IF(D93="","-",+C121+1)</f>
        <v>2038</v>
      </c>
      <c r="D122" s="154">
        <f>IF(F121+SUM(E$99:E121)=D$92,F121,D$92-SUM(E$99:E121))</f>
        <v>2724206.1050664419</v>
      </c>
      <c r="E122" s="160">
        <f t="shared" si="15"/>
        <v>136619.35714285713</v>
      </c>
      <c r="F122" s="159">
        <f t="shared" si="16"/>
        <v>2587586.7479235847</v>
      </c>
      <c r="G122" s="159">
        <f t="shared" si="17"/>
        <v>2655896.4264950133</v>
      </c>
      <c r="H122" s="163">
        <f t="shared" si="18"/>
        <v>459234.96752688533</v>
      </c>
      <c r="I122" s="253">
        <f t="shared" si="19"/>
        <v>459234.96752688533</v>
      </c>
      <c r="J122" s="158">
        <f t="shared" si="20"/>
        <v>0</v>
      </c>
      <c r="K122" s="158"/>
      <c r="L122" s="334"/>
      <c r="M122" s="158">
        <f t="shared" si="11"/>
        <v>0</v>
      </c>
      <c r="N122" s="334"/>
      <c r="O122" s="158">
        <f t="shared" si="12"/>
        <v>0</v>
      </c>
      <c r="P122" s="158">
        <f t="shared" si="13"/>
        <v>0</v>
      </c>
    </row>
    <row r="123" spans="2:16">
      <c r="B123" s="9" t="str">
        <f t="shared" si="14"/>
        <v/>
      </c>
      <c r="C123" s="153">
        <f>IF(D93="","-",+C122+1)</f>
        <v>2039</v>
      </c>
      <c r="D123" s="154">
        <f>IF(F122+SUM(E$99:E122)=D$92,F122,D$92-SUM(E$99:E122))</f>
        <v>2587586.7479235847</v>
      </c>
      <c r="E123" s="160">
        <f t="shared" si="15"/>
        <v>136619.35714285713</v>
      </c>
      <c r="F123" s="159">
        <f t="shared" si="16"/>
        <v>2450967.3907807274</v>
      </c>
      <c r="G123" s="159">
        <f t="shared" si="17"/>
        <v>2519277.069352156</v>
      </c>
      <c r="H123" s="163">
        <f t="shared" si="18"/>
        <v>442639.61506689386</v>
      </c>
      <c r="I123" s="253">
        <f t="shared" si="19"/>
        <v>442639.61506689386</v>
      </c>
      <c r="J123" s="158">
        <f t="shared" si="20"/>
        <v>0</v>
      </c>
      <c r="K123" s="158"/>
      <c r="L123" s="334"/>
      <c r="M123" s="158">
        <f t="shared" si="11"/>
        <v>0</v>
      </c>
      <c r="N123" s="334"/>
      <c r="O123" s="158">
        <f t="shared" si="12"/>
        <v>0</v>
      </c>
      <c r="P123" s="158">
        <f t="shared" si="13"/>
        <v>0</v>
      </c>
    </row>
    <row r="124" spans="2:16">
      <c r="B124" s="9" t="str">
        <f t="shared" si="14"/>
        <v/>
      </c>
      <c r="C124" s="153">
        <f>IF(D93="","-",+C123+1)</f>
        <v>2040</v>
      </c>
      <c r="D124" s="154">
        <f>IF(F123+SUM(E$99:E123)=D$92,F123,D$92-SUM(E$99:E123))</f>
        <v>2450967.3907807274</v>
      </c>
      <c r="E124" s="160">
        <f t="shared" si="15"/>
        <v>136619.35714285713</v>
      </c>
      <c r="F124" s="159">
        <f t="shared" si="16"/>
        <v>2314348.0336378701</v>
      </c>
      <c r="G124" s="159">
        <f t="shared" si="17"/>
        <v>2382657.7122092987</v>
      </c>
      <c r="H124" s="163">
        <f t="shared" si="18"/>
        <v>426044.26260690251</v>
      </c>
      <c r="I124" s="253">
        <f t="shared" si="19"/>
        <v>426044.26260690251</v>
      </c>
      <c r="J124" s="158">
        <f t="shared" si="20"/>
        <v>0</v>
      </c>
      <c r="K124" s="158"/>
      <c r="L124" s="334"/>
      <c r="M124" s="158">
        <f t="shared" si="11"/>
        <v>0</v>
      </c>
      <c r="N124" s="334"/>
      <c r="O124" s="158">
        <f t="shared" si="12"/>
        <v>0</v>
      </c>
      <c r="P124" s="158">
        <f t="shared" si="13"/>
        <v>0</v>
      </c>
    </row>
    <row r="125" spans="2:16">
      <c r="B125" s="9" t="str">
        <f t="shared" si="14"/>
        <v/>
      </c>
      <c r="C125" s="153">
        <f>IF(D93="","-",+C124+1)</f>
        <v>2041</v>
      </c>
      <c r="D125" s="154">
        <f>IF(F124+SUM(E$99:E124)=D$92,F124,D$92-SUM(E$99:E124))</f>
        <v>2314348.0336378701</v>
      </c>
      <c r="E125" s="160">
        <f t="shared" si="15"/>
        <v>136619.35714285713</v>
      </c>
      <c r="F125" s="159">
        <f t="shared" si="16"/>
        <v>2177728.6764950128</v>
      </c>
      <c r="G125" s="159">
        <f t="shared" si="17"/>
        <v>2246038.3550664415</v>
      </c>
      <c r="H125" s="163">
        <f t="shared" si="18"/>
        <v>409448.91014691105</v>
      </c>
      <c r="I125" s="253">
        <f t="shared" si="19"/>
        <v>409448.91014691105</v>
      </c>
      <c r="J125" s="158">
        <f t="shared" si="20"/>
        <v>0</v>
      </c>
      <c r="K125" s="158"/>
      <c r="L125" s="334"/>
      <c r="M125" s="158">
        <f t="shared" si="11"/>
        <v>0</v>
      </c>
      <c r="N125" s="334"/>
      <c r="O125" s="158">
        <f t="shared" si="12"/>
        <v>0</v>
      </c>
      <c r="P125" s="158">
        <f t="shared" si="13"/>
        <v>0</v>
      </c>
    </row>
    <row r="126" spans="2:16">
      <c r="B126" s="9" t="str">
        <f t="shared" si="14"/>
        <v/>
      </c>
      <c r="C126" s="153">
        <f>IF(D93="","-",+C125+1)</f>
        <v>2042</v>
      </c>
      <c r="D126" s="154">
        <f>IF(F125+SUM(E$99:E125)=D$92,F125,D$92-SUM(E$99:E125))</f>
        <v>2177728.6764950128</v>
      </c>
      <c r="E126" s="160">
        <f t="shared" si="15"/>
        <v>136619.35714285713</v>
      </c>
      <c r="F126" s="159">
        <f t="shared" si="16"/>
        <v>2041109.3193521558</v>
      </c>
      <c r="G126" s="159">
        <f t="shared" si="17"/>
        <v>2109418.9979235842</v>
      </c>
      <c r="H126" s="163">
        <f t="shared" si="18"/>
        <v>392853.55768691958</v>
      </c>
      <c r="I126" s="253">
        <f t="shared" si="19"/>
        <v>392853.55768691958</v>
      </c>
      <c r="J126" s="158">
        <f t="shared" si="20"/>
        <v>0</v>
      </c>
      <c r="K126" s="158"/>
      <c r="L126" s="334"/>
      <c r="M126" s="158">
        <f t="shared" si="11"/>
        <v>0</v>
      </c>
      <c r="N126" s="334"/>
      <c r="O126" s="158">
        <f t="shared" si="12"/>
        <v>0</v>
      </c>
      <c r="P126" s="158">
        <f t="shared" si="13"/>
        <v>0</v>
      </c>
    </row>
    <row r="127" spans="2:16">
      <c r="B127" s="9" t="str">
        <f t="shared" si="14"/>
        <v/>
      </c>
      <c r="C127" s="153">
        <f>IF(D93="","-",+C126+1)</f>
        <v>2043</v>
      </c>
      <c r="D127" s="154">
        <f>IF(F126+SUM(E$99:E126)=D$92,F126,D$92-SUM(E$99:E126))</f>
        <v>2041109.3193521558</v>
      </c>
      <c r="E127" s="160">
        <f t="shared" si="15"/>
        <v>136619.35714285713</v>
      </c>
      <c r="F127" s="159">
        <f t="shared" si="16"/>
        <v>1904489.9622092987</v>
      </c>
      <c r="G127" s="159">
        <f t="shared" si="17"/>
        <v>1972799.6407807274</v>
      </c>
      <c r="H127" s="163">
        <f t="shared" si="18"/>
        <v>376258.20522692823</v>
      </c>
      <c r="I127" s="253">
        <f t="shared" si="19"/>
        <v>376258.20522692823</v>
      </c>
      <c r="J127" s="158">
        <f t="shared" si="20"/>
        <v>0</v>
      </c>
      <c r="K127" s="158"/>
      <c r="L127" s="334"/>
      <c r="M127" s="158">
        <f t="shared" si="11"/>
        <v>0</v>
      </c>
      <c r="N127" s="334"/>
      <c r="O127" s="158">
        <f t="shared" si="12"/>
        <v>0</v>
      </c>
      <c r="P127" s="158">
        <f t="shared" si="13"/>
        <v>0</v>
      </c>
    </row>
    <row r="128" spans="2:16">
      <c r="B128" s="9" t="str">
        <f t="shared" si="14"/>
        <v/>
      </c>
      <c r="C128" s="153">
        <f>IF(D93="","-",+C127+1)</f>
        <v>2044</v>
      </c>
      <c r="D128" s="154">
        <f>IF(F127+SUM(E$99:E127)=D$92,F127,D$92-SUM(E$99:E127))</f>
        <v>1904489.9622092987</v>
      </c>
      <c r="E128" s="160">
        <f t="shared" si="15"/>
        <v>136619.35714285713</v>
      </c>
      <c r="F128" s="159">
        <f t="shared" si="16"/>
        <v>1767870.6050664417</v>
      </c>
      <c r="G128" s="159">
        <f t="shared" si="17"/>
        <v>1836180.2836378701</v>
      </c>
      <c r="H128" s="163">
        <f t="shared" si="18"/>
        <v>359662.85276693688</v>
      </c>
      <c r="I128" s="253">
        <f t="shared" si="19"/>
        <v>359662.85276693688</v>
      </c>
      <c r="J128" s="158">
        <f t="shared" si="20"/>
        <v>0</v>
      </c>
      <c r="K128" s="158"/>
      <c r="L128" s="334"/>
      <c r="M128" s="158">
        <f t="shared" si="11"/>
        <v>0</v>
      </c>
      <c r="N128" s="334"/>
      <c r="O128" s="158">
        <f t="shared" si="12"/>
        <v>0</v>
      </c>
      <c r="P128" s="158">
        <f t="shared" si="13"/>
        <v>0</v>
      </c>
    </row>
    <row r="129" spans="2:16">
      <c r="B129" s="9" t="str">
        <f t="shared" si="14"/>
        <v/>
      </c>
      <c r="C129" s="153">
        <f>IF(D93="","-",+C128+1)</f>
        <v>2045</v>
      </c>
      <c r="D129" s="154">
        <f>IF(F128+SUM(E$99:E128)=D$92,F128,D$92-SUM(E$99:E128))</f>
        <v>1767870.6050664417</v>
      </c>
      <c r="E129" s="160">
        <f t="shared" si="15"/>
        <v>136619.35714285713</v>
      </c>
      <c r="F129" s="159">
        <f t="shared" si="16"/>
        <v>1631251.2479235847</v>
      </c>
      <c r="G129" s="159">
        <f t="shared" si="17"/>
        <v>1699560.9264950133</v>
      </c>
      <c r="H129" s="163">
        <f t="shared" si="18"/>
        <v>343067.50030694547</v>
      </c>
      <c r="I129" s="253">
        <f t="shared" si="19"/>
        <v>343067.50030694547</v>
      </c>
      <c r="J129" s="158">
        <f t="shared" si="20"/>
        <v>0</v>
      </c>
      <c r="K129" s="158"/>
      <c r="L129" s="334"/>
      <c r="M129" s="158">
        <f t="shared" si="11"/>
        <v>0</v>
      </c>
      <c r="N129" s="334"/>
      <c r="O129" s="158">
        <f t="shared" si="12"/>
        <v>0</v>
      </c>
      <c r="P129" s="158">
        <f t="shared" si="13"/>
        <v>0</v>
      </c>
    </row>
    <row r="130" spans="2:16">
      <c r="B130" s="9" t="str">
        <f t="shared" si="14"/>
        <v/>
      </c>
      <c r="C130" s="153">
        <f>IF(D93="","-",+C129+1)</f>
        <v>2046</v>
      </c>
      <c r="D130" s="154">
        <f>IF(F129+SUM(E$99:E129)=D$92,F129,D$92-SUM(E$99:E129))</f>
        <v>1631251.2479235847</v>
      </c>
      <c r="E130" s="160">
        <f t="shared" si="15"/>
        <v>136619.35714285713</v>
      </c>
      <c r="F130" s="159">
        <f t="shared" si="16"/>
        <v>1494631.8907807276</v>
      </c>
      <c r="G130" s="159">
        <f t="shared" si="17"/>
        <v>1562941.569352156</v>
      </c>
      <c r="H130" s="163">
        <f t="shared" si="18"/>
        <v>326472.14784695406</v>
      </c>
      <c r="I130" s="253">
        <f t="shared" si="19"/>
        <v>326472.14784695406</v>
      </c>
      <c r="J130" s="158">
        <f t="shared" si="20"/>
        <v>0</v>
      </c>
      <c r="K130" s="158"/>
      <c r="L130" s="334"/>
      <c r="M130" s="158">
        <f t="shared" si="11"/>
        <v>0</v>
      </c>
      <c r="N130" s="334"/>
      <c r="O130" s="158">
        <f t="shared" si="12"/>
        <v>0</v>
      </c>
      <c r="P130" s="158">
        <f t="shared" si="13"/>
        <v>0</v>
      </c>
    </row>
    <row r="131" spans="2:16">
      <c r="B131" s="9" t="str">
        <f t="shared" si="14"/>
        <v/>
      </c>
      <c r="C131" s="153">
        <f>IF(D93="","-",+C130+1)</f>
        <v>2047</v>
      </c>
      <c r="D131" s="154">
        <f>IF(F130+SUM(E$99:E130)=D$92,F130,D$92-SUM(E$99:E130))</f>
        <v>1494631.8907807276</v>
      </c>
      <c r="E131" s="160">
        <f t="shared" si="15"/>
        <v>136619.35714285713</v>
      </c>
      <c r="F131" s="159">
        <f t="shared" si="16"/>
        <v>1358012.5336378706</v>
      </c>
      <c r="G131" s="159">
        <f t="shared" si="17"/>
        <v>1426322.2122092992</v>
      </c>
      <c r="H131" s="163">
        <f t="shared" si="18"/>
        <v>309876.79538696271</v>
      </c>
      <c r="I131" s="253">
        <f t="shared" si="19"/>
        <v>309876.79538696271</v>
      </c>
      <c r="J131" s="158">
        <f t="shared" si="20"/>
        <v>0</v>
      </c>
      <c r="K131" s="158"/>
      <c r="L131" s="334"/>
      <c r="M131" s="158">
        <f t="shared" ref="M131:M154" si="21">IF(L541&lt;&gt;0,+H541-L541,0)</f>
        <v>0</v>
      </c>
      <c r="N131" s="334"/>
      <c r="O131" s="158">
        <f t="shared" ref="O131:O154" si="22">IF(N541&lt;&gt;0,+I541-N541,0)</f>
        <v>0</v>
      </c>
      <c r="P131" s="158">
        <f t="shared" ref="P131:P154" si="23">+O541-M541</f>
        <v>0</v>
      </c>
    </row>
    <row r="132" spans="2:16">
      <c r="B132" s="9" t="str">
        <f t="shared" si="14"/>
        <v/>
      </c>
      <c r="C132" s="153">
        <f>IF(D93="","-",+C131+1)</f>
        <v>2048</v>
      </c>
      <c r="D132" s="154">
        <f>IF(F131+SUM(E$99:E131)=D$92,F131,D$92-SUM(E$99:E131))</f>
        <v>1358012.5336378706</v>
      </c>
      <c r="E132" s="160">
        <f t="shared" si="15"/>
        <v>136619.35714285713</v>
      </c>
      <c r="F132" s="159">
        <f t="shared" si="16"/>
        <v>1221393.1764950135</v>
      </c>
      <c r="G132" s="159">
        <f t="shared" si="17"/>
        <v>1289702.8550664419</v>
      </c>
      <c r="H132" s="163">
        <f t="shared" si="18"/>
        <v>293281.44292697124</v>
      </c>
      <c r="I132" s="253">
        <f t="shared" si="19"/>
        <v>293281.44292697124</v>
      </c>
      <c r="J132" s="158">
        <f t="shared" si="20"/>
        <v>0</v>
      </c>
      <c r="K132" s="158"/>
      <c r="L132" s="334"/>
      <c r="M132" s="158">
        <f t="shared" si="21"/>
        <v>0</v>
      </c>
      <c r="N132" s="334"/>
      <c r="O132" s="158">
        <f t="shared" si="22"/>
        <v>0</v>
      </c>
      <c r="P132" s="158">
        <f t="shared" si="23"/>
        <v>0</v>
      </c>
    </row>
    <row r="133" spans="2:16">
      <c r="B133" s="9" t="str">
        <f t="shared" si="14"/>
        <v/>
      </c>
      <c r="C133" s="153">
        <f>IF(D93="","-",+C132+1)</f>
        <v>2049</v>
      </c>
      <c r="D133" s="154">
        <f>IF(F132+SUM(E$99:E132)=D$92,F132,D$92-SUM(E$99:E132))</f>
        <v>1221393.1764950135</v>
      </c>
      <c r="E133" s="160">
        <f t="shared" si="15"/>
        <v>136619.35714285713</v>
      </c>
      <c r="F133" s="159">
        <f t="shared" si="16"/>
        <v>1084773.8193521565</v>
      </c>
      <c r="G133" s="159">
        <f t="shared" si="17"/>
        <v>1153083.4979235851</v>
      </c>
      <c r="H133" s="163">
        <f t="shared" si="18"/>
        <v>276686.09046697989</v>
      </c>
      <c r="I133" s="253">
        <f t="shared" si="19"/>
        <v>276686.09046697989</v>
      </c>
      <c r="J133" s="158">
        <f t="shared" si="20"/>
        <v>0</v>
      </c>
      <c r="K133" s="158"/>
      <c r="L133" s="334"/>
      <c r="M133" s="158">
        <f t="shared" si="21"/>
        <v>0</v>
      </c>
      <c r="N133" s="334"/>
      <c r="O133" s="158">
        <f t="shared" si="22"/>
        <v>0</v>
      </c>
      <c r="P133" s="158">
        <f t="shared" si="23"/>
        <v>0</v>
      </c>
    </row>
    <row r="134" spans="2:16">
      <c r="B134" s="9" t="str">
        <f t="shared" si="14"/>
        <v/>
      </c>
      <c r="C134" s="153">
        <f>IF(D93="","-",+C133+1)</f>
        <v>2050</v>
      </c>
      <c r="D134" s="154">
        <f>IF(F133+SUM(E$99:E133)=D$92,F133,D$92-SUM(E$99:E133))</f>
        <v>1084773.8193521565</v>
      </c>
      <c r="E134" s="160">
        <f t="shared" si="15"/>
        <v>136619.35714285713</v>
      </c>
      <c r="F134" s="159">
        <f t="shared" si="16"/>
        <v>948154.46220929932</v>
      </c>
      <c r="G134" s="159">
        <f t="shared" si="17"/>
        <v>1016464.1407807278</v>
      </c>
      <c r="H134" s="163">
        <f t="shared" si="18"/>
        <v>260090.73800698848</v>
      </c>
      <c r="I134" s="253">
        <f t="shared" si="19"/>
        <v>260090.73800698848</v>
      </c>
      <c r="J134" s="158">
        <f t="shared" si="20"/>
        <v>0</v>
      </c>
      <c r="K134" s="158"/>
      <c r="L134" s="334"/>
      <c r="M134" s="158">
        <f t="shared" si="21"/>
        <v>0</v>
      </c>
      <c r="N134" s="334"/>
      <c r="O134" s="158">
        <f t="shared" si="22"/>
        <v>0</v>
      </c>
      <c r="P134" s="158">
        <f t="shared" si="23"/>
        <v>0</v>
      </c>
    </row>
    <row r="135" spans="2:16">
      <c r="B135" s="9" t="str">
        <f t="shared" si="14"/>
        <v/>
      </c>
      <c r="C135" s="153">
        <f>IF(D93="","-",+C134+1)</f>
        <v>2051</v>
      </c>
      <c r="D135" s="154">
        <f>IF(F134+SUM(E$99:E134)=D$92,F134,D$92-SUM(E$99:E134))</f>
        <v>948154.46220929932</v>
      </c>
      <c r="E135" s="160">
        <f t="shared" si="15"/>
        <v>136619.35714285713</v>
      </c>
      <c r="F135" s="159">
        <f t="shared" si="16"/>
        <v>811535.10506644216</v>
      </c>
      <c r="G135" s="159">
        <f t="shared" si="17"/>
        <v>879844.7836378708</v>
      </c>
      <c r="H135" s="163">
        <f t="shared" si="18"/>
        <v>243495.3855469971</v>
      </c>
      <c r="I135" s="253">
        <f t="shared" si="19"/>
        <v>243495.3855469971</v>
      </c>
      <c r="J135" s="158">
        <f t="shared" si="20"/>
        <v>0</v>
      </c>
      <c r="K135" s="158"/>
      <c r="L135" s="334"/>
      <c r="M135" s="158">
        <f t="shared" si="21"/>
        <v>0</v>
      </c>
      <c r="N135" s="334"/>
      <c r="O135" s="158">
        <f t="shared" si="22"/>
        <v>0</v>
      </c>
      <c r="P135" s="158">
        <f t="shared" si="23"/>
        <v>0</v>
      </c>
    </row>
    <row r="136" spans="2:16">
      <c r="B136" s="9" t="str">
        <f t="shared" si="14"/>
        <v/>
      </c>
      <c r="C136" s="153">
        <f>IF(D93="","-",+C135+1)</f>
        <v>2052</v>
      </c>
      <c r="D136" s="154">
        <f>IF(F135+SUM(E$99:E135)=D$92,F135,D$92-SUM(E$99:E135))</f>
        <v>811535.10506644216</v>
      </c>
      <c r="E136" s="160">
        <f t="shared" si="15"/>
        <v>136619.35714285713</v>
      </c>
      <c r="F136" s="159">
        <f t="shared" si="16"/>
        <v>674915.747923585</v>
      </c>
      <c r="G136" s="159">
        <f t="shared" si="17"/>
        <v>743225.42649501353</v>
      </c>
      <c r="H136" s="163">
        <f t="shared" si="18"/>
        <v>226900.03308700566</v>
      </c>
      <c r="I136" s="253">
        <f t="shared" si="19"/>
        <v>226900.03308700566</v>
      </c>
      <c r="J136" s="158">
        <f t="shared" si="20"/>
        <v>0</v>
      </c>
      <c r="K136" s="158"/>
      <c r="L136" s="334"/>
      <c r="M136" s="158">
        <f t="shared" si="21"/>
        <v>0</v>
      </c>
      <c r="N136" s="334"/>
      <c r="O136" s="158">
        <f t="shared" si="22"/>
        <v>0</v>
      </c>
      <c r="P136" s="158">
        <f t="shared" si="23"/>
        <v>0</v>
      </c>
    </row>
    <row r="137" spans="2:16">
      <c r="B137" s="9" t="str">
        <f t="shared" si="14"/>
        <v/>
      </c>
      <c r="C137" s="153">
        <f>IF(D93="","-",+C136+1)</f>
        <v>2053</v>
      </c>
      <c r="D137" s="154">
        <f>IF(F136+SUM(E$99:E136)=D$92,F136,D$92-SUM(E$99:E136))</f>
        <v>674915.747923585</v>
      </c>
      <c r="E137" s="160">
        <f t="shared" si="15"/>
        <v>136619.35714285713</v>
      </c>
      <c r="F137" s="159">
        <f t="shared" si="16"/>
        <v>538296.39078072784</v>
      </c>
      <c r="G137" s="159">
        <f t="shared" si="17"/>
        <v>606606.06935215648</v>
      </c>
      <c r="H137" s="163">
        <f t="shared" si="18"/>
        <v>210304.68062701428</v>
      </c>
      <c r="I137" s="253">
        <f t="shared" si="19"/>
        <v>210304.68062701428</v>
      </c>
      <c r="J137" s="158">
        <f t="shared" si="20"/>
        <v>0</v>
      </c>
      <c r="K137" s="158"/>
      <c r="L137" s="334"/>
      <c r="M137" s="158">
        <f t="shared" si="21"/>
        <v>0</v>
      </c>
      <c r="N137" s="334"/>
      <c r="O137" s="158">
        <f t="shared" si="22"/>
        <v>0</v>
      </c>
      <c r="P137" s="158">
        <f t="shared" si="23"/>
        <v>0</v>
      </c>
    </row>
    <row r="138" spans="2:16">
      <c r="B138" s="9" t="str">
        <f t="shared" si="14"/>
        <v/>
      </c>
      <c r="C138" s="153">
        <f>IF(D93="","-",+C137+1)</f>
        <v>2054</v>
      </c>
      <c r="D138" s="154">
        <f>IF(F137+SUM(E$99:E137)=D$92,F137,D$92-SUM(E$99:E137))</f>
        <v>538296.39078072784</v>
      </c>
      <c r="E138" s="160">
        <f t="shared" si="15"/>
        <v>136619.35714285713</v>
      </c>
      <c r="F138" s="159">
        <f t="shared" si="16"/>
        <v>401677.03363787069</v>
      </c>
      <c r="G138" s="159">
        <f t="shared" si="17"/>
        <v>469986.71220929926</v>
      </c>
      <c r="H138" s="163">
        <f t="shared" si="18"/>
        <v>193709.32816702288</v>
      </c>
      <c r="I138" s="253">
        <f t="shared" si="19"/>
        <v>193709.32816702288</v>
      </c>
      <c r="J138" s="158">
        <f t="shared" si="20"/>
        <v>0</v>
      </c>
      <c r="K138" s="158"/>
      <c r="L138" s="334"/>
      <c r="M138" s="158">
        <f t="shared" si="21"/>
        <v>0</v>
      </c>
      <c r="N138" s="334"/>
      <c r="O138" s="158">
        <f t="shared" si="22"/>
        <v>0</v>
      </c>
      <c r="P138" s="158">
        <f t="shared" si="23"/>
        <v>0</v>
      </c>
    </row>
    <row r="139" spans="2:16">
      <c r="B139" s="9" t="str">
        <f t="shared" si="14"/>
        <v/>
      </c>
      <c r="C139" s="153">
        <f>IF(D93="","-",+C138+1)</f>
        <v>2055</v>
      </c>
      <c r="D139" s="154">
        <f>IF(F138+SUM(E$99:E138)=D$92,F138,D$92-SUM(E$99:E138))</f>
        <v>401677.03363787069</v>
      </c>
      <c r="E139" s="160">
        <f t="shared" si="15"/>
        <v>136619.35714285713</v>
      </c>
      <c r="F139" s="159">
        <f t="shared" si="16"/>
        <v>265057.67649501353</v>
      </c>
      <c r="G139" s="159">
        <f t="shared" si="17"/>
        <v>333367.35506644211</v>
      </c>
      <c r="H139" s="163">
        <f t="shared" si="18"/>
        <v>177113.97570703147</v>
      </c>
      <c r="I139" s="253">
        <f t="shared" si="19"/>
        <v>177113.97570703147</v>
      </c>
      <c r="J139" s="158">
        <f t="shared" si="20"/>
        <v>0</v>
      </c>
      <c r="K139" s="158"/>
      <c r="L139" s="334"/>
      <c r="M139" s="158">
        <f t="shared" si="21"/>
        <v>0</v>
      </c>
      <c r="N139" s="334"/>
      <c r="O139" s="158">
        <f t="shared" si="22"/>
        <v>0</v>
      </c>
      <c r="P139" s="158">
        <f t="shared" si="23"/>
        <v>0</v>
      </c>
    </row>
    <row r="140" spans="2:16">
      <c r="B140" s="9" t="str">
        <f t="shared" si="14"/>
        <v/>
      </c>
      <c r="C140" s="153">
        <f>IF(D93="","-",+C139+1)</f>
        <v>2056</v>
      </c>
      <c r="D140" s="154">
        <f>IF(F139+SUM(E$99:E139)=D$92,F139,D$92-SUM(E$99:E139))</f>
        <v>265057.67649501353</v>
      </c>
      <c r="E140" s="160">
        <f t="shared" si="15"/>
        <v>136619.35714285713</v>
      </c>
      <c r="F140" s="159">
        <f t="shared" si="16"/>
        <v>128438.3193521564</v>
      </c>
      <c r="G140" s="159">
        <f t="shared" si="17"/>
        <v>196747.99792358495</v>
      </c>
      <c r="H140" s="163">
        <f t="shared" si="18"/>
        <v>160518.62324704006</v>
      </c>
      <c r="I140" s="253">
        <f t="shared" si="19"/>
        <v>160518.62324704006</v>
      </c>
      <c r="J140" s="158">
        <f t="shared" si="20"/>
        <v>0</v>
      </c>
      <c r="K140" s="158"/>
      <c r="L140" s="334"/>
      <c r="M140" s="158">
        <f t="shared" si="21"/>
        <v>0</v>
      </c>
      <c r="N140" s="334"/>
      <c r="O140" s="158">
        <f t="shared" si="22"/>
        <v>0</v>
      </c>
      <c r="P140" s="158">
        <f t="shared" si="23"/>
        <v>0</v>
      </c>
    </row>
    <row r="141" spans="2:16">
      <c r="B141" s="9" t="str">
        <f t="shared" si="14"/>
        <v/>
      </c>
      <c r="C141" s="153">
        <f>IF(D93="","-",+C140+1)</f>
        <v>2057</v>
      </c>
      <c r="D141" s="154">
        <f>IF(F140+SUM(E$99:E140)=D$92,F140,D$92-SUM(E$99:E140))</f>
        <v>128438.3193521564</v>
      </c>
      <c r="E141" s="160">
        <f t="shared" si="15"/>
        <v>128438.3193521564</v>
      </c>
      <c r="F141" s="159">
        <f t="shared" si="16"/>
        <v>0</v>
      </c>
      <c r="G141" s="159">
        <f t="shared" si="17"/>
        <v>64219.159676078198</v>
      </c>
      <c r="H141" s="163">
        <f t="shared" si="18"/>
        <v>136239.11428925002</v>
      </c>
      <c r="I141" s="253">
        <f t="shared" si="19"/>
        <v>136239.11428925002</v>
      </c>
      <c r="J141" s="158">
        <f t="shared" si="20"/>
        <v>0</v>
      </c>
      <c r="K141" s="158"/>
      <c r="L141" s="334"/>
      <c r="M141" s="158">
        <f t="shared" si="21"/>
        <v>0</v>
      </c>
      <c r="N141" s="334"/>
      <c r="O141" s="158">
        <f t="shared" si="22"/>
        <v>0</v>
      </c>
      <c r="P141" s="158">
        <f t="shared" si="23"/>
        <v>0</v>
      </c>
    </row>
    <row r="142" spans="2:16">
      <c r="B142" s="9" t="str">
        <f t="shared" si="14"/>
        <v/>
      </c>
      <c r="C142" s="153">
        <f>IF(D93="","-",+C141+1)</f>
        <v>2058</v>
      </c>
      <c r="D142" s="154">
        <f>IF(F141+SUM(E$99:E141)=D$92,F141,D$92-SUM(E$99:E141))</f>
        <v>0</v>
      </c>
      <c r="E142" s="160">
        <f t="shared" si="15"/>
        <v>0</v>
      </c>
      <c r="F142" s="159">
        <f t="shared" si="16"/>
        <v>0</v>
      </c>
      <c r="G142" s="159">
        <f t="shared" si="17"/>
        <v>0</v>
      </c>
      <c r="H142" s="163">
        <f t="shared" si="18"/>
        <v>0</v>
      </c>
      <c r="I142" s="253">
        <f t="shared" si="19"/>
        <v>0</v>
      </c>
      <c r="J142" s="158">
        <f t="shared" si="20"/>
        <v>0</v>
      </c>
      <c r="K142" s="158"/>
      <c r="L142" s="334"/>
      <c r="M142" s="158">
        <f t="shared" si="21"/>
        <v>0</v>
      </c>
      <c r="N142" s="334"/>
      <c r="O142" s="158">
        <f t="shared" si="22"/>
        <v>0</v>
      </c>
      <c r="P142" s="158">
        <f t="shared" si="23"/>
        <v>0</v>
      </c>
    </row>
    <row r="143" spans="2:16">
      <c r="B143" s="9" t="str">
        <f t="shared" si="14"/>
        <v/>
      </c>
      <c r="C143" s="153">
        <f>IF(D93="","-",+C142+1)</f>
        <v>2059</v>
      </c>
      <c r="D143" s="154">
        <f>IF(F142+SUM(E$99:E142)=D$92,F142,D$92-SUM(E$99:E142))</f>
        <v>0</v>
      </c>
      <c r="E143" s="160">
        <f t="shared" si="15"/>
        <v>0</v>
      </c>
      <c r="F143" s="159">
        <f t="shared" si="16"/>
        <v>0</v>
      </c>
      <c r="G143" s="159">
        <f t="shared" si="17"/>
        <v>0</v>
      </c>
      <c r="H143" s="163">
        <f t="shared" si="18"/>
        <v>0</v>
      </c>
      <c r="I143" s="253">
        <f t="shared" si="19"/>
        <v>0</v>
      </c>
      <c r="J143" s="158">
        <f t="shared" si="20"/>
        <v>0</v>
      </c>
      <c r="K143" s="158"/>
      <c r="L143" s="334"/>
      <c r="M143" s="158">
        <f t="shared" si="21"/>
        <v>0</v>
      </c>
      <c r="N143" s="334"/>
      <c r="O143" s="158">
        <f t="shared" si="22"/>
        <v>0</v>
      </c>
      <c r="P143" s="158">
        <f t="shared" si="23"/>
        <v>0</v>
      </c>
    </row>
    <row r="144" spans="2:16">
      <c r="B144" s="9" t="str">
        <f t="shared" si="14"/>
        <v/>
      </c>
      <c r="C144" s="153">
        <f>IF(D93="","-",+C143+1)</f>
        <v>2060</v>
      </c>
      <c r="D144" s="154">
        <f>IF(F143+SUM(E$99:E143)=D$92,F143,D$92-SUM(E$99:E143))</f>
        <v>0</v>
      </c>
      <c r="E144" s="160">
        <f t="shared" si="15"/>
        <v>0</v>
      </c>
      <c r="F144" s="159">
        <f t="shared" si="16"/>
        <v>0</v>
      </c>
      <c r="G144" s="159">
        <f t="shared" si="17"/>
        <v>0</v>
      </c>
      <c r="H144" s="163">
        <f t="shared" si="18"/>
        <v>0</v>
      </c>
      <c r="I144" s="253">
        <f t="shared" si="19"/>
        <v>0</v>
      </c>
      <c r="J144" s="158">
        <f t="shared" si="20"/>
        <v>0</v>
      </c>
      <c r="K144" s="158"/>
      <c r="L144" s="334"/>
      <c r="M144" s="158">
        <f t="shared" si="21"/>
        <v>0</v>
      </c>
      <c r="N144" s="334"/>
      <c r="O144" s="158">
        <f t="shared" si="22"/>
        <v>0</v>
      </c>
      <c r="P144" s="158">
        <f t="shared" si="23"/>
        <v>0</v>
      </c>
    </row>
    <row r="145" spans="2:16">
      <c r="B145" s="9" t="str">
        <f t="shared" si="14"/>
        <v/>
      </c>
      <c r="C145" s="153">
        <f>IF(D93="","-",+C144+1)</f>
        <v>2061</v>
      </c>
      <c r="D145" s="154">
        <f>IF(F144+SUM(E$99:E144)=D$92,F144,D$92-SUM(E$99:E144))</f>
        <v>0</v>
      </c>
      <c r="E145" s="160">
        <f t="shared" si="15"/>
        <v>0</v>
      </c>
      <c r="F145" s="159">
        <f t="shared" si="16"/>
        <v>0</v>
      </c>
      <c r="G145" s="159">
        <f t="shared" si="17"/>
        <v>0</v>
      </c>
      <c r="H145" s="163">
        <f t="shared" si="18"/>
        <v>0</v>
      </c>
      <c r="I145" s="253">
        <f t="shared" si="19"/>
        <v>0</v>
      </c>
      <c r="J145" s="158">
        <f t="shared" si="20"/>
        <v>0</v>
      </c>
      <c r="K145" s="158"/>
      <c r="L145" s="334"/>
      <c r="M145" s="158">
        <f t="shared" si="21"/>
        <v>0</v>
      </c>
      <c r="N145" s="334"/>
      <c r="O145" s="158">
        <f t="shared" si="22"/>
        <v>0</v>
      </c>
      <c r="P145" s="158">
        <f t="shared" si="23"/>
        <v>0</v>
      </c>
    </row>
    <row r="146" spans="2:16">
      <c r="B146" s="9" t="str">
        <f t="shared" si="14"/>
        <v/>
      </c>
      <c r="C146" s="153">
        <f>IF(D93="","-",+C145+1)</f>
        <v>2062</v>
      </c>
      <c r="D146" s="154">
        <f>IF(F145+SUM(E$99:E145)=D$92,F145,D$92-SUM(E$99:E145))</f>
        <v>0</v>
      </c>
      <c r="E146" s="160">
        <f t="shared" si="15"/>
        <v>0</v>
      </c>
      <c r="F146" s="159">
        <f t="shared" si="16"/>
        <v>0</v>
      </c>
      <c r="G146" s="159">
        <f t="shared" si="17"/>
        <v>0</v>
      </c>
      <c r="H146" s="163">
        <f t="shared" si="18"/>
        <v>0</v>
      </c>
      <c r="I146" s="253">
        <f t="shared" si="19"/>
        <v>0</v>
      </c>
      <c r="J146" s="158">
        <f t="shared" si="20"/>
        <v>0</v>
      </c>
      <c r="K146" s="158"/>
      <c r="L146" s="334"/>
      <c r="M146" s="158">
        <f t="shared" si="21"/>
        <v>0</v>
      </c>
      <c r="N146" s="334"/>
      <c r="O146" s="158">
        <f t="shared" si="22"/>
        <v>0</v>
      </c>
      <c r="P146" s="158">
        <f t="shared" si="23"/>
        <v>0</v>
      </c>
    </row>
    <row r="147" spans="2:16">
      <c r="B147" s="9" t="str">
        <f t="shared" si="14"/>
        <v/>
      </c>
      <c r="C147" s="153">
        <f>IF(D93="","-",+C146+1)</f>
        <v>2063</v>
      </c>
      <c r="D147" s="154">
        <f>IF(F146+SUM(E$99:E146)=D$92,F146,D$92-SUM(E$99:E146))</f>
        <v>0</v>
      </c>
      <c r="E147" s="160">
        <f t="shared" si="15"/>
        <v>0</v>
      </c>
      <c r="F147" s="159">
        <f t="shared" si="16"/>
        <v>0</v>
      </c>
      <c r="G147" s="159">
        <f t="shared" si="17"/>
        <v>0</v>
      </c>
      <c r="H147" s="163">
        <f t="shared" si="18"/>
        <v>0</v>
      </c>
      <c r="I147" s="253">
        <f t="shared" si="19"/>
        <v>0</v>
      </c>
      <c r="J147" s="158">
        <f t="shared" si="20"/>
        <v>0</v>
      </c>
      <c r="K147" s="158"/>
      <c r="L147" s="334"/>
      <c r="M147" s="158">
        <f t="shared" si="21"/>
        <v>0</v>
      </c>
      <c r="N147" s="334"/>
      <c r="O147" s="158">
        <f t="shared" si="22"/>
        <v>0</v>
      </c>
      <c r="P147" s="158">
        <f t="shared" si="23"/>
        <v>0</v>
      </c>
    </row>
    <row r="148" spans="2:16">
      <c r="B148" s="9" t="str">
        <f t="shared" si="14"/>
        <v/>
      </c>
      <c r="C148" s="153">
        <f>IF(D93="","-",+C147+1)</f>
        <v>2064</v>
      </c>
      <c r="D148" s="154">
        <f>IF(F147+SUM(E$99:E147)=D$92,F147,D$92-SUM(E$99:E147))</f>
        <v>0</v>
      </c>
      <c r="E148" s="160">
        <f t="shared" si="15"/>
        <v>0</v>
      </c>
      <c r="F148" s="159">
        <f t="shared" si="16"/>
        <v>0</v>
      </c>
      <c r="G148" s="159">
        <f t="shared" si="17"/>
        <v>0</v>
      </c>
      <c r="H148" s="163">
        <f t="shared" si="18"/>
        <v>0</v>
      </c>
      <c r="I148" s="253">
        <f t="shared" si="19"/>
        <v>0</v>
      </c>
      <c r="J148" s="158">
        <f t="shared" si="20"/>
        <v>0</v>
      </c>
      <c r="K148" s="158"/>
      <c r="L148" s="334"/>
      <c r="M148" s="158">
        <f t="shared" si="21"/>
        <v>0</v>
      </c>
      <c r="N148" s="334"/>
      <c r="O148" s="158">
        <f t="shared" si="22"/>
        <v>0</v>
      </c>
      <c r="P148" s="158">
        <f t="shared" si="23"/>
        <v>0</v>
      </c>
    </row>
    <row r="149" spans="2:16">
      <c r="B149" s="9" t="str">
        <f t="shared" si="14"/>
        <v/>
      </c>
      <c r="C149" s="153">
        <f>IF(D93="","-",+C148+1)</f>
        <v>2065</v>
      </c>
      <c r="D149" s="154">
        <f>IF(F148+SUM(E$99:E148)=D$92,F148,D$92-SUM(E$99:E148))</f>
        <v>0</v>
      </c>
      <c r="E149" s="160">
        <f t="shared" si="15"/>
        <v>0</v>
      </c>
      <c r="F149" s="159">
        <f t="shared" si="16"/>
        <v>0</v>
      </c>
      <c r="G149" s="159">
        <f t="shared" si="17"/>
        <v>0</v>
      </c>
      <c r="H149" s="163">
        <f t="shared" si="18"/>
        <v>0</v>
      </c>
      <c r="I149" s="253">
        <f t="shared" si="19"/>
        <v>0</v>
      </c>
      <c r="J149" s="158">
        <f t="shared" si="20"/>
        <v>0</v>
      </c>
      <c r="K149" s="158"/>
      <c r="L149" s="334"/>
      <c r="M149" s="158">
        <f t="shared" si="21"/>
        <v>0</v>
      </c>
      <c r="N149" s="334"/>
      <c r="O149" s="158">
        <f t="shared" si="22"/>
        <v>0</v>
      </c>
      <c r="P149" s="158">
        <f t="shared" si="23"/>
        <v>0</v>
      </c>
    </row>
    <row r="150" spans="2:16">
      <c r="B150" s="9" t="str">
        <f t="shared" si="14"/>
        <v/>
      </c>
      <c r="C150" s="153">
        <f>IF(D93="","-",+C149+1)</f>
        <v>2066</v>
      </c>
      <c r="D150" s="154">
        <f>IF(F149+SUM(E$99:E149)=D$92,F149,D$92-SUM(E$99:E149))</f>
        <v>0</v>
      </c>
      <c r="E150" s="160">
        <f t="shared" si="15"/>
        <v>0</v>
      </c>
      <c r="F150" s="159">
        <f t="shared" si="16"/>
        <v>0</v>
      </c>
      <c r="G150" s="159">
        <f t="shared" si="17"/>
        <v>0</v>
      </c>
      <c r="H150" s="163">
        <f t="shared" si="18"/>
        <v>0</v>
      </c>
      <c r="I150" s="253">
        <f t="shared" si="19"/>
        <v>0</v>
      </c>
      <c r="J150" s="158">
        <f t="shared" si="20"/>
        <v>0</v>
      </c>
      <c r="K150" s="158"/>
      <c r="L150" s="334"/>
      <c r="M150" s="158">
        <f t="shared" si="21"/>
        <v>0</v>
      </c>
      <c r="N150" s="334"/>
      <c r="O150" s="158">
        <f t="shared" si="22"/>
        <v>0</v>
      </c>
      <c r="P150" s="158">
        <f t="shared" si="23"/>
        <v>0</v>
      </c>
    </row>
    <row r="151" spans="2:16">
      <c r="B151" s="9" t="str">
        <f t="shared" si="14"/>
        <v/>
      </c>
      <c r="C151" s="153">
        <f>IF(D93="","-",+C150+1)</f>
        <v>2067</v>
      </c>
      <c r="D151" s="154">
        <f>IF(F150+SUM(E$99:E150)=D$92,F150,D$92-SUM(E$99:E150))</f>
        <v>0</v>
      </c>
      <c r="E151" s="160">
        <f t="shared" si="15"/>
        <v>0</v>
      </c>
      <c r="F151" s="159">
        <f t="shared" si="16"/>
        <v>0</v>
      </c>
      <c r="G151" s="159">
        <f t="shared" si="17"/>
        <v>0</v>
      </c>
      <c r="H151" s="163">
        <f t="shared" si="18"/>
        <v>0</v>
      </c>
      <c r="I151" s="253">
        <f t="shared" si="19"/>
        <v>0</v>
      </c>
      <c r="J151" s="158">
        <f t="shared" si="20"/>
        <v>0</v>
      </c>
      <c r="K151" s="158"/>
      <c r="L151" s="334"/>
      <c r="M151" s="158">
        <f t="shared" si="21"/>
        <v>0</v>
      </c>
      <c r="N151" s="334"/>
      <c r="O151" s="158">
        <f t="shared" si="22"/>
        <v>0</v>
      </c>
      <c r="P151" s="158">
        <f t="shared" si="23"/>
        <v>0</v>
      </c>
    </row>
    <row r="152" spans="2:16">
      <c r="B152" s="9" t="str">
        <f t="shared" si="14"/>
        <v/>
      </c>
      <c r="C152" s="153">
        <f>IF(D93="","-",+C151+1)</f>
        <v>2068</v>
      </c>
      <c r="D152" s="154">
        <f>IF(F151+SUM(E$99:E151)=D$92,F151,D$92-SUM(E$99:E151))</f>
        <v>0</v>
      </c>
      <c r="E152" s="160">
        <f t="shared" si="15"/>
        <v>0</v>
      </c>
      <c r="F152" s="159">
        <f t="shared" si="16"/>
        <v>0</v>
      </c>
      <c r="G152" s="159">
        <f t="shared" si="17"/>
        <v>0</v>
      </c>
      <c r="H152" s="163">
        <f t="shared" si="18"/>
        <v>0</v>
      </c>
      <c r="I152" s="253">
        <f t="shared" si="19"/>
        <v>0</v>
      </c>
      <c r="J152" s="158">
        <f t="shared" si="20"/>
        <v>0</v>
      </c>
      <c r="K152" s="158"/>
      <c r="L152" s="334"/>
      <c r="M152" s="158">
        <f t="shared" si="21"/>
        <v>0</v>
      </c>
      <c r="N152" s="334"/>
      <c r="O152" s="158">
        <f t="shared" si="22"/>
        <v>0</v>
      </c>
      <c r="P152" s="158">
        <f t="shared" si="23"/>
        <v>0</v>
      </c>
    </row>
    <row r="153" spans="2:16">
      <c r="B153" s="9" t="str">
        <f t="shared" si="14"/>
        <v/>
      </c>
      <c r="C153" s="153">
        <f>IF(D93="","-",+C152+1)</f>
        <v>2069</v>
      </c>
      <c r="D153" s="154">
        <f>IF(F152+SUM(E$99:E152)=D$92,F152,D$92-SUM(E$99:E152))</f>
        <v>0</v>
      </c>
      <c r="E153" s="160">
        <f t="shared" si="15"/>
        <v>0</v>
      </c>
      <c r="F153" s="159">
        <f t="shared" si="16"/>
        <v>0</v>
      </c>
      <c r="G153" s="159">
        <f t="shared" si="17"/>
        <v>0</v>
      </c>
      <c r="H153" s="163">
        <f t="shared" si="18"/>
        <v>0</v>
      </c>
      <c r="I153" s="253">
        <f t="shared" si="19"/>
        <v>0</v>
      </c>
      <c r="J153" s="158">
        <f t="shared" si="20"/>
        <v>0</v>
      </c>
      <c r="K153" s="158"/>
      <c r="L153" s="334"/>
      <c r="M153" s="158">
        <f t="shared" si="21"/>
        <v>0</v>
      </c>
      <c r="N153" s="334"/>
      <c r="O153" s="158">
        <f t="shared" si="22"/>
        <v>0</v>
      </c>
      <c r="P153" s="158">
        <f t="shared" si="23"/>
        <v>0</v>
      </c>
    </row>
    <row r="154" spans="2:16" ht="13.5" thickBot="1">
      <c r="B154" s="9" t="str">
        <f t="shared" si="14"/>
        <v/>
      </c>
      <c r="C154" s="164">
        <f>IF(D93="","-",+C153+1)</f>
        <v>2070</v>
      </c>
      <c r="D154" s="154">
        <f>IF(F153+SUM(E$99:E153)=D$92,F153,D$92-SUM(E$99:E153))</f>
        <v>0</v>
      </c>
      <c r="E154" s="160">
        <f t="shared" si="15"/>
        <v>0</v>
      </c>
      <c r="F154" s="159">
        <f t="shared" si="16"/>
        <v>0</v>
      </c>
      <c r="G154" s="159">
        <f t="shared" si="17"/>
        <v>0</v>
      </c>
      <c r="H154" s="163">
        <f t="shared" si="18"/>
        <v>0</v>
      </c>
      <c r="I154" s="253">
        <f t="shared" si="19"/>
        <v>0</v>
      </c>
      <c r="J154" s="158">
        <f t="shared" si="20"/>
        <v>0</v>
      </c>
      <c r="K154" s="158"/>
      <c r="L154" s="335"/>
      <c r="M154" s="169">
        <f t="shared" si="21"/>
        <v>0</v>
      </c>
      <c r="N154" s="335"/>
      <c r="O154" s="169">
        <f t="shared" si="22"/>
        <v>0</v>
      </c>
      <c r="P154" s="169">
        <f t="shared" si="23"/>
        <v>0</v>
      </c>
    </row>
    <row r="155" spans="2:16">
      <c r="C155" s="154" t="s">
        <v>73</v>
      </c>
      <c r="D155" s="111"/>
      <c r="E155" s="111">
        <f>SUM(E99:E154)</f>
        <v>5738012.9999999991</v>
      </c>
      <c r="F155" s="111"/>
      <c r="G155" s="111"/>
      <c r="H155" s="111">
        <f>SUM(H99:H154)</f>
        <v>20741098.241390083</v>
      </c>
      <c r="I155" s="111">
        <f>SUM(I99:I154)</f>
        <v>20741098.241390083</v>
      </c>
      <c r="J155" s="111">
        <f>SUM(J99:J154)</f>
        <v>0</v>
      </c>
      <c r="K155" s="111"/>
      <c r="L155" s="111"/>
      <c r="M155" s="111"/>
      <c r="N155" s="111"/>
      <c r="O155" s="111"/>
      <c r="P155" s="1"/>
    </row>
    <row r="156" spans="2:16">
      <c r="C156" t="s">
        <v>87</v>
      </c>
      <c r="D156" s="2"/>
      <c r="E156" s="1"/>
      <c r="F156" s="1"/>
      <c r="G156" s="1"/>
      <c r="H156" s="1"/>
      <c r="I156" s="3"/>
      <c r="J156" s="3"/>
      <c r="K156" s="111"/>
      <c r="L156" s="3"/>
      <c r="M156" s="3"/>
      <c r="N156" s="3"/>
      <c r="O156" s="3"/>
      <c r="P156" s="1"/>
    </row>
    <row r="157" spans="2:16">
      <c r="C157" s="216"/>
      <c r="D157" s="2"/>
      <c r="E157" s="1"/>
      <c r="F157" s="1"/>
      <c r="G157" s="1"/>
      <c r="H157" s="1"/>
      <c r="I157" s="3"/>
      <c r="J157" s="3"/>
      <c r="K157" s="111"/>
      <c r="L157" s="3"/>
      <c r="M157" s="3"/>
      <c r="N157" s="3"/>
      <c r="O157" s="3"/>
      <c r="P157" s="1"/>
    </row>
    <row r="158" spans="2:16">
      <c r="C158" s="248" t="s">
        <v>127</v>
      </c>
      <c r="D158" s="2"/>
      <c r="E158" s="1"/>
      <c r="F158" s="1"/>
      <c r="G158" s="1"/>
      <c r="H158" s="1"/>
      <c r="I158" s="3"/>
      <c r="J158" s="3"/>
      <c r="K158" s="111"/>
      <c r="L158" s="3"/>
      <c r="M158" s="3"/>
      <c r="N158" s="3"/>
      <c r="O158" s="3"/>
      <c r="P158" s="1"/>
    </row>
    <row r="159" spans="2:16">
      <c r="C159" s="121" t="s">
        <v>74</v>
      </c>
      <c r="D159" s="154"/>
      <c r="E159" s="154"/>
      <c r="F159" s="154"/>
      <c r="G159" s="154"/>
      <c r="H159" s="111"/>
      <c r="I159" s="111"/>
      <c r="J159" s="171"/>
      <c r="K159" s="171"/>
      <c r="L159" s="171"/>
      <c r="M159" s="171"/>
      <c r="N159" s="171"/>
      <c r="O159" s="171"/>
      <c r="P159" s="1"/>
    </row>
    <row r="160" spans="2:16">
      <c r="C160" s="217" t="s">
        <v>75</v>
      </c>
      <c r="D160" s="154"/>
      <c r="E160" s="154"/>
      <c r="F160" s="154"/>
      <c r="G160" s="154"/>
      <c r="H160" s="111"/>
      <c r="I160" s="111"/>
      <c r="J160" s="171"/>
      <c r="K160" s="171"/>
      <c r="L160" s="171"/>
      <c r="M160" s="171"/>
      <c r="N160" s="171"/>
      <c r="O160" s="171"/>
      <c r="P160" s="1"/>
    </row>
    <row r="161" spans="3:16">
      <c r="C161" s="217"/>
      <c r="D161" s="154"/>
      <c r="E161" s="154"/>
      <c r="F161" s="154"/>
      <c r="G161" s="154"/>
      <c r="H161" s="111"/>
      <c r="I161" s="111"/>
      <c r="J161" s="171"/>
      <c r="K161" s="171"/>
      <c r="L161" s="171"/>
      <c r="M161" s="171"/>
      <c r="N161" s="171"/>
      <c r="O161" s="171"/>
      <c r="P161" s="1"/>
    </row>
    <row r="162" spans="3:16" ht="18">
      <c r="C162" s="217"/>
      <c r="D162" s="154"/>
      <c r="E162" s="154"/>
      <c r="F162" s="154"/>
      <c r="G162" s="154"/>
      <c r="H162" s="111"/>
      <c r="I162" s="111"/>
      <c r="J162" s="171"/>
      <c r="K162" s="171"/>
      <c r="L162" s="171"/>
      <c r="M162" s="171"/>
      <c r="N162" s="171"/>
      <c r="P162" s="245" t="s">
        <v>126</v>
      </c>
    </row>
  </sheetData>
  <conditionalFormatting sqref="C17:C72">
    <cfRule type="cellIs" dxfId="58" priority="1" stopIfTrue="1" operator="equal">
      <formula>$I$10</formula>
    </cfRule>
  </conditionalFormatting>
  <conditionalFormatting sqref="C99:C154">
    <cfRule type="cellIs" dxfId="57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3"/>
  <dimension ref="A1:P162"/>
  <sheetViews>
    <sheetView view="pageBreakPreview" zoomScale="82" zoomScaleNormal="100" zoomScaleSheetLayoutView="82" workbookViewId="0">
      <selection activeCell="C19" sqref="C19"/>
    </sheetView>
  </sheetViews>
  <sheetFormatPr defaultRowHeight="12.75" customHeight="1"/>
  <cols>
    <col min="1" max="1" width="4.7109375" customWidth="1"/>
    <col min="2" max="2" width="6.7109375" customWidth="1"/>
    <col min="3" max="3" width="23.28515625" customWidth="1"/>
    <col min="4" max="8" width="17.7109375" customWidth="1"/>
    <col min="9" max="9" width="20.42578125" customWidth="1"/>
    <col min="10" max="10" width="16.42578125" customWidth="1"/>
    <col min="11" max="11" width="17.7109375" customWidth="1"/>
    <col min="12" max="12" width="16.140625" customWidth="1"/>
    <col min="13" max="13" width="17.7109375" customWidth="1"/>
    <col min="14" max="14" width="16.7109375" customWidth="1"/>
    <col min="15" max="15" width="16.85546875" customWidth="1"/>
    <col min="16" max="16" width="24.42578125" customWidth="1"/>
    <col min="17" max="17" width="9.140625" customWidth="1"/>
    <col min="23" max="23" width="9.140625" customWidth="1"/>
  </cols>
  <sheetData>
    <row r="1" spans="1:16" ht="20.25">
      <c r="A1" s="243" t="s">
        <v>128</v>
      </c>
      <c r="B1" s="1"/>
      <c r="C1" s="21"/>
      <c r="D1" s="2"/>
      <c r="E1" s="1"/>
      <c r="F1" s="99"/>
      <c r="G1" s="1"/>
      <c r="H1" s="3"/>
      <c r="J1" s="7"/>
      <c r="K1" s="109"/>
      <c r="L1" s="109"/>
      <c r="M1" s="109"/>
      <c r="P1" s="249" t="str">
        <f ca="1">"SWEPCO Project "&amp;RIGHT(MID(CELL("filename",$A$1),FIND("]",CELL("filename",$A$1))+1,256),2)&amp;" of "&amp;COUNT('S.001:S.xyz - blank'!$P$3)-1</f>
        <v>SWEPCO Project 54 of 73</v>
      </c>
    </row>
    <row r="2" spans="1:16" ht="18">
      <c r="B2" s="1"/>
      <c r="C2" s="1"/>
      <c r="D2" s="2"/>
      <c r="E2" s="1"/>
      <c r="F2" s="1"/>
      <c r="G2" s="1"/>
      <c r="H2" s="3"/>
      <c r="I2" s="1"/>
      <c r="J2" s="4"/>
      <c r="K2" s="1"/>
      <c r="L2" s="1"/>
      <c r="M2" s="1"/>
      <c r="N2" s="1"/>
      <c r="P2" s="244" t="s">
        <v>124</v>
      </c>
    </row>
    <row r="3" spans="1:16" ht="18.75">
      <c r="B3" s="5" t="s">
        <v>40</v>
      </c>
      <c r="C3" s="68" t="s">
        <v>41</v>
      </c>
      <c r="D3" s="2"/>
      <c r="E3" s="1"/>
      <c r="F3" s="1"/>
      <c r="G3" s="1"/>
      <c r="H3" s="3"/>
      <c r="I3" s="3"/>
      <c r="J3" s="111"/>
      <c r="K3" s="3"/>
      <c r="L3" s="3"/>
      <c r="M3" s="3"/>
      <c r="N3" s="3"/>
      <c r="O3" s="1"/>
      <c r="P3" s="240">
        <v>1</v>
      </c>
    </row>
    <row r="4" spans="1:16" ht="15.75" thickBot="1">
      <c r="C4" s="67"/>
      <c r="D4" s="2"/>
      <c r="E4" s="1"/>
      <c r="F4" s="1"/>
      <c r="G4" s="1"/>
      <c r="H4" s="3"/>
      <c r="I4" s="3"/>
      <c r="J4" s="111"/>
      <c r="K4" s="3"/>
      <c r="L4" s="3"/>
      <c r="M4" s="3"/>
      <c r="N4" s="3"/>
      <c r="O4" s="1"/>
      <c r="P4" s="1"/>
    </row>
    <row r="5" spans="1:16" ht="15">
      <c r="C5" s="112" t="s">
        <v>42</v>
      </c>
      <c r="D5" s="2"/>
      <c r="E5" s="1"/>
      <c r="F5" s="1"/>
      <c r="G5" s="113"/>
      <c r="H5" s="1" t="s">
        <v>43</v>
      </c>
      <c r="I5" s="1"/>
      <c r="J5" s="4"/>
      <c r="K5" s="268" t="s">
        <v>152</v>
      </c>
      <c r="L5" s="114"/>
      <c r="M5" s="115"/>
      <c r="N5" s="116">
        <f>VLOOKUP(I10,C17:I72,5)</f>
        <v>1583802.9577072526</v>
      </c>
      <c r="P5" s="1"/>
    </row>
    <row r="6" spans="1:16" ht="15.75">
      <c r="C6" s="8"/>
      <c r="D6" s="2"/>
      <c r="E6" s="1"/>
      <c r="F6" s="1"/>
      <c r="G6" s="1"/>
      <c r="H6" s="117"/>
      <c r="I6" s="117"/>
      <c r="J6" s="118"/>
      <c r="K6" s="269" t="s">
        <v>153</v>
      </c>
      <c r="L6" s="119"/>
      <c r="M6" s="4"/>
      <c r="N6" s="120">
        <f>VLOOKUP(I10,C17:I72,6)</f>
        <v>1583802.9577072526</v>
      </c>
      <c r="O6" s="1"/>
      <c r="P6" s="1"/>
    </row>
    <row r="7" spans="1:16" ht="13.5" thickBot="1">
      <c r="C7" s="121" t="s">
        <v>44</v>
      </c>
      <c r="D7" s="386" t="s">
        <v>332</v>
      </c>
      <c r="E7" s="379"/>
      <c r="F7" s="379"/>
      <c r="G7" s="379"/>
      <c r="H7" s="383"/>
      <c r="I7" s="3"/>
      <c r="J7" s="111"/>
      <c r="K7" s="122" t="s">
        <v>45</v>
      </c>
      <c r="L7" s="123"/>
      <c r="M7" s="123"/>
      <c r="N7" s="124">
        <f>+N6-N5</f>
        <v>0</v>
      </c>
      <c r="O7" s="1"/>
      <c r="P7" s="1"/>
    </row>
    <row r="8" spans="1:16" ht="13.5" thickBot="1">
      <c r="C8" s="125"/>
      <c r="D8" s="352" t="str">
        <f>IF(D10&lt;100000,"DOES NOT MEET SPP $100,000 MINIMUM INVESTMENT FOR REGIONAL BPU SHARING.","")</f>
        <v/>
      </c>
      <c r="E8" s="126"/>
      <c r="F8" s="126"/>
      <c r="G8" s="126"/>
      <c r="H8" s="126"/>
      <c r="I8" s="126"/>
      <c r="J8" s="101"/>
      <c r="K8" s="126"/>
      <c r="L8" s="126"/>
      <c r="M8" s="126"/>
      <c r="N8" s="126"/>
      <c r="O8" s="101"/>
      <c r="P8" s="21"/>
    </row>
    <row r="9" spans="1:16" ht="13.5" thickBot="1">
      <c r="C9" s="127" t="s">
        <v>46</v>
      </c>
      <c r="D9" s="225"/>
      <c r="E9" s="401" t="s">
        <v>441</v>
      </c>
      <c r="F9" s="128"/>
      <c r="G9" s="128"/>
      <c r="H9" s="128"/>
      <c r="I9" s="129"/>
      <c r="J9" s="130"/>
      <c r="O9" s="131"/>
      <c r="P9" s="4"/>
    </row>
    <row r="10" spans="1:16">
      <c r="C10" s="132" t="s">
        <v>47</v>
      </c>
      <c r="D10" s="133">
        <v>13851900</v>
      </c>
      <c r="E10" s="61" t="s">
        <v>459</v>
      </c>
      <c r="F10" s="131"/>
      <c r="G10" s="134"/>
      <c r="H10" s="134"/>
      <c r="I10" s="135">
        <f>+SWE.WS.F.BPU.ATRR.Projected!K17</f>
        <v>2019</v>
      </c>
      <c r="J10" s="130"/>
      <c r="K10" s="111" t="s">
        <v>48</v>
      </c>
      <c r="O10" s="4"/>
      <c r="P10" s="4"/>
    </row>
    <row r="11" spans="1:16">
      <c r="C11" s="136" t="s">
        <v>49</v>
      </c>
      <c r="D11" s="137">
        <v>2015</v>
      </c>
      <c r="E11" s="136" t="s">
        <v>50</v>
      </c>
      <c r="F11" s="134"/>
      <c r="G11" s="7"/>
      <c r="H11" s="7"/>
      <c r="I11" s="138">
        <f>IF(G5="",0,SWE.WS.F.BPU.ATRR.Projected!F$11)</f>
        <v>0</v>
      </c>
      <c r="J11" s="139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4"/>
      <c r="P11" s="4"/>
    </row>
    <row r="12" spans="1:16">
      <c r="C12" s="136" t="s">
        <v>51</v>
      </c>
      <c r="D12" s="133">
        <v>11</v>
      </c>
      <c r="E12" s="136" t="s">
        <v>52</v>
      </c>
      <c r="F12" s="134"/>
      <c r="G12" s="7"/>
      <c r="H12" s="7"/>
      <c r="I12" s="140">
        <f>SWE.WS.F.BPU.ATRR.Projected!$F$76</f>
        <v>9.9555672459071778E-2</v>
      </c>
      <c r="J12" s="141"/>
      <c r="K12" t="s">
        <v>53</v>
      </c>
      <c r="O12" s="4"/>
      <c r="P12" s="4"/>
    </row>
    <row r="13" spans="1:16">
      <c r="C13" s="136" t="s">
        <v>54</v>
      </c>
      <c r="D13" s="138">
        <f>+SWE.WS.F.BPU.ATRR.Projected!F$87</f>
        <v>43</v>
      </c>
      <c r="E13" s="136" t="s">
        <v>55</v>
      </c>
      <c r="F13" s="134"/>
      <c r="G13" s="7"/>
      <c r="H13" s="7"/>
      <c r="I13" s="140">
        <f>IF(G5="",I12,SWE.WS.F.BPU.ATRR.Projected!$F$75)</f>
        <v>9.9555672459071778E-2</v>
      </c>
      <c r="J13" s="141"/>
      <c r="K13" s="111" t="s">
        <v>56</v>
      </c>
      <c r="L13" s="58"/>
      <c r="M13" s="58"/>
      <c r="N13" s="58"/>
      <c r="O13" s="4"/>
      <c r="P13" s="4"/>
    </row>
    <row r="14" spans="1:16" ht="13.5" thickBot="1">
      <c r="C14" s="136" t="s">
        <v>57</v>
      </c>
      <c r="D14" s="137" t="s">
        <v>58</v>
      </c>
      <c r="E14" s="4" t="s">
        <v>59</v>
      </c>
      <c r="F14" s="134"/>
      <c r="G14" s="7"/>
      <c r="H14" s="7"/>
      <c r="I14" s="142">
        <f>IF(D10=0,0,D10/D13)</f>
        <v>322137.20930232556</v>
      </c>
      <c r="J14" s="111"/>
      <c r="K14" s="111"/>
      <c r="L14" s="111"/>
      <c r="M14" s="111"/>
      <c r="N14" s="111"/>
      <c r="O14" s="4"/>
      <c r="P14" s="4"/>
    </row>
    <row r="15" spans="1:16" ht="38.25">
      <c r="C15" s="143" t="s">
        <v>47</v>
      </c>
      <c r="D15" s="144" t="s">
        <v>60</v>
      </c>
      <c r="E15" s="144" t="s">
        <v>61</v>
      </c>
      <c r="F15" s="144" t="s">
        <v>62</v>
      </c>
      <c r="G15" s="434" t="s">
        <v>378</v>
      </c>
      <c r="H15" s="435" t="s">
        <v>379</v>
      </c>
      <c r="I15" s="143" t="s">
        <v>63</v>
      </c>
      <c r="J15" s="145"/>
      <c r="K15" s="271" t="s">
        <v>219</v>
      </c>
      <c r="L15" s="146" t="s">
        <v>64</v>
      </c>
      <c r="M15" s="271" t="s">
        <v>219</v>
      </c>
      <c r="N15" s="146" t="s">
        <v>64</v>
      </c>
      <c r="O15" s="146" t="s">
        <v>65</v>
      </c>
      <c r="P15" s="4"/>
    </row>
    <row r="16" spans="1:16" ht="13.5" thickBot="1">
      <c r="C16" s="147" t="s">
        <v>66</v>
      </c>
      <c r="D16" s="147" t="s">
        <v>67</v>
      </c>
      <c r="E16" s="147" t="s">
        <v>68</v>
      </c>
      <c r="F16" s="147" t="s">
        <v>67</v>
      </c>
      <c r="G16" s="408" t="s">
        <v>69</v>
      </c>
      <c r="H16" s="148" t="s">
        <v>70</v>
      </c>
      <c r="I16" s="149" t="s">
        <v>89</v>
      </c>
      <c r="J16" s="150" t="s">
        <v>71</v>
      </c>
      <c r="K16" s="151" t="s">
        <v>72</v>
      </c>
      <c r="L16" s="151" t="s">
        <v>72</v>
      </c>
      <c r="M16" s="151" t="s">
        <v>90</v>
      </c>
      <c r="N16" s="152" t="s">
        <v>90</v>
      </c>
      <c r="O16" s="151" t="s">
        <v>90</v>
      </c>
      <c r="P16" s="4"/>
    </row>
    <row r="17" spans="2:16">
      <c r="C17" s="153">
        <f>IF(D11= "","-",D11)</f>
        <v>2015</v>
      </c>
      <c r="D17" s="409">
        <v>13860000</v>
      </c>
      <c r="E17" s="415">
        <v>27500</v>
      </c>
      <c r="F17" s="409">
        <v>13832500</v>
      </c>
      <c r="G17" s="415">
        <v>1849306.6594882272</v>
      </c>
      <c r="H17" s="416">
        <v>1849306.6594882272</v>
      </c>
      <c r="I17" s="156">
        <v>0</v>
      </c>
      <c r="J17" s="156"/>
      <c r="K17" s="258">
        <f>G17</f>
        <v>1849306.6594882272</v>
      </c>
      <c r="L17" s="257">
        <f>IF(K17&lt;&gt;0,+G17-K17,0)</f>
        <v>0</v>
      </c>
      <c r="M17" s="258">
        <f>H17</f>
        <v>1849306.6594882272</v>
      </c>
      <c r="N17" s="158">
        <f>IF(M17&lt;&gt;0,+H17-M17,0)</f>
        <v>0</v>
      </c>
      <c r="O17" s="158">
        <f>+N17-L17</f>
        <v>0</v>
      </c>
      <c r="P17" s="4"/>
    </row>
    <row r="18" spans="2:16">
      <c r="B18" s="9" t="str">
        <f>IF(D18=F17,"","IU")</f>
        <v>IU</v>
      </c>
      <c r="C18" s="153">
        <f>IF(D11="","-",+C17+1)</f>
        <v>2016</v>
      </c>
      <c r="D18" s="411">
        <v>13848292</v>
      </c>
      <c r="E18" s="410">
        <v>330376</v>
      </c>
      <c r="F18" s="411">
        <v>13517916</v>
      </c>
      <c r="G18" s="410">
        <v>2088786.1755878374</v>
      </c>
      <c r="H18" s="416">
        <v>2088786.1755878374</v>
      </c>
      <c r="I18" s="156">
        <f>H18-G18</f>
        <v>0</v>
      </c>
      <c r="J18" s="156"/>
      <c r="K18" s="258">
        <f>G18</f>
        <v>2088786.1755878374</v>
      </c>
      <c r="L18" s="257">
        <f>IF(K18&lt;&gt;0,+G18-K18,0)</f>
        <v>0</v>
      </c>
      <c r="M18" s="258">
        <f>H18</f>
        <v>2088786.1755878374</v>
      </c>
      <c r="N18" s="158">
        <f>IF(M18&lt;&gt;0,+H18-M18,0)</f>
        <v>0</v>
      </c>
      <c r="O18" s="158">
        <f>+N18-L18</f>
        <v>0</v>
      </c>
      <c r="P18" s="4"/>
    </row>
    <row r="19" spans="2:16">
      <c r="B19" s="9" t="str">
        <f>IF(D19=F18,"","IU")</f>
        <v>IU</v>
      </c>
      <c r="C19" s="153">
        <f>IF(D11="","-",+C18+1)</f>
        <v>2017</v>
      </c>
      <c r="D19" s="411">
        <v>13494024</v>
      </c>
      <c r="E19" s="410">
        <v>322137.20930232556</v>
      </c>
      <c r="F19" s="411">
        <v>13171886.790697675</v>
      </c>
      <c r="G19" s="410">
        <v>1973990.8338267417</v>
      </c>
      <c r="H19" s="416">
        <v>1973990.8338267417</v>
      </c>
      <c r="I19" s="156">
        <v>0</v>
      </c>
      <c r="J19" s="156"/>
      <c r="K19" s="258">
        <f>G19</f>
        <v>1973990.8338267417</v>
      </c>
      <c r="L19" s="257">
        <f>IF(K19&lt;&gt;0,+G19-K19,0)</f>
        <v>0</v>
      </c>
      <c r="M19" s="258">
        <f>H19</f>
        <v>1973990.8338267417</v>
      </c>
      <c r="N19" s="158">
        <f>IF(M19&lt;&gt;0,+H19-M19,0)</f>
        <v>0</v>
      </c>
      <c r="O19" s="158">
        <f>+N19-L19</f>
        <v>0</v>
      </c>
      <c r="P19" s="4"/>
    </row>
    <row r="20" spans="2:16">
      <c r="B20" s="9" t="str">
        <f t="shared" ref="B20:B72" si="0">IF(D20=F19,"","IU")</f>
        <v/>
      </c>
      <c r="C20" s="153">
        <f>IF(D11="","-",+C19+1)</f>
        <v>2018</v>
      </c>
      <c r="D20" s="411">
        <v>13171886.790697675</v>
      </c>
      <c r="E20" s="410">
        <v>337851.21951219509</v>
      </c>
      <c r="F20" s="411">
        <v>12834035.571185481</v>
      </c>
      <c r="G20" s="410">
        <v>1792677.2594055445</v>
      </c>
      <c r="H20" s="416">
        <v>1792677.2594055445</v>
      </c>
      <c r="I20" s="156">
        <f t="shared" ref="I20:I72" si="1">H20-G20</f>
        <v>0</v>
      </c>
      <c r="J20" s="156"/>
      <c r="K20" s="258">
        <f>G20</f>
        <v>1792677.2594055445</v>
      </c>
      <c r="L20" s="257">
        <f>IF(K20&lt;&gt;0,+G20-K20,0)</f>
        <v>0</v>
      </c>
      <c r="M20" s="258">
        <f>H20</f>
        <v>1792677.2594055445</v>
      </c>
      <c r="N20" s="158">
        <f>IF(M20&lt;&gt;0,+H20-M20,0)</f>
        <v>0</v>
      </c>
      <c r="O20" s="158">
        <f>+N20-L20</f>
        <v>0</v>
      </c>
      <c r="P20" s="4"/>
    </row>
    <row r="21" spans="2:16">
      <c r="B21" s="9" t="str">
        <f t="shared" si="0"/>
        <v/>
      </c>
      <c r="C21" s="153">
        <f>IF(D11="","-",+C20+1)</f>
        <v>2019</v>
      </c>
      <c r="D21" s="159">
        <f>IF(F20+SUM(E$17:E20)=D$10,F20,D$10-SUM(E$17:E20))</f>
        <v>12834035.571185481</v>
      </c>
      <c r="E21" s="160">
        <f t="shared" ref="E21:E72" si="2">IF(+$I$14&lt;F20,$I$14,D21)</f>
        <v>322137.20930232556</v>
      </c>
      <c r="F21" s="159">
        <f t="shared" ref="F21:F72" si="3">+D21-E21</f>
        <v>12511898.361883156</v>
      </c>
      <c r="G21" s="161">
        <f t="shared" ref="G21:G50" si="4">+I$12*((D21+F21)/2)+E21</f>
        <v>1583802.9577072526</v>
      </c>
      <c r="H21" s="142">
        <f t="shared" ref="H21:H50" si="5">+I$13*((D21+F21)/2)+E21</f>
        <v>1583802.9577072526</v>
      </c>
      <c r="I21" s="156">
        <f t="shared" si="1"/>
        <v>0</v>
      </c>
      <c r="J21" s="156"/>
      <c r="K21" s="334"/>
      <c r="L21" s="158">
        <f t="shared" ref="L21:L72" si="6">IF(K21&lt;&gt;0,+G21-K21,0)</f>
        <v>0</v>
      </c>
      <c r="M21" s="334"/>
      <c r="N21" s="158">
        <f t="shared" ref="N21:N72" si="7">IF(M21&lt;&gt;0,+H21-M21,0)</f>
        <v>0</v>
      </c>
      <c r="O21" s="158">
        <f t="shared" ref="O21:O72" si="8">+N21-L21</f>
        <v>0</v>
      </c>
      <c r="P21" s="4"/>
    </row>
    <row r="22" spans="2:16">
      <c r="B22" s="9" t="str">
        <f t="shared" si="0"/>
        <v/>
      </c>
      <c r="C22" s="153">
        <f>IF(D11="","-",+C21+1)</f>
        <v>2020</v>
      </c>
      <c r="D22" s="159">
        <f>IF(F21+SUM(E$17:E21)=D$10,F21,D$10-SUM(E$17:E21))</f>
        <v>12511898.361883156</v>
      </c>
      <c r="E22" s="160">
        <f t="shared" si="2"/>
        <v>322137.20930232556</v>
      </c>
      <c r="F22" s="159">
        <f t="shared" si="3"/>
        <v>12189761.152580831</v>
      </c>
      <c r="G22" s="161">
        <f t="shared" si="4"/>
        <v>1551732.3712110708</v>
      </c>
      <c r="H22" s="142">
        <f t="shared" si="5"/>
        <v>1551732.3712110708</v>
      </c>
      <c r="I22" s="156">
        <f t="shared" si="1"/>
        <v>0</v>
      </c>
      <c r="J22" s="156"/>
      <c r="K22" s="334"/>
      <c r="L22" s="158">
        <f t="shared" si="6"/>
        <v>0</v>
      </c>
      <c r="M22" s="334"/>
      <c r="N22" s="158">
        <f t="shared" si="7"/>
        <v>0</v>
      </c>
      <c r="O22" s="158">
        <f t="shared" si="8"/>
        <v>0</v>
      </c>
      <c r="P22" s="4"/>
    </row>
    <row r="23" spans="2:16">
      <c r="B23" s="9" t="str">
        <f t="shared" si="0"/>
        <v/>
      </c>
      <c r="C23" s="153">
        <f>IF(D11="","-",+C22+1)</f>
        <v>2021</v>
      </c>
      <c r="D23" s="159">
        <f>IF(F22+SUM(E$17:E22)=D$10,F22,D$10-SUM(E$17:E22))</f>
        <v>12189761.152580831</v>
      </c>
      <c r="E23" s="160">
        <f t="shared" si="2"/>
        <v>322137.20930232556</v>
      </c>
      <c r="F23" s="159">
        <f t="shared" si="3"/>
        <v>11867623.943278506</v>
      </c>
      <c r="G23" s="161">
        <f t="shared" si="4"/>
        <v>1519661.7847148892</v>
      </c>
      <c r="H23" s="142">
        <f t="shared" si="5"/>
        <v>1519661.7847148892</v>
      </c>
      <c r="I23" s="156">
        <f t="shared" si="1"/>
        <v>0</v>
      </c>
      <c r="J23" s="156"/>
      <c r="K23" s="334"/>
      <c r="L23" s="158">
        <f t="shared" si="6"/>
        <v>0</v>
      </c>
      <c r="M23" s="334"/>
      <c r="N23" s="158">
        <f t="shared" si="7"/>
        <v>0</v>
      </c>
      <c r="O23" s="158">
        <f t="shared" si="8"/>
        <v>0</v>
      </c>
      <c r="P23" s="4"/>
    </row>
    <row r="24" spans="2:16">
      <c r="B24" s="9" t="str">
        <f t="shared" si="0"/>
        <v/>
      </c>
      <c r="C24" s="153">
        <f>IF(D11="","-",+C23+1)</f>
        <v>2022</v>
      </c>
      <c r="D24" s="159">
        <f>IF(F23+SUM(E$17:E23)=D$10,F23,D$10-SUM(E$17:E23))</f>
        <v>11867623.943278506</v>
      </c>
      <c r="E24" s="160">
        <f t="shared" si="2"/>
        <v>322137.20930232556</v>
      </c>
      <c r="F24" s="159">
        <f t="shared" si="3"/>
        <v>11545486.733976182</v>
      </c>
      <c r="G24" s="161">
        <f t="shared" si="4"/>
        <v>1487591.1982187075</v>
      </c>
      <c r="H24" s="142">
        <f t="shared" si="5"/>
        <v>1487591.1982187075</v>
      </c>
      <c r="I24" s="156">
        <f t="shared" si="1"/>
        <v>0</v>
      </c>
      <c r="J24" s="156"/>
      <c r="K24" s="334"/>
      <c r="L24" s="158">
        <f t="shared" si="6"/>
        <v>0</v>
      </c>
      <c r="M24" s="334"/>
      <c r="N24" s="158">
        <f t="shared" si="7"/>
        <v>0</v>
      </c>
      <c r="O24" s="158">
        <f t="shared" si="8"/>
        <v>0</v>
      </c>
      <c r="P24" s="4"/>
    </row>
    <row r="25" spans="2:16">
      <c r="B25" s="9" t="str">
        <f t="shared" si="0"/>
        <v/>
      </c>
      <c r="C25" s="153">
        <f>IF(D11="","-",+C24+1)</f>
        <v>2023</v>
      </c>
      <c r="D25" s="159">
        <f>IF(F24+SUM(E$17:E24)=D$10,F24,D$10-SUM(E$17:E24))</f>
        <v>11545486.733976182</v>
      </c>
      <c r="E25" s="160">
        <f t="shared" si="2"/>
        <v>322137.20930232556</v>
      </c>
      <c r="F25" s="159">
        <f t="shared" si="3"/>
        <v>11223349.524673857</v>
      </c>
      <c r="G25" s="161">
        <f t="shared" si="4"/>
        <v>1455520.6117225257</v>
      </c>
      <c r="H25" s="142">
        <f t="shared" si="5"/>
        <v>1455520.6117225257</v>
      </c>
      <c r="I25" s="156">
        <f t="shared" si="1"/>
        <v>0</v>
      </c>
      <c r="J25" s="156"/>
      <c r="K25" s="334"/>
      <c r="L25" s="158">
        <f t="shared" si="6"/>
        <v>0</v>
      </c>
      <c r="M25" s="334"/>
      <c r="N25" s="158">
        <f t="shared" si="7"/>
        <v>0</v>
      </c>
      <c r="O25" s="158">
        <f t="shared" si="8"/>
        <v>0</v>
      </c>
      <c r="P25" s="4"/>
    </row>
    <row r="26" spans="2:16">
      <c r="B26" s="9" t="str">
        <f t="shared" si="0"/>
        <v/>
      </c>
      <c r="C26" s="153">
        <f>IF(D11="","-",+C25+1)</f>
        <v>2024</v>
      </c>
      <c r="D26" s="159">
        <f>IF(F25+SUM(E$17:E25)=D$10,F25,D$10-SUM(E$17:E25))</f>
        <v>11223349.524673857</v>
      </c>
      <c r="E26" s="160">
        <f t="shared" si="2"/>
        <v>322137.20930232556</v>
      </c>
      <c r="F26" s="159">
        <f t="shared" si="3"/>
        <v>10901212.315371532</v>
      </c>
      <c r="G26" s="161">
        <f t="shared" si="4"/>
        <v>1423450.0252263441</v>
      </c>
      <c r="H26" s="142">
        <f t="shared" si="5"/>
        <v>1423450.0252263441</v>
      </c>
      <c r="I26" s="156">
        <f t="shared" si="1"/>
        <v>0</v>
      </c>
      <c r="J26" s="156"/>
      <c r="K26" s="334"/>
      <c r="L26" s="158">
        <f t="shared" si="6"/>
        <v>0</v>
      </c>
      <c r="M26" s="334"/>
      <c r="N26" s="158">
        <f t="shared" si="7"/>
        <v>0</v>
      </c>
      <c r="O26" s="158">
        <f t="shared" si="8"/>
        <v>0</v>
      </c>
      <c r="P26" s="4"/>
    </row>
    <row r="27" spans="2:16">
      <c r="B27" s="9" t="str">
        <f t="shared" si="0"/>
        <v/>
      </c>
      <c r="C27" s="153">
        <f>IF(D11="","-",+C26+1)</f>
        <v>2025</v>
      </c>
      <c r="D27" s="159">
        <f>IF(F26+SUM(E$17:E26)=D$10,F26,D$10-SUM(E$17:E26))</f>
        <v>10901212.315371532</v>
      </c>
      <c r="E27" s="160">
        <f t="shared" si="2"/>
        <v>322137.20930232556</v>
      </c>
      <c r="F27" s="159">
        <f t="shared" si="3"/>
        <v>10579075.106069207</v>
      </c>
      <c r="G27" s="161">
        <f t="shared" si="4"/>
        <v>1391379.4387301623</v>
      </c>
      <c r="H27" s="142">
        <f t="shared" si="5"/>
        <v>1391379.4387301623</v>
      </c>
      <c r="I27" s="156">
        <f t="shared" si="1"/>
        <v>0</v>
      </c>
      <c r="J27" s="156"/>
      <c r="K27" s="334"/>
      <c r="L27" s="158">
        <f t="shared" si="6"/>
        <v>0</v>
      </c>
      <c r="M27" s="334"/>
      <c r="N27" s="158">
        <f t="shared" si="7"/>
        <v>0</v>
      </c>
      <c r="O27" s="158">
        <f t="shared" si="8"/>
        <v>0</v>
      </c>
      <c r="P27" s="4"/>
    </row>
    <row r="28" spans="2:16">
      <c r="B28" s="9" t="str">
        <f t="shared" si="0"/>
        <v/>
      </c>
      <c r="C28" s="153">
        <f>IF(D11="","-",+C27+1)</f>
        <v>2026</v>
      </c>
      <c r="D28" s="159">
        <f>IF(F27+SUM(E$17:E27)=D$10,F27,D$10-SUM(E$17:E27))</f>
        <v>10579075.106069207</v>
      </c>
      <c r="E28" s="160">
        <f t="shared" si="2"/>
        <v>322137.20930232556</v>
      </c>
      <c r="F28" s="159">
        <f t="shared" si="3"/>
        <v>10256937.896766882</v>
      </c>
      <c r="G28" s="161">
        <f t="shared" si="4"/>
        <v>1359308.8522339808</v>
      </c>
      <c r="H28" s="142">
        <f t="shared" si="5"/>
        <v>1359308.8522339808</v>
      </c>
      <c r="I28" s="156">
        <f t="shared" si="1"/>
        <v>0</v>
      </c>
      <c r="J28" s="156"/>
      <c r="K28" s="334"/>
      <c r="L28" s="158">
        <f t="shared" si="6"/>
        <v>0</v>
      </c>
      <c r="M28" s="334"/>
      <c r="N28" s="158">
        <f t="shared" si="7"/>
        <v>0</v>
      </c>
      <c r="O28" s="158">
        <f t="shared" si="8"/>
        <v>0</v>
      </c>
      <c r="P28" s="4"/>
    </row>
    <row r="29" spans="2:16">
      <c r="B29" s="9" t="str">
        <f t="shared" si="0"/>
        <v/>
      </c>
      <c r="C29" s="153">
        <f>IF(D11="","-",+C28+1)</f>
        <v>2027</v>
      </c>
      <c r="D29" s="159">
        <f>IF(F28+SUM(E$17:E28)=D$10,F28,D$10-SUM(E$17:E28))</f>
        <v>10256937.896766882</v>
      </c>
      <c r="E29" s="160">
        <f t="shared" si="2"/>
        <v>322137.20930232556</v>
      </c>
      <c r="F29" s="159">
        <f t="shared" si="3"/>
        <v>9934800.6874645576</v>
      </c>
      <c r="G29" s="161">
        <f t="shared" si="4"/>
        <v>1327238.265737799</v>
      </c>
      <c r="H29" s="142">
        <f t="shared" si="5"/>
        <v>1327238.265737799</v>
      </c>
      <c r="I29" s="156">
        <f t="shared" si="1"/>
        <v>0</v>
      </c>
      <c r="J29" s="156"/>
      <c r="K29" s="334"/>
      <c r="L29" s="158">
        <f t="shared" si="6"/>
        <v>0</v>
      </c>
      <c r="M29" s="334"/>
      <c r="N29" s="158">
        <f t="shared" si="7"/>
        <v>0</v>
      </c>
      <c r="O29" s="158">
        <f t="shared" si="8"/>
        <v>0</v>
      </c>
      <c r="P29" s="4"/>
    </row>
    <row r="30" spans="2:16">
      <c r="B30" s="9" t="str">
        <f t="shared" si="0"/>
        <v/>
      </c>
      <c r="C30" s="153">
        <f>IF(D11="","-",+C29+1)</f>
        <v>2028</v>
      </c>
      <c r="D30" s="159">
        <f>IF(F29+SUM(E$17:E29)=D$10,F29,D$10-SUM(E$17:E29))</f>
        <v>9934800.6874645576</v>
      </c>
      <c r="E30" s="160">
        <f t="shared" si="2"/>
        <v>322137.20930232556</v>
      </c>
      <c r="F30" s="159">
        <f t="shared" si="3"/>
        <v>9612663.4781622328</v>
      </c>
      <c r="G30" s="161">
        <f t="shared" si="4"/>
        <v>1295167.6792416174</v>
      </c>
      <c r="H30" s="142">
        <f t="shared" si="5"/>
        <v>1295167.6792416174</v>
      </c>
      <c r="I30" s="156">
        <f t="shared" si="1"/>
        <v>0</v>
      </c>
      <c r="J30" s="156"/>
      <c r="K30" s="334"/>
      <c r="L30" s="158">
        <f t="shared" si="6"/>
        <v>0</v>
      </c>
      <c r="M30" s="334"/>
      <c r="N30" s="158">
        <f t="shared" si="7"/>
        <v>0</v>
      </c>
      <c r="O30" s="158">
        <f t="shared" si="8"/>
        <v>0</v>
      </c>
      <c r="P30" s="4"/>
    </row>
    <row r="31" spans="2:16">
      <c r="B31" s="9" t="str">
        <f t="shared" si="0"/>
        <v/>
      </c>
      <c r="C31" s="153">
        <f>IF(D11="","-",+C30+1)</f>
        <v>2029</v>
      </c>
      <c r="D31" s="159">
        <f>IF(F30+SUM(E$17:E30)=D$10,F30,D$10-SUM(E$17:E30))</f>
        <v>9612663.4781622328</v>
      </c>
      <c r="E31" s="160">
        <f t="shared" si="2"/>
        <v>322137.20930232556</v>
      </c>
      <c r="F31" s="159">
        <f t="shared" si="3"/>
        <v>9290526.268859908</v>
      </c>
      <c r="G31" s="161">
        <f t="shared" si="4"/>
        <v>1263097.0927454357</v>
      </c>
      <c r="H31" s="142">
        <f t="shared" si="5"/>
        <v>1263097.0927454357</v>
      </c>
      <c r="I31" s="156">
        <f t="shared" si="1"/>
        <v>0</v>
      </c>
      <c r="J31" s="156"/>
      <c r="K31" s="334"/>
      <c r="L31" s="158">
        <f t="shared" si="6"/>
        <v>0</v>
      </c>
      <c r="M31" s="334"/>
      <c r="N31" s="158">
        <f t="shared" si="7"/>
        <v>0</v>
      </c>
      <c r="O31" s="158">
        <f t="shared" si="8"/>
        <v>0</v>
      </c>
      <c r="P31" s="4"/>
    </row>
    <row r="32" spans="2:16">
      <c r="B32" s="9" t="str">
        <f t="shared" si="0"/>
        <v/>
      </c>
      <c r="C32" s="153">
        <f>IF(D11="","-",+C31+1)</f>
        <v>2030</v>
      </c>
      <c r="D32" s="159">
        <f>IF(F31+SUM(E$17:E31)=D$10,F31,D$10-SUM(E$17:E31))</f>
        <v>9290526.268859908</v>
      </c>
      <c r="E32" s="160">
        <f t="shared" si="2"/>
        <v>322137.20930232556</v>
      </c>
      <c r="F32" s="159">
        <f t="shared" si="3"/>
        <v>8968389.0595575832</v>
      </c>
      <c r="G32" s="161">
        <f t="shared" si="4"/>
        <v>1231026.5062492539</v>
      </c>
      <c r="H32" s="142">
        <f t="shared" si="5"/>
        <v>1231026.5062492539</v>
      </c>
      <c r="I32" s="156">
        <f t="shared" si="1"/>
        <v>0</v>
      </c>
      <c r="J32" s="156"/>
      <c r="K32" s="334"/>
      <c r="L32" s="158">
        <f t="shared" si="6"/>
        <v>0</v>
      </c>
      <c r="M32" s="334"/>
      <c r="N32" s="158">
        <f t="shared" si="7"/>
        <v>0</v>
      </c>
      <c r="O32" s="158">
        <f t="shared" si="8"/>
        <v>0</v>
      </c>
      <c r="P32" s="4"/>
    </row>
    <row r="33" spans="2:16">
      <c r="B33" s="9" t="str">
        <f t="shared" si="0"/>
        <v/>
      </c>
      <c r="C33" s="153">
        <f>IF(D11="","-",+C32+1)</f>
        <v>2031</v>
      </c>
      <c r="D33" s="159">
        <f>IF(F32+SUM(E$17:E32)=D$10,F32,D$10-SUM(E$17:E32))</f>
        <v>8968389.0595575832</v>
      </c>
      <c r="E33" s="160">
        <f t="shared" si="2"/>
        <v>322137.20930232556</v>
      </c>
      <c r="F33" s="159">
        <f t="shared" si="3"/>
        <v>8646251.8502552584</v>
      </c>
      <c r="G33" s="161">
        <f t="shared" si="4"/>
        <v>1198955.9197530723</v>
      </c>
      <c r="H33" s="142">
        <f t="shared" si="5"/>
        <v>1198955.9197530723</v>
      </c>
      <c r="I33" s="156">
        <f t="shared" si="1"/>
        <v>0</v>
      </c>
      <c r="J33" s="156"/>
      <c r="K33" s="334"/>
      <c r="L33" s="158">
        <f t="shared" si="6"/>
        <v>0</v>
      </c>
      <c r="M33" s="334"/>
      <c r="N33" s="158">
        <f t="shared" si="7"/>
        <v>0</v>
      </c>
      <c r="O33" s="158">
        <f t="shared" si="8"/>
        <v>0</v>
      </c>
      <c r="P33" s="4"/>
    </row>
    <row r="34" spans="2:16">
      <c r="B34" s="9" t="str">
        <f t="shared" si="0"/>
        <v/>
      </c>
      <c r="C34" s="153">
        <f>IF(D11="","-",+C33+1)</f>
        <v>2032</v>
      </c>
      <c r="D34" s="159">
        <f>IF(F33+SUM(E$17:E33)=D$10,F33,D$10-SUM(E$17:E33))</f>
        <v>8646251.8502552584</v>
      </c>
      <c r="E34" s="160">
        <f t="shared" si="2"/>
        <v>322137.20930232556</v>
      </c>
      <c r="F34" s="159">
        <f t="shared" si="3"/>
        <v>8324114.6409529326</v>
      </c>
      <c r="G34" s="161">
        <f t="shared" si="4"/>
        <v>1166885.3332568905</v>
      </c>
      <c r="H34" s="142">
        <f t="shared" si="5"/>
        <v>1166885.3332568905</v>
      </c>
      <c r="I34" s="156">
        <f t="shared" si="1"/>
        <v>0</v>
      </c>
      <c r="J34" s="156"/>
      <c r="K34" s="334"/>
      <c r="L34" s="158">
        <f t="shared" si="6"/>
        <v>0</v>
      </c>
      <c r="M34" s="334"/>
      <c r="N34" s="158">
        <f t="shared" si="7"/>
        <v>0</v>
      </c>
      <c r="O34" s="158">
        <f t="shared" si="8"/>
        <v>0</v>
      </c>
      <c r="P34" s="4"/>
    </row>
    <row r="35" spans="2:16">
      <c r="B35" s="9" t="str">
        <f t="shared" si="0"/>
        <v/>
      </c>
      <c r="C35" s="153">
        <f>IF(D11="","-",+C34+1)</f>
        <v>2033</v>
      </c>
      <c r="D35" s="159">
        <f>IF(F34+SUM(E$17:E34)=D$10,F34,D$10-SUM(E$17:E34))</f>
        <v>8324114.6409529326</v>
      </c>
      <c r="E35" s="160">
        <f t="shared" si="2"/>
        <v>322137.20930232556</v>
      </c>
      <c r="F35" s="159">
        <f t="shared" si="3"/>
        <v>8001977.4316506069</v>
      </c>
      <c r="G35" s="161">
        <f t="shared" si="4"/>
        <v>1134814.7467607087</v>
      </c>
      <c r="H35" s="142">
        <f t="shared" si="5"/>
        <v>1134814.7467607087</v>
      </c>
      <c r="I35" s="156">
        <f t="shared" si="1"/>
        <v>0</v>
      </c>
      <c r="J35" s="156"/>
      <c r="K35" s="334"/>
      <c r="L35" s="158">
        <f t="shared" si="6"/>
        <v>0</v>
      </c>
      <c r="M35" s="334"/>
      <c r="N35" s="158">
        <f t="shared" si="7"/>
        <v>0</v>
      </c>
      <c r="O35" s="158">
        <f t="shared" si="8"/>
        <v>0</v>
      </c>
      <c r="P35" s="4"/>
    </row>
    <row r="36" spans="2:16">
      <c r="B36" s="9" t="str">
        <f t="shared" si="0"/>
        <v/>
      </c>
      <c r="C36" s="153">
        <f>IF(D11="","-",+C35+1)</f>
        <v>2034</v>
      </c>
      <c r="D36" s="159">
        <f>IF(F35+SUM(E$17:E35)=D$10,F35,D$10-SUM(E$17:E35))</f>
        <v>8001977.4316506069</v>
      </c>
      <c r="E36" s="160">
        <f t="shared" si="2"/>
        <v>322137.20930232556</v>
      </c>
      <c r="F36" s="159">
        <f t="shared" si="3"/>
        <v>7679840.2223482812</v>
      </c>
      <c r="G36" s="161">
        <f t="shared" si="4"/>
        <v>1102744.160264527</v>
      </c>
      <c r="H36" s="142">
        <f t="shared" si="5"/>
        <v>1102744.160264527</v>
      </c>
      <c r="I36" s="156">
        <f t="shared" si="1"/>
        <v>0</v>
      </c>
      <c r="J36" s="156"/>
      <c r="K36" s="334"/>
      <c r="L36" s="158">
        <f t="shared" si="6"/>
        <v>0</v>
      </c>
      <c r="M36" s="334"/>
      <c r="N36" s="158">
        <f t="shared" si="7"/>
        <v>0</v>
      </c>
      <c r="O36" s="158">
        <f t="shared" si="8"/>
        <v>0</v>
      </c>
      <c r="P36" s="4"/>
    </row>
    <row r="37" spans="2:16">
      <c r="B37" s="9" t="str">
        <f t="shared" si="0"/>
        <v/>
      </c>
      <c r="C37" s="153">
        <f>IF(D11="","-",+C36+1)</f>
        <v>2035</v>
      </c>
      <c r="D37" s="159">
        <f>IF(F36+SUM(E$17:E36)=D$10,F36,D$10-SUM(E$17:E36))</f>
        <v>7679840.2223482812</v>
      </c>
      <c r="E37" s="160">
        <f t="shared" si="2"/>
        <v>322137.20930232556</v>
      </c>
      <c r="F37" s="159">
        <f t="shared" si="3"/>
        <v>7357703.0130459554</v>
      </c>
      <c r="G37" s="161">
        <f t="shared" si="4"/>
        <v>1070673.5737683452</v>
      </c>
      <c r="H37" s="142">
        <f t="shared" si="5"/>
        <v>1070673.5737683452</v>
      </c>
      <c r="I37" s="156">
        <f t="shared" si="1"/>
        <v>0</v>
      </c>
      <c r="J37" s="156"/>
      <c r="K37" s="334"/>
      <c r="L37" s="158">
        <f t="shared" si="6"/>
        <v>0</v>
      </c>
      <c r="M37" s="334"/>
      <c r="N37" s="158">
        <f t="shared" si="7"/>
        <v>0</v>
      </c>
      <c r="O37" s="158">
        <f t="shared" si="8"/>
        <v>0</v>
      </c>
      <c r="P37" s="4"/>
    </row>
    <row r="38" spans="2:16">
      <c r="B38" s="9" t="str">
        <f t="shared" si="0"/>
        <v/>
      </c>
      <c r="C38" s="153">
        <f>IF(D11="","-",+C37+1)</f>
        <v>2036</v>
      </c>
      <c r="D38" s="159">
        <f>IF(F37+SUM(E$17:E37)=D$10,F37,D$10-SUM(E$17:E37))</f>
        <v>7357703.0130459554</v>
      </c>
      <c r="E38" s="160">
        <f t="shared" si="2"/>
        <v>322137.20930232556</v>
      </c>
      <c r="F38" s="159">
        <f t="shared" si="3"/>
        <v>7035565.8037436297</v>
      </c>
      <c r="G38" s="161">
        <f t="shared" si="4"/>
        <v>1038602.9872721634</v>
      </c>
      <c r="H38" s="142">
        <f t="shared" si="5"/>
        <v>1038602.9872721634</v>
      </c>
      <c r="I38" s="156">
        <f t="shared" si="1"/>
        <v>0</v>
      </c>
      <c r="J38" s="156"/>
      <c r="K38" s="334"/>
      <c r="L38" s="158">
        <f t="shared" si="6"/>
        <v>0</v>
      </c>
      <c r="M38" s="334"/>
      <c r="N38" s="158">
        <f t="shared" si="7"/>
        <v>0</v>
      </c>
      <c r="O38" s="158">
        <f t="shared" si="8"/>
        <v>0</v>
      </c>
      <c r="P38" s="4"/>
    </row>
    <row r="39" spans="2:16">
      <c r="B39" s="9" t="str">
        <f t="shared" si="0"/>
        <v/>
      </c>
      <c r="C39" s="153">
        <f>IF(D11="","-",+C38+1)</f>
        <v>2037</v>
      </c>
      <c r="D39" s="159">
        <f>IF(F38+SUM(E$17:E38)=D$10,F38,D$10-SUM(E$17:E38))</f>
        <v>7035565.8037436297</v>
      </c>
      <c r="E39" s="160">
        <f t="shared" si="2"/>
        <v>322137.20930232556</v>
      </c>
      <c r="F39" s="159">
        <f t="shared" si="3"/>
        <v>6713428.594441304</v>
      </c>
      <c r="G39" s="161">
        <f t="shared" si="4"/>
        <v>1006532.4007759816</v>
      </c>
      <c r="H39" s="142">
        <f t="shared" si="5"/>
        <v>1006532.4007759816</v>
      </c>
      <c r="I39" s="156">
        <f t="shared" si="1"/>
        <v>0</v>
      </c>
      <c r="J39" s="156"/>
      <c r="K39" s="334"/>
      <c r="L39" s="158">
        <f t="shared" si="6"/>
        <v>0</v>
      </c>
      <c r="M39" s="334"/>
      <c r="N39" s="158">
        <f t="shared" si="7"/>
        <v>0</v>
      </c>
      <c r="O39" s="158">
        <f t="shared" si="8"/>
        <v>0</v>
      </c>
      <c r="P39" s="4"/>
    </row>
    <row r="40" spans="2:16">
      <c r="B40" s="9" t="str">
        <f t="shared" si="0"/>
        <v/>
      </c>
      <c r="C40" s="153">
        <f>IF(D11="","-",+C39+1)</f>
        <v>2038</v>
      </c>
      <c r="D40" s="159">
        <f>IF(F39+SUM(E$17:E39)=D$10,F39,D$10-SUM(E$17:E39))</f>
        <v>6713428.594441304</v>
      </c>
      <c r="E40" s="160">
        <f t="shared" si="2"/>
        <v>322137.20930232556</v>
      </c>
      <c r="F40" s="159">
        <f t="shared" si="3"/>
        <v>6391291.3851389783</v>
      </c>
      <c r="G40" s="161">
        <f t="shared" si="4"/>
        <v>974461.81427979982</v>
      </c>
      <c r="H40" s="142">
        <f t="shared" si="5"/>
        <v>974461.81427979982</v>
      </c>
      <c r="I40" s="156">
        <f t="shared" si="1"/>
        <v>0</v>
      </c>
      <c r="J40" s="156"/>
      <c r="K40" s="334"/>
      <c r="L40" s="158">
        <f t="shared" si="6"/>
        <v>0</v>
      </c>
      <c r="M40" s="334"/>
      <c r="N40" s="158">
        <f t="shared" si="7"/>
        <v>0</v>
      </c>
      <c r="O40" s="158">
        <f t="shared" si="8"/>
        <v>0</v>
      </c>
      <c r="P40" s="4"/>
    </row>
    <row r="41" spans="2:16">
      <c r="B41" s="9" t="str">
        <f t="shared" si="0"/>
        <v/>
      </c>
      <c r="C41" s="153">
        <f>IF(D11="","-",+C40+1)</f>
        <v>2039</v>
      </c>
      <c r="D41" s="159">
        <f>IF(F40+SUM(E$17:E40)=D$10,F40,D$10-SUM(E$17:E40))</f>
        <v>6391291.3851389783</v>
      </c>
      <c r="E41" s="160">
        <f t="shared" si="2"/>
        <v>322137.20930232556</v>
      </c>
      <c r="F41" s="159">
        <f t="shared" si="3"/>
        <v>6069154.1758366525</v>
      </c>
      <c r="G41" s="161">
        <f t="shared" si="4"/>
        <v>942391.2277836178</v>
      </c>
      <c r="H41" s="142">
        <f t="shared" si="5"/>
        <v>942391.2277836178</v>
      </c>
      <c r="I41" s="156">
        <f t="shared" si="1"/>
        <v>0</v>
      </c>
      <c r="J41" s="156"/>
      <c r="K41" s="334"/>
      <c r="L41" s="158">
        <f t="shared" si="6"/>
        <v>0</v>
      </c>
      <c r="M41" s="334"/>
      <c r="N41" s="158">
        <f t="shared" si="7"/>
        <v>0</v>
      </c>
      <c r="O41" s="158">
        <f t="shared" si="8"/>
        <v>0</v>
      </c>
      <c r="P41" s="4"/>
    </row>
    <row r="42" spans="2:16">
      <c r="B42" s="9" t="str">
        <f t="shared" si="0"/>
        <v/>
      </c>
      <c r="C42" s="153">
        <f>IF(D11="","-",+C41+1)</f>
        <v>2040</v>
      </c>
      <c r="D42" s="159">
        <f>IF(F41+SUM(E$17:E41)=D$10,F41,D$10-SUM(E$17:E41))</f>
        <v>6069154.1758366525</v>
      </c>
      <c r="E42" s="160">
        <f t="shared" si="2"/>
        <v>322137.20930232556</v>
      </c>
      <c r="F42" s="159">
        <f t="shared" si="3"/>
        <v>5747016.9665343268</v>
      </c>
      <c r="G42" s="161">
        <f t="shared" si="4"/>
        <v>910320.64128743624</v>
      </c>
      <c r="H42" s="142">
        <f t="shared" si="5"/>
        <v>910320.64128743624</v>
      </c>
      <c r="I42" s="156">
        <f t="shared" si="1"/>
        <v>0</v>
      </c>
      <c r="J42" s="156"/>
      <c r="K42" s="334"/>
      <c r="L42" s="158">
        <f t="shared" si="6"/>
        <v>0</v>
      </c>
      <c r="M42" s="334"/>
      <c r="N42" s="158">
        <f t="shared" si="7"/>
        <v>0</v>
      </c>
      <c r="O42" s="158">
        <f t="shared" si="8"/>
        <v>0</v>
      </c>
      <c r="P42" s="4"/>
    </row>
    <row r="43" spans="2:16">
      <c r="B43" s="9" t="str">
        <f t="shared" si="0"/>
        <v/>
      </c>
      <c r="C43" s="153">
        <f>IF(D11="","-",+C42+1)</f>
        <v>2041</v>
      </c>
      <c r="D43" s="159">
        <f>IF(F42+SUM(E$17:E42)=D$10,F42,D$10-SUM(E$17:E42))</f>
        <v>5747016.9665343268</v>
      </c>
      <c r="E43" s="160">
        <f t="shared" si="2"/>
        <v>322137.20930232556</v>
      </c>
      <c r="F43" s="159">
        <f t="shared" si="3"/>
        <v>5424879.7572320011</v>
      </c>
      <c r="G43" s="161">
        <f t="shared" si="4"/>
        <v>878250.05479125422</v>
      </c>
      <c r="H43" s="142">
        <f t="shared" si="5"/>
        <v>878250.05479125422</v>
      </c>
      <c r="I43" s="156">
        <f t="shared" si="1"/>
        <v>0</v>
      </c>
      <c r="J43" s="156"/>
      <c r="K43" s="334"/>
      <c r="L43" s="158">
        <f t="shared" si="6"/>
        <v>0</v>
      </c>
      <c r="M43" s="334"/>
      <c r="N43" s="158">
        <f t="shared" si="7"/>
        <v>0</v>
      </c>
      <c r="O43" s="158">
        <f t="shared" si="8"/>
        <v>0</v>
      </c>
      <c r="P43" s="4"/>
    </row>
    <row r="44" spans="2:16">
      <c r="B44" s="9" t="str">
        <f t="shared" si="0"/>
        <v/>
      </c>
      <c r="C44" s="153">
        <f>IF(D11="","-",+C43+1)</f>
        <v>2042</v>
      </c>
      <c r="D44" s="159">
        <f>IF(F43+SUM(E$17:E43)=D$10,F43,D$10-SUM(E$17:E43))</f>
        <v>5424879.7572320011</v>
      </c>
      <c r="E44" s="160">
        <f t="shared" si="2"/>
        <v>322137.20930232556</v>
      </c>
      <c r="F44" s="159">
        <f t="shared" si="3"/>
        <v>5102742.5479296753</v>
      </c>
      <c r="G44" s="161">
        <f t="shared" si="4"/>
        <v>846179.46829507267</v>
      </c>
      <c r="H44" s="142">
        <f t="shared" si="5"/>
        <v>846179.46829507267</v>
      </c>
      <c r="I44" s="156">
        <f t="shared" si="1"/>
        <v>0</v>
      </c>
      <c r="J44" s="156"/>
      <c r="K44" s="334"/>
      <c r="L44" s="158">
        <f t="shared" si="6"/>
        <v>0</v>
      </c>
      <c r="M44" s="334"/>
      <c r="N44" s="158">
        <f t="shared" si="7"/>
        <v>0</v>
      </c>
      <c r="O44" s="158">
        <f t="shared" si="8"/>
        <v>0</v>
      </c>
      <c r="P44" s="4"/>
    </row>
    <row r="45" spans="2:16">
      <c r="B45" s="9" t="str">
        <f t="shared" si="0"/>
        <v/>
      </c>
      <c r="C45" s="153">
        <f>IF(D11="","-",+C44+1)</f>
        <v>2043</v>
      </c>
      <c r="D45" s="159">
        <f>IF(F44+SUM(E$17:E44)=D$10,F44,D$10-SUM(E$17:E44))</f>
        <v>5102742.5479296753</v>
      </c>
      <c r="E45" s="160">
        <f t="shared" si="2"/>
        <v>322137.20930232556</v>
      </c>
      <c r="F45" s="159">
        <f t="shared" si="3"/>
        <v>4780605.3386273496</v>
      </c>
      <c r="G45" s="161">
        <f t="shared" si="4"/>
        <v>814108.88179889077</v>
      </c>
      <c r="H45" s="142">
        <f t="shared" si="5"/>
        <v>814108.88179889077</v>
      </c>
      <c r="I45" s="156">
        <f t="shared" si="1"/>
        <v>0</v>
      </c>
      <c r="J45" s="156"/>
      <c r="K45" s="334"/>
      <c r="L45" s="158">
        <f t="shared" si="6"/>
        <v>0</v>
      </c>
      <c r="M45" s="334"/>
      <c r="N45" s="158">
        <f t="shared" si="7"/>
        <v>0</v>
      </c>
      <c r="O45" s="158">
        <f t="shared" si="8"/>
        <v>0</v>
      </c>
      <c r="P45" s="4"/>
    </row>
    <row r="46" spans="2:16">
      <c r="B46" s="9" t="str">
        <f t="shared" si="0"/>
        <v/>
      </c>
      <c r="C46" s="153">
        <f>IF(D11="","-",+C45+1)</f>
        <v>2044</v>
      </c>
      <c r="D46" s="159">
        <f>IF(F45+SUM(E$17:E45)=D$10,F45,D$10-SUM(E$17:E45))</f>
        <v>4780605.3386273496</v>
      </c>
      <c r="E46" s="160">
        <f t="shared" si="2"/>
        <v>322137.20930232556</v>
      </c>
      <c r="F46" s="159">
        <f t="shared" si="3"/>
        <v>4458468.1293250239</v>
      </c>
      <c r="G46" s="161">
        <f t="shared" si="4"/>
        <v>782038.2953027091</v>
      </c>
      <c r="H46" s="142">
        <f t="shared" si="5"/>
        <v>782038.2953027091</v>
      </c>
      <c r="I46" s="156">
        <f t="shared" si="1"/>
        <v>0</v>
      </c>
      <c r="J46" s="156"/>
      <c r="K46" s="334"/>
      <c r="L46" s="158">
        <f t="shared" si="6"/>
        <v>0</v>
      </c>
      <c r="M46" s="334"/>
      <c r="N46" s="158">
        <f t="shared" si="7"/>
        <v>0</v>
      </c>
      <c r="O46" s="158">
        <f t="shared" si="8"/>
        <v>0</v>
      </c>
      <c r="P46" s="4"/>
    </row>
    <row r="47" spans="2:16">
      <c r="B47" s="9" t="str">
        <f t="shared" si="0"/>
        <v/>
      </c>
      <c r="C47" s="153">
        <f>IF(D11="","-",+C46+1)</f>
        <v>2045</v>
      </c>
      <c r="D47" s="159">
        <f>IF(F46+SUM(E$17:E46)=D$10,F46,D$10-SUM(E$17:E46))</f>
        <v>4458468.1293250239</v>
      </c>
      <c r="E47" s="160">
        <f t="shared" si="2"/>
        <v>322137.20930232556</v>
      </c>
      <c r="F47" s="159">
        <f t="shared" si="3"/>
        <v>4136330.9200226981</v>
      </c>
      <c r="G47" s="161">
        <f t="shared" si="4"/>
        <v>749967.70880652708</v>
      </c>
      <c r="H47" s="142">
        <f t="shared" si="5"/>
        <v>749967.70880652708</v>
      </c>
      <c r="I47" s="156">
        <f t="shared" si="1"/>
        <v>0</v>
      </c>
      <c r="J47" s="156"/>
      <c r="K47" s="334"/>
      <c r="L47" s="158">
        <f t="shared" si="6"/>
        <v>0</v>
      </c>
      <c r="M47" s="334"/>
      <c r="N47" s="158">
        <f t="shared" si="7"/>
        <v>0</v>
      </c>
      <c r="O47" s="158">
        <f t="shared" si="8"/>
        <v>0</v>
      </c>
      <c r="P47" s="4"/>
    </row>
    <row r="48" spans="2:16">
      <c r="B48" s="9" t="str">
        <f t="shared" si="0"/>
        <v/>
      </c>
      <c r="C48" s="153">
        <f>IF(D11="","-",+C47+1)</f>
        <v>2046</v>
      </c>
      <c r="D48" s="159">
        <f>IF(F47+SUM(E$17:E47)=D$10,F47,D$10-SUM(E$17:E47))</f>
        <v>4136330.9200226981</v>
      </c>
      <c r="E48" s="160">
        <f t="shared" si="2"/>
        <v>322137.20930232556</v>
      </c>
      <c r="F48" s="159">
        <f t="shared" si="3"/>
        <v>3814193.7107203724</v>
      </c>
      <c r="G48" s="161">
        <f t="shared" si="4"/>
        <v>717897.12231034541</v>
      </c>
      <c r="H48" s="142">
        <f t="shared" si="5"/>
        <v>717897.12231034541</v>
      </c>
      <c r="I48" s="156">
        <f t="shared" si="1"/>
        <v>0</v>
      </c>
      <c r="J48" s="156"/>
      <c r="K48" s="334"/>
      <c r="L48" s="158">
        <f t="shared" si="6"/>
        <v>0</v>
      </c>
      <c r="M48" s="334"/>
      <c r="N48" s="158">
        <f t="shared" si="7"/>
        <v>0</v>
      </c>
      <c r="O48" s="158">
        <f t="shared" si="8"/>
        <v>0</v>
      </c>
      <c r="P48" s="4"/>
    </row>
    <row r="49" spans="2:16">
      <c r="B49" s="9" t="str">
        <f t="shared" si="0"/>
        <v/>
      </c>
      <c r="C49" s="153">
        <f>IF(D11="","-",+C48+1)</f>
        <v>2047</v>
      </c>
      <c r="D49" s="159">
        <f>IF(F48+SUM(E$17:E48)=D$10,F48,D$10-SUM(E$17:E48))</f>
        <v>3814193.7107203724</v>
      </c>
      <c r="E49" s="160">
        <f t="shared" si="2"/>
        <v>322137.20930232556</v>
      </c>
      <c r="F49" s="159">
        <f t="shared" si="3"/>
        <v>3492056.5014180467</v>
      </c>
      <c r="G49" s="161">
        <f t="shared" si="4"/>
        <v>685826.53581416362</v>
      </c>
      <c r="H49" s="142">
        <f t="shared" si="5"/>
        <v>685826.53581416362</v>
      </c>
      <c r="I49" s="156">
        <f t="shared" si="1"/>
        <v>0</v>
      </c>
      <c r="J49" s="156"/>
      <c r="K49" s="334"/>
      <c r="L49" s="158">
        <f t="shared" si="6"/>
        <v>0</v>
      </c>
      <c r="M49" s="334"/>
      <c r="N49" s="158">
        <f t="shared" si="7"/>
        <v>0</v>
      </c>
      <c r="O49" s="158">
        <f t="shared" si="8"/>
        <v>0</v>
      </c>
      <c r="P49" s="4"/>
    </row>
    <row r="50" spans="2:16">
      <c r="B50" s="9" t="str">
        <f t="shared" si="0"/>
        <v/>
      </c>
      <c r="C50" s="153">
        <f>IF(D11="","-",+C49+1)</f>
        <v>2048</v>
      </c>
      <c r="D50" s="159">
        <f>IF(F49+SUM(E$17:E49)=D$10,F49,D$10-SUM(E$17:E49))</f>
        <v>3492056.5014180467</v>
      </c>
      <c r="E50" s="160">
        <f t="shared" si="2"/>
        <v>322137.20930232556</v>
      </c>
      <c r="F50" s="159">
        <f t="shared" si="3"/>
        <v>3169919.2921157209</v>
      </c>
      <c r="G50" s="161">
        <f t="shared" si="4"/>
        <v>653755.94931798184</v>
      </c>
      <c r="H50" s="142">
        <f t="shared" si="5"/>
        <v>653755.94931798184</v>
      </c>
      <c r="I50" s="156">
        <f t="shared" si="1"/>
        <v>0</v>
      </c>
      <c r="J50" s="156"/>
      <c r="K50" s="334"/>
      <c r="L50" s="158">
        <f t="shared" si="6"/>
        <v>0</v>
      </c>
      <c r="M50" s="334"/>
      <c r="N50" s="158">
        <f t="shared" si="7"/>
        <v>0</v>
      </c>
      <c r="O50" s="158">
        <f t="shared" si="8"/>
        <v>0</v>
      </c>
      <c r="P50" s="4"/>
    </row>
    <row r="51" spans="2:16">
      <c r="B51" s="9" t="str">
        <f t="shared" si="0"/>
        <v/>
      </c>
      <c r="C51" s="153">
        <f>IF(D11="","-",+C50+1)</f>
        <v>2049</v>
      </c>
      <c r="D51" s="159">
        <f>IF(F50+SUM(E$17:E50)=D$10,F50,D$10-SUM(E$17:E50))</f>
        <v>3169919.2921157209</v>
      </c>
      <c r="E51" s="160">
        <f t="shared" si="2"/>
        <v>322137.20930232556</v>
      </c>
      <c r="F51" s="159">
        <f t="shared" si="3"/>
        <v>2847782.0828133952</v>
      </c>
      <c r="G51" s="161">
        <f t="shared" ref="G51:G72" si="9">+I$12*((D51+F51)/2)+E51</f>
        <v>621685.36282180005</v>
      </c>
      <c r="H51" s="142">
        <f t="shared" ref="H51:H72" si="10">+I$13*((D51+F51)/2)+E51</f>
        <v>621685.36282180005</v>
      </c>
      <c r="I51" s="156">
        <f t="shared" si="1"/>
        <v>0</v>
      </c>
      <c r="J51" s="156"/>
      <c r="K51" s="334"/>
      <c r="L51" s="158">
        <f t="shared" si="6"/>
        <v>0</v>
      </c>
      <c r="M51" s="334"/>
      <c r="N51" s="158">
        <f t="shared" si="7"/>
        <v>0</v>
      </c>
      <c r="O51" s="158">
        <f t="shared" si="8"/>
        <v>0</v>
      </c>
      <c r="P51" s="4"/>
    </row>
    <row r="52" spans="2:16">
      <c r="B52" s="9" t="str">
        <f t="shared" si="0"/>
        <v/>
      </c>
      <c r="C52" s="153">
        <f>IF(D11="","-",+C51+1)</f>
        <v>2050</v>
      </c>
      <c r="D52" s="159">
        <f>IF(F51+SUM(E$17:E51)=D$10,F51,D$10-SUM(E$17:E51))</f>
        <v>2847782.0828133952</v>
      </c>
      <c r="E52" s="160">
        <f t="shared" si="2"/>
        <v>322137.20930232556</v>
      </c>
      <c r="F52" s="159">
        <f t="shared" si="3"/>
        <v>2525644.8735110695</v>
      </c>
      <c r="G52" s="161">
        <f t="shared" si="9"/>
        <v>589614.77632561827</v>
      </c>
      <c r="H52" s="142">
        <f t="shared" si="10"/>
        <v>589614.77632561827</v>
      </c>
      <c r="I52" s="156">
        <f t="shared" si="1"/>
        <v>0</v>
      </c>
      <c r="J52" s="156"/>
      <c r="K52" s="334"/>
      <c r="L52" s="158">
        <f t="shared" si="6"/>
        <v>0</v>
      </c>
      <c r="M52" s="334"/>
      <c r="N52" s="158">
        <f t="shared" si="7"/>
        <v>0</v>
      </c>
      <c r="O52" s="158">
        <f t="shared" si="8"/>
        <v>0</v>
      </c>
      <c r="P52" s="4"/>
    </row>
    <row r="53" spans="2:16">
      <c r="B53" s="9" t="str">
        <f t="shared" si="0"/>
        <v/>
      </c>
      <c r="C53" s="153">
        <f>IF(D11="","-",+C52+1)</f>
        <v>2051</v>
      </c>
      <c r="D53" s="159">
        <f>IF(F52+SUM(E$17:E52)=D$10,F52,D$10-SUM(E$17:E52))</f>
        <v>2525644.8735110695</v>
      </c>
      <c r="E53" s="160">
        <f t="shared" si="2"/>
        <v>322137.20930232556</v>
      </c>
      <c r="F53" s="159">
        <f t="shared" si="3"/>
        <v>2203507.6642087437</v>
      </c>
      <c r="G53" s="161">
        <f t="shared" si="9"/>
        <v>557544.18982943648</v>
      </c>
      <c r="H53" s="142">
        <f t="shared" si="10"/>
        <v>557544.18982943648</v>
      </c>
      <c r="I53" s="156">
        <f t="shared" si="1"/>
        <v>0</v>
      </c>
      <c r="J53" s="156"/>
      <c r="K53" s="334"/>
      <c r="L53" s="158">
        <f t="shared" si="6"/>
        <v>0</v>
      </c>
      <c r="M53" s="334"/>
      <c r="N53" s="158">
        <f t="shared" si="7"/>
        <v>0</v>
      </c>
      <c r="O53" s="158">
        <f t="shared" si="8"/>
        <v>0</v>
      </c>
      <c r="P53" s="4"/>
    </row>
    <row r="54" spans="2:16">
      <c r="B54" s="9" t="str">
        <f t="shared" si="0"/>
        <v/>
      </c>
      <c r="C54" s="153">
        <f>IF(D11="","-",+C53+1)</f>
        <v>2052</v>
      </c>
      <c r="D54" s="159">
        <f>IF(F53+SUM(E$17:E53)=D$10,F53,D$10-SUM(E$17:E53))</f>
        <v>2203507.6642087437</v>
      </c>
      <c r="E54" s="160">
        <f t="shared" si="2"/>
        <v>322137.20930232556</v>
      </c>
      <c r="F54" s="159">
        <f t="shared" si="3"/>
        <v>1881370.4549064182</v>
      </c>
      <c r="G54" s="161">
        <f t="shared" si="9"/>
        <v>525473.60333325469</v>
      </c>
      <c r="H54" s="142">
        <f t="shared" si="10"/>
        <v>525473.60333325469</v>
      </c>
      <c r="I54" s="156">
        <f t="shared" si="1"/>
        <v>0</v>
      </c>
      <c r="J54" s="156"/>
      <c r="K54" s="334"/>
      <c r="L54" s="158">
        <f t="shared" si="6"/>
        <v>0</v>
      </c>
      <c r="M54" s="334"/>
      <c r="N54" s="158">
        <f t="shared" si="7"/>
        <v>0</v>
      </c>
      <c r="O54" s="158">
        <f t="shared" si="8"/>
        <v>0</v>
      </c>
      <c r="P54" s="4"/>
    </row>
    <row r="55" spans="2:16">
      <c r="B55" s="9" t="str">
        <f t="shared" si="0"/>
        <v/>
      </c>
      <c r="C55" s="153">
        <f>IF(D11="","-",+C54+1)</f>
        <v>2053</v>
      </c>
      <c r="D55" s="159">
        <f>IF(F54+SUM(E$17:E54)=D$10,F54,D$10-SUM(E$17:E54))</f>
        <v>1881370.4549064182</v>
      </c>
      <c r="E55" s="160">
        <f t="shared" si="2"/>
        <v>322137.20930232556</v>
      </c>
      <c r="F55" s="159">
        <f t="shared" si="3"/>
        <v>1559233.2456040927</v>
      </c>
      <c r="G55" s="161">
        <f t="shared" si="9"/>
        <v>493403.01683707291</v>
      </c>
      <c r="H55" s="142">
        <f t="shared" si="10"/>
        <v>493403.01683707291</v>
      </c>
      <c r="I55" s="156">
        <f t="shared" si="1"/>
        <v>0</v>
      </c>
      <c r="J55" s="156"/>
      <c r="K55" s="334"/>
      <c r="L55" s="158">
        <f t="shared" si="6"/>
        <v>0</v>
      </c>
      <c r="M55" s="334"/>
      <c r="N55" s="158">
        <f t="shared" si="7"/>
        <v>0</v>
      </c>
      <c r="O55" s="158">
        <f t="shared" si="8"/>
        <v>0</v>
      </c>
      <c r="P55" s="4"/>
    </row>
    <row r="56" spans="2:16">
      <c r="B56" s="9" t="str">
        <f t="shared" si="0"/>
        <v/>
      </c>
      <c r="C56" s="153">
        <f>IF(D11="","-",+C55+1)</f>
        <v>2054</v>
      </c>
      <c r="D56" s="159">
        <f>IF(F55+SUM(E$17:E55)=D$10,F55,D$10-SUM(E$17:E55))</f>
        <v>1559233.2456040927</v>
      </c>
      <c r="E56" s="160">
        <f t="shared" si="2"/>
        <v>322137.20930232556</v>
      </c>
      <c r="F56" s="159">
        <f t="shared" si="3"/>
        <v>1237096.0363017672</v>
      </c>
      <c r="G56" s="161">
        <f t="shared" si="9"/>
        <v>461332.43034089112</v>
      </c>
      <c r="H56" s="142">
        <f t="shared" si="10"/>
        <v>461332.43034089112</v>
      </c>
      <c r="I56" s="156">
        <f t="shared" si="1"/>
        <v>0</v>
      </c>
      <c r="J56" s="156"/>
      <c r="K56" s="334"/>
      <c r="L56" s="158">
        <f t="shared" si="6"/>
        <v>0</v>
      </c>
      <c r="M56" s="334"/>
      <c r="N56" s="158">
        <f t="shared" si="7"/>
        <v>0</v>
      </c>
      <c r="O56" s="158">
        <f t="shared" si="8"/>
        <v>0</v>
      </c>
      <c r="P56" s="4"/>
    </row>
    <row r="57" spans="2:16">
      <c r="B57" s="9" t="str">
        <f t="shared" si="0"/>
        <v/>
      </c>
      <c r="C57" s="153">
        <f>IF(D11="","-",+C56+1)</f>
        <v>2055</v>
      </c>
      <c r="D57" s="159">
        <f>IF(F56+SUM(E$17:E56)=D$10,F56,D$10-SUM(E$17:E56))</f>
        <v>1237096.0363017672</v>
      </c>
      <c r="E57" s="160">
        <f t="shared" si="2"/>
        <v>322137.20930232556</v>
      </c>
      <c r="F57" s="159">
        <f t="shared" si="3"/>
        <v>914958.82699944172</v>
      </c>
      <c r="G57" s="161">
        <f t="shared" si="9"/>
        <v>429261.84384470939</v>
      </c>
      <c r="H57" s="142">
        <f t="shared" si="10"/>
        <v>429261.84384470939</v>
      </c>
      <c r="I57" s="156">
        <f t="shared" si="1"/>
        <v>0</v>
      </c>
      <c r="J57" s="156"/>
      <c r="K57" s="334"/>
      <c r="L57" s="158">
        <f t="shared" si="6"/>
        <v>0</v>
      </c>
      <c r="M57" s="334"/>
      <c r="N57" s="158">
        <f t="shared" si="7"/>
        <v>0</v>
      </c>
      <c r="O57" s="158">
        <f t="shared" si="8"/>
        <v>0</v>
      </c>
      <c r="P57" s="4"/>
    </row>
    <row r="58" spans="2:16">
      <c r="B58" s="9" t="str">
        <f t="shared" si="0"/>
        <v/>
      </c>
      <c r="C58" s="153">
        <f>IF(D11="","-",+C57+1)</f>
        <v>2056</v>
      </c>
      <c r="D58" s="159">
        <f>IF(F57+SUM(E$17:E57)=D$10,F57,D$10-SUM(E$17:E57))</f>
        <v>914958.82699944172</v>
      </c>
      <c r="E58" s="160">
        <f t="shared" si="2"/>
        <v>322137.20930232556</v>
      </c>
      <c r="F58" s="159">
        <f t="shared" si="3"/>
        <v>592821.61769711622</v>
      </c>
      <c r="G58" s="161">
        <f t="shared" si="9"/>
        <v>397191.25734852761</v>
      </c>
      <c r="H58" s="142">
        <f t="shared" si="10"/>
        <v>397191.25734852761</v>
      </c>
      <c r="I58" s="156">
        <f t="shared" si="1"/>
        <v>0</v>
      </c>
      <c r="J58" s="156"/>
      <c r="K58" s="334"/>
      <c r="L58" s="158">
        <f t="shared" si="6"/>
        <v>0</v>
      </c>
      <c r="M58" s="334"/>
      <c r="N58" s="158">
        <f t="shared" si="7"/>
        <v>0</v>
      </c>
      <c r="O58" s="158">
        <f t="shared" si="8"/>
        <v>0</v>
      </c>
      <c r="P58" s="4"/>
    </row>
    <row r="59" spans="2:16">
      <c r="B59" s="9" t="str">
        <f t="shared" si="0"/>
        <v/>
      </c>
      <c r="C59" s="153">
        <f>IF(D11="","-",+C58+1)</f>
        <v>2057</v>
      </c>
      <c r="D59" s="159">
        <f>IF(F58+SUM(E$17:E58)=D$10,F58,D$10-SUM(E$17:E58))</f>
        <v>592821.61769711622</v>
      </c>
      <c r="E59" s="160">
        <f t="shared" si="2"/>
        <v>322137.20930232556</v>
      </c>
      <c r="F59" s="159">
        <f t="shared" si="3"/>
        <v>270684.40839479066</v>
      </c>
      <c r="G59" s="161">
        <f t="shared" si="9"/>
        <v>365120.67085234582</v>
      </c>
      <c r="H59" s="142">
        <f t="shared" si="10"/>
        <v>365120.67085234582</v>
      </c>
      <c r="I59" s="156">
        <f t="shared" si="1"/>
        <v>0</v>
      </c>
      <c r="J59" s="156"/>
      <c r="K59" s="334"/>
      <c r="L59" s="158">
        <f t="shared" si="6"/>
        <v>0</v>
      </c>
      <c r="M59" s="334"/>
      <c r="N59" s="158">
        <f t="shared" si="7"/>
        <v>0</v>
      </c>
      <c r="O59" s="158">
        <f t="shared" si="8"/>
        <v>0</v>
      </c>
      <c r="P59" s="4"/>
    </row>
    <row r="60" spans="2:16">
      <c r="B60" s="9" t="str">
        <f t="shared" si="0"/>
        <v/>
      </c>
      <c r="C60" s="153">
        <f>IF(D11="","-",+C59+1)</f>
        <v>2058</v>
      </c>
      <c r="D60" s="159">
        <f>IF(F59+SUM(E$17:E59)=D$10,F59,D$10-SUM(E$17:E59))</f>
        <v>270684.40839479066</v>
      </c>
      <c r="E60" s="160">
        <f t="shared" si="2"/>
        <v>270684.40839479066</v>
      </c>
      <c r="F60" s="159">
        <f t="shared" si="3"/>
        <v>0</v>
      </c>
      <c r="G60" s="161">
        <f t="shared" si="9"/>
        <v>284158.49254575535</v>
      </c>
      <c r="H60" s="142">
        <f t="shared" si="10"/>
        <v>284158.49254575535</v>
      </c>
      <c r="I60" s="156">
        <f t="shared" si="1"/>
        <v>0</v>
      </c>
      <c r="J60" s="156"/>
      <c r="K60" s="334"/>
      <c r="L60" s="158">
        <f t="shared" si="6"/>
        <v>0</v>
      </c>
      <c r="M60" s="334"/>
      <c r="N60" s="158">
        <f t="shared" si="7"/>
        <v>0</v>
      </c>
      <c r="O60" s="158">
        <f t="shared" si="8"/>
        <v>0</v>
      </c>
      <c r="P60" s="4"/>
    </row>
    <row r="61" spans="2:16">
      <c r="B61" s="9" t="str">
        <f t="shared" si="0"/>
        <v/>
      </c>
      <c r="C61" s="153">
        <f>IF(D11="","-",+C60+1)</f>
        <v>2059</v>
      </c>
      <c r="D61" s="159">
        <f>IF(F60+SUM(E$17:E60)=D$10,F60,D$10-SUM(E$17:E60))</f>
        <v>0</v>
      </c>
      <c r="E61" s="160">
        <f t="shared" si="2"/>
        <v>0</v>
      </c>
      <c r="F61" s="159">
        <f t="shared" si="3"/>
        <v>0</v>
      </c>
      <c r="G61" s="161">
        <f t="shared" si="9"/>
        <v>0</v>
      </c>
      <c r="H61" s="142">
        <f t="shared" si="10"/>
        <v>0</v>
      </c>
      <c r="I61" s="156">
        <f t="shared" si="1"/>
        <v>0</v>
      </c>
      <c r="J61" s="156"/>
      <c r="K61" s="334"/>
      <c r="L61" s="158">
        <f t="shared" si="6"/>
        <v>0</v>
      </c>
      <c r="M61" s="334"/>
      <c r="N61" s="158">
        <f t="shared" si="7"/>
        <v>0</v>
      </c>
      <c r="O61" s="158">
        <f t="shared" si="8"/>
        <v>0</v>
      </c>
      <c r="P61" s="4"/>
    </row>
    <row r="62" spans="2:16">
      <c r="B62" s="9" t="str">
        <f t="shared" si="0"/>
        <v/>
      </c>
      <c r="C62" s="153">
        <f>IF(D11="","-",+C61+1)</f>
        <v>2060</v>
      </c>
      <c r="D62" s="159">
        <f>IF(F61+SUM(E$17:E61)=D$10,F61,D$10-SUM(E$17:E61))</f>
        <v>0</v>
      </c>
      <c r="E62" s="160">
        <f t="shared" si="2"/>
        <v>0</v>
      </c>
      <c r="F62" s="159">
        <f t="shared" si="3"/>
        <v>0</v>
      </c>
      <c r="G62" s="161">
        <f t="shared" si="9"/>
        <v>0</v>
      </c>
      <c r="H62" s="142">
        <f t="shared" si="10"/>
        <v>0</v>
      </c>
      <c r="I62" s="156">
        <f t="shared" si="1"/>
        <v>0</v>
      </c>
      <c r="J62" s="156"/>
      <c r="K62" s="334"/>
      <c r="L62" s="158">
        <f t="shared" si="6"/>
        <v>0</v>
      </c>
      <c r="M62" s="334"/>
      <c r="N62" s="158">
        <f t="shared" si="7"/>
        <v>0</v>
      </c>
      <c r="O62" s="158">
        <f t="shared" si="8"/>
        <v>0</v>
      </c>
      <c r="P62" s="4"/>
    </row>
    <row r="63" spans="2:16">
      <c r="B63" s="9" t="str">
        <f t="shared" si="0"/>
        <v/>
      </c>
      <c r="C63" s="153">
        <f>IF(D11="","-",+C62+1)</f>
        <v>2061</v>
      </c>
      <c r="D63" s="159">
        <f>IF(F62+SUM(E$17:E62)=D$10,F62,D$10-SUM(E$17:E62))</f>
        <v>0</v>
      </c>
      <c r="E63" s="160">
        <f t="shared" si="2"/>
        <v>0</v>
      </c>
      <c r="F63" s="159">
        <f t="shared" si="3"/>
        <v>0</v>
      </c>
      <c r="G63" s="161">
        <f t="shared" si="9"/>
        <v>0</v>
      </c>
      <c r="H63" s="142">
        <f t="shared" si="10"/>
        <v>0</v>
      </c>
      <c r="I63" s="156">
        <f t="shared" si="1"/>
        <v>0</v>
      </c>
      <c r="J63" s="156"/>
      <c r="K63" s="334"/>
      <c r="L63" s="158">
        <f t="shared" si="6"/>
        <v>0</v>
      </c>
      <c r="M63" s="334"/>
      <c r="N63" s="158">
        <f t="shared" si="7"/>
        <v>0</v>
      </c>
      <c r="O63" s="158">
        <f t="shared" si="8"/>
        <v>0</v>
      </c>
      <c r="P63" s="4"/>
    </row>
    <row r="64" spans="2:16">
      <c r="B64" s="9" t="str">
        <f t="shared" si="0"/>
        <v/>
      </c>
      <c r="C64" s="153">
        <f>IF(D11="","-",+C63+1)</f>
        <v>2062</v>
      </c>
      <c r="D64" s="159">
        <f>IF(F63+SUM(E$17:E63)=D$10,F63,D$10-SUM(E$17:E63))</f>
        <v>0</v>
      </c>
      <c r="E64" s="160">
        <f t="shared" si="2"/>
        <v>0</v>
      </c>
      <c r="F64" s="159">
        <f t="shared" si="3"/>
        <v>0</v>
      </c>
      <c r="G64" s="161">
        <f t="shared" si="9"/>
        <v>0</v>
      </c>
      <c r="H64" s="142">
        <f t="shared" si="10"/>
        <v>0</v>
      </c>
      <c r="I64" s="156">
        <f t="shared" si="1"/>
        <v>0</v>
      </c>
      <c r="J64" s="156"/>
      <c r="K64" s="334"/>
      <c r="L64" s="158">
        <f t="shared" si="6"/>
        <v>0</v>
      </c>
      <c r="M64" s="334"/>
      <c r="N64" s="158">
        <f t="shared" si="7"/>
        <v>0</v>
      </c>
      <c r="O64" s="158">
        <f t="shared" si="8"/>
        <v>0</v>
      </c>
      <c r="P64" s="4"/>
    </row>
    <row r="65" spans="2:16">
      <c r="B65" s="9" t="str">
        <f t="shared" si="0"/>
        <v/>
      </c>
      <c r="C65" s="153">
        <f>IF(D11="","-",+C64+1)</f>
        <v>2063</v>
      </c>
      <c r="D65" s="159">
        <f>IF(F64+SUM(E$17:E64)=D$10,F64,D$10-SUM(E$17:E64))</f>
        <v>0</v>
      </c>
      <c r="E65" s="160">
        <f t="shared" si="2"/>
        <v>0</v>
      </c>
      <c r="F65" s="159">
        <f t="shared" si="3"/>
        <v>0</v>
      </c>
      <c r="G65" s="161">
        <f t="shared" si="9"/>
        <v>0</v>
      </c>
      <c r="H65" s="142">
        <f t="shared" si="10"/>
        <v>0</v>
      </c>
      <c r="I65" s="156">
        <f t="shared" si="1"/>
        <v>0</v>
      </c>
      <c r="J65" s="156"/>
      <c r="K65" s="334"/>
      <c r="L65" s="158">
        <f t="shared" si="6"/>
        <v>0</v>
      </c>
      <c r="M65" s="334"/>
      <c r="N65" s="158">
        <f t="shared" si="7"/>
        <v>0</v>
      </c>
      <c r="O65" s="158">
        <f t="shared" si="8"/>
        <v>0</v>
      </c>
      <c r="P65" s="4"/>
    </row>
    <row r="66" spans="2:16">
      <c r="B66" s="9" t="str">
        <f t="shared" si="0"/>
        <v/>
      </c>
      <c r="C66" s="153">
        <f>IF(D11="","-",+C65+1)</f>
        <v>2064</v>
      </c>
      <c r="D66" s="159">
        <f>IF(F65+SUM(E$17:E65)=D$10,F65,D$10-SUM(E$17:E65))</f>
        <v>0</v>
      </c>
      <c r="E66" s="160">
        <f t="shared" si="2"/>
        <v>0</v>
      </c>
      <c r="F66" s="159">
        <f t="shared" si="3"/>
        <v>0</v>
      </c>
      <c r="G66" s="161">
        <f t="shared" si="9"/>
        <v>0</v>
      </c>
      <c r="H66" s="142">
        <f t="shared" si="10"/>
        <v>0</v>
      </c>
      <c r="I66" s="156">
        <f t="shared" si="1"/>
        <v>0</v>
      </c>
      <c r="J66" s="156"/>
      <c r="K66" s="334"/>
      <c r="L66" s="158">
        <f t="shared" si="6"/>
        <v>0</v>
      </c>
      <c r="M66" s="334"/>
      <c r="N66" s="158">
        <f t="shared" si="7"/>
        <v>0</v>
      </c>
      <c r="O66" s="158">
        <f t="shared" si="8"/>
        <v>0</v>
      </c>
      <c r="P66" s="4"/>
    </row>
    <row r="67" spans="2:16">
      <c r="B67" s="9" t="str">
        <f t="shared" si="0"/>
        <v/>
      </c>
      <c r="C67" s="153">
        <f>IF(D11="","-",+C66+1)</f>
        <v>2065</v>
      </c>
      <c r="D67" s="159">
        <f>IF(F66+SUM(E$17:E66)=D$10,F66,D$10-SUM(E$17:E66))</f>
        <v>0</v>
      </c>
      <c r="E67" s="160">
        <f t="shared" si="2"/>
        <v>0</v>
      </c>
      <c r="F67" s="159">
        <f t="shared" si="3"/>
        <v>0</v>
      </c>
      <c r="G67" s="161">
        <f t="shared" si="9"/>
        <v>0</v>
      </c>
      <c r="H67" s="142">
        <f t="shared" si="10"/>
        <v>0</v>
      </c>
      <c r="I67" s="156">
        <f t="shared" si="1"/>
        <v>0</v>
      </c>
      <c r="J67" s="156"/>
      <c r="K67" s="334"/>
      <c r="L67" s="158">
        <f t="shared" si="6"/>
        <v>0</v>
      </c>
      <c r="M67" s="334"/>
      <c r="N67" s="158">
        <f t="shared" si="7"/>
        <v>0</v>
      </c>
      <c r="O67" s="158">
        <f t="shared" si="8"/>
        <v>0</v>
      </c>
      <c r="P67" s="4"/>
    </row>
    <row r="68" spans="2:16">
      <c r="B68" s="9" t="str">
        <f t="shared" si="0"/>
        <v/>
      </c>
      <c r="C68" s="153">
        <f>IF(D11="","-",+C67+1)</f>
        <v>2066</v>
      </c>
      <c r="D68" s="159">
        <f>IF(F67+SUM(E$17:E67)=D$10,F67,D$10-SUM(E$17:E67))</f>
        <v>0</v>
      </c>
      <c r="E68" s="160">
        <f t="shared" si="2"/>
        <v>0</v>
      </c>
      <c r="F68" s="159">
        <f t="shared" si="3"/>
        <v>0</v>
      </c>
      <c r="G68" s="161">
        <f t="shared" si="9"/>
        <v>0</v>
      </c>
      <c r="H68" s="142">
        <f t="shared" si="10"/>
        <v>0</v>
      </c>
      <c r="I68" s="156">
        <f t="shared" si="1"/>
        <v>0</v>
      </c>
      <c r="J68" s="156"/>
      <c r="K68" s="334"/>
      <c r="L68" s="158">
        <f t="shared" si="6"/>
        <v>0</v>
      </c>
      <c r="M68" s="334"/>
      <c r="N68" s="158">
        <f t="shared" si="7"/>
        <v>0</v>
      </c>
      <c r="O68" s="158">
        <f t="shared" si="8"/>
        <v>0</v>
      </c>
      <c r="P68" s="4"/>
    </row>
    <row r="69" spans="2:16">
      <c r="B69" s="9" t="str">
        <f t="shared" si="0"/>
        <v/>
      </c>
      <c r="C69" s="153">
        <f>IF(D11="","-",+C68+1)</f>
        <v>2067</v>
      </c>
      <c r="D69" s="159">
        <f>IF(F68+SUM(E$17:E68)=D$10,F68,D$10-SUM(E$17:E68))</f>
        <v>0</v>
      </c>
      <c r="E69" s="160">
        <f t="shared" si="2"/>
        <v>0</v>
      </c>
      <c r="F69" s="159">
        <f t="shared" si="3"/>
        <v>0</v>
      </c>
      <c r="G69" s="161">
        <f t="shared" si="9"/>
        <v>0</v>
      </c>
      <c r="H69" s="142">
        <f t="shared" si="10"/>
        <v>0</v>
      </c>
      <c r="I69" s="156">
        <f t="shared" si="1"/>
        <v>0</v>
      </c>
      <c r="J69" s="156"/>
      <c r="K69" s="334"/>
      <c r="L69" s="158">
        <f t="shared" si="6"/>
        <v>0</v>
      </c>
      <c r="M69" s="334"/>
      <c r="N69" s="158">
        <f t="shared" si="7"/>
        <v>0</v>
      </c>
      <c r="O69" s="158">
        <f t="shared" si="8"/>
        <v>0</v>
      </c>
      <c r="P69" s="4"/>
    </row>
    <row r="70" spans="2:16">
      <c r="B70" s="9" t="str">
        <f t="shared" si="0"/>
        <v/>
      </c>
      <c r="C70" s="153">
        <f>IF(D11="","-",+C69+1)</f>
        <v>2068</v>
      </c>
      <c r="D70" s="159">
        <f>IF(F69+SUM(E$17:E69)=D$10,F69,D$10-SUM(E$17:E69))</f>
        <v>0</v>
      </c>
      <c r="E70" s="160">
        <f t="shared" si="2"/>
        <v>0</v>
      </c>
      <c r="F70" s="159">
        <f t="shared" si="3"/>
        <v>0</v>
      </c>
      <c r="G70" s="161">
        <f t="shared" si="9"/>
        <v>0</v>
      </c>
      <c r="H70" s="142">
        <f t="shared" si="10"/>
        <v>0</v>
      </c>
      <c r="I70" s="156">
        <f t="shared" si="1"/>
        <v>0</v>
      </c>
      <c r="J70" s="156"/>
      <c r="K70" s="334"/>
      <c r="L70" s="158">
        <f t="shared" si="6"/>
        <v>0</v>
      </c>
      <c r="M70" s="334"/>
      <c r="N70" s="158">
        <f t="shared" si="7"/>
        <v>0</v>
      </c>
      <c r="O70" s="158">
        <f t="shared" si="8"/>
        <v>0</v>
      </c>
      <c r="P70" s="4"/>
    </row>
    <row r="71" spans="2:16">
      <c r="B71" s="9" t="str">
        <f t="shared" si="0"/>
        <v/>
      </c>
      <c r="C71" s="153">
        <f>IF(D11="","-",+C70+1)</f>
        <v>2069</v>
      </c>
      <c r="D71" s="159">
        <f>IF(F70+SUM(E$17:E70)=D$10,F70,D$10-SUM(E$17:E70))</f>
        <v>0</v>
      </c>
      <c r="E71" s="160">
        <f t="shared" si="2"/>
        <v>0</v>
      </c>
      <c r="F71" s="159">
        <f t="shared" si="3"/>
        <v>0</v>
      </c>
      <c r="G71" s="161">
        <f t="shared" si="9"/>
        <v>0</v>
      </c>
      <c r="H71" s="142">
        <f t="shared" si="10"/>
        <v>0</v>
      </c>
      <c r="I71" s="156">
        <f t="shared" si="1"/>
        <v>0</v>
      </c>
      <c r="J71" s="156"/>
      <c r="K71" s="334"/>
      <c r="L71" s="158">
        <f t="shared" si="6"/>
        <v>0</v>
      </c>
      <c r="M71" s="334"/>
      <c r="N71" s="158">
        <f t="shared" si="7"/>
        <v>0</v>
      </c>
      <c r="O71" s="158">
        <f t="shared" si="8"/>
        <v>0</v>
      </c>
      <c r="P71" s="4"/>
    </row>
    <row r="72" spans="2:16" ht="13.5" thickBot="1">
      <c r="B72" s="9" t="str">
        <f t="shared" si="0"/>
        <v/>
      </c>
      <c r="C72" s="164">
        <f>IF(D11="","-",+C71+1)</f>
        <v>2070</v>
      </c>
      <c r="D72" s="159">
        <f>IF(F71+SUM(E$17:E71)=D$10,F71,D$10-SUM(E$17:E71))</f>
        <v>0</v>
      </c>
      <c r="E72" s="160">
        <f t="shared" si="2"/>
        <v>0</v>
      </c>
      <c r="F72" s="159">
        <f t="shared" si="3"/>
        <v>0</v>
      </c>
      <c r="G72" s="161">
        <f t="shared" si="9"/>
        <v>0</v>
      </c>
      <c r="H72" s="142">
        <f t="shared" si="10"/>
        <v>0</v>
      </c>
      <c r="I72" s="156">
        <f t="shared" si="1"/>
        <v>0</v>
      </c>
      <c r="J72" s="156"/>
      <c r="K72" s="335"/>
      <c r="L72" s="169">
        <f t="shared" si="6"/>
        <v>0</v>
      </c>
      <c r="M72" s="335"/>
      <c r="N72" s="169">
        <f t="shared" si="7"/>
        <v>0</v>
      </c>
      <c r="O72" s="169">
        <f t="shared" si="8"/>
        <v>0</v>
      </c>
      <c r="P72" s="4"/>
    </row>
    <row r="73" spans="2:16">
      <c r="C73" s="154" t="s">
        <v>73</v>
      </c>
      <c r="D73" s="111"/>
      <c r="E73" s="111">
        <f>SUM(E17:E72)</f>
        <v>13851899.999999998</v>
      </c>
      <c r="F73" s="111"/>
      <c r="G73" s="111">
        <f>SUM(G17:G72)</f>
        <v>45992930.177766316</v>
      </c>
      <c r="H73" s="111">
        <f>SUM(H17:H72)</f>
        <v>45992930.177766316</v>
      </c>
      <c r="I73" s="111">
        <f>SUM(I17:I72)</f>
        <v>0</v>
      </c>
      <c r="J73" s="111"/>
      <c r="K73" s="111"/>
      <c r="L73" s="111"/>
      <c r="M73" s="111"/>
      <c r="N73" s="111"/>
      <c r="O73" s="4"/>
      <c r="P73" s="4"/>
    </row>
    <row r="74" spans="2:16">
      <c r="D74" s="2"/>
      <c r="E74" s="1"/>
      <c r="F74" s="1"/>
      <c r="G74" s="1"/>
      <c r="H74" s="3"/>
      <c r="I74" s="3"/>
      <c r="J74" s="111"/>
      <c r="K74" s="3"/>
      <c r="L74" s="3"/>
      <c r="M74" s="3"/>
      <c r="N74" s="3"/>
      <c r="O74" s="1"/>
      <c r="P74" s="1"/>
    </row>
    <row r="75" spans="2:16">
      <c r="C75" s="170" t="s">
        <v>91</v>
      </c>
      <c r="D75" s="2"/>
      <c r="E75" s="1"/>
      <c r="F75" s="1"/>
      <c r="G75" s="1"/>
      <c r="H75" s="3"/>
      <c r="I75" s="3"/>
      <c r="J75" s="111"/>
      <c r="K75" s="3"/>
      <c r="L75" s="3"/>
      <c r="M75" s="3"/>
      <c r="N75" s="3"/>
      <c r="O75" s="1"/>
      <c r="P75" s="1"/>
    </row>
    <row r="76" spans="2:16">
      <c r="C76" s="121" t="s">
        <v>74</v>
      </c>
      <c r="D76" s="2"/>
      <c r="E76" s="1"/>
      <c r="F76" s="1"/>
      <c r="G76" s="1"/>
      <c r="H76" s="3"/>
      <c r="I76" s="3"/>
      <c r="J76" s="111"/>
      <c r="K76" s="3"/>
      <c r="L76" s="3"/>
      <c r="M76" s="3"/>
      <c r="N76" s="3"/>
      <c r="O76" s="4"/>
      <c r="P76" s="4"/>
    </row>
    <row r="77" spans="2:16">
      <c r="C77" s="121" t="s">
        <v>75</v>
      </c>
      <c r="D77" s="154"/>
      <c r="E77" s="154"/>
      <c r="F77" s="154"/>
      <c r="G77" s="111"/>
      <c r="H77" s="111"/>
      <c r="I77" s="171"/>
      <c r="J77" s="171"/>
      <c r="K77" s="171"/>
      <c r="L77" s="171"/>
      <c r="M77" s="171"/>
      <c r="N77" s="171"/>
      <c r="O77" s="4"/>
      <c r="P77" s="4"/>
    </row>
    <row r="78" spans="2:16">
      <c r="C78" s="121"/>
      <c r="D78" s="154"/>
      <c r="E78" s="154"/>
      <c r="F78" s="154"/>
      <c r="G78" s="111"/>
      <c r="H78" s="111"/>
      <c r="I78" s="171"/>
      <c r="J78" s="171"/>
      <c r="K78" s="171"/>
      <c r="L78" s="171"/>
      <c r="M78" s="171"/>
      <c r="N78" s="171"/>
      <c r="O78" s="4"/>
      <c r="P78" s="1"/>
    </row>
    <row r="79" spans="2:16">
      <c r="B79" s="1"/>
      <c r="C79" s="21"/>
      <c r="D79" s="2"/>
      <c r="E79" s="1"/>
      <c r="F79" s="107"/>
      <c r="G79" s="1"/>
      <c r="H79" s="3"/>
      <c r="I79" s="1"/>
      <c r="J79" s="4"/>
      <c r="K79" s="1"/>
      <c r="L79" s="1"/>
      <c r="M79" s="1"/>
      <c r="N79" s="1"/>
      <c r="O79" s="1"/>
      <c r="P79" s="1"/>
    </row>
    <row r="80" spans="2:16" ht="18">
      <c r="B80" s="1"/>
      <c r="C80" s="242"/>
      <c r="D80" s="2"/>
      <c r="E80" s="1"/>
      <c r="F80" s="107"/>
      <c r="G80" s="1"/>
      <c r="H80" s="3"/>
      <c r="I80" s="1"/>
      <c r="J80" s="4"/>
      <c r="K80" s="1"/>
      <c r="L80" s="1"/>
      <c r="M80" s="1"/>
      <c r="N80" s="1"/>
      <c r="P80" s="244" t="s">
        <v>125</v>
      </c>
    </row>
    <row r="81" spans="1:16">
      <c r="B81" s="1"/>
      <c r="C81" s="21"/>
      <c r="D81" s="2"/>
      <c r="E81" s="1"/>
      <c r="F81" s="107"/>
      <c r="G81" s="1"/>
      <c r="H81" s="3"/>
      <c r="I81" s="1"/>
      <c r="J81" s="4"/>
      <c r="K81" s="1"/>
      <c r="L81" s="1"/>
      <c r="M81" s="1"/>
      <c r="N81" s="1"/>
      <c r="O81" s="1"/>
      <c r="P81" s="1"/>
    </row>
    <row r="82" spans="1:16">
      <c r="B82" s="1"/>
      <c r="C82" s="21"/>
      <c r="D82" s="2"/>
      <c r="E82" s="1"/>
      <c r="F82" s="107"/>
      <c r="G82" s="1"/>
      <c r="H82" s="3"/>
      <c r="I82" s="1"/>
      <c r="J82" s="4"/>
      <c r="K82" s="1"/>
      <c r="L82" s="1"/>
      <c r="M82" s="1"/>
      <c r="N82" s="1"/>
      <c r="O82" s="1"/>
      <c r="P82" s="1"/>
    </row>
    <row r="83" spans="1:16" ht="20.25">
      <c r="A83" s="243" t="s">
        <v>129</v>
      </c>
      <c r="B83" s="1"/>
      <c r="C83" s="21"/>
      <c r="D83" s="2"/>
      <c r="E83" s="1"/>
      <c r="F83" s="99"/>
      <c r="G83" s="99"/>
      <c r="H83" s="1"/>
      <c r="I83" s="3"/>
      <c r="K83" s="7"/>
      <c r="L83" s="109"/>
      <c r="M83" s="109"/>
      <c r="P83" s="109" t="str">
        <f ca="1">P1</f>
        <v>SWEPCO Project 54 of 73</v>
      </c>
    </row>
    <row r="84" spans="1:16" ht="18">
      <c r="B84" s="1"/>
      <c r="C84" s="1"/>
      <c r="D84" s="2"/>
      <c r="E84" s="1"/>
      <c r="F84" s="1"/>
      <c r="G84" s="1"/>
      <c r="H84" s="1"/>
      <c r="I84" s="3"/>
      <c r="J84" s="1"/>
      <c r="K84" s="4"/>
      <c r="L84" s="1"/>
      <c r="M84" s="1"/>
      <c r="P84" s="244" t="s">
        <v>123</v>
      </c>
    </row>
    <row r="85" spans="1:16" ht="18.75" thickBot="1">
      <c r="B85" s="5" t="s">
        <v>40</v>
      </c>
      <c r="C85" s="197" t="s">
        <v>78</v>
      </c>
      <c r="D85" s="2"/>
      <c r="E85" s="1"/>
      <c r="F85" s="1"/>
      <c r="G85" s="1"/>
      <c r="H85" s="1"/>
      <c r="I85" s="3"/>
      <c r="J85" s="3"/>
      <c r="K85" s="111"/>
      <c r="L85" s="3"/>
      <c r="M85" s="3"/>
      <c r="N85" s="3"/>
      <c r="O85" s="111"/>
      <c r="P85" s="1"/>
    </row>
    <row r="86" spans="1:16" ht="15.75" thickBot="1">
      <c r="C86" s="67"/>
      <c r="D86" s="2"/>
      <c r="E86" s="1"/>
      <c r="F86" s="1"/>
      <c r="G86" s="1"/>
      <c r="H86" s="1"/>
      <c r="I86" s="3"/>
      <c r="J86" s="3"/>
      <c r="K86" s="111"/>
      <c r="L86" s="265">
        <f>+J92</f>
        <v>2017</v>
      </c>
      <c r="M86" s="266" t="s">
        <v>7</v>
      </c>
      <c r="N86" s="270" t="s">
        <v>154</v>
      </c>
      <c r="O86" s="267" t="s">
        <v>9</v>
      </c>
      <c r="P86" s="1"/>
    </row>
    <row r="87" spans="1:16" ht="15">
      <c r="C87" s="235" t="s">
        <v>42</v>
      </c>
      <c r="D87" s="2"/>
      <c r="E87" s="1"/>
      <c r="F87" s="1"/>
      <c r="G87" s="1"/>
      <c r="H87" s="113"/>
      <c r="I87" s="1" t="s">
        <v>43</v>
      </c>
      <c r="J87" s="1"/>
      <c r="K87" s="261"/>
      <c r="L87" s="259" t="s">
        <v>381</v>
      </c>
      <c r="M87" s="198">
        <f>IF(J92&lt;D11,0,VLOOKUP(J92,C17:O72,9))</f>
        <v>1973990.8338267417</v>
      </c>
      <c r="N87" s="198">
        <f>IF(J92&lt;D11,0,VLOOKUP(J92,C17:O72,11))</f>
        <v>1973990.8338267417</v>
      </c>
      <c r="O87" s="199">
        <f>+N87-M87</f>
        <v>0</v>
      </c>
      <c r="P87" s="1"/>
    </row>
    <row r="88" spans="1:16" ht="15.75">
      <c r="C88" s="8"/>
      <c r="D88" s="2"/>
      <c r="E88" s="1"/>
      <c r="F88" s="1"/>
      <c r="G88" s="1"/>
      <c r="H88" s="1"/>
      <c r="I88" s="117"/>
      <c r="J88" s="117"/>
      <c r="K88" s="263"/>
      <c r="L88" s="264" t="s">
        <v>382</v>
      </c>
      <c r="M88" s="200">
        <f>IF(J92&lt;D11,0,VLOOKUP(J92,C99:P154,6))</f>
        <v>1949911.8027709834</v>
      </c>
      <c r="N88" s="200">
        <f>IF(J92&lt;D11,0,VLOOKUP(J92,C99:P154,7))</f>
        <v>1949911.8027709834</v>
      </c>
      <c r="O88" s="201">
        <f>+N88-M88</f>
        <v>0</v>
      </c>
      <c r="P88" s="1"/>
    </row>
    <row r="89" spans="1:16" ht="13.5" thickBot="1">
      <c r="C89" s="121" t="s">
        <v>79</v>
      </c>
      <c r="D89" s="246" t="str">
        <f>+D7</f>
        <v>Benteler - Port Robson 138 kV Ckt 1 and 2</v>
      </c>
      <c r="E89" s="1"/>
      <c r="F89" s="1"/>
      <c r="G89" s="1"/>
      <c r="H89" s="1"/>
      <c r="I89" s="3"/>
      <c r="J89" s="3"/>
      <c r="K89" s="262"/>
      <c r="L89" s="260" t="s">
        <v>151</v>
      </c>
      <c r="M89" s="203">
        <f>+M88-M87</f>
        <v>-24079.031055758242</v>
      </c>
      <c r="N89" s="203">
        <f>+N88-N87</f>
        <v>-24079.031055758242</v>
      </c>
      <c r="O89" s="204">
        <f>+O88-O87</f>
        <v>0</v>
      </c>
      <c r="P89" s="1"/>
    </row>
    <row r="90" spans="1:16" ht="13.5" thickBot="1">
      <c r="C90" s="170"/>
      <c r="D90" s="173" t="str">
        <f>D8</f>
        <v/>
      </c>
      <c r="E90" s="107"/>
      <c r="F90" s="107"/>
      <c r="G90" s="107"/>
      <c r="H90" s="126"/>
      <c r="I90" s="3"/>
      <c r="J90" s="3"/>
      <c r="K90" s="111"/>
      <c r="L90" s="3"/>
      <c r="M90" s="3"/>
      <c r="N90" s="3"/>
      <c r="O90" s="111"/>
      <c r="P90" s="1"/>
    </row>
    <row r="91" spans="1:16" ht="13.5" thickBot="1">
      <c r="A91" s="103"/>
      <c r="C91" s="205" t="s">
        <v>80</v>
      </c>
      <c r="D91" s="224">
        <f>+D9</f>
        <v>0</v>
      </c>
      <c r="E91" s="206"/>
      <c r="F91" s="206"/>
      <c r="G91" s="206"/>
      <c r="H91" s="206"/>
      <c r="I91" s="206"/>
      <c r="J91" s="206"/>
      <c r="K91" s="207"/>
      <c r="P91" s="131"/>
    </row>
    <row r="92" spans="1:16">
      <c r="C92" s="136" t="s">
        <v>47</v>
      </c>
      <c r="D92" s="417">
        <v>13851900</v>
      </c>
      <c r="E92" s="21" t="s">
        <v>81</v>
      </c>
      <c r="H92" s="134"/>
      <c r="I92" s="134"/>
      <c r="J92" s="135">
        <f>+'SWE.WS.G.BPU.ATRR.True-up'!M15</f>
        <v>2017</v>
      </c>
      <c r="K92" s="130"/>
      <c r="L92" s="111" t="s">
        <v>82</v>
      </c>
      <c r="P92" s="4"/>
    </row>
    <row r="93" spans="1:16">
      <c r="C93" s="136" t="s">
        <v>49</v>
      </c>
      <c r="D93" s="219">
        <f>IF(D11=I10,"",D11)</f>
        <v>2015</v>
      </c>
      <c r="E93" s="136" t="s">
        <v>50</v>
      </c>
      <c r="F93" s="134"/>
      <c r="G93" s="134"/>
      <c r="J93" s="138">
        <f>IF(H87="",0,'SWE.WS.G.BPU.ATRR.True-up'!$F$12)</f>
        <v>0</v>
      </c>
      <c r="K93" s="139"/>
      <c r="L93" t="str">
        <f>"          INPUT TRUE-UP ARR (WITH &amp; WITHOUT INCENTIVES) FROM EACH PRIOR YEAR"</f>
        <v xml:space="preserve">          INPUT TRUE-UP ARR (WITH &amp; WITHOUT INCENTIVES) FROM EACH PRIOR YEAR</v>
      </c>
      <c r="P93" s="4"/>
    </row>
    <row r="94" spans="1:16">
      <c r="C94" s="136" t="s">
        <v>51</v>
      </c>
      <c r="D94" s="218">
        <f>IF(D11=I10,"",D12)</f>
        <v>11</v>
      </c>
      <c r="E94" s="136" t="s">
        <v>52</v>
      </c>
      <c r="F94" s="134"/>
      <c r="G94" s="134"/>
      <c r="J94" s="140">
        <f>'SWE.WS.G.BPU.ATRR.True-up'!$F$80</f>
        <v>0.12147145768398206</v>
      </c>
      <c r="K94" s="141"/>
      <c r="L94" t="s">
        <v>83</v>
      </c>
      <c r="P94" s="4"/>
    </row>
    <row r="95" spans="1:16">
      <c r="C95" s="136" t="s">
        <v>54</v>
      </c>
      <c r="D95" s="138">
        <f>'SWE.WS.G.BPU.ATRR.True-up'!F$92</f>
        <v>42</v>
      </c>
      <c r="E95" s="136" t="s">
        <v>55</v>
      </c>
      <c r="F95" s="134"/>
      <c r="G95" s="134"/>
      <c r="J95" s="140">
        <f>IF(H87="",J94,'SWE.WS.G.BPU.ATRR.True-up'!$F$79)</f>
        <v>0.12147145768398206</v>
      </c>
      <c r="K95" s="58"/>
      <c r="L95" s="111" t="s">
        <v>56</v>
      </c>
      <c r="M95" s="58"/>
      <c r="N95" s="58"/>
      <c r="O95" s="58"/>
      <c r="P95" s="4"/>
    </row>
    <row r="96" spans="1:16" ht="13.5" thickBot="1">
      <c r="C96" s="136" t="s">
        <v>57</v>
      </c>
      <c r="D96" s="220" t="str">
        <f>+D14</f>
        <v>No</v>
      </c>
      <c r="E96" s="202" t="s">
        <v>59</v>
      </c>
      <c r="F96" s="208"/>
      <c r="G96" s="208"/>
      <c r="H96" s="209"/>
      <c r="I96" s="209"/>
      <c r="J96" s="124">
        <f>IF(D92=0,0,D92/D95)</f>
        <v>329807.14285714284</v>
      </c>
      <c r="K96" s="111"/>
      <c r="L96" s="111"/>
      <c r="M96" s="111"/>
      <c r="N96" s="111"/>
      <c r="O96" s="111"/>
      <c r="P96" s="4"/>
    </row>
    <row r="97" spans="1:16" ht="38.25">
      <c r="A97" s="6"/>
      <c r="B97" s="6"/>
      <c r="C97" s="210" t="s">
        <v>47</v>
      </c>
      <c r="D97" s="211" t="s">
        <v>60</v>
      </c>
      <c r="E97" s="146" t="s">
        <v>61</v>
      </c>
      <c r="F97" s="146" t="s">
        <v>62</v>
      </c>
      <c r="G97" s="144" t="s">
        <v>84</v>
      </c>
      <c r="H97" s="434" t="s">
        <v>378</v>
      </c>
      <c r="I97" s="435" t="s">
        <v>379</v>
      </c>
      <c r="J97" s="210" t="s">
        <v>85</v>
      </c>
      <c r="K97" s="212"/>
      <c r="L97" s="271" t="s">
        <v>220</v>
      </c>
      <c r="M97" s="146" t="s">
        <v>86</v>
      </c>
      <c r="N97" s="271" t="s">
        <v>220</v>
      </c>
      <c r="O97" s="146" t="s">
        <v>86</v>
      </c>
      <c r="P97" s="146" t="s">
        <v>65</v>
      </c>
    </row>
    <row r="98" spans="1:16" ht="13.5" thickBot="1">
      <c r="C98" s="147" t="s">
        <v>66</v>
      </c>
      <c r="D98" s="213" t="s">
        <v>67</v>
      </c>
      <c r="E98" s="147" t="s">
        <v>68</v>
      </c>
      <c r="F98" s="147" t="s">
        <v>67</v>
      </c>
      <c r="G98" s="147" t="s">
        <v>67</v>
      </c>
      <c r="H98" s="407" t="s">
        <v>69</v>
      </c>
      <c r="I98" s="148" t="s">
        <v>70</v>
      </c>
      <c r="J98" s="149" t="s">
        <v>89</v>
      </c>
      <c r="K98" s="150"/>
      <c r="L98" s="151" t="s">
        <v>72</v>
      </c>
      <c r="M98" s="151" t="s">
        <v>72</v>
      </c>
      <c r="N98" s="151" t="s">
        <v>90</v>
      </c>
      <c r="O98" s="151" t="s">
        <v>90</v>
      </c>
      <c r="P98" s="151" t="s">
        <v>90</v>
      </c>
    </row>
    <row r="99" spans="1:16" ht="13.5" thickBot="1">
      <c r="C99" s="153">
        <f>IF(D93= "","-",D93)</f>
        <v>2015</v>
      </c>
      <c r="D99" s="409">
        <v>0</v>
      </c>
      <c r="E99" s="410">
        <v>27531.333333333332</v>
      </c>
      <c r="F99" s="411">
        <v>13848260.666666666</v>
      </c>
      <c r="G99" s="412">
        <v>6924130.333333333</v>
      </c>
      <c r="H99" s="413">
        <v>939916.21761685633</v>
      </c>
      <c r="I99" s="414">
        <v>939916.21761685633</v>
      </c>
      <c r="J99" s="158">
        <f>+I99-H99</f>
        <v>0</v>
      </c>
      <c r="K99" s="158"/>
      <c r="L99" s="256">
        <f>+H99</f>
        <v>939916.21761685633</v>
      </c>
      <c r="M99" s="157">
        <f t="shared" ref="M99:M130" si="11">IF(L99&lt;&gt;0,+H99-L99,0)</f>
        <v>0</v>
      </c>
      <c r="N99" s="256">
        <f>+I99</f>
        <v>939916.21761685633</v>
      </c>
      <c r="O99" s="157">
        <f t="shared" ref="O99:O130" si="12">IF(N99&lt;&gt;0,+I99-N99,0)</f>
        <v>0</v>
      </c>
      <c r="P99" s="157">
        <f t="shared" ref="P99:P130" si="13">+O99-M99</f>
        <v>0</v>
      </c>
    </row>
    <row r="100" spans="1:16">
      <c r="B100" s="9" t="str">
        <f>IF(D100=F99,"","IU")</f>
        <v>IU</v>
      </c>
      <c r="C100" s="153">
        <f>IF(D93="","-",+C99+1)</f>
        <v>2016</v>
      </c>
      <c r="D100" s="409">
        <v>13824368.666666666</v>
      </c>
      <c r="E100" s="410">
        <v>322137.20930232556</v>
      </c>
      <c r="F100" s="411">
        <v>13502231.457364341</v>
      </c>
      <c r="G100" s="412">
        <v>13663300.062015504</v>
      </c>
      <c r="H100" s="413">
        <v>2056692.9921555684</v>
      </c>
      <c r="I100" s="414">
        <v>2056692.9921555684</v>
      </c>
      <c r="J100" s="158">
        <f>+I100-H100</f>
        <v>0</v>
      </c>
      <c r="K100" s="158"/>
      <c r="L100" s="256">
        <f>+H100</f>
        <v>2056692.9921555684</v>
      </c>
      <c r="M100" s="157">
        <f>IF(L100&lt;&gt;0,+H100-L100,0)</f>
        <v>0</v>
      </c>
      <c r="N100" s="256">
        <f>+I100</f>
        <v>2056692.9921555684</v>
      </c>
      <c r="O100" s="157">
        <f>IF(N100&lt;&gt;0,+I100-N100,0)</f>
        <v>0</v>
      </c>
      <c r="P100" s="157">
        <f>+O100-M100</f>
        <v>0</v>
      </c>
    </row>
    <row r="101" spans="1:16">
      <c r="B101" s="9" t="str">
        <f t="shared" ref="B101:B154" si="14">IF(D101=F100,"","IU")</f>
        <v/>
      </c>
      <c r="C101" s="153">
        <f>IF(D93="","-",+C100+1)</f>
        <v>2017</v>
      </c>
      <c r="D101" s="154">
        <f>IF(F100+SUM(E$99:E100)=D$92,F100,D$92-SUM(E$99:E100))</f>
        <v>13502231.457364341</v>
      </c>
      <c r="E101" s="160">
        <f t="shared" ref="E101:E154" si="15">IF(+$J$96&lt;F100,$J$96,D101)</f>
        <v>329807.14285714284</v>
      </c>
      <c r="F101" s="159">
        <f t="shared" ref="F101:F154" si="16">+D101-E101</f>
        <v>13172424.314507198</v>
      </c>
      <c r="G101" s="159">
        <f t="shared" ref="G101:G154" si="17">+(F101+D101)/2</f>
        <v>13337327.885935768</v>
      </c>
      <c r="H101" s="163">
        <f t="shared" ref="H101:H154" si="18">+J$94*G101+E101</f>
        <v>1949911.8027709834</v>
      </c>
      <c r="I101" s="253">
        <f t="shared" ref="I101:I154" si="19">+J$95*G101+E101</f>
        <v>1949911.8027709834</v>
      </c>
      <c r="J101" s="158">
        <f t="shared" ref="J101:J154" si="20">+I101-H101</f>
        <v>0</v>
      </c>
      <c r="K101" s="158"/>
      <c r="L101" s="334"/>
      <c r="M101" s="158">
        <f t="shared" si="11"/>
        <v>0</v>
      </c>
      <c r="N101" s="334"/>
      <c r="O101" s="158">
        <f t="shared" si="12"/>
        <v>0</v>
      </c>
      <c r="P101" s="158">
        <f t="shared" si="13"/>
        <v>0</v>
      </c>
    </row>
    <row r="102" spans="1:16">
      <c r="B102" s="9" t="str">
        <f t="shared" si="14"/>
        <v/>
      </c>
      <c r="C102" s="153">
        <f>IF(D93="","-",+C101+1)</f>
        <v>2018</v>
      </c>
      <c r="D102" s="154">
        <f>IF(F101+SUM(E$99:E101)=D$92,F101,D$92-SUM(E$99:E101))</f>
        <v>13172424.314507198</v>
      </c>
      <c r="E102" s="160">
        <f t="shared" si="15"/>
        <v>329807.14285714284</v>
      </c>
      <c r="F102" s="159">
        <f t="shared" si="16"/>
        <v>12842617.171650054</v>
      </c>
      <c r="G102" s="159">
        <f t="shared" si="17"/>
        <v>13007520.743078627</v>
      </c>
      <c r="H102" s="163">
        <f t="shared" si="18"/>
        <v>1909849.6483735372</v>
      </c>
      <c r="I102" s="253">
        <f t="shared" si="19"/>
        <v>1909849.6483735372</v>
      </c>
      <c r="J102" s="158">
        <f t="shared" si="20"/>
        <v>0</v>
      </c>
      <c r="K102" s="158"/>
      <c r="L102" s="334"/>
      <c r="M102" s="158">
        <f t="shared" si="11"/>
        <v>0</v>
      </c>
      <c r="N102" s="334"/>
      <c r="O102" s="158">
        <f t="shared" si="12"/>
        <v>0</v>
      </c>
      <c r="P102" s="158">
        <f t="shared" si="13"/>
        <v>0</v>
      </c>
    </row>
    <row r="103" spans="1:16">
      <c r="B103" s="9" t="str">
        <f t="shared" si="14"/>
        <v/>
      </c>
      <c r="C103" s="153">
        <f>IF(D93="","-",+C102+1)</f>
        <v>2019</v>
      </c>
      <c r="D103" s="154">
        <f>IF(F102+SUM(E$99:E102)=D$92,F102,D$92-SUM(E$99:E102))</f>
        <v>12842617.171650054</v>
      </c>
      <c r="E103" s="160">
        <f t="shared" si="15"/>
        <v>329807.14285714284</v>
      </c>
      <c r="F103" s="159">
        <f t="shared" si="16"/>
        <v>12512810.02879291</v>
      </c>
      <c r="G103" s="159">
        <f t="shared" si="17"/>
        <v>12677713.600221481</v>
      </c>
      <c r="H103" s="163">
        <f t="shared" si="18"/>
        <v>1869787.4939760901</v>
      </c>
      <c r="I103" s="253">
        <f t="shared" si="19"/>
        <v>1869787.4939760901</v>
      </c>
      <c r="J103" s="158">
        <f t="shared" si="20"/>
        <v>0</v>
      </c>
      <c r="K103" s="158"/>
      <c r="L103" s="334"/>
      <c r="M103" s="158">
        <f t="shared" si="11"/>
        <v>0</v>
      </c>
      <c r="N103" s="334"/>
      <c r="O103" s="158">
        <f t="shared" si="12"/>
        <v>0</v>
      </c>
      <c r="P103" s="158">
        <f t="shared" si="13"/>
        <v>0</v>
      </c>
    </row>
    <row r="104" spans="1:16">
      <c r="B104" s="9" t="str">
        <f t="shared" si="14"/>
        <v/>
      </c>
      <c r="C104" s="153">
        <f>IF(D93="","-",+C103+1)</f>
        <v>2020</v>
      </c>
      <c r="D104" s="154">
        <f>IF(F103+SUM(E$99:E103)=D$92,F103,D$92-SUM(E$99:E103))</f>
        <v>12512810.02879291</v>
      </c>
      <c r="E104" s="160">
        <f t="shared" si="15"/>
        <v>329807.14285714284</v>
      </c>
      <c r="F104" s="159">
        <f t="shared" si="16"/>
        <v>12183002.885935767</v>
      </c>
      <c r="G104" s="159">
        <f t="shared" si="17"/>
        <v>12347906.457364339</v>
      </c>
      <c r="H104" s="163">
        <f t="shared" si="18"/>
        <v>1829725.3395786439</v>
      </c>
      <c r="I104" s="253">
        <f t="shared" si="19"/>
        <v>1829725.3395786439</v>
      </c>
      <c r="J104" s="158">
        <f t="shared" si="20"/>
        <v>0</v>
      </c>
      <c r="K104" s="158"/>
      <c r="L104" s="334"/>
      <c r="M104" s="158">
        <f t="shared" si="11"/>
        <v>0</v>
      </c>
      <c r="N104" s="334"/>
      <c r="O104" s="158">
        <f t="shared" si="12"/>
        <v>0</v>
      </c>
      <c r="P104" s="158">
        <f t="shared" si="13"/>
        <v>0</v>
      </c>
    </row>
    <row r="105" spans="1:16">
      <c r="B105" s="9" t="str">
        <f t="shared" si="14"/>
        <v/>
      </c>
      <c r="C105" s="153">
        <f>IF(D93="","-",+C104+1)</f>
        <v>2021</v>
      </c>
      <c r="D105" s="154">
        <f>IF(F104+SUM(E$99:E104)=D$92,F104,D$92-SUM(E$99:E104))</f>
        <v>12183002.885935767</v>
      </c>
      <c r="E105" s="160">
        <f t="shared" si="15"/>
        <v>329807.14285714284</v>
      </c>
      <c r="F105" s="159">
        <f t="shared" si="16"/>
        <v>11853195.743078623</v>
      </c>
      <c r="G105" s="159">
        <f t="shared" si="17"/>
        <v>12018099.314507194</v>
      </c>
      <c r="H105" s="163">
        <f t="shared" si="18"/>
        <v>1789663.1851811972</v>
      </c>
      <c r="I105" s="253">
        <f t="shared" si="19"/>
        <v>1789663.1851811972</v>
      </c>
      <c r="J105" s="158">
        <f t="shared" si="20"/>
        <v>0</v>
      </c>
      <c r="K105" s="158"/>
      <c r="L105" s="334"/>
      <c r="M105" s="158">
        <f t="shared" si="11"/>
        <v>0</v>
      </c>
      <c r="N105" s="334"/>
      <c r="O105" s="158">
        <f t="shared" si="12"/>
        <v>0</v>
      </c>
      <c r="P105" s="158">
        <f t="shared" si="13"/>
        <v>0</v>
      </c>
    </row>
    <row r="106" spans="1:16">
      <c r="B106" s="9" t="str">
        <f t="shared" si="14"/>
        <v/>
      </c>
      <c r="C106" s="153">
        <f>IF(D93="","-",+C105+1)</f>
        <v>2022</v>
      </c>
      <c r="D106" s="154">
        <f>IF(F105+SUM(E$99:E105)=D$92,F105,D$92-SUM(E$99:E105))</f>
        <v>11853195.743078623</v>
      </c>
      <c r="E106" s="160">
        <f t="shared" si="15"/>
        <v>329807.14285714284</v>
      </c>
      <c r="F106" s="159">
        <f t="shared" si="16"/>
        <v>11523388.600221479</v>
      </c>
      <c r="G106" s="159">
        <f t="shared" si="17"/>
        <v>11688292.171650052</v>
      </c>
      <c r="H106" s="163">
        <f t="shared" si="18"/>
        <v>1749601.030783751</v>
      </c>
      <c r="I106" s="253">
        <f t="shared" si="19"/>
        <v>1749601.030783751</v>
      </c>
      <c r="J106" s="158">
        <f t="shared" si="20"/>
        <v>0</v>
      </c>
      <c r="K106" s="158"/>
      <c r="L106" s="334"/>
      <c r="M106" s="158">
        <f t="shared" si="11"/>
        <v>0</v>
      </c>
      <c r="N106" s="334"/>
      <c r="O106" s="158">
        <f t="shared" si="12"/>
        <v>0</v>
      </c>
      <c r="P106" s="158">
        <f t="shared" si="13"/>
        <v>0</v>
      </c>
    </row>
    <row r="107" spans="1:16">
      <c r="B107" s="9" t="str">
        <f t="shared" si="14"/>
        <v/>
      </c>
      <c r="C107" s="153">
        <f>IF(D93="","-",+C106+1)</f>
        <v>2023</v>
      </c>
      <c r="D107" s="154">
        <f>IF(F106+SUM(E$99:E106)=D$92,F106,D$92-SUM(E$99:E106))</f>
        <v>11523388.600221479</v>
      </c>
      <c r="E107" s="160">
        <f t="shared" si="15"/>
        <v>329807.14285714284</v>
      </c>
      <c r="F107" s="159">
        <f t="shared" si="16"/>
        <v>11193581.457364336</v>
      </c>
      <c r="G107" s="159">
        <f t="shared" si="17"/>
        <v>11358485.028792907</v>
      </c>
      <c r="H107" s="163">
        <f t="shared" si="18"/>
        <v>1709538.8763863039</v>
      </c>
      <c r="I107" s="253">
        <f t="shared" si="19"/>
        <v>1709538.8763863039</v>
      </c>
      <c r="J107" s="158">
        <f t="shared" si="20"/>
        <v>0</v>
      </c>
      <c r="K107" s="158"/>
      <c r="L107" s="334"/>
      <c r="M107" s="158">
        <f t="shared" si="11"/>
        <v>0</v>
      </c>
      <c r="N107" s="334"/>
      <c r="O107" s="158">
        <f t="shared" si="12"/>
        <v>0</v>
      </c>
      <c r="P107" s="158">
        <f t="shared" si="13"/>
        <v>0</v>
      </c>
    </row>
    <row r="108" spans="1:16">
      <c r="B108" s="9" t="str">
        <f t="shared" si="14"/>
        <v/>
      </c>
      <c r="C108" s="153">
        <f>IF(D93="","-",+C107+1)</f>
        <v>2024</v>
      </c>
      <c r="D108" s="154">
        <f>IF(F107+SUM(E$99:E107)=D$92,F107,D$92-SUM(E$99:E107))</f>
        <v>11193581.457364336</v>
      </c>
      <c r="E108" s="160">
        <f t="shared" si="15"/>
        <v>329807.14285714284</v>
      </c>
      <c r="F108" s="159">
        <f t="shared" si="16"/>
        <v>10863774.314507192</v>
      </c>
      <c r="G108" s="159">
        <f t="shared" si="17"/>
        <v>11028677.885935765</v>
      </c>
      <c r="H108" s="163">
        <f t="shared" si="18"/>
        <v>1669476.7219888577</v>
      </c>
      <c r="I108" s="253">
        <f t="shared" si="19"/>
        <v>1669476.7219888577</v>
      </c>
      <c r="J108" s="158">
        <f t="shared" si="20"/>
        <v>0</v>
      </c>
      <c r="K108" s="158"/>
      <c r="L108" s="334"/>
      <c r="M108" s="158">
        <f t="shared" si="11"/>
        <v>0</v>
      </c>
      <c r="N108" s="334"/>
      <c r="O108" s="158">
        <f t="shared" si="12"/>
        <v>0</v>
      </c>
      <c r="P108" s="158">
        <f t="shared" si="13"/>
        <v>0</v>
      </c>
    </row>
    <row r="109" spans="1:16">
      <c r="B109" s="9" t="str">
        <f t="shared" si="14"/>
        <v/>
      </c>
      <c r="C109" s="153">
        <f>IF(D93="","-",+C108+1)</f>
        <v>2025</v>
      </c>
      <c r="D109" s="154">
        <f>IF(F108+SUM(E$99:E108)=D$92,F108,D$92-SUM(E$99:E108))</f>
        <v>10863774.314507192</v>
      </c>
      <c r="E109" s="160">
        <f t="shared" si="15"/>
        <v>329807.14285714284</v>
      </c>
      <c r="F109" s="159">
        <f t="shared" si="16"/>
        <v>10533967.171650048</v>
      </c>
      <c r="G109" s="159">
        <f t="shared" si="17"/>
        <v>10698870.743078619</v>
      </c>
      <c r="H109" s="163">
        <f t="shared" si="18"/>
        <v>1629414.5675914111</v>
      </c>
      <c r="I109" s="253">
        <f t="shared" si="19"/>
        <v>1629414.5675914111</v>
      </c>
      <c r="J109" s="158">
        <f t="shared" si="20"/>
        <v>0</v>
      </c>
      <c r="K109" s="158"/>
      <c r="L109" s="334"/>
      <c r="M109" s="158">
        <f t="shared" si="11"/>
        <v>0</v>
      </c>
      <c r="N109" s="334"/>
      <c r="O109" s="158">
        <f t="shared" si="12"/>
        <v>0</v>
      </c>
      <c r="P109" s="158">
        <f t="shared" si="13"/>
        <v>0</v>
      </c>
    </row>
    <row r="110" spans="1:16">
      <c r="B110" s="9" t="str">
        <f t="shared" si="14"/>
        <v/>
      </c>
      <c r="C110" s="153">
        <f>IF(D93="","-",+C109+1)</f>
        <v>2026</v>
      </c>
      <c r="D110" s="154">
        <f>IF(F109+SUM(E$99:E109)=D$92,F109,D$92-SUM(E$99:E109))</f>
        <v>10533967.171650048</v>
      </c>
      <c r="E110" s="160">
        <f t="shared" si="15"/>
        <v>329807.14285714284</v>
      </c>
      <c r="F110" s="159">
        <f t="shared" si="16"/>
        <v>10204160.028792905</v>
      </c>
      <c r="G110" s="159">
        <f t="shared" si="17"/>
        <v>10369063.600221477</v>
      </c>
      <c r="H110" s="163">
        <f t="shared" si="18"/>
        <v>1589352.4131939649</v>
      </c>
      <c r="I110" s="253">
        <f t="shared" si="19"/>
        <v>1589352.4131939649</v>
      </c>
      <c r="J110" s="158">
        <f t="shared" si="20"/>
        <v>0</v>
      </c>
      <c r="K110" s="158"/>
      <c r="L110" s="334"/>
      <c r="M110" s="158">
        <f t="shared" si="11"/>
        <v>0</v>
      </c>
      <c r="N110" s="334"/>
      <c r="O110" s="158">
        <f t="shared" si="12"/>
        <v>0</v>
      </c>
      <c r="P110" s="158">
        <f t="shared" si="13"/>
        <v>0</v>
      </c>
    </row>
    <row r="111" spans="1:16">
      <c r="B111" s="9" t="str">
        <f t="shared" si="14"/>
        <v/>
      </c>
      <c r="C111" s="153">
        <f>IF(D93="","-",+C110+1)</f>
        <v>2027</v>
      </c>
      <c r="D111" s="154">
        <f>IF(F110+SUM(E$99:E110)=D$92,F110,D$92-SUM(E$99:E110))</f>
        <v>10204160.028792905</v>
      </c>
      <c r="E111" s="160">
        <f t="shared" si="15"/>
        <v>329807.14285714284</v>
      </c>
      <c r="F111" s="159">
        <f t="shared" si="16"/>
        <v>9874352.885935761</v>
      </c>
      <c r="G111" s="159">
        <f t="shared" si="17"/>
        <v>10039256.457364332</v>
      </c>
      <c r="H111" s="163">
        <f t="shared" si="18"/>
        <v>1549290.2587965177</v>
      </c>
      <c r="I111" s="253">
        <f t="shared" si="19"/>
        <v>1549290.2587965177</v>
      </c>
      <c r="J111" s="158">
        <f t="shared" si="20"/>
        <v>0</v>
      </c>
      <c r="K111" s="158"/>
      <c r="L111" s="334"/>
      <c r="M111" s="158">
        <f t="shared" si="11"/>
        <v>0</v>
      </c>
      <c r="N111" s="334"/>
      <c r="O111" s="158">
        <f t="shared" si="12"/>
        <v>0</v>
      </c>
      <c r="P111" s="158">
        <f t="shared" si="13"/>
        <v>0</v>
      </c>
    </row>
    <row r="112" spans="1:16">
      <c r="B112" s="9" t="str">
        <f t="shared" si="14"/>
        <v/>
      </c>
      <c r="C112" s="153">
        <f>IF(D93="","-",+C111+1)</f>
        <v>2028</v>
      </c>
      <c r="D112" s="154">
        <f>IF(F111+SUM(E$99:E111)=D$92,F111,D$92-SUM(E$99:E111))</f>
        <v>9874352.885935761</v>
      </c>
      <c r="E112" s="160">
        <f t="shared" si="15"/>
        <v>329807.14285714284</v>
      </c>
      <c r="F112" s="159">
        <f t="shared" si="16"/>
        <v>9544545.7430786174</v>
      </c>
      <c r="G112" s="159">
        <f t="shared" si="17"/>
        <v>9709449.3145071901</v>
      </c>
      <c r="H112" s="163">
        <f t="shared" si="18"/>
        <v>1509228.1043990715</v>
      </c>
      <c r="I112" s="253">
        <f t="shared" si="19"/>
        <v>1509228.1043990715</v>
      </c>
      <c r="J112" s="158">
        <f t="shared" si="20"/>
        <v>0</v>
      </c>
      <c r="K112" s="158"/>
      <c r="L112" s="334"/>
      <c r="M112" s="158">
        <f t="shared" si="11"/>
        <v>0</v>
      </c>
      <c r="N112" s="334"/>
      <c r="O112" s="158">
        <f t="shared" si="12"/>
        <v>0</v>
      </c>
      <c r="P112" s="158">
        <f t="shared" si="13"/>
        <v>0</v>
      </c>
    </row>
    <row r="113" spans="2:16">
      <c r="B113" s="9" t="str">
        <f t="shared" si="14"/>
        <v/>
      </c>
      <c r="C113" s="153">
        <f>IF(D93="","-",+C112+1)</f>
        <v>2029</v>
      </c>
      <c r="D113" s="154">
        <f>IF(F112+SUM(E$99:E112)=D$92,F112,D$92-SUM(E$99:E112))</f>
        <v>9544545.7430786174</v>
      </c>
      <c r="E113" s="160">
        <f t="shared" si="15"/>
        <v>329807.14285714284</v>
      </c>
      <c r="F113" s="159">
        <f t="shared" si="16"/>
        <v>9214738.6002214737</v>
      </c>
      <c r="G113" s="159">
        <f t="shared" si="17"/>
        <v>9379642.1716500446</v>
      </c>
      <c r="H113" s="163">
        <f t="shared" si="18"/>
        <v>1469165.9500016249</v>
      </c>
      <c r="I113" s="253">
        <f t="shared" si="19"/>
        <v>1469165.9500016249</v>
      </c>
      <c r="J113" s="158">
        <f t="shared" si="20"/>
        <v>0</v>
      </c>
      <c r="K113" s="158"/>
      <c r="L113" s="334"/>
      <c r="M113" s="158">
        <f t="shared" si="11"/>
        <v>0</v>
      </c>
      <c r="N113" s="334"/>
      <c r="O113" s="158">
        <f t="shared" si="12"/>
        <v>0</v>
      </c>
      <c r="P113" s="158">
        <f t="shared" si="13"/>
        <v>0</v>
      </c>
    </row>
    <row r="114" spans="2:16">
      <c r="B114" s="9" t="str">
        <f t="shared" si="14"/>
        <v/>
      </c>
      <c r="C114" s="153">
        <f>IF(D93="","-",+C113+1)</f>
        <v>2030</v>
      </c>
      <c r="D114" s="154">
        <f>IF(F113+SUM(E$99:E113)=D$92,F113,D$92-SUM(E$99:E113))</f>
        <v>9214738.6002214737</v>
      </c>
      <c r="E114" s="160">
        <f t="shared" si="15"/>
        <v>329807.14285714284</v>
      </c>
      <c r="F114" s="159">
        <f t="shared" si="16"/>
        <v>8884931.4573643301</v>
      </c>
      <c r="G114" s="159">
        <f t="shared" si="17"/>
        <v>9049835.0287929028</v>
      </c>
      <c r="H114" s="163">
        <f t="shared" si="18"/>
        <v>1429103.7956041787</v>
      </c>
      <c r="I114" s="253">
        <f t="shared" si="19"/>
        <v>1429103.7956041787</v>
      </c>
      <c r="J114" s="158">
        <f t="shared" si="20"/>
        <v>0</v>
      </c>
      <c r="K114" s="158"/>
      <c r="L114" s="334"/>
      <c r="M114" s="158">
        <f t="shared" si="11"/>
        <v>0</v>
      </c>
      <c r="N114" s="334"/>
      <c r="O114" s="158">
        <f t="shared" si="12"/>
        <v>0</v>
      </c>
      <c r="P114" s="158">
        <f t="shared" si="13"/>
        <v>0</v>
      </c>
    </row>
    <row r="115" spans="2:16">
      <c r="B115" s="9" t="str">
        <f t="shared" si="14"/>
        <v/>
      </c>
      <c r="C115" s="153">
        <f>IF(D93="","-",+C114+1)</f>
        <v>2031</v>
      </c>
      <c r="D115" s="154">
        <f>IF(F114+SUM(E$99:E114)=D$92,F114,D$92-SUM(E$99:E114))</f>
        <v>8884931.4573643301</v>
      </c>
      <c r="E115" s="160">
        <f t="shared" si="15"/>
        <v>329807.14285714284</v>
      </c>
      <c r="F115" s="159">
        <f t="shared" si="16"/>
        <v>8555124.3145071864</v>
      </c>
      <c r="G115" s="159">
        <f t="shared" si="17"/>
        <v>8720027.8859357573</v>
      </c>
      <c r="H115" s="163">
        <f t="shared" si="18"/>
        <v>1389041.6412067316</v>
      </c>
      <c r="I115" s="253">
        <f t="shared" si="19"/>
        <v>1389041.6412067316</v>
      </c>
      <c r="J115" s="158">
        <f t="shared" si="20"/>
        <v>0</v>
      </c>
      <c r="K115" s="158"/>
      <c r="L115" s="334"/>
      <c r="M115" s="158">
        <f t="shared" si="11"/>
        <v>0</v>
      </c>
      <c r="N115" s="334"/>
      <c r="O115" s="158">
        <f t="shared" si="12"/>
        <v>0</v>
      </c>
      <c r="P115" s="158">
        <f t="shared" si="13"/>
        <v>0</v>
      </c>
    </row>
    <row r="116" spans="2:16">
      <c r="B116" s="9" t="str">
        <f t="shared" si="14"/>
        <v/>
      </c>
      <c r="C116" s="153">
        <f>IF(D93="","-",+C115+1)</f>
        <v>2032</v>
      </c>
      <c r="D116" s="154">
        <f>IF(F115+SUM(E$99:E115)=D$92,F115,D$92-SUM(E$99:E115))</f>
        <v>8555124.3145071864</v>
      </c>
      <c r="E116" s="160">
        <f t="shared" si="15"/>
        <v>329807.14285714284</v>
      </c>
      <c r="F116" s="159">
        <f t="shared" si="16"/>
        <v>8225317.1716500437</v>
      </c>
      <c r="G116" s="159">
        <f t="shared" si="17"/>
        <v>8390220.7430786155</v>
      </c>
      <c r="H116" s="163">
        <f t="shared" si="18"/>
        <v>1348979.4868092854</v>
      </c>
      <c r="I116" s="253">
        <f t="shared" si="19"/>
        <v>1348979.4868092854</v>
      </c>
      <c r="J116" s="158">
        <f t="shared" si="20"/>
        <v>0</v>
      </c>
      <c r="K116" s="158"/>
      <c r="L116" s="334"/>
      <c r="M116" s="158">
        <f t="shared" si="11"/>
        <v>0</v>
      </c>
      <c r="N116" s="334"/>
      <c r="O116" s="158">
        <f t="shared" si="12"/>
        <v>0</v>
      </c>
      <c r="P116" s="158">
        <f t="shared" si="13"/>
        <v>0</v>
      </c>
    </row>
    <row r="117" spans="2:16">
      <c r="B117" s="9" t="str">
        <f t="shared" si="14"/>
        <v/>
      </c>
      <c r="C117" s="153">
        <f>IF(D93="","-",+C116+1)</f>
        <v>2033</v>
      </c>
      <c r="D117" s="154">
        <f>IF(F116+SUM(E$99:E116)=D$92,F116,D$92-SUM(E$99:E116))</f>
        <v>8225317.1716500437</v>
      </c>
      <c r="E117" s="160">
        <f t="shared" si="15"/>
        <v>329807.14285714284</v>
      </c>
      <c r="F117" s="159">
        <f t="shared" si="16"/>
        <v>7895510.028792901</v>
      </c>
      <c r="G117" s="159">
        <f t="shared" si="17"/>
        <v>8060413.6002214719</v>
      </c>
      <c r="H117" s="163">
        <f t="shared" si="18"/>
        <v>1308917.3324118387</v>
      </c>
      <c r="I117" s="253">
        <f t="shared" si="19"/>
        <v>1308917.3324118387</v>
      </c>
      <c r="J117" s="158">
        <f t="shared" si="20"/>
        <v>0</v>
      </c>
      <c r="K117" s="158"/>
      <c r="L117" s="334"/>
      <c r="M117" s="158">
        <f t="shared" si="11"/>
        <v>0</v>
      </c>
      <c r="N117" s="334"/>
      <c r="O117" s="158">
        <f t="shared" si="12"/>
        <v>0</v>
      </c>
      <c r="P117" s="158">
        <f t="shared" si="13"/>
        <v>0</v>
      </c>
    </row>
    <row r="118" spans="2:16">
      <c r="B118" s="9" t="str">
        <f t="shared" si="14"/>
        <v/>
      </c>
      <c r="C118" s="153">
        <f>IF(D93="","-",+C117+1)</f>
        <v>2034</v>
      </c>
      <c r="D118" s="154">
        <f>IF(F117+SUM(E$99:E117)=D$92,F117,D$92-SUM(E$99:E117))</f>
        <v>7895510.028792901</v>
      </c>
      <c r="E118" s="160">
        <f t="shared" si="15"/>
        <v>329807.14285714284</v>
      </c>
      <c r="F118" s="159">
        <f t="shared" si="16"/>
        <v>7565702.8859357582</v>
      </c>
      <c r="G118" s="159">
        <f t="shared" si="17"/>
        <v>7730606.4573643301</v>
      </c>
      <c r="H118" s="163">
        <f t="shared" si="18"/>
        <v>1268855.1780143925</v>
      </c>
      <c r="I118" s="253">
        <f t="shared" si="19"/>
        <v>1268855.1780143925</v>
      </c>
      <c r="J118" s="158">
        <f t="shared" si="20"/>
        <v>0</v>
      </c>
      <c r="K118" s="158"/>
      <c r="L118" s="334"/>
      <c r="M118" s="158">
        <f t="shared" si="11"/>
        <v>0</v>
      </c>
      <c r="N118" s="334"/>
      <c r="O118" s="158">
        <f t="shared" si="12"/>
        <v>0</v>
      </c>
      <c r="P118" s="158">
        <f t="shared" si="13"/>
        <v>0</v>
      </c>
    </row>
    <row r="119" spans="2:16">
      <c r="B119" s="9" t="str">
        <f t="shared" si="14"/>
        <v/>
      </c>
      <c r="C119" s="153">
        <f>IF(D93="","-",+C118+1)</f>
        <v>2035</v>
      </c>
      <c r="D119" s="154">
        <f>IF(F118+SUM(E$99:E118)=D$92,F118,D$92-SUM(E$99:E118))</f>
        <v>7565702.8859357582</v>
      </c>
      <c r="E119" s="160">
        <f t="shared" si="15"/>
        <v>329807.14285714284</v>
      </c>
      <c r="F119" s="159">
        <f t="shared" si="16"/>
        <v>7235895.7430786155</v>
      </c>
      <c r="G119" s="159">
        <f t="shared" si="17"/>
        <v>7400799.3145071864</v>
      </c>
      <c r="H119" s="163">
        <f t="shared" si="18"/>
        <v>1228793.0236169458</v>
      </c>
      <c r="I119" s="253">
        <f t="shared" si="19"/>
        <v>1228793.0236169458</v>
      </c>
      <c r="J119" s="158">
        <f t="shared" si="20"/>
        <v>0</v>
      </c>
      <c r="K119" s="158"/>
      <c r="L119" s="334"/>
      <c r="M119" s="158">
        <f t="shared" si="11"/>
        <v>0</v>
      </c>
      <c r="N119" s="334"/>
      <c r="O119" s="158">
        <f t="shared" si="12"/>
        <v>0</v>
      </c>
      <c r="P119" s="158">
        <f t="shared" si="13"/>
        <v>0</v>
      </c>
    </row>
    <row r="120" spans="2:16">
      <c r="B120" s="9" t="str">
        <f t="shared" si="14"/>
        <v/>
      </c>
      <c r="C120" s="153">
        <f>IF(D93="","-",+C119+1)</f>
        <v>2036</v>
      </c>
      <c r="D120" s="154">
        <f>IF(F119+SUM(E$99:E119)=D$92,F119,D$92-SUM(E$99:E119))</f>
        <v>7235895.7430786155</v>
      </c>
      <c r="E120" s="160">
        <f t="shared" si="15"/>
        <v>329807.14285714284</v>
      </c>
      <c r="F120" s="159">
        <f t="shared" si="16"/>
        <v>6906088.6002214728</v>
      </c>
      <c r="G120" s="159">
        <f t="shared" si="17"/>
        <v>7070992.1716500446</v>
      </c>
      <c r="H120" s="163">
        <f t="shared" si="18"/>
        <v>1188730.8692194996</v>
      </c>
      <c r="I120" s="253">
        <f t="shared" si="19"/>
        <v>1188730.8692194996</v>
      </c>
      <c r="J120" s="158">
        <f t="shared" si="20"/>
        <v>0</v>
      </c>
      <c r="K120" s="158"/>
      <c r="L120" s="334"/>
      <c r="M120" s="158">
        <f t="shared" si="11"/>
        <v>0</v>
      </c>
      <c r="N120" s="334"/>
      <c r="O120" s="158">
        <f t="shared" si="12"/>
        <v>0</v>
      </c>
      <c r="P120" s="158">
        <f t="shared" si="13"/>
        <v>0</v>
      </c>
    </row>
    <row r="121" spans="2:16">
      <c r="B121" s="9" t="str">
        <f t="shared" si="14"/>
        <v/>
      </c>
      <c r="C121" s="153">
        <f>IF(D93="","-",+C120+1)</f>
        <v>2037</v>
      </c>
      <c r="D121" s="154">
        <f>IF(F120+SUM(E$99:E120)=D$92,F120,D$92-SUM(E$99:E120))</f>
        <v>6906088.6002214728</v>
      </c>
      <c r="E121" s="160">
        <f t="shared" si="15"/>
        <v>329807.14285714284</v>
      </c>
      <c r="F121" s="159">
        <f t="shared" si="16"/>
        <v>6576281.4573643301</v>
      </c>
      <c r="G121" s="159">
        <f t="shared" si="17"/>
        <v>6741185.028792901</v>
      </c>
      <c r="H121" s="163">
        <f t="shared" si="18"/>
        <v>1148668.714822053</v>
      </c>
      <c r="I121" s="253">
        <f t="shared" si="19"/>
        <v>1148668.714822053</v>
      </c>
      <c r="J121" s="158">
        <f t="shared" si="20"/>
        <v>0</v>
      </c>
      <c r="K121" s="158"/>
      <c r="L121" s="334"/>
      <c r="M121" s="158">
        <f t="shared" si="11"/>
        <v>0</v>
      </c>
      <c r="N121" s="334"/>
      <c r="O121" s="158">
        <f t="shared" si="12"/>
        <v>0</v>
      </c>
      <c r="P121" s="158">
        <f t="shared" si="13"/>
        <v>0</v>
      </c>
    </row>
    <row r="122" spans="2:16">
      <c r="B122" s="9" t="str">
        <f t="shared" si="14"/>
        <v/>
      </c>
      <c r="C122" s="153">
        <f>IF(D93="","-",+C121+1)</f>
        <v>2038</v>
      </c>
      <c r="D122" s="154">
        <f>IF(F121+SUM(E$99:E121)=D$92,F121,D$92-SUM(E$99:E121))</f>
        <v>6576281.4573643301</v>
      </c>
      <c r="E122" s="160">
        <f t="shared" si="15"/>
        <v>329807.14285714284</v>
      </c>
      <c r="F122" s="159">
        <f t="shared" si="16"/>
        <v>6246474.3145071873</v>
      </c>
      <c r="G122" s="159">
        <f t="shared" si="17"/>
        <v>6411377.8859357592</v>
      </c>
      <c r="H122" s="163">
        <f t="shared" si="18"/>
        <v>1108606.5604246068</v>
      </c>
      <c r="I122" s="253">
        <f t="shared" si="19"/>
        <v>1108606.5604246068</v>
      </c>
      <c r="J122" s="158">
        <f t="shared" si="20"/>
        <v>0</v>
      </c>
      <c r="K122" s="158"/>
      <c r="L122" s="334"/>
      <c r="M122" s="158">
        <f t="shared" si="11"/>
        <v>0</v>
      </c>
      <c r="N122" s="334"/>
      <c r="O122" s="158">
        <f t="shared" si="12"/>
        <v>0</v>
      </c>
      <c r="P122" s="158">
        <f t="shared" si="13"/>
        <v>0</v>
      </c>
    </row>
    <row r="123" spans="2:16">
      <c r="B123" s="9" t="str">
        <f t="shared" si="14"/>
        <v/>
      </c>
      <c r="C123" s="153">
        <f>IF(D93="","-",+C122+1)</f>
        <v>2039</v>
      </c>
      <c r="D123" s="154">
        <f>IF(F122+SUM(E$99:E122)=D$92,F122,D$92-SUM(E$99:E122))</f>
        <v>6246474.3145071873</v>
      </c>
      <c r="E123" s="160">
        <f t="shared" si="15"/>
        <v>329807.14285714284</v>
      </c>
      <c r="F123" s="159">
        <f t="shared" si="16"/>
        <v>5916667.1716500446</v>
      </c>
      <c r="G123" s="159">
        <f t="shared" si="17"/>
        <v>6081570.7430786155</v>
      </c>
      <c r="H123" s="163">
        <f t="shared" si="18"/>
        <v>1068544.4060271601</v>
      </c>
      <c r="I123" s="253">
        <f t="shared" si="19"/>
        <v>1068544.4060271601</v>
      </c>
      <c r="J123" s="158">
        <f t="shared" si="20"/>
        <v>0</v>
      </c>
      <c r="K123" s="158"/>
      <c r="L123" s="334"/>
      <c r="M123" s="158">
        <f t="shared" si="11"/>
        <v>0</v>
      </c>
      <c r="N123" s="334"/>
      <c r="O123" s="158">
        <f t="shared" si="12"/>
        <v>0</v>
      </c>
      <c r="P123" s="158">
        <f t="shared" si="13"/>
        <v>0</v>
      </c>
    </row>
    <row r="124" spans="2:16">
      <c r="B124" s="9" t="str">
        <f t="shared" si="14"/>
        <v/>
      </c>
      <c r="C124" s="153">
        <f>IF(D93="","-",+C123+1)</f>
        <v>2040</v>
      </c>
      <c r="D124" s="154">
        <f>IF(F123+SUM(E$99:E123)=D$92,F123,D$92-SUM(E$99:E123))</f>
        <v>5916667.1716500446</v>
      </c>
      <c r="E124" s="160">
        <f t="shared" si="15"/>
        <v>329807.14285714284</v>
      </c>
      <c r="F124" s="159">
        <f t="shared" si="16"/>
        <v>5586860.0287929019</v>
      </c>
      <c r="G124" s="159">
        <f t="shared" si="17"/>
        <v>5751763.6002214737</v>
      </c>
      <c r="H124" s="163">
        <f t="shared" si="18"/>
        <v>1028482.2516297139</v>
      </c>
      <c r="I124" s="253">
        <f t="shared" si="19"/>
        <v>1028482.2516297139</v>
      </c>
      <c r="J124" s="158">
        <f t="shared" si="20"/>
        <v>0</v>
      </c>
      <c r="K124" s="158"/>
      <c r="L124" s="334"/>
      <c r="M124" s="158">
        <f t="shared" si="11"/>
        <v>0</v>
      </c>
      <c r="N124" s="334"/>
      <c r="O124" s="158">
        <f t="shared" si="12"/>
        <v>0</v>
      </c>
      <c r="P124" s="158">
        <f t="shared" si="13"/>
        <v>0</v>
      </c>
    </row>
    <row r="125" spans="2:16">
      <c r="B125" s="9" t="str">
        <f t="shared" si="14"/>
        <v/>
      </c>
      <c r="C125" s="153">
        <f>IF(D93="","-",+C124+1)</f>
        <v>2041</v>
      </c>
      <c r="D125" s="154">
        <f>IF(F124+SUM(E$99:E124)=D$92,F124,D$92-SUM(E$99:E124))</f>
        <v>5586860.0287929019</v>
      </c>
      <c r="E125" s="160">
        <f t="shared" si="15"/>
        <v>329807.14285714284</v>
      </c>
      <c r="F125" s="159">
        <f t="shared" si="16"/>
        <v>5257052.8859357592</v>
      </c>
      <c r="G125" s="159">
        <f t="shared" si="17"/>
        <v>5421956.4573643301</v>
      </c>
      <c r="H125" s="163">
        <f t="shared" si="18"/>
        <v>988420.09723226738</v>
      </c>
      <c r="I125" s="253">
        <f t="shared" si="19"/>
        <v>988420.09723226738</v>
      </c>
      <c r="J125" s="158">
        <f t="shared" si="20"/>
        <v>0</v>
      </c>
      <c r="K125" s="158"/>
      <c r="L125" s="334"/>
      <c r="M125" s="158">
        <f t="shared" si="11"/>
        <v>0</v>
      </c>
      <c r="N125" s="334"/>
      <c r="O125" s="158">
        <f t="shared" si="12"/>
        <v>0</v>
      </c>
      <c r="P125" s="158">
        <f t="shared" si="13"/>
        <v>0</v>
      </c>
    </row>
    <row r="126" spans="2:16">
      <c r="B126" s="9" t="str">
        <f t="shared" si="14"/>
        <v/>
      </c>
      <c r="C126" s="153">
        <f>IF(D93="","-",+C125+1)</f>
        <v>2042</v>
      </c>
      <c r="D126" s="154">
        <f>IF(F125+SUM(E$99:E125)=D$92,F125,D$92-SUM(E$99:E125))</f>
        <v>5257052.8859357592</v>
      </c>
      <c r="E126" s="160">
        <f t="shared" si="15"/>
        <v>329807.14285714284</v>
      </c>
      <c r="F126" s="159">
        <f t="shared" si="16"/>
        <v>4927245.7430786164</v>
      </c>
      <c r="G126" s="159">
        <f t="shared" si="17"/>
        <v>5092149.3145071883</v>
      </c>
      <c r="H126" s="163">
        <f t="shared" si="18"/>
        <v>948357.94283482095</v>
      </c>
      <c r="I126" s="253">
        <f t="shared" si="19"/>
        <v>948357.94283482095</v>
      </c>
      <c r="J126" s="158">
        <f t="shared" si="20"/>
        <v>0</v>
      </c>
      <c r="K126" s="158"/>
      <c r="L126" s="334"/>
      <c r="M126" s="158">
        <f t="shared" si="11"/>
        <v>0</v>
      </c>
      <c r="N126" s="334"/>
      <c r="O126" s="158">
        <f t="shared" si="12"/>
        <v>0</v>
      </c>
      <c r="P126" s="158">
        <f t="shared" si="13"/>
        <v>0</v>
      </c>
    </row>
    <row r="127" spans="2:16">
      <c r="B127" s="9" t="str">
        <f t="shared" si="14"/>
        <v/>
      </c>
      <c r="C127" s="153">
        <f>IF(D93="","-",+C126+1)</f>
        <v>2043</v>
      </c>
      <c r="D127" s="154">
        <f>IF(F126+SUM(E$99:E126)=D$92,F126,D$92-SUM(E$99:E126))</f>
        <v>4927245.7430786164</v>
      </c>
      <c r="E127" s="160">
        <f t="shared" si="15"/>
        <v>329807.14285714284</v>
      </c>
      <c r="F127" s="159">
        <f t="shared" si="16"/>
        <v>4597438.6002214737</v>
      </c>
      <c r="G127" s="159">
        <f t="shared" si="17"/>
        <v>4762342.1716500446</v>
      </c>
      <c r="H127" s="163">
        <f t="shared" si="18"/>
        <v>908295.7884373744</v>
      </c>
      <c r="I127" s="253">
        <f t="shared" si="19"/>
        <v>908295.7884373744</v>
      </c>
      <c r="J127" s="158">
        <f t="shared" si="20"/>
        <v>0</v>
      </c>
      <c r="K127" s="158"/>
      <c r="L127" s="334"/>
      <c r="M127" s="158">
        <f t="shared" si="11"/>
        <v>0</v>
      </c>
      <c r="N127" s="334"/>
      <c r="O127" s="158">
        <f t="shared" si="12"/>
        <v>0</v>
      </c>
      <c r="P127" s="158">
        <f t="shared" si="13"/>
        <v>0</v>
      </c>
    </row>
    <row r="128" spans="2:16">
      <c r="B128" s="9" t="str">
        <f t="shared" si="14"/>
        <v/>
      </c>
      <c r="C128" s="153">
        <f>IF(D93="","-",+C127+1)</f>
        <v>2044</v>
      </c>
      <c r="D128" s="154">
        <f>IF(F127+SUM(E$99:E127)=D$92,F127,D$92-SUM(E$99:E127))</f>
        <v>4597438.6002214737</v>
      </c>
      <c r="E128" s="160">
        <f t="shared" si="15"/>
        <v>329807.14285714284</v>
      </c>
      <c r="F128" s="159">
        <f t="shared" si="16"/>
        <v>4267631.457364331</v>
      </c>
      <c r="G128" s="159">
        <f t="shared" si="17"/>
        <v>4432535.0287929028</v>
      </c>
      <c r="H128" s="163">
        <f t="shared" si="18"/>
        <v>868233.63403992809</v>
      </c>
      <c r="I128" s="253">
        <f t="shared" si="19"/>
        <v>868233.63403992809</v>
      </c>
      <c r="J128" s="158">
        <f t="shared" si="20"/>
        <v>0</v>
      </c>
      <c r="K128" s="158"/>
      <c r="L128" s="334"/>
      <c r="M128" s="158">
        <f t="shared" si="11"/>
        <v>0</v>
      </c>
      <c r="N128" s="334"/>
      <c r="O128" s="158">
        <f t="shared" si="12"/>
        <v>0</v>
      </c>
      <c r="P128" s="158">
        <f t="shared" si="13"/>
        <v>0</v>
      </c>
    </row>
    <row r="129" spans="2:16">
      <c r="B129" s="9" t="str">
        <f t="shared" si="14"/>
        <v/>
      </c>
      <c r="C129" s="153">
        <f>IF(D93="","-",+C128+1)</f>
        <v>2045</v>
      </c>
      <c r="D129" s="154">
        <f>IF(F128+SUM(E$99:E128)=D$92,F128,D$92-SUM(E$99:E128))</f>
        <v>4267631.457364331</v>
      </c>
      <c r="E129" s="160">
        <f t="shared" si="15"/>
        <v>329807.14285714284</v>
      </c>
      <c r="F129" s="159">
        <f t="shared" si="16"/>
        <v>3937824.3145071883</v>
      </c>
      <c r="G129" s="159">
        <f t="shared" si="17"/>
        <v>4102727.8859357596</v>
      </c>
      <c r="H129" s="163">
        <f t="shared" si="18"/>
        <v>828171.47964248154</v>
      </c>
      <c r="I129" s="253">
        <f t="shared" si="19"/>
        <v>828171.47964248154</v>
      </c>
      <c r="J129" s="158">
        <f t="shared" si="20"/>
        <v>0</v>
      </c>
      <c r="K129" s="158"/>
      <c r="L129" s="334"/>
      <c r="M129" s="158">
        <f t="shared" si="11"/>
        <v>0</v>
      </c>
      <c r="N129" s="334"/>
      <c r="O129" s="158">
        <f t="shared" si="12"/>
        <v>0</v>
      </c>
      <c r="P129" s="158">
        <f t="shared" si="13"/>
        <v>0</v>
      </c>
    </row>
    <row r="130" spans="2:16">
      <c r="B130" s="9" t="str">
        <f t="shared" si="14"/>
        <v/>
      </c>
      <c r="C130" s="153">
        <f>IF(D93="","-",+C129+1)</f>
        <v>2046</v>
      </c>
      <c r="D130" s="154">
        <f>IF(F129+SUM(E$99:E129)=D$92,F129,D$92-SUM(E$99:E129))</f>
        <v>3937824.3145071883</v>
      </c>
      <c r="E130" s="160">
        <f t="shared" si="15"/>
        <v>329807.14285714284</v>
      </c>
      <c r="F130" s="159">
        <f t="shared" si="16"/>
        <v>3608017.1716500456</v>
      </c>
      <c r="G130" s="159">
        <f t="shared" si="17"/>
        <v>3772920.7430786169</v>
      </c>
      <c r="H130" s="163">
        <f t="shared" si="18"/>
        <v>788109.32524503511</v>
      </c>
      <c r="I130" s="253">
        <f t="shared" si="19"/>
        <v>788109.32524503511</v>
      </c>
      <c r="J130" s="158">
        <f t="shared" si="20"/>
        <v>0</v>
      </c>
      <c r="K130" s="158"/>
      <c r="L130" s="334"/>
      <c r="M130" s="158">
        <f t="shared" si="11"/>
        <v>0</v>
      </c>
      <c r="N130" s="334"/>
      <c r="O130" s="158">
        <f t="shared" si="12"/>
        <v>0</v>
      </c>
      <c r="P130" s="158">
        <f t="shared" si="13"/>
        <v>0</v>
      </c>
    </row>
    <row r="131" spans="2:16">
      <c r="B131" s="9" t="str">
        <f t="shared" si="14"/>
        <v/>
      </c>
      <c r="C131" s="153">
        <f>IF(D93="","-",+C130+1)</f>
        <v>2047</v>
      </c>
      <c r="D131" s="154">
        <f>IF(F130+SUM(E$99:E130)=D$92,F130,D$92-SUM(E$99:E130))</f>
        <v>3608017.1716500456</v>
      </c>
      <c r="E131" s="160">
        <f t="shared" si="15"/>
        <v>329807.14285714284</v>
      </c>
      <c r="F131" s="159">
        <f t="shared" si="16"/>
        <v>3278210.0287929028</v>
      </c>
      <c r="G131" s="159">
        <f t="shared" si="17"/>
        <v>3443113.6002214742</v>
      </c>
      <c r="H131" s="163">
        <f t="shared" si="18"/>
        <v>748047.17084758868</v>
      </c>
      <c r="I131" s="253">
        <f t="shared" si="19"/>
        <v>748047.17084758868</v>
      </c>
      <c r="J131" s="158">
        <f t="shared" si="20"/>
        <v>0</v>
      </c>
      <c r="K131" s="158"/>
      <c r="L131" s="334"/>
      <c r="M131" s="158">
        <f t="shared" ref="M131:M154" si="21">IF(L541&lt;&gt;0,+H541-L541,0)</f>
        <v>0</v>
      </c>
      <c r="N131" s="334"/>
      <c r="O131" s="158">
        <f t="shared" ref="O131:O154" si="22">IF(N541&lt;&gt;0,+I541-N541,0)</f>
        <v>0</v>
      </c>
      <c r="P131" s="158">
        <f t="shared" ref="P131:P154" si="23">+O541-M541</f>
        <v>0</v>
      </c>
    </row>
    <row r="132" spans="2:16">
      <c r="B132" s="9" t="str">
        <f t="shared" si="14"/>
        <v/>
      </c>
      <c r="C132" s="153">
        <f>IF(D93="","-",+C131+1)</f>
        <v>2048</v>
      </c>
      <c r="D132" s="154">
        <f>IF(F131+SUM(E$99:E131)=D$92,F131,D$92-SUM(E$99:E131))</f>
        <v>3278210.0287929028</v>
      </c>
      <c r="E132" s="160">
        <f t="shared" si="15"/>
        <v>329807.14285714284</v>
      </c>
      <c r="F132" s="159">
        <f t="shared" si="16"/>
        <v>2948402.8859357601</v>
      </c>
      <c r="G132" s="159">
        <f t="shared" si="17"/>
        <v>3113306.4573643315</v>
      </c>
      <c r="H132" s="163">
        <f t="shared" si="18"/>
        <v>707985.01645014226</v>
      </c>
      <c r="I132" s="253">
        <f t="shared" si="19"/>
        <v>707985.01645014226</v>
      </c>
      <c r="J132" s="158">
        <f t="shared" si="20"/>
        <v>0</v>
      </c>
      <c r="K132" s="158"/>
      <c r="L132" s="334"/>
      <c r="M132" s="158">
        <f t="shared" si="21"/>
        <v>0</v>
      </c>
      <c r="N132" s="334"/>
      <c r="O132" s="158">
        <f t="shared" si="22"/>
        <v>0</v>
      </c>
      <c r="P132" s="158">
        <f t="shared" si="23"/>
        <v>0</v>
      </c>
    </row>
    <row r="133" spans="2:16">
      <c r="B133" s="9" t="str">
        <f t="shared" si="14"/>
        <v/>
      </c>
      <c r="C133" s="153">
        <f>IF(D93="","-",+C132+1)</f>
        <v>2049</v>
      </c>
      <c r="D133" s="154">
        <f>IF(F132+SUM(E$99:E132)=D$92,F132,D$92-SUM(E$99:E132))</f>
        <v>2948402.8859357601</v>
      </c>
      <c r="E133" s="160">
        <f t="shared" si="15"/>
        <v>329807.14285714284</v>
      </c>
      <c r="F133" s="159">
        <f t="shared" si="16"/>
        <v>2618595.7430786174</v>
      </c>
      <c r="G133" s="159">
        <f t="shared" si="17"/>
        <v>2783499.3145071887</v>
      </c>
      <c r="H133" s="163">
        <f t="shared" si="18"/>
        <v>667922.86205269583</v>
      </c>
      <c r="I133" s="253">
        <f t="shared" si="19"/>
        <v>667922.86205269583</v>
      </c>
      <c r="J133" s="158">
        <f t="shared" si="20"/>
        <v>0</v>
      </c>
      <c r="K133" s="158"/>
      <c r="L133" s="334"/>
      <c r="M133" s="158">
        <f t="shared" si="21"/>
        <v>0</v>
      </c>
      <c r="N133" s="334"/>
      <c r="O133" s="158">
        <f t="shared" si="22"/>
        <v>0</v>
      </c>
      <c r="P133" s="158">
        <f t="shared" si="23"/>
        <v>0</v>
      </c>
    </row>
    <row r="134" spans="2:16">
      <c r="B134" s="9" t="str">
        <f t="shared" si="14"/>
        <v/>
      </c>
      <c r="C134" s="153">
        <f>IF(D93="","-",+C133+1)</f>
        <v>2050</v>
      </c>
      <c r="D134" s="154">
        <f>IF(F133+SUM(E$99:E133)=D$92,F133,D$92-SUM(E$99:E133))</f>
        <v>2618595.7430786174</v>
      </c>
      <c r="E134" s="160">
        <f t="shared" si="15"/>
        <v>329807.14285714284</v>
      </c>
      <c r="F134" s="159">
        <f t="shared" si="16"/>
        <v>2288788.6002214747</v>
      </c>
      <c r="G134" s="159">
        <f t="shared" si="17"/>
        <v>2453692.171650046</v>
      </c>
      <c r="H134" s="163">
        <f t="shared" si="18"/>
        <v>627860.7076552494</v>
      </c>
      <c r="I134" s="253">
        <f t="shared" si="19"/>
        <v>627860.7076552494</v>
      </c>
      <c r="J134" s="158">
        <f t="shared" si="20"/>
        <v>0</v>
      </c>
      <c r="K134" s="158"/>
      <c r="L134" s="334"/>
      <c r="M134" s="158">
        <f t="shared" si="21"/>
        <v>0</v>
      </c>
      <c r="N134" s="334"/>
      <c r="O134" s="158">
        <f t="shared" si="22"/>
        <v>0</v>
      </c>
      <c r="P134" s="158">
        <f t="shared" si="23"/>
        <v>0</v>
      </c>
    </row>
    <row r="135" spans="2:16">
      <c r="B135" s="9" t="str">
        <f t="shared" si="14"/>
        <v/>
      </c>
      <c r="C135" s="153">
        <f>IF(D93="","-",+C134+1)</f>
        <v>2051</v>
      </c>
      <c r="D135" s="154">
        <f>IF(F134+SUM(E$99:E134)=D$92,F134,D$92-SUM(E$99:E134))</f>
        <v>2288788.6002214747</v>
      </c>
      <c r="E135" s="160">
        <f t="shared" si="15"/>
        <v>329807.14285714284</v>
      </c>
      <c r="F135" s="159">
        <f t="shared" si="16"/>
        <v>1958981.4573643319</v>
      </c>
      <c r="G135" s="159">
        <f t="shared" si="17"/>
        <v>2123885.0287929033</v>
      </c>
      <c r="H135" s="163">
        <f t="shared" si="18"/>
        <v>587798.55325780297</v>
      </c>
      <c r="I135" s="253">
        <f t="shared" si="19"/>
        <v>587798.55325780297</v>
      </c>
      <c r="J135" s="158">
        <f t="shared" si="20"/>
        <v>0</v>
      </c>
      <c r="K135" s="158"/>
      <c r="L135" s="334"/>
      <c r="M135" s="158">
        <f t="shared" si="21"/>
        <v>0</v>
      </c>
      <c r="N135" s="334"/>
      <c r="O135" s="158">
        <f t="shared" si="22"/>
        <v>0</v>
      </c>
      <c r="P135" s="158">
        <f t="shared" si="23"/>
        <v>0</v>
      </c>
    </row>
    <row r="136" spans="2:16">
      <c r="B136" s="9" t="str">
        <f t="shared" si="14"/>
        <v/>
      </c>
      <c r="C136" s="153">
        <f>IF(D93="","-",+C135+1)</f>
        <v>2052</v>
      </c>
      <c r="D136" s="154">
        <f>IF(F135+SUM(E$99:E135)=D$92,F135,D$92-SUM(E$99:E135))</f>
        <v>1958981.4573643319</v>
      </c>
      <c r="E136" s="160">
        <f t="shared" si="15"/>
        <v>329807.14285714284</v>
      </c>
      <c r="F136" s="159">
        <f t="shared" si="16"/>
        <v>1629174.3145071892</v>
      </c>
      <c r="G136" s="159">
        <f t="shared" si="17"/>
        <v>1794077.8859357606</v>
      </c>
      <c r="H136" s="163">
        <f t="shared" si="18"/>
        <v>547736.39886035654</v>
      </c>
      <c r="I136" s="253">
        <f t="shared" si="19"/>
        <v>547736.39886035654</v>
      </c>
      <c r="J136" s="158">
        <f t="shared" si="20"/>
        <v>0</v>
      </c>
      <c r="K136" s="158"/>
      <c r="L136" s="334"/>
      <c r="M136" s="158">
        <f t="shared" si="21"/>
        <v>0</v>
      </c>
      <c r="N136" s="334"/>
      <c r="O136" s="158">
        <f t="shared" si="22"/>
        <v>0</v>
      </c>
      <c r="P136" s="158">
        <f t="shared" si="23"/>
        <v>0</v>
      </c>
    </row>
    <row r="137" spans="2:16">
      <c r="B137" s="9" t="str">
        <f t="shared" si="14"/>
        <v/>
      </c>
      <c r="C137" s="153">
        <f>IF(D93="","-",+C136+1)</f>
        <v>2053</v>
      </c>
      <c r="D137" s="154">
        <f>IF(F136+SUM(E$99:E136)=D$92,F136,D$92-SUM(E$99:E136))</f>
        <v>1629174.3145071892</v>
      </c>
      <c r="E137" s="160">
        <f t="shared" si="15"/>
        <v>329807.14285714284</v>
      </c>
      <c r="F137" s="159">
        <f t="shared" si="16"/>
        <v>1299367.1716500465</v>
      </c>
      <c r="G137" s="159">
        <f t="shared" si="17"/>
        <v>1464270.7430786178</v>
      </c>
      <c r="H137" s="163">
        <f t="shared" si="18"/>
        <v>507674.24446291011</v>
      </c>
      <c r="I137" s="253">
        <f t="shared" si="19"/>
        <v>507674.24446291011</v>
      </c>
      <c r="J137" s="158">
        <f t="shared" si="20"/>
        <v>0</v>
      </c>
      <c r="K137" s="158"/>
      <c r="L137" s="334"/>
      <c r="M137" s="158">
        <f t="shared" si="21"/>
        <v>0</v>
      </c>
      <c r="N137" s="334"/>
      <c r="O137" s="158">
        <f t="shared" si="22"/>
        <v>0</v>
      </c>
      <c r="P137" s="158">
        <f t="shared" si="23"/>
        <v>0</v>
      </c>
    </row>
    <row r="138" spans="2:16">
      <c r="B138" s="9" t="str">
        <f t="shared" si="14"/>
        <v/>
      </c>
      <c r="C138" s="153">
        <f>IF(D93="","-",+C137+1)</f>
        <v>2054</v>
      </c>
      <c r="D138" s="154">
        <f>IF(F137+SUM(E$99:E137)=D$92,F137,D$92-SUM(E$99:E137))</f>
        <v>1299367.1716500465</v>
      </c>
      <c r="E138" s="160">
        <f t="shared" si="15"/>
        <v>329807.14285714284</v>
      </c>
      <c r="F138" s="159">
        <f t="shared" si="16"/>
        <v>969560.02879290364</v>
      </c>
      <c r="G138" s="159">
        <f t="shared" si="17"/>
        <v>1134463.6002214751</v>
      </c>
      <c r="H138" s="163">
        <f t="shared" si="18"/>
        <v>467612.09006546368</v>
      </c>
      <c r="I138" s="253">
        <f t="shared" si="19"/>
        <v>467612.09006546368</v>
      </c>
      <c r="J138" s="158">
        <f t="shared" si="20"/>
        <v>0</v>
      </c>
      <c r="K138" s="158"/>
      <c r="L138" s="334"/>
      <c r="M138" s="158">
        <f t="shared" si="21"/>
        <v>0</v>
      </c>
      <c r="N138" s="334"/>
      <c r="O138" s="158">
        <f t="shared" si="22"/>
        <v>0</v>
      </c>
      <c r="P138" s="158">
        <f t="shared" si="23"/>
        <v>0</v>
      </c>
    </row>
    <row r="139" spans="2:16">
      <c r="B139" s="9" t="str">
        <f t="shared" si="14"/>
        <v/>
      </c>
      <c r="C139" s="153">
        <f>IF(D93="","-",+C138+1)</f>
        <v>2055</v>
      </c>
      <c r="D139" s="154">
        <f>IF(F138+SUM(E$99:E138)=D$92,F138,D$92-SUM(E$99:E138))</f>
        <v>969560.02879290364</v>
      </c>
      <c r="E139" s="160">
        <f t="shared" si="15"/>
        <v>329807.14285714284</v>
      </c>
      <c r="F139" s="159">
        <f t="shared" si="16"/>
        <v>639752.8859357608</v>
      </c>
      <c r="G139" s="159">
        <f t="shared" si="17"/>
        <v>804656.45736433216</v>
      </c>
      <c r="H139" s="163">
        <f t="shared" si="18"/>
        <v>427549.93566801725</v>
      </c>
      <c r="I139" s="253">
        <f t="shared" si="19"/>
        <v>427549.93566801725</v>
      </c>
      <c r="J139" s="158">
        <f t="shared" si="20"/>
        <v>0</v>
      </c>
      <c r="K139" s="158"/>
      <c r="L139" s="334"/>
      <c r="M139" s="158">
        <f t="shared" si="21"/>
        <v>0</v>
      </c>
      <c r="N139" s="334"/>
      <c r="O139" s="158">
        <f t="shared" si="22"/>
        <v>0</v>
      </c>
      <c r="P139" s="158">
        <f t="shared" si="23"/>
        <v>0</v>
      </c>
    </row>
    <row r="140" spans="2:16">
      <c r="B140" s="9" t="str">
        <f t="shared" si="14"/>
        <v/>
      </c>
      <c r="C140" s="153">
        <f>IF(D93="","-",+C139+1)</f>
        <v>2056</v>
      </c>
      <c r="D140" s="154">
        <f>IF(F139+SUM(E$99:E139)=D$92,F139,D$92-SUM(E$99:E139))</f>
        <v>639752.8859357608</v>
      </c>
      <c r="E140" s="160">
        <f t="shared" si="15"/>
        <v>329807.14285714284</v>
      </c>
      <c r="F140" s="159">
        <f t="shared" si="16"/>
        <v>309945.74307861796</v>
      </c>
      <c r="G140" s="159">
        <f t="shared" si="17"/>
        <v>474849.31450718938</v>
      </c>
      <c r="H140" s="163">
        <f t="shared" si="18"/>
        <v>387487.78127057076</v>
      </c>
      <c r="I140" s="253">
        <f t="shared" si="19"/>
        <v>387487.78127057076</v>
      </c>
      <c r="J140" s="158">
        <f t="shared" si="20"/>
        <v>0</v>
      </c>
      <c r="K140" s="158"/>
      <c r="L140" s="334"/>
      <c r="M140" s="158">
        <f t="shared" si="21"/>
        <v>0</v>
      </c>
      <c r="N140" s="334"/>
      <c r="O140" s="158">
        <f t="shared" si="22"/>
        <v>0</v>
      </c>
      <c r="P140" s="158">
        <f t="shared" si="23"/>
        <v>0</v>
      </c>
    </row>
    <row r="141" spans="2:16">
      <c r="B141" s="9" t="str">
        <f t="shared" si="14"/>
        <v/>
      </c>
      <c r="C141" s="153">
        <f>IF(D93="","-",+C140+1)</f>
        <v>2057</v>
      </c>
      <c r="D141" s="154">
        <f>IF(F140+SUM(E$99:E140)=D$92,F140,D$92-SUM(E$99:E140))</f>
        <v>309945.74307861796</v>
      </c>
      <c r="E141" s="160">
        <f t="shared" si="15"/>
        <v>309945.74307861796</v>
      </c>
      <c r="F141" s="159">
        <f t="shared" si="16"/>
        <v>0</v>
      </c>
      <c r="G141" s="159">
        <f t="shared" si="17"/>
        <v>154972.87153930898</v>
      </c>
      <c r="H141" s="163">
        <f t="shared" si="18"/>
        <v>328770.52368597034</v>
      </c>
      <c r="I141" s="253">
        <f t="shared" si="19"/>
        <v>328770.52368597034</v>
      </c>
      <c r="J141" s="158">
        <f t="shared" si="20"/>
        <v>0</v>
      </c>
      <c r="K141" s="158"/>
      <c r="L141" s="334"/>
      <c r="M141" s="158">
        <f t="shared" si="21"/>
        <v>0</v>
      </c>
      <c r="N141" s="334"/>
      <c r="O141" s="158">
        <f t="shared" si="22"/>
        <v>0</v>
      </c>
      <c r="P141" s="158">
        <f t="shared" si="23"/>
        <v>0</v>
      </c>
    </row>
    <row r="142" spans="2:16">
      <c r="B142" s="9" t="str">
        <f t="shared" si="14"/>
        <v/>
      </c>
      <c r="C142" s="153">
        <f>IF(D93="","-",+C141+1)</f>
        <v>2058</v>
      </c>
      <c r="D142" s="154">
        <f>IF(F141+SUM(E$99:E141)=D$92,F141,D$92-SUM(E$99:E141))</f>
        <v>0</v>
      </c>
      <c r="E142" s="160">
        <f t="shared" si="15"/>
        <v>0</v>
      </c>
      <c r="F142" s="159">
        <f t="shared" si="16"/>
        <v>0</v>
      </c>
      <c r="G142" s="159">
        <f t="shared" si="17"/>
        <v>0</v>
      </c>
      <c r="H142" s="163">
        <f t="shared" si="18"/>
        <v>0</v>
      </c>
      <c r="I142" s="253">
        <f t="shared" si="19"/>
        <v>0</v>
      </c>
      <c r="J142" s="158">
        <f t="shared" si="20"/>
        <v>0</v>
      </c>
      <c r="K142" s="158"/>
      <c r="L142" s="334"/>
      <c r="M142" s="158">
        <f t="shared" si="21"/>
        <v>0</v>
      </c>
      <c r="N142" s="334"/>
      <c r="O142" s="158">
        <f t="shared" si="22"/>
        <v>0</v>
      </c>
      <c r="P142" s="158">
        <f t="shared" si="23"/>
        <v>0</v>
      </c>
    </row>
    <row r="143" spans="2:16">
      <c r="B143" s="9" t="str">
        <f t="shared" si="14"/>
        <v/>
      </c>
      <c r="C143" s="153">
        <f>IF(D93="","-",+C142+1)</f>
        <v>2059</v>
      </c>
      <c r="D143" s="154">
        <f>IF(F142+SUM(E$99:E142)=D$92,F142,D$92-SUM(E$99:E142))</f>
        <v>0</v>
      </c>
      <c r="E143" s="160">
        <f t="shared" si="15"/>
        <v>0</v>
      </c>
      <c r="F143" s="159">
        <f t="shared" si="16"/>
        <v>0</v>
      </c>
      <c r="G143" s="159">
        <f t="shared" si="17"/>
        <v>0</v>
      </c>
      <c r="H143" s="163">
        <f t="shared" si="18"/>
        <v>0</v>
      </c>
      <c r="I143" s="253">
        <f t="shared" si="19"/>
        <v>0</v>
      </c>
      <c r="J143" s="158">
        <f t="shared" si="20"/>
        <v>0</v>
      </c>
      <c r="K143" s="158"/>
      <c r="L143" s="334"/>
      <c r="M143" s="158">
        <f t="shared" si="21"/>
        <v>0</v>
      </c>
      <c r="N143" s="334"/>
      <c r="O143" s="158">
        <f t="shared" si="22"/>
        <v>0</v>
      </c>
      <c r="P143" s="158">
        <f t="shared" si="23"/>
        <v>0</v>
      </c>
    </row>
    <row r="144" spans="2:16">
      <c r="B144" s="9" t="str">
        <f t="shared" si="14"/>
        <v/>
      </c>
      <c r="C144" s="153">
        <f>IF(D93="","-",+C143+1)</f>
        <v>2060</v>
      </c>
      <c r="D144" s="154">
        <f>IF(F143+SUM(E$99:E143)=D$92,F143,D$92-SUM(E$99:E143))</f>
        <v>0</v>
      </c>
      <c r="E144" s="160">
        <f t="shared" si="15"/>
        <v>0</v>
      </c>
      <c r="F144" s="159">
        <f t="shared" si="16"/>
        <v>0</v>
      </c>
      <c r="G144" s="159">
        <f t="shared" si="17"/>
        <v>0</v>
      </c>
      <c r="H144" s="163">
        <f t="shared" si="18"/>
        <v>0</v>
      </c>
      <c r="I144" s="253">
        <f t="shared" si="19"/>
        <v>0</v>
      </c>
      <c r="J144" s="158">
        <f t="shared" si="20"/>
        <v>0</v>
      </c>
      <c r="K144" s="158"/>
      <c r="L144" s="334"/>
      <c r="M144" s="158">
        <f t="shared" si="21"/>
        <v>0</v>
      </c>
      <c r="N144" s="334"/>
      <c r="O144" s="158">
        <f t="shared" si="22"/>
        <v>0</v>
      </c>
      <c r="P144" s="158">
        <f t="shared" si="23"/>
        <v>0</v>
      </c>
    </row>
    <row r="145" spans="2:16">
      <c r="B145" s="9" t="str">
        <f t="shared" si="14"/>
        <v/>
      </c>
      <c r="C145" s="153">
        <f>IF(D93="","-",+C144+1)</f>
        <v>2061</v>
      </c>
      <c r="D145" s="154">
        <f>IF(F144+SUM(E$99:E144)=D$92,F144,D$92-SUM(E$99:E144))</f>
        <v>0</v>
      </c>
      <c r="E145" s="160">
        <f t="shared" si="15"/>
        <v>0</v>
      </c>
      <c r="F145" s="159">
        <f t="shared" si="16"/>
        <v>0</v>
      </c>
      <c r="G145" s="159">
        <f t="shared" si="17"/>
        <v>0</v>
      </c>
      <c r="H145" s="163">
        <f t="shared" si="18"/>
        <v>0</v>
      </c>
      <c r="I145" s="253">
        <f t="shared" si="19"/>
        <v>0</v>
      </c>
      <c r="J145" s="158">
        <f t="shared" si="20"/>
        <v>0</v>
      </c>
      <c r="K145" s="158"/>
      <c r="L145" s="334"/>
      <c r="M145" s="158">
        <f t="shared" si="21"/>
        <v>0</v>
      </c>
      <c r="N145" s="334"/>
      <c r="O145" s="158">
        <f t="shared" si="22"/>
        <v>0</v>
      </c>
      <c r="P145" s="158">
        <f t="shared" si="23"/>
        <v>0</v>
      </c>
    </row>
    <row r="146" spans="2:16">
      <c r="B146" s="9" t="str">
        <f t="shared" si="14"/>
        <v/>
      </c>
      <c r="C146" s="153">
        <f>IF(D93="","-",+C145+1)</f>
        <v>2062</v>
      </c>
      <c r="D146" s="154">
        <f>IF(F145+SUM(E$99:E145)=D$92,F145,D$92-SUM(E$99:E145))</f>
        <v>0</v>
      </c>
      <c r="E146" s="160">
        <f t="shared" si="15"/>
        <v>0</v>
      </c>
      <c r="F146" s="159">
        <f t="shared" si="16"/>
        <v>0</v>
      </c>
      <c r="G146" s="159">
        <f t="shared" si="17"/>
        <v>0</v>
      </c>
      <c r="H146" s="163">
        <f t="shared" si="18"/>
        <v>0</v>
      </c>
      <c r="I146" s="253">
        <f t="shared" si="19"/>
        <v>0</v>
      </c>
      <c r="J146" s="158">
        <f t="shared" si="20"/>
        <v>0</v>
      </c>
      <c r="K146" s="158"/>
      <c r="L146" s="334"/>
      <c r="M146" s="158">
        <f t="shared" si="21"/>
        <v>0</v>
      </c>
      <c r="N146" s="334"/>
      <c r="O146" s="158">
        <f t="shared" si="22"/>
        <v>0</v>
      </c>
      <c r="P146" s="158">
        <f t="shared" si="23"/>
        <v>0</v>
      </c>
    </row>
    <row r="147" spans="2:16">
      <c r="B147" s="9" t="str">
        <f t="shared" si="14"/>
        <v/>
      </c>
      <c r="C147" s="153">
        <f>IF(D93="","-",+C146+1)</f>
        <v>2063</v>
      </c>
      <c r="D147" s="154">
        <f>IF(F146+SUM(E$99:E146)=D$92,F146,D$92-SUM(E$99:E146))</f>
        <v>0</v>
      </c>
      <c r="E147" s="160">
        <f t="shared" si="15"/>
        <v>0</v>
      </c>
      <c r="F147" s="159">
        <f t="shared" si="16"/>
        <v>0</v>
      </c>
      <c r="G147" s="159">
        <f t="shared" si="17"/>
        <v>0</v>
      </c>
      <c r="H147" s="163">
        <f t="shared" si="18"/>
        <v>0</v>
      </c>
      <c r="I147" s="253">
        <f t="shared" si="19"/>
        <v>0</v>
      </c>
      <c r="J147" s="158">
        <f t="shared" si="20"/>
        <v>0</v>
      </c>
      <c r="K147" s="158"/>
      <c r="L147" s="334"/>
      <c r="M147" s="158">
        <f t="shared" si="21"/>
        <v>0</v>
      </c>
      <c r="N147" s="334"/>
      <c r="O147" s="158">
        <f t="shared" si="22"/>
        <v>0</v>
      </c>
      <c r="P147" s="158">
        <f t="shared" si="23"/>
        <v>0</v>
      </c>
    </row>
    <row r="148" spans="2:16">
      <c r="B148" s="9" t="str">
        <f t="shared" si="14"/>
        <v/>
      </c>
      <c r="C148" s="153">
        <f>IF(D93="","-",+C147+1)</f>
        <v>2064</v>
      </c>
      <c r="D148" s="154">
        <f>IF(F147+SUM(E$99:E147)=D$92,F147,D$92-SUM(E$99:E147))</f>
        <v>0</v>
      </c>
      <c r="E148" s="160">
        <f t="shared" si="15"/>
        <v>0</v>
      </c>
      <c r="F148" s="159">
        <f t="shared" si="16"/>
        <v>0</v>
      </c>
      <c r="G148" s="159">
        <f t="shared" si="17"/>
        <v>0</v>
      </c>
      <c r="H148" s="163">
        <f t="shared" si="18"/>
        <v>0</v>
      </c>
      <c r="I148" s="253">
        <f t="shared" si="19"/>
        <v>0</v>
      </c>
      <c r="J148" s="158">
        <f t="shared" si="20"/>
        <v>0</v>
      </c>
      <c r="K148" s="158"/>
      <c r="L148" s="334"/>
      <c r="M148" s="158">
        <f t="shared" si="21"/>
        <v>0</v>
      </c>
      <c r="N148" s="334"/>
      <c r="O148" s="158">
        <f t="shared" si="22"/>
        <v>0</v>
      </c>
      <c r="P148" s="158">
        <f t="shared" si="23"/>
        <v>0</v>
      </c>
    </row>
    <row r="149" spans="2:16">
      <c r="B149" s="9" t="str">
        <f t="shared" si="14"/>
        <v/>
      </c>
      <c r="C149" s="153">
        <f>IF(D93="","-",+C148+1)</f>
        <v>2065</v>
      </c>
      <c r="D149" s="154">
        <f>IF(F148+SUM(E$99:E148)=D$92,F148,D$92-SUM(E$99:E148))</f>
        <v>0</v>
      </c>
      <c r="E149" s="160">
        <f t="shared" si="15"/>
        <v>0</v>
      </c>
      <c r="F149" s="159">
        <f t="shared" si="16"/>
        <v>0</v>
      </c>
      <c r="G149" s="159">
        <f t="shared" si="17"/>
        <v>0</v>
      </c>
      <c r="H149" s="163">
        <f t="shared" si="18"/>
        <v>0</v>
      </c>
      <c r="I149" s="253">
        <f t="shared" si="19"/>
        <v>0</v>
      </c>
      <c r="J149" s="158">
        <f t="shared" si="20"/>
        <v>0</v>
      </c>
      <c r="K149" s="158"/>
      <c r="L149" s="334"/>
      <c r="M149" s="158">
        <f t="shared" si="21"/>
        <v>0</v>
      </c>
      <c r="N149" s="334"/>
      <c r="O149" s="158">
        <f t="shared" si="22"/>
        <v>0</v>
      </c>
      <c r="P149" s="158">
        <f t="shared" si="23"/>
        <v>0</v>
      </c>
    </row>
    <row r="150" spans="2:16">
      <c r="B150" s="9" t="str">
        <f t="shared" si="14"/>
        <v/>
      </c>
      <c r="C150" s="153">
        <f>IF(D93="","-",+C149+1)</f>
        <v>2066</v>
      </c>
      <c r="D150" s="154">
        <f>IF(F149+SUM(E$99:E149)=D$92,F149,D$92-SUM(E$99:E149))</f>
        <v>0</v>
      </c>
      <c r="E150" s="160">
        <f t="shared" si="15"/>
        <v>0</v>
      </c>
      <c r="F150" s="159">
        <f t="shared" si="16"/>
        <v>0</v>
      </c>
      <c r="G150" s="159">
        <f t="shared" si="17"/>
        <v>0</v>
      </c>
      <c r="H150" s="163">
        <f t="shared" si="18"/>
        <v>0</v>
      </c>
      <c r="I150" s="253">
        <f t="shared" si="19"/>
        <v>0</v>
      </c>
      <c r="J150" s="158">
        <f t="shared" si="20"/>
        <v>0</v>
      </c>
      <c r="K150" s="158"/>
      <c r="L150" s="334"/>
      <c r="M150" s="158">
        <f t="shared" si="21"/>
        <v>0</v>
      </c>
      <c r="N150" s="334"/>
      <c r="O150" s="158">
        <f t="shared" si="22"/>
        <v>0</v>
      </c>
      <c r="P150" s="158">
        <f t="shared" si="23"/>
        <v>0</v>
      </c>
    </row>
    <row r="151" spans="2:16">
      <c r="B151" s="9" t="str">
        <f t="shared" si="14"/>
        <v/>
      </c>
      <c r="C151" s="153">
        <f>IF(D93="","-",+C150+1)</f>
        <v>2067</v>
      </c>
      <c r="D151" s="154">
        <f>IF(F150+SUM(E$99:E150)=D$92,F150,D$92-SUM(E$99:E150))</f>
        <v>0</v>
      </c>
      <c r="E151" s="160">
        <f t="shared" si="15"/>
        <v>0</v>
      </c>
      <c r="F151" s="159">
        <f t="shared" si="16"/>
        <v>0</v>
      </c>
      <c r="G151" s="159">
        <f t="shared" si="17"/>
        <v>0</v>
      </c>
      <c r="H151" s="163">
        <f t="shared" si="18"/>
        <v>0</v>
      </c>
      <c r="I151" s="253">
        <f t="shared" si="19"/>
        <v>0</v>
      </c>
      <c r="J151" s="158">
        <f t="shared" si="20"/>
        <v>0</v>
      </c>
      <c r="K151" s="158"/>
      <c r="L151" s="334"/>
      <c r="M151" s="158">
        <f t="shared" si="21"/>
        <v>0</v>
      </c>
      <c r="N151" s="334"/>
      <c r="O151" s="158">
        <f t="shared" si="22"/>
        <v>0</v>
      </c>
      <c r="P151" s="158">
        <f t="shared" si="23"/>
        <v>0</v>
      </c>
    </row>
    <row r="152" spans="2:16">
      <c r="B152" s="9" t="str">
        <f t="shared" si="14"/>
        <v/>
      </c>
      <c r="C152" s="153">
        <f>IF(D93="","-",+C151+1)</f>
        <v>2068</v>
      </c>
      <c r="D152" s="154">
        <f>IF(F151+SUM(E$99:E151)=D$92,F151,D$92-SUM(E$99:E151))</f>
        <v>0</v>
      </c>
      <c r="E152" s="160">
        <f t="shared" si="15"/>
        <v>0</v>
      </c>
      <c r="F152" s="159">
        <f t="shared" si="16"/>
        <v>0</v>
      </c>
      <c r="G152" s="159">
        <f t="shared" si="17"/>
        <v>0</v>
      </c>
      <c r="H152" s="163">
        <f t="shared" si="18"/>
        <v>0</v>
      </c>
      <c r="I152" s="253">
        <f t="shared" si="19"/>
        <v>0</v>
      </c>
      <c r="J152" s="158">
        <f t="shared" si="20"/>
        <v>0</v>
      </c>
      <c r="K152" s="158"/>
      <c r="L152" s="334"/>
      <c r="M152" s="158">
        <f t="shared" si="21"/>
        <v>0</v>
      </c>
      <c r="N152" s="334"/>
      <c r="O152" s="158">
        <f t="shared" si="22"/>
        <v>0</v>
      </c>
      <c r="P152" s="158">
        <f t="shared" si="23"/>
        <v>0</v>
      </c>
    </row>
    <row r="153" spans="2:16">
      <c r="B153" s="9" t="str">
        <f t="shared" si="14"/>
        <v/>
      </c>
      <c r="C153" s="153">
        <f>IF(D93="","-",+C152+1)</f>
        <v>2069</v>
      </c>
      <c r="D153" s="154">
        <f>IF(F152+SUM(E$99:E152)=D$92,F152,D$92-SUM(E$99:E152))</f>
        <v>0</v>
      </c>
      <c r="E153" s="160">
        <f t="shared" si="15"/>
        <v>0</v>
      </c>
      <c r="F153" s="159">
        <f t="shared" si="16"/>
        <v>0</v>
      </c>
      <c r="G153" s="159">
        <f t="shared" si="17"/>
        <v>0</v>
      </c>
      <c r="H153" s="163">
        <f t="shared" si="18"/>
        <v>0</v>
      </c>
      <c r="I153" s="253">
        <f t="shared" si="19"/>
        <v>0</v>
      </c>
      <c r="J153" s="158">
        <f t="shared" si="20"/>
        <v>0</v>
      </c>
      <c r="K153" s="158"/>
      <c r="L153" s="334"/>
      <c r="M153" s="158">
        <f t="shared" si="21"/>
        <v>0</v>
      </c>
      <c r="N153" s="334"/>
      <c r="O153" s="158">
        <f t="shared" si="22"/>
        <v>0</v>
      </c>
      <c r="P153" s="158">
        <f t="shared" si="23"/>
        <v>0</v>
      </c>
    </row>
    <row r="154" spans="2:16" ht="13.5" thickBot="1">
      <c r="B154" s="9" t="str">
        <f t="shared" si="14"/>
        <v/>
      </c>
      <c r="C154" s="164">
        <f>IF(D93="","-",+C153+1)</f>
        <v>2070</v>
      </c>
      <c r="D154" s="215">
        <f>IF(F153+SUM(E$99:E153)=D$92,F153,D$92-SUM(E$99:E153))</f>
        <v>0</v>
      </c>
      <c r="E154" s="166">
        <f t="shared" si="15"/>
        <v>0</v>
      </c>
      <c r="F154" s="165">
        <f t="shared" si="16"/>
        <v>0</v>
      </c>
      <c r="G154" s="165">
        <f t="shared" si="17"/>
        <v>0</v>
      </c>
      <c r="H154" s="167">
        <f t="shared" si="18"/>
        <v>0</v>
      </c>
      <c r="I154" s="254">
        <f t="shared" si="19"/>
        <v>0</v>
      </c>
      <c r="J154" s="169">
        <f t="shared" si="20"/>
        <v>0</v>
      </c>
      <c r="K154" s="158"/>
      <c r="L154" s="335"/>
      <c r="M154" s="169">
        <f t="shared" si="21"/>
        <v>0</v>
      </c>
      <c r="N154" s="335"/>
      <c r="O154" s="169">
        <f t="shared" si="22"/>
        <v>0</v>
      </c>
      <c r="P154" s="169">
        <f t="shared" si="23"/>
        <v>0</v>
      </c>
    </row>
    <row r="155" spans="2:16">
      <c r="C155" s="154" t="s">
        <v>73</v>
      </c>
      <c r="D155" s="111"/>
      <c r="E155" s="111">
        <f>SUM(E99:E154)</f>
        <v>13851900</v>
      </c>
      <c r="F155" s="111"/>
      <c r="G155" s="111"/>
      <c r="H155" s="111">
        <f>SUM(H99:H154)</f>
        <v>50073371.414289452</v>
      </c>
      <c r="I155" s="111">
        <f>SUM(I99:I154)</f>
        <v>50073371.414289452</v>
      </c>
      <c r="J155" s="111">
        <f>SUM(J99:J154)</f>
        <v>0</v>
      </c>
      <c r="K155" s="111"/>
      <c r="L155" s="111"/>
      <c r="M155" s="111"/>
      <c r="N155" s="111"/>
      <c r="O155" s="111"/>
      <c r="P155" s="1"/>
    </row>
    <row r="156" spans="2:16">
      <c r="C156" t="s">
        <v>87</v>
      </c>
      <c r="D156" s="2"/>
      <c r="E156" s="1"/>
      <c r="F156" s="1"/>
      <c r="G156" s="1"/>
      <c r="H156" s="1"/>
      <c r="I156" s="3"/>
      <c r="J156" s="3"/>
      <c r="K156" s="111"/>
      <c r="L156" s="3"/>
      <c r="M156" s="3"/>
      <c r="N156" s="3"/>
      <c r="O156" s="3"/>
      <c r="P156" s="1"/>
    </row>
    <row r="157" spans="2:16">
      <c r="C157" s="216"/>
      <c r="L157" s="3"/>
      <c r="M157" s="3"/>
      <c r="N157" s="3"/>
      <c r="O157" s="3"/>
      <c r="P157" s="1"/>
    </row>
    <row r="158" spans="2:16">
      <c r="C158" s="248" t="s">
        <v>127</v>
      </c>
      <c r="D158" s="2"/>
      <c r="E158" s="1"/>
      <c r="F158" s="1"/>
      <c r="G158" s="1"/>
      <c r="H158" s="1"/>
      <c r="I158" s="3"/>
      <c r="J158" s="3"/>
      <c r="K158" s="111"/>
      <c r="L158" s="3"/>
      <c r="M158" s="3"/>
      <c r="N158" s="3"/>
      <c r="O158" s="3"/>
      <c r="P158" s="1"/>
    </row>
    <row r="159" spans="2:16">
      <c r="C159" s="121" t="s">
        <v>74</v>
      </c>
      <c r="D159" s="154"/>
      <c r="E159" s="154"/>
      <c r="F159" s="154"/>
      <c r="G159" s="154"/>
      <c r="H159" s="111"/>
      <c r="I159" s="111"/>
      <c r="J159" s="171"/>
      <c r="K159" s="171"/>
      <c r="L159" s="171"/>
      <c r="M159" s="171"/>
      <c r="N159" s="171"/>
      <c r="O159" s="171"/>
      <c r="P159" s="1"/>
    </row>
    <row r="160" spans="2:16">
      <c r="C160" s="217" t="s">
        <v>75</v>
      </c>
      <c r="D160" s="154"/>
      <c r="E160" s="154"/>
      <c r="F160" s="154"/>
      <c r="G160" s="154"/>
      <c r="H160" s="111"/>
      <c r="I160" s="111"/>
      <c r="J160" s="171"/>
      <c r="K160" s="171"/>
      <c r="L160" s="171"/>
      <c r="M160" s="171"/>
      <c r="N160" s="171"/>
      <c r="O160" s="171"/>
      <c r="P160" s="1"/>
    </row>
    <row r="161" spans="3:16">
      <c r="C161" s="217"/>
      <c r="D161" s="154"/>
      <c r="E161" s="154"/>
      <c r="F161" s="154"/>
      <c r="G161" s="154"/>
      <c r="H161" s="111"/>
      <c r="I161" s="111"/>
      <c r="J161" s="171"/>
      <c r="K161" s="171"/>
      <c r="L161" s="171"/>
      <c r="M161" s="171"/>
      <c r="N161" s="171"/>
      <c r="O161" s="171"/>
      <c r="P161" s="1"/>
    </row>
    <row r="162" spans="3:16" ht="18">
      <c r="C162" s="217"/>
      <c r="D162" s="154"/>
      <c r="E162" s="154"/>
      <c r="F162" s="154"/>
      <c r="G162" s="154"/>
      <c r="H162" s="111"/>
      <c r="I162" s="111"/>
      <c r="J162" s="171"/>
      <c r="K162" s="171"/>
      <c r="L162" s="171"/>
      <c r="M162" s="171"/>
      <c r="N162" s="171"/>
      <c r="P162" s="245" t="s">
        <v>126</v>
      </c>
    </row>
  </sheetData>
  <conditionalFormatting sqref="C17:C72">
    <cfRule type="cellIs" dxfId="56" priority="3" stopIfTrue="1" operator="equal">
      <formula>$I$10</formula>
    </cfRule>
  </conditionalFormatting>
  <conditionalFormatting sqref="C99:C153">
    <cfRule type="cellIs" dxfId="55" priority="4" stopIfTrue="1" operator="equal">
      <formula>$J$92</formula>
    </cfRule>
  </conditionalFormatting>
  <conditionalFormatting sqref="C154">
    <cfRule type="cellIs" dxfId="54" priority="1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4"/>
  <dimension ref="A1:P162"/>
  <sheetViews>
    <sheetView view="pageBreakPreview" zoomScale="80" zoomScaleNormal="100" zoomScaleSheetLayoutView="80" workbookViewId="0">
      <selection activeCell="C19" sqref="C19"/>
    </sheetView>
  </sheetViews>
  <sheetFormatPr defaultRowHeight="12.75" customHeight="1"/>
  <cols>
    <col min="1" max="1" width="4.7109375" customWidth="1"/>
    <col min="2" max="2" width="6.7109375" customWidth="1"/>
    <col min="3" max="3" width="23.28515625" customWidth="1"/>
    <col min="4" max="8" width="17.7109375" customWidth="1"/>
    <col min="9" max="9" width="20.42578125" customWidth="1"/>
    <col min="10" max="10" width="16.42578125" customWidth="1"/>
    <col min="11" max="11" width="17.7109375" customWidth="1"/>
    <col min="12" max="12" width="16.140625" customWidth="1"/>
    <col min="13" max="13" width="17.7109375" customWidth="1"/>
    <col min="14" max="14" width="16.7109375" customWidth="1"/>
    <col min="15" max="15" width="16.85546875" customWidth="1"/>
    <col min="16" max="16" width="32.5703125" customWidth="1"/>
    <col min="17" max="17" width="9.140625" customWidth="1"/>
    <col min="19" max="21" width="9.140625" customWidth="1"/>
    <col min="23" max="23" width="9.140625" customWidth="1"/>
  </cols>
  <sheetData>
    <row r="1" spans="1:16" ht="20.25">
      <c r="A1" s="243" t="s">
        <v>128</v>
      </c>
      <c r="B1" s="1"/>
      <c r="C1" s="21"/>
      <c r="D1" s="2"/>
      <c r="E1" s="1"/>
      <c r="F1" s="99"/>
      <c r="G1" s="1"/>
      <c r="H1" s="3"/>
      <c r="J1" s="7"/>
      <c r="K1" s="109"/>
      <c r="L1" s="109"/>
      <c r="M1" s="109"/>
      <c r="P1" s="249" t="str">
        <f ca="1">"SWEPCO Project "&amp;RIGHT(MID(CELL("filename",$A$1),FIND("]",CELL("filename",$A$1))+1,256),2)&amp;" of "&amp;COUNT('S.001:S.xyz - blank'!$P$3)-1</f>
        <v>SWEPCO Project 55 of 73</v>
      </c>
    </row>
    <row r="2" spans="1:16" ht="18">
      <c r="B2" s="1"/>
      <c r="C2" s="1"/>
      <c r="D2" s="2"/>
      <c r="E2" s="1"/>
      <c r="F2" s="1"/>
      <c r="G2" s="1"/>
      <c r="H2" s="3"/>
      <c r="I2" s="1"/>
      <c r="J2" s="4"/>
      <c r="K2" s="1"/>
      <c r="L2" s="1"/>
      <c r="M2" s="1"/>
      <c r="N2" s="1"/>
      <c r="P2" s="244" t="s">
        <v>124</v>
      </c>
    </row>
    <row r="3" spans="1:16" ht="18.75">
      <c r="B3" s="5" t="s">
        <v>40</v>
      </c>
      <c r="C3" s="68" t="s">
        <v>41</v>
      </c>
      <c r="D3" s="2"/>
      <c r="E3" s="1"/>
      <c r="F3" s="1"/>
      <c r="G3" s="1"/>
      <c r="H3" s="3"/>
      <c r="I3" s="3"/>
      <c r="J3" s="111"/>
      <c r="K3" s="3"/>
      <c r="L3" s="3"/>
      <c r="M3" s="3"/>
      <c r="N3" s="3"/>
      <c r="O3" s="1"/>
      <c r="P3" s="240">
        <v>1</v>
      </c>
    </row>
    <row r="4" spans="1:16" ht="15.75" thickBot="1">
      <c r="C4" s="67"/>
      <c r="D4" s="2"/>
      <c r="E4" s="1"/>
      <c r="F4" s="1"/>
      <c r="G4" s="1"/>
      <c r="H4" s="3"/>
      <c r="I4" s="3"/>
      <c r="J4" s="111"/>
      <c r="K4" s="3"/>
      <c r="L4" s="3"/>
      <c r="M4" s="3"/>
      <c r="N4" s="3"/>
      <c r="O4" s="1"/>
      <c r="P4" s="1"/>
    </row>
    <row r="5" spans="1:16" ht="15">
      <c r="C5" s="112" t="s">
        <v>42</v>
      </c>
      <c r="D5" s="2"/>
      <c r="E5" s="1"/>
      <c r="F5" s="1"/>
      <c r="G5" s="113"/>
      <c r="H5" s="1" t="s">
        <v>43</v>
      </c>
      <c r="I5" s="1"/>
      <c r="J5" s="4"/>
      <c r="K5" s="268" t="s">
        <v>152</v>
      </c>
      <c r="L5" s="114"/>
      <c r="M5" s="115"/>
      <c r="N5" s="116">
        <f>VLOOKUP(I10,C17:I72,5)</f>
        <v>1085624.6352381217</v>
      </c>
      <c r="P5" s="1"/>
    </row>
    <row r="6" spans="1:16" ht="15.75">
      <c r="C6" s="8"/>
      <c r="D6" s="2"/>
      <c r="E6" s="1"/>
      <c r="F6" s="1"/>
      <c r="G6" s="1"/>
      <c r="H6" s="117"/>
      <c r="I6" s="117"/>
      <c r="J6" s="118"/>
      <c r="K6" s="269" t="s">
        <v>153</v>
      </c>
      <c r="L6" s="119"/>
      <c r="M6" s="4"/>
      <c r="N6" s="120">
        <f>VLOOKUP(I10,C17:I72,6)</f>
        <v>1085624.6352381217</v>
      </c>
      <c r="O6" s="1"/>
      <c r="P6" s="1"/>
    </row>
    <row r="7" spans="1:16" ht="13.5" thickBot="1">
      <c r="C7" s="121" t="s">
        <v>44</v>
      </c>
      <c r="D7" s="223" t="s">
        <v>345</v>
      </c>
      <c r="E7" s="379"/>
      <c r="F7" s="1"/>
      <c r="G7" s="1"/>
      <c r="H7" s="3"/>
      <c r="I7" s="3"/>
      <c r="J7" s="111"/>
      <c r="K7" s="122" t="s">
        <v>45</v>
      </c>
      <c r="L7" s="123"/>
      <c r="M7" s="123"/>
      <c r="N7" s="124">
        <f>+N6-N5</f>
        <v>0</v>
      </c>
      <c r="O7" s="1"/>
      <c r="P7" s="1"/>
    </row>
    <row r="8" spans="1:16" ht="13.5" thickBot="1">
      <c r="C8" s="125"/>
      <c r="D8" s="352" t="str">
        <f>IF(D10&lt;100000,"DOES NOT MEET SPP $100,000 MINIMUM INVESTMENT FOR REGIONAL BPU SHARING.","")</f>
        <v/>
      </c>
      <c r="E8" s="126"/>
      <c r="F8" s="126"/>
      <c r="G8" s="126"/>
      <c r="H8" s="126"/>
      <c r="I8" s="126"/>
      <c r="J8" s="101"/>
      <c r="K8" s="126"/>
      <c r="L8" s="126"/>
      <c r="M8" s="126"/>
      <c r="N8" s="126"/>
      <c r="O8" s="101"/>
      <c r="P8" s="21"/>
    </row>
    <row r="9" spans="1:16" ht="13.5" thickBot="1">
      <c r="C9" s="127" t="s">
        <v>46</v>
      </c>
      <c r="D9" s="225" t="s">
        <v>346</v>
      </c>
      <c r="E9" s="401" t="s">
        <v>442</v>
      </c>
      <c r="F9" s="128"/>
      <c r="G9" s="128"/>
      <c r="H9" s="128"/>
      <c r="I9" s="129"/>
      <c r="J9" s="130"/>
      <c r="O9" s="131"/>
      <c r="P9" s="4"/>
    </row>
    <row r="10" spans="1:16">
      <c r="C10" s="132" t="s">
        <v>47</v>
      </c>
      <c r="D10" s="133">
        <v>9375483</v>
      </c>
      <c r="E10" s="61" t="s">
        <v>459</v>
      </c>
      <c r="F10" s="131"/>
      <c r="G10" s="134"/>
      <c r="H10" s="134"/>
      <c r="I10" s="135">
        <f>+SWE.WS.F.BPU.ATRR.Projected!K17</f>
        <v>2019</v>
      </c>
      <c r="J10" s="130"/>
      <c r="K10" s="111" t="s">
        <v>48</v>
      </c>
      <c r="O10" s="4"/>
      <c r="P10" s="4"/>
    </row>
    <row r="11" spans="1:16">
      <c r="C11" s="136" t="s">
        <v>49</v>
      </c>
      <c r="D11" s="137">
        <v>2016</v>
      </c>
      <c r="E11" s="136" t="s">
        <v>50</v>
      </c>
      <c r="F11" s="134"/>
      <c r="G11" s="7"/>
      <c r="H11" s="7"/>
      <c r="I11" s="138">
        <f>IF(G5="",0,SWE.WS.F.BPU.ATRR.Projected!F$11)</f>
        <v>0</v>
      </c>
      <c r="J11" s="139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4"/>
      <c r="P11" s="4"/>
    </row>
    <row r="12" spans="1:16">
      <c r="C12" s="136" t="s">
        <v>51</v>
      </c>
      <c r="D12" s="133">
        <v>4</v>
      </c>
      <c r="E12" s="136" t="s">
        <v>52</v>
      </c>
      <c r="F12" s="134"/>
      <c r="G12" s="7"/>
      <c r="H12" s="7"/>
      <c r="I12" s="140">
        <f>SWE.WS.F.BPU.ATRR.Projected!$F$76</f>
        <v>9.9555672459071778E-2</v>
      </c>
      <c r="J12" s="141"/>
      <c r="K12" t="s">
        <v>53</v>
      </c>
      <c r="O12" s="4"/>
      <c r="P12" s="4"/>
    </row>
    <row r="13" spans="1:16">
      <c r="C13" s="136" t="s">
        <v>54</v>
      </c>
      <c r="D13" s="138">
        <f>+SWE.WS.F.BPU.ATRR.Projected!F$87</f>
        <v>43</v>
      </c>
      <c r="E13" s="136" t="s">
        <v>55</v>
      </c>
      <c r="F13" s="134"/>
      <c r="G13" s="7"/>
      <c r="H13" s="7"/>
      <c r="I13" s="140">
        <f>IF(G5="",I12,SWE.WS.F.BPU.ATRR.Projected!$F$75)</f>
        <v>9.9555672459071778E-2</v>
      </c>
      <c r="J13" s="141"/>
      <c r="K13" s="111" t="s">
        <v>56</v>
      </c>
      <c r="L13" s="58"/>
      <c r="M13" s="58"/>
      <c r="N13" s="58"/>
      <c r="O13" s="4"/>
      <c r="P13" s="4"/>
    </row>
    <row r="14" spans="1:16" ht="13.5" thickBot="1">
      <c r="C14" s="136" t="s">
        <v>57</v>
      </c>
      <c r="D14" s="137" t="s">
        <v>58</v>
      </c>
      <c r="E14" s="4" t="s">
        <v>59</v>
      </c>
      <c r="F14" s="134"/>
      <c r="G14" s="7"/>
      <c r="H14" s="7"/>
      <c r="I14" s="142">
        <f>IF(D10=0,0,D10/D13)</f>
        <v>218034.48837209304</v>
      </c>
      <c r="J14" s="111"/>
      <c r="K14" s="111"/>
      <c r="L14" s="111"/>
      <c r="M14" s="111"/>
      <c r="N14" s="111"/>
      <c r="O14" s="4"/>
      <c r="P14" s="4"/>
    </row>
    <row r="15" spans="1:16" ht="38.25">
      <c r="C15" s="143" t="s">
        <v>47</v>
      </c>
      <c r="D15" s="144" t="s">
        <v>60</v>
      </c>
      <c r="E15" s="144" t="s">
        <v>61</v>
      </c>
      <c r="F15" s="144" t="s">
        <v>62</v>
      </c>
      <c r="G15" s="434" t="s">
        <v>378</v>
      </c>
      <c r="H15" s="435" t="s">
        <v>379</v>
      </c>
      <c r="I15" s="143" t="s">
        <v>63</v>
      </c>
      <c r="J15" s="145"/>
      <c r="K15" s="271" t="s">
        <v>219</v>
      </c>
      <c r="L15" s="146" t="s">
        <v>64</v>
      </c>
      <c r="M15" s="271" t="s">
        <v>219</v>
      </c>
      <c r="N15" s="146" t="s">
        <v>64</v>
      </c>
      <c r="O15" s="146" t="s">
        <v>65</v>
      </c>
      <c r="P15" s="4"/>
    </row>
    <row r="16" spans="1:16" ht="13.5" thickBot="1">
      <c r="C16" s="147" t="s">
        <v>66</v>
      </c>
      <c r="D16" s="147" t="s">
        <v>67</v>
      </c>
      <c r="E16" s="147" t="s">
        <v>68</v>
      </c>
      <c r="F16" s="147" t="s">
        <v>67</v>
      </c>
      <c r="G16" s="408" t="s">
        <v>69</v>
      </c>
      <c r="H16" s="148" t="s">
        <v>70</v>
      </c>
      <c r="I16" s="149" t="s">
        <v>89</v>
      </c>
      <c r="J16" s="150" t="s">
        <v>71</v>
      </c>
      <c r="K16" s="151" t="s">
        <v>72</v>
      </c>
      <c r="L16" s="151" t="s">
        <v>72</v>
      </c>
      <c r="M16" s="151" t="s">
        <v>90</v>
      </c>
      <c r="N16" s="152" t="s">
        <v>90</v>
      </c>
      <c r="O16" s="151" t="s">
        <v>90</v>
      </c>
      <c r="P16" s="4"/>
    </row>
    <row r="17" spans="2:16">
      <c r="C17" s="153">
        <f>IF(D11= "","-",D11)</f>
        <v>2016</v>
      </c>
      <c r="D17" s="411">
        <v>8831593</v>
      </c>
      <c r="E17" s="410">
        <v>105138.01190476192</v>
      </c>
      <c r="F17" s="411">
        <v>8726454.9880952388</v>
      </c>
      <c r="G17" s="410">
        <v>1240275.0587599066</v>
      </c>
      <c r="H17" s="416">
        <v>1240275.0587599066</v>
      </c>
      <c r="I17" s="156">
        <f t="shared" ref="I17:I72" si="0">H17-G17</f>
        <v>0</v>
      </c>
      <c r="J17" s="156"/>
      <c r="K17" s="258">
        <f>+G17</f>
        <v>1240275.0587599066</v>
      </c>
      <c r="L17" s="257">
        <f t="shared" ref="L17:L72" si="1">IF(K17&lt;&gt;0,+G17-K17,0)</f>
        <v>0</v>
      </c>
      <c r="M17" s="258">
        <f>+H17</f>
        <v>1240275.0587599066</v>
      </c>
      <c r="N17" s="158">
        <f t="shared" ref="N17:N72" si="2">IF(M17&lt;&gt;0,+H17-M17,0)</f>
        <v>0</v>
      </c>
      <c r="O17" s="158">
        <f t="shared" ref="O17:O72" si="3">+N17-L17</f>
        <v>0</v>
      </c>
      <c r="P17" s="4"/>
    </row>
    <row r="18" spans="2:16">
      <c r="B18" s="9" t="str">
        <f>IF(D18=F17,"","IU")</f>
        <v>IU</v>
      </c>
      <c r="C18" s="153">
        <f>IF(D11="","-",+C17+1)</f>
        <v>2017</v>
      </c>
      <c r="D18" s="411">
        <v>9270344.9880952388</v>
      </c>
      <c r="E18" s="410">
        <v>218034.48837209304</v>
      </c>
      <c r="F18" s="411">
        <v>9052310.4997231457</v>
      </c>
      <c r="G18" s="410">
        <v>1353054.593855357</v>
      </c>
      <c r="H18" s="416">
        <v>1353054.593855357</v>
      </c>
      <c r="I18" s="156">
        <v>0</v>
      </c>
      <c r="J18" s="156"/>
      <c r="K18" s="258">
        <f>+G18</f>
        <v>1353054.593855357</v>
      </c>
      <c r="L18" s="257">
        <f>IF(K18&lt;&gt;0,+G18-K18,0)</f>
        <v>0</v>
      </c>
      <c r="M18" s="258">
        <f>+H18</f>
        <v>1353054.593855357</v>
      </c>
      <c r="N18" s="158">
        <f>IF(M18&lt;&gt;0,+H18-M18,0)</f>
        <v>0</v>
      </c>
      <c r="O18" s="158">
        <f>+N18-L18</f>
        <v>0</v>
      </c>
      <c r="P18" s="4"/>
    </row>
    <row r="19" spans="2:16">
      <c r="B19" s="9" t="str">
        <f>IF(D19=F18,"","IU")</f>
        <v/>
      </c>
      <c r="C19" s="153">
        <f>IF(D11="","-",+C18+1)</f>
        <v>2018</v>
      </c>
      <c r="D19" s="411">
        <v>9052310.4997231457</v>
      </c>
      <c r="E19" s="410">
        <v>228670.31707317074</v>
      </c>
      <c r="F19" s="411">
        <v>8823640.1826499756</v>
      </c>
      <c r="G19" s="410">
        <v>1228688.6274670849</v>
      </c>
      <c r="H19" s="416">
        <v>1228688.6274670849</v>
      </c>
      <c r="I19" s="156">
        <f t="shared" si="0"/>
        <v>0</v>
      </c>
      <c r="J19" s="156"/>
      <c r="K19" s="258">
        <f>+G19</f>
        <v>1228688.6274670849</v>
      </c>
      <c r="L19" s="257">
        <f>IF(K19&lt;&gt;0,+G19-K19,0)</f>
        <v>0</v>
      </c>
      <c r="M19" s="258">
        <f>+H19</f>
        <v>1228688.6274670849</v>
      </c>
      <c r="N19" s="158">
        <f>IF(M19&lt;&gt;0,+H19-M19,0)</f>
        <v>0</v>
      </c>
      <c r="O19" s="158">
        <f>+N19-L19</f>
        <v>0</v>
      </c>
      <c r="P19" s="4"/>
    </row>
    <row r="20" spans="2:16">
      <c r="B20" s="9" t="str">
        <f t="shared" ref="B20:B72" si="4">IF(D20=F19,"","IU")</f>
        <v/>
      </c>
      <c r="C20" s="153">
        <f>IF(D11="","-",+C19+1)</f>
        <v>2019</v>
      </c>
      <c r="D20" s="159">
        <f>IF(F19+SUM(E$17:E19)=D$10,F19,D$10-SUM(E$17:E19))</f>
        <v>8823640.1826499756</v>
      </c>
      <c r="E20" s="160">
        <f>IF(+I14&lt;F19,I14,D20)</f>
        <v>218034.48837209304</v>
      </c>
      <c r="F20" s="159">
        <f t="shared" ref="F20:F72" si="5">+D20-E20</f>
        <v>8605605.6942778826</v>
      </c>
      <c r="G20" s="161">
        <f t="shared" ref="G20:G49" si="6">+I$12*((D20+F20)/2)+E20</f>
        <v>1085624.6352381217</v>
      </c>
      <c r="H20" s="142">
        <f t="shared" ref="H20:H49" si="7">+I$13*((D20+F20)/2)+E20</f>
        <v>1085624.6352381217</v>
      </c>
      <c r="I20" s="156">
        <f t="shared" si="0"/>
        <v>0</v>
      </c>
      <c r="J20" s="156"/>
      <c r="K20" s="334"/>
      <c r="L20" s="158">
        <f t="shared" si="1"/>
        <v>0</v>
      </c>
      <c r="M20" s="334"/>
      <c r="N20" s="158">
        <f t="shared" si="2"/>
        <v>0</v>
      </c>
      <c r="O20" s="158">
        <f t="shared" si="3"/>
        <v>0</v>
      </c>
      <c r="P20" s="4"/>
    </row>
    <row r="21" spans="2:16">
      <c r="B21" s="9" t="str">
        <f t="shared" si="4"/>
        <v/>
      </c>
      <c r="C21" s="153">
        <f>IF(D11="","-",+C20+1)</f>
        <v>2020</v>
      </c>
      <c r="D21" s="159">
        <f>IF(F20+SUM(E$17:E20)=D$10,F20,D$10-SUM(E$17:E20))</f>
        <v>8605605.6942778826</v>
      </c>
      <c r="E21" s="160">
        <f>IF(+I14&lt;F20,I14,D21)</f>
        <v>218034.48837209304</v>
      </c>
      <c r="F21" s="159">
        <f t="shared" si="5"/>
        <v>8387571.2059057895</v>
      </c>
      <c r="G21" s="161">
        <f t="shared" si="6"/>
        <v>1063918.0651289681</v>
      </c>
      <c r="H21" s="142">
        <f t="shared" si="7"/>
        <v>1063918.0651289681</v>
      </c>
      <c r="I21" s="156">
        <f t="shared" si="0"/>
        <v>0</v>
      </c>
      <c r="J21" s="156"/>
      <c r="K21" s="334"/>
      <c r="L21" s="158">
        <f t="shared" si="1"/>
        <v>0</v>
      </c>
      <c r="M21" s="334"/>
      <c r="N21" s="158">
        <f t="shared" si="2"/>
        <v>0</v>
      </c>
      <c r="O21" s="158">
        <f t="shared" si="3"/>
        <v>0</v>
      </c>
      <c r="P21" s="4"/>
    </row>
    <row r="22" spans="2:16">
      <c r="B22" s="9" t="str">
        <f t="shared" si="4"/>
        <v/>
      </c>
      <c r="C22" s="153">
        <f>IF(D11="","-",+C21+1)</f>
        <v>2021</v>
      </c>
      <c r="D22" s="159">
        <f>IF(F21+SUM(E$17:E21)=D$10,F21,D$10-SUM(E$17:E21))</f>
        <v>8387571.2059057895</v>
      </c>
      <c r="E22" s="160">
        <f>IF(+I14&lt;F21,I14,D22)</f>
        <v>218034.48837209304</v>
      </c>
      <c r="F22" s="159">
        <f t="shared" si="5"/>
        <v>8169536.7175336964</v>
      </c>
      <c r="G22" s="161">
        <f t="shared" si="6"/>
        <v>1042211.4950198148</v>
      </c>
      <c r="H22" s="142">
        <f t="shared" si="7"/>
        <v>1042211.4950198148</v>
      </c>
      <c r="I22" s="156">
        <f t="shared" si="0"/>
        <v>0</v>
      </c>
      <c r="J22" s="156"/>
      <c r="K22" s="334"/>
      <c r="L22" s="158">
        <f t="shared" si="1"/>
        <v>0</v>
      </c>
      <c r="M22" s="334"/>
      <c r="N22" s="158">
        <f t="shared" si="2"/>
        <v>0</v>
      </c>
      <c r="O22" s="158">
        <f t="shared" si="3"/>
        <v>0</v>
      </c>
      <c r="P22" s="4"/>
    </row>
    <row r="23" spans="2:16">
      <c r="B23" s="9" t="str">
        <f t="shared" si="4"/>
        <v/>
      </c>
      <c r="C23" s="153">
        <f>IF(D11="","-",+C22+1)</f>
        <v>2022</v>
      </c>
      <c r="D23" s="159">
        <f>IF(F22+SUM(E$17:E22)=D$10,F22,D$10-SUM(E$17:E22))</f>
        <v>8169536.7175336964</v>
      </c>
      <c r="E23" s="160">
        <f>IF(+I14&lt;F22,I14,D23)</f>
        <v>218034.48837209304</v>
      </c>
      <c r="F23" s="159">
        <f t="shared" si="5"/>
        <v>7951502.2291616034</v>
      </c>
      <c r="G23" s="161">
        <f t="shared" si="6"/>
        <v>1020504.9249106614</v>
      </c>
      <c r="H23" s="142">
        <f t="shared" si="7"/>
        <v>1020504.9249106614</v>
      </c>
      <c r="I23" s="156">
        <f t="shared" si="0"/>
        <v>0</v>
      </c>
      <c r="J23" s="156"/>
      <c r="K23" s="334"/>
      <c r="L23" s="158">
        <f t="shared" si="1"/>
        <v>0</v>
      </c>
      <c r="M23" s="334"/>
      <c r="N23" s="158">
        <f t="shared" si="2"/>
        <v>0</v>
      </c>
      <c r="O23" s="158">
        <f t="shared" si="3"/>
        <v>0</v>
      </c>
      <c r="P23" s="4"/>
    </row>
    <row r="24" spans="2:16">
      <c r="B24" s="9" t="str">
        <f t="shared" si="4"/>
        <v/>
      </c>
      <c r="C24" s="153">
        <f>IF(D11="","-",+C23+1)</f>
        <v>2023</v>
      </c>
      <c r="D24" s="159">
        <f>IF(F23+SUM(E$17:E23)=D$10,F23,D$10-SUM(E$17:E23))</f>
        <v>7951502.2291616034</v>
      </c>
      <c r="E24" s="160">
        <f>IF(+I14&lt;F23,I14,D24)</f>
        <v>218034.48837209304</v>
      </c>
      <c r="F24" s="159">
        <f t="shared" si="5"/>
        <v>7733467.7407895103</v>
      </c>
      <c r="G24" s="161">
        <f t="shared" si="6"/>
        <v>998798.35480150802</v>
      </c>
      <c r="H24" s="142">
        <f t="shared" si="7"/>
        <v>998798.35480150802</v>
      </c>
      <c r="I24" s="156">
        <f t="shared" si="0"/>
        <v>0</v>
      </c>
      <c r="J24" s="156"/>
      <c r="K24" s="334"/>
      <c r="L24" s="158">
        <f t="shared" si="1"/>
        <v>0</v>
      </c>
      <c r="M24" s="334"/>
      <c r="N24" s="158">
        <f t="shared" si="2"/>
        <v>0</v>
      </c>
      <c r="O24" s="158">
        <f t="shared" si="3"/>
        <v>0</v>
      </c>
      <c r="P24" s="4"/>
    </row>
    <row r="25" spans="2:16">
      <c r="B25" s="9" t="str">
        <f t="shared" si="4"/>
        <v/>
      </c>
      <c r="C25" s="153">
        <f>IF(D11="","-",+C24+1)</f>
        <v>2024</v>
      </c>
      <c r="D25" s="159">
        <f>IF(F24+SUM(E$17:E24)=D$10,F24,D$10-SUM(E$17:E24))</f>
        <v>7733467.7407895103</v>
      </c>
      <c r="E25" s="160">
        <f>IF(+I14&lt;F24,I14,D25)</f>
        <v>218034.48837209304</v>
      </c>
      <c r="F25" s="159">
        <f t="shared" si="5"/>
        <v>7515433.2524174172</v>
      </c>
      <c r="G25" s="161">
        <f t="shared" si="6"/>
        <v>977091.78469235462</v>
      </c>
      <c r="H25" s="142">
        <f t="shared" si="7"/>
        <v>977091.78469235462</v>
      </c>
      <c r="I25" s="156">
        <f t="shared" si="0"/>
        <v>0</v>
      </c>
      <c r="J25" s="156"/>
      <c r="K25" s="334"/>
      <c r="L25" s="158">
        <f t="shared" si="1"/>
        <v>0</v>
      </c>
      <c r="M25" s="334"/>
      <c r="N25" s="158">
        <f t="shared" si="2"/>
        <v>0</v>
      </c>
      <c r="O25" s="158">
        <f t="shared" si="3"/>
        <v>0</v>
      </c>
      <c r="P25" s="4"/>
    </row>
    <row r="26" spans="2:16">
      <c r="B26" s="9" t="str">
        <f t="shared" si="4"/>
        <v/>
      </c>
      <c r="C26" s="153">
        <f>IF(D11="","-",+C25+1)</f>
        <v>2025</v>
      </c>
      <c r="D26" s="159">
        <f>IF(F25+SUM(E$17:E25)=D$10,F25,D$10-SUM(E$17:E25))</f>
        <v>7515433.2524174172</v>
      </c>
      <c r="E26" s="160">
        <f>IF(+I14&lt;F25,I14,D26)</f>
        <v>218034.48837209304</v>
      </c>
      <c r="F26" s="159">
        <f t="shared" si="5"/>
        <v>7297398.7640453242</v>
      </c>
      <c r="G26" s="161">
        <f t="shared" si="6"/>
        <v>955385.21458320133</v>
      </c>
      <c r="H26" s="142">
        <f t="shared" si="7"/>
        <v>955385.21458320133</v>
      </c>
      <c r="I26" s="156">
        <f t="shared" si="0"/>
        <v>0</v>
      </c>
      <c r="J26" s="156"/>
      <c r="K26" s="334"/>
      <c r="L26" s="158">
        <f t="shared" si="1"/>
        <v>0</v>
      </c>
      <c r="M26" s="334"/>
      <c r="N26" s="158">
        <f t="shared" si="2"/>
        <v>0</v>
      </c>
      <c r="O26" s="158">
        <f t="shared" si="3"/>
        <v>0</v>
      </c>
      <c r="P26" s="4"/>
    </row>
    <row r="27" spans="2:16">
      <c r="B27" s="9" t="str">
        <f t="shared" si="4"/>
        <v/>
      </c>
      <c r="C27" s="153">
        <f>IF(D11="","-",+C26+1)</f>
        <v>2026</v>
      </c>
      <c r="D27" s="159">
        <f>IF(F26+SUM(E$17:E26)=D$10,F26,D$10-SUM(E$17:E26))</f>
        <v>7297398.7640453242</v>
      </c>
      <c r="E27" s="160">
        <f>IF(+I14&lt;F26,I14,D27)</f>
        <v>218034.48837209304</v>
      </c>
      <c r="F27" s="159">
        <f t="shared" si="5"/>
        <v>7079364.2756732311</v>
      </c>
      <c r="G27" s="161">
        <f t="shared" si="6"/>
        <v>933678.64447404793</v>
      </c>
      <c r="H27" s="142">
        <f t="shared" si="7"/>
        <v>933678.64447404793</v>
      </c>
      <c r="I27" s="156">
        <f t="shared" si="0"/>
        <v>0</v>
      </c>
      <c r="J27" s="156"/>
      <c r="K27" s="334"/>
      <c r="L27" s="158">
        <f t="shared" si="1"/>
        <v>0</v>
      </c>
      <c r="M27" s="334"/>
      <c r="N27" s="158">
        <f t="shared" si="2"/>
        <v>0</v>
      </c>
      <c r="O27" s="158">
        <f t="shared" si="3"/>
        <v>0</v>
      </c>
      <c r="P27" s="4"/>
    </row>
    <row r="28" spans="2:16">
      <c r="B28" s="9" t="str">
        <f t="shared" si="4"/>
        <v/>
      </c>
      <c r="C28" s="153">
        <f>IF(D11="","-",+C27+1)</f>
        <v>2027</v>
      </c>
      <c r="D28" s="159">
        <f>IF(F27+SUM(E$17:E27)=D$10,F27,D$10-SUM(E$17:E27))</f>
        <v>7079364.2756732311</v>
      </c>
      <c r="E28" s="160">
        <f>IF(+I14&lt;F27,I14,D28)</f>
        <v>218034.48837209304</v>
      </c>
      <c r="F28" s="159">
        <f t="shared" si="5"/>
        <v>6861329.787301138</v>
      </c>
      <c r="G28" s="161">
        <f t="shared" si="6"/>
        <v>911972.07436489454</v>
      </c>
      <c r="H28" s="142">
        <f t="shared" si="7"/>
        <v>911972.07436489454</v>
      </c>
      <c r="I28" s="156">
        <f t="shared" si="0"/>
        <v>0</v>
      </c>
      <c r="J28" s="156"/>
      <c r="K28" s="334"/>
      <c r="L28" s="158">
        <f t="shared" si="1"/>
        <v>0</v>
      </c>
      <c r="M28" s="334"/>
      <c r="N28" s="158">
        <f t="shared" si="2"/>
        <v>0</v>
      </c>
      <c r="O28" s="158">
        <f t="shared" si="3"/>
        <v>0</v>
      </c>
      <c r="P28" s="4"/>
    </row>
    <row r="29" spans="2:16">
      <c r="B29" s="9" t="str">
        <f t="shared" si="4"/>
        <v/>
      </c>
      <c r="C29" s="153">
        <f>IF(D11="","-",+C28+1)</f>
        <v>2028</v>
      </c>
      <c r="D29" s="159">
        <f>IF(F28+SUM(E$17:E28)=D$10,F28,D$10-SUM(E$17:E28))</f>
        <v>6861329.787301138</v>
      </c>
      <c r="E29" s="160">
        <f>IF(+I14&lt;F28,I14,D29)</f>
        <v>218034.48837209304</v>
      </c>
      <c r="F29" s="159">
        <f t="shared" si="5"/>
        <v>6643295.298929045</v>
      </c>
      <c r="G29" s="161">
        <f t="shared" si="6"/>
        <v>890265.50425574114</v>
      </c>
      <c r="H29" s="142">
        <f t="shared" si="7"/>
        <v>890265.50425574114</v>
      </c>
      <c r="I29" s="156">
        <f t="shared" si="0"/>
        <v>0</v>
      </c>
      <c r="J29" s="156"/>
      <c r="K29" s="334"/>
      <c r="L29" s="158">
        <f t="shared" si="1"/>
        <v>0</v>
      </c>
      <c r="M29" s="334"/>
      <c r="N29" s="158">
        <f t="shared" si="2"/>
        <v>0</v>
      </c>
      <c r="O29" s="158">
        <f t="shared" si="3"/>
        <v>0</v>
      </c>
      <c r="P29" s="4"/>
    </row>
    <row r="30" spans="2:16">
      <c r="B30" s="9" t="str">
        <f t="shared" si="4"/>
        <v/>
      </c>
      <c r="C30" s="153">
        <f>IF(D11="","-",+C29+1)</f>
        <v>2029</v>
      </c>
      <c r="D30" s="159">
        <f>IF(F29+SUM(E$17:E29)=D$10,F29,D$10-SUM(E$17:E29))</f>
        <v>6643295.298929045</v>
      </c>
      <c r="E30" s="160">
        <f>IF(+I14&lt;F29,I14,D30)</f>
        <v>218034.48837209304</v>
      </c>
      <c r="F30" s="159">
        <f t="shared" si="5"/>
        <v>6425260.8105569519</v>
      </c>
      <c r="G30" s="161">
        <f t="shared" si="6"/>
        <v>868558.93414658774</v>
      </c>
      <c r="H30" s="142">
        <f t="shared" si="7"/>
        <v>868558.93414658774</v>
      </c>
      <c r="I30" s="156">
        <f t="shared" si="0"/>
        <v>0</v>
      </c>
      <c r="J30" s="156"/>
      <c r="K30" s="334"/>
      <c r="L30" s="158">
        <f t="shared" si="1"/>
        <v>0</v>
      </c>
      <c r="M30" s="334"/>
      <c r="N30" s="158">
        <f t="shared" si="2"/>
        <v>0</v>
      </c>
      <c r="O30" s="158">
        <f t="shared" si="3"/>
        <v>0</v>
      </c>
      <c r="P30" s="4"/>
    </row>
    <row r="31" spans="2:16">
      <c r="B31" s="9" t="str">
        <f t="shared" si="4"/>
        <v/>
      </c>
      <c r="C31" s="153">
        <f>IF(D11="","-",+C30+1)</f>
        <v>2030</v>
      </c>
      <c r="D31" s="159">
        <f>IF(F30+SUM(E$17:E30)=D$10,F30,D$10-SUM(E$17:E30))</f>
        <v>6425260.8105569519</v>
      </c>
      <c r="E31" s="160">
        <f>IF(+I14&lt;F30,I14,D31)</f>
        <v>218034.48837209304</v>
      </c>
      <c r="F31" s="159">
        <f t="shared" si="5"/>
        <v>6207226.3221848588</v>
      </c>
      <c r="G31" s="161">
        <f t="shared" si="6"/>
        <v>846852.36403743434</v>
      </c>
      <c r="H31" s="142">
        <f t="shared" si="7"/>
        <v>846852.36403743434</v>
      </c>
      <c r="I31" s="156">
        <f t="shared" si="0"/>
        <v>0</v>
      </c>
      <c r="J31" s="156"/>
      <c r="K31" s="334"/>
      <c r="L31" s="158">
        <f t="shared" si="1"/>
        <v>0</v>
      </c>
      <c r="M31" s="334"/>
      <c r="N31" s="158">
        <f t="shared" si="2"/>
        <v>0</v>
      </c>
      <c r="O31" s="158">
        <f t="shared" si="3"/>
        <v>0</v>
      </c>
      <c r="P31" s="4"/>
    </row>
    <row r="32" spans="2:16">
      <c r="B32" s="9" t="str">
        <f t="shared" si="4"/>
        <v/>
      </c>
      <c r="C32" s="153">
        <f>IF(D11="","-",+C31+1)</f>
        <v>2031</v>
      </c>
      <c r="D32" s="159">
        <f>IF(F31+SUM(E$17:E31)=D$10,F31,D$10-SUM(E$17:E31))</f>
        <v>6207226.3221848588</v>
      </c>
      <c r="E32" s="160">
        <f>IF(+I14&lt;F31,I14,D32)</f>
        <v>218034.48837209304</v>
      </c>
      <c r="F32" s="159">
        <f t="shared" si="5"/>
        <v>5989191.8338127658</v>
      </c>
      <c r="G32" s="161">
        <f t="shared" si="6"/>
        <v>825145.79392828094</v>
      </c>
      <c r="H32" s="142">
        <f t="shared" si="7"/>
        <v>825145.79392828094</v>
      </c>
      <c r="I32" s="156">
        <f t="shared" si="0"/>
        <v>0</v>
      </c>
      <c r="J32" s="156"/>
      <c r="K32" s="334"/>
      <c r="L32" s="158">
        <f t="shared" si="1"/>
        <v>0</v>
      </c>
      <c r="M32" s="334"/>
      <c r="N32" s="158">
        <f t="shared" si="2"/>
        <v>0</v>
      </c>
      <c r="O32" s="158">
        <f t="shared" si="3"/>
        <v>0</v>
      </c>
      <c r="P32" s="4"/>
    </row>
    <row r="33" spans="2:16">
      <c r="B33" s="9" t="str">
        <f t="shared" si="4"/>
        <v/>
      </c>
      <c r="C33" s="153">
        <f>IF(D11="","-",+C32+1)</f>
        <v>2032</v>
      </c>
      <c r="D33" s="159">
        <f>IF(F32+SUM(E$17:E32)=D$10,F32,D$10-SUM(E$17:E32))</f>
        <v>5989191.8338127658</v>
      </c>
      <c r="E33" s="160">
        <f>IF(+I14&lt;F32,I14,D33)</f>
        <v>218034.48837209304</v>
      </c>
      <c r="F33" s="159">
        <f t="shared" si="5"/>
        <v>5771157.3454406727</v>
      </c>
      <c r="G33" s="161">
        <f t="shared" si="6"/>
        <v>803439.22381912754</v>
      </c>
      <c r="H33" s="142">
        <f t="shared" si="7"/>
        <v>803439.22381912754</v>
      </c>
      <c r="I33" s="156">
        <f t="shared" si="0"/>
        <v>0</v>
      </c>
      <c r="J33" s="156"/>
      <c r="K33" s="334"/>
      <c r="L33" s="158">
        <f t="shared" si="1"/>
        <v>0</v>
      </c>
      <c r="M33" s="334"/>
      <c r="N33" s="158">
        <f t="shared" si="2"/>
        <v>0</v>
      </c>
      <c r="O33" s="158">
        <f t="shared" si="3"/>
        <v>0</v>
      </c>
      <c r="P33" s="4"/>
    </row>
    <row r="34" spans="2:16">
      <c r="B34" s="9" t="str">
        <f t="shared" si="4"/>
        <v/>
      </c>
      <c r="C34" s="153">
        <f>IF(D11="","-",+C33+1)</f>
        <v>2033</v>
      </c>
      <c r="D34" s="159">
        <f>IF(F33+SUM(E$17:E33)=D$10,F33,D$10-SUM(E$17:E33))</f>
        <v>5771157.3454406727</v>
      </c>
      <c r="E34" s="160">
        <f>IF(+I14&lt;F33,I14,D34)</f>
        <v>218034.48837209304</v>
      </c>
      <c r="F34" s="159">
        <f t="shared" si="5"/>
        <v>5553122.8570685796</v>
      </c>
      <c r="G34" s="161">
        <f t="shared" si="6"/>
        <v>781732.65370997414</v>
      </c>
      <c r="H34" s="142">
        <f t="shared" si="7"/>
        <v>781732.65370997414</v>
      </c>
      <c r="I34" s="156">
        <f t="shared" si="0"/>
        <v>0</v>
      </c>
      <c r="J34" s="156"/>
      <c r="K34" s="334"/>
      <c r="L34" s="158">
        <f t="shared" si="1"/>
        <v>0</v>
      </c>
      <c r="M34" s="334"/>
      <c r="N34" s="158">
        <f t="shared" si="2"/>
        <v>0</v>
      </c>
      <c r="O34" s="158">
        <f t="shared" si="3"/>
        <v>0</v>
      </c>
      <c r="P34" s="4"/>
    </row>
    <row r="35" spans="2:16">
      <c r="B35" s="9" t="str">
        <f t="shared" si="4"/>
        <v/>
      </c>
      <c r="C35" s="153">
        <f>IF(D11="","-",+C34+1)</f>
        <v>2034</v>
      </c>
      <c r="D35" s="159">
        <f>IF(F34+SUM(E$17:E34)=D$10,F34,D$10-SUM(E$17:E34))</f>
        <v>5553122.8570685796</v>
      </c>
      <c r="E35" s="160">
        <f>IF(+I14&lt;F34,I14,D35)</f>
        <v>218034.48837209304</v>
      </c>
      <c r="F35" s="159">
        <f t="shared" si="5"/>
        <v>5335088.3686964866</v>
      </c>
      <c r="G35" s="161">
        <f t="shared" si="6"/>
        <v>760026.08360082074</v>
      </c>
      <c r="H35" s="142">
        <f t="shared" si="7"/>
        <v>760026.08360082074</v>
      </c>
      <c r="I35" s="156">
        <f t="shared" si="0"/>
        <v>0</v>
      </c>
      <c r="J35" s="156"/>
      <c r="K35" s="334"/>
      <c r="L35" s="158">
        <f t="shared" si="1"/>
        <v>0</v>
      </c>
      <c r="M35" s="334"/>
      <c r="N35" s="158">
        <f t="shared" si="2"/>
        <v>0</v>
      </c>
      <c r="O35" s="158">
        <f t="shared" si="3"/>
        <v>0</v>
      </c>
      <c r="P35" s="4"/>
    </row>
    <row r="36" spans="2:16">
      <c r="B36" s="9" t="str">
        <f t="shared" si="4"/>
        <v/>
      </c>
      <c r="C36" s="153">
        <f>IF(D11="","-",+C35+1)</f>
        <v>2035</v>
      </c>
      <c r="D36" s="159">
        <f>IF(F35+SUM(E$17:E35)=D$10,F35,D$10-SUM(E$17:E35))</f>
        <v>5335088.3686964866</v>
      </c>
      <c r="E36" s="160">
        <f>IF(+I14&lt;F35,I14,D36)</f>
        <v>218034.48837209304</v>
      </c>
      <c r="F36" s="159">
        <f t="shared" si="5"/>
        <v>5117053.8803243935</v>
      </c>
      <c r="G36" s="161">
        <f t="shared" si="6"/>
        <v>738319.51349166734</v>
      </c>
      <c r="H36" s="142">
        <f t="shared" si="7"/>
        <v>738319.51349166734</v>
      </c>
      <c r="I36" s="156">
        <f t="shared" si="0"/>
        <v>0</v>
      </c>
      <c r="J36" s="156"/>
      <c r="K36" s="334"/>
      <c r="L36" s="158">
        <f t="shared" si="1"/>
        <v>0</v>
      </c>
      <c r="M36" s="334"/>
      <c r="N36" s="158">
        <f t="shared" si="2"/>
        <v>0</v>
      </c>
      <c r="O36" s="158">
        <f t="shared" si="3"/>
        <v>0</v>
      </c>
      <c r="P36" s="4"/>
    </row>
    <row r="37" spans="2:16">
      <c r="B37" s="9" t="str">
        <f t="shared" si="4"/>
        <v/>
      </c>
      <c r="C37" s="153">
        <f>IF(D11="","-",+C36+1)</f>
        <v>2036</v>
      </c>
      <c r="D37" s="159">
        <f>IF(F36+SUM(E$17:E36)=D$10,F36,D$10-SUM(E$17:E36))</f>
        <v>5117053.8803243935</v>
      </c>
      <c r="E37" s="160">
        <f>IF(+I14&lt;F36,I14,D37)</f>
        <v>218034.48837209304</v>
      </c>
      <c r="F37" s="159">
        <f t="shared" si="5"/>
        <v>4899019.3919523004</v>
      </c>
      <c r="G37" s="161">
        <f t="shared" si="6"/>
        <v>716612.94338251394</v>
      </c>
      <c r="H37" s="142">
        <f t="shared" si="7"/>
        <v>716612.94338251394</v>
      </c>
      <c r="I37" s="156">
        <f t="shared" si="0"/>
        <v>0</v>
      </c>
      <c r="J37" s="156"/>
      <c r="K37" s="334"/>
      <c r="L37" s="158">
        <f t="shared" si="1"/>
        <v>0</v>
      </c>
      <c r="M37" s="334"/>
      <c r="N37" s="158">
        <f t="shared" si="2"/>
        <v>0</v>
      </c>
      <c r="O37" s="158">
        <f t="shared" si="3"/>
        <v>0</v>
      </c>
      <c r="P37" s="4"/>
    </row>
    <row r="38" spans="2:16">
      <c r="B38" s="9" t="str">
        <f t="shared" si="4"/>
        <v/>
      </c>
      <c r="C38" s="153">
        <f>IF(D11="","-",+C37+1)</f>
        <v>2037</v>
      </c>
      <c r="D38" s="159">
        <f>IF(F37+SUM(E$17:E37)=D$10,F37,D$10-SUM(E$17:E37))</f>
        <v>4899019.3919523004</v>
      </c>
      <c r="E38" s="160">
        <f>IF(+I14&lt;F37,I14,D38)</f>
        <v>218034.48837209304</v>
      </c>
      <c r="F38" s="159">
        <f t="shared" si="5"/>
        <v>4680984.9035802074</v>
      </c>
      <c r="G38" s="161">
        <f t="shared" si="6"/>
        <v>694906.37327336054</v>
      </c>
      <c r="H38" s="142">
        <f t="shared" si="7"/>
        <v>694906.37327336054</v>
      </c>
      <c r="I38" s="156">
        <f t="shared" si="0"/>
        <v>0</v>
      </c>
      <c r="J38" s="156"/>
      <c r="K38" s="334"/>
      <c r="L38" s="158">
        <f t="shared" si="1"/>
        <v>0</v>
      </c>
      <c r="M38" s="334"/>
      <c r="N38" s="158">
        <f t="shared" si="2"/>
        <v>0</v>
      </c>
      <c r="O38" s="158">
        <f t="shared" si="3"/>
        <v>0</v>
      </c>
      <c r="P38" s="4"/>
    </row>
    <row r="39" spans="2:16">
      <c r="B39" s="9" t="str">
        <f t="shared" si="4"/>
        <v/>
      </c>
      <c r="C39" s="153">
        <f>IF(D11="","-",+C38+1)</f>
        <v>2038</v>
      </c>
      <c r="D39" s="159">
        <f>IF(F38+SUM(E$17:E38)=D$10,F38,D$10-SUM(E$17:E38))</f>
        <v>4680984.9035802074</v>
      </c>
      <c r="E39" s="160">
        <f>IF(+I14&lt;F38,I14,D39)</f>
        <v>218034.48837209304</v>
      </c>
      <c r="F39" s="159">
        <f t="shared" si="5"/>
        <v>4462950.4152081143</v>
      </c>
      <c r="G39" s="161">
        <f t="shared" si="6"/>
        <v>673199.80316420714</v>
      </c>
      <c r="H39" s="142">
        <f t="shared" si="7"/>
        <v>673199.80316420714</v>
      </c>
      <c r="I39" s="156">
        <f t="shared" si="0"/>
        <v>0</v>
      </c>
      <c r="J39" s="156"/>
      <c r="K39" s="334"/>
      <c r="L39" s="158">
        <f t="shared" si="1"/>
        <v>0</v>
      </c>
      <c r="M39" s="334"/>
      <c r="N39" s="158">
        <f t="shared" si="2"/>
        <v>0</v>
      </c>
      <c r="O39" s="158">
        <f t="shared" si="3"/>
        <v>0</v>
      </c>
      <c r="P39" s="4"/>
    </row>
    <row r="40" spans="2:16">
      <c r="B40" s="9" t="str">
        <f t="shared" si="4"/>
        <v/>
      </c>
      <c r="C40" s="153">
        <f>IF(D11="","-",+C39+1)</f>
        <v>2039</v>
      </c>
      <c r="D40" s="159">
        <f>IF(F39+SUM(E$17:E39)=D$10,F39,D$10-SUM(E$17:E39))</f>
        <v>4462950.4152081143</v>
      </c>
      <c r="E40" s="160">
        <f>IF(+I14&lt;F39,I14,D40)</f>
        <v>218034.48837209304</v>
      </c>
      <c r="F40" s="159">
        <f t="shared" si="5"/>
        <v>4244915.9268360212</v>
      </c>
      <c r="G40" s="161">
        <f t="shared" si="6"/>
        <v>651493.23305505374</v>
      </c>
      <c r="H40" s="142">
        <f t="shared" si="7"/>
        <v>651493.23305505374</v>
      </c>
      <c r="I40" s="156">
        <f t="shared" si="0"/>
        <v>0</v>
      </c>
      <c r="J40" s="156"/>
      <c r="K40" s="334"/>
      <c r="L40" s="158">
        <f t="shared" si="1"/>
        <v>0</v>
      </c>
      <c r="M40" s="334"/>
      <c r="N40" s="158">
        <f t="shared" si="2"/>
        <v>0</v>
      </c>
      <c r="O40" s="158">
        <f t="shared" si="3"/>
        <v>0</v>
      </c>
      <c r="P40" s="4"/>
    </row>
    <row r="41" spans="2:16">
      <c r="B41" s="9" t="str">
        <f t="shared" si="4"/>
        <v/>
      </c>
      <c r="C41" s="153">
        <f>IF(D11="","-",+C40+1)</f>
        <v>2040</v>
      </c>
      <c r="D41" s="159">
        <f>IF(F40+SUM(E$17:E40)=D$10,F40,D$10-SUM(E$17:E40))</f>
        <v>4244915.9268360212</v>
      </c>
      <c r="E41" s="160">
        <f>IF(+I14&lt;F40,I14,D41)</f>
        <v>218034.48837209304</v>
      </c>
      <c r="F41" s="159">
        <f t="shared" si="5"/>
        <v>4026881.4384639282</v>
      </c>
      <c r="G41" s="161">
        <f t="shared" si="6"/>
        <v>629786.66294590035</v>
      </c>
      <c r="H41" s="142">
        <f t="shared" si="7"/>
        <v>629786.66294590035</v>
      </c>
      <c r="I41" s="156">
        <f t="shared" si="0"/>
        <v>0</v>
      </c>
      <c r="J41" s="156"/>
      <c r="K41" s="334"/>
      <c r="L41" s="158">
        <f t="shared" si="1"/>
        <v>0</v>
      </c>
      <c r="M41" s="334"/>
      <c r="N41" s="158">
        <f t="shared" si="2"/>
        <v>0</v>
      </c>
      <c r="O41" s="158">
        <f t="shared" si="3"/>
        <v>0</v>
      </c>
      <c r="P41" s="4"/>
    </row>
    <row r="42" spans="2:16">
      <c r="B42" s="9" t="str">
        <f t="shared" si="4"/>
        <v/>
      </c>
      <c r="C42" s="153">
        <f>IF(D11="","-",+C41+1)</f>
        <v>2041</v>
      </c>
      <c r="D42" s="159">
        <f>IF(F41+SUM(E$17:E41)=D$10,F41,D$10-SUM(E$17:E41))</f>
        <v>4026881.4384639282</v>
      </c>
      <c r="E42" s="160">
        <f>IF(+I14&lt;F41,I14,D42)</f>
        <v>218034.48837209304</v>
      </c>
      <c r="F42" s="159">
        <f t="shared" si="5"/>
        <v>3808846.9500918351</v>
      </c>
      <c r="G42" s="161">
        <f t="shared" si="6"/>
        <v>608080.09283674695</v>
      </c>
      <c r="H42" s="142">
        <f t="shared" si="7"/>
        <v>608080.09283674695</v>
      </c>
      <c r="I42" s="156">
        <f t="shared" si="0"/>
        <v>0</v>
      </c>
      <c r="J42" s="156"/>
      <c r="K42" s="334"/>
      <c r="L42" s="158">
        <f t="shared" si="1"/>
        <v>0</v>
      </c>
      <c r="M42" s="334"/>
      <c r="N42" s="158">
        <f t="shared" si="2"/>
        <v>0</v>
      </c>
      <c r="O42" s="158">
        <f t="shared" si="3"/>
        <v>0</v>
      </c>
      <c r="P42" s="4"/>
    </row>
    <row r="43" spans="2:16">
      <c r="B43" s="9" t="str">
        <f t="shared" si="4"/>
        <v/>
      </c>
      <c r="C43" s="153">
        <f>IF(D11="","-",+C42+1)</f>
        <v>2042</v>
      </c>
      <c r="D43" s="159">
        <f>IF(F42+SUM(E$17:E42)=D$10,F42,D$10-SUM(E$17:E42))</f>
        <v>3808846.9500918351</v>
      </c>
      <c r="E43" s="160">
        <f>IF(+I14&lt;F42,I14,D43)</f>
        <v>218034.48837209304</v>
      </c>
      <c r="F43" s="159">
        <f t="shared" si="5"/>
        <v>3590812.461719742</v>
      </c>
      <c r="G43" s="161">
        <f t="shared" si="6"/>
        <v>586373.52272759355</v>
      </c>
      <c r="H43" s="142">
        <f t="shared" si="7"/>
        <v>586373.52272759355</v>
      </c>
      <c r="I43" s="156">
        <f t="shared" si="0"/>
        <v>0</v>
      </c>
      <c r="J43" s="156"/>
      <c r="K43" s="334"/>
      <c r="L43" s="158">
        <f t="shared" si="1"/>
        <v>0</v>
      </c>
      <c r="M43" s="334"/>
      <c r="N43" s="158">
        <f t="shared" si="2"/>
        <v>0</v>
      </c>
      <c r="O43" s="158">
        <f t="shared" si="3"/>
        <v>0</v>
      </c>
      <c r="P43" s="4"/>
    </row>
    <row r="44" spans="2:16">
      <c r="B44" s="9" t="str">
        <f t="shared" si="4"/>
        <v/>
      </c>
      <c r="C44" s="153">
        <f>IF(D11="","-",+C43+1)</f>
        <v>2043</v>
      </c>
      <c r="D44" s="159">
        <f>IF(F43+SUM(E$17:E43)=D$10,F43,D$10-SUM(E$17:E43))</f>
        <v>3590812.461719742</v>
      </c>
      <c r="E44" s="160">
        <f>IF(+I14&lt;F43,I14,D44)</f>
        <v>218034.48837209304</v>
      </c>
      <c r="F44" s="159">
        <f t="shared" si="5"/>
        <v>3372777.973347649</v>
      </c>
      <c r="G44" s="161">
        <f t="shared" si="6"/>
        <v>564666.95261844015</v>
      </c>
      <c r="H44" s="142">
        <f t="shared" si="7"/>
        <v>564666.95261844015</v>
      </c>
      <c r="I44" s="156">
        <f t="shared" si="0"/>
        <v>0</v>
      </c>
      <c r="J44" s="156"/>
      <c r="K44" s="334"/>
      <c r="L44" s="158">
        <f t="shared" si="1"/>
        <v>0</v>
      </c>
      <c r="M44" s="334"/>
      <c r="N44" s="158">
        <f t="shared" si="2"/>
        <v>0</v>
      </c>
      <c r="O44" s="158">
        <f t="shared" si="3"/>
        <v>0</v>
      </c>
      <c r="P44" s="4"/>
    </row>
    <row r="45" spans="2:16">
      <c r="B45" s="9" t="str">
        <f t="shared" si="4"/>
        <v/>
      </c>
      <c r="C45" s="153">
        <f>IF(D11="","-",+C44+1)</f>
        <v>2044</v>
      </c>
      <c r="D45" s="159">
        <f>IF(F44+SUM(E$17:E44)=D$10,F44,D$10-SUM(E$17:E44))</f>
        <v>3372777.973347649</v>
      </c>
      <c r="E45" s="160">
        <f>IF(+I14&lt;F44,I14,D45)</f>
        <v>218034.48837209304</v>
      </c>
      <c r="F45" s="159">
        <f t="shared" si="5"/>
        <v>3154743.4849755559</v>
      </c>
      <c r="G45" s="161">
        <f t="shared" si="6"/>
        <v>542960.38250928686</v>
      </c>
      <c r="H45" s="142">
        <f t="shared" si="7"/>
        <v>542960.38250928686</v>
      </c>
      <c r="I45" s="156">
        <f t="shared" si="0"/>
        <v>0</v>
      </c>
      <c r="J45" s="156"/>
      <c r="K45" s="334"/>
      <c r="L45" s="158">
        <f t="shared" si="1"/>
        <v>0</v>
      </c>
      <c r="M45" s="334"/>
      <c r="N45" s="158">
        <f t="shared" si="2"/>
        <v>0</v>
      </c>
      <c r="O45" s="158">
        <f t="shared" si="3"/>
        <v>0</v>
      </c>
      <c r="P45" s="4"/>
    </row>
    <row r="46" spans="2:16">
      <c r="B46" s="9" t="str">
        <f t="shared" si="4"/>
        <v/>
      </c>
      <c r="C46" s="153">
        <f>IF(D11="","-",+C45+1)</f>
        <v>2045</v>
      </c>
      <c r="D46" s="159">
        <f>IF(F45+SUM(E$17:E45)=D$10,F45,D$10-SUM(E$17:E45))</f>
        <v>3154743.4849755559</v>
      </c>
      <c r="E46" s="160">
        <f>IF(+I14&lt;F45,I14,D46)</f>
        <v>218034.48837209304</v>
      </c>
      <c r="F46" s="159">
        <f t="shared" si="5"/>
        <v>2936708.9966034628</v>
      </c>
      <c r="G46" s="161">
        <f t="shared" si="6"/>
        <v>521253.81240013347</v>
      </c>
      <c r="H46" s="142">
        <f t="shared" si="7"/>
        <v>521253.81240013347</v>
      </c>
      <c r="I46" s="156">
        <f t="shared" si="0"/>
        <v>0</v>
      </c>
      <c r="J46" s="156"/>
      <c r="K46" s="334"/>
      <c r="L46" s="158">
        <f t="shared" si="1"/>
        <v>0</v>
      </c>
      <c r="M46" s="334"/>
      <c r="N46" s="158">
        <f t="shared" si="2"/>
        <v>0</v>
      </c>
      <c r="O46" s="158">
        <f t="shared" si="3"/>
        <v>0</v>
      </c>
      <c r="P46" s="4"/>
    </row>
    <row r="47" spans="2:16">
      <c r="B47" s="9" t="str">
        <f t="shared" si="4"/>
        <v/>
      </c>
      <c r="C47" s="153">
        <f>IF(D11="","-",+C46+1)</f>
        <v>2046</v>
      </c>
      <c r="D47" s="159">
        <f>IF(F46+SUM(E$17:E46)=D$10,F46,D$10-SUM(E$17:E46))</f>
        <v>2936708.9966034628</v>
      </c>
      <c r="E47" s="160">
        <f>IF(+I14&lt;F46,I14,D47)</f>
        <v>218034.48837209304</v>
      </c>
      <c r="F47" s="159">
        <f t="shared" si="5"/>
        <v>2718674.5082313698</v>
      </c>
      <c r="G47" s="161">
        <f t="shared" si="6"/>
        <v>499547.24229098007</v>
      </c>
      <c r="H47" s="142">
        <f t="shared" si="7"/>
        <v>499547.24229098007</v>
      </c>
      <c r="I47" s="156">
        <f t="shared" si="0"/>
        <v>0</v>
      </c>
      <c r="J47" s="156"/>
      <c r="K47" s="334"/>
      <c r="L47" s="158">
        <f t="shared" si="1"/>
        <v>0</v>
      </c>
      <c r="M47" s="334"/>
      <c r="N47" s="158">
        <f t="shared" si="2"/>
        <v>0</v>
      </c>
      <c r="O47" s="158">
        <f t="shared" si="3"/>
        <v>0</v>
      </c>
      <c r="P47" s="4"/>
    </row>
    <row r="48" spans="2:16">
      <c r="B48" s="9" t="str">
        <f t="shared" si="4"/>
        <v/>
      </c>
      <c r="C48" s="153">
        <f>IF(D11="","-",+C47+1)</f>
        <v>2047</v>
      </c>
      <c r="D48" s="159">
        <f>IF(F47+SUM(E$17:E47)=D$10,F47,D$10-SUM(E$17:E47))</f>
        <v>2718674.5082313698</v>
      </c>
      <c r="E48" s="160">
        <f>IF(+I14&lt;F47,I14,D48)</f>
        <v>218034.48837209304</v>
      </c>
      <c r="F48" s="159">
        <f t="shared" si="5"/>
        <v>2500640.0198592767</v>
      </c>
      <c r="G48" s="161">
        <f t="shared" si="6"/>
        <v>477840.67218182667</v>
      </c>
      <c r="H48" s="142">
        <f t="shared" si="7"/>
        <v>477840.67218182667</v>
      </c>
      <c r="I48" s="156">
        <f t="shared" si="0"/>
        <v>0</v>
      </c>
      <c r="J48" s="156"/>
      <c r="K48" s="334"/>
      <c r="L48" s="158">
        <f t="shared" si="1"/>
        <v>0</v>
      </c>
      <c r="M48" s="334"/>
      <c r="N48" s="158">
        <f t="shared" si="2"/>
        <v>0</v>
      </c>
      <c r="O48" s="158">
        <f t="shared" si="3"/>
        <v>0</v>
      </c>
      <c r="P48" s="4"/>
    </row>
    <row r="49" spans="2:16">
      <c r="B49" s="9" t="str">
        <f t="shared" si="4"/>
        <v/>
      </c>
      <c r="C49" s="153">
        <f>IF(D11="","-",+C48+1)</f>
        <v>2048</v>
      </c>
      <c r="D49" s="159">
        <f>IF(F48+SUM(E$17:E48)=D$10,F48,D$10-SUM(E$17:E48))</f>
        <v>2500640.0198592767</v>
      </c>
      <c r="E49" s="160">
        <f>IF(+I14&lt;F48,I14,D49)</f>
        <v>218034.48837209304</v>
      </c>
      <c r="F49" s="159">
        <f t="shared" si="5"/>
        <v>2282605.5314871836</v>
      </c>
      <c r="G49" s="161">
        <f t="shared" si="6"/>
        <v>456134.10207267327</v>
      </c>
      <c r="H49" s="142">
        <f t="shared" si="7"/>
        <v>456134.10207267327</v>
      </c>
      <c r="I49" s="156">
        <f t="shared" si="0"/>
        <v>0</v>
      </c>
      <c r="J49" s="156"/>
      <c r="K49" s="334"/>
      <c r="L49" s="158">
        <f t="shared" si="1"/>
        <v>0</v>
      </c>
      <c r="M49" s="334"/>
      <c r="N49" s="158">
        <f t="shared" si="2"/>
        <v>0</v>
      </c>
      <c r="O49" s="158">
        <f t="shared" si="3"/>
        <v>0</v>
      </c>
      <c r="P49" s="4"/>
    </row>
    <row r="50" spans="2:16">
      <c r="B50" s="9" t="str">
        <f t="shared" si="4"/>
        <v/>
      </c>
      <c r="C50" s="153">
        <f>IF(D11="","-",+C49+1)</f>
        <v>2049</v>
      </c>
      <c r="D50" s="159">
        <f>IF(F49+SUM(E$17:E49)=D$10,F49,D$10-SUM(E$17:E49))</f>
        <v>2282605.5314871836</v>
      </c>
      <c r="E50" s="160">
        <f>IF(+I14&lt;F49,I14,D50)</f>
        <v>218034.48837209304</v>
      </c>
      <c r="F50" s="159">
        <f t="shared" si="5"/>
        <v>2064571.0431150906</v>
      </c>
      <c r="G50" s="161">
        <f t="shared" ref="G50:G72" si="8">+I$12*((D50+F50)/2)+E50</f>
        <v>434427.53196351987</v>
      </c>
      <c r="H50" s="142">
        <f t="shared" ref="H50:H72" si="9">+I$13*((D50+F50)/2)+E50</f>
        <v>434427.53196351987</v>
      </c>
      <c r="I50" s="156">
        <f t="shared" si="0"/>
        <v>0</v>
      </c>
      <c r="J50" s="156"/>
      <c r="K50" s="334"/>
      <c r="L50" s="158">
        <f t="shared" si="1"/>
        <v>0</v>
      </c>
      <c r="M50" s="334"/>
      <c r="N50" s="158">
        <f t="shared" si="2"/>
        <v>0</v>
      </c>
      <c r="O50" s="158">
        <f t="shared" si="3"/>
        <v>0</v>
      </c>
      <c r="P50" s="4"/>
    </row>
    <row r="51" spans="2:16">
      <c r="B51" s="9" t="str">
        <f t="shared" si="4"/>
        <v/>
      </c>
      <c r="C51" s="153">
        <f>IF(D11="","-",+C50+1)</f>
        <v>2050</v>
      </c>
      <c r="D51" s="159">
        <f>IF(F50+SUM(E$17:E50)=D$10,F50,D$10-SUM(E$17:E50))</f>
        <v>2064571.0431150906</v>
      </c>
      <c r="E51" s="160">
        <f>IF(+I14&lt;F50,I14,D51)</f>
        <v>218034.48837209304</v>
      </c>
      <c r="F51" s="159">
        <f t="shared" si="5"/>
        <v>1846536.5547429975</v>
      </c>
      <c r="G51" s="161">
        <f t="shared" si="8"/>
        <v>412720.96185436647</v>
      </c>
      <c r="H51" s="142">
        <f t="shared" si="9"/>
        <v>412720.96185436647</v>
      </c>
      <c r="I51" s="156">
        <f t="shared" si="0"/>
        <v>0</v>
      </c>
      <c r="J51" s="156"/>
      <c r="K51" s="334"/>
      <c r="L51" s="158">
        <f t="shared" si="1"/>
        <v>0</v>
      </c>
      <c r="M51" s="334"/>
      <c r="N51" s="158">
        <f t="shared" si="2"/>
        <v>0</v>
      </c>
      <c r="O51" s="158">
        <f t="shared" si="3"/>
        <v>0</v>
      </c>
      <c r="P51" s="4"/>
    </row>
    <row r="52" spans="2:16">
      <c r="B52" s="9" t="str">
        <f t="shared" si="4"/>
        <v/>
      </c>
      <c r="C52" s="153">
        <f>IF(D11="","-",+C51+1)</f>
        <v>2051</v>
      </c>
      <c r="D52" s="159">
        <f>IF(F51+SUM(E$17:E51)=D$10,F51,D$10-SUM(E$17:E51))</f>
        <v>1846536.5547429975</v>
      </c>
      <c r="E52" s="160">
        <f>IF(+I14&lt;F51,I14,D52)</f>
        <v>218034.48837209304</v>
      </c>
      <c r="F52" s="159">
        <f t="shared" si="5"/>
        <v>1628502.0663709044</v>
      </c>
      <c r="G52" s="161">
        <f t="shared" si="8"/>
        <v>391014.39174521307</v>
      </c>
      <c r="H52" s="142">
        <f t="shared" si="9"/>
        <v>391014.39174521307</v>
      </c>
      <c r="I52" s="156">
        <f t="shared" si="0"/>
        <v>0</v>
      </c>
      <c r="J52" s="156"/>
      <c r="K52" s="334"/>
      <c r="L52" s="158">
        <f t="shared" si="1"/>
        <v>0</v>
      </c>
      <c r="M52" s="334"/>
      <c r="N52" s="158">
        <f t="shared" si="2"/>
        <v>0</v>
      </c>
      <c r="O52" s="158">
        <f t="shared" si="3"/>
        <v>0</v>
      </c>
      <c r="P52" s="4"/>
    </row>
    <row r="53" spans="2:16">
      <c r="B53" s="9" t="str">
        <f t="shared" si="4"/>
        <v/>
      </c>
      <c r="C53" s="153">
        <f>IF(D11="","-",+C52+1)</f>
        <v>2052</v>
      </c>
      <c r="D53" s="159">
        <f>IF(F52+SUM(E$17:E52)=D$10,F52,D$10-SUM(E$17:E52))</f>
        <v>1628502.0663709044</v>
      </c>
      <c r="E53" s="160">
        <f>IF(+I14&lt;F52,I14,D53)</f>
        <v>218034.48837209304</v>
      </c>
      <c r="F53" s="159">
        <f t="shared" si="5"/>
        <v>1410467.5779988114</v>
      </c>
      <c r="G53" s="161">
        <f t="shared" si="8"/>
        <v>369307.82163605967</v>
      </c>
      <c r="H53" s="142">
        <f t="shared" si="9"/>
        <v>369307.82163605967</v>
      </c>
      <c r="I53" s="156">
        <f t="shared" si="0"/>
        <v>0</v>
      </c>
      <c r="J53" s="156"/>
      <c r="K53" s="334"/>
      <c r="L53" s="158">
        <f t="shared" si="1"/>
        <v>0</v>
      </c>
      <c r="M53" s="334"/>
      <c r="N53" s="158">
        <f t="shared" si="2"/>
        <v>0</v>
      </c>
      <c r="O53" s="158">
        <f t="shared" si="3"/>
        <v>0</v>
      </c>
      <c r="P53" s="4"/>
    </row>
    <row r="54" spans="2:16">
      <c r="B54" s="9" t="str">
        <f t="shared" si="4"/>
        <v/>
      </c>
      <c r="C54" s="153">
        <f>IF(D11="","-",+C53+1)</f>
        <v>2053</v>
      </c>
      <c r="D54" s="159">
        <f>IF(F53+SUM(E$17:E53)=D$10,F53,D$10-SUM(E$17:E53))</f>
        <v>1410467.5779988114</v>
      </c>
      <c r="E54" s="160">
        <f>IF(+I14&lt;F53,I14,D54)</f>
        <v>218034.48837209304</v>
      </c>
      <c r="F54" s="159">
        <f t="shared" si="5"/>
        <v>1192433.0896267183</v>
      </c>
      <c r="G54" s="161">
        <f t="shared" si="8"/>
        <v>347601.25152690627</v>
      </c>
      <c r="H54" s="142">
        <f t="shared" si="9"/>
        <v>347601.25152690627</v>
      </c>
      <c r="I54" s="156">
        <f t="shared" si="0"/>
        <v>0</v>
      </c>
      <c r="J54" s="156"/>
      <c r="K54" s="334"/>
      <c r="L54" s="158">
        <f t="shared" si="1"/>
        <v>0</v>
      </c>
      <c r="M54" s="334"/>
      <c r="N54" s="158">
        <f t="shared" si="2"/>
        <v>0</v>
      </c>
      <c r="O54" s="158">
        <f t="shared" si="3"/>
        <v>0</v>
      </c>
      <c r="P54" s="4"/>
    </row>
    <row r="55" spans="2:16">
      <c r="B55" s="9" t="str">
        <f t="shared" si="4"/>
        <v/>
      </c>
      <c r="C55" s="153">
        <f>IF(D11="","-",+C54+1)</f>
        <v>2054</v>
      </c>
      <c r="D55" s="159">
        <f>IF(F54+SUM(E$17:E54)=D$10,F54,D$10-SUM(E$17:E54))</f>
        <v>1192433.0896267183</v>
      </c>
      <c r="E55" s="160">
        <f>IF(+I14&lt;F54,I14,D55)</f>
        <v>218034.48837209304</v>
      </c>
      <c r="F55" s="159">
        <f t="shared" si="5"/>
        <v>974398.60125462525</v>
      </c>
      <c r="G55" s="161">
        <f t="shared" si="8"/>
        <v>325894.68141775287</v>
      </c>
      <c r="H55" s="142">
        <f t="shared" si="9"/>
        <v>325894.68141775287</v>
      </c>
      <c r="I55" s="156">
        <f t="shared" si="0"/>
        <v>0</v>
      </c>
      <c r="J55" s="156"/>
      <c r="K55" s="334"/>
      <c r="L55" s="158">
        <f t="shared" si="1"/>
        <v>0</v>
      </c>
      <c r="M55" s="334"/>
      <c r="N55" s="158">
        <f t="shared" si="2"/>
        <v>0</v>
      </c>
      <c r="O55" s="158">
        <f t="shared" si="3"/>
        <v>0</v>
      </c>
      <c r="P55" s="4"/>
    </row>
    <row r="56" spans="2:16">
      <c r="B56" s="9" t="str">
        <f t="shared" si="4"/>
        <v/>
      </c>
      <c r="C56" s="153">
        <f>IF(D11="","-",+C55+1)</f>
        <v>2055</v>
      </c>
      <c r="D56" s="159">
        <f>IF(F55+SUM(E$17:E55)=D$10,F55,D$10-SUM(E$17:E55))</f>
        <v>974398.60125462525</v>
      </c>
      <c r="E56" s="160">
        <f>IF(+I14&lt;F55,I14,D56)</f>
        <v>218034.48837209304</v>
      </c>
      <c r="F56" s="159">
        <f t="shared" si="5"/>
        <v>756364.11288253218</v>
      </c>
      <c r="G56" s="161">
        <f t="shared" si="8"/>
        <v>304188.11130859947</v>
      </c>
      <c r="H56" s="142">
        <f t="shared" si="9"/>
        <v>304188.11130859947</v>
      </c>
      <c r="I56" s="156">
        <f t="shared" si="0"/>
        <v>0</v>
      </c>
      <c r="J56" s="156"/>
      <c r="K56" s="334"/>
      <c r="L56" s="158">
        <f t="shared" si="1"/>
        <v>0</v>
      </c>
      <c r="M56" s="334"/>
      <c r="N56" s="158">
        <f t="shared" si="2"/>
        <v>0</v>
      </c>
      <c r="O56" s="158">
        <f t="shared" si="3"/>
        <v>0</v>
      </c>
      <c r="P56" s="4"/>
    </row>
    <row r="57" spans="2:16">
      <c r="B57" s="9" t="str">
        <f t="shared" si="4"/>
        <v/>
      </c>
      <c r="C57" s="153">
        <f>IF(D11="","-",+C56+1)</f>
        <v>2056</v>
      </c>
      <c r="D57" s="159">
        <f>IF(F56+SUM(E$17:E56)=D$10,F56,D$10-SUM(E$17:E56))</f>
        <v>756364.11288253218</v>
      </c>
      <c r="E57" s="160">
        <f>IF(+I14&lt;F56,I14,D57)</f>
        <v>218034.48837209304</v>
      </c>
      <c r="F57" s="159">
        <f t="shared" si="5"/>
        <v>538329.62451043911</v>
      </c>
      <c r="G57" s="161">
        <f t="shared" si="8"/>
        <v>282481.54119944613</v>
      </c>
      <c r="H57" s="142">
        <f t="shared" si="9"/>
        <v>282481.54119944613</v>
      </c>
      <c r="I57" s="156">
        <f t="shared" si="0"/>
        <v>0</v>
      </c>
      <c r="J57" s="156"/>
      <c r="K57" s="334"/>
      <c r="L57" s="158">
        <f t="shared" si="1"/>
        <v>0</v>
      </c>
      <c r="M57" s="334"/>
      <c r="N57" s="158">
        <f t="shared" si="2"/>
        <v>0</v>
      </c>
      <c r="O57" s="158">
        <f t="shared" si="3"/>
        <v>0</v>
      </c>
      <c r="P57" s="4"/>
    </row>
    <row r="58" spans="2:16">
      <c r="B58" s="9" t="str">
        <f t="shared" si="4"/>
        <v/>
      </c>
      <c r="C58" s="153">
        <f>IF(D11="","-",+C57+1)</f>
        <v>2057</v>
      </c>
      <c r="D58" s="159">
        <f>IF(F57+SUM(E$17:E57)=D$10,F57,D$10-SUM(E$17:E57))</f>
        <v>538329.62451043911</v>
      </c>
      <c r="E58" s="160">
        <f>IF(+I14&lt;F57,I14,D58)</f>
        <v>218034.48837209304</v>
      </c>
      <c r="F58" s="159">
        <f t="shared" si="5"/>
        <v>320295.13613834605</v>
      </c>
      <c r="G58" s="161">
        <f t="shared" si="8"/>
        <v>260774.97109029273</v>
      </c>
      <c r="H58" s="142">
        <f t="shared" si="9"/>
        <v>260774.97109029273</v>
      </c>
      <c r="I58" s="156">
        <f t="shared" si="0"/>
        <v>0</v>
      </c>
      <c r="J58" s="156"/>
      <c r="K58" s="334"/>
      <c r="L58" s="158">
        <f t="shared" si="1"/>
        <v>0</v>
      </c>
      <c r="M58" s="334"/>
      <c r="N58" s="158">
        <f t="shared" si="2"/>
        <v>0</v>
      </c>
      <c r="O58" s="158">
        <f t="shared" si="3"/>
        <v>0</v>
      </c>
      <c r="P58" s="4"/>
    </row>
    <row r="59" spans="2:16">
      <c r="B59" s="9" t="str">
        <f t="shared" si="4"/>
        <v/>
      </c>
      <c r="C59" s="153">
        <f>IF(D11="","-",+C58+1)</f>
        <v>2058</v>
      </c>
      <c r="D59" s="159">
        <f>IF(F58+SUM(E$17:E58)=D$10,F58,D$10-SUM(E$17:E58))</f>
        <v>320295.13613834605</v>
      </c>
      <c r="E59" s="160">
        <f>IF(+I14&lt;F58,I14,D59)</f>
        <v>218034.48837209304</v>
      </c>
      <c r="F59" s="159">
        <f t="shared" si="5"/>
        <v>102260.64776625301</v>
      </c>
      <c r="G59" s="161">
        <f t="shared" si="8"/>
        <v>239068.40098113933</v>
      </c>
      <c r="H59" s="142">
        <f t="shared" si="9"/>
        <v>239068.40098113933</v>
      </c>
      <c r="I59" s="156">
        <f t="shared" si="0"/>
        <v>0</v>
      </c>
      <c r="J59" s="156"/>
      <c r="K59" s="334"/>
      <c r="L59" s="158">
        <f t="shared" si="1"/>
        <v>0</v>
      </c>
      <c r="M59" s="334"/>
      <c r="N59" s="158">
        <f t="shared" si="2"/>
        <v>0</v>
      </c>
      <c r="O59" s="158">
        <f t="shared" si="3"/>
        <v>0</v>
      </c>
      <c r="P59" s="4"/>
    </row>
    <row r="60" spans="2:16">
      <c r="B60" s="9" t="str">
        <f t="shared" si="4"/>
        <v/>
      </c>
      <c r="C60" s="153">
        <f>IF(D11="","-",+C59+1)</f>
        <v>2059</v>
      </c>
      <c r="D60" s="159">
        <f>IF(F59+SUM(E$17:E59)=D$10,F59,D$10-SUM(E$17:E59))</f>
        <v>102260.64776625301</v>
      </c>
      <c r="E60" s="160">
        <f>IF(+I14&lt;F59,I14,D60)</f>
        <v>102260.64776625301</v>
      </c>
      <c r="F60" s="159">
        <f t="shared" si="5"/>
        <v>0</v>
      </c>
      <c r="G60" s="161">
        <f t="shared" si="8"/>
        <v>107350.96154348781</v>
      </c>
      <c r="H60" s="142">
        <f t="shared" si="9"/>
        <v>107350.96154348781</v>
      </c>
      <c r="I60" s="156">
        <f t="shared" si="0"/>
        <v>0</v>
      </c>
      <c r="J60" s="156"/>
      <c r="K60" s="334"/>
      <c r="L60" s="158">
        <f t="shared" si="1"/>
        <v>0</v>
      </c>
      <c r="M60" s="334"/>
      <c r="N60" s="158">
        <f t="shared" si="2"/>
        <v>0</v>
      </c>
      <c r="O60" s="158">
        <f t="shared" si="3"/>
        <v>0</v>
      </c>
      <c r="P60" s="4"/>
    </row>
    <row r="61" spans="2:16">
      <c r="B61" s="9" t="str">
        <f t="shared" si="4"/>
        <v/>
      </c>
      <c r="C61" s="153">
        <f>IF(D11="","-",+C60+1)</f>
        <v>2060</v>
      </c>
      <c r="D61" s="159">
        <f>IF(F60+SUM(E$17:E60)=D$10,F60,D$10-SUM(E$17:E60))</f>
        <v>0</v>
      </c>
      <c r="E61" s="160">
        <f>IF(+I14&lt;F60,I14,D61)</f>
        <v>0</v>
      </c>
      <c r="F61" s="159">
        <f t="shared" si="5"/>
        <v>0</v>
      </c>
      <c r="G61" s="163">
        <f t="shared" si="8"/>
        <v>0</v>
      </c>
      <c r="H61" s="142">
        <f t="shared" si="9"/>
        <v>0</v>
      </c>
      <c r="I61" s="156">
        <f t="shared" si="0"/>
        <v>0</v>
      </c>
      <c r="J61" s="156"/>
      <c r="K61" s="334"/>
      <c r="L61" s="158">
        <f t="shared" si="1"/>
        <v>0</v>
      </c>
      <c r="M61" s="334"/>
      <c r="N61" s="158">
        <f t="shared" si="2"/>
        <v>0</v>
      </c>
      <c r="O61" s="158">
        <f t="shared" si="3"/>
        <v>0</v>
      </c>
      <c r="P61" s="4"/>
    </row>
    <row r="62" spans="2:16">
      <c r="B62" s="9" t="str">
        <f t="shared" si="4"/>
        <v/>
      </c>
      <c r="C62" s="153">
        <f>IF(D11="","-",+C61+1)</f>
        <v>2061</v>
      </c>
      <c r="D62" s="159">
        <f>IF(F61+SUM(E$17:E61)=D$10,F61,D$10-SUM(E$17:E61))</f>
        <v>0</v>
      </c>
      <c r="E62" s="160">
        <f>IF(+I14&lt;F61,I14,D62)</f>
        <v>0</v>
      </c>
      <c r="F62" s="159">
        <f t="shared" si="5"/>
        <v>0</v>
      </c>
      <c r="G62" s="163">
        <f t="shared" si="8"/>
        <v>0</v>
      </c>
      <c r="H62" s="142">
        <f t="shared" si="9"/>
        <v>0</v>
      </c>
      <c r="I62" s="156">
        <f t="shared" si="0"/>
        <v>0</v>
      </c>
      <c r="J62" s="156"/>
      <c r="K62" s="334"/>
      <c r="L62" s="158">
        <f t="shared" si="1"/>
        <v>0</v>
      </c>
      <c r="M62" s="334"/>
      <c r="N62" s="158">
        <f t="shared" si="2"/>
        <v>0</v>
      </c>
      <c r="O62" s="158">
        <f t="shared" si="3"/>
        <v>0</v>
      </c>
      <c r="P62" s="4"/>
    </row>
    <row r="63" spans="2:16">
      <c r="B63" s="9" t="str">
        <f t="shared" si="4"/>
        <v/>
      </c>
      <c r="C63" s="153">
        <f>IF(D11="","-",+C62+1)</f>
        <v>2062</v>
      </c>
      <c r="D63" s="159">
        <f>IF(F62+SUM(E$17:E62)=D$10,F62,D$10-SUM(E$17:E62))</f>
        <v>0</v>
      </c>
      <c r="E63" s="160">
        <f>IF(+I14&lt;F62,I14,D63)</f>
        <v>0</v>
      </c>
      <c r="F63" s="159">
        <f t="shared" si="5"/>
        <v>0</v>
      </c>
      <c r="G63" s="163">
        <f t="shared" si="8"/>
        <v>0</v>
      </c>
      <c r="H63" s="142">
        <f t="shared" si="9"/>
        <v>0</v>
      </c>
      <c r="I63" s="156">
        <f t="shared" si="0"/>
        <v>0</v>
      </c>
      <c r="J63" s="156"/>
      <c r="K63" s="334"/>
      <c r="L63" s="158">
        <f t="shared" si="1"/>
        <v>0</v>
      </c>
      <c r="M63" s="334"/>
      <c r="N63" s="158">
        <f t="shared" si="2"/>
        <v>0</v>
      </c>
      <c r="O63" s="158">
        <f t="shared" si="3"/>
        <v>0</v>
      </c>
      <c r="P63" s="4"/>
    </row>
    <row r="64" spans="2:16">
      <c r="B64" s="9" t="str">
        <f t="shared" si="4"/>
        <v/>
      </c>
      <c r="C64" s="153">
        <f>IF(D11="","-",+C63+1)</f>
        <v>2063</v>
      </c>
      <c r="D64" s="159">
        <f>IF(F63+SUM(E$17:E63)=D$10,F63,D$10-SUM(E$17:E63))</f>
        <v>0</v>
      </c>
      <c r="E64" s="160">
        <f>IF(+I14&lt;F63,I14,D64)</f>
        <v>0</v>
      </c>
      <c r="F64" s="159">
        <f t="shared" si="5"/>
        <v>0</v>
      </c>
      <c r="G64" s="163">
        <f t="shared" si="8"/>
        <v>0</v>
      </c>
      <c r="H64" s="142">
        <f t="shared" si="9"/>
        <v>0</v>
      </c>
      <c r="I64" s="156">
        <f t="shared" si="0"/>
        <v>0</v>
      </c>
      <c r="J64" s="156"/>
      <c r="K64" s="334"/>
      <c r="L64" s="158">
        <f t="shared" si="1"/>
        <v>0</v>
      </c>
      <c r="M64" s="334"/>
      <c r="N64" s="158">
        <f t="shared" si="2"/>
        <v>0</v>
      </c>
      <c r="O64" s="158">
        <f t="shared" si="3"/>
        <v>0</v>
      </c>
      <c r="P64" s="4"/>
    </row>
    <row r="65" spans="2:16">
      <c r="B65" s="9" t="str">
        <f t="shared" si="4"/>
        <v/>
      </c>
      <c r="C65" s="153">
        <f>IF(D11="","-",+C64+1)</f>
        <v>2064</v>
      </c>
      <c r="D65" s="159">
        <f>IF(F64+SUM(E$17:E64)=D$10,F64,D$10-SUM(E$17:E64))</f>
        <v>0</v>
      </c>
      <c r="E65" s="160">
        <f>IF(+I14&lt;F64,I14,D65)</f>
        <v>0</v>
      </c>
      <c r="F65" s="159">
        <f t="shared" si="5"/>
        <v>0</v>
      </c>
      <c r="G65" s="163">
        <f t="shared" si="8"/>
        <v>0</v>
      </c>
      <c r="H65" s="142">
        <f t="shared" si="9"/>
        <v>0</v>
      </c>
      <c r="I65" s="156">
        <f t="shared" si="0"/>
        <v>0</v>
      </c>
      <c r="J65" s="156"/>
      <c r="K65" s="334"/>
      <c r="L65" s="158">
        <f t="shared" si="1"/>
        <v>0</v>
      </c>
      <c r="M65" s="334"/>
      <c r="N65" s="158">
        <f t="shared" si="2"/>
        <v>0</v>
      </c>
      <c r="O65" s="158">
        <f t="shared" si="3"/>
        <v>0</v>
      </c>
      <c r="P65" s="4"/>
    </row>
    <row r="66" spans="2:16">
      <c r="B66" s="9" t="str">
        <f t="shared" si="4"/>
        <v/>
      </c>
      <c r="C66" s="153">
        <f>IF(D11="","-",+C65+1)</f>
        <v>2065</v>
      </c>
      <c r="D66" s="159">
        <f>IF(F65+SUM(E$17:E65)=D$10,F65,D$10-SUM(E$17:E65))</f>
        <v>0</v>
      </c>
      <c r="E66" s="160">
        <f>IF(+I14&lt;F65,I14,D66)</f>
        <v>0</v>
      </c>
      <c r="F66" s="159">
        <f t="shared" si="5"/>
        <v>0</v>
      </c>
      <c r="G66" s="163">
        <f t="shared" si="8"/>
        <v>0</v>
      </c>
      <c r="H66" s="142">
        <f t="shared" si="9"/>
        <v>0</v>
      </c>
      <c r="I66" s="156">
        <f t="shared" si="0"/>
        <v>0</v>
      </c>
      <c r="J66" s="156"/>
      <c r="K66" s="334"/>
      <c r="L66" s="158">
        <f t="shared" si="1"/>
        <v>0</v>
      </c>
      <c r="M66" s="334"/>
      <c r="N66" s="158">
        <f t="shared" si="2"/>
        <v>0</v>
      </c>
      <c r="O66" s="158">
        <f t="shared" si="3"/>
        <v>0</v>
      </c>
      <c r="P66" s="4"/>
    </row>
    <row r="67" spans="2:16">
      <c r="B67" s="9" t="str">
        <f t="shared" si="4"/>
        <v/>
      </c>
      <c r="C67" s="153">
        <f>IF(D11="","-",+C66+1)</f>
        <v>2066</v>
      </c>
      <c r="D67" s="159">
        <f>IF(F66+SUM(E$17:E66)=D$10,F66,D$10-SUM(E$17:E66))</f>
        <v>0</v>
      </c>
      <c r="E67" s="160">
        <f>IF(+I14&lt;F66,I14,D67)</f>
        <v>0</v>
      </c>
      <c r="F67" s="159">
        <f t="shared" si="5"/>
        <v>0</v>
      </c>
      <c r="G67" s="163">
        <f t="shared" si="8"/>
        <v>0</v>
      </c>
      <c r="H67" s="142">
        <f t="shared" si="9"/>
        <v>0</v>
      </c>
      <c r="I67" s="156">
        <f t="shared" si="0"/>
        <v>0</v>
      </c>
      <c r="J67" s="156"/>
      <c r="K67" s="334"/>
      <c r="L67" s="158">
        <f t="shared" si="1"/>
        <v>0</v>
      </c>
      <c r="M67" s="334"/>
      <c r="N67" s="158">
        <f t="shared" si="2"/>
        <v>0</v>
      </c>
      <c r="O67" s="158">
        <f t="shared" si="3"/>
        <v>0</v>
      </c>
      <c r="P67" s="4"/>
    </row>
    <row r="68" spans="2:16">
      <c r="B68" s="9" t="str">
        <f t="shared" si="4"/>
        <v/>
      </c>
      <c r="C68" s="153">
        <f>IF(D11="","-",+C67+1)</f>
        <v>2067</v>
      </c>
      <c r="D68" s="159">
        <f>IF(F67+SUM(E$17:E67)=D$10,F67,D$10-SUM(E$17:E67))</f>
        <v>0</v>
      </c>
      <c r="E68" s="160">
        <f>IF(+I14&lt;F67,I14,D68)</f>
        <v>0</v>
      </c>
      <c r="F68" s="159">
        <f t="shared" si="5"/>
        <v>0</v>
      </c>
      <c r="G68" s="163">
        <f t="shared" si="8"/>
        <v>0</v>
      </c>
      <c r="H68" s="142">
        <f t="shared" si="9"/>
        <v>0</v>
      </c>
      <c r="I68" s="156">
        <f t="shared" si="0"/>
        <v>0</v>
      </c>
      <c r="J68" s="156"/>
      <c r="K68" s="334"/>
      <c r="L68" s="158">
        <f t="shared" si="1"/>
        <v>0</v>
      </c>
      <c r="M68" s="334"/>
      <c r="N68" s="158">
        <f t="shared" si="2"/>
        <v>0</v>
      </c>
      <c r="O68" s="158">
        <f t="shared" si="3"/>
        <v>0</v>
      </c>
      <c r="P68" s="4"/>
    </row>
    <row r="69" spans="2:16">
      <c r="B69" s="9" t="str">
        <f t="shared" si="4"/>
        <v/>
      </c>
      <c r="C69" s="153">
        <f>IF(D11="","-",+C68+1)</f>
        <v>2068</v>
      </c>
      <c r="D69" s="159">
        <f>IF(F68+SUM(E$17:E68)=D$10,F68,D$10-SUM(E$17:E68))</f>
        <v>0</v>
      </c>
      <c r="E69" s="160">
        <f>IF(+I14&lt;F68,I14,D69)</f>
        <v>0</v>
      </c>
      <c r="F69" s="159">
        <f t="shared" si="5"/>
        <v>0</v>
      </c>
      <c r="G69" s="163">
        <f t="shared" si="8"/>
        <v>0</v>
      </c>
      <c r="H69" s="142">
        <f t="shared" si="9"/>
        <v>0</v>
      </c>
      <c r="I69" s="156">
        <f t="shared" si="0"/>
        <v>0</v>
      </c>
      <c r="J69" s="156"/>
      <c r="K69" s="334"/>
      <c r="L69" s="158">
        <f t="shared" si="1"/>
        <v>0</v>
      </c>
      <c r="M69" s="334"/>
      <c r="N69" s="158">
        <f t="shared" si="2"/>
        <v>0</v>
      </c>
      <c r="O69" s="158">
        <f t="shared" si="3"/>
        <v>0</v>
      </c>
      <c r="P69" s="4"/>
    </row>
    <row r="70" spans="2:16">
      <c r="B70" s="9" t="str">
        <f t="shared" si="4"/>
        <v/>
      </c>
      <c r="C70" s="153">
        <f>IF(D11="","-",+C69+1)</f>
        <v>2069</v>
      </c>
      <c r="D70" s="159">
        <f>IF(F69+SUM(E$17:E69)=D$10,F69,D$10-SUM(E$17:E69))</f>
        <v>0</v>
      </c>
      <c r="E70" s="160">
        <f>IF(+I14&lt;F69,I14,D70)</f>
        <v>0</v>
      </c>
      <c r="F70" s="159">
        <f t="shared" si="5"/>
        <v>0</v>
      </c>
      <c r="G70" s="163">
        <f t="shared" si="8"/>
        <v>0</v>
      </c>
      <c r="H70" s="142">
        <f t="shared" si="9"/>
        <v>0</v>
      </c>
      <c r="I70" s="156">
        <f t="shared" si="0"/>
        <v>0</v>
      </c>
      <c r="J70" s="156"/>
      <c r="K70" s="334"/>
      <c r="L70" s="158">
        <f t="shared" si="1"/>
        <v>0</v>
      </c>
      <c r="M70" s="334"/>
      <c r="N70" s="158">
        <f t="shared" si="2"/>
        <v>0</v>
      </c>
      <c r="O70" s="158">
        <f t="shared" si="3"/>
        <v>0</v>
      </c>
      <c r="P70" s="4"/>
    </row>
    <row r="71" spans="2:16">
      <c r="B71" s="9" t="str">
        <f t="shared" si="4"/>
        <v/>
      </c>
      <c r="C71" s="153">
        <f>IF(D11="","-",+C70+1)</f>
        <v>2070</v>
      </c>
      <c r="D71" s="159">
        <f>IF(F70+SUM(E$17:E70)=D$10,F70,D$10-SUM(E$17:E70))</f>
        <v>0</v>
      </c>
      <c r="E71" s="160">
        <f>IF(+I14&lt;F70,I14,D71)</f>
        <v>0</v>
      </c>
      <c r="F71" s="159">
        <f t="shared" si="5"/>
        <v>0</v>
      </c>
      <c r="G71" s="163">
        <f t="shared" si="8"/>
        <v>0</v>
      </c>
      <c r="H71" s="142">
        <f t="shared" si="9"/>
        <v>0</v>
      </c>
      <c r="I71" s="156">
        <f t="shared" si="0"/>
        <v>0</v>
      </c>
      <c r="J71" s="156"/>
      <c r="K71" s="334"/>
      <c r="L71" s="158">
        <f t="shared" si="1"/>
        <v>0</v>
      </c>
      <c r="M71" s="334"/>
      <c r="N71" s="158">
        <f t="shared" si="2"/>
        <v>0</v>
      </c>
      <c r="O71" s="158">
        <f t="shared" si="3"/>
        <v>0</v>
      </c>
      <c r="P71" s="4"/>
    </row>
    <row r="72" spans="2:16" ht="13.5" thickBot="1">
      <c r="B72" s="9" t="str">
        <f t="shared" si="4"/>
        <v/>
      </c>
      <c r="C72" s="164">
        <f>IF(D11="","-",+C71+1)</f>
        <v>2071</v>
      </c>
      <c r="D72" s="165">
        <f>IF(F71+SUM(E$17:E71)=D$10,F71,D$10-SUM(E$17:E71))</f>
        <v>0</v>
      </c>
      <c r="E72" s="166">
        <f>IF(+I14&lt;F71,I14,D72)</f>
        <v>0</v>
      </c>
      <c r="F72" s="165">
        <f t="shared" si="5"/>
        <v>0</v>
      </c>
      <c r="G72" s="167">
        <f t="shared" si="8"/>
        <v>0</v>
      </c>
      <c r="H72" s="124">
        <f t="shared" si="9"/>
        <v>0</v>
      </c>
      <c r="I72" s="168">
        <f t="shared" si="0"/>
        <v>0</v>
      </c>
      <c r="J72" s="156"/>
      <c r="K72" s="335"/>
      <c r="L72" s="169">
        <f t="shared" si="1"/>
        <v>0</v>
      </c>
      <c r="M72" s="335"/>
      <c r="N72" s="169">
        <f t="shared" si="2"/>
        <v>0</v>
      </c>
      <c r="O72" s="169">
        <f t="shared" si="3"/>
        <v>0</v>
      </c>
      <c r="P72" s="4"/>
    </row>
    <row r="73" spans="2:16">
      <c r="C73" s="154" t="s">
        <v>73</v>
      </c>
      <c r="D73" s="111"/>
      <c r="E73" s="111">
        <f>SUM(E17:E72)</f>
        <v>9375483</v>
      </c>
      <c r="F73" s="111"/>
      <c r="G73" s="111">
        <f>SUM(G17:G72)</f>
        <v>30423229.966011055</v>
      </c>
      <c r="H73" s="111">
        <f>SUM(H17:H72)</f>
        <v>30423229.966011055</v>
      </c>
      <c r="I73" s="111">
        <f>SUM(I17:I72)</f>
        <v>0</v>
      </c>
      <c r="J73" s="111"/>
      <c r="K73" s="111"/>
      <c r="L73" s="111"/>
      <c r="M73" s="111"/>
      <c r="N73" s="111"/>
      <c r="O73" s="4"/>
      <c r="P73" s="4"/>
    </row>
    <row r="74" spans="2:16">
      <c r="D74" s="2"/>
      <c r="E74" s="1"/>
      <c r="F74" s="1"/>
      <c r="G74" s="1"/>
      <c r="H74" s="3"/>
      <c r="I74" s="3"/>
      <c r="J74" s="111"/>
      <c r="K74" s="3"/>
      <c r="L74" s="3"/>
      <c r="M74" s="3"/>
      <c r="N74" s="3"/>
      <c r="O74" s="1"/>
      <c r="P74" s="1"/>
    </row>
    <row r="75" spans="2:16">
      <c r="C75" s="170" t="s">
        <v>91</v>
      </c>
      <c r="D75" s="2"/>
      <c r="E75" s="1"/>
      <c r="F75" s="1"/>
      <c r="G75" s="1"/>
      <c r="H75" s="3"/>
      <c r="I75" s="3"/>
      <c r="J75" s="111"/>
      <c r="K75" s="3"/>
      <c r="L75" s="3"/>
      <c r="M75" s="3"/>
      <c r="N75" s="3"/>
      <c r="O75" s="1"/>
      <c r="P75" s="1"/>
    </row>
    <row r="76" spans="2:16">
      <c r="C76" s="121" t="s">
        <v>74</v>
      </c>
      <c r="D76" s="2"/>
      <c r="E76" s="1"/>
      <c r="F76" s="1"/>
      <c r="G76" s="1"/>
      <c r="H76" s="3"/>
      <c r="I76" s="3"/>
      <c r="J76" s="111"/>
      <c r="K76" s="3"/>
      <c r="L76" s="3"/>
      <c r="M76" s="3"/>
      <c r="N76" s="3"/>
      <c r="O76" s="4"/>
      <c r="P76" s="4"/>
    </row>
    <row r="77" spans="2:16">
      <c r="C77" s="121" t="s">
        <v>75</v>
      </c>
      <c r="D77" s="154"/>
      <c r="E77" s="154"/>
      <c r="F77" s="154"/>
      <c r="G77" s="111"/>
      <c r="H77" s="111"/>
      <c r="I77" s="171"/>
      <c r="J77" s="171"/>
      <c r="K77" s="171"/>
      <c r="L77" s="171"/>
      <c r="M77" s="171"/>
      <c r="N77" s="171"/>
      <c r="O77" s="4"/>
      <c r="P77" s="4"/>
    </row>
    <row r="78" spans="2:16">
      <c r="C78" s="121"/>
      <c r="D78" s="154"/>
      <c r="E78" s="154"/>
      <c r="F78" s="154"/>
      <c r="G78" s="111"/>
      <c r="H78" s="111"/>
      <c r="I78" s="171"/>
      <c r="J78" s="171"/>
      <c r="K78" s="171"/>
      <c r="L78" s="171"/>
      <c r="M78" s="171"/>
      <c r="N78" s="171"/>
      <c r="O78" s="4"/>
      <c r="P78" s="1"/>
    </row>
    <row r="79" spans="2:16">
      <c r="B79" s="1"/>
      <c r="C79" s="21"/>
      <c r="D79" s="2"/>
      <c r="E79" s="1"/>
      <c r="F79" s="107"/>
      <c r="G79" s="1"/>
      <c r="H79" s="3"/>
      <c r="I79" s="1"/>
      <c r="J79" s="4"/>
      <c r="K79" s="1"/>
      <c r="L79" s="1"/>
      <c r="M79" s="1"/>
      <c r="N79" s="1"/>
      <c r="O79" s="1"/>
      <c r="P79" s="1"/>
    </row>
    <row r="80" spans="2:16" ht="18">
      <c r="B80" s="1"/>
      <c r="C80" s="242"/>
      <c r="D80" s="2"/>
      <c r="E80" s="1"/>
      <c r="F80" s="107"/>
      <c r="G80" s="1"/>
      <c r="H80" s="3"/>
      <c r="I80" s="1"/>
      <c r="J80" s="4"/>
      <c r="K80" s="1"/>
      <c r="L80" s="1"/>
      <c r="M80" s="1"/>
      <c r="N80" s="1"/>
      <c r="P80" s="244" t="s">
        <v>125</v>
      </c>
    </row>
    <row r="81" spans="1:16">
      <c r="B81" s="1"/>
      <c r="C81" s="21"/>
      <c r="D81" s="2"/>
      <c r="E81" s="1"/>
      <c r="F81" s="107"/>
      <c r="G81" s="1"/>
      <c r="H81" s="3"/>
      <c r="I81" s="1"/>
      <c r="J81" s="4"/>
      <c r="K81" s="1"/>
      <c r="L81" s="1"/>
      <c r="M81" s="1"/>
      <c r="N81" s="1"/>
      <c r="O81" s="1"/>
      <c r="P81" s="1"/>
    </row>
    <row r="82" spans="1:16">
      <c r="B82" s="1"/>
      <c r="C82" s="21"/>
      <c r="D82" s="2"/>
      <c r="E82" s="1"/>
      <c r="F82" s="107"/>
      <c r="G82" s="1"/>
      <c r="H82" s="3"/>
      <c r="I82" s="1"/>
      <c r="J82" s="4"/>
      <c r="K82" s="1"/>
      <c r="L82" s="1"/>
      <c r="M82" s="1"/>
      <c r="N82" s="1"/>
      <c r="O82" s="1"/>
      <c r="P82" s="1"/>
    </row>
    <row r="83" spans="1:16" ht="20.25">
      <c r="A83" s="243" t="s">
        <v>129</v>
      </c>
      <c r="B83" s="1"/>
      <c r="C83" s="21"/>
      <c r="D83" s="2"/>
      <c r="E83" s="1"/>
      <c r="F83" s="99"/>
      <c r="G83" s="99"/>
      <c r="H83" s="1"/>
      <c r="I83" s="3"/>
      <c r="K83" s="7"/>
      <c r="L83" s="109"/>
      <c r="M83" s="109"/>
      <c r="P83" s="109" t="str">
        <f ca="1">P1</f>
        <v>SWEPCO Project 55 of 73</v>
      </c>
    </row>
    <row r="84" spans="1:16" ht="18">
      <c r="B84" s="1"/>
      <c r="C84" s="1"/>
      <c r="D84" s="2"/>
      <c r="E84" s="1"/>
      <c r="F84" s="1"/>
      <c r="G84" s="1"/>
      <c r="H84" s="1"/>
      <c r="I84" s="3"/>
      <c r="J84" s="1"/>
      <c r="K84" s="4"/>
      <c r="L84" s="1"/>
      <c r="M84" s="1"/>
      <c r="P84" s="244" t="s">
        <v>123</v>
      </c>
    </row>
    <row r="85" spans="1:16" ht="18.75" thickBot="1">
      <c r="B85" s="5" t="s">
        <v>40</v>
      </c>
      <c r="C85" s="197" t="s">
        <v>78</v>
      </c>
      <c r="D85" s="2"/>
      <c r="E85" s="1"/>
      <c r="F85" s="1"/>
      <c r="G85" s="1"/>
      <c r="H85" s="1"/>
      <c r="I85" s="3"/>
      <c r="J85" s="3"/>
      <c r="K85" s="111"/>
      <c r="L85" s="3"/>
      <c r="M85" s="3"/>
      <c r="N85" s="3"/>
      <c r="O85" s="111"/>
      <c r="P85" s="1"/>
    </row>
    <row r="86" spans="1:16" ht="15.75" thickBot="1">
      <c r="C86" s="67"/>
      <c r="D86" s="2"/>
      <c r="E86" s="1"/>
      <c r="F86" s="1"/>
      <c r="G86" s="1"/>
      <c r="H86" s="1"/>
      <c r="I86" s="3"/>
      <c r="J86" s="3"/>
      <c r="K86" s="111"/>
      <c r="L86" s="265">
        <f>+J92</f>
        <v>2017</v>
      </c>
      <c r="M86" s="266" t="s">
        <v>7</v>
      </c>
      <c r="N86" s="270" t="s">
        <v>154</v>
      </c>
      <c r="O86" s="267" t="s">
        <v>9</v>
      </c>
      <c r="P86" s="1"/>
    </row>
    <row r="87" spans="1:16" ht="15">
      <c r="C87" s="235" t="s">
        <v>42</v>
      </c>
      <c r="D87" s="2"/>
      <c r="E87" s="1"/>
      <c r="F87" s="1"/>
      <c r="G87" s="1"/>
      <c r="H87" s="113"/>
      <c r="I87" s="1" t="s">
        <v>43</v>
      </c>
      <c r="J87" s="1"/>
      <c r="K87" s="261"/>
      <c r="L87" s="259" t="s">
        <v>381</v>
      </c>
      <c r="M87" s="198">
        <f>IF(J92&lt;D11,0,VLOOKUP(J92,C17:O72,9))</f>
        <v>1353054.593855357</v>
      </c>
      <c r="N87" s="198">
        <f>IF(J92&lt;D11,0,VLOOKUP(J92,C17:O72,11))</f>
        <v>1353054.593855357</v>
      </c>
      <c r="O87" s="199">
        <f>+N87-M87</f>
        <v>0</v>
      </c>
      <c r="P87" s="1"/>
    </row>
    <row r="88" spans="1:16" ht="15.75">
      <c r="C88" s="8"/>
      <c r="D88" s="2"/>
      <c r="E88" s="1"/>
      <c r="F88" s="1"/>
      <c r="G88" s="1"/>
      <c r="H88" s="1"/>
      <c r="I88" s="117"/>
      <c r="J88" s="117"/>
      <c r="K88" s="263"/>
      <c r="L88" s="264" t="s">
        <v>382</v>
      </c>
      <c r="M88" s="200">
        <f>IF(J92&lt;D11,0,VLOOKUP(J92,C99:P154,6))</f>
        <v>1336139.2405184412</v>
      </c>
      <c r="N88" s="200">
        <f>IF(J92&lt;D11,0,VLOOKUP(J92,C99:P154,7))</f>
        <v>1336139.2405184412</v>
      </c>
      <c r="O88" s="201">
        <f>+N88-M88</f>
        <v>0</v>
      </c>
      <c r="P88" s="1"/>
    </row>
    <row r="89" spans="1:16" ht="13.5" thickBot="1">
      <c r="C89" s="121" t="s">
        <v>79</v>
      </c>
      <c r="D89" s="246" t="str">
        <f>+D7</f>
        <v>Ellerbe Rd-S Shreveport 69 kv Build</v>
      </c>
      <c r="E89" s="1"/>
      <c r="F89" s="1"/>
      <c r="G89" s="1"/>
      <c r="H89" s="1"/>
      <c r="I89" s="3"/>
      <c r="J89" s="3"/>
      <c r="K89" s="262"/>
      <c r="L89" s="260" t="s">
        <v>151</v>
      </c>
      <c r="M89" s="203">
        <f>+M88-M87</f>
        <v>-16915.353336915839</v>
      </c>
      <c r="N89" s="203">
        <f>+N88-N87</f>
        <v>-16915.353336915839</v>
      </c>
      <c r="O89" s="204">
        <f>+O88-O87</f>
        <v>0</v>
      </c>
      <c r="P89" s="1"/>
    </row>
    <row r="90" spans="1:16" ht="13.5" thickBot="1">
      <c r="C90" s="170"/>
      <c r="D90" s="173" t="str">
        <f>D8</f>
        <v/>
      </c>
      <c r="E90" s="107"/>
      <c r="F90" s="107"/>
      <c r="G90" s="107"/>
      <c r="H90" s="126"/>
      <c r="I90" s="3"/>
      <c r="J90" s="3"/>
      <c r="K90" s="111"/>
      <c r="L90" s="3"/>
      <c r="M90" s="3"/>
      <c r="N90" s="3"/>
      <c r="O90" s="111"/>
      <c r="P90" s="1"/>
    </row>
    <row r="91" spans="1:16" ht="13.5" thickBot="1">
      <c r="A91" s="103"/>
      <c r="C91" s="205" t="s">
        <v>80</v>
      </c>
      <c r="D91" s="224" t="str">
        <f>+D9</f>
        <v>TP201154</v>
      </c>
      <c r="E91" s="206"/>
      <c r="F91" s="206"/>
      <c r="G91" s="206"/>
      <c r="H91" s="206"/>
      <c r="I91" s="206"/>
      <c r="J91" s="206"/>
      <c r="K91" s="207"/>
      <c r="P91" s="131"/>
    </row>
    <row r="92" spans="1:16">
      <c r="C92" s="136" t="s">
        <v>47</v>
      </c>
      <c r="D92" s="133">
        <v>9381463</v>
      </c>
      <c r="E92" s="21" t="s">
        <v>81</v>
      </c>
      <c r="H92" s="134"/>
      <c r="I92" s="134"/>
      <c r="J92" s="135">
        <f>+'SWE.WS.G.BPU.ATRR.True-up'!M15</f>
        <v>2017</v>
      </c>
      <c r="K92" s="130"/>
      <c r="L92" s="111" t="s">
        <v>82</v>
      </c>
      <c r="P92" s="4"/>
    </row>
    <row r="93" spans="1:16">
      <c r="C93" s="136" t="s">
        <v>49</v>
      </c>
      <c r="D93" s="219">
        <f>IF(D11=I10,"",D11)</f>
        <v>2016</v>
      </c>
      <c r="E93" s="136" t="s">
        <v>50</v>
      </c>
      <c r="F93" s="134"/>
      <c r="G93" s="134"/>
      <c r="J93" s="138">
        <f>IF(H87="",0,'SWE.WS.G.BPU.ATRR.True-up'!$F$12)</f>
        <v>0</v>
      </c>
      <c r="K93" s="139"/>
      <c r="L93" t="str">
        <f>"          INPUT TRUE-UP ARR (WITH &amp; WITHOUT INCENTIVES) FROM EACH PRIOR YEAR"</f>
        <v xml:space="preserve">          INPUT TRUE-UP ARR (WITH &amp; WITHOUT INCENTIVES) FROM EACH PRIOR YEAR</v>
      </c>
      <c r="P93" s="4"/>
    </row>
    <row r="94" spans="1:16">
      <c r="C94" s="136" t="s">
        <v>51</v>
      </c>
      <c r="D94" s="218">
        <f>IF(D11=I10,"",D12)</f>
        <v>4</v>
      </c>
      <c r="E94" s="136" t="s">
        <v>52</v>
      </c>
      <c r="F94" s="134"/>
      <c r="G94" s="134"/>
      <c r="J94" s="140">
        <f>'SWE.WS.G.BPU.ATRR.True-up'!$F$80</f>
        <v>0.12147145768398206</v>
      </c>
      <c r="K94" s="141"/>
      <c r="L94" t="s">
        <v>83</v>
      </c>
      <c r="P94" s="4"/>
    </row>
    <row r="95" spans="1:16">
      <c r="C95" s="136" t="s">
        <v>54</v>
      </c>
      <c r="D95" s="138">
        <f>'SWE.WS.G.BPU.ATRR.True-up'!F$92</f>
        <v>42</v>
      </c>
      <c r="E95" s="136" t="s">
        <v>55</v>
      </c>
      <c r="F95" s="134"/>
      <c r="G95" s="134"/>
      <c r="J95" s="140">
        <f>IF(H87="",J94,'SWE.WS.G.BPU.ATRR.True-up'!$F$79)</f>
        <v>0.12147145768398206</v>
      </c>
      <c r="K95" s="58"/>
      <c r="L95" s="111" t="s">
        <v>56</v>
      </c>
      <c r="M95" s="58"/>
      <c r="N95" s="58"/>
      <c r="O95" s="58"/>
      <c r="P95" s="4"/>
    </row>
    <row r="96" spans="1:16" ht="13.5" thickBot="1">
      <c r="C96" s="136" t="s">
        <v>57</v>
      </c>
      <c r="D96" s="220" t="str">
        <f>+D14</f>
        <v>No</v>
      </c>
      <c r="E96" s="202" t="s">
        <v>59</v>
      </c>
      <c r="F96" s="208"/>
      <c r="G96" s="208"/>
      <c r="H96" s="209"/>
      <c r="I96" s="209"/>
      <c r="J96" s="124">
        <f>IF(D92=0,0,D92/D95)</f>
        <v>223368.16666666666</v>
      </c>
      <c r="K96" s="111"/>
      <c r="L96" s="111"/>
      <c r="M96" s="111"/>
      <c r="N96" s="111"/>
      <c r="O96" s="111"/>
      <c r="P96" s="4"/>
    </row>
    <row r="97" spans="1:16" ht="38.25">
      <c r="A97" s="6"/>
      <c r="B97" s="6"/>
      <c r="C97" s="210" t="s">
        <v>47</v>
      </c>
      <c r="D97" s="211" t="s">
        <v>60</v>
      </c>
      <c r="E97" s="146" t="s">
        <v>61</v>
      </c>
      <c r="F97" s="146" t="s">
        <v>62</v>
      </c>
      <c r="G97" s="144" t="s">
        <v>84</v>
      </c>
      <c r="H97" s="434" t="s">
        <v>378</v>
      </c>
      <c r="I97" s="435" t="s">
        <v>379</v>
      </c>
      <c r="J97" s="210" t="s">
        <v>85</v>
      </c>
      <c r="K97" s="212"/>
      <c r="L97" s="271" t="s">
        <v>220</v>
      </c>
      <c r="M97" s="146" t="s">
        <v>86</v>
      </c>
      <c r="N97" s="271" t="s">
        <v>220</v>
      </c>
      <c r="O97" s="146" t="s">
        <v>86</v>
      </c>
      <c r="P97" s="146" t="s">
        <v>65</v>
      </c>
    </row>
    <row r="98" spans="1:16" ht="13.5" thickBot="1">
      <c r="C98" s="147" t="s">
        <v>66</v>
      </c>
      <c r="D98" s="213" t="s">
        <v>67</v>
      </c>
      <c r="E98" s="147" t="s">
        <v>68</v>
      </c>
      <c r="F98" s="147" t="s">
        <v>67</v>
      </c>
      <c r="G98" s="147" t="s">
        <v>67</v>
      </c>
      <c r="H98" s="255" t="s">
        <v>69</v>
      </c>
      <c r="I98" s="148" t="s">
        <v>70</v>
      </c>
      <c r="J98" s="149" t="s">
        <v>89</v>
      </c>
      <c r="K98" s="150"/>
      <c r="L98" s="151" t="s">
        <v>72</v>
      </c>
      <c r="M98" s="151" t="s">
        <v>72</v>
      </c>
      <c r="N98" s="151" t="s">
        <v>90</v>
      </c>
      <c r="O98" s="151" t="s">
        <v>90</v>
      </c>
      <c r="P98" s="151" t="s">
        <v>90</v>
      </c>
    </row>
    <row r="99" spans="1:16">
      <c r="C99" s="153">
        <f>IF(D93= "","-",D93)</f>
        <v>2016</v>
      </c>
      <c r="D99" s="387">
        <v>0</v>
      </c>
      <c r="E99" s="390">
        <v>109017.24418604652</v>
      </c>
      <c r="F99" s="389">
        <v>9266465.7558139544</v>
      </c>
      <c r="G99" s="455">
        <v>4633232.8779069772</v>
      </c>
      <c r="H99" s="456">
        <v>697206.10377359076</v>
      </c>
      <c r="I99" s="457">
        <v>697206.10377359076</v>
      </c>
      <c r="J99" s="158">
        <f t="shared" ref="J99:J130" si="10">+I99-H99</f>
        <v>0</v>
      </c>
      <c r="K99" s="158"/>
      <c r="L99" s="256">
        <v>697206.10377359076</v>
      </c>
      <c r="M99" s="172">
        <v>0</v>
      </c>
      <c r="N99" s="256">
        <v>697206.10377359076</v>
      </c>
      <c r="O99" s="172">
        <v>0</v>
      </c>
      <c r="P99" s="172">
        <v>0</v>
      </c>
    </row>
    <row r="100" spans="1:16">
      <c r="B100" s="9" t="str">
        <f>IF(D100=F99,"","IU")</f>
        <v>IU</v>
      </c>
      <c r="C100" s="153">
        <f>IF(D93="","-",+C99+1)</f>
        <v>2017</v>
      </c>
      <c r="D100" s="154">
        <f>IF(F99+SUM(E$99:E99)=D$92,F99,D$92-SUM(E$99:E99))</f>
        <v>9272445.7558139544</v>
      </c>
      <c r="E100" s="160">
        <f>IF(+J96&lt;F99,J96,D100)</f>
        <v>223368.16666666666</v>
      </c>
      <c r="F100" s="159">
        <f t="shared" ref="F100:F130" si="11">+D100-E100</f>
        <v>9049077.5891472884</v>
      </c>
      <c r="G100" s="159">
        <f t="shared" ref="G100:G130" si="12">+(F100+D100)/2</f>
        <v>9160761.6724806204</v>
      </c>
      <c r="H100" s="163">
        <f t="shared" ref="H100:H154" si="13">+J$94*G100+E100</f>
        <v>1336139.2405184412</v>
      </c>
      <c r="I100" s="253">
        <f t="shared" ref="I100:I154" si="14">+J$95*G100+E100</f>
        <v>1336139.2405184412</v>
      </c>
      <c r="J100" s="158">
        <f t="shared" si="10"/>
        <v>0</v>
      </c>
      <c r="K100" s="158"/>
      <c r="L100" s="334"/>
      <c r="M100" s="158">
        <f t="shared" ref="M100:M130" si="15">IF(L100&lt;&gt;0,+H100-L100,0)</f>
        <v>0</v>
      </c>
      <c r="N100" s="334"/>
      <c r="O100" s="158">
        <f t="shared" ref="O100:O130" si="16">IF(N100&lt;&gt;0,+I100-N100,0)</f>
        <v>0</v>
      </c>
      <c r="P100" s="158">
        <f t="shared" ref="P100:P130" si="17">+O100-M100</f>
        <v>0</v>
      </c>
    </row>
    <row r="101" spans="1:16">
      <c r="B101" s="9" t="str">
        <f t="shared" ref="B101:B154" si="18">IF(D101=F100,"","IU")</f>
        <v/>
      </c>
      <c r="C101" s="153">
        <f>IF(D93="","-",+C100+1)</f>
        <v>2018</v>
      </c>
      <c r="D101" s="154">
        <f>IF(F100+SUM(E$99:E100)=D$92,F100,D$92-SUM(E$99:E100))</f>
        <v>9049077.5891472884</v>
      </c>
      <c r="E101" s="160">
        <f>IF(+J96&lt;F100,J96,D101)</f>
        <v>223368.16666666666</v>
      </c>
      <c r="F101" s="159">
        <f t="shared" si="11"/>
        <v>8825709.4224806223</v>
      </c>
      <c r="G101" s="159">
        <f t="shared" si="12"/>
        <v>8937393.5058139563</v>
      </c>
      <c r="H101" s="163">
        <f t="shared" si="13"/>
        <v>1309006.3837132428</v>
      </c>
      <c r="I101" s="253">
        <f t="shared" si="14"/>
        <v>1309006.3837132428</v>
      </c>
      <c r="J101" s="158">
        <f t="shared" si="10"/>
        <v>0</v>
      </c>
      <c r="K101" s="158"/>
      <c r="L101" s="334"/>
      <c r="M101" s="158">
        <f t="shared" si="15"/>
        <v>0</v>
      </c>
      <c r="N101" s="334"/>
      <c r="O101" s="158">
        <f t="shared" si="16"/>
        <v>0</v>
      </c>
      <c r="P101" s="158">
        <f t="shared" si="17"/>
        <v>0</v>
      </c>
    </row>
    <row r="102" spans="1:16">
      <c r="B102" s="9" t="str">
        <f t="shared" si="18"/>
        <v/>
      </c>
      <c r="C102" s="153">
        <f>IF(D93="","-",+C101+1)</f>
        <v>2019</v>
      </c>
      <c r="D102" s="154">
        <f>IF(F101+SUM(E$99:E101)=D$92,F101,D$92-SUM(E$99:E101))</f>
        <v>8825709.4224806223</v>
      </c>
      <c r="E102" s="160">
        <f>IF(+J96&lt;F101,J96,D102)</f>
        <v>223368.16666666666</v>
      </c>
      <c r="F102" s="159">
        <f t="shared" si="11"/>
        <v>8602341.2558139563</v>
      </c>
      <c r="G102" s="159">
        <f t="shared" si="12"/>
        <v>8714025.3391472884</v>
      </c>
      <c r="H102" s="163">
        <f t="shared" si="13"/>
        <v>1281873.526908044</v>
      </c>
      <c r="I102" s="253">
        <f t="shared" si="14"/>
        <v>1281873.526908044</v>
      </c>
      <c r="J102" s="158">
        <f t="shared" si="10"/>
        <v>0</v>
      </c>
      <c r="K102" s="158"/>
      <c r="L102" s="334"/>
      <c r="M102" s="158">
        <f t="shared" si="15"/>
        <v>0</v>
      </c>
      <c r="N102" s="334"/>
      <c r="O102" s="158">
        <f t="shared" si="16"/>
        <v>0</v>
      </c>
      <c r="P102" s="158">
        <f t="shared" si="17"/>
        <v>0</v>
      </c>
    </row>
    <row r="103" spans="1:16">
      <c r="B103" s="9" t="str">
        <f t="shared" si="18"/>
        <v/>
      </c>
      <c r="C103" s="153">
        <f>IF(D93="","-",+C102+1)</f>
        <v>2020</v>
      </c>
      <c r="D103" s="154">
        <f>IF(F102+SUM(E$99:E102)=D$92,F102,D$92-SUM(E$99:E102))</f>
        <v>8602341.2558139563</v>
      </c>
      <c r="E103" s="160">
        <f>IF(+J96&lt;F102,J96,D103)</f>
        <v>223368.16666666666</v>
      </c>
      <c r="F103" s="159">
        <f t="shared" si="11"/>
        <v>8378973.0891472893</v>
      </c>
      <c r="G103" s="159">
        <f t="shared" si="12"/>
        <v>8490657.1724806223</v>
      </c>
      <c r="H103" s="163">
        <f t="shared" si="13"/>
        <v>1254740.6701028454</v>
      </c>
      <c r="I103" s="253">
        <f t="shared" si="14"/>
        <v>1254740.6701028454</v>
      </c>
      <c r="J103" s="158">
        <f t="shared" si="10"/>
        <v>0</v>
      </c>
      <c r="K103" s="158"/>
      <c r="L103" s="334"/>
      <c r="M103" s="158">
        <f t="shared" si="15"/>
        <v>0</v>
      </c>
      <c r="N103" s="334"/>
      <c r="O103" s="158">
        <f t="shared" si="16"/>
        <v>0</v>
      </c>
      <c r="P103" s="158">
        <f t="shared" si="17"/>
        <v>0</v>
      </c>
    </row>
    <row r="104" spans="1:16">
      <c r="B104" s="9" t="str">
        <f t="shared" si="18"/>
        <v/>
      </c>
      <c r="C104" s="153">
        <f>IF(D93="","-",+C103+1)</f>
        <v>2021</v>
      </c>
      <c r="D104" s="154">
        <f>IF(F103+SUM(E$99:E103)=D$92,F103,D$92-SUM(E$99:E103))</f>
        <v>8378973.0891472893</v>
      </c>
      <c r="E104" s="160">
        <f>IF(+J96&lt;F103,J96,D104)</f>
        <v>223368.16666666666</v>
      </c>
      <c r="F104" s="159">
        <f t="shared" si="11"/>
        <v>8155604.9224806223</v>
      </c>
      <c r="G104" s="159">
        <f t="shared" si="12"/>
        <v>8267289.0058139563</v>
      </c>
      <c r="H104" s="163">
        <f t="shared" si="13"/>
        <v>1227607.8132976468</v>
      </c>
      <c r="I104" s="253">
        <f t="shared" si="14"/>
        <v>1227607.8132976468</v>
      </c>
      <c r="J104" s="158">
        <f t="shared" si="10"/>
        <v>0</v>
      </c>
      <c r="K104" s="158"/>
      <c r="L104" s="334"/>
      <c r="M104" s="158">
        <f t="shared" si="15"/>
        <v>0</v>
      </c>
      <c r="N104" s="334"/>
      <c r="O104" s="158">
        <f t="shared" si="16"/>
        <v>0</v>
      </c>
      <c r="P104" s="158">
        <f t="shared" si="17"/>
        <v>0</v>
      </c>
    </row>
    <row r="105" spans="1:16">
      <c r="B105" s="9" t="str">
        <f t="shared" si="18"/>
        <v/>
      </c>
      <c r="C105" s="153">
        <f>IF(D93="","-",+C104+1)</f>
        <v>2022</v>
      </c>
      <c r="D105" s="154">
        <f>IF(F104+SUM(E$99:E104)=D$92,F104,D$92-SUM(E$99:E104))</f>
        <v>8155604.9224806223</v>
      </c>
      <c r="E105" s="160">
        <f>IF(+J96&lt;F104,J96,D105)</f>
        <v>223368.16666666666</v>
      </c>
      <c r="F105" s="159">
        <f t="shared" si="11"/>
        <v>7932236.7558139553</v>
      </c>
      <c r="G105" s="159">
        <f t="shared" si="12"/>
        <v>8043920.8391472884</v>
      </c>
      <c r="H105" s="163">
        <f t="shared" si="13"/>
        <v>1200474.956492448</v>
      </c>
      <c r="I105" s="253">
        <f t="shared" si="14"/>
        <v>1200474.956492448</v>
      </c>
      <c r="J105" s="158">
        <f t="shared" si="10"/>
        <v>0</v>
      </c>
      <c r="K105" s="158"/>
      <c r="L105" s="334"/>
      <c r="M105" s="158">
        <f t="shared" si="15"/>
        <v>0</v>
      </c>
      <c r="N105" s="334"/>
      <c r="O105" s="158">
        <f t="shared" si="16"/>
        <v>0</v>
      </c>
      <c r="P105" s="158">
        <f t="shared" si="17"/>
        <v>0</v>
      </c>
    </row>
    <row r="106" spans="1:16">
      <c r="B106" s="9" t="str">
        <f t="shared" si="18"/>
        <v/>
      </c>
      <c r="C106" s="153">
        <f>IF(D93="","-",+C105+1)</f>
        <v>2023</v>
      </c>
      <c r="D106" s="154">
        <f>IF(F105+SUM(E$99:E105)=D$92,F105,D$92-SUM(E$99:E105))</f>
        <v>7932236.7558139553</v>
      </c>
      <c r="E106" s="160">
        <f>IF(+J96&lt;F105,J96,D106)</f>
        <v>223368.16666666666</v>
      </c>
      <c r="F106" s="159">
        <f t="shared" si="11"/>
        <v>7708868.5891472884</v>
      </c>
      <c r="G106" s="159">
        <f t="shared" si="12"/>
        <v>7820552.6724806223</v>
      </c>
      <c r="H106" s="163">
        <f t="shared" si="13"/>
        <v>1173342.0996872494</v>
      </c>
      <c r="I106" s="253">
        <f t="shared" si="14"/>
        <v>1173342.0996872494</v>
      </c>
      <c r="J106" s="158">
        <f t="shared" si="10"/>
        <v>0</v>
      </c>
      <c r="K106" s="158"/>
      <c r="L106" s="334"/>
      <c r="M106" s="158">
        <f t="shared" si="15"/>
        <v>0</v>
      </c>
      <c r="N106" s="334"/>
      <c r="O106" s="158">
        <f t="shared" si="16"/>
        <v>0</v>
      </c>
      <c r="P106" s="158">
        <f t="shared" si="17"/>
        <v>0</v>
      </c>
    </row>
    <row r="107" spans="1:16">
      <c r="B107" s="9" t="str">
        <f t="shared" si="18"/>
        <v/>
      </c>
      <c r="C107" s="153">
        <f>IF(D93="","-",+C106+1)</f>
        <v>2024</v>
      </c>
      <c r="D107" s="154">
        <f>IF(F106+SUM(E$99:E106)=D$92,F106,D$92-SUM(E$99:E106))</f>
        <v>7708868.5891472884</v>
      </c>
      <c r="E107" s="160">
        <f>IF(+J96&lt;F106,J96,D107)</f>
        <v>223368.16666666666</v>
      </c>
      <c r="F107" s="159">
        <f t="shared" si="11"/>
        <v>7485500.4224806214</v>
      </c>
      <c r="G107" s="159">
        <f t="shared" si="12"/>
        <v>7597184.5058139544</v>
      </c>
      <c r="H107" s="163">
        <f t="shared" si="13"/>
        <v>1146209.2428820506</v>
      </c>
      <c r="I107" s="253">
        <f t="shared" si="14"/>
        <v>1146209.2428820506</v>
      </c>
      <c r="J107" s="158">
        <f t="shared" si="10"/>
        <v>0</v>
      </c>
      <c r="K107" s="158"/>
      <c r="L107" s="334"/>
      <c r="M107" s="158">
        <f t="shared" si="15"/>
        <v>0</v>
      </c>
      <c r="N107" s="334"/>
      <c r="O107" s="158">
        <f t="shared" si="16"/>
        <v>0</v>
      </c>
      <c r="P107" s="158">
        <f t="shared" si="17"/>
        <v>0</v>
      </c>
    </row>
    <row r="108" spans="1:16">
      <c r="B108" s="9" t="str">
        <f t="shared" si="18"/>
        <v/>
      </c>
      <c r="C108" s="153">
        <f>IF(D93="","-",+C107+1)</f>
        <v>2025</v>
      </c>
      <c r="D108" s="154">
        <f>IF(F107+SUM(E$99:E107)=D$92,F107,D$92-SUM(E$99:E107))</f>
        <v>7485500.4224806214</v>
      </c>
      <c r="E108" s="160">
        <f>IF(+J96&lt;F107,J96,D108)</f>
        <v>223368.16666666666</v>
      </c>
      <c r="F108" s="159">
        <f t="shared" si="11"/>
        <v>7262132.2558139544</v>
      </c>
      <c r="G108" s="159">
        <f t="shared" si="12"/>
        <v>7373816.3391472884</v>
      </c>
      <c r="H108" s="163">
        <f t="shared" si="13"/>
        <v>1119076.386076852</v>
      </c>
      <c r="I108" s="253">
        <f t="shared" si="14"/>
        <v>1119076.386076852</v>
      </c>
      <c r="J108" s="158">
        <f t="shared" si="10"/>
        <v>0</v>
      </c>
      <c r="K108" s="158"/>
      <c r="L108" s="334"/>
      <c r="M108" s="158">
        <f t="shared" si="15"/>
        <v>0</v>
      </c>
      <c r="N108" s="334"/>
      <c r="O108" s="158">
        <f t="shared" si="16"/>
        <v>0</v>
      </c>
      <c r="P108" s="158">
        <f t="shared" si="17"/>
        <v>0</v>
      </c>
    </row>
    <row r="109" spans="1:16">
      <c r="B109" s="9" t="str">
        <f t="shared" si="18"/>
        <v/>
      </c>
      <c r="C109" s="153">
        <f>IF(D93="","-",+C108+1)</f>
        <v>2026</v>
      </c>
      <c r="D109" s="154">
        <f>IF(F108+SUM(E$99:E108)=D$92,F108,D$92-SUM(E$99:E108))</f>
        <v>7262132.2558139544</v>
      </c>
      <c r="E109" s="160">
        <f>IF(+J96&lt;F108,J96,D109)</f>
        <v>223368.16666666666</v>
      </c>
      <c r="F109" s="159">
        <f t="shared" si="11"/>
        <v>7038764.0891472874</v>
      </c>
      <c r="G109" s="159">
        <f t="shared" si="12"/>
        <v>7150448.1724806204</v>
      </c>
      <c r="H109" s="163">
        <f t="shared" si="13"/>
        <v>1091943.5292716532</v>
      </c>
      <c r="I109" s="253">
        <f t="shared" si="14"/>
        <v>1091943.5292716532</v>
      </c>
      <c r="J109" s="158">
        <f t="shared" si="10"/>
        <v>0</v>
      </c>
      <c r="K109" s="158"/>
      <c r="L109" s="334"/>
      <c r="M109" s="158">
        <f t="shared" si="15"/>
        <v>0</v>
      </c>
      <c r="N109" s="334"/>
      <c r="O109" s="158">
        <f t="shared" si="16"/>
        <v>0</v>
      </c>
      <c r="P109" s="158">
        <f t="shared" si="17"/>
        <v>0</v>
      </c>
    </row>
    <row r="110" spans="1:16">
      <c r="B110" s="9" t="str">
        <f t="shared" si="18"/>
        <v/>
      </c>
      <c r="C110" s="153">
        <f>IF(D93="","-",+C109+1)</f>
        <v>2027</v>
      </c>
      <c r="D110" s="154">
        <f>IF(F109+SUM(E$99:E109)=D$92,F109,D$92-SUM(E$99:E109))</f>
        <v>7038764.0891472874</v>
      </c>
      <c r="E110" s="160">
        <f>IF(+J96&lt;F109,J96,D110)</f>
        <v>223368.16666666666</v>
      </c>
      <c r="F110" s="159">
        <f t="shared" si="11"/>
        <v>6815395.9224806204</v>
      </c>
      <c r="G110" s="159">
        <f t="shared" si="12"/>
        <v>6927080.0058139544</v>
      </c>
      <c r="H110" s="163">
        <f t="shared" si="13"/>
        <v>1064810.6724664546</v>
      </c>
      <c r="I110" s="253">
        <f t="shared" si="14"/>
        <v>1064810.6724664546</v>
      </c>
      <c r="J110" s="158">
        <f t="shared" si="10"/>
        <v>0</v>
      </c>
      <c r="K110" s="158"/>
      <c r="L110" s="334"/>
      <c r="M110" s="158">
        <f t="shared" si="15"/>
        <v>0</v>
      </c>
      <c r="N110" s="334"/>
      <c r="O110" s="158">
        <f t="shared" si="16"/>
        <v>0</v>
      </c>
      <c r="P110" s="158">
        <f t="shared" si="17"/>
        <v>0</v>
      </c>
    </row>
    <row r="111" spans="1:16">
      <c r="B111" s="9" t="str">
        <f t="shared" si="18"/>
        <v/>
      </c>
      <c r="C111" s="153">
        <f>IF(D93="","-",+C110+1)</f>
        <v>2028</v>
      </c>
      <c r="D111" s="154">
        <f>IF(F110+SUM(E$99:E110)=D$92,F110,D$92-SUM(E$99:E110))</f>
        <v>6815395.9224806204</v>
      </c>
      <c r="E111" s="160">
        <f>IF(+J96&lt;F110,J96,D111)</f>
        <v>223368.16666666666</v>
      </c>
      <c r="F111" s="159">
        <f t="shared" si="11"/>
        <v>6592027.7558139535</v>
      </c>
      <c r="G111" s="159">
        <f t="shared" si="12"/>
        <v>6703711.8391472865</v>
      </c>
      <c r="H111" s="163">
        <f t="shared" si="13"/>
        <v>1037677.8156612557</v>
      </c>
      <c r="I111" s="253">
        <f t="shared" si="14"/>
        <v>1037677.8156612557</v>
      </c>
      <c r="J111" s="158">
        <f t="shared" si="10"/>
        <v>0</v>
      </c>
      <c r="K111" s="158"/>
      <c r="L111" s="334"/>
      <c r="M111" s="158">
        <f t="shared" si="15"/>
        <v>0</v>
      </c>
      <c r="N111" s="334"/>
      <c r="O111" s="158">
        <f t="shared" si="16"/>
        <v>0</v>
      </c>
      <c r="P111" s="158">
        <f t="shared" si="17"/>
        <v>0</v>
      </c>
    </row>
    <row r="112" spans="1:16">
      <c r="B112" s="9" t="str">
        <f t="shared" si="18"/>
        <v/>
      </c>
      <c r="C112" s="153">
        <f>IF(D93="","-",+C111+1)</f>
        <v>2029</v>
      </c>
      <c r="D112" s="154">
        <f>IF(F111+SUM(E$99:E111)=D$92,F111,D$92-SUM(E$99:E111))</f>
        <v>6592027.7558139535</v>
      </c>
      <c r="E112" s="160">
        <f>IF(+J96&lt;F111,J96,D112)</f>
        <v>223368.16666666666</v>
      </c>
      <c r="F112" s="159">
        <f t="shared" si="11"/>
        <v>6368659.5891472865</v>
      </c>
      <c r="G112" s="159">
        <f t="shared" si="12"/>
        <v>6480343.6724806204</v>
      </c>
      <c r="H112" s="163">
        <f t="shared" si="13"/>
        <v>1010544.9588560571</v>
      </c>
      <c r="I112" s="253">
        <f t="shared" si="14"/>
        <v>1010544.9588560571</v>
      </c>
      <c r="J112" s="158">
        <f t="shared" si="10"/>
        <v>0</v>
      </c>
      <c r="K112" s="158"/>
      <c r="L112" s="334"/>
      <c r="M112" s="158">
        <f t="shared" si="15"/>
        <v>0</v>
      </c>
      <c r="N112" s="334"/>
      <c r="O112" s="158">
        <f t="shared" si="16"/>
        <v>0</v>
      </c>
      <c r="P112" s="158">
        <f t="shared" si="17"/>
        <v>0</v>
      </c>
    </row>
    <row r="113" spans="2:16">
      <c r="B113" s="9" t="str">
        <f t="shared" si="18"/>
        <v/>
      </c>
      <c r="C113" s="153">
        <f>IF(D93="","-",+C112+1)</f>
        <v>2030</v>
      </c>
      <c r="D113" s="154">
        <f>IF(F112+SUM(E$99:E112)=D$92,F112,D$92-SUM(E$99:E112))</f>
        <v>6368659.5891472865</v>
      </c>
      <c r="E113" s="160">
        <f>IF(+J96&lt;F112,J96,D113)</f>
        <v>223368.16666666666</v>
      </c>
      <c r="F113" s="159">
        <f t="shared" si="11"/>
        <v>6145291.4224806195</v>
      </c>
      <c r="G113" s="159">
        <f t="shared" si="12"/>
        <v>6256975.5058139525</v>
      </c>
      <c r="H113" s="163">
        <f t="shared" si="13"/>
        <v>983412.10205085843</v>
      </c>
      <c r="I113" s="253">
        <f t="shared" si="14"/>
        <v>983412.10205085843</v>
      </c>
      <c r="J113" s="158">
        <f t="shared" si="10"/>
        <v>0</v>
      </c>
      <c r="K113" s="158"/>
      <c r="L113" s="334"/>
      <c r="M113" s="158">
        <f t="shared" si="15"/>
        <v>0</v>
      </c>
      <c r="N113" s="334"/>
      <c r="O113" s="158">
        <f t="shared" si="16"/>
        <v>0</v>
      </c>
      <c r="P113" s="158">
        <f t="shared" si="17"/>
        <v>0</v>
      </c>
    </row>
    <row r="114" spans="2:16">
      <c r="B114" s="9" t="str">
        <f t="shared" si="18"/>
        <v/>
      </c>
      <c r="C114" s="153">
        <f>IF(D93="","-",+C113+1)</f>
        <v>2031</v>
      </c>
      <c r="D114" s="154">
        <f>IF(F113+SUM(E$99:E113)=D$92,F113,D$92-SUM(E$99:E113))</f>
        <v>6145291.4224806195</v>
      </c>
      <c r="E114" s="160">
        <f>IF(+J96&lt;F113,J96,D114)</f>
        <v>223368.16666666666</v>
      </c>
      <c r="F114" s="159">
        <f t="shared" si="11"/>
        <v>5921923.2558139525</v>
      </c>
      <c r="G114" s="159">
        <f t="shared" si="12"/>
        <v>6033607.3391472865</v>
      </c>
      <c r="H114" s="163">
        <f t="shared" si="13"/>
        <v>956279.24524565984</v>
      </c>
      <c r="I114" s="253">
        <f t="shared" si="14"/>
        <v>956279.24524565984</v>
      </c>
      <c r="J114" s="158">
        <f t="shared" si="10"/>
        <v>0</v>
      </c>
      <c r="K114" s="158"/>
      <c r="L114" s="334"/>
      <c r="M114" s="158">
        <f t="shared" si="15"/>
        <v>0</v>
      </c>
      <c r="N114" s="334"/>
      <c r="O114" s="158">
        <f t="shared" si="16"/>
        <v>0</v>
      </c>
      <c r="P114" s="158">
        <f t="shared" si="17"/>
        <v>0</v>
      </c>
    </row>
    <row r="115" spans="2:16">
      <c r="B115" s="9" t="str">
        <f t="shared" si="18"/>
        <v/>
      </c>
      <c r="C115" s="153">
        <f>IF(D93="","-",+C114+1)</f>
        <v>2032</v>
      </c>
      <c r="D115" s="154">
        <f>IF(F114+SUM(E$99:E114)=D$92,F114,D$92-SUM(E$99:E114))</f>
        <v>5921923.2558139525</v>
      </c>
      <c r="E115" s="160">
        <f>IF(+J96&lt;F114,J96,D115)</f>
        <v>223368.16666666666</v>
      </c>
      <c r="F115" s="159">
        <f t="shared" si="11"/>
        <v>5698555.0891472856</v>
      </c>
      <c r="G115" s="159">
        <f t="shared" si="12"/>
        <v>5810239.1724806186</v>
      </c>
      <c r="H115" s="163">
        <f t="shared" si="13"/>
        <v>929146.38844046101</v>
      </c>
      <c r="I115" s="253">
        <f t="shared" si="14"/>
        <v>929146.38844046101</v>
      </c>
      <c r="J115" s="158">
        <f t="shared" si="10"/>
        <v>0</v>
      </c>
      <c r="K115" s="158"/>
      <c r="L115" s="334"/>
      <c r="M115" s="158">
        <f t="shared" si="15"/>
        <v>0</v>
      </c>
      <c r="N115" s="334"/>
      <c r="O115" s="158">
        <f t="shared" si="16"/>
        <v>0</v>
      </c>
      <c r="P115" s="158">
        <f t="shared" si="17"/>
        <v>0</v>
      </c>
    </row>
    <row r="116" spans="2:16">
      <c r="B116" s="9" t="str">
        <f t="shared" si="18"/>
        <v/>
      </c>
      <c r="C116" s="153">
        <f>IF(D93="","-",+C115+1)</f>
        <v>2033</v>
      </c>
      <c r="D116" s="154">
        <f>IF(F115+SUM(E$99:E115)=D$92,F115,D$92-SUM(E$99:E115))</f>
        <v>5698555.0891472856</v>
      </c>
      <c r="E116" s="160">
        <f>IF(+J96&lt;F115,J96,D116)</f>
        <v>223368.16666666666</v>
      </c>
      <c r="F116" s="159">
        <f t="shared" si="11"/>
        <v>5475186.9224806186</v>
      </c>
      <c r="G116" s="159">
        <f t="shared" si="12"/>
        <v>5586871.0058139525</v>
      </c>
      <c r="H116" s="163">
        <f t="shared" si="13"/>
        <v>902013.53163526242</v>
      </c>
      <c r="I116" s="253">
        <f t="shared" si="14"/>
        <v>902013.53163526242</v>
      </c>
      <c r="J116" s="158">
        <f t="shared" si="10"/>
        <v>0</v>
      </c>
      <c r="K116" s="158"/>
      <c r="L116" s="334"/>
      <c r="M116" s="158">
        <f t="shared" si="15"/>
        <v>0</v>
      </c>
      <c r="N116" s="334"/>
      <c r="O116" s="158">
        <f t="shared" si="16"/>
        <v>0</v>
      </c>
      <c r="P116" s="158">
        <f t="shared" si="17"/>
        <v>0</v>
      </c>
    </row>
    <row r="117" spans="2:16">
      <c r="B117" s="9" t="str">
        <f t="shared" si="18"/>
        <v/>
      </c>
      <c r="C117" s="153">
        <f>IF(D93="","-",+C116+1)</f>
        <v>2034</v>
      </c>
      <c r="D117" s="154">
        <f>IF(F116+SUM(E$99:E116)=D$92,F116,D$92-SUM(E$99:E116))</f>
        <v>5475186.9224806186</v>
      </c>
      <c r="E117" s="160">
        <f>IF(+J96&lt;F116,J96,D117)</f>
        <v>223368.16666666666</v>
      </c>
      <c r="F117" s="159">
        <f t="shared" si="11"/>
        <v>5251818.7558139516</v>
      </c>
      <c r="G117" s="159">
        <f t="shared" si="12"/>
        <v>5363502.8391472846</v>
      </c>
      <c r="H117" s="163">
        <f t="shared" si="13"/>
        <v>874880.6748300636</v>
      </c>
      <c r="I117" s="253">
        <f t="shared" si="14"/>
        <v>874880.6748300636</v>
      </c>
      <c r="J117" s="158">
        <f t="shared" si="10"/>
        <v>0</v>
      </c>
      <c r="K117" s="158"/>
      <c r="L117" s="334"/>
      <c r="M117" s="158">
        <f t="shared" si="15"/>
        <v>0</v>
      </c>
      <c r="N117" s="334"/>
      <c r="O117" s="158">
        <f t="shared" si="16"/>
        <v>0</v>
      </c>
      <c r="P117" s="158">
        <f t="shared" si="17"/>
        <v>0</v>
      </c>
    </row>
    <row r="118" spans="2:16">
      <c r="B118" s="9" t="str">
        <f t="shared" si="18"/>
        <v/>
      </c>
      <c r="C118" s="153">
        <f>IF(D93="","-",+C117+1)</f>
        <v>2035</v>
      </c>
      <c r="D118" s="154">
        <f>IF(F117+SUM(E$99:E117)=D$92,F117,D$92-SUM(E$99:E117))</f>
        <v>5251818.7558139516</v>
      </c>
      <c r="E118" s="160">
        <f>IF(+J96&lt;F117,J96,D118)</f>
        <v>223368.16666666666</v>
      </c>
      <c r="F118" s="159">
        <f t="shared" si="11"/>
        <v>5028450.5891472846</v>
      </c>
      <c r="G118" s="159">
        <f t="shared" si="12"/>
        <v>5140134.6724806186</v>
      </c>
      <c r="H118" s="163">
        <f t="shared" si="13"/>
        <v>847747.818024865</v>
      </c>
      <c r="I118" s="253">
        <f t="shared" si="14"/>
        <v>847747.818024865</v>
      </c>
      <c r="J118" s="158">
        <f t="shared" si="10"/>
        <v>0</v>
      </c>
      <c r="K118" s="158"/>
      <c r="L118" s="334"/>
      <c r="M118" s="158">
        <f t="shared" si="15"/>
        <v>0</v>
      </c>
      <c r="N118" s="334"/>
      <c r="O118" s="158">
        <f t="shared" si="16"/>
        <v>0</v>
      </c>
      <c r="P118" s="158">
        <f t="shared" si="17"/>
        <v>0</v>
      </c>
    </row>
    <row r="119" spans="2:16">
      <c r="B119" s="9" t="str">
        <f t="shared" si="18"/>
        <v/>
      </c>
      <c r="C119" s="153">
        <f>IF(D93="","-",+C118+1)</f>
        <v>2036</v>
      </c>
      <c r="D119" s="154">
        <f>IF(F118+SUM(E$99:E118)=D$92,F118,D$92-SUM(E$99:E118))</f>
        <v>5028450.5891472846</v>
      </c>
      <c r="E119" s="160">
        <f>IF(+J96&lt;F118,J96,D119)</f>
        <v>223368.16666666666</v>
      </c>
      <c r="F119" s="159">
        <f t="shared" si="11"/>
        <v>4805082.4224806176</v>
      </c>
      <c r="G119" s="159">
        <f t="shared" si="12"/>
        <v>4916766.5058139507</v>
      </c>
      <c r="H119" s="163">
        <f t="shared" si="13"/>
        <v>820614.96121966629</v>
      </c>
      <c r="I119" s="253">
        <f t="shared" si="14"/>
        <v>820614.96121966629</v>
      </c>
      <c r="J119" s="158">
        <f t="shared" si="10"/>
        <v>0</v>
      </c>
      <c r="K119" s="158"/>
      <c r="L119" s="334"/>
      <c r="M119" s="158">
        <f t="shared" si="15"/>
        <v>0</v>
      </c>
      <c r="N119" s="334"/>
      <c r="O119" s="158">
        <f t="shared" si="16"/>
        <v>0</v>
      </c>
      <c r="P119" s="158">
        <f t="shared" si="17"/>
        <v>0</v>
      </c>
    </row>
    <row r="120" spans="2:16">
      <c r="B120" s="9" t="str">
        <f t="shared" si="18"/>
        <v/>
      </c>
      <c r="C120" s="153">
        <f>IF(D93="","-",+C119+1)</f>
        <v>2037</v>
      </c>
      <c r="D120" s="154">
        <f>IF(F119+SUM(E$99:E119)=D$92,F119,D$92-SUM(E$99:E119))</f>
        <v>4805082.4224806176</v>
      </c>
      <c r="E120" s="160">
        <f>IF(+J96&lt;F119,J96,D120)</f>
        <v>223368.16666666666</v>
      </c>
      <c r="F120" s="159">
        <f t="shared" si="11"/>
        <v>4581714.2558139507</v>
      </c>
      <c r="G120" s="159">
        <f t="shared" si="12"/>
        <v>4693398.3391472846</v>
      </c>
      <c r="H120" s="163">
        <f t="shared" si="13"/>
        <v>793482.1044144677</v>
      </c>
      <c r="I120" s="253">
        <f t="shared" si="14"/>
        <v>793482.1044144677</v>
      </c>
      <c r="J120" s="158">
        <f t="shared" si="10"/>
        <v>0</v>
      </c>
      <c r="K120" s="158"/>
      <c r="L120" s="334"/>
      <c r="M120" s="158">
        <f t="shared" si="15"/>
        <v>0</v>
      </c>
      <c r="N120" s="334"/>
      <c r="O120" s="158">
        <f t="shared" si="16"/>
        <v>0</v>
      </c>
      <c r="P120" s="158">
        <f t="shared" si="17"/>
        <v>0</v>
      </c>
    </row>
    <row r="121" spans="2:16">
      <c r="B121" s="9" t="str">
        <f t="shared" si="18"/>
        <v/>
      </c>
      <c r="C121" s="153">
        <f>IF(D93="","-",+C120+1)</f>
        <v>2038</v>
      </c>
      <c r="D121" s="154">
        <f>IF(F120+SUM(E$99:E120)=D$92,F120,D$92-SUM(E$99:E120))</f>
        <v>4581714.2558139507</v>
      </c>
      <c r="E121" s="160">
        <f>IF(+J96&lt;F120,J96,D121)</f>
        <v>223368.16666666666</v>
      </c>
      <c r="F121" s="159">
        <f t="shared" si="11"/>
        <v>4358346.0891472837</v>
      </c>
      <c r="G121" s="159">
        <f t="shared" si="12"/>
        <v>4470030.1724806167</v>
      </c>
      <c r="H121" s="163">
        <f t="shared" si="13"/>
        <v>766349.24760926887</v>
      </c>
      <c r="I121" s="253">
        <f t="shared" si="14"/>
        <v>766349.24760926887</v>
      </c>
      <c r="J121" s="158">
        <f t="shared" si="10"/>
        <v>0</v>
      </c>
      <c r="K121" s="158"/>
      <c r="L121" s="334"/>
      <c r="M121" s="158">
        <f t="shared" si="15"/>
        <v>0</v>
      </c>
      <c r="N121" s="334"/>
      <c r="O121" s="158">
        <f t="shared" si="16"/>
        <v>0</v>
      </c>
      <c r="P121" s="158">
        <f t="shared" si="17"/>
        <v>0</v>
      </c>
    </row>
    <row r="122" spans="2:16">
      <c r="B122" s="9" t="str">
        <f t="shared" si="18"/>
        <v/>
      </c>
      <c r="C122" s="153">
        <f>IF(D93="","-",+C121+1)</f>
        <v>2039</v>
      </c>
      <c r="D122" s="154">
        <f>IF(F121+SUM(E$99:E121)=D$92,F121,D$92-SUM(E$99:E121))</f>
        <v>4358346.0891472837</v>
      </c>
      <c r="E122" s="160">
        <f>IF(+J96&lt;F121,J96,D122)</f>
        <v>223368.16666666666</v>
      </c>
      <c r="F122" s="159">
        <f t="shared" si="11"/>
        <v>4134977.9224806172</v>
      </c>
      <c r="G122" s="159">
        <f t="shared" si="12"/>
        <v>4246662.0058139507</v>
      </c>
      <c r="H122" s="163">
        <f t="shared" si="13"/>
        <v>739216.39080407028</v>
      </c>
      <c r="I122" s="253">
        <f t="shared" si="14"/>
        <v>739216.39080407028</v>
      </c>
      <c r="J122" s="158">
        <f t="shared" si="10"/>
        <v>0</v>
      </c>
      <c r="K122" s="158"/>
      <c r="L122" s="334"/>
      <c r="M122" s="158">
        <f t="shared" si="15"/>
        <v>0</v>
      </c>
      <c r="N122" s="334"/>
      <c r="O122" s="158">
        <f t="shared" si="16"/>
        <v>0</v>
      </c>
      <c r="P122" s="158">
        <f t="shared" si="17"/>
        <v>0</v>
      </c>
    </row>
    <row r="123" spans="2:16">
      <c r="B123" s="9" t="str">
        <f t="shared" si="18"/>
        <v/>
      </c>
      <c r="C123" s="153">
        <f>IF(D93="","-",+C122+1)</f>
        <v>2040</v>
      </c>
      <c r="D123" s="154">
        <f>IF(F122+SUM(E$99:E122)=D$92,F122,D$92-SUM(E$99:E122))</f>
        <v>4134977.9224806172</v>
      </c>
      <c r="E123" s="160">
        <f>IF(+J96&lt;F122,J96,D123)</f>
        <v>223368.16666666666</v>
      </c>
      <c r="F123" s="159">
        <f t="shared" si="11"/>
        <v>3911609.7558139507</v>
      </c>
      <c r="G123" s="159">
        <f t="shared" si="12"/>
        <v>4023293.8391472837</v>
      </c>
      <c r="H123" s="163">
        <f t="shared" si="13"/>
        <v>712083.53399887169</v>
      </c>
      <c r="I123" s="253">
        <f t="shared" si="14"/>
        <v>712083.53399887169</v>
      </c>
      <c r="J123" s="158">
        <f t="shared" si="10"/>
        <v>0</v>
      </c>
      <c r="K123" s="158"/>
      <c r="L123" s="334"/>
      <c r="M123" s="158">
        <f t="shared" si="15"/>
        <v>0</v>
      </c>
      <c r="N123" s="334"/>
      <c r="O123" s="158">
        <f t="shared" si="16"/>
        <v>0</v>
      </c>
      <c r="P123" s="158">
        <f t="shared" si="17"/>
        <v>0</v>
      </c>
    </row>
    <row r="124" spans="2:16">
      <c r="B124" s="9" t="str">
        <f t="shared" si="18"/>
        <v/>
      </c>
      <c r="C124" s="153">
        <f>IF(D93="","-",+C123+1)</f>
        <v>2041</v>
      </c>
      <c r="D124" s="154">
        <f>IF(F123+SUM(E$99:E123)=D$92,F123,D$92-SUM(E$99:E123))</f>
        <v>3911609.7558139507</v>
      </c>
      <c r="E124" s="160">
        <f>IF(+J96&lt;F123,J96,D124)</f>
        <v>223368.16666666666</v>
      </c>
      <c r="F124" s="159">
        <f t="shared" si="11"/>
        <v>3688241.5891472842</v>
      </c>
      <c r="G124" s="159">
        <f t="shared" si="12"/>
        <v>3799925.6724806176</v>
      </c>
      <c r="H124" s="163">
        <f t="shared" si="13"/>
        <v>684950.67719367309</v>
      </c>
      <c r="I124" s="253">
        <f t="shared" si="14"/>
        <v>684950.67719367309</v>
      </c>
      <c r="J124" s="158">
        <f t="shared" si="10"/>
        <v>0</v>
      </c>
      <c r="K124" s="158"/>
      <c r="L124" s="334"/>
      <c r="M124" s="158">
        <f t="shared" si="15"/>
        <v>0</v>
      </c>
      <c r="N124" s="334"/>
      <c r="O124" s="158">
        <f t="shared" si="16"/>
        <v>0</v>
      </c>
      <c r="P124" s="158">
        <f t="shared" si="17"/>
        <v>0</v>
      </c>
    </row>
    <row r="125" spans="2:16">
      <c r="B125" s="9" t="str">
        <f t="shared" si="18"/>
        <v/>
      </c>
      <c r="C125" s="153">
        <f>IF(D93="","-",+C124+1)</f>
        <v>2042</v>
      </c>
      <c r="D125" s="154">
        <f>IF(F124+SUM(E$99:E124)=D$92,F124,D$92-SUM(E$99:E124))</f>
        <v>3688241.5891472842</v>
      </c>
      <c r="E125" s="160">
        <f>IF(+J96&lt;F124,J96,D125)</f>
        <v>223368.16666666666</v>
      </c>
      <c r="F125" s="159">
        <f t="shared" si="11"/>
        <v>3464873.4224806176</v>
      </c>
      <c r="G125" s="159">
        <f t="shared" si="12"/>
        <v>3576557.5058139507</v>
      </c>
      <c r="H125" s="163">
        <f t="shared" si="13"/>
        <v>657817.82038847439</v>
      </c>
      <c r="I125" s="253">
        <f t="shared" si="14"/>
        <v>657817.82038847439</v>
      </c>
      <c r="J125" s="158">
        <f t="shared" si="10"/>
        <v>0</v>
      </c>
      <c r="K125" s="158"/>
      <c r="L125" s="334"/>
      <c r="M125" s="158">
        <f t="shared" si="15"/>
        <v>0</v>
      </c>
      <c r="N125" s="334"/>
      <c r="O125" s="158">
        <f t="shared" si="16"/>
        <v>0</v>
      </c>
      <c r="P125" s="158">
        <f t="shared" si="17"/>
        <v>0</v>
      </c>
    </row>
    <row r="126" spans="2:16">
      <c r="B126" s="9" t="str">
        <f t="shared" si="18"/>
        <v/>
      </c>
      <c r="C126" s="153">
        <f>IF(D93="","-",+C125+1)</f>
        <v>2043</v>
      </c>
      <c r="D126" s="154">
        <f>IF(F125+SUM(E$99:E125)=D$92,F125,D$92-SUM(E$99:E125))</f>
        <v>3464873.4224806176</v>
      </c>
      <c r="E126" s="160">
        <f>IF(+J96&lt;F125,J96,D126)</f>
        <v>223368.16666666666</v>
      </c>
      <c r="F126" s="159">
        <f t="shared" si="11"/>
        <v>3241505.2558139511</v>
      </c>
      <c r="G126" s="159">
        <f t="shared" si="12"/>
        <v>3353189.3391472846</v>
      </c>
      <c r="H126" s="163">
        <f t="shared" si="13"/>
        <v>630684.96358327579</v>
      </c>
      <c r="I126" s="253">
        <f t="shared" si="14"/>
        <v>630684.96358327579</v>
      </c>
      <c r="J126" s="158">
        <f t="shared" si="10"/>
        <v>0</v>
      </c>
      <c r="K126" s="158"/>
      <c r="L126" s="334"/>
      <c r="M126" s="158">
        <f t="shared" si="15"/>
        <v>0</v>
      </c>
      <c r="N126" s="334"/>
      <c r="O126" s="158">
        <f t="shared" si="16"/>
        <v>0</v>
      </c>
      <c r="P126" s="158">
        <f t="shared" si="17"/>
        <v>0</v>
      </c>
    </row>
    <row r="127" spans="2:16">
      <c r="B127" s="9" t="str">
        <f t="shared" si="18"/>
        <v/>
      </c>
      <c r="C127" s="153">
        <f>IF(D93="","-",+C126+1)</f>
        <v>2044</v>
      </c>
      <c r="D127" s="154">
        <f>IF(F126+SUM(E$99:E126)=D$92,F126,D$92-SUM(E$99:E126))</f>
        <v>3241505.2558139511</v>
      </c>
      <c r="E127" s="160">
        <f>IF(+J96&lt;F126,J96,D127)</f>
        <v>223368.16666666666</v>
      </c>
      <c r="F127" s="159">
        <f t="shared" si="11"/>
        <v>3018137.0891472846</v>
      </c>
      <c r="G127" s="159">
        <f t="shared" si="12"/>
        <v>3129821.1724806176</v>
      </c>
      <c r="H127" s="163">
        <f t="shared" si="13"/>
        <v>603552.10677807708</v>
      </c>
      <c r="I127" s="253">
        <f t="shared" si="14"/>
        <v>603552.10677807708</v>
      </c>
      <c r="J127" s="158">
        <f t="shared" si="10"/>
        <v>0</v>
      </c>
      <c r="K127" s="158"/>
      <c r="L127" s="334"/>
      <c r="M127" s="158">
        <f t="shared" si="15"/>
        <v>0</v>
      </c>
      <c r="N127" s="334"/>
      <c r="O127" s="158">
        <f t="shared" si="16"/>
        <v>0</v>
      </c>
      <c r="P127" s="158">
        <f t="shared" si="17"/>
        <v>0</v>
      </c>
    </row>
    <row r="128" spans="2:16">
      <c r="B128" s="9" t="str">
        <f t="shared" si="18"/>
        <v/>
      </c>
      <c r="C128" s="153">
        <f>IF(D93="","-",+C127+1)</f>
        <v>2045</v>
      </c>
      <c r="D128" s="154">
        <f>IF(F127+SUM(E$99:E127)=D$92,F127,D$92-SUM(E$99:E127))</f>
        <v>3018137.0891472846</v>
      </c>
      <c r="E128" s="160">
        <f>IF(+J96&lt;F127,J96,D128)</f>
        <v>223368.16666666666</v>
      </c>
      <c r="F128" s="159">
        <f t="shared" si="11"/>
        <v>2794768.9224806181</v>
      </c>
      <c r="G128" s="159">
        <f t="shared" si="12"/>
        <v>2906453.0058139516</v>
      </c>
      <c r="H128" s="163">
        <f t="shared" si="13"/>
        <v>576419.24997287849</v>
      </c>
      <c r="I128" s="253">
        <f t="shared" si="14"/>
        <v>576419.24997287849</v>
      </c>
      <c r="J128" s="158">
        <f t="shared" si="10"/>
        <v>0</v>
      </c>
      <c r="K128" s="158"/>
      <c r="L128" s="334"/>
      <c r="M128" s="158">
        <f t="shared" si="15"/>
        <v>0</v>
      </c>
      <c r="N128" s="334"/>
      <c r="O128" s="158">
        <f t="shared" si="16"/>
        <v>0</v>
      </c>
      <c r="P128" s="158">
        <f t="shared" si="17"/>
        <v>0</v>
      </c>
    </row>
    <row r="129" spans="2:16">
      <c r="B129" s="9" t="str">
        <f t="shared" si="18"/>
        <v/>
      </c>
      <c r="C129" s="153">
        <f>IF(D93="","-",+C128+1)</f>
        <v>2046</v>
      </c>
      <c r="D129" s="154">
        <f>IF(F128+SUM(E$99:E128)=D$92,F128,D$92-SUM(E$99:E128))</f>
        <v>2794768.9224806181</v>
      </c>
      <c r="E129" s="160">
        <f>IF(+J96&lt;F128,J96,D129)</f>
        <v>223368.16666666666</v>
      </c>
      <c r="F129" s="159">
        <f t="shared" si="11"/>
        <v>2571400.7558139516</v>
      </c>
      <c r="G129" s="159">
        <f t="shared" si="12"/>
        <v>2683084.8391472846</v>
      </c>
      <c r="H129" s="163">
        <f t="shared" si="13"/>
        <v>549286.3931676799</v>
      </c>
      <c r="I129" s="253">
        <f t="shared" si="14"/>
        <v>549286.3931676799</v>
      </c>
      <c r="J129" s="158">
        <f t="shared" si="10"/>
        <v>0</v>
      </c>
      <c r="K129" s="158"/>
      <c r="L129" s="334"/>
      <c r="M129" s="158">
        <f t="shared" si="15"/>
        <v>0</v>
      </c>
      <c r="N129" s="334"/>
      <c r="O129" s="158">
        <f t="shared" si="16"/>
        <v>0</v>
      </c>
      <c r="P129" s="158">
        <f t="shared" si="17"/>
        <v>0</v>
      </c>
    </row>
    <row r="130" spans="2:16">
      <c r="B130" s="9" t="str">
        <f t="shared" si="18"/>
        <v/>
      </c>
      <c r="C130" s="153">
        <f>IF(D93="","-",+C129+1)</f>
        <v>2047</v>
      </c>
      <c r="D130" s="154">
        <f>IF(F129+SUM(E$99:E129)=D$92,F129,D$92-SUM(E$99:E129))</f>
        <v>2571400.7558139516</v>
      </c>
      <c r="E130" s="160">
        <f>IF(+J96&lt;F129,J96,D130)</f>
        <v>223368.16666666666</v>
      </c>
      <c r="F130" s="159">
        <f t="shared" si="11"/>
        <v>2348032.5891472851</v>
      </c>
      <c r="G130" s="159">
        <f t="shared" si="12"/>
        <v>2459716.6724806186</v>
      </c>
      <c r="H130" s="163">
        <f t="shared" si="13"/>
        <v>522153.5363624813</v>
      </c>
      <c r="I130" s="253">
        <f t="shared" si="14"/>
        <v>522153.5363624813</v>
      </c>
      <c r="J130" s="158">
        <f t="shared" si="10"/>
        <v>0</v>
      </c>
      <c r="K130" s="158"/>
      <c r="L130" s="334"/>
      <c r="M130" s="158">
        <f t="shared" si="15"/>
        <v>0</v>
      </c>
      <c r="N130" s="334"/>
      <c r="O130" s="158">
        <f t="shared" si="16"/>
        <v>0</v>
      </c>
      <c r="P130" s="158">
        <f t="shared" si="17"/>
        <v>0</v>
      </c>
    </row>
    <row r="131" spans="2:16">
      <c r="B131" s="9" t="str">
        <f t="shared" si="18"/>
        <v/>
      </c>
      <c r="C131" s="153">
        <f>IF(D93="","-",+C130+1)</f>
        <v>2048</v>
      </c>
      <c r="D131" s="154">
        <f>IF(F130+SUM(E$99:E130)=D$92,F130,D$92-SUM(E$99:E130))</f>
        <v>2348032.5891472851</v>
      </c>
      <c r="E131" s="160">
        <f>IF(+J96&lt;F130,J96,D131)</f>
        <v>223368.16666666666</v>
      </c>
      <c r="F131" s="159">
        <f t="shared" ref="F131:F154" si="19">+D131-E131</f>
        <v>2124664.4224806186</v>
      </c>
      <c r="G131" s="159">
        <f t="shared" ref="G131:G154" si="20">+(F131+D131)/2</f>
        <v>2236348.5058139516</v>
      </c>
      <c r="H131" s="163">
        <f t="shared" si="13"/>
        <v>495020.67955728259</v>
      </c>
      <c r="I131" s="253">
        <f t="shared" si="14"/>
        <v>495020.67955728259</v>
      </c>
      <c r="J131" s="158">
        <f t="shared" ref="J131:J154" si="21">+I541-H541</f>
        <v>0</v>
      </c>
      <c r="K131" s="158"/>
      <c r="L131" s="334"/>
      <c r="M131" s="158">
        <f t="shared" ref="M131:M154" si="22">IF(L541&lt;&gt;0,+H541-L541,0)</f>
        <v>0</v>
      </c>
      <c r="N131" s="334"/>
      <c r="O131" s="158">
        <f t="shared" ref="O131:O154" si="23">IF(N541&lt;&gt;0,+I541-N541,0)</f>
        <v>0</v>
      </c>
      <c r="P131" s="158">
        <f t="shared" ref="P131:P154" si="24">+O541-M541</f>
        <v>0</v>
      </c>
    </row>
    <row r="132" spans="2:16">
      <c r="B132" s="9" t="str">
        <f t="shared" si="18"/>
        <v/>
      </c>
      <c r="C132" s="153">
        <f>IF(D93="","-",+C131+1)</f>
        <v>2049</v>
      </c>
      <c r="D132" s="154">
        <f>IF(F131+SUM(E$99:E131)=D$92,F131,D$92-SUM(E$99:E131))</f>
        <v>2124664.4224806186</v>
      </c>
      <c r="E132" s="160">
        <f>IF(+J96&lt;F131,J96,D132)</f>
        <v>223368.16666666666</v>
      </c>
      <c r="F132" s="159">
        <f t="shared" si="19"/>
        <v>1901296.2558139518</v>
      </c>
      <c r="G132" s="159">
        <f t="shared" si="20"/>
        <v>2012980.3391472851</v>
      </c>
      <c r="H132" s="163">
        <f t="shared" si="13"/>
        <v>467887.82275208394</v>
      </c>
      <c r="I132" s="253">
        <f t="shared" si="14"/>
        <v>467887.82275208394</v>
      </c>
      <c r="J132" s="158">
        <f t="shared" si="21"/>
        <v>0</v>
      </c>
      <c r="K132" s="158"/>
      <c r="L132" s="334"/>
      <c r="M132" s="158">
        <f t="shared" si="22"/>
        <v>0</v>
      </c>
      <c r="N132" s="334"/>
      <c r="O132" s="158">
        <f t="shared" si="23"/>
        <v>0</v>
      </c>
      <c r="P132" s="158">
        <f t="shared" si="24"/>
        <v>0</v>
      </c>
    </row>
    <row r="133" spans="2:16">
      <c r="B133" s="9" t="str">
        <f t="shared" si="18"/>
        <v/>
      </c>
      <c r="C133" s="153">
        <f>IF(D93="","-",+C132+1)</f>
        <v>2050</v>
      </c>
      <c r="D133" s="154">
        <f>IF(F132+SUM(E$99:E132)=D$92,F132,D$92-SUM(E$99:E132))</f>
        <v>1901296.2558139518</v>
      </c>
      <c r="E133" s="160">
        <f>IF(+J96&lt;F132,J96,D133)</f>
        <v>223368.16666666666</v>
      </c>
      <c r="F133" s="159">
        <f t="shared" si="19"/>
        <v>1677928.0891472851</v>
      </c>
      <c r="G133" s="159">
        <f t="shared" si="20"/>
        <v>1789612.1724806186</v>
      </c>
      <c r="H133" s="163">
        <f t="shared" si="13"/>
        <v>440754.96594688529</v>
      </c>
      <c r="I133" s="253">
        <f t="shared" si="14"/>
        <v>440754.96594688529</v>
      </c>
      <c r="J133" s="158">
        <f t="shared" si="21"/>
        <v>0</v>
      </c>
      <c r="K133" s="158"/>
      <c r="L133" s="334"/>
      <c r="M133" s="158">
        <f t="shared" si="22"/>
        <v>0</v>
      </c>
      <c r="N133" s="334"/>
      <c r="O133" s="158">
        <f t="shared" si="23"/>
        <v>0</v>
      </c>
      <c r="P133" s="158">
        <f t="shared" si="24"/>
        <v>0</v>
      </c>
    </row>
    <row r="134" spans="2:16">
      <c r="B134" s="9" t="str">
        <f t="shared" si="18"/>
        <v/>
      </c>
      <c r="C134" s="153">
        <f>IF(D93="","-",+C133+1)</f>
        <v>2051</v>
      </c>
      <c r="D134" s="154">
        <f>IF(F133+SUM(E$99:E133)=D$92,F133,D$92-SUM(E$99:E133))</f>
        <v>1677928.0891472851</v>
      </c>
      <c r="E134" s="160">
        <f>IF(+J96&lt;F133,J96,D134)</f>
        <v>223368.16666666666</v>
      </c>
      <c r="F134" s="159">
        <f t="shared" si="19"/>
        <v>1454559.9224806183</v>
      </c>
      <c r="G134" s="159">
        <f t="shared" si="20"/>
        <v>1566244.0058139516</v>
      </c>
      <c r="H134" s="163">
        <f t="shared" si="13"/>
        <v>413622.10914168658</v>
      </c>
      <c r="I134" s="253">
        <f t="shared" si="14"/>
        <v>413622.10914168658</v>
      </c>
      <c r="J134" s="158">
        <f t="shared" si="21"/>
        <v>0</v>
      </c>
      <c r="K134" s="158"/>
      <c r="L134" s="334"/>
      <c r="M134" s="158">
        <f t="shared" si="22"/>
        <v>0</v>
      </c>
      <c r="N134" s="334"/>
      <c r="O134" s="158">
        <f t="shared" si="23"/>
        <v>0</v>
      </c>
      <c r="P134" s="158">
        <f t="shared" si="24"/>
        <v>0</v>
      </c>
    </row>
    <row r="135" spans="2:16">
      <c r="B135" s="9" t="str">
        <f t="shared" si="18"/>
        <v/>
      </c>
      <c r="C135" s="153">
        <f>IF(D93="","-",+C134+1)</f>
        <v>2052</v>
      </c>
      <c r="D135" s="154">
        <f>IF(F134+SUM(E$99:E134)=D$92,F134,D$92-SUM(E$99:E134))</f>
        <v>1454559.9224806183</v>
      </c>
      <c r="E135" s="160">
        <f>IF(+J96&lt;F134,J96,D135)</f>
        <v>223368.16666666666</v>
      </c>
      <c r="F135" s="159">
        <f t="shared" si="19"/>
        <v>1231191.7558139516</v>
      </c>
      <c r="G135" s="159">
        <f t="shared" si="20"/>
        <v>1342875.8391472851</v>
      </c>
      <c r="H135" s="163">
        <f t="shared" si="13"/>
        <v>386489.25233648799</v>
      </c>
      <c r="I135" s="253">
        <f t="shared" si="14"/>
        <v>386489.25233648799</v>
      </c>
      <c r="J135" s="158">
        <f t="shared" si="21"/>
        <v>0</v>
      </c>
      <c r="K135" s="158"/>
      <c r="L135" s="334"/>
      <c r="M135" s="158">
        <f t="shared" si="22"/>
        <v>0</v>
      </c>
      <c r="N135" s="334"/>
      <c r="O135" s="158">
        <f t="shared" si="23"/>
        <v>0</v>
      </c>
      <c r="P135" s="158">
        <f t="shared" si="24"/>
        <v>0</v>
      </c>
    </row>
    <row r="136" spans="2:16">
      <c r="B136" s="9" t="str">
        <f t="shared" si="18"/>
        <v/>
      </c>
      <c r="C136" s="153">
        <f>IF(D93="","-",+C135+1)</f>
        <v>2053</v>
      </c>
      <c r="D136" s="154">
        <f>IF(F135+SUM(E$99:E135)=D$92,F135,D$92-SUM(E$99:E135))</f>
        <v>1231191.7558139516</v>
      </c>
      <c r="E136" s="160">
        <f>IF(+J96&lt;F135,J96,D136)</f>
        <v>223368.16666666666</v>
      </c>
      <c r="F136" s="159">
        <f t="shared" si="19"/>
        <v>1007823.589147285</v>
      </c>
      <c r="G136" s="159">
        <f t="shared" si="20"/>
        <v>1119507.6724806183</v>
      </c>
      <c r="H136" s="163">
        <f t="shared" si="13"/>
        <v>359356.39553128934</v>
      </c>
      <c r="I136" s="253">
        <f t="shared" si="14"/>
        <v>359356.39553128934</v>
      </c>
      <c r="J136" s="158">
        <f t="shared" si="21"/>
        <v>0</v>
      </c>
      <c r="K136" s="158"/>
      <c r="L136" s="334"/>
      <c r="M136" s="158">
        <f t="shared" si="22"/>
        <v>0</v>
      </c>
      <c r="N136" s="334"/>
      <c r="O136" s="158">
        <f t="shared" si="23"/>
        <v>0</v>
      </c>
      <c r="P136" s="158">
        <f t="shared" si="24"/>
        <v>0</v>
      </c>
    </row>
    <row r="137" spans="2:16">
      <c r="B137" s="9" t="str">
        <f t="shared" si="18"/>
        <v/>
      </c>
      <c r="C137" s="153">
        <f>IF(D93="","-",+C136+1)</f>
        <v>2054</v>
      </c>
      <c r="D137" s="154">
        <f>IF(F136+SUM(E$99:E136)=D$92,F136,D$92-SUM(E$99:E136))</f>
        <v>1007823.589147285</v>
      </c>
      <c r="E137" s="160">
        <f>IF(+J96&lt;F136,J96,D137)</f>
        <v>223368.16666666666</v>
      </c>
      <c r="F137" s="159">
        <f t="shared" si="19"/>
        <v>784455.42248061835</v>
      </c>
      <c r="G137" s="159">
        <f t="shared" si="20"/>
        <v>896139.5058139516</v>
      </c>
      <c r="H137" s="163">
        <f t="shared" si="13"/>
        <v>332223.53872609069</v>
      </c>
      <c r="I137" s="253">
        <f t="shared" si="14"/>
        <v>332223.53872609069</v>
      </c>
      <c r="J137" s="158">
        <f t="shared" si="21"/>
        <v>0</v>
      </c>
      <c r="K137" s="158"/>
      <c r="L137" s="334"/>
      <c r="M137" s="158">
        <f t="shared" si="22"/>
        <v>0</v>
      </c>
      <c r="N137" s="334"/>
      <c r="O137" s="158">
        <f t="shared" si="23"/>
        <v>0</v>
      </c>
      <c r="P137" s="158">
        <f t="shared" si="24"/>
        <v>0</v>
      </c>
    </row>
    <row r="138" spans="2:16">
      <c r="B138" s="9" t="str">
        <f t="shared" si="18"/>
        <v/>
      </c>
      <c r="C138" s="153">
        <f>IF(D93="","-",+C137+1)</f>
        <v>2055</v>
      </c>
      <c r="D138" s="154">
        <f>IF(F137+SUM(E$99:E137)=D$92,F137,D$92-SUM(E$99:E137))</f>
        <v>784455.42248061835</v>
      </c>
      <c r="E138" s="160">
        <f>IF(+J96&lt;F137,J96,D138)</f>
        <v>223368.16666666666</v>
      </c>
      <c r="F138" s="159">
        <f t="shared" si="19"/>
        <v>561087.25581395172</v>
      </c>
      <c r="G138" s="159">
        <f t="shared" si="20"/>
        <v>672771.33914728509</v>
      </c>
      <c r="H138" s="163">
        <f t="shared" si="13"/>
        <v>305090.68192089204</v>
      </c>
      <c r="I138" s="253">
        <f t="shared" si="14"/>
        <v>305090.68192089204</v>
      </c>
      <c r="J138" s="158">
        <f t="shared" si="21"/>
        <v>0</v>
      </c>
      <c r="K138" s="158"/>
      <c r="L138" s="334"/>
      <c r="M138" s="158">
        <f t="shared" si="22"/>
        <v>0</v>
      </c>
      <c r="N138" s="334"/>
      <c r="O138" s="158">
        <f t="shared" si="23"/>
        <v>0</v>
      </c>
      <c r="P138" s="158">
        <f t="shared" si="24"/>
        <v>0</v>
      </c>
    </row>
    <row r="139" spans="2:16">
      <c r="B139" s="9" t="str">
        <f t="shared" si="18"/>
        <v/>
      </c>
      <c r="C139" s="153">
        <f>IF(D93="","-",+C138+1)</f>
        <v>2056</v>
      </c>
      <c r="D139" s="154">
        <f>IF(F138+SUM(E$99:E138)=D$92,F138,D$92-SUM(E$99:E138))</f>
        <v>561087.25581395172</v>
      </c>
      <c r="E139" s="160">
        <f>IF(+J96&lt;F138,J96,D139)</f>
        <v>223368.16666666666</v>
      </c>
      <c r="F139" s="159">
        <f t="shared" si="19"/>
        <v>337719.08914728509</v>
      </c>
      <c r="G139" s="159">
        <f t="shared" si="20"/>
        <v>449403.17248061841</v>
      </c>
      <c r="H139" s="163">
        <f t="shared" si="13"/>
        <v>277957.82511569338</v>
      </c>
      <c r="I139" s="253">
        <f t="shared" si="14"/>
        <v>277957.82511569338</v>
      </c>
      <c r="J139" s="158">
        <f t="shared" si="21"/>
        <v>0</v>
      </c>
      <c r="K139" s="158"/>
      <c r="L139" s="334"/>
      <c r="M139" s="158">
        <f t="shared" si="22"/>
        <v>0</v>
      </c>
      <c r="N139" s="334"/>
      <c r="O139" s="158">
        <f t="shared" si="23"/>
        <v>0</v>
      </c>
      <c r="P139" s="158">
        <f t="shared" si="24"/>
        <v>0</v>
      </c>
    </row>
    <row r="140" spans="2:16">
      <c r="B140" s="9" t="str">
        <f t="shared" si="18"/>
        <v/>
      </c>
      <c r="C140" s="153">
        <f>IF(D93="","-",+C139+1)</f>
        <v>2057</v>
      </c>
      <c r="D140" s="154">
        <f>IF(F139+SUM(E$99:E139)=D$92,F139,D$92-SUM(E$99:E139))</f>
        <v>337719.08914728509</v>
      </c>
      <c r="E140" s="160">
        <f>IF(+J96&lt;F139,J96,D140)</f>
        <v>223368.16666666666</v>
      </c>
      <c r="F140" s="159">
        <f t="shared" si="19"/>
        <v>114350.92248061844</v>
      </c>
      <c r="G140" s="159">
        <f t="shared" si="20"/>
        <v>226035.00581395178</v>
      </c>
      <c r="H140" s="163">
        <f t="shared" si="13"/>
        <v>250824.96831049473</v>
      </c>
      <c r="I140" s="253">
        <f t="shared" si="14"/>
        <v>250824.96831049473</v>
      </c>
      <c r="J140" s="158">
        <f t="shared" si="21"/>
        <v>0</v>
      </c>
      <c r="K140" s="158"/>
      <c r="L140" s="334"/>
      <c r="M140" s="158">
        <f t="shared" si="22"/>
        <v>0</v>
      </c>
      <c r="N140" s="334"/>
      <c r="O140" s="158">
        <f t="shared" si="23"/>
        <v>0</v>
      </c>
      <c r="P140" s="158">
        <f t="shared" si="24"/>
        <v>0</v>
      </c>
    </row>
    <row r="141" spans="2:16">
      <c r="B141" s="9" t="str">
        <f t="shared" si="18"/>
        <v/>
      </c>
      <c r="C141" s="153">
        <f>IF(D93="","-",+C140+1)</f>
        <v>2058</v>
      </c>
      <c r="D141" s="154">
        <f>IF(F140+SUM(E$99:E140)=D$92,F140,D$92-SUM(E$99:E140))</f>
        <v>114350.92248061844</v>
      </c>
      <c r="E141" s="160">
        <f>IF(+J96&lt;F140,J96,D141)</f>
        <v>114350.92248061844</v>
      </c>
      <c r="F141" s="159">
        <f t="shared" si="19"/>
        <v>0</v>
      </c>
      <c r="G141" s="159">
        <f t="shared" si="20"/>
        <v>57175.461240309218</v>
      </c>
      <c r="H141" s="163">
        <f t="shared" si="13"/>
        <v>121296.10910123281</v>
      </c>
      <c r="I141" s="253">
        <f t="shared" si="14"/>
        <v>121296.10910123281</v>
      </c>
      <c r="J141" s="158">
        <f t="shared" si="21"/>
        <v>0</v>
      </c>
      <c r="K141" s="158"/>
      <c r="L141" s="334"/>
      <c r="M141" s="158">
        <f t="shared" si="22"/>
        <v>0</v>
      </c>
      <c r="N141" s="334"/>
      <c r="O141" s="158">
        <f t="shared" si="23"/>
        <v>0</v>
      </c>
      <c r="P141" s="158">
        <f t="shared" si="24"/>
        <v>0</v>
      </c>
    </row>
    <row r="142" spans="2:16">
      <c r="B142" s="9" t="str">
        <f t="shared" si="18"/>
        <v/>
      </c>
      <c r="C142" s="153">
        <f>IF(D93="","-",+C141+1)</f>
        <v>2059</v>
      </c>
      <c r="D142" s="154">
        <f>IF(F141+SUM(E$99:E141)=D$92,F141,D$92-SUM(E$99:E141))</f>
        <v>0</v>
      </c>
      <c r="E142" s="160">
        <f>IF(+J96&lt;F141,J96,D142)</f>
        <v>0</v>
      </c>
      <c r="F142" s="159">
        <f t="shared" si="19"/>
        <v>0</v>
      </c>
      <c r="G142" s="159">
        <f t="shared" si="20"/>
        <v>0</v>
      </c>
      <c r="H142" s="163">
        <f t="shared" si="13"/>
        <v>0</v>
      </c>
      <c r="I142" s="253">
        <f t="shared" si="14"/>
        <v>0</v>
      </c>
      <c r="J142" s="158">
        <f t="shared" si="21"/>
        <v>0</v>
      </c>
      <c r="K142" s="158"/>
      <c r="L142" s="334"/>
      <c r="M142" s="158">
        <f t="shared" si="22"/>
        <v>0</v>
      </c>
      <c r="N142" s="334"/>
      <c r="O142" s="158">
        <f t="shared" si="23"/>
        <v>0</v>
      </c>
      <c r="P142" s="158">
        <f t="shared" si="24"/>
        <v>0</v>
      </c>
    </row>
    <row r="143" spans="2:16">
      <c r="B143" s="9" t="str">
        <f t="shared" si="18"/>
        <v/>
      </c>
      <c r="C143" s="153">
        <f>IF(D93="","-",+C142+1)</f>
        <v>2060</v>
      </c>
      <c r="D143" s="154">
        <f>IF(F142+SUM(E$99:E142)=D$92,F142,D$92-SUM(E$99:E142))</f>
        <v>0</v>
      </c>
      <c r="E143" s="160">
        <f>IF(+J96&lt;F142,J96,D143)</f>
        <v>0</v>
      </c>
      <c r="F143" s="159">
        <f t="shared" si="19"/>
        <v>0</v>
      </c>
      <c r="G143" s="159">
        <f t="shared" si="20"/>
        <v>0</v>
      </c>
      <c r="H143" s="163">
        <f t="shared" si="13"/>
        <v>0</v>
      </c>
      <c r="I143" s="253">
        <f t="shared" si="14"/>
        <v>0</v>
      </c>
      <c r="J143" s="158">
        <f t="shared" si="21"/>
        <v>0</v>
      </c>
      <c r="K143" s="158"/>
      <c r="L143" s="334"/>
      <c r="M143" s="158">
        <f t="shared" si="22"/>
        <v>0</v>
      </c>
      <c r="N143" s="334"/>
      <c r="O143" s="158">
        <f t="shared" si="23"/>
        <v>0</v>
      </c>
      <c r="P143" s="158">
        <f t="shared" si="24"/>
        <v>0</v>
      </c>
    </row>
    <row r="144" spans="2:16">
      <c r="B144" s="9" t="str">
        <f t="shared" si="18"/>
        <v/>
      </c>
      <c r="C144" s="153">
        <f>IF(D93="","-",+C143+1)</f>
        <v>2061</v>
      </c>
      <c r="D144" s="154">
        <f>IF(F143+SUM(E$99:E143)=D$92,F143,D$92-SUM(E$99:E143))</f>
        <v>0</v>
      </c>
      <c r="E144" s="160">
        <f>IF(+J96&lt;F143,J96,D144)</f>
        <v>0</v>
      </c>
      <c r="F144" s="159">
        <f t="shared" si="19"/>
        <v>0</v>
      </c>
      <c r="G144" s="159">
        <f t="shared" si="20"/>
        <v>0</v>
      </c>
      <c r="H144" s="163">
        <f t="shared" si="13"/>
        <v>0</v>
      </c>
      <c r="I144" s="253">
        <f t="shared" si="14"/>
        <v>0</v>
      </c>
      <c r="J144" s="158">
        <f t="shared" si="21"/>
        <v>0</v>
      </c>
      <c r="K144" s="158"/>
      <c r="L144" s="334"/>
      <c r="M144" s="158">
        <f t="shared" si="22"/>
        <v>0</v>
      </c>
      <c r="N144" s="334"/>
      <c r="O144" s="158">
        <f t="shared" si="23"/>
        <v>0</v>
      </c>
      <c r="P144" s="158">
        <f t="shared" si="24"/>
        <v>0</v>
      </c>
    </row>
    <row r="145" spans="2:16">
      <c r="B145" s="9" t="str">
        <f t="shared" si="18"/>
        <v/>
      </c>
      <c r="C145" s="153">
        <f>IF(D93="","-",+C144+1)</f>
        <v>2062</v>
      </c>
      <c r="D145" s="154">
        <f>IF(F144+SUM(E$99:E144)=D$92,F144,D$92-SUM(E$99:E144))</f>
        <v>0</v>
      </c>
      <c r="E145" s="160">
        <f>IF(+J96&lt;F144,J96,D145)</f>
        <v>0</v>
      </c>
      <c r="F145" s="159">
        <f t="shared" si="19"/>
        <v>0</v>
      </c>
      <c r="G145" s="159">
        <f t="shared" si="20"/>
        <v>0</v>
      </c>
      <c r="H145" s="163">
        <f t="shared" si="13"/>
        <v>0</v>
      </c>
      <c r="I145" s="253">
        <f t="shared" si="14"/>
        <v>0</v>
      </c>
      <c r="J145" s="158">
        <f t="shared" si="21"/>
        <v>0</v>
      </c>
      <c r="K145" s="158"/>
      <c r="L145" s="334"/>
      <c r="M145" s="158">
        <f t="shared" si="22"/>
        <v>0</v>
      </c>
      <c r="N145" s="334"/>
      <c r="O145" s="158">
        <f t="shared" si="23"/>
        <v>0</v>
      </c>
      <c r="P145" s="158">
        <f t="shared" si="24"/>
        <v>0</v>
      </c>
    </row>
    <row r="146" spans="2:16">
      <c r="B146" s="9" t="str">
        <f t="shared" si="18"/>
        <v/>
      </c>
      <c r="C146" s="153">
        <f>IF(D93="","-",+C145+1)</f>
        <v>2063</v>
      </c>
      <c r="D146" s="154">
        <f>IF(F145+SUM(E$99:E145)=D$92,F145,D$92-SUM(E$99:E145))</f>
        <v>0</v>
      </c>
      <c r="E146" s="160">
        <f>IF(+J96&lt;F145,J96,D146)</f>
        <v>0</v>
      </c>
      <c r="F146" s="159">
        <f t="shared" si="19"/>
        <v>0</v>
      </c>
      <c r="G146" s="159">
        <f t="shared" si="20"/>
        <v>0</v>
      </c>
      <c r="H146" s="163">
        <f t="shared" si="13"/>
        <v>0</v>
      </c>
      <c r="I146" s="253">
        <f t="shared" si="14"/>
        <v>0</v>
      </c>
      <c r="J146" s="158">
        <f t="shared" si="21"/>
        <v>0</v>
      </c>
      <c r="K146" s="158"/>
      <c r="L146" s="334"/>
      <c r="M146" s="158">
        <f t="shared" si="22"/>
        <v>0</v>
      </c>
      <c r="N146" s="334"/>
      <c r="O146" s="158">
        <f t="shared" si="23"/>
        <v>0</v>
      </c>
      <c r="P146" s="158">
        <f t="shared" si="24"/>
        <v>0</v>
      </c>
    </row>
    <row r="147" spans="2:16">
      <c r="B147" s="9" t="str">
        <f t="shared" si="18"/>
        <v/>
      </c>
      <c r="C147" s="153">
        <f>IF(D93="","-",+C146+1)</f>
        <v>2064</v>
      </c>
      <c r="D147" s="154">
        <f>IF(F146+SUM(E$99:E146)=D$92,F146,D$92-SUM(E$99:E146))</f>
        <v>0</v>
      </c>
      <c r="E147" s="160">
        <f>IF(+J96&lt;F146,J96,D147)</f>
        <v>0</v>
      </c>
      <c r="F147" s="159">
        <f t="shared" si="19"/>
        <v>0</v>
      </c>
      <c r="G147" s="159">
        <f t="shared" si="20"/>
        <v>0</v>
      </c>
      <c r="H147" s="163">
        <f t="shared" si="13"/>
        <v>0</v>
      </c>
      <c r="I147" s="253">
        <f t="shared" si="14"/>
        <v>0</v>
      </c>
      <c r="J147" s="158">
        <f t="shared" si="21"/>
        <v>0</v>
      </c>
      <c r="K147" s="158"/>
      <c r="L147" s="334"/>
      <c r="M147" s="158">
        <f t="shared" si="22"/>
        <v>0</v>
      </c>
      <c r="N147" s="334"/>
      <c r="O147" s="158">
        <f t="shared" si="23"/>
        <v>0</v>
      </c>
      <c r="P147" s="158">
        <f t="shared" si="24"/>
        <v>0</v>
      </c>
    </row>
    <row r="148" spans="2:16">
      <c r="B148" s="9" t="str">
        <f t="shared" si="18"/>
        <v/>
      </c>
      <c r="C148" s="153">
        <f>IF(D93="","-",+C147+1)</f>
        <v>2065</v>
      </c>
      <c r="D148" s="154">
        <f>IF(F147+SUM(E$99:E147)=D$92,F147,D$92-SUM(E$99:E147))</f>
        <v>0</v>
      </c>
      <c r="E148" s="160">
        <f>IF(+J96&lt;F147,J96,D148)</f>
        <v>0</v>
      </c>
      <c r="F148" s="159">
        <f t="shared" si="19"/>
        <v>0</v>
      </c>
      <c r="G148" s="159">
        <f t="shared" si="20"/>
        <v>0</v>
      </c>
      <c r="H148" s="163">
        <f t="shared" si="13"/>
        <v>0</v>
      </c>
      <c r="I148" s="253">
        <f t="shared" si="14"/>
        <v>0</v>
      </c>
      <c r="J148" s="158">
        <f t="shared" si="21"/>
        <v>0</v>
      </c>
      <c r="K148" s="158"/>
      <c r="L148" s="334"/>
      <c r="M148" s="158">
        <f t="shared" si="22"/>
        <v>0</v>
      </c>
      <c r="N148" s="334"/>
      <c r="O148" s="158">
        <f t="shared" si="23"/>
        <v>0</v>
      </c>
      <c r="P148" s="158">
        <f t="shared" si="24"/>
        <v>0</v>
      </c>
    </row>
    <row r="149" spans="2:16">
      <c r="B149" s="9" t="str">
        <f t="shared" si="18"/>
        <v/>
      </c>
      <c r="C149" s="153">
        <f>IF(D93="","-",+C148+1)</f>
        <v>2066</v>
      </c>
      <c r="D149" s="154">
        <f>IF(F148+SUM(E$99:E148)=D$92,F148,D$92-SUM(E$99:E148))</f>
        <v>0</v>
      </c>
      <c r="E149" s="160">
        <f>IF(+J96&lt;F148,J96,D149)</f>
        <v>0</v>
      </c>
      <c r="F149" s="159">
        <f t="shared" si="19"/>
        <v>0</v>
      </c>
      <c r="G149" s="159">
        <f t="shared" si="20"/>
        <v>0</v>
      </c>
      <c r="H149" s="163">
        <f t="shared" si="13"/>
        <v>0</v>
      </c>
      <c r="I149" s="253">
        <f t="shared" si="14"/>
        <v>0</v>
      </c>
      <c r="J149" s="158">
        <f t="shared" si="21"/>
        <v>0</v>
      </c>
      <c r="K149" s="158"/>
      <c r="L149" s="334"/>
      <c r="M149" s="158">
        <f t="shared" si="22"/>
        <v>0</v>
      </c>
      <c r="N149" s="334"/>
      <c r="O149" s="158">
        <f t="shared" si="23"/>
        <v>0</v>
      </c>
      <c r="P149" s="158">
        <f t="shared" si="24"/>
        <v>0</v>
      </c>
    </row>
    <row r="150" spans="2:16">
      <c r="B150" s="9" t="str">
        <f t="shared" si="18"/>
        <v/>
      </c>
      <c r="C150" s="153">
        <f>IF(D93="","-",+C149+1)</f>
        <v>2067</v>
      </c>
      <c r="D150" s="154">
        <f>IF(F149+SUM(E$99:E149)=D$92,F149,D$92-SUM(E$99:E149))</f>
        <v>0</v>
      </c>
      <c r="E150" s="160">
        <f>IF(+J96&lt;F149,J96,D150)</f>
        <v>0</v>
      </c>
      <c r="F150" s="159">
        <f t="shared" si="19"/>
        <v>0</v>
      </c>
      <c r="G150" s="159">
        <f t="shared" si="20"/>
        <v>0</v>
      </c>
      <c r="H150" s="163">
        <f t="shared" si="13"/>
        <v>0</v>
      </c>
      <c r="I150" s="253">
        <f t="shared" si="14"/>
        <v>0</v>
      </c>
      <c r="J150" s="158">
        <f t="shared" si="21"/>
        <v>0</v>
      </c>
      <c r="K150" s="158"/>
      <c r="L150" s="334"/>
      <c r="M150" s="158">
        <f t="shared" si="22"/>
        <v>0</v>
      </c>
      <c r="N150" s="334"/>
      <c r="O150" s="158">
        <f t="shared" si="23"/>
        <v>0</v>
      </c>
      <c r="P150" s="158">
        <f t="shared" si="24"/>
        <v>0</v>
      </c>
    </row>
    <row r="151" spans="2:16">
      <c r="B151" s="9" t="str">
        <f t="shared" si="18"/>
        <v/>
      </c>
      <c r="C151" s="153">
        <f>IF(D93="","-",+C150+1)</f>
        <v>2068</v>
      </c>
      <c r="D151" s="154">
        <f>IF(F150+SUM(E$99:E150)=D$92,F150,D$92-SUM(E$99:E150))</f>
        <v>0</v>
      </c>
      <c r="E151" s="160">
        <f>IF(+J96&lt;F150,J96,D151)</f>
        <v>0</v>
      </c>
      <c r="F151" s="159">
        <f t="shared" si="19"/>
        <v>0</v>
      </c>
      <c r="G151" s="159">
        <f t="shared" si="20"/>
        <v>0</v>
      </c>
      <c r="H151" s="163">
        <f t="shared" si="13"/>
        <v>0</v>
      </c>
      <c r="I151" s="253">
        <f t="shared" si="14"/>
        <v>0</v>
      </c>
      <c r="J151" s="158">
        <f t="shared" si="21"/>
        <v>0</v>
      </c>
      <c r="K151" s="158"/>
      <c r="L151" s="334"/>
      <c r="M151" s="158">
        <f t="shared" si="22"/>
        <v>0</v>
      </c>
      <c r="N151" s="334"/>
      <c r="O151" s="158">
        <f t="shared" si="23"/>
        <v>0</v>
      </c>
      <c r="P151" s="158">
        <f t="shared" si="24"/>
        <v>0</v>
      </c>
    </row>
    <row r="152" spans="2:16">
      <c r="B152" s="9" t="str">
        <f t="shared" si="18"/>
        <v/>
      </c>
      <c r="C152" s="153">
        <f>IF(D93="","-",+C151+1)</f>
        <v>2069</v>
      </c>
      <c r="D152" s="154">
        <f>IF(F151+SUM(E$99:E151)=D$92,F151,D$92-SUM(E$99:E151))</f>
        <v>0</v>
      </c>
      <c r="E152" s="160">
        <f>IF(+J96&lt;F151,J96,D152)</f>
        <v>0</v>
      </c>
      <c r="F152" s="159">
        <f t="shared" si="19"/>
        <v>0</v>
      </c>
      <c r="G152" s="159">
        <f t="shared" si="20"/>
        <v>0</v>
      </c>
      <c r="H152" s="163">
        <f t="shared" si="13"/>
        <v>0</v>
      </c>
      <c r="I152" s="253">
        <f t="shared" si="14"/>
        <v>0</v>
      </c>
      <c r="J152" s="158">
        <f t="shared" si="21"/>
        <v>0</v>
      </c>
      <c r="K152" s="158"/>
      <c r="L152" s="334"/>
      <c r="M152" s="158">
        <f t="shared" si="22"/>
        <v>0</v>
      </c>
      <c r="N152" s="334"/>
      <c r="O152" s="158">
        <f t="shared" si="23"/>
        <v>0</v>
      </c>
      <c r="P152" s="158">
        <f t="shared" si="24"/>
        <v>0</v>
      </c>
    </row>
    <row r="153" spans="2:16">
      <c r="B153" s="9" t="str">
        <f t="shared" si="18"/>
        <v/>
      </c>
      <c r="C153" s="153">
        <f>IF(D93="","-",+C152+1)</f>
        <v>2070</v>
      </c>
      <c r="D153" s="154">
        <f>IF(F152+SUM(E$99:E152)=D$92,F152,D$92-SUM(E$99:E152))</f>
        <v>0</v>
      </c>
      <c r="E153" s="160">
        <f>IF(+J96&lt;F152,J96,D153)</f>
        <v>0</v>
      </c>
      <c r="F153" s="159">
        <f t="shared" si="19"/>
        <v>0</v>
      </c>
      <c r="G153" s="159">
        <f t="shared" si="20"/>
        <v>0</v>
      </c>
      <c r="H153" s="163">
        <f t="shared" si="13"/>
        <v>0</v>
      </c>
      <c r="I153" s="253">
        <f t="shared" si="14"/>
        <v>0</v>
      </c>
      <c r="J153" s="158">
        <f t="shared" si="21"/>
        <v>0</v>
      </c>
      <c r="K153" s="158"/>
      <c r="L153" s="334"/>
      <c r="M153" s="158">
        <f t="shared" si="22"/>
        <v>0</v>
      </c>
      <c r="N153" s="334"/>
      <c r="O153" s="158">
        <f t="shared" si="23"/>
        <v>0</v>
      </c>
      <c r="P153" s="158">
        <f t="shared" si="24"/>
        <v>0</v>
      </c>
    </row>
    <row r="154" spans="2:16" ht="13.5" thickBot="1">
      <c r="B154" s="9" t="str">
        <f t="shared" si="18"/>
        <v/>
      </c>
      <c r="C154" s="164">
        <f>IF(D93="","-",+C153+1)</f>
        <v>2071</v>
      </c>
      <c r="D154" s="215">
        <f>IF(F153+SUM(E$99:E153)=D$92,F153,D$92-SUM(E$99:E153))</f>
        <v>0</v>
      </c>
      <c r="E154" s="166">
        <f>IF(+J96&lt;F153,J96,D154)</f>
        <v>0</v>
      </c>
      <c r="F154" s="165">
        <f t="shared" si="19"/>
        <v>0</v>
      </c>
      <c r="G154" s="165">
        <f t="shared" si="20"/>
        <v>0</v>
      </c>
      <c r="H154" s="167">
        <f t="shared" si="13"/>
        <v>0</v>
      </c>
      <c r="I154" s="254">
        <f t="shared" si="14"/>
        <v>0</v>
      </c>
      <c r="J154" s="169">
        <f t="shared" si="21"/>
        <v>0</v>
      </c>
      <c r="K154" s="158"/>
      <c r="L154" s="335"/>
      <c r="M154" s="169">
        <f t="shared" si="22"/>
        <v>0</v>
      </c>
      <c r="N154" s="335"/>
      <c r="O154" s="169">
        <f t="shared" si="23"/>
        <v>0</v>
      </c>
      <c r="P154" s="169">
        <f t="shared" si="24"/>
        <v>0</v>
      </c>
    </row>
    <row r="155" spans="2:16">
      <c r="C155" s="154" t="s">
        <v>73</v>
      </c>
      <c r="D155" s="111"/>
      <c r="E155" s="111">
        <f>SUM(E99:E154)</f>
        <v>9381463</v>
      </c>
      <c r="F155" s="111"/>
      <c r="G155" s="111"/>
      <c r="H155" s="111">
        <f>SUM(H99:H154)</f>
        <v>33351268.493868005</v>
      </c>
      <c r="I155" s="111">
        <f>SUM(I99:I154)</f>
        <v>33351268.493868005</v>
      </c>
      <c r="J155" s="111">
        <f>SUM(J99:J154)</f>
        <v>0</v>
      </c>
      <c r="K155" s="111"/>
      <c r="L155" s="111"/>
      <c r="M155" s="111"/>
      <c r="N155" s="111"/>
      <c r="O155" s="111"/>
      <c r="P155" s="1"/>
    </row>
    <row r="156" spans="2:16">
      <c r="C156" t="s">
        <v>87</v>
      </c>
      <c r="D156" s="2"/>
      <c r="E156" s="1"/>
      <c r="F156" s="1"/>
      <c r="G156" s="1"/>
      <c r="H156" s="1"/>
      <c r="I156" s="3"/>
      <c r="J156" s="3"/>
      <c r="K156" s="111"/>
      <c r="L156" s="3"/>
      <c r="M156" s="3"/>
      <c r="N156" s="3"/>
      <c r="O156" s="3"/>
      <c r="P156" s="1"/>
    </row>
    <row r="157" spans="2:16">
      <c r="C157" s="216"/>
      <c r="D157" s="2"/>
      <c r="E157" s="1"/>
      <c r="F157" s="1"/>
      <c r="G157" s="1"/>
      <c r="H157" s="1"/>
      <c r="I157" s="3"/>
      <c r="J157" s="3"/>
      <c r="K157" s="111"/>
      <c r="L157" s="3"/>
      <c r="M157" s="3"/>
      <c r="N157" s="3"/>
      <c r="O157" s="3"/>
      <c r="P157" s="1"/>
    </row>
    <row r="158" spans="2:16">
      <c r="C158" s="248" t="s">
        <v>127</v>
      </c>
      <c r="D158" s="2"/>
      <c r="E158" s="1"/>
      <c r="F158" s="1"/>
      <c r="G158" s="1"/>
      <c r="H158" s="1"/>
      <c r="I158" s="3"/>
      <c r="J158" s="3"/>
      <c r="K158" s="111"/>
      <c r="L158" s="3"/>
      <c r="M158" s="3"/>
      <c r="N158" s="3"/>
      <c r="O158" s="3"/>
      <c r="P158" s="1"/>
    </row>
    <row r="159" spans="2:16">
      <c r="C159" s="121" t="s">
        <v>74</v>
      </c>
      <c r="D159" s="154"/>
      <c r="E159" s="154"/>
      <c r="F159" s="154"/>
      <c r="G159" s="154"/>
      <c r="H159" s="111"/>
      <c r="I159" s="111"/>
      <c r="J159" s="171"/>
      <c r="K159" s="171"/>
      <c r="L159" s="171"/>
      <c r="M159" s="171"/>
      <c r="N159" s="171"/>
      <c r="O159" s="171"/>
      <c r="P159" s="1"/>
    </row>
    <row r="160" spans="2:16">
      <c r="C160" s="217" t="s">
        <v>75</v>
      </c>
      <c r="D160" s="154"/>
      <c r="E160" s="154"/>
      <c r="F160" s="154"/>
      <c r="G160" s="154"/>
      <c r="H160" s="111"/>
      <c r="I160" s="111"/>
      <c r="J160" s="171"/>
      <c r="K160" s="171"/>
      <c r="L160" s="171"/>
      <c r="M160" s="171"/>
      <c r="N160" s="171"/>
      <c r="O160" s="171"/>
      <c r="P160" s="1"/>
    </row>
    <row r="161" spans="3:16">
      <c r="C161" s="217"/>
      <c r="D161" s="154"/>
      <c r="E161" s="154"/>
      <c r="F161" s="154"/>
      <c r="G161" s="154"/>
      <c r="H161" s="111"/>
      <c r="I161" s="111"/>
      <c r="J161" s="171"/>
      <c r="K161" s="171"/>
      <c r="L161" s="171"/>
      <c r="M161" s="171"/>
      <c r="N161" s="171"/>
      <c r="O161" s="171"/>
      <c r="P161" s="1"/>
    </row>
    <row r="162" spans="3:16" ht="18">
      <c r="C162" s="217"/>
      <c r="D162" s="154"/>
      <c r="E162" s="154"/>
      <c r="F162" s="154"/>
      <c r="G162" s="154"/>
      <c r="H162" s="111"/>
      <c r="I162" s="111"/>
      <c r="J162" s="171"/>
      <c r="K162" s="171"/>
      <c r="L162" s="171"/>
      <c r="M162" s="171"/>
      <c r="N162" s="171"/>
      <c r="P162" s="245" t="s">
        <v>126</v>
      </c>
    </row>
  </sheetData>
  <conditionalFormatting sqref="C17:C72">
    <cfRule type="cellIs" dxfId="53" priority="1" stopIfTrue="1" operator="equal">
      <formula>$I$10</formula>
    </cfRule>
  </conditionalFormatting>
  <conditionalFormatting sqref="C99:C154">
    <cfRule type="cellIs" dxfId="52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5"/>
  <dimension ref="A1:P162"/>
  <sheetViews>
    <sheetView view="pageBreakPreview" zoomScale="80" zoomScaleNormal="100" zoomScaleSheetLayoutView="80" workbookViewId="0">
      <selection activeCell="C19" sqref="C19"/>
    </sheetView>
  </sheetViews>
  <sheetFormatPr defaultRowHeight="12.75" customHeight="1"/>
  <cols>
    <col min="1" max="1" width="4.7109375" customWidth="1"/>
    <col min="2" max="2" width="6.7109375" customWidth="1"/>
    <col min="3" max="3" width="23.28515625" customWidth="1"/>
    <col min="4" max="8" width="17.7109375" customWidth="1"/>
    <col min="9" max="9" width="20.42578125" customWidth="1"/>
    <col min="10" max="10" width="16.42578125" customWidth="1"/>
    <col min="11" max="11" width="17.7109375" customWidth="1"/>
    <col min="12" max="12" width="16.140625" customWidth="1"/>
    <col min="13" max="13" width="17.7109375" customWidth="1"/>
    <col min="14" max="14" width="16.7109375" customWidth="1"/>
    <col min="15" max="15" width="16.85546875" customWidth="1"/>
    <col min="16" max="16" width="24.42578125" customWidth="1"/>
    <col min="17" max="17" width="9.140625" customWidth="1"/>
    <col min="23" max="23" width="9.140625" customWidth="1"/>
  </cols>
  <sheetData>
    <row r="1" spans="1:16" ht="20.25">
      <c r="A1" s="243" t="s">
        <v>128</v>
      </c>
      <c r="B1" s="1"/>
      <c r="C1" s="21"/>
      <c r="D1" s="2"/>
      <c r="E1" s="1"/>
      <c r="F1" s="99"/>
      <c r="G1" s="1"/>
      <c r="H1" s="3"/>
      <c r="J1" s="7"/>
      <c r="K1" s="109"/>
      <c r="L1" s="109"/>
      <c r="M1" s="109"/>
      <c r="P1" s="249" t="str">
        <f ca="1">"SWEPCO Project "&amp;RIGHT(MID(CELL("filename",$A$1),FIND("]",CELL("filename",$A$1))+1,256),2)&amp;" of "&amp;COUNT('S.001:S.xyz - blank'!$P$3)-1</f>
        <v>SWEPCO Project 56 of 73</v>
      </c>
    </row>
    <row r="2" spans="1:16" ht="18">
      <c r="B2" s="1"/>
      <c r="C2" s="1"/>
      <c r="D2" s="2"/>
      <c r="E2" s="1"/>
      <c r="F2" s="1"/>
      <c r="G2" s="1"/>
      <c r="H2" s="3"/>
      <c r="I2" s="1"/>
      <c r="J2" s="4"/>
      <c r="K2" s="1"/>
      <c r="L2" s="1"/>
      <c r="M2" s="1"/>
      <c r="N2" s="1"/>
      <c r="P2" s="244" t="s">
        <v>124</v>
      </c>
    </row>
    <row r="3" spans="1:16" ht="18.75">
      <c r="B3" s="5" t="s">
        <v>40</v>
      </c>
      <c r="C3" s="68" t="s">
        <v>41</v>
      </c>
      <c r="D3" s="2"/>
      <c r="E3" s="1"/>
      <c r="F3" s="1"/>
      <c r="G3" s="1"/>
      <c r="H3" s="3"/>
      <c r="I3" s="3"/>
      <c r="J3" s="111"/>
      <c r="K3" s="3"/>
      <c r="L3" s="3"/>
      <c r="M3" s="3"/>
      <c r="N3" s="3"/>
      <c r="O3" s="1"/>
      <c r="P3" s="240">
        <v>1</v>
      </c>
    </row>
    <row r="4" spans="1:16" ht="15.75" thickBot="1">
      <c r="C4" s="67"/>
      <c r="D4" s="2"/>
      <c r="E4" s="1"/>
      <c r="F4" s="1"/>
      <c r="G4" s="1"/>
      <c r="H4" s="3"/>
      <c r="I4" s="3"/>
      <c r="J4" s="111"/>
      <c r="K4" s="3"/>
      <c r="L4" s="3"/>
      <c r="M4" s="3"/>
      <c r="N4" s="3"/>
      <c r="O4" s="1"/>
      <c r="P4" s="1"/>
    </row>
    <row r="5" spans="1:16" ht="15">
      <c r="C5" s="112" t="s">
        <v>42</v>
      </c>
      <c r="D5" s="2"/>
      <c r="E5" s="1"/>
      <c r="F5" s="1"/>
      <c r="G5" s="113"/>
      <c r="H5" s="1" t="s">
        <v>43</v>
      </c>
      <c r="I5" s="1"/>
      <c r="J5" s="4"/>
      <c r="K5" s="268" t="s">
        <v>152</v>
      </c>
      <c r="L5" s="114"/>
      <c r="M5" s="115"/>
      <c r="N5" s="116">
        <f>VLOOKUP(I10,C17:I72,5)</f>
        <v>180668.12554949673</v>
      </c>
      <c r="P5" s="1"/>
    </row>
    <row r="6" spans="1:16" ht="15.75">
      <c r="C6" s="8"/>
      <c r="D6" s="2"/>
      <c r="E6" s="1"/>
      <c r="F6" s="1"/>
      <c r="G6" s="1"/>
      <c r="H6" s="117"/>
      <c r="I6" s="117"/>
      <c r="J6" s="118"/>
      <c r="K6" s="269" t="s">
        <v>153</v>
      </c>
      <c r="L6" s="119"/>
      <c r="M6" s="4"/>
      <c r="N6" s="120">
        <f>VLOOKUP(I10,C17:I72,6)</f>
        <v>180668.12554949673</v>
      </c>
      <c r="O6" s="1"/>
      <c r="P6" s="1"/>
    </row>
    <row r="7" spans="1:16" ht="13.5" thickBot="1">
      <c r="C7" s="121" t="s">
        <v>44</v>
      </c>
      <c r="D7" s="223" t="s">
        <v>347</v>
      </c>
      <c r="E7" s="379"/>
      <c r="F7" s="1"/>
      <c r="G7" s="1"/>
      <c r="H7" s="3"/>
      <c r="I7" s="3"/>
      <c r="J7" s="111"/>
      <c r="K7" s="122" t="s">
        <v>45</v>
      </c>
      <c r="L7" s="123"/>
      <c r="M7" s="123"/>
      <c r="N7" s="124">
        <f>+N6-N5</f>
        <v>0</v>
      </c>
      <c r="O7" s="1"/>
      <c r="P7" s="1"/>
    </row>
    <row r="8" spans="1:16" ht="13.5" thickBot="1">
      <c r="C8" s="125"/>
      <c r="D8" s="352" t="str">
        <f>IF(D10&lt;100000,"DOES NOT MEET SPP $100,000 MINIMUM INVESTMENT FOR REGIONAL BPU SHARING.","")</f>
        <v/>
      </c>
      <c r="E8" s="126"/>
      <c r="F8" s="126"/>
      <c r="G8" s="126"/>
      <c r="H8" s="126"/>
      <c r="I8" s="126"/>
      <c r="J8" s="101"/>
      <c r="K8" s="126"/>
      <c r="L8" s="126"/>
      <c r="M8" s="126"/>
      <c r="N8" s="126"/>
      <c r="O8" s="101"/>
      <c r="P8" s="21"/>
    </row>
    <row r="9" spans="1:16" ht="13.5" thickBot="1">
      <c r="C9" s="127" t="s">
        <v>46</v>
      </c>
      <c r="D9" s="225" t="s">
        <v>348</v>
      </c>
      <c r="E9" s="401" t="s">
        <v>443</v>
      </c>
      <c r="F9" s="128"/>
      <c r="G9" s="128"/>
      <c r="H9" s="128"/>
      <c r="I9" s="129"/>
      <c r="J9" s="130"/>
      <c r="O9" s="131"/>
      <c r="P9" s="4"/>
    </row>
    <row r="10" spans="1:16">
      <c r="C10" s="132" t="s">
        <v>47</v>
      </c>
      <c r="D10" s="133">
        <v>1556621</v>
      </c>
      <c r="E10" s="61" t="s">
        <v>459</v>
      </c>
      <c r="F10" s="131"/>
      <c r="G10" s="134"/>
      <c r="H10" s="134"/>
      <c r="I10" s="135">
        <f>+SWE.WS.F.BPU.ATRR.Projected!K17</f>
        <v>2019</v>
      </c>
      <c r="J10" s="130"/>
      <c r="K10" s="111" t="s">
        <v>48</v>
      </c>
      <c r="O10" s="4"/>
      <c r="P10" s="4"/>
    </row>
    <row r="11" spans="1:16">
      <c r="C11" s="136" t="s">
        <v>49</v>
      </c>
      <c r="D11" s="137">
        <v>2016</v>
      </c>
      <c r="E11" s="136" t="s">
        <v>50</v>
      </c>
      <c r="F11" s="134"/>
      <c r="G11" s="7"/>
      <c r="H11" s="7"/>
      <c r="I11" s="138">
        <f>IF(G5="",0,SWE.WS.F.BPU.ATRR.Projected!F$11)</f>
        <v>0</v>
      </c>
      <c r="J11" s="139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4"/>
      <c r="P11" s="4"/>
    </row>
    <row r="12" spans="1:16">
      <c r="C12" s="136" t="s">
        <v>51</v>
      </c>
      <c r="D12" s="133">
        <v>9</v>
      </c>
      <c r="E12" s="136" t="s">
        <v>52</v>
      </c>
      <c r="F12" s="134"/>
      <c r="G12" s="7"/>
      <c r="H12" s="7"/>
      <c r="I12" s="140">
        <f>SWE.WS.F.BPU.ATRR.Projected!$F$76</f>
        <v>9.9555672459071778E-2</v>
      </c>
      <c r="J12" s="141"/>
      <c r="K12" t="s">
        <v>53</v>
      </c>
      <c r="O12" s="4"/>
      <c r="P12" s="4"/>
    </row>
    <row r="13" spans="1:16">
      <c r="C13" s="136" t="s">
        <v>54</v>
      </c>
      <c r="D13" s="138">
        <f>+SWE.WS.F.BPU.ATRR.Projected!F$87</f>
        <v>43</v>
      </c>
      <c r="E13" s="136" t="s">
        <v>55</v>
      </c>
      <c r="F13" s="134"/>
      <c r="G13" s="7"/>
      <c r="H13" s="7"/>
      <c r="I13" s="140">
        <f>IF(G5="",I12,SWE.WS.F.BPU.ATRR.Projected!$F$75)</f>
        <v>9.9555672459071778E-2</v>
      </c>
      <c r="J13" s="141"/>
      <c r="K13" s="111" t="s">
        <v>56</v>
      </c>
      <c r="L13" s="58"/>
      <c r="M13" s="58"/>
      <c r="N13" s="58"/>
      <c r="O13" s="4"/>
      <c r="P13" s="4"/>
    </row>
    <row r="14" spans="1:16" ht="13.5" thickBot="1">
      <c r="C14" s="136" t="s">
        <v>57</v>
      </c>
      <c r="D14" s="137" t="s">
        <v>58</v>
      </c>
      <c r="E14" s="4" t="s">
        <v>59</v>
      </c>
      <c r="F14" s="134"/>
      <c r="G14" s="7"/>
      <c r="H14" s="7"/>
      <c r="I14" s="142">
        <f>IF(D10=0,0,D10/D13)</f>
        <v>36200.488372093023</v>
      </c>
      <c r="J14" s="111"/>
      <c r="K14" s="111"/>
      <c r="L14" s="111"/>
      <c r="M14" s="111"/>
      <c r="N14" s="111"/>
      <c r="O14" s="4"/>
      <c r="P14" s="4"/>
    </row>
    <row r="15" spans="1:16" ht="38.25">
      <c r="C15" s="143" t="s">
        <v>47</v>
      </c>
      <c r="D15" s="144" t="s">
        <v>60</v>
      </c>
      <c r="E15" s="144" t="s">
        <v>61</v>
      </c>
      <c r="F15" s="144" t="s">
        <v>62</v>
      </c>
      <c r="G15" s="434" t="s">
        <v>378</v>
      </c>
      <c r="H15" s="435" t="s">
        <v>379</v>
      </c>
      <c r="I15" s="143" t="s">
        <v>63</v>
      </c>
      <c r="J15" s="145"/>
      <c r="K15" s="271" t="s">
        <v>219</v>
      </c>
      <c r="L15" s="146" t="s">
        <v>64</v>
      </c>
      <c r="M15" s="271" t="s">
        <v>219</v>
      </c>
      <c r="N15" s="146" t="s">
        <v>64</v>
      </c>
      <c r="O15" s="146" t="s">
        <v>65</v>
      </c>
      <c r="P15" s="4"/>
    </row>
    <row r="16" spans="1:16" ht="13.5" thickBot="1">
      <c r="C16" s="147" t="s">
        <v>66</v>
      </c>
      <c r="D16" s="147" t="s">
        <v>67</v>
      </c>
      <c r="E16" s="147" t="s">
        <v>68</v>
      </c>
      <c r="F16" s="147" t="s">
        <v>67</v>
      </c>
      <c r="G16" s="408" t="s">
        <v>69</v>
      </c>
      <c r="H16" s="148" t="s">
        <v>70</v>
      </c>
      <c r="I16" s="149" t="s">
        <v>89</v>
      </c>
      <c r="J16" s="150" t="s">
        <v>71</v>
      </c>
      <c r="K16" s="151" t="s">
        <v>72</v>
      </c>
      <c r="L16" s="151" t="s">
        <v>72</v>
      </c>
      <c r="M16" s="151" t="s">
        <v>90</v>
      </c>
      <c r="N16" s="152" t="s">
        <v>90</v>
      </c>
      <c r="O16" s="151" t="s">
        <v>90</v>
      </c>
      <c r="P16" s="4"/>
    </row>
    <row r="17" spans="2:16">
      <c r="C17" s="153">
        <f>IF(D11= "","-",D11)</f>
        <v>2016</v>
      </c>
      <c r="D17" s="411">
        <v>1111302</v>
      </c>
      <c r="E17" s="410">
        <v>13229.785714285714</v>
      </c>
      <c r="F17" s="411">
        <v>1098072.2142857143</v>
      </c>
      <c r="G17" s="410">
        <v>156066.99191753985</v>
      </c>
      <c r="H17" s="416">
        <v>156066.99191753985</v>
      </c>
      <c r="I17" s="156">
        <f t="shared" ref="I17:I72" si="0">H17-G17</f>
        <v>0</v>
      </c>
      <c r="J17" s="156"/>
      <c r="K17" s="258">
        <f>+G17</f>
        <v>156066.99191753985</v>
      </c>
      <c r="L17" s="257">
        <f t="shared" ref="L17:L72" si="1">IF(K17&lt;&gt;0,+G17-K17,0)</f>
        <v>0</v>
      </c>
      <c r="M17" s="258">
        <f>+H17</f>
        <v>156066.99191753985</v>
      </c>
      <c r="N17" s="158">
        <f t="shared" ref="N17:N72" si="2">IF(M17&lt;&gt;0,+H17-M17,0)</f>
        <v>0</v>
      </c>
      <c r="O17" s="158">
        <f t="shared" ref="O17:O72" si="3">+N17-L17</f>
        <v>0</v>
      </c>
      <c r="P17" s="4"/>
    </row>
    <row r="18" spans="2:16">
      <c r="B18" s="9" t="str">
        <f>IF(D18=F17,"","IU")</f>
        <v>IU</v>
      </c>
      <c r="C18" s="153">
        <f>IF(D11="","-",+C17+1)</f>
        <v>2017</v>
      </c>
      <c r="D18" s="411">
        <v>1543391.2142857143</v>
      </c>
      <c r="E18" s="410">
        <v>36200.488372093023</v>
      </c>
      <c r="F18" s="411">
        <v>1507190.7259136213</v>
      </c>
      <c r="G18" s="410">
        <v>225172.65115998022</v>
      </c>
      <c r="H18" s="416">
        <v>225172.65115998022</v>
      </c>
      <c r="I18" s="156">
        <v>0</v>
      </c>
      <c r="J18" s="156"/>
      <c r="K18" s="258">
        <f>+G18</f>
        <v>225172.65115998022</v>
      </c>
      <c r="L18" s="257">
        <f>IF(K18&lt;&gt;0,+G18-K18,0)</f>
        <v>0</v>
      </c>
      <c r="M18" s="258">
        <f>+H18</f>
        <v>225172.65115998022</v>
      </c>
      <c r="N18" s="158">
        <f>IF(M18&lt;&gt;0,+H18-M18,0)</f>
        <v>0</v>
      </c>
      <c r="O18" s="158">
        <f>+N18-L18</f>
        <v>0</v>
      </c>
      <c r="P18" s="4"/>
    </row>
    <row r="19" spans="2:16">
      <c r="B19" s="9" t="str">
        <f>IF(D19=F18,"","IU")</f>
        <v/>
      </c>
      <c r="C19" s="153">
        <f>IF(D11="","-",+C18+1)</f>
        <v>2018</v>
      </c>
      <c r="D19" s="411">
        <v>1507190.7259136213</v>
      </c>
      <c r="E19" s="410">
        <v>37966.365853658535</v>
      </c>
      <c r="F19" s="411">
        <v>1469224.3600599626</v>
      </c>
      <c r="G19" s="410">
        <v>204473.29117434972</v>
      </c>
      <c r="H19" s="416">
        <v>204473.29117434972</v>
      </c>
      <c r="I19" s="156">
        <f t="shared" si="0"/>
        <v>0</v>
      </c>
      <c r="J19" s="156"/>
      <c r="K19" s="258">
        <f>+G19</f>
        <v>204473.29117434972</v>
      </c>
      <c r="L19" s="257">
        <f>IF(K19&lt;&gt;0,+G19-K19,0)</f>
        <v>0</v>
      </c>
      <c r="M19" s="258">
        <f>+H19</f>
        <v>204473.29117434972</v>
      </c>
      <c r="N19" s="158">
        <f>IF(M19&lt;&gt;0,+H19-M19,0)</f>
        <v>0</v>
      </c>
      <c r="O19" s="158">
        <f t="shared" si="3"/>
        <v>0</v>
      </c>
      <c r="P19" s="4"/>
    </row>
    <row r="20" spans="2:16">
      <c r="B20" s="9" t="str">
        <f t="shared" ref="B20:B72" si="4">IF(D20=F19,"","IU")</f>
        <v/>
      </c>
      <c r="C20" s="153">
        <f>IF(D11="","-",+C19+1)</f>
        <v>2019</v>
      </c>
      <c r="D20" s="159">
        <f>IF(F19+SUM(E$17:E19)=D$10,F19,D$10-SUM(E$17:E19))</f>
        <v>1469224.3600599626</v>
      </c>
      <c r="E20" s="160">
        <f>IF(+I14&lt;F19,I14,D20)</f>
        <v>36200.488372093023</v>
      </c>
      <c r="F20" s="159">
        <f t="shared" ref="F20:F72" si="5">+D20-E20</f>
        <v>1433023.8716878695</v>
      </c>
      <c r="G20" s="161">
        <f t="shared" ref="G20:G49" si="6">+I$12*((D20+F20)/2)+E20</f>
        <v>180668.12554949673</v>
      </c>
      <c r="H20" s="142">
        <f t="shared" ref="H20:H49" si="7">+I$13*((D20+F20)/2)+E20</f>
        <v>180668.12554949673</v>
      </c>
      <c r="I20" s="156">
        <f t="shared" si="0"/>
        <v>0</v>
      </c>
      <c r="J20" s="156"/>
      <c r="K20" s="334"/>
      <c r="L20" s="158">
        <f t="shared" si="1"/>
        <v>0</v>
      </c>
      <c r="M20" s="334"/>
      <c r="N20" s="158">
        <f t="shared" si="2"/>
        <v>0</v>
      </c>
      <c r="O20" s="158">
        <f t="shared" si="3"/>
        <v>0</v>
      </c>
      <c r="P20" s="4"/>
    </row>
    <row r="21" spans="2:16">
      <c r="B21" s="9" t="str">
        <f t="shared" si="4"/>
        <v/>
      </c>
      <c r="C21" s="153">
        <f>IF(D11="","-",+C20+1)</f>
        <v>2020</v>
      </c>
      <c r="D21" s="159">
        <f>IF(F20+SUM(E$17:E20)=D$10,F20,D$10-SUM(E$17:E20))</f>
        <v>1433023.8716878695</v>
      </c>
      <c r="E21" s="160">
        <f>IF(+I14&lt;F20,I14,D21)</f>
        <v>36200.488372093023</v>
      </c>
      <c r="F21" s="159">
        <f t="shared" si="5"/>
        <v>1396823.3833157765</v>
      </c>
      <c r="G21" s="161">
        <f t="shared" si="6"/>
        <v>177064.16158626619</v>
      </c>
      <c r="H21" s="142">
        <f t="shared" si="7"/>
        <v>177064.16158626619</v>
      </c>
      <c r="I21" s="156">
        <f t="shared" si="0"/>
        <v>0</v>
      </c>
      <c r="J21" s="156"/>
      <c r="K21" s="334"/>
      <c r="L21" s="158">
        <f t="shared" si="1"/>
        <v>0</v>
      </c>
      <c r="M21" s="334"/>
      <c r="N21" s="158">
        <f t="shared" si="2"/>
        <v>0</v>
      </c>
      <c r="O21" s="158">
        <f t="shared" si="3"/>
        <v>0</v>
      </c>
      <c r="P21" s="4"/>
    </row>
    <row r="22" spans="2:16">
      <c r="B22" s="9" t="str">
        <f t="shared" si="4"/>
        <v/>
      </c>
      <c r="C22" s="153">
        <f>IF(D11="","-",+C21+1)</f>
        <v>2021</v>
      </c>
      <c r="D22" s="159">
        <f>IF(F21+SUM(E$17:E21)=D$10,F21,D$10-SUM(E$17:E21))</f>
        <v>1396823.3833157765</v>
      </c>
      <c r="E22" s="160">
        <f>IF(+I14&lt;F21,I14,D22)</f>
        <v>36200.488372093023</v>
      </c>
      <c r="F22" s="159">
        <f t="shared" si="5"/>
        <v>1360622.8949436834</v>
      </c>
      <c r="G22" s="161">
        <f t="shared" si="6"/>
        <v>173460.19762303564</v>
      </c>
      <c r="H22" s="142">
        <f t="shared" si="7"/>
        <v>173460.19762303564</v>
      </c>
      <c r="I22" s="156">
        <f t="shared" si="0"/>
        <v>0</v>
      </c>
      <c r="J22" s="156"/>
      <c r="K22" s="334"/>
      <c r="L22" s="158">
        <f t="shared" si="1"/>
        <v>0</v>
      </c>
      <c r="M22" s="334"/>
      <c r="N22" s="158">
        <f t="shared" si="2"/>
        <v>0</v>
      </c>
      <c r="O22" s="158">
        <f t="shared" si="3"/>
        <v>0</v>
      </c>
      <c r="P22" s="4"/>
    </row>
    <row r="23" spans="2:16">
      <c r="B23" s="9" t="str">
        <f t="shared" si="4"/>
        <v/>
      </c>
      <c r="C23" s="153">
        <f>IF(D11="","-",+C22+1)</f>
        <v>2022</v>
      </c>
      <c r="D23" s="159">
        <f>IF(F22+SUM(E$17:E22)=D$10,F22,D$10-SUM(E$17:E22))</f>
        <v>1360622.8949436834</v>
      </c>
      <c r="E23" s="160">
        <f>IF(+I14&lt;F22,I14,D23)</f>
        <v>36200.488372093023</v>
      </c>
      <c r="F23" s="159">
        <f t="shared" si="5"/>
        <v>1324422.4065715903</v>
      </c>
      <c r="G23" s="161">
        <f t="shared" si="6"/>
        <v>169856.23365980515</v>
      </c>
      <c r="H23" s="142">
        <f t="shared" si="7"/>
        <v>169856.23365980515</v>
      </c>
      <c r="I23" s="156">
        <f t="shared" si="0"/>
        <v>0</v>
      </c>
      <c r="J23" s="156"/>
      <c r="K23" s="334"/>
      <c r="L23" s="158">
        <f t="shared" si="1"/>
        <v>0</v>
      </c>
      <c r="M23" s="334"/>
      <c r="N23" s="158">
        <f t="shared" si="2"/>
        <v>0</v>
      </c>
      <c r="O23" s="158">
        <f t="shared" si="3"/>
        <v>0</v>
      </c>
      <c r="P23" s="4"/>
    </row>
    <row r="24" spans="2:16">
      <c r="B24" s="9" t="str">
        <f t="shared" si="4"/>
        <v/>
      </c>
      <c r="C24" s="153">
        <f>IF(D11="","-",+C23+1)</f>
        <v>2023</v>
      </c>
      <c r="D24" s="159">
        <f>IF(F23+SUM(E$17:E23)=D$10,F23,D$10-SUM(E$17:E23))</f>
        <v>1324422.4065715903</v>
      </c>
      <c r="E24" s="160">
        <f>IF(+I14&lt;F23,I14,D24)</f>
        <v>36200.488372093023</v>
      </c>
      <c r="F24" s="159">
        <f t="shared" si="5"/>
        <v>1288221.9181994973</v>
      </c>
      <c r="G24" s="161">
        <f t="shared" si="6"/>
        <v>166252.2696965746</v>
      </c>
      <c r="H24" s="142">
        <f t="shared" si="7"/>
        <v>166252.2696965746</v>
      </c>
      <c r="I24" s="156">
        <f t="shared" si="0"/>
        <v>0</v>
      </c>
      <c r="J24" s="156"/>
      <c r="K24" s="334"/>
      <c r="L24" s="158">
        <f t="shared" si="1"/>
        <v>0</v>
      </c>
      <c r="M24" s="334"/>
      <c r="N24" s="158">
        <f t="shared" si="2"/>
        <v>0</v>
      </c>
      <c r="O24" s="158">
        <f t="shared" si="3"/>
        <v>0</v>
      </c>
      <c r="P24" s="4"/>
    </row>
    <row r="25" spans="2:16">
      <c r="B25" s="9" t="str">
        <f t="shared" si="4"/>
        <v/>
      </c>
      <c r="C25" s="153">
        <f>IF(D11="","-",+C24+1)</f>
        <v>2024</v>
      </c>
      <c r="D25" s="159">
        <f>IF(F24+SUM(E$17:E24)=D$10,F24,D$10-SUM(E$17:E24))</f>
        <v>1288221.9181994973</v>
      </c>
      <c r="E25" s="160">
        <f>IF(+I14&lt;F24,I14,D25)</f>
        <v>36200.488372093023</v>
      </c>
      <c r="F25" s="159">
        <f t="shared" si="5"/>
        <v>1252021.4298274042</v>
      </c>
      <c r="G25" s="161">
        <f t="shared" si="6"/>
        <v>162648.30573334405</v>
      </c>
      <c r="H25" s="142">
        <f t="shared" si="7"/>
        <v>162648.30573334405</v>
      </c>
      <c r="I25" s="156">
        <f t="shared" si="0"/>
        <v>0</v>
      </c>
      <c r="J25" s="156"/>
      <c r="K25" s="334"/>
      <c r="L25" s="158">
        <f t="shared" si="1"/>
        <v>0</v>
      </c>
      <c r="M25" s="334"/>
      <c r="N25" s="158">
        <f t="shared" si="2"/>
        <v>0</v>
      </c>
      <c r="O25" s="158">
        <f t="shared" si="3"/>
        <v>0</v>
      </c>
      <c r="P25" s="4"/>
    </row>
    <row r="26" spans="2:16">
      <c r="B26" s="9" t="str">
        <f t="shared" si="4"/>
        <v/>
      </c>
      <c r="C26" s="153">
        <f>IF(D11="","-",+C25+1)</f>
        <v>2025</v>
      </c>
      <c r="D26" s="159">
        <f>IF(F25+SUM(E$17:E25)=D$10,F25,D$10-SUM(E$17:E25))</f>
        <v>1252021.4298274042</v>
      </c>
      <c r="E26" s="160">
        <f>IF(+I14&lt;F25,I14,D26)</f>
        <v>36200.488372093023</v>
      </c>
      <c r="F26" s="159">
        <f t="shared" si="5"/>
        <v>1215820.9414553111</v>
      </c>
      <c r="G26" s="161">
        <f t="shared" si="6"/>
        <v>159044.34177011353</v>
      </c>
      <c r="H26" s="142">
        <f t="shared" si="7"/>
        <v>159044.34177011353</v>
      </c>
      <c r="I26" s="156">
        <f t="shared" si="0"/>
        <v>0</v>
      </c>
      <c r="J26" s="156"/>
      <c r="K26" s="334"/>
      <c r="L26" s="158">
        <f t="shared" si="1"/>
        <v>0</v>
      </c>
      <c r="M26" s="334"/>
      <c r="N26" s="158">
        <f t="shared" si="2"/>
        <v>0</v>
      </c>
      <c r="O26" s="158">
        <f t="shared" si="3"/>
        <v>0</v>
      </c>
      <c r="P26" s="4"/>
    </row>
    <row r="27" spans="2:16">
      <c r="B27" s="9" t="str">
        <f t="shared" si="4"/>
        <v/>
      </c>
      <c r="C27" s="153">
        <f>IF(D11="","-",+C26+1)</f>
        <v>2026</v>
      </c>
      <c r="D27" s="159">
        <f>IF(F26+SUM(E$17:E26)=D$10,F26,D$10-SUM(E$17:E26))</f>
        <v>1215820.9414553111</v>
      </c>
      <c r="E27" s="160">
        <f>IF(+I14&lt;F26,I14,D27)</f>
        <v>36200.488372093023</v>
      </c>
      <c r="F27" s="159">
        <f t="shared" si="5"/>
        <v>1179620.4530832181</v>
      </c>
      <c r="G27" s="161">
        <f t="shared" si="6"/>
        <v>155440.37780688301</v>
      </c>
      <c r="H27" s="142">
        <f t="shared" si="7"/>
        <v>155440.37780688301</v>
      </c>
      <c r="I27" s="156">
        <f t="shared" si="0"/>
        <v>0</v>
      </c>
      <c r="J27" s="156"/>
      <c r="K27" s="334"/>
      <c r="L27" s="158">
        <f t="shared" si="1"/>
        <v>0</v>
      </c>
      <c r="M27" s="334"/>
      <c r="N27" s="158">
        <f t="shared" si="2"/>
        <v>0</v>
      </c>
      <c r="O27" s="158">
        <f t="shared" si="3"/>
        <v>0</v>
      </c>
      <c r="P27" s="4"/>
    </row>
    <row r="28" spans="2:16">
      <c r="B28" s="9" t="str">
        <f t="shared" si="4"/>
        <v/>
      </c>
      <c r="C28" s="153">
        <f>IF(D11="","-",+C27+1)</f>
        <v>2027</v>
      </c>
      <c r="D28" s="159">
        <f>IF(F27+SUM(E$17:E27)=D$10,F27,D$10-SUM(E$17:E27))</f>
        <v>1179620.4530832181</v>
      </c>
      <c r="E28" s="160">
        <f>IF(+I14&lt;F27,I14,D28)</f>
        <v>36200.488372093023</v>
      </c>
      <c r="F28" s="159">
        <f t="shared" si="5"/>
        <v>1143419.964711125</v>
      </c>
      <c r="G28" s="161">
        <f t="shared" si="6"/>
        <v>151836.41384365247</v>
      </c>
      <c r="H28" s="142">
        <f t="shared" si="7"/>
        <v>151836.41384365247</v>
      </c>
      <c r="I28" s="156">
        <f t="shared" si="0"/>
        <v>0</v>
      </c>
      <c r="J28" s="156"/>
      <c r="K28" s="334"/>
      <c r="L28" s="158">
        <f t="shared" si="1"/>
        <v>0</v>
      </c>
      <c r="M28" s="334"/>
      <c r="N28" s="158">
        <f t="shared" si="2"/>
        <v>0</v>
      </c>
      <c r="O28" s="158">
        <f t="shared" si="3"/>
        <v>0</v>
      </c>
      <c r="P28" s="4"/>
    </row>
    <row r="29" spans="2:16">
      <c r="B29" s="9" t="str">
        <f t="shared" si="4"/>
        <v/>
      </c>
      <c r="C29" s="153">
        <f>IF(D11="","-",+C28+1)</f>
        <v>2028</v>
      </c>
      <c r="D29" s="159">
        <f>IF(F28+SUM(E$17:E28)=D$10,F28,D$10-SUM(E$17:E28))</f>
        <v>1143419.964711125</v>
      </c>
      <c r="E29" s="160">
        <f>IF(+I14&lt;F28,I14,D29)</f>
        <v>36200.488372093023</v>
      </c>
      <c r="F29" s="159">
        <f t="shared" si="5"/>
        <v>1107219.4763390319</v>
      </c>
      <c r="G29" s="161">
        <f t="shared" si="6"/>
        <v>148232.44988042192</v>
      </c>
      <c r="H29" s="142">
        <f t="shared" si="7"/>
        <v>148232.44988042192</v>
      </c>
      <c r="I29" s="156">
        <f t="shared" si="0"/>
        <v>0</v>
      </c>
      <c r="J29" s="156"/>
      <c r="K29" s="334"/>
      <c r="L29" s="158">
        <f t="shared" si="1"/>
        <v>0</v>
      </c>
      <c r="M29" s="334"/>
      <c r="N29" s="158">
        <f t="shared" si="2"/>
        <v>0</v>
      </c>
      <c r="O29" s="158">
        <f t="shared" si="3"/>
        <v>0</v>
      </c>
      <c r="P29" s="4"/>
    </row>
    <row r="30" spans="2:16">
      <c r="B30" s="9" t="str">
        <f t="shared" si="4"/>
        <v/>
      </c>
      <c r="C30" s="153">
        <f>IF(D11="","-",+C29+1)</f>
        <v>2029</v>
      </c>
      <c r="D30" s="159">
        <f>IF(F29+SUM(E$17:E29)=D$10,F29,D$10-SUM(E$17:E29))</f>
        <v>1107219.4763390319</v>
      </c>
      <c r="E30" s="160">
        <f>IF(+I14&lt;F29,I14,D30)</f>
        <v>36200.488372093023</v>
      </c>
      <c r="F30" s="159">
        <f t="shared" si="5"/>
        <v>1071018.9879669389</v>
      </c>
      <c r="G30" s="161">
        <f t="shared" si="6"/>
        <v>144628.4859171914</v>
      </c>
      <c r="H30" s="142">
        <f t="shared" si="7"/>
        <v>144628.4859171914</v>
      </c>
      <c r="I30" s="156">
        <f t="shared" si="0"/>
        <v>0</v>
      </c>
      <c r="J30" s="156"/>
      <c r="K30" s="334"/>
      <c r="L30" s="158">
        <f t="shared" si="1"/>
        <v>0</v>
      </c>
      <c r="M30" s="334"/>
      <c r="N30" s="158">
        <f t="shared" si="2"/>
        <v>0</v>
      </c>
      <c r="O30" s="158">
        <f t="shared" si="3"/>
        <v>0</v>
      </c>
      <c r="P30" s="4"/>
    </row>
    <row r="31" spans="2:16">
      <c r="B31" s="9" t="str">
        <f t="shared" si="4"/>
        <v/>
      </c>
      <c r="C31" s="153">
        <f>IF(D11="","-",+C30+1)</f>
        <v>2030</v>
      </c>
      <c r="D31" s="159">
        <f>IF(F30+SUM(E$17:E30)=D$10,F30,D$10-SUM(E$17:E30))</f>
        <v>1071018.9879669389</v>
      </c>
      <c r="E31" s="160">
        <f>IF(+I14&lt;F30,I14,D31)</f>
        <v>36200.488372093023</v>
      </c>
      <c r="F31" s="159">
        <f t="shared" si="5"/>
        <v>1034818.4995948458</v>
      </c>
      <c r="G31" s="161">
        <f t="shared" si="6"/>
        <v>141024.52195396088</v>
      </c>
      <c r="H31" s="142">
        <f t="shared" si="7"/>
        <v>141024.52195396088</v>
      </c>
      <c r="I31" s="156">
        <f t="shared" si="0"/>
        <v>0</v>
      </c>
      <c r="J31" s="156"/>
      <c r="K31" s="334"/>
      <c r="L31" s="158">
        <f t="shared" si="1"/>
        <v>0</v>
      </c>
      <c r="M31" s="334"/>
      <c r="N31" s="158">
        <f t="shared" si="2"/>
        <v>0</v>
      </c>
      <c r="O31" s="158">
        <f t="shared" si="3"/>
        <v>0</v>
      </c>
      <c r="P31" s="4"/>
    </row>
    <row r="32" spans="2:16">
      <c r="B32" s="9" t="str">
        <f t="shared" si="4"/>
        <v/>
      </c>
      <c r="C32" s="153">
        <f>IF(D11="","-",+C31+1)</f>
        <v>2031</v>
      </c>
      <c r="D32" s="159">
        <f>IF(F31+SUM(E$17:E31)=D$10,F31,D$10-SUM(E$17:E31))</f>
        <v>1034818.4995948458</v>
      </c>
      <c r="E32" s="160">
        <f>IF(+I14&lt;F31,I14,D32)</f>
        <v>36200.488372093023</v>
      </c>
      <c r="F32" s="159">
        <f t="shared" si="5"/>
        <v>998618.01122275274</v>
      </c>
      <c r="G32" s="161">
        <f t="shared" si="6"/>
        <v>137420.55799073033</v>
      </c>
      <c r="H32" s="142">
        <f t="shared" si="7"/>
        <v>137420.55799073033</v>
      </c>
      <c r="I32" s="156">
        <f t="shared" si="0"/>
        <v>0</v>
      </c>
      <c r="J32" s="156"/>
      <c r="K32" s="334"/>
      <c r="L32" s="158">
        <f t="shared" si="1"/>
        <v>0</v>
      </c>
      <c r="M32" s="334"/>
      <c r="N32" s="158">
        <f t="shared" si="2"/>
        <v>0</v>
      </c>
      <c r="O32" s="158">
        <f t="shared" si="3"/>
        <v>0</v>
      </c>
      <c r="P32" s="4"/>
    </row>
    <row r="33" spans="2:16">
      <c r="B33" s="9" t="str">
        <f t="shared" si="4"/>
        <v/>
      </c>
      <c r="C33" s="153">
        <f>IF(D11="","-",+C32+1)</f>
        <v>2032</v>
      </c>
      <c r="D33" s="159">
        <f>IF(F32+SUM(E$17:E32)=D$10,F32,D$10-SUM(E$17:E32))</f>
        <v>998618.01122275274</v>
      </c>
      <c r="E33" s="160">
        <f>IF(+I14&lt;F32,I14,D33)</f>
        <v>36200.488372093023</v>
      </c>
      <c r="F33" s="159">
        <f t="shared" si="5"/>
        <v>962417.52285065968</v>
      </c>
      <c r="G33" s="161">
        <f t="shared" si="6"/>
        <v>133816.59402749978</v>
      </c>
      <c r="H33" s="142">
        <f t="shared" si="7"/>
        <v>133816.59402749978</v>
      </c>
      <c r="I33" s="156">
        <f t="shared" si="0"/>
        <v>0</v>
      </c>
      <c r="J33" s="156"/>
      <c r="K33" s="334"/>
      <c r="L33" s="158">
        <f t="shared" si="1"/>
        <v>0</v>
      </c>
      <c r="M33" s="334"/>
      <c r="N33" s="158">
        <f t="shared" si="2"/>
        <v>0</v>
      </c>
      <c r="O33" s="158">
        <f t="shared" si="3"/>
        <v>0</v>
      </c>
      <c r="P33" s="4"/>
    </row>
    <row r="34" spans="2:16">
      <c r="B34" s="9" t="str">
        <f t="shared" si="4"/>
        <v/>
      </c>
      <c r="C34" s="153">
        <f>IF(D11="","-",+C33+1)</f>
        <v>2033</v>
      </c>
      <c r="D34" s="159">
        <f>IF(F33+SUM(E$17:E33)=D$10,F33,D$10-SUM(E$17:E33))</f>
        <v>962417.52285065968</v>
      </c>
      <c r="E34" s="160">
        <f>IF(+I14&lt;F33,I14,D34)</f>
        <v>36200.488372093023</v>
      </c>
      <c r="F34" s="159">
        <f t="shared" si="5"/>
        <v>926217.03447856661</v>
      </c>
      <c r="G34" s="161">
        <f t="shared" si="6"/>
        <v>130212.63006426927</v>
      </c>
      <c r="H34" s="142">
        <f t="shared" si="7"/>
        <v>130212.63006426927</v>
      </c>
      <c r="I34" s="156">
        <f t="shared" si="0"/>
        <v>0</v>
      </c>
      <c r="J34" s="156"/>
      <c r="K34" s="334"/>
      <c r="L34" s="158">
        <f t="shared" si="1"/>
        <v>0</v>
      </c>
      <c r="M34" s="334"/>
      <c r="N34" s="158">
        <f t="shared" si="2"/>
        <v>0</v>
      </c>
      <c r="O34" s="158">
        <f t="shared" si="3"/>
        <v>0</v>
      </c>
      <c r="P34" s="4"/>
    </row>
    <row r="35" spans="2:16">
      <c r="B35" s="9" t="str">
        <f t="shared" si="4"/>
        <v/>
      </c>
      <c r="C35" s="153">
        <f>IF(D11="","-",+C34+1)</f>
        <v>2034</v>
      </c>
      <c r="D35" s="159">
        <f>IF(F34+SUM(E$17:E34)=D$10,F34,D$10-SUM(E$17:E34))</f>
        <v>926217.03447856661</v>
      </c>
      <c r="E35" s="160">
        <f>IF(+I14&lt;F34,I14,D35)</f>
        <v>36200.488372093023</v>
      </c>
      <c r="F35" s="159">
        <f t="shared" si="5"/>
        <v>890016.54610647354</v>
      </c>
      <c r="G35" s="161">
        <f t="shared" si="6"/>
        <v>126608.66610103873</v>
      </c>
      <c r="H35" s="142">
        <f t="shared" si="7"/>
        <v>126608.66610103873</v>
      </c>
      <c r="I35" s="156">
        <f t="shared" si="0"/>
        <v>0</v>
      </c>
      <c r="J35" s="156"/>
      <c r="K35" s="334"/>
      <c r="L35" s="158">
        <f t="shared" si="1"/>
        <v>0</v>
      </c>
      <c r="M35" s="334"/>
      <c r="N35" s="158">
        <f t="shared" si="2"/>
        <v>0</v>
      </c>
      <c r="O35" s="158">
        <f t="shared" si="3"/>
        <v>0</v>
      </c>
      <c r="P35" s="4"/>
    </row>
    <row r="36" spans="2:16">
      <c r="B36" s="9" t="str">
        <f t="shared" si="4"/>
        <v/>
      </c>
      <c r="C36" s="153">
        <f>IF(D11="","-",+C35+1)</f>
        <v>2035</v>
      </c>
      <c r="D36" s="159">
        <f>IF(F35+SUM(E$17:E35)=D$10,F35,D$10-SUM(E$17:E35))</f>
        <v>890016.54610647354</v>
      </c>
      <c r="E36" s="160">
        <f>IF(+I14&lt;F35,I14,D36)</f>
        <v>36200.488372093023</v>
      </c>
      <c r="F36" s="159">
        <f t="shared" si="5"/>
        <v>853816.05773438048</v>
      </c>
      <c r="G36" s="161">
        <f t="shared" si="6"/>
        <v>123004.70213780818</v>
      </c>
      <c r="H36" s="142">
        <f t="shared" si="7"/>
        <v>123004.70213780818</v>
      </c>
      <c r="I36" s="156">
        <f t="shared" si="0"/>
        <v>0</v>
      </c>
      <c r="J36" s="156"/>
      <c r="K36" s="334"/>
      <c r="L36" s="158">
        <f t="shared" si="1"/>
        <v>0</v>
      </c>
      <c r="M36" s="334"/>
      <c r="N36" s="158">
        <f t="shared" si="2"/>
        <v>0</v>
      </c>
      <c r="O36" s="158">
        <f t="shared" si="3"/>
        <v>0</v>
      </c>
      <c r="P36" s="4"/>
    </row>
    <row r="37" spans="2:16">
      <c r="B37" s="9" t="str">
        <f t="shared" si="4"/>
        <v/>
      </c>
      <c r="C37" s="153">
        <f>IF(D11="","-",+C36+1)</f>
        <v>2036</v>
      </c>
      <c r="D37" s="159">
        <f>IF(F36+SUM(E$17:E36)=D$10,F36,D$10-SUM(E$17:E36))</f>
        <v>853816.05773438048</v>
      </c>
      <c r="E37" s="160">
        <f>IF(+I14&lt;F36,I14,D37)</f>
        <v>36200.488372093023</v>
      </c>
      <c r="F37" s="159">
        <f t="shared" si="5"/>
        <v>817615.56936228741</v>
      </c>
      <c r="G37" s="161">
        <f t="shared" si="6"/>
        <v>119400.73817457765</v>
      </c>
      <c r="H37" s="142">
        <f t="shared" si="7"/>
        <v>119400.73817457765</v>
      </c>
      <c r="I37" s="156">
        <f t="shared" si="0"/>
        <v>0</v>
      </c>
      <c r="J37" s="156"/>
      <c r="K37" s="334"/>
      <c r="L37" s="158">
        <f t="shared" si="1"/>
        <v>0</v>
      </c>
      <c r="M37" s="334"/>
      <c r="N37" s="158">
        <f t="shared" si="2"/>
        <v>0</v>
      </c>
      <c r="O37" s="158">
        <f t="shared" si="3"/>
        <v>0</v>
      </c>
      <c r="P37" s="4"/>
    </row>
    <row r="38" spans="2:16">
      <c r="B38" s="9" t="str">
        <f t="shared" si="4"/>
        <v/>
      </c>
      <c r="C38" s="153">
        <f>IF(D11="","-",+C37+1)</f>
        <v>2037</v>
      </c>
      <c r="D38" s="159">
        <f>IF(F37+SUM(E$17:E37)=D$10,F37,D$10-SUM(E$17:E37))</f>
        <v>817615.56936228741</v>
      </c>
      <c r="E38" s="160">
        <f>IF(+I14&lt;F37,I14,D38)</f>
        <v>36200.488372093023</v>
      </c>
      <c r="F38" s="159">
        <f t="shared" si="5"/>
        <v>781415.08099019434</v>
      </c>
      <c r="G38" s="161">
        <f t="shared" si="6"/>
        <v>115796.77421134712</v>
      </c>
      <c r="H38" s="142">
        <f t="shared" si="7"/>
        <v>115796.77421134712</v>
      </c>
      <c r="I38" s="156">
        <f t="shared" si="0"/>
        <v>0</v>
      </c>
      <c r="J38" s="156"/>
      <c r="K38" s="334"/>
      <c r="L38" s="158">
        <f t="shared" si="1"/>
        <v>0</v>
      </c>
      <c r="M38" s="334"/>
      <c r="N38" s="158">
        <f t="shared" si="2"/>
        <v>0</v>
      </c>
      <c r="O38" s="158">
        <f t="shared" si="3"/>
        <v>0</v>
      </c>
      <c r="P38" s="4"/>
    </row>
    <row r="39" spans="2:16">
      <c r="B39" s="9" t="str">
        <f t="shared" si="4"/>
        <v/>
      </c>
      <c r="C39" s="153">
        <f>IF(D11="","-",+C38+1)</f>
        <v>2038</v>
      </c>
      <c r="D39" s="159">
        <f>IF(F38+SUM(E$17:E38)=D$10,F38,D$10-SUM(E$17:E38))</f>
        <v>781415.08099019434</v>
      </c>
      <c r="E39" s="160">
        <f>IF(+I14&lt;F38,I14,D39)</f>
        <v>36200.488372093023</v>
      </c>
      <c r="F39" s="159">
        <f t="shared" si="5"/>
        <v>745214.59261810128</v>
      </c>
      <c r="G39" s="161">
        <f t="shared" si="6"/>
        <v>112192.81024811658</v>
      </c>
      <c r="H39" s="142">
        <f t="shared" si="7"/>
        <v>112192.81024811658</v>
      </c>
      <c r="I39" s="156">
        <f t="shared" si="0"/>
        <v>0</v>
      </c>
      <c r="J39" s="156"/>
      <c r="K39" s="334"/>
      <c r="L39" s="158">
        <f t="shared" si="1"/>
        <v>0</v>
      </c>
      <c r="M39" s="334"/>
      <c r="N39" s="158">
        <f t="shared" si="2"/>
        <v>0</v>
      </c>
      <c r="O39" s="158">
        <f t="shared" si="3"/>
        <v>0</v>
      </c>
      <c r="P39" s="4"/>
    </row>
    <row r="40" spans="2:16">
      <c r="B40" s="9" t="str">
        <f t="shared" si="4"/>
        <v/>
      </c>
      <c r="C40" s="153">
        <f>IF(D11="","-",+C39+1)</f>
        <v>2039</v>
      </c>
      <c r="D40" s="159">
        <f>IF(F39+SUM(E$17:E39)=D$10,F39,D$10-SUM(E$17:E39))</f>
        <v>745214.59261810128</v>
      </c>
      <c r="E40" s="160">
        <f>IF(+I14&lt;F39,I14,D40)</f>
        <v>36200.488372093023</v>
      </c>
      <c r="F40" s="159">
        <f t="shared" si="5"/>
        <v>709014.10424600821</v>
      </c>
      <c r="G40" s="161">
        <f t="shared" si="6"/>
        <v>108588.84628488605</v>
      </c>
      <c r="H40" s="142">
        <f t="shared" si="7"/>
        <v>108588.84628488605</v>
      </c>
      <c r="I40" s="156">
        <f t="shared" si="0"/>
        <v>0</v>
      </c>
      <c r="J40" s="156"/>
      <c r="K40" s="334"/>
      <c r="L40" s="158">
        <f t="shared" si="1"/>
        <v>0</v>
      </c>
      <c r="M40" s="334"/>
      <c r="N40" s="158">
        <f t="shared" si="2"/>
        <v>0</v>
      </c>
      <c r="O40" s="158">
        <f t="shared" si="3"/>
        <v>0</v>
      </c>
      <c r="P40" s="4"/>
    </row>
    <row r="41" spans="2:16">
      <c r="B41" s="9" t="str">
        <f t="shared" si="4"/>
        <v/>
      </c>
      <c r="C41" s="153">
        <f>IF(D11="","-",+C40+1)</f>
        <v>2040</v>
      </c>
      <c r="D41" s="159">
        <f>IF(F40+SUM(E$17:E40)=D$10,F40,D$10-SUM(E$17:E40))</f>
        <v>709014.10424600821</v>
      </c>
      <c r="E41" s="160">
        <f>IF(+I14&lt;F40,I14,D41)</f>
        <v>36200.488372093023</v>
      </c>
      <c r="F41" s="159">
        <f t="shared" si="5"/>
        <v>672813.61587391514</v>
      </c>
      <c r="G41" s="161">
        <f t="shared" si="6"/>
        <v>104984.88232165552</v>
      </c>
      <c r="H41" s="142">
        <f t="shared" si="7"/>
        <v>104984.88232165552</v>
      </c>
      <c r="I41" s="156">
        <f t="shared" si="0"/>
        <v>0</v>
      </c>
      <c r="J41" s="156"/>
      <c r="K41" s="334"/>
      <c r="L41" s="158">
        <f t="shared" si="1"/>
        <v>0</v>
      </c>
      <c r="M41" s="334"/>
      <c r="N41" s="158">
        <f t="shared" si="2"/>
        <v>0</v>
      </c>
      <c r="O41" s="158">
        <f t="shared" si="3"/>
        <v>0</v>
      </c>
      <c r="P41" s="4"/>
    </row>
    <row r="42" spans="2:16">
      <c r="B42" s="9" t="str">
        <f t="shared" si="4"/>
        <v/>
      </c>
      <c r="C42" s="153">
        <f>IF(D11="","-",+C41+1)</f>
        <v>2041</v>
      </c>
      <c r="D42" s="159">
        <f>IF(F41+SUM(E$17:E41)=D$10,F41,D$10-SUM(E$17:E41))</f>
        <v>672813.61587391514</v>
      </c>
      <c r="E42" s="160">
        <f>IF(+I14&lt;F41,I14,D42)</f>
        <v>36200.488372093023</v>
      </c>
      <c r="F42" s="159">
        <f t="shared" si="5"/>
        <v>636613.12750182208</v>
      </c>
      <c r="G42" s="161">
        <f t="shared" si="6"/>
        <v>101380.918358425</v>
      </c>
      <c r="H42" s="142">
        <f t="shared" si="7"/>
        <v>101380.918358425</v>
      </c>
      <c r="I42" s="156">
        <f t="shared" si="0"/>
        <v>0</v>
      </c>
      <c r="J42" s="156"/>
      <c r="K42" s="334"/>
      <c r="L42" s="158">
        <f t="shared" si="1"/>
        <v>0</v>
      </c>
      <c r="M42" s="334"/>
      <c r="N42" s="158">
        <f t="shared" si="2"/>
        <v>0</v>
      </c>
      <c r="O42" s="158">
        <f t="shared" si="3"/>
        <v>0</v>
      </c>
      <c r="P42" s="4"/>
    </row>
    <row r="43" spans="2:16">
      <c r="B43" s="9" t="str">
        <f t="shared" si="4"/>
        <v/>
      </c>
      <c r="C43" s="153">
        <f>IF(D11="","-",+C42+1)</f>
        <v>2042</v>
      </c>
      <c r="D43" s="159">
        <f>IF(F42+SUM(E$17:E42)=D$10,F42,D$10-SUM(E$17:E42))</f>
        <v>636613.12750182208</v>
      </c>
      <c r="E43" s="160">
        <f>IF(+I14&lt;F42,I14,D43)</f>
        <v>36200.488372093023</v>
      </c>
      <c r="F43" s="159">
        <f t="shared" si="5"/>
        <v>600412.63912972901</v>
      </c>
      <c r="G43" s="161">
        <f t="shared" si="6"/>
        <v>97776.954395194451</v>
      </c>
      <c r="H43" s="142">
        <f t="shared" si="7"/>
        <v>97776.954395194451</v>
      </c>
      <c r="I43" s="156">
        <f t="shared" si="0"/>
        <v>0</v>
      </c>
      <c r="J43" s="156"/>
      <c r="K43" s="334"/>
      <c r="L43" s="158">
        <f t="shared" si="1"/>
        <v>0</v>
      </c>
      <c r="M43" s="334"/>
      <c r="N43" s="158">
        <f t="shared" si="2"/>
        <v>0</v>
      </c>
      <c r="O43" s="158">
        <f t="shared" si="3"/>
        <v>0</v>
      </c>
      <c r="P43" s="4"/>
    </row>
    <row r="44" spans="2:16">
      <c r="B44" s="9" t="str">
        <f t="shared" si="4"/>
        <v/>
      </c>
      <c r="C44" s="153">
        <f>IF(D11="","-",+C43+1)</f>
        <v>2043</v>
      </c>
      <c r="D44" s="159">
        <f>IF(F43+SUM(E$17:E43)=D$10,F43,D$10-SUM(E$17:E43))</f>
        <v>600412.63912972901</v>
      </c>
      <c r="E44" s="160">
        <f>IF(+I14&lt;F43,I14,D44)</f>
        <v>36200.488372093023</v>
      </c>
      <c r="F44" s="159">
        <f t="shared" si="5"/>
        <v>564212.15075763594</v>
      </c>
      <c r="G44" s="161">
        <f t="shared" si="6"/>
        <v>94172.990431963917</v>
      </c>
      <c r="H44" s="142">
        <f t="shared" si="7"/>
        <v>94172.990431963917</v>
      </c>
      <c r="I44" s="156">
        <f t="shared" si="0"/>
        <v>0</v>
      </c>
      <c r="J44" s="156"/>
      <c r="K44" s="334"/>
      <c r="L44" s="158">
        <f t="shared" si="1"/>
        <v>0</v>
      </c>
      <c r="M44" s="334"/>
      <c r="N44" s="158">
        <f t="shared" si="2"/>
        <v>0</v>
      </c>
      <c r="O44" s="158">
        <f t="shared" si="3"/>
        <v>0</v>
      </c>
      <c r="P44" s="4"/>
    </row>
    <row r="45" spans="2:16">
      <c r="B45" s="9" t="str">
        <f t="shared" si="4"/>
        <v/>
      </c>
      <c r="C45" s="153">
        <f>IF(D11="","-",+C44+1)</f>
        <v>2044</v>
      </c>
      <c r="D45" s="159">
        <f>IF(F44+SUM(E$17:E44)=D$10,F44,D$10-SUM(E$17:E44))</f>
        <v>564212.15075763594</v>
      </c>
      <c r="E45" s="160">
        <f>IF(+I14&lt;F44,I14,D45)</f>
        <v>36200.488372093023</v>
      </c>
      <c r="F45" s="159">
        <f t="shared" si="5"/>
        <v>528011.66238554288</v>
      </c>
      <c r="G45" s="161">
        <f t="shared" si="6"/>
        <v>90569.026468733384</v>
      </c>
      <c r="H45" s="142">
        <f t="shared" si="7"/>
        <v>90569.026468733384</v>
      </c>
      <c r="I45" s="156">
        <f t="shared" si="0"/>
        <v>0</v>
      </c>
      <c r="J45" s="156"/>
      <c r="K45" s="334"/>
      <c r="L45" s="158">
        <f t="shared" si="1"/>
        <v>0</v>
      </c>
      <c r="M45" s="334"/>
      <c r="N45" s="158">
        <f t="shared" si="2"/>
        <v>0</v>
      </c>
      <c r="O45" s="158">
        <f t="shared" si="3"/>
        <v>0</v>
      </c>
      <c r="P45" s="4"/>
    </row>
    <row r="46" spans="2:16">
      <c r="B46" s="9" t="str">
        <f t="shared" si="4"/>
        <v/>
      </c>
      <c r="C46" s="153">
        <f>IF(D11="","-",+C45+1)</f>
        <v>2045</v>
      </c>
      <c r="D46" s="159">
        <f>IF(F45+SUM(E$17:E45)=D$10,F45,D$10-SUM(E$17:E45))</f>
        <v>528011.66238554288</v>
      </c>
      <c r="E46" s="160">
        <f>IF(+I14&lt;F45,I14,D46)</f>
        <v>36200.488372093023</v>
      </c>
      <c r="F46" s="159">
        <f t="shared" si="5"/>
        <v>491811.17401344987</v>
      </c>
      <c r="G46" s="161">
        <f t="shared" si="6"/>
        <v>86965.06250550285</v>
      </c>
      <c r="H46" s="142">
        <f t="shared" si="7"/>
        <v>86965.06250550285</v>
      </c>
      <c r="I46" s="156">
        <f t="shared" si="0"/>
        <v>0</v>
      </c>
      <c r="J46" s="156"/>
      <c r="K46" s="334"/>
      <c r="L46" s="158">
        <f t="shared" si="1"/>
        <v>0</v>
      </c>
      <c r="M46" s="334"/>
      <c r="N46" s="158">
        <f t="shared" si="2"/>
        <v>0</v>
      </c>
      <c r="O46" s="158">
        <f t="shared" si="3"/>
        <v>0</v>
      </c>
      <c r="P46" s="4"/>
    </row>
    <row r="47" spans="2:16">
      <c r="B47" s="9" t="str">
        <f t="shared" si="4"/>
        <v/>
      </c>
      <c r="C47" s="153">
        <f>IF(D11="","-",+C46+1)</f>
        <v>2046</v>
      </c>
      <c r="D47" s="159">
        <f>IF(F46+SUM(E$17:E46)=D$10,F46,D$10-SUM(E$17:E46))</f>
        <v>491811.17401344987</v>
      </c>
      <c r="E47" s="160">
        <f>IF(+I14&lt;F46,I14,D47)</f>
        <v>36200.488372093023</v>
      </c>
      <c r="F47" s="159">
        <f t="shared" si="5"/>
        <v>455610.68564135686</v>
      </c>
      <c r="G47" s="161">
        <f t="shared" si="6"/>
        <v>83361.098542272332</v>
      </c>
      <c r="H47" s="142">
        <f t="shared" si="7"/>
        <v>83361.098542272332</v>
      </c>
      <c r="I47" s="156">
        <f t="shared" si="0"/>
        <v>0</v>
      </c>
      <c r="J47" s="156"/>
      <c r="K47" s="334"/>
      <c r="L47" s="158">
        <f t="shared" si="1"/>
        <v>0</v>
      </c>
      <c r="M47" s="334"/>
      <c r="N47" s="158">
        <f t="shared" si="2"/>
        <v>0</v>
      </c>
      <c r="O47" s="158">
        <f t="shared" si="3"/>
        <v>0</v>
      </c>
      <c r="P47" s="4"/>
    </row>
    <row r="48" spans="2:16">
      <c r="B48" s="9" t="str">
        <f t="shared" si="4"/>
        <v/>
      </c>
      <c r="C48" s="153">
        <f>IF(D11="","-",+C47+1)</f>
        <v>2047</v>
      </c>
      <c r="D48" s="159">
        <f>IF(F47+SUM(E$17:E47)=D$10,F47,D$10-SUM(E$17:E47))</f>
        <v>455610.68564135686</v>
      </c>
      <c r="E48" s="160">
        <f>IF(+I14&lt;F47,I14,D48)</f>
        <v>36200.488372093023</v>
      </c>
      <c r="F48" s="159">
        <f t="shared" si="5"/>
        <v>419410.19726926385</v>
      </c>
      <c r="G48" s="161">
        <f t="shared" si="6"/>
        <v>79757.134579041798</v>
      </c>
      <c r="H48" s="142">
        <f t="shared" si="7"/>
        <v>79757.134579041798</v>
      </c>
      <c r="I48" s="156">
        <f t="shared" si="0"/>
        <v>0</v>
      </c>
      <c r="J48" s="156"/>
      <c r="K48" s="334"/>
      <c r="L48" s="158">
        <f t="shared" si="1"/>
        <v>0</v>
      </c>
      <c r="M48" s="334"/>
      <c r="N48" s="158">
        <f t="shared" si="2"/>
        <v>0</v>
      </c>
      <c r="O48" s="158">
        <f t="shared" si="3"/>
        <v>0</v>
      </c>
      <c r="P48" s="4"/>
    </row>
    <row r="49" spans="2:16">
      <c r="B49" s="9" t="str">
        <f t="shared" si="4"/>
        <v/>
      </c>
      <c r="C49" s="153">
        <f>IF(D11="","-",+C48+1)</f>
        <v>2048</v>
      </c>
      <c r="D49" s="159">
        <f>IF(F48+SUM(E$17:E48)=D$10,F48,D$10-SUM(E$17:E48))</f>
        <v>419410.19726926385</v>
      </c>
      <c r="E49" s="160">
        <f>IF(+I14&lt;F48,I14,D49)</f>
        <v>36200.488372093023</v>
      </c>
      <c r="F49" s="159">
        <f t="shared" si="5"/>
        <v>383209.70889717084</v>
      </c>
      <c r="G49" s="161">
        <f t="shared" si="6"/>
        <v>76153.170615811279</v>
      </c>
      <c r="H49" s="142">
        <f t="shared" si="7"/>
        <v>76153.170615811279</v>
      </c>
      <c r="I49" s="156">
        <f t="shared" si="0"/>
        <v>0</v>
      </c>
      <c r="J49" s="156"/>
      <c r="K49" s="334"/>
      <c r="L49" s="158">
        <f t="shared" si="1"/>
        <v>0</v>
      </c>
      <c r="M49" s="334"/>
      <c r="N49" s="158">
        <f t="shared" si="2"/>
        <v>0</v>
      </c>
      <c r="O49" s="158">
        <f t="shared" si="3"/>
        <v>0</v>
      </c>
      <c r="P49" s="4"/>
    </row>
    <row r="50" spans="2:16">
      <c r="B50" s="9" t="str">
        <f t="shared" si="4"/>
        <v/>
      </c>
      <c r="C50" s="153">
        <f>IF(D11="","-",+C49+1)</f>
        <v>2049</v>
      </c>
      <c r="D50" s="159">
        <f>IF(F49+SUM(E$17:E49)=D$10,F49,D$10-SUM(E$17:E49))</f>
        <v>383209.70889717084</v>
      </c>
      <c r="E50" s="160">
        <f>IF(+I14&lt;F49,I14,D50)</f>
        <v>36200.488372093023</v>
      </c>
      <c r="F50" s="159">
        <f t="shared" si="5"/>
        <v>347009.22052507784</v>
      </c>
      <c r="G50" s="161">
        <f t="shared" ref="G50:G72" si="8">+I$12*((D50+F50)/2)+E50</f>
        <v>72549.206652580731</v>
      </c>
      <c r="H50" s="142">
        <f t="shared" ref="H50:H72" si="9">+I$13*((D50+F50)/2)+E50</f>
        <v>72549.206652580731</v>
      </c>
      <c r="I50" s="156">
        <f t="shared" si="0"/>
        <v>0</v>
      </c>
      <c r="J50" s="156"/>
      <c r="K50" s="334"/>
      <c r="L50" s="158">
        <f t="shared" si="1"/>
        <v>0</v>
      </c>
      <c r="M50" s="334"/>
      <c r="N50" s="158">
        <f t="shared" si="2"/>
        <v>0</v>
      </c>
      <c r="O50" s="158">
        <f t="shared" si="3"/>
        <v>0</v>
      </c>
      <c r="P50" s="4"/>
    </row>
    <row r="51" spans="2:16">
      <c r="B51" s="9" t="str">
        <f t="shared" si="4"/>
        <v/>
      </c>
      <c r="C51" s="153">
        <f>IF(D11="","-",+C50+1)</f>
        <v>2050</v>
      </c>
      <c r="D51" s="159">
        <f>IF(F50+SUM(E$17:E50)=D$10,F50,D$10-SUM(E$17:E50))</f>
        <v>347009.22052507784</v>
      </c>
      <c r="E51" s="160">
        <f>IF(+I14&lt;F50,I14,D51)</f>
        <v>36200.488372093023</v>
      </c>
      <c r="F51" s="159">
        <f t="shared" si="5"/>
        <v>310808.73215298483</v>
      </c>
      <c r="G51" s="161">
        <f t="shared" si="8"/>
        <v>68945.242689350212</v>
      </c>
      <c r="H51" s="142">
        <f t="shared" si="9"/>
        <v>68945.242689350212</v>
      </c>
      <c r="I51" s="156">
        <f t="shared" si="0"/>
        <v>0</v>
      </c>
      <c r="J51" s="156"/>
      <c r="K51" s="334"/>
      <c r="L51" s="158">
        <f t="shared" si="1"/>
        <v>0</v>
      </c>
      <c r="M51" s="334"/>
      <c r="N51" s="158">
        <f t="shared" si="2"/>
        <v>0</v>
      </c>
      <c r="O51" s="158">
        <f t="shared" si="3"/>
        <v>0</v>
      </c>
      <c r="P51" s="4"/>
    </row>
    <row r="52" spans="2:16">
      <c r="B52" s="9" t="str">
        <f t="shared" si="4"/>
        <v/>
      </c>
      <c r="C52" s="153">
        <f>IF(D11="","-",+C51+1)</f>
        <v>2051</v>
      </c>
      <c r="D52" s="159">
        <f>IF(F51+SUM(E$17:E51)=D$10,F51,D$10-SUM(E$17:E51))</f>
        <v>310808.73215298483</v>
      </c>
      <c r="E52" s="160">
        <f>IF(+I14&lt;F51,I14,D52)</f>
        <v>36200.488372093023</v>
      </c>
      <c r="F52" s="159">
        <f t="shared" si="5"/>
        <v>274608.24378089182</v>
      </c>
      <c r="G52" s="161">
        <f t="shared" si="8"/>
        <v>65341.278726119686</v>
      </c>
      <c r="H52" s="142">
        <f t="shared" si="9"/>
        <v>65341.278726119686</v>
      </c>
      <c r="I52" s="156">
        <f t="shared" si="0"/>
        <v>0</v>
      </c>
      <c r="J52" s="156"/>
      <c r="K52" s="334"/>
      <c r="L52" s="158">
        <f t="shared" si="1"/>
        <v>0</v>
      </c>
      <c r="M52" s="334"/>
      <c r="N52" s="158">
        <f t="shared" si="2"/>
        <v>0</v>
      </c>
      <c r="O52" s="158">
        <f t="shared" si="3"/>
        <v>0</v>
      </c>
      <c r="P52" s="4"/>
    </row>
    <row r="53" spans="2:16">
      <c r="B53" s="9" t="str">
        <f t="shared" si="4"/>
        <v/>
      </c>
      <c r="C53" s="153">
        <f>IF(D11="","-",+C52+1)</f>
        <v>2052</v>
      </c>
      <c r="D53" s="159">
        <f>IF(F52+SUM(E$17:E52)=D$10,F52,D$10-SUM(E$17:E52))</f>
        <v>274608.24378089182</v>
      </c>
      <c r="E53" s="160">
        <f>IF(+I14&lt;F52,I14,D53)</f>
        <v>36200.488372093023</v>
      </c>
      <c r="F53" s="159">
        <f t="shared" si="5"/>
        <v>238407.75540879881</v>
      </c>
      <c r="G53" s="161">
        <f t="shared" si="8"/>
        <v>61737.31476288916</v>
      </c>
      <c r="H53" s="142">
        <f t="shared" si="9"/>
        <v>61737.31476288916</v>
      </c>
      <c r="I53" s="156">
        <f t="shared" si="0"/>
        <v>0</v>
      </c>
      <c r="J53" s="156"/>
      <c r="K53" s="334"/>
      <c r="L53" s="158">
        <f t="shared" si="1"/>
        <v>0</v>
      </c>
      <c r="M53" s="334"/>
      <c r="N53" s="158">
        <f t="shared" si="2"/>
        <v>0</v>
      </c>
      <c r="O53" s="158">
        <f t="shared" si="3"/>
        <v>0</v>
      </c>
      <c r="P53" s="4"/>
    </row>
    <row r="54" spans="2:16">
      <c r="B54" s="9" t="str">
        <f t="shared" si="4"/>
        <v/>
      </c>
      <c r="C54" s="153">
        <f>IF(D11="","-",+C53+1)</f>
        <v>2053</v>
      </c>
      <c r="D54" s="159">
        <f>IF(F53+SUM(E$17:E53)=D$10,F53,D$10-SUM(E$17:E53))</f>
        <v>238407.75540879881</v>
      </c>
      <c r="E54" s="160">
        <f>IF(+I14&lt;F53,I14,D54)</f>
        <v>36200.488372093023</v>
      </c>
      <c r="F54" s="159">
        <f t="shared" si="5"/>
        <v>202207.2670367058</v>
      </c>
      <c r="G54" s="161">
        <f t="shared" si="8"/>
        <v>58133.350799658627</v>
      </c>
      <c r="H54" s="142">
        <f t="shared" si="9"/>
        <v>58133.350799658627</v>
      </c>
      <c r="I54" s="156">
        <f t="shared" si="0"/>
        <v>0</v>
      </c>
      <c r="J54" s="156"/>
      <c r="K54" s="334"/>
      <c r="L54" s="158">
        <f t="shared" si="1"/>
        <v>0</v>
      </c>
      <c r="M54" s="334"/>
      <c r="N54" s="158">
        <f t="shared" si="2"/>
        <v>0</v>
      </c>
      <c r="O54" s="158">
        <f t="shared" si="3"/>
        <v>0</v>
      </c>
      <c r="P54" s="4"/>
    </row>
    <row r="55" spans="2:16">
      <c r="B55" s="9" t="str">
        <f t="shared" si="4"/>
        <v/>
      </c>
      <c r="C55" s="153">
        <f>IF(D11="","-",+C54+1)</f>
        <v>2054</v>
      </c>
      <c r="D55" s="159">
        <f>IF(F54+SUM(E$17:E54)=D$10,F54,D$10-SUM(E$17:E54))</f>
        <v>202207.2670367058</v>
      </c>
      <c r="E55" s="160">
        <f>IF(+I14&lt;F54,I14,D55)</f>
        <v>36200.488372093023</v>
      </c>
      <c r="F55" s="159">
        <f t="shared" si="5"/>
        <v>166006.77866461279</v>
      </c>
      <c r="G55" s="161">
        <f t="shared" si="8"/>
        <v>54529.386836428108</v>
      </c>
      <c r="H55" s="142">
        <f t="shared" si="9"/>
        <v>54529.386836428108</v>
      </c>
      <c r="I55" s="156">
        <f t="shared" si="0"/>
        <v>0</v>
      </c>
      <c r="J55" s="156"/>
      <c r="K55" s="334"/>
      <c r="L55" s="158">
        <f t="shared" si="1"/>
        <v>0</v>
      </c>
      <c r="M55" s="334"/>
      <c r="N55" s="158">
        <f t="shared" si="2"/>
        <v>0</v>
      </c>
      <c r="O55" s="158">
        <f t="shared" si="3"/>
        <v>0</v>
      </c>
      <c r="P55" s="4"/>
    </row>
    <row r="56" spans="2:16">
      <c r="B56" s="9" t="str">
        <f t="shared" si="4"/>
        <v/>
      </c>
      <c r="C56" s="153">
        <f>IF(D11="","-",+C55+1)</f>
        <v>2055</v>
      </c>
      <c r="D56" s="159">
        <f>IF(F55+SUM(E$17:E55)=D$10,F55,D$10-SUM(E$17:E55))</f>
        <v>166006.77866461279</v>
      </c>
      <c r="E56" s="160">
        <f>IF(+I14&lt;F55,I14,D56)</f>
        <v>36200.488372093023</v>
      </c>
      <c r="F56" s="159">
        <f t="shared" si="5"/>
        <v>129806.29029251977</v>
      </c>
      <c r="G56" s="161">
        <f t="shared" si="8"/>
        <v>50925.422873197575</v>
      </c>
      <c r="H56" s="142">
        <f t="shared" si="9"/>
        <v>50925.422873197575</v>
      </c>
      <c r="I56" s="156">
        <f t="shared" si="0"/>
        <v>0</v>
      </c>
      <c r="J56" s="156"/>
      <c r="K56" s="334"/>
      <c r="L56" s="158">
        <f t="shared" si="1"/>
        <v>0</v>
      </c>
      <c r="M56" s="334"/>
      <c r="N56" s="158">
        <f t="shared" si="2"/>
        <v>0</v>
      </c>
      <c r="O56" s="158">
        <f t="shared" si="3"/>
        <v>0</v>
      </c>
      <c r="P56" s="4"/>
    </row>
    <row r="57" spans="2:16">
      <c r="B57" s="9" t="str">
        <f t="shared" si="4"/>
        <v/>
      </c>
      <c r="C57" s="153">
        <f>IF(D11="","-",+C56+1)</f>
        <v>2056</v>
      </c>
      <c r="D57" s="159">
        <f>IF(F56+SUM(E$17:E56)=D$10,F56,D$10-SUM(E$17:E56))</f>
        <v>129806.29029251977</v>
      </c>
      <c r="E57" s="160">
        <f>IF(+I14&lt;F56,I14,D57)</f>
        <v>36200.488372093023</v>
      </c>
      <c r="F57" s="159">
        <f t="shared" si="5"/>
        <v>93605.801920426748</v>
      </c>
      <c r="G57" s="161">
        <f t="shared" si="8"/>
        <v>47321.458909967041</v>
      </c>
      <c r="H57" s="142">
        <f t="shared" si="9"/>
        <v>47321.458909967041</v>
      </c>
      <c r="I57" s="156">
        <f t="shared" si="0"/>
        <v>0</v>
      </c>
      <c r="J57" s="156"/>
      <c r="K57" s="334"/>
      <c r="L57" s="158">
        <f t="shared" si="1"/>
        <v>0</v>
      </c>
      <c r="M57" s="334"/>
      <c r="N57" s="158">
        <f t="shared" si="2"/>
        <v>0</v>
      </c>
      <c r="O57" s="158">
        <f t="shared" si="3"/>
        <v>0</v>
      </c>
      <c r="P57" s="4"/>
    </row>
    <row r="58" spans="2:16">
      <c r="B58" s="9" t="str">
        <f t="shared" si="4"/>
        <v/>
      </c>
      <c r="C58" s="153">
        <f>IF(D11="","-",+C57+1)</f>
        <v>2057</v>
      </c>
      <c r="D58" s="159">
        <f>IF(F57+SUM(E$17:E57)=D$10,F57,D$10-SUM(E$17:E57))</f>
        <v>93605.801920426748</v>
      </c>
      <c r="E58" s="160">
        <f>IF(+I14&lt;F57,I14,D58)</f>
        <v>36200.488372093023</v>
      </c>
      <c r="F58" s="159">
        <f t="shared" si="5"/>
        <v>57405.313548333725</v>
      </c>
      <c r="G58" s="161">
        <f t="shared" si="8"/>
        <v>43717.494946736515</v>
      </c>
      <c r="H58" s="142">
        <f t="shared" si="9"/>
        <v>43717.494946736515</v>
      </c>
      <c r="I58" s="156">
        <f t="shared" si="0"/>
        <v>0</v>
      </c>
      <c r="J58" s="156"/>
      <c r="K58" s="334"/>
      <c r="L58" s="158">
        <f t="shared" si="1"/>
        <v>0</v>
      </c>
      <c r="M58" s="334"/>
      <c r="N58" s="158">
        <f t="shared" si="2"/>
        <v>0</v>
      </c>
      <c r="O58" s="158">
        <f t="shared" si="3"/>
        <v>0</v>
      </c>
      <c r="P58" s="4"/>
    </row>
    <row r="59" spans="2:16">
      <c r="B59" s="9" t="str">
        <f t="shared" si="4"/>
        <v/>
      </c>
      <c r="C59" s="153">
        <f>IF(D11="","-",+C58+1)</f>
        <v>2058</v>
      </c>
      <c r="D59" s="159">
        <f>IF(F58+SUM(E$17:E58)=D$10,F58,D$10-SUM(E$17:E58))</f>
        <v>57405.313548333725</v>
      </c>
      <c r="E59" s="160">
        <f>IF(+I14&lt;F58,I14,D59)</f>
        <v>36200.488372093023</v>
      </c>
      <c r="F59" s="159">
        <f t="shared" si="5"/>
        <v>21204.825176240702</v>
      </c>
      <c r="G59" s="161">
        <f t="shared" si="8"/>
        <v>40113.530983505989</v>
      </c>
      <c r="H59" s="142">
        <f t="shared" si="9"/>
        <v>40113.530983505989</v>
      </c>
      <c r="I59" s="156">
        <f t="shared" si="0"/>
        <v>0</v>
      </c>
      <c r="J59" s="156"/>
      <c r="K59" s="334"/>
      <c r="L59" s="158">
        <f t="shared" si="1"/>
        <v>0</v>
      </c>
      <c r="M59" s="334"/>
      <c r="N59" s="158">
        <f t="shared" si="2"/>
        <v>0</v>
      </c>
      <c r="O59" s="158">
        <f t="shared" si="3"/>
        <v>0</v>
      </c>
      <c r="P59" s="4"/>
    </row>
    <row r="60" spans="2:16">
      <c r="B60" s="9" t="str">
        <f t="shared" si="4"/>
        <v/>
      </c>
      <c r="C60" s="153">
        <f>IF(D11="","-",+C59+1)</f>
        <v>2059</v>
      </c>
      <c r="D60" s="159">
        <f>IF(F59+SUM(E$17:E59)=D$10,F59,D$10-SUM(E$17:E59))</f>
        <v>21204.825176240702</v>
      </c>
      <c r="E60" s="160">
        <f>IF(+I14&lt;F59,I14,D60)</f>
        <v>21204.825176240702</v>
      </c>
      <c r="F60" s="159">
        <f t="shared" si="5"/>
        <v>0</v>
      </c>
      <c r="G60" s="161">
        <f t="shared" si="8"/>
        <v>22260.355491139551</v>
      </c>
      <c r="H60" s="142">
        <f t="shared" si="9"/>
        <v>22260.355491139551</v>
      </c>
      <c r="I60" s="156">
        <f t="shared" si="0"/>
        <v>0</v>
      </c>
      <c r="J60" s="156"/>
      <c r="K60" s="334"/>
      <c r="L60" s="158">
        <f t="shared" si="1"/>
        <v>0</v>
      </c>
      <c r="M60" s="334"/>
      <c r="N60" s="158">
        <f t="shared" si="2"/>
        <v>0</v>
      </c>
      <c r="O60" s="158">
        <f t="shared" si="3"/>
        <v>0</v>
      </c>
      <c r="P60" s="4"/>
    </row>
    <row r="61" spans="2:16">
      <c r="B61" s="9" t="str">
        <f t="shared" si="4"/>
        <v/>
      </c>
      <c r="C61" s="153">
        <f>IF(D11="","-",+C60+1)</f>
        <v>2060</v>
      </c>
      <c r="D61" s="159">
        <f>IF(F60+SUM(E$17:E60)=D$10,F60,D$10-SUM(E$17:E60))</f>
        <v>0</v>
      </c>
      <c r="E61" s="160">
        <f>IF(+I14&lt;F60,I14,D61)</f>
        <v>0</v>
      </c>
      <c r="F61" s="159">
        <f t="shared" si="5"/>
        <v>0</v>
      </c>
      <c r="G61" s="163">
        <f t="shared" si="8"/>
        <v>0</v>
      </c>
      <c r="H61" s="142">
        <f t="shared" si="9"/>
        <v>0</v>
      </c>
      <c r="I61" s="156">
        <f t="shared" si="0"/>
        <v>0</v>
      </c>
      <c r="J61" s="156"/>
      <c r="K61" s="334"/>
      <c r="L61" s="158">
        <f t="shared" si="1"/>
        <v>0</v>
      </c>
      <c r="M61" s="334"/>
      <c r="N61" s="158">
        <f t="shared" si="2"/>
        <v>0</v>
      </c>
      <c r="O61" s="158">
        <f t="shared" si="3"/>
        <v>0</v>
      </c>
      <c r="P61" s="4"/>
    </row>
    <row r="62" spans="2:16">
      <c r="B62" s="9" t="str">
        <f t="shared" si="4"/>
        <v/>
      </c>
      <c r="C62" s="153">
        <f>IF(D11="","-",+C61+1)</f>
        <v>2061</v>
      </c>
      <c r="D62" s="159">
        <f>IF(F61+SUM(E$17:E61)=D$10,F61,D$10-SUM(E$17:E61))</f>
        <v>0</v>
      </c>
      <c r="E62" s="160">
        <f>IF(+I14&lt;F61,I14,D62)</f>
        <v>0</v>
      </c>
      <c r="F62" s="159">
        <f t="shared" si="5"/>
        <v>0</v>
      </c>
      <c r="G62" s="163">
        <f t="shared" si="8"/>
        <v>0</v>
      </c>
      <c r="H62" s="142">
        <f t="shared" si="9"/>
        <v>0</v>
      </c>
      <c r="I62" s="156">
        <f t="shared" si="0"/>
        <v>0</v>
      </c>
      <c r="J62" s="156"/>
      <c r="K62" s="334"/>
      <c r="L62" s="158">
        <f t="shared" si="1"/>
        <v>0</v>
      </c>
      <c r="M62" s="334"/>
      <c r="N62" s="158">
        <f t="shared" si="2"/>
        <v>0</v>
      </c>
      <c r="O62" s="158">
        <f t="shared" si="3"/>
        <v>0</v>
      </c>
      <c r="P62" s="4"/>
    </row>
    <row r="63" spans="2:16">
      <c r="B63" s="9" t="str">
        <f t="shared" si="4"/>
        <v/>
      </c>
      <c r="C63" s="153">
        <f>IF(D11="","-",+C62+1)</f>
        <v>2062</v>
      </c>
      <c r="D63" s="159">
        <f>IF(F62+SUM(E$17:E62)=D$10,F62,D$10-SUM(E$17:E62))</f>
        <v>0</v>
      </c>
      <c r="E63" s="160">
        <f>IF(+I14&lt;F62,I14,D63)</f>
        <v>0</v>
      </c>
      <c r="F63" s="159">
        <f t="shared" si="5"/>
        <v>0</v>
      </c>
      <c r="G63" s="163">
        <f t="shared" si="8"/>
        <v>0</v>
      </c>
      <c r="H63" s="142">
        <f t="shared" si="9"/>
        <v>0</v>
      </c>
      <c r="I63" s="156">
        <f t="shared" si="0"/>
        <v>0</v>
      </c>
      <c r="J63" s="156"/>
      <c r="K63" s="334"/>
      <c r="L63" s="158">
        <f t="shared" si="1"/>
        <v>0</v>
      </c>
      <c r="M63" s="334"/>
      <c r="N63" s="158">
        <f t="shared" si="2"/>
        <v>0</v>
      </c>
      <c r="O63" s="158">
        <f t="shared" si="3"/>
        <v>0</v>
      </c>
      <c r="P63" s="4"/>
    </row>
    <row r="64" spans="2:16">
      <c r="B64" s="9" t="str">
        <f t="shared" si="4"/>
        <v/>
      </c>
      <c r="C64" s="153">
        <f>IF(D11="","-",+C63+1)</f>
        <v>2063</v>
      </c>
      <c r="D64" s="159">
        <f>IF(F63+SUM(E$17:E63)=D$10,F63,D$10-SUM(E$17:E63))</f>
        <v>0</v>
      </c>
      <c r="E64" s="160">
        <f>IF(+I14&lt;F63,I14,D64)</f>
        <v>0</v>
      </c>
      <c r="F64" s="159">
        <f t="shared" si="5"/>
        <v>0</v>
      </c>
      <c r="G64" s="163">
        <f t="shared" si="8"/>
        <v>0</v>
      </c>
      <c r="H64" s="142">
        <f t="shared" si="9"/>
        <v>0</v>
      </c>
      <c r="I64" s="156">
        <f t="shared" si="0"/>
        <v>0</v>
      </c>
      <c r="J64" s="156"/>
      <c r="K64" s="334"/>
      <c r="L64" s="158">
        <f t="shared" si="1"/>
        <v>0</v>
      </c>
      <c r="M64" s="334"/>
      <c r="N64" s="158">
        <f t="shared" si="2"/>
        <v>0</v>
      </c>
      <c r="O64" s="158">
        <f t="shared" si="3"/>
        <v>0</v>
      </c>
      <c r="P64" s="4"/>
    </row>
    <row r="65" spans="2:16">
      <c r="B65" s="9" t="str">
        <f t="shared" si="4"/>
        <v/>
      </c>
      <c r="C65" s="153">
        <f>IF(D11="","-",+C64+1)</f>
        <v>2064</v>
      </c>
      <c r="D65" s="159">
        <f>IF(F64+SUM(E$17:E64)=D$10,F64,D$10-SUM(E$17:E64))</f>
        <v>0</v>
      </c>
      <c r="E65" s="160">
        <f>IF(+I14&lt;F64,I14,D65)</f>
        <v>0</v>
      </c>
      <c r="F65" s="159">
        <f t="shared" si="5"/>
        <v>0</v>
      </c>
      <c r="G65" s="163">
        <f t="shared" si="8"/>
        <v>0</v>
      </c>
      <c r="H65" s="142">
        <f t="shared" si="9"/>
        <v>0</v>
      </c>
      <c r="I65" s="156">
        <f t="shared" si="0"/>
        <v>0</v>
      </c>
      <c r="J65" s="156"/>
      <c r="K65" s="334"/>
      <c r="L65" s="158">
        <f t="shared" si="1"/>
        <v>0</v>
      </c>
      <c r="M65" s="334"/>
      <c r="N65" s="158">
        <f t="shared" si="2"/>
        <v>0</v>
      </c>
      <c r="O65" s="158">
        <f t="shared" si="3"/>
        <v>0</v>
      </c>
      <c r="P65" s="4"/>
    </row>
    <row r="66" spans="2:16">
      <c r="B66" s="9" t="str">
        <f t="shared" si="4"/>
        <v/>
      </c>
      <c r="C66" s="153">
        <f>IF(D11="","-",+C65+1)</f>
        <v>2065</v>
      </c>
      <c r="D66" s="159">
        <f>IF(F65+SUM(E$17:E65)=D$10,F65,D$10-SUM(E$17:E65))</f>
        <v>0</v>
      </c>
      <c r="E66" s="160">
        <f>IF(+I14&lt;F65,I14,D66)</f>
        <v>0</v>
      </c>
      <c r="F66" s="159">
        <f t="shared" si="5"/>
        <v>0</v>
      </c>
      <c r="G66" s="163">
        <f t="shared" si="8"/>
        <v>0</v>
      </c>
      <c r="H66" s="142">
        <f t="shared" si="9"/>
        <v>0</v>
      </c>
      <c r="I66" s="156">
        <f t="shared" si="0"/>
        <v>0</v>
      </c>
      <c r="J66" s="156"/>
      <c r="K66" s="334"/>
      <c r="L66" s="158">
        <f t="shared" si="1"/>
        <v>0</v>
      </c>
      <c r="M66" s="334"/>
      <c r="N66" s="158">
        <f t="shared" si="2"/>
        <v>0</v>
      </c>
      <c r="O66" s="158">
        <f t="shared" si="3"/>
        <v>0</v>
      </c>
      <c r="P66" s="4"/>
    </row>
    <row r="67" spans="2:16">
      <c r="B67" s="9" t="str">
        <f t="shared" si="4"/>
        <v/>
      </c>
      <c r="C67" s="153">
        <f>IF(D11="","-",+C66+1)</f>
        <v>2066</v>
      </c>
      <c r="D67" s="159">
        <f>IF(F66+SUM(E$17:E66)=D$10,F66,D$10-SUM(E$17:E66))</f>
        <v>0</v>
      </c>
      <c r="E67" s="160">
        <f>IF(+I14&lt;F66,I14,D67)</f>
        <v>0</v>
      </c>
      <c r="F67" s="159">
        <f t="shared" si="5"/>
        <v>0</v>
      </c>
      <c r="G67" s="163">
        <f t="shared" si="8"/>
        <v>0</v>
      </c>
      <c r="H67" s="142">
        <f t="shared" si="9"/>
        <v>0</v>
      </c>
      <c r="I67" s="156">
        <f t="shared" si="0"/>
        <v>0</v>
      </c>
      <c r="J67" s="156"/>
      <c r="K67" s="334"/>
      <c r="L67" s="158">
        <f t="shared" si="1"/>
        <v>0</v>
      </c>
      <c r="M67" s="334"/>
      <c r="N67" s="158">
        <f t="shared" si="2"/>
        <v>0</v>
      </c>
      <c r="O67" s="158">
        <f t="shared" si="3"/>
        <v>0</v>
      </c>
      <c r="P67" s="4"/>
    </row>
    <row r="68" spans="2:16">
      <c r="B68" s="9" t="str">
        <f t="shared" si="4"/>
        <v/>
      </c>
      <c r="C68" s="153">
        <f>IF(D11="","-",+C67+1)</f>
        <v>2067</v>
      </c>
      <c r="D68" s="159">
        <f>IF(F67+SUM(E$17:E67)=D$10,F67,D$10-SUM(E$17:E67))</f>
        <v>0</v>
      </c>
      <c r="E68" s="160">
        <f>IF(+I14&lt;F67,I14,D68)</f>
        <v>0</v>
      </c>
      <c r="F68" s="159">
        <f t="shared" si="5"/>
        <v>0</v>
      </c>
      <c r="G68" s="163">
        <f t="shared" si="8"/>
        <v>0</v>
      </c>
      <c r="H68" s="142">
        <f t="shared" si="9"/>
        <v>0</v>
      </c>
      <c r="I68" s="156">
        <f t="shared" si="0"/>
        <v>0</v>
      </c>
      <c r="J68" s="156"/>
      <c r="K68" s="334"/>
      <c r="L68" s="158">
        <f t="shared" si="1"/>
        <v>0</v>
      </c>
      <c r="M68" s="334"/>
      <c r="N68" s="158">
        <f t="shared" si="2"/>
        <v>0</v>
      </c>
      <c r="O68" s="158">
        <f t="shared" si="3"/>
        <v>0</v>
      </c>
      <c r="P68" s="4"/>
    </row>
    <row r="69" spans="2:16">
      <c r="B69" s="9" t="str">
        <f t="shared" si="4"/>
        <v/>
      </c>
      <c r="C69" s="153">
        <f>IF(D11="","-",+C68+1)</f>
        <v>2068</v>
      </c>
      <c r="D69" s="159">
        <f>IF(F68+SUM(E$17:E68)=D$10,F68,D$10-SUM(E$17:E68))</f>
        <v>0</v>
      </c>
      <c r="E69" s="160">
        <f>IF(+I14&lt;F68,I14,D69)</f>
        <v>0</v>
      </c>
      <c r="F69" s="159">
        <f t="shared" si="5"/>
        <v>0</v>
      </c>
      <c r="G69" s="163">
        <f t="shared" si="8"/>
        <v>0</v>
      </c>
      <c r="H69" s="142">
        <f t="shared" si="9"/>
        <v>0</v>
      </c>
      <c r="I69" s="156">
        <f t="shared" si="0"/>
        <v>0</v>
      </c>
      <c r="J69" s="156"/>
      <c r="K69" s="334"/>
      <c r="L69" s="158">
        <f t="shared" si="1"/>
        <v>0</v>
      </c>
      <c r="M69" s="334"/>
      <c r="N69" s="158">
        <f t="shared" si="2"/>
        <v>0</v>
      </c>
      <c r="O69" s="158">
        <f t="shared" si="3"/>
        <v>0</v>
      </c>
      <c r="P69" s="4"/>
    </row>
    <row r="70" spans="2:16">
      <c r="B70" s="9" t="str">
        <f t="shared" si="4"/>
        <v/>
      </c>
      <c r="C70" s="153">
        <f>IF(D11="","-",+C69+1)</f>
        <v>2069</v>
      </c>
      <c r="D70" s="159">
        <f>IF(F69+SUM(E$17:E69)=D$10,F69,D$10-SUM(E$17:E69))</f>
        <v>0</v>
      </c>
      <c r="E70" s="160">
        <f>IF(+I14&lt;F69,I14,D70)</f>
        <v>0</v>
      </c>
      <c r="F70" s="159">
        <f t="shared" si="5"/>
        <v>0</v>
      </c>
      <c r="G70" s="163">
        <f t="shared" si="8"/>
        <v>0</v>
      </c>
      <c r="H70" s="142">
        <f t="shared" si="9"/>
        <v>0</v>
      </c>
      <c r="I70" s="156">
        <f t="shared" si="0"/>
        <v>0</v>
      </c>
      <c r="J70" s="156"/>
      <c r="K70" s="334"/>
      <c r="L70" s="158">
        <f t="shared" si="1"/>
        <v>0</v>
      </c>
      <c r="M70" s="334"/>
      <c r="N70" s="158">
        <f t="shared" si="2"/>
        <v>0</v>
      </c>
      <c r="O70" s="158">
        <f t="shared" si="3"/>
        <v>0</v>
      </c>
      <c r="P70" s="4"/>
    </row>
    <row r="71" spans="2:16">
      <c r="B71" s="9" t="str">
        <f t="shared" si="4"/>
        <v/>
      </c>
      <c r="C71" s="153">
        <f>IF(D11="","-",+C70+1)</f>
        <v>2070</v>
      </c>
      <c r="D71" s="159">
        <f>IF(F70+SUM(E$17:E70)=D$10,F70,D$10-SUM(E$17:E70))</f>
        <v>0</v>
      </c>
      <c r="E71" s="160">
        <f>IF(+I14&lt;F70,I14,D71)</f>
        <v>0</v>
      </c>
      <c r="F71" s="159">
        <f t="shared" si="5"/>
        <v>0</v>
      </c>
      <c r="G71" s="163">
        <f t="shared" si="8"/>
        <v>0</v>
      </c>
      <c r="H71" s="142">
        <f t="shared" si="9"/>
        <v>0</v>
      </c>
      <c r="I71" s="156">
        <f t="shared" si="0"/>
        <v>0</v>
      </c>
      <c r="J71" s="156"/>
      <c r="K71" s="334"/>
      <c r="L71" s="158">
        <f t="shared" si="1"/>
        <v>0</v>
      </c>
      <c r="M71" s="334"/>
      <c r="N71" s="158">
        <f t="shared" si="2"/>
        <v>0</v>
      </c>
      <c r="O71" s="158">
        <f t="shared" si="3"/>
        <v>0</v>
      </c>
      <c r="P71" s="4"/>
    </row>
    <row r="72" spans="2:16" ht="13.5" thickBot="1">
      <c r="B72" s="9" t="str">
        <f t="shared" si="4"/>
        <v/>
      </c>
      <c r="C72" s="164">
        <f>IF(D11="","-",+C71+1)</f>
        <v>2071</v>
      </c>
      <c r="D72" s="165">
        <f>IF(F71+SUM(E$17:E71)=D$10,F71,D$10-SUM(E$17:E71))</f>
        <v>0</v>
      </c>
      <c r="E72" s="166">
        <f>IF(+I14&lt;F71,I14,D72)</f>
        <v>0</v>
      </c>
      <c r="F72" s="165">
        <f t="shared" si="5"/>
        <v>0</v>
      </c>
      <c r="G72" s="167">
        <f t="shared" si="8"/>
        <v>0</v>
      </c>
      <c r="H72" s="124">
        <f t="shared" si="9"/>
        <v>0</v>
      </c>
      <c r="I72" s="168">
        <f t="shared" si="0"/>
        <v>0</v>
      </c>
      <c r="J72" s="156"/>
      <c r="K72" s="335"/>
      <c r="L72" s="169">
        <f t="shared" si="1"/>
        <v>0</v>
      </c>
      <c r="M72" s="335"/>
      <c r="N72" s="169">
        <f t="shared" si="2"/>
        <v>0</v>
      </c>
      <c r="O72" s="169">
        <f t="shared" si="3"/>
        <v>0</v>
      </c>
      <c r="P72" s="4"/>
    </row>
    <row r="73" spans="2:16">
      <c r="C73" s="154" t="s">
        <v>73</v>
      </c>
      <c r="D73" s="111"/>
      <c r="E73" s="111">
        <f>SUM(E17:E72)</f>
        <v>1556620.9999999998</v>
      </c>
      <c r="F73" s="111"/>
      <c r="G73" s="111">
        <f>SUM(G17:G72)</f>
        <v>5023606.4204030633</v>
      </c>
      <c r="H73" s="111">
        <f>SUM(H17:H72)</f>
        <v>5023606.4204030633</v>
      </c>
      <c r="I73" s="111">
        <f>SUM(I17:I72)</f>
        <v>0</v>
      </c>
      <c r="J73" s="111"/>
      <c r="K73" s="111"/>
      <c r="L73" s="111"/>
      <c r="M73" s="111"/>
      <c r="N73" s="111"/>
      <c r="O73" s="4"/>
      <c r="P73" s="4"/>
    </row>
    <row r="74" spans="2:16">
      <c r="D74" s="2"/>
      <c r="E74" s="1"/>
      <c r="F74" s="1"/>
      <c r="G74" s="1"/>
      <c r="H74" s="3"/>
      <c r="I74" s="3"/>
      <c r="J74" s="111"/>
      <c r="K74" s="3"/>
      <c r="L74" s="3"/>
      <c r="M74" s="3"/>
      <c r="N74" s="3"/>
      <c r="O74" s="1"/>
      <c r="P74" s="1"/>
    </row>
    <row r="75" spans="2:16">
      <c r="C75" s="170" t="s">
        <v>91</v>
      </c>
      <c r="D75" s="2"/>
      <c r="E75" s="1"/>
      <c r="F75" s="1"/>
      <c r="G75" s="1"/>
      <c r="H75" s="3"/>
      <c r="I75" s="3"/>
      <c r="J75" s="111"/>
      <c r="K75" s="3"/>
      <c r="L75" s="3"/>
      <c r="M75" s="3"/>
      <c r="N75" s="3"/>
      <c r="O75" s="1"/>
      <c r="P75" s="1"/>
    </row>
    <row r="76" spans="2:16">
      <c r="C76" s="121" t="s">
        <v>74</v>
      </c>
      <c r="D76" s="2"/>
      <c r="E76" s="1"/>
      <c r="F76" s="1"/>
      <c r="G76" s="1"/>
      <c r="H76" s="3"/>
      <c r="I76" s="3"/>
      <c r="J76" s="111"/>
      <c r="K76" s="3"/>
      <c r="L76" s="3"/>
      <c r="M76" s="3"/>
      <c r="N76" s="3"/>
      <c r="O76" s="4"/>
      <c r="P76" s="4"/>
    </row>
    <row r="77" spans="2:16">
      <c r="C77" s="121" t="s">
        <v>75</v>
      </c>
      <c r="D77" s="154"/>
      <c r="E77" s="154"/>
      <c r="F77" s="154"/>
      <c r="G77" s="111"/>
      <c r="H77" s="111"/>
      <c r="I77" s="171"/>
      <c r="J77" s="171"/>
      <c r="K77" s="171"/>
      <c r="L77" s="171"/>
      <c r="M77" s="171"/>
      <c r="N77" s="171"/>
      <c r="O77" s="4"/>
      <c r="P77" s="4"/>
    </row>
    <row r="78" spans="2:16">
      <c r="C78" s="121"/>
      <c r="D78" s="154"/>
      <c r="E78" s="154"/>
      <c r="F78" s="154"/>
      <c r="G78" s="111"/>
      <c r="H78" s="111"/>
      <c r="I78" s="171"/>
      <c r="J78" s="171"/>
      <c r="K78" s="171"/>
      <c r="L78" s="171"/>
      <c r="M78" s="171"/>
      <c r="N78" s="171"/>
      <c r="O78" s="4"/>
      <c r="P78" s="1"/>
    </row>
    <row r="79" spans="2:16">
      <c r="B79" s="1"/>
      <c r="C79" s="21"/>
      <c r="D79" s="2"/>
      <c r="E79" s="1"/>
      <c r="F79" s="107"/>
      <c r="G79" s="1"/>
      <c r="H79" s="3"/>
      <c r="I79" s="1"/>
      <c r="J79" s="4"/>
      <c r="K79" s="1"/>
      <c r="L79" s="1"/>
      <c r="M79" s="1"/>
      <c r="N79" s="1"/>
      <c r="O79" s="1"/>
      <c r="P79" s="1"/>
    </row>
    <row r="80" spans="2:16" ht="18">
      <c r="B80" s="1"/>
      <c r="C80" s="242"/>
      <c r="D80" s="2"/>
      <c r="E80" s="1"/>
      <c r="F80" s="107"/>
      <c r="G80" s="1"/>
      <c r="H80" s="3"/>
      <c r="I80" s="1"/>
      <c r="J80" s="4"/>
      <c r="K80" s="1"/>
      <c r="L80" s="1"/>
      <c r="M80" s="1"/>
      <c r="N80" s="1"/>
      <c r="P80" s="244" t="s">
        <v>125</v>
      </c>
    </row>
    <row r="81" spans="1:16">
      <c r="B81" s="1"/>
      <c r="C81" s="21"/>
      <c r="D81" s="2"/>
      <c r="E81" s="1"/>
      <c r="F81" s="107"/>
      <c r="G81" s="1"/>
      <c r="H81" s="3"/>
      <c r="I81" s="1"/>
      <c r="J81" s="4"/>
      <c r="K81" s="1"/>
      <c r="L81" s="1"/>
      <c r="M81" s="1"/>
      <c r="N81" s="1"/>
      <c r="O81" s="1"/>
      <c r="P81" s="1"/>
    </row>
    <row r="82" spans="1:16">
      <c r="B82" s="1"/>
      <c r="C82" s="21"/>
      <c r="D82" s="2"/>
      <c r="E82" s="1"/>
      <c r="F82" s="107"/>
      <c r="G82" s="1"/>
      <c r="H82" s="3"/>
      <c r="I82" s="1"/>
      <c r="J82" s="4"/>
      <c r="K82" s="1"/>
      <c r="L82" s="1"/>
      <c r="M82" s="1"/>
      <c r="N82" s="1"/>
      <c r="O82" s="1"/>
      <c r="P82" s="1"/>
    </row>
    <row r="83" spans="1:16" ht="20.25">
      <c r="A83" s="243" t="s">
        <v>129</v>
      </c>
      <c r="B83" s="1"/>
      <c r="C83" s="21"/>
      <c r="D83" s="2"/>
      <c r="E83" s="1"/>
      <c r="F83" s="99"/>
      <c r="G83" s="99"/>
      <c r="H83" s="1"/>
      <c r="I83" s="3"/>
      <c r="K83" s="7"/>
      <c r="L83" s="109"/>
      <c r="M83" s="109"/>
      <c r="P83" s="109" t="str">
        <f ca="1">P1</f>
        <v>SWEPCO Project 56 of 73</v>
      </c>
    </row>
    <row r="84" spans="1:16" ht="18">
      <c r="B84" s="1"/>
      <c r="C84" s="1"/>
      <c r="D84" s="2"/>
      <c r="E84" s="1"/>
      <c r="F84" s="1"/>
      <c r="G84" s="1"/>
      <c r="H84" s="1"/>
      <c r="I84" s="3"/>
      <c r="J84" s="1"/>
      <c r="K84" s="4"/>
      <c r="L84" s="1"/>
      <c r="M84" s="1"/>
      <c r="P84" s="244" t="s">
        <v>123</v>
      </c>
    </row>
    <row r="85" spans="1:16" ht="18.75" thickBot="1">
      <c r="B85" s="5" t="s">
        <v>40</v>
      </c>
      <c r="C85" s="197" t="s">
        <v>78</v>
      </c>
      <c r="D85" s="2"/>
      <c r="E85" s="1"/>
      <c r="F85" s="1"/>
      <c r="G85" s="1"/>
      <c r="H85" s="1"/>
      <c r="I85" s="3"/>
      <c r="J85" s="3"/>
      <c r="K85" s="111"/>
      <c r="L85" s="3"/>
      <c r="M85" s="3"/>
      <c r="N85" s="3"/>
      <c r="O85" s="111"/>
      <c r="P85" s="1"/>
    </row>
    <row r="86" spans="1:16" ht="15.75" thickBot="1">
      <c r="C86" s="67"/>
      <c r="D86" s="2"/>
      <c r="E86" s="1"/>
      <c r="F86" s="1"/>
      <c r="G86" s="1"/>
      <c r="H86" s="1"/>
      <c r="I86" s="3"/>
      <c r="J86" s="3"/>
      <c r="K86" s="111"/>
      <c r="L86" s="265">
        <f>+J92</f>
        <v>2017</v>
      </c>
      <c r="M86" s="266" t="s">
        <v>7</v>
      </c>
      <c r="N86" s="270" t="s">
        <v>154</v>
      </c>
      <c r="O86" s="267" t="s">
        <v>9</v>
      </c>
      <c r="P86" s="1"/>
    </row>
    <row r="87" spans="1:16" ht="15">
      <c r="C87" s="235" t="s">
        <v>42</v>
      </c>
      <c r="D87" s="2"/>
      <c r="E87" s="1"/>
      <c r="F87" s="1"/>
      <c r="G87" s="1"/>
      <c r="H87" s="113"/>
      <c r="I87" s="1" t="s">
        <v>43</v>
      </c>
      <c r="J87" s="1"/>
      <c r="K87" s="261"/>
      <c r="L87" s="259" t="s">
        <v>381</v>
      </c>
      <c r="M87" s="198">
        <f>IF(J92&lt;D11,0,VLOOKUP(J92,C17:O72,9))</f>
        <v>225172.65115998022</v>
      </c>
      <c r="N87" s="198">
        <f>IF(J92&lt;D11,0,VLOOKUP(J92,C17:O72,11))</f>
        <v>225172.65115998022</v>
      </c>
      <c r="O87" s="199">
        <f>+N87-M87</f>
        <v>0</v>
      </c>
      <c r="P87" s="1"/>
    </row>
    <row r="88" spans="1:16" ht="15.75">
      <c r="C88" s="8"/>
      <c r="D88" s="2"/>
      <c r="E88" s="1"/>
      <c r="F88" s="1"/>
      <c r="G88" s="1"/>
      <c r="H88" s="1"/>
      <c r="I88" s="117"/>
      <c r="J88" s="117"/>
      <c r="K88" s="263"/>
      <c r="L88" s="264" t="s">
        <v>382</v>
      </c>
      <c r="M88" s="200">
        <f>IF(J92&lt;D11,0,VLOOKUP(J92,C99:P154,6))</f>
        <v>221922.13391446637</v>
      </c>
      <c r="N88" s="200">
        <f>IF(J92&lt;D11,0,VLOOKUP(J92,C99:P154,7))</f>
        <v>221922.13391446637</v>
      </c>
      <c r="O88" s="201">
        <f>+N88-M88</f>
        <v>0</v>
      </c>
      <c r="P88" s="1"/>
    </row>
    <row r="89" spans="1:16" ht="13.5" thickBot="1">
      <c r="C89" s="121" t="s">
        <v>79</v>
      </c>
      <c r="D89" s="246" t="str">
        <f>+D7</f>
        <v>Logansport 138 kv</v>
      </c>
      <c r="E89" s="1"/>
      <c r="F89" s="1"/>
      <c r="G89" s="1"/>
      <c r="H89" s="1"/>
      <c r="I89" s="3"/>
      <c r="J89" s="3"/>
      <c r="K89" s="262"/>
      <c r="L89" s="260" t="s">
        <v>151</v>
      </c>
      <c r="M89" s="203">
        <f>+M88-M87</f>
        <v>-3250.5172455138527</v>
      </c>
      <c r="N89" s="203">
        <f>+N88-N87</f>
        <v>-3250.5172455138527</v>
      </c>
      <c r="O89" s="204">
        <f>+O88-O87</f>
        <v>0</v>
      </c>
      <c r="P89" s="1"/>
    </row>
    <row r="90" spans="1:16" ht="13.5" thickBot="1">
      <c r="C90" s="170"/>
      <c r="D90" s="173" t="str">
        <f>D8</f>
        <v/>
      </c>
      <c r="E90" s="107"/>
      <c r="F90" s="107"/>
      <c r="G90" s="107"/>
      <c r="H90" s="126"/>
      <c r="I90" s="3"/>
      <c r="J90" s="3"/>
      <c r="K90" s="111"/>
      <c r="L90" s="3"/>
      <c r="M90" s="3"/>
      <c r="N90" s="3"/>
      <c r="O90" s="111"/>
      <c r="P90" s="1"/>
    </row>
    <row r="91" spans="1:16" ht="13.5" thickBot="1">
      <c r="A91" s="103"/>
      <c r="C91" s="205" t="s">
        <v>80</v>
      </c>
      <c r="D91" s="224" t="str">
        <f>+D9</f>
        <v>TP2011022</v>
      </c>
      <c r="E91" s="206"/>
      <c r="F91" s="206"/>
      <c r="G91" s="206"/>
      <c r="H91" s="206"/>
      <c r="I91" s="206"/>
      <c r="J91" s="206"/>
      <c r="K91" s="207"/>
      <c r="P91" s="131"/>
    </row>
    <row r="92" spans="1:16">
      <c r="C92" s="136" t="s">
        <v>47</v>
      </c>
      <c r="D92" s="133">
        <v>1558181</v>
      </c>
      <c r="E92" s="21" t="s">
        <v>81</v>
      </c>
      <c r="H92" s="134"/>
      <c r="I92" s="134"/>
      <c r="J92" s="135">
        <f>+'SWE.WS.G.BPU.ATRR.True-up'!M15</f>
        <v>2017</v>
      </c>
      <c r="K92" s="130"/>
      <c r="L92" s="111" t="s">
        <v>82</v>
      </c>
      <c r="P92" s="4"/>
    </row>
    <row r="93" spans="1:16">
      <c r="C93" s="136" t="s">
        <v>49</v>
      </c>
      <c r="D93" s="219">
        <f>IF(D11=I10,"",D11)</f>
        <v>2016</v>
      </c>
      <c r="E93" s="136" t="s">
        <v>50</v>
      </c>
      <c r="F93" s="134"/>
      <c r="G93" s="134"/>
      <c r="J93" s="138">
        <f>IF(H87="",0,'SWE.WS.G.BPU.ATRR.True-up'!$F$12)</f>
        <v>0</v>
      </c>
      <c r="K93" s="139"/>
      <c r="L93" t="str">
        <f>"          INPUT TRUE-UP ARR (WITH &amp; WITHOUT INCENTIVES) FROM EACH PRIOR YEAR"</f>
        <v xml:space="preserve">          INPUT TRUE-UP ARR (WITH &amp; WITHOUT INCENTIVES) FROM EACH PRIOR YEAR</v>
      </c>
      <c r="P93" s="4"/>
    </row>
    <row r="94" spans="1:16">
      <c r="C94" s="136" t="s">
        <v>51</v>
      </c>
      <c r="D94" s="218">
        <f>IF(D11=I10,"",D12)</f>
        <v>9</v>
      </c>
      <c r="E94" s="136" t="s">
        <v>52</v>
      </c>
      <c r="F94" s="134"/>
      <c r="G94" s="134"/>
      <c r="J94" s="140">
        <f>'SWE.WS.G.BPU.ATRR.True-up'!$F$80</f>
        <v>0.12147145768398206</v>
      </c>
      <c r="K94" s="141"/>
      <c r="L94" t="s">
        <v>83</v>
      </c>
      <c r="P94" s="4"/>
    </row>
    <row r="95" spans="1:16">
      <c r="C95" s="136" t="s">
        <v>54</v>
      </c>
      <c r="D95" s="138">
        <f>'SWE.WS.G.BPU.ATRR.True-up'!F$92</f>
        <v>42</v>
      </c>
      <c r="E95" s="136" t="s">
        <v>55</v>
      </c>
      <c r="F95" s="134"/>
      <c r="G95" s="134"/>
      <c r="J95" s="140">
        <f>IF(H87="",J94,'SWE.WS.G.BPU.ATRR.True-up'!$F$79)</f>
        <v>0.12147145768398206</v>
      </c>
      <c r="K95" s="58"/>
      <c r="L95" s="111" t="s">
        <v>56</v>
      </c>
      <c r="M95" s="58"/>
      <c r="N95" s="58"/>
      <c r="O95" s="58"/>
      <c r="P95" s="4"/>
    </row>
    <row r="96" spans="1:16" ht="13.5" thickBot="1">
      <c r="C96" s="136" t="s">
        <v>57</v>
      </c>
      <c r="D96" s="220" t="str">
        <f>+D14</f>
        <v>No</v>
      </c>
      <c r="E96" s="202" t="s">
        <v>59</v>
      </c>
      <c r="F96" s="208"/>
      <c r="G96" s="208"/>
      <c r="H96" s="209"/>
      <c r="I96" s="209"/>
      <c r="J96" s="124">
        <f>IF(D92=0,0,D92/D95)</f>
        <v>37099.547619047618</v>
      </c>
      <c r="K96" s="111"/>
      <c r="L96" s="111"/>
      <c r="M96" s="111"/>
      <c r="N96" s="111"/>
      <c r="O96" s="111"/>
      <c r="P96" s="4"/>
    </row>
    <row r="97" spans="1:16" ht="38.25">
      <c r="A97" s="6"/>
      <c r="B97" s="6"/>
      <c r="C97" s="210" t="s">
        <v>47</v>
      </c>
      <c r="D97" s="211" t="s">
        <v>60</v>
      </c>
      <c r="E97" s="146" t="s">
        <v>61</v>
      </c>
      <c r="F97" s="146" t="s">
        <v>62</v>
      </c>
      <c r="G97" s="144" t="s">
        <v>84</v>
      </c>
      <c r="H97" s="434" t="s">
        <v>378</v>
      </c>
      <c r="I97" s="435" t="s">
        <v>379</v>
      </c>
      <c r="J97" s="210" t="s">
        <v>85</v>
      </c>
      <c r="K97" s="212"/>
      <c r="L97" s="271" t="s">
        <v>220</v>
      </c>
      <c r="M97" s="146" t="s">
        <v>86</v>
      </c>
      <c r="N97" s="271" t="s">
        <v>220</v>
      </c>
      <c r="O97" s="146" t="s">
        <v>86</v>
      </c>
      <c r="P97" s="146" t="s">
        <v>65</v>
      </c>
    </row>
    <row r="98" spans="1:16" ht="13.5" thickBot="1">
      <c r="C98" s="147" t="s">
        <v>66</v>
      </c>
      <c r="D98" s="213" t="s">
        <v>67</v>
      </c>
      <c r="E98" s="147" t="s">
        <v>68</v>
      </c>
      <c r="F98" s="147" t="s">
        <v>67</v>
      </c>
      <c r="G98" s="147" t="s">
        <v>67</v>
      </c>
      <c r="H98" s="255" t="s">
        <v>69</v>
      </c>
      <c r="I98" s="148" t="s">
        <v>70</v>
      </c>
      <c r="J98" s="149" t="s">
        <v>89</v>
      </c>
      <c r="K98" s="150"/>
      <c r="L98" s="151" t="s">
        <v>72</v>
      </c>
      <c r="M98" s="151" t="s">
        <v>72</v>
      </c>
      <c r="N98" s="151" t="s">
        <v>90</v>
      </c>
      <c r="O98" s="151" t="s">
        <v>90</v>
      </c>
      <c r="P98" s="151" t="s">
        <v>90</v>
      </c>
    </row>
    <row r="99" spans="1:16">
      <c r="C99" s="153">
        <f>IF(D93= "","-",D93)</f>
        <v>2016</v>
      </c>
      <c r="D99" s="387">
        <v>0</v>
      </c>
      <c r="E99" s="390">
        <v>18100.244186046511</v>
      </c>
      <c r="F99" s="389">
        <v>1538520.7558139535</v>
      </c>
      <c r="G99" s="455">
        <v>769260.37790697673</v>
      </c>
      <c r="H99" s="456">
        <v>115757.84015203809</v>
      </c>
      <c r="I99" s="457">
        <v>115757.84015203809</v>
      </c>
      <c r="J99" s="458">
        <v>0</v>
      </c>
      <c r="K99" s="158"/>
      <c r="L99" s="256">
        <v>115757.84015203809</v>
      </c>
      <c r="M99" s="172">
        <v>0</v>
      </c>
      <c r="N99" s="256">
        <v>115757.84015203809</v>
      </c>
      <c r="O99" s="172">
        <v>0</v>
      </c>
      <c r="P99" s="172">
        <v>0</v>
      </c>
    </row>
    <row r="100" spans="1:16">
      <c r="B100" s="9" t="str">
        <f>IF(D100=F99,"","IU")</f>
        <v>IU</v>
      </c>
      <c r="C100" s="153">
        <f>IF(D93="","-",+C99+1)</f>
        <v>2017</v>
      </c>
      <c r="D100" s="154">
        <f>IF(F99+SUM(E$99:E99)=D$92,F99,D$92-SUM(E$99:E99))</f>
        <v>1540080.7558139535</v>
      </c>
      <c r="E100" s="160">
        <f>IF(+J96&lt;F99,J96,D100)</f>
        <v>37099.547619047618</v>
      </c>
      <c r="F100" s="159">
        <f t="shared" ref="F100:F130" si="10">+D100-E100</f>
        <v>1502981.2081949059</v>
      </c>
      <c r="G100" s="159">
        <f t="shared" ref="G100:G130" si="11">+(F100+D100)/2</f>
        <v>1521530.9820044297</v>
      </c>
      <c r="H100" s="163">
        <f t="shared" ref="H100:H154" si="12">+J$94*G100+E100</f>
        <v>221922.13391446637</v>
      </c>
      <c r="I100" s="253">
        <f t="shared" ref="I100:I154" si="13">+J$95*G100+E100</f>
        <v>221922.13391446637</v>
      </c>
      <c r="J100" s="158">
        <f t="shared" ref="J100:J130" si="14">+I100-H100</f>
        <v>0</v>
      </c>
      <c r="K100" s="158"/>
      <c r="L100" s="334"/>
      <c r="M100" s="158">
        <f t="shared" ref="M100:M130" si="15">IF(L100&lt;&gt;0,+H100-L100,0)</f>
        <v>0</v>
      </c>
      <c r="N100" s="334"/>
      <c r="O100" s="158">
        <f t="shared" ref="O100:O130" si="16">IF(N100&lt;&gt;0,+I100-N100,0)</f>
        <v>0</v>
      </c>
      <c r="P100" s="158">
        <f t="shared" ref="P100:P130" si="17">+O100-M100</f>
        <v>0</v>
      </c>
    </row>
    <row r="101" spans="1:16">
      <c r="B101" s="9" t="str">
        <f t="shared" ref="B101:B154" si="18">IF(D101=F100,"","IU")</f>
        <v/>
      </c>
      <c r="C101" s="153">
        <f>IF(D93="","-",+C100+1)</f>
        <v>2018</v>
      </c>
      <c r="D101" s="154">
        <f>IF(F100+SUM(E$99:E100)=D$92,F100,D$92-SUM(E$99:E100))</f>
        <v>1502981.2081949059</v>
      </c>
      <c r="E101" s="160">
        <f>IF(+J96&lt;F100,J96,D101)</f>
        <v>37099.547619047618</v>
      </c>
      <c r="F101" s="159">
        <f t="shared" si="10"/>
        <v>1465881.6605758583</v>
      </c>
      <c r="G101" s="159">
        <f t="shared" si="11"/>
        <v>1484431.4343853821</v>
      </c>
      <c r="H101" s="163">
        <f t="shared" si="12"/>
        <v>217415.59778576437</v>
      </c>
      <c r="I101" s="253">
        <f t="shared" si="13"/>
        <v>217415.59778576437</v>
      </c>
      <c r="J101" s="158">
        <f t="shared" si="14"/>
        <v>0</v>
      </c>
      <c r="K101" s="158"/>
      <c r="L101" s="334"/>
      <c r="M101" s="158">
        <f t="shared" si="15"/>
        <v>0</v>
      </c>
      <c r="N101" s="334"/>
      <c r="O101" s="158">
        <f t="shared" si="16"/>
        <v>0</v>
      </c>
      <c r="P101" s="158">
        <f t="shared" si="17"/>
        <v>0</v>
      </c>
    </row>
    <row r="102" spans="1:16">
      <c r="B102" s="9" t="str">
        <f t="shared" si="18"/>
        <v/>
      </c>
      <c r="C102" s="153">
        <f>IF(D93="","-",+C101+1)</f>
        <v>2019</v>
      </c>
      <c r="D102" s="154">
        <f>IF(F101+SUM(E$99:E101)=D$92,F101,D$92-SUM(E$99:E101))</f>
        <v>1465881.6605758583</v>
      </c>
      <c r="E102" s="160">
        <f>IF(+J96&lt;F101,J96,D102)</f>
        <v>37099.547619047618</v>
      </c>
      <c r="F102" s="159">
        <f t="shared" si="10"/>
        <v>1428782.1129568107</v>
      </c>
      <c r="G102" s="159">
        <f t="shared" si="11"/>
        <v>1447331.8867663345</v>
      </c>
      <c r="H102" s="163">
        <f t="shared" si="12"/>
        <v>212909.06165706232</v>
      </c>
      <c r="I102" s="253">
        <f t="shared" si="13"/>
        <v>212909.06165706232</v>
      </c>
      <c r="J102" s="158">
        <f t="shared" si="14"/>
        <v>0</v>
      </c>
      <c r="K102" s="158"/>
      <c r="L102" s="334"/>
      <c r="M102" s="158">
        <f t="shared" si="15"/>
        <v>0</v>
      </c>
      <c r="N102" s="334"/>
      <c r="O102" s="158">
        <f t="shared" si="16"/>
        <v>0</v>
      </c>
      <c r="P102" s="158">
        <f t="shared" si="17"/>
        <v>0</v>
      </c>
    </row>
    <row r="103" spans="1:16">
      <c r="B103" s="9" t="str">
        <f t="shared" si="18"/>
        <v/>
      </c>
      <c r="C103" s="153">
        <f>IF(D93="","-",+C102+1)</f>
        <v>2020</v>
      </c>
      <c r="D103" s="154">
        <f>IF(F102+SUM(E$99:E102)=D$92,F102,D$92-SUM(E$99:E102))</f>
        <v>1428782.1129568107</v>
      </c>
      <c r="E103" s="160">
        <f>IF(+J96&lt;F102,J96,D103)</f>
        <v>37099.547619047618</v>
      </c>
      <c r="F103" s="159">
        <f t="shared" si="10"/>
        <v>1391682.5653377632</v>
      </c>
      <c r="G103" s="159">
        <f t="shared" si="11"/>
        <v>1410232.339147287</v>
      </c>
      <c r="H103" s="163">
        <f t="shared" si="12"/>
        <v>208402.52552836033</v>
      </c>
      <c r="I103" s="253">
        <f t="shared" si="13"/>
        <v>208402.52552836033</v>
      </c>
      <c r="J103" s="158">
        <f t="shared" si="14"/>
        <v>0</v>
      </c>
      <c r="K103" s="158"/>
      <c r="L103" s="334"/>
      <c r="M103" s="158">
        <f t="shared" si="15"/>
        <v>0</v>
      </c>
      <c r="N103" s="334"/>
      <c r="O103" s="158">
        <f t="shared" si="16"/>
        <v>0</v>
      </c>
      <c r="P103" s="158">
        <f t="shared" si="17"/>
        <v>0</v>
      </c>
    </row>
    <row r="104" spans="1:16">
      <c r="B104" s="9" t="str">
        <f t="shared" si="18"/>
        <v/>
      </c>
      <c r="C104" s="153">
        <f>IF(D93="","-",+C103+1)</f>
        <v>2021</v>
      </c>
      <c r="D104" s="154">
        <f>IF(F103+SUM(E$99:E103)=D$92,F103,D$92-SUM(E$99:E103))</f>
        <v>1391682.5653377632</v>
      </c>
      <c r="E104" s="160">
        <f>IF(+J96&lt;F103,J96,D104)</f>
        <v>37099.547619047618</v>
      </c>
      <c r="F104" s="159">
        <f t="shared" si="10"/>
        <v>1354583.0177187156</v>
      </c>
      <c r="G104" s="159">
        <f t="shared" si="11"/>
        <v>1373132.7915282394</v>
      </c>
      <c r="H104" s="163">
        <f t="shared" si="12"/>
        <v>203895.98939965828</v>
      </c>
      <c r="I104" s="253">
        <f t="shared" si="13"/>
        <v>203895.98939965828</v>
      </c>
      <c r="J104" s="158">
        <f t="shared" si="14"/>
        <v>0</v>
      </c>
      <c r="K104" s="158"/>
      <c r="L104" s="334"/>
      <c r="M104" s="158">
        <f t="shared" si="15"/>
        <v>0</v>
      </c>
      <c r="N104" s="334"/>
      <c r="O104" s="158">
        <f t="shared" si="16"/>
        <v>0</v>
      </c>
      <c r="P104" s="158">
        <f t="shared" si="17"/>
        <v>0</v>
      </c>
    </row>
    <row r="105" spans="1:16">
      <c r="B105" s="9" t="str">
        <f t="shared" si="18"/>
        <v/>
      </c>
      <c r="C105" s="153">
        <f>IF(D93="","-",+C104+1)</f>
        <v>2022</v>
      </c>
      <c r="D105" s="154">
        <f>IF(F104+SUM(E$99:E104)=D$92,F104,D$92-SUM(E$99:E104))</f>
        <v>1354583.0177187156</v>
      </c>
      <c r="E105" s="160">
        <f>IF(+J96&lt;F104,J96,D105)</f>
        <v>37099.547619047618</v>
      </c>
      <c r="F105" s="159">
        <f t="shared" si="10"/>
        <v>1317483.470099668</v>
      </c>
      <c r="G105" s="159">
        <f t="shared" si="11"/>
        <v>1336033.2439091918</v>
      </c>
      <c r="H105" s="163">
        <f t="shared" si="12"/>
        <v>199389.45327095629</v>
      </c>
      <c r="I105" s="253">
        <f t="shared" si="13"/>
        <v>199389.45327095629</v>
      </c>
      <c r="J105" s="158">
        <f t="shared" si="14"/>
        <v>0</v>
      </c>
      <c r="K105" s="158"/>
      <c r="L105" s="334"/>
      <c r="M105" s="158">
        <f t="shared" si="15"/>
        <v>0</v>
      </c>
      <c r="N105" s="334"/>
      <c r="O105" s="158">
        <f t="shared" si="16"/>
        <v>0</v>
      </c>
      <c r="P105" s="158">
        <f t="shared" si="17"/>
        <v>0</v>
      </c>
    </row>
    <row r="106" spans="1:16">
      <c r="B106" s="9" t="str">
        <f t="shared" si="18"/>
        <v/>
      </c>
      <c r="C106" s="153">
        <f>IF(D93="","-",+C105+1)</f>
        <v>2023</v>
      </c>
      <c r="D106" s="154">
        <f>IF(F105+SUM(E$99:E105)=D$92,F105,D$92-SUM(E$99:E105))</f>
        <v>1317483.470099668</v>
      </c>
      <c r="E106" s="160">
        <f>IF(+J96&lt;F105,J96,D106)</f>
        <v>37099.547619047618</v>
      </c>
      <c r="F106" s="159">
        <f t="shared" si="10"/>
        <v>1280383.9224806204</v>
      </c>
      <c r="G106" s="159">
        <f t="shared" si="11"/>
        <v>1298933.6962901442</v>
      </c>
      <c r="H106" s="163">
        <f t="shared" si="12"/>
        <v>194882.9171422543</v>
      </c>
      <c r="I106" s="253">
        <f t="shared" si="13"/>
        <v>194882.9171422543</v>
      </c>
      <c r="J106" s="158">
        <f t="shared" si="14"/>
        <v>0</v>
      </c>
      <c r="K106" s="158"/>
      <c r="L106" s="334"/>
      <c r="M106" s="158">
        <f t="shared" si="15"/>
        <v>0</v>
      </c>
      <c r="N106" s="334"/>
      <c r="O106" s="158">
        <f t="shared" si="16"/>
        <v>0</v>
      </c>
      <c r="P106" s="158">
        <f t="shared" si="17"/>
        <v>0</v>
      </c>
    </row>
    <row r="107" spans="1:16">
      <c r="B107" s="9" t="str">
        <f t="shared" si="18"/>
        <v/>
      </c>
      <c r="C107" s="153">
        <f>IF(D93="","-",+C106+1)</f>
        <v>2024</v>
      </c>
      <c r="D107" s="154">
        <f>IF(F106+SUM(E$99:E106)=D$92,F106,D$92-SUM(E$99:E106))</f>
        <v>1280383.9224806204</v>
      </c>
      <c r="E107" s="160">
        <f>IF(+J96&lt;F106,J96,D107)</f>
        <v>37099.547619047618</v>
      </c>
      <c r="F107" s="159">
        <f t="shared" si="10"/>
        <v>1243284.3748615729</v>
      </c>
      <c r="G107" s="159">
        <f t="shared" si="11"/>
        <v>1261834.1486710967</v>
      </c>
      <c r="H107" s="163">
        <f t="shared" si="12"/>
        <v>190376.38101355225</v>
      </c>
      <c r="I107" s="253">
        <f t="shared" si="13"/>
        <v>190376.38101355225</v>
      </c>
      <c r="J107" s="158">
        <f t="shared" si="14"/>
        <v>0</v>
      </c>
      <c r="K107" s="158"/>
      <c r="L107" s="334"/>
      <c r="M107" s="158">
        <f t="shared" si="15"/>
        <v>0</v>
      </c>
      <c r="N107" s="334"/>
      <c r="O107" s="158">
        <f t="shared" si="16"/>
        <v>0</v>
      </c>
      <c r="P107" s="158">
        <f t="shared" si="17"/>
        <v>0</v>
      </c>
    </row>
    <row r="108" spans="1:16">
      <c r="B108" s="9" t="str">
        <f t="shared" si="18"/>
        <v/>
      </c>
      <c r="C108" s="153">
        <f>IF(D93="","-",+C107+1)</f>
        <v>2025</v>
      </c>
      <c r="D108" s="154">
        <f>IF(F107+SUM(E$99:E107)=D$92,F107,D$92-SUM(E$99:E107))</f>
        <v>1243284.3748615729</v>
      </c>
      <c r="E108" s="160">
        <f>IF(+J96&lt;F107,J96,D108)</f>
        <v>37099.547619047618</v>
      </c>
      <c r="F108" s="159">
        <f t="shared" si="10"/>
        <v>1206184.8272425253</v>
      </c>
      <c r="G108" s="159">
        <f t="shared" si="11"/>
        <v>1224734.6010520491</v>
      </c>
      <c r="H108" s="163">
        <f t="shared" si="12"/>
        <v>185869.84488485026</v>
      </c>
      <c r="I108" s="253">
        <f t="shared" si="13"/>
        <v>185869.84488485026</v>
      </c>
      <c r="J108" s="158">
        <f t="shared" si="14"/>
        <v>0</v>
      </c>
      <c r="K108" s="158"/>
      <c r="L108" s="334"/>
      <c r="M108" s="158">
        <f t="shared" si="15"/>
        <v>0</v>
      </c>
      <c r="N108" s="334"/>
      <c r="O108" s="158">
        <f t="shared" si="16"/>
        <v>0</v>
      </c>
      <c r="P108" s="158">
        <f t="shared" si="17"/>
        <v>0</v>
      </c>
    </row>
    <row r="109" spans="1:16">
      <c r="B109" s="9" t="str">
        <f t="shared" si="18"/>
        <v/>
      </c>
      <c r="C109" s="153">
        <f>IF(D93="","-",+C108+1)</f>
        <v>2026</v>
      </c>
      <c r="D109" s="154">
        <f>IF(F108+SUM(E$99:E108)=D$92,F108,D$92-SUM(E$99:E108))</f>
        <v>1206184.8272425253</v>
      </c>
      <c r="E109" s="160">
        <f>IF(+J96&lt;F108,J96,D109)</f>
        <v>37099.547619047618</v>
      </c>
      <c r="F109" s="159">
        <f t="shared" si="10"/>
        <v>1169085.2796234777</v>
      </c>
      <c r="G109" s="159">
        <f t="shared" si="11"/>
        <v>1187635.0534330015</v>
      </c>
      <c r="H109" s="163">
        <f t="shared" si="12"/>
        <v>181363.30875614821</v>
      </c>
      <c r="I109" s="253">
        <f t="shared" si="13"/>
        <v>181363.30875614821</v>
      </c>
      <c r="J109" s="158">
        <f t="shared" si="14"/>
        <v>0</v>
      </c>
      <c r="K109" s="158"/>
      <c r="L109" s="334"/>
      <c r="M109" s="158">
        <f t="shared" si="15"/>
        <v>0</v>
      </c>
      <c r="N109" s="334"/>
      <c r="O109" s="158">
        <f t="shared" si="16"/>
        <v>0</v>
      </c>
      <c r="P109" s="158">
        <f t="shared" si="17"/>
        <v>0</v>
      </c>
    </row>
    <row r="110" spans="1:16">
      <c r="B110" s="9" t="str">
        <f t="shared" si="18"/>
        <v/>
      </c>
      <c r="C110" s="153">
        <f>IF(D93="","-",+C109+1)</f>
        <v>2027</v>
      </c>
      <c r="D110" s="154">
        <f>IF(F109+SUM(E$99:E109)=D$92,F109,D$92-SUM(E$99:E109))</f>
        <v>1169085.2796234777</v>
      </c>
      <c r="E110" s="160">
        <f>IF(+J96&lt;F109,J96,D110)</f>
        <v>37099.547619047618</v>
      </c>
      <c r="F110" s="159">
        <f t="shared" si="10"/>
        <v>1131985.7320044301</v>
      </c>
      <c r="G110" s="159">
        <f t="shared" si="11"/>
        <v>1150535.5058139539</v>
      </c>
      <c r="H110" s="163">
        <f t="shared" si="12"/>
        <v>176856.77262744622</v>
      </c>
      <c r="I110" s="253">
        <f t="shared" si="13"/>
        <v>176856.77262744622</v>
      </c>
      <c r="J110" s="158">
        <f t="shared" si="14"/>
        <v>0</v>
      </c>
      <c r="K110" s="158"/>
      <c r="L110" s="334"/>
      <c r="M110" s="158">
        <f t="shared" si="15"/>
        <v>0</v>
      </c>
      <c r="N110" s="334"/>
      <c r="O110" s="158">
        <f t="shared" si="16"/>
        <v>0</v>
      </c>
      <c r="P110" s="158">
        <f t="shared" si="17"/>
        <v>0</v>
      </c>
    </row>
    <row r="111" spans="1:16">
      <c r="B111" s="9" t="str">
        <f t="shared" si="18"/>
        <v/>
      </c>
      <c r="C111" s="153">
        <f>IF(D93="","-",+C110+1)</f>
        <v>2028</v>
      </c>
      <c r="D111" s="154">
        <f>IF(F110+SUM(E$99:E110)=D$92,F110,D$92-SUM(E$99:E110))</f>
        <v>1131985.7320044301</v>
      </c>
      <c r="E111" s="160">
        <f>IF(+J96&lt;F110,J96,D111)</f>
        <v>37099.547619047618</v>
      </c>
      <c r="F111" s="159">
        <f t="shared" si="10"/>
        <v>1094886.1843853826</v>
      </c>
      <c r="G111" s="159">
        <f t="shared" si="11"/>
        <v>1113435.9581949064</v>
      </c>
      <c r="H111" s="163">
        <f t="shared" si="12"/>
        <v>172350.23649874423</v>
      </c>
      <c r="I111" s="253">
        <f t="shared" si="13"/>
        <v>172350.23649874423</v>
      </c>
      <c r="J111" s="158">
        <f t="shared" si="14"/>
        <v>0</v>
      </c>
      <c r="K111" s="158"/>
      <c r="L111" s="334"/>
      <c r="M111" s="158">
        <f t="shared" si="15"/>
        <v>0</v>
      </c>
      <c r="N111" s="334"/>
      <c r="O111" s="158">
        <f t="shared" si="16"/>
        <v>0</v>
      </c>
      <c r="P111" s="158">
        <f t="shared" si="17"/>
        <v>0</v>
      </c>
    </row>
    <row r="112" spans="1:16">
      <c r="B112" s="9" t="str">
        <f t="shared" si="18"/>
        <v/>
      </c>
      <c r="C112" s="153">
        <f>IF(D93="","-",+C111+1)</f>
        <v>2029</v>
      </c>
      <c r="D112" s="154">
        <f>IF(F111+SUM(E$99:E111)=D$92,F111,D$92-SUM(E$99:E111))</f>
        <v>1094886.1843853826</v>
      </c>
      <c r="E112" s="160">
        <f>IF(+J96&lt;F111,J96,D112)</f>
        <v>37099.547619047618</v>
      </c>
      <c r="F112" s="159">
        <f t="shared" si="10"/>
        <v>1057786.636766335</v>
      </c>
      <c r="G112" s="159">
        <f t="shared" si="11"/>
        <v>1076336.4105758588</v>
      </c>
      <c r="H112" s="163">
        <f t="shared" si="12"/>
        <v>167843.70037004218</v>
      </c>
      <c r="I112" s="253">
        <f t="shared" si="13"/>
        <v>167843.70037004218</v>
      </c>
      <c r="J112" s="158">
        <f t="shared" si="14"/>
        <v>0</v>
      </c>
      <c r="K112" s="158"/>
      <c r="L112" s="334"/>
      <c r="M112" s="158">
        <f t="shared" si="15"/>
        <v>0</v>
      </c>
      <c r="N112" s="334"/>
      <c r="O112" s="158">
        <f t="shared" si="16"/>
        <v>0</v>
      </c>
      <c r="P112" s="158">
        <f t="shared" si="17"/>
        <v>0</v>
      </c>
    </row>
    <row r="113" spans="2:16">
      <c r="B113" s="9" t="str">
        <f t="shared" si="18"/>
        <v/>
      </c>
      <c r="C113" s="153">
        <f>IF(D93="","-",+C112+1)</f>
        <v>2030</v>
      </c>
      <c r="D113" s="154">
        <f>IF(F112+SUM(E$99:E112)=D$92,F112,D$92-SUM(E$99:E112))</f>
        <v>1057786.636766335</v>
      </c>
      <c r="E113" s="160">
        <f>IF(+J96&lt;F112,J96,D113)</f>
        <v>37099.547619047618</v>
      </c>
      <c r="F113" s="159">
        <f t="shared" si="10"/>
        <v>1020687.0891472874</v>
      </c>
      <c r="G113" s="159">
        <f t="shared" si="11"/>
        <v>1039236.8629568112</v>
      </c>
      <c r="H113" s="163">
        <f t="shared" si="12"/>
        <v>163337.16424134019</v>
      </c>
      <c r="I113" s="253">
        <f t="shared" si="13"/>
        <v>163337.16424134019</v>
      </c>
      <c r="J113" s="158">
        <f t="shared" si="14"/>
        <v>0</v>
      </c>
      <c r="K113" s="158"/>
      <c r="L113" s="334"/>
      <c r="M113" s="158">
        <f t="shared" si="15"/>
        <v>0</v>
      </c>
      <c r="N113" s="334"/>
      <c r="O113" s="158">
        <f t="shared" si="16"/>
        <v>0</v>
      </c>
      <c r="P113" s="158">
        <f t="shared" si="17"/>
        <v>0</v>
      </c>
    </row>
    <row r="114" spans="2:16">
      <c r="B114" s="9" t="str">
        <f t="shared" si="18"/>
        <v/>
      </c>
      <c r="C114" s="153">
        <f>IF(D93="","-",+C113+1)</f>
        <v>2031</v>
      </c>
      <c r="D114" s="154">
        <f>IF(F113+SUM(E$99:E113)=D$92,F113,D$92-SUM(E$99:E113))</f>
        <v>1020687.0891472874</v>
      </c>
      <c r="E114" s="160">
        <f>IF(+J96&lt;F113,J96,D114)</f>
        <v>37099.547619047618</v>
      </c>
      <c r="F114" s="159">
        <f t="shared" si="10"/>
        <v>983587.54152823985</v>
      </c>
      <c r="G114" s="159">
        <f t="shared" si="11"/>
        <v>1002137.3153377636</v>
      </c>
      <c r="H114" s="163">
        <f t="shared" si="12"/>
        <v>158830.62811263814</v>
      </c>
      <c r="I114" s="253">
        <f t="shared" si="13"/>
        <v>158830.62811263814</v>
      </c>
      <c r="J114" s="158">
        <f t="shared" si="14"/>
        <v>0</v>
      </c>
      <c r="K114" s="158"/>
      <c r="L114" s="334"/>
      <c r="M114" s="158">
        <f t="shared" si="15"/>
        <v>0</v>
      </c>
      <c r="N114" s="334"/>
      <c r="O114" s="158">
        <f t="shared" si="16"/>
        <v>0</v>
      </c>
      <c r="P114" s="158">
        <f t="shared" si="17"/>
        <v>0</v>
      </c>
    </row>
    <row r="115" spans="2:16">
      <c r="B115" s="9" t="str">
        <f t="shared" si="18"/>
        <v/>
      </c>
      <c r="C115" s="153">
        <f>IF(D93="","-",+C114+1)</f>
        <v>2032</v>
      </c>
      <c r="D115" s="154">
        <f>IF(F114+SUM(E$99:E114)=D$92,F114,D$92-SUM(E$99:E114))</f>
        <v>983587.54152823985</v>
      </c>
      <c r="E115" s="160">
        <f>IF(+J96&lt;F114,J96,D115)</f>
        <v>37099.547619047618</v>
      </c>
      <c r="F115" s="159">
        <f t="shared" si="10"/>
        <v>946487.99390919227</v>
      </c>
      <c r="G115" s="159">
        <f t="shared" si="11"/>
        <v>965037.76771871606</v>
      </c>
      <c r="H115" s="163">
        <f t="shared" si="12"/>
        <v>154324.09198393614</v>
      </c>
      <c r="I115" s="253">
        <f t="shared" si="13"/>
        <v>154324.09198393614</v>
      </c>
      <c r="J115" s="158">
        <f t="shared" si="14"/>
        <v>0</v>
      </c>
      <c r="K115" s="158"/>
      <c r="L115" s="334"/>
      <c r="M115" s="158">
        <f t="shared" si="15"/>
        <v>0</v>
      </c>
      <c r="N115" s="334"/>
      <c r="O115" s="158">
        <f t="shared" si="16"/>
        <v>0</v>
      </c>
      <c r="P115" s="158">
        <f t="shared" si="17"/>
        <v>0</v>
      </c>
    </row>
    <row r="116" spans="2:16">
      <c r="B116" s="9" t="str">
        <f t="shared" si="18"/>
        <v/>
      </c>
      <c r="C116" s="153">
        <f>IF(D93="","-",+C115+1)</f>
        <v>2033</v>
      </c>
      <c r="D116" s="154">
        <f>IF(F115+SUM(E$99:E115)=D$92,F115,D$92-SUM(E$99:E115))</f>
        <v>946487.99390919227</v>
      </c>
      <c r="E116" s="160">
        <f>IF(+J96&lt;F115,J96,D116)</f>
        <v>37099.547619047618</v>
      </c>
      <c r="F116" s="159">
        <f t="shared" si="10"/>
        <v>909388.4462901447</v>
      </c>
      <c r="G116" s="159">
        <f t="shared" si="11"/>
        <v>927938.22009966848</v>
      </c>
      <c r="H116" s="163">
        <f t="shared" si="12"/>
        <v>149817.55585523412</v>
      </c>
      <c r="I116" s="253">
        <f t="shared" si="13"/>
        <v>149817.55585523412</v>
      </c>
      <c r="J116" s="158">
        <f t="shared" si="14"/>
        <v>0</v>
      </c>
      <c r="K116" s="158"/>
      <c r="L116" s="334"/>
      <c r="M116" s="158">
        <f t="shared" si="15"/>
        <v>0</v>
      </c>
      <c r="N116" s="334"/>
      <c r="O116" s="158">
        <f t="shared" si="16"/>
        <v>0</v>
      </c>
      <c r="P116" s="158">
        <f t="shared" si="17"/>
        <v>0</v>
      </c>
    </row>
    <row r="117" spans="2:16">
      <c r="B117" s="9" t="str">
        <f t="shared" si="18"/>
        <v/>
      </c>
      <c r="C117" s="153">
        <f>IF(D93="","-",+C116+1)</f>
        <v>2034</v>
      </c>
      <c r="D117" s="154">
        <f>IF(F116+SUM(E$99:E116)=D$92,F116,D$92-SUM(E$99:E116))</f>
        <v>909388.4462901447</v>
      </c>
      <c r="E117" s="160">
        <f>IF(+J96&lt;F116,J96,D117)</f>
        <v>37099.547619047618</v>
      </c>
      <c r="F117" s="159">
        <f t="shared" si="10"/>
        <v>872288.89867109712</v>
      </c>
      <c r="G117" s="159">
        <f t="shared" si="11"/>
        <v>890838.67248062091</v>
      </c>
      <c r="H117" s="163">
        <f t="shared" si="12"/>
        <v>145311.0197265321</v>
      </c>
      <c r="I117" s="253">
        <f t="shared" si="13"/>
        <v>145311.0197265321</v>
      </c>
      <c r="J117" s="158">
        <f t="shared" si="14"/>
        <v>0</v>
      </c>
      <c r="K117" s="158"/>
      <c r="L117" s="334"/>
      <c r="M117" s="158">
        <f t="shared" si="15"/>
        <v>0</v>
      </c>
      <c r="N117" s="334"/>
      <c r="O117" s="158">
        <f t="shared" si="16"/>
        <v>0</v>
      </c>
      <c r="P117" s="158">
        <f t="shared" si="17"/>
        <v>0</v>
      </c>
    </row>
    <row r="118" spans="2:16">
      <c r="B118" s="9" t="str">
        <f t="shared" si="18"/>
        <v/>
      </c>
      <c r="C118" s="153">
        <f>IF(D93="","-",+C117+1)</f>
        <v>2035</v>
      </c>
      <c r="D118" s="154">
        <f>IF(F117+SUM(E$99:E117)=D$92,F117,D$92-SUM(E$99:E117))</f>
        <v>872288.89867109712</v>
      </c>
      <c r="E118" s="160">
        <f>IF(+J96&lt;F117,J96,D118)</f>
        <v>37099.547619047618</v>
      </c>
      <c r="F118" s="159">
        <f t="shared" si="10"/>
        <v>835189.35105204955</v>
      </c>
      <c r="G118" s="159">
        <f t="shared" si="11"/>
        <v>853739.12486157333</v>
      </c>
      <c r="H118" s="163">
        <f t="shared" si="12"/>
        <v>140804.48359783011</v>
      </c>
      <c r="I118" s="253">
        <f t="shared" si="13"/>
        <v>140804.48359783011</v>
      </c>
      <c r="J118" s="158">
        <f t="shared" si="14"/>
        <v>0</v>
      </c>
      <c r="K118" s="158"/>
      <c r="L118" s="334"/>
      <c r="M118" s="158">
        <f t="shared" si="15"/>
        <v>0</v>
      </c>
      <c r="N118" s="334"/>
      <c r="O118" s="158">
        <f t="shared" si="16"/>
        <v>0</v>
      </c>
      <c r="P118" s="158">
        <f t="shared" si="17"/>
        <v>0</v>
      </c>
    </row>
    <row r="119" spans="2:16">
      <c r="B119" s="9" t="str">
        <f t="shared" si="18"/>
        <v/>
      </c>
      <c r="C119" s="153">
        <f>IF(D93="","-",+C118+1)</f>
        <v>2036</v>
      </c>
      <c r="D119" s="154">
        <f>IF(F118+SUM(E$99:E118)=D$92,F118,D$92-SUM(E$99:E118))</f>
        <v>835189.35105204955</v>
      </c>
      <c r="E119" s="160">
        <f>IF(+J96&lt;F118,J96,D119)</f>
        <v>37099.547619047618</v>
      </c>
      <c r="F119" s="159">
        <f t="shared" si="10"/>
        <v>798089.80343300197</v>
      </c>
      <c r="G119" s="159">
        <f t="shared" si="11"/>
        <v>816639.57724252576</v>
      </c>
      <c r="H119" s="163">
        <f t="shared" si="12"/>
        <v>136297.94746912806</v>
      </c>
      <c r="I119" s="253">
        <f t="shared" si="13"/>
        <v>136297.94746912806</v>
      </c>
      <c r="J119" s="158">
        <f t="shared" si="14"/>
        <v>0</v>
      </c>
      <c r="K119" s="158"/>
      <c r="L119" s="334"/>
      <c r="M119" s="158">
        <f t="shared" si="15"/>
        <v>0</v>
      </c>
      <c r="N119" s="334"/>
      <c r="O119" s="158">
        <f t="shared" si="16"/>
        <v>0</v>
      </c>
      <c r="P119" s="158">
        <f t="shared" si="17"/>
        <v>0</v>
      </c>
    </row>
    <row r="120" spans="2:16">
      <c r="B120" s="9" t="str">
        <f t="shared" si="18"/>
        <v/>
      </c>
      <c r="C120" s="153">
        <f>IF(D93="","-",+C119+1)</f>
        <v>2037</v>
      </c>
      <c r="D120" s="154">
        <f>IF(F119+SUM(E$99:E119)=D$92,F119,D$92-SUM(E$99:E119))</f>
        <v>798089.80343300197</v>
      </c>
      <c r="E120" s="160">
        <f>IF(+J96&lt;F119,J96,D120)</f>
        <v>37099.547619047618</v>
      </c>
      <c r="F120" s="159">
        <f t="shared" si="10"/>
        <v>760990.2558139544</v>
      </c>
      <c r="G120" s="159">
        <f t="shared" si="11"/>
        <v>779540.02962347819</v>
      </c>
      <c r="H120" s="163">
        <f t="shared" si="12"/>
        <v>131791.41134042607</v>
      </c>
      <c r="I120" s="253">
        <f t="shared" si="13"/>
        <v>131791.41134042607</v>
      </c>
      <c r="J120" s="158">
        <f t="shared" si="14"/>
        <v>0</v>
      </c>
      <c r="K120" s="158"/>
      <c r="L120" s="334"/>
      <c r="M120" s="158">
        <f t="shared" si="15"/>
        <v>0</v>
      </c>
      <c r="N120" s="334"/>
      <c r="O120" s="158">
        <f t="shared" si="16"/>
        <v>0</v>
      </c>
      <c r="P120" s="158">
        <f t="shared" si="17"/>
        <v>0</v>
      </c>
    </row>
    <row r="121" spans="2:16">
      <c r="B121" s="9" t="str">
        <f t="shared" si="18"/>
        <v/>
      </c>
      <c r="C121" s="153">
        <f>IF(D93="","-",+C120+1)</f>
        <v>2038</v>
      </c>
      <c r="D121" s="154">
        <f>IF(F120+SUM(E$99:E120)=D$92,F120,D$92-SUM(E$99:E120))</f>
        <v>760990.2558139544</v>
      </c>
      <c r="E121" s="160">
        <f>IF(+J96&lt;F120,J96,D121)</f>
        <v>37099.547619047618</v>
      </c>
      <c r="F121" s="159">
        <f t="shared" si="10"/>
        <v>723890.70819490682</v>
      </c>
      <c r="G121" s="159">
        <f t="shared" si="11"/>
        <v>742440.48200443061</v>
      </c>
      <c r="H121" s="163">
        <f t="shared" si="12"/>
        <v>127284.87521172405</v>
      </c>
      <c r="I121" s="253">
        <f t="shared" si="13"/>
        <v>127284.87521172405</v>
      </c>
      <c r="J121" s="158">
        <f t="shared" si="14"/>
        <v>0</v>
      </c>
      <c r="K121" s="158"/>
      <c r="L121" s="334"/>
      <c r="M121" s="158">
        <f t="shared" si="15"/>
        <v>0</v>
      </c>
      <c r="N121" s="334"/>
      <c r="O121" s="158">
        <f t="shared" si="16"/>
        <v>0</v>
      </c>
      <c r="P121" s="158">
        <f t="shared" si="17"/>
        <v>0</v>
      </c>
    </row>
    <row r="122" spans="2:16">
      <c r="B122" s="9" t="str">
        <f t="shared" si="18"/>
        <v/>
      </c>
      <c r="C122" s="153">
        <f>IF(D93="","-",+C121+1)</f>
        <v>2039</v>
      </c>
      <c r="D122" s="154">
        <f>IF(F121+SUM(E$99:E121)=D$92,F121,D$92-SUM(E$99:E121))</f>
        <v>723890.70819490682</v>
      </c>
      <c r="E122" s="160">
        <f>IF(+J96&lt;F121,J96,D122)</f>
        <v>37099.547619047618</v>
      </c>
      <c r="F122" s="159">
        <f t="shared" si="10"/>
        <v>686791.16057585925</v>
      </c>
      <c r="G122" s="159">
        <f t="shared" si="11"/>
        <v>705340.93438538304</v>
      </c>
      <c r="H122" s="163">
        <f t="shared" si="12"/>
        <v>122778.33908302205</v>
      </c>
      <c r="I122" s="253">
        <f t="shared" si="13"/>
        <v>122778.33908302205</v>
      </c>
      <c r="J122" s="158">
        <f t="shared" si="14"/>
        <v>0</v>
      </c>
      <c r="K122" s="158"/>
      <c r="L122" s="334"/>
      <c r="M122" s="158">
        <f t="shared" si="15"/>
        <v>0</v>
      </c>
      <c r="N122" s="334"/>
      <c r="O122" s="158">
        <f t="shared" si="16"/>
        <v>0</v>
      </c>
      <c r="P122" s="158">
        <f t="shared" si="17"/>
        <v>0</v>
      </c>
    </row>
    <row r="123" spans="2:16">
      <c r="B123" s="9" t="str">
        <f t="shared" si="18"/>
        <v/>
      </c>
      <c r="C123" s="153">
        <f>IF(D93="","-",+C122+1)</f>
        <v>2040</v>
      </c>
      <c r="D123" s="154">
        <f>IF(F122+SUM(E$99:E122)=D$92,F122,D$92-SUM(E$99:E122))</f>
        <v>686791.16057585925</v>
      </c>
      <c r="E123" s="160">
        <f>IF(+J96&lt;F122,J96,D123)</f>
        <v>37099.547619047618</v>
      </c>
      <c r="F123" s="159">
        <f t="shared" si="10"/>
        <v>649691.61295681167</v>
      </c>
      <c r="G123" s="159">
        <f t="shared" si="11"/>
        <v>668241.38676633546</v>
      </c>
      <c r="H123" s="163">
        <f t="shared" si="12"/>
        <v>118271.80295432002</v>
      </c>
      <c r="I123" s="253">
        <f t="shared" si="13"/>
        <v>118271.80295432002</v>
      </c>
      <c r="J123" s="158">
        <f t="shared" si="14"/>
        <v>0</v>
      </c>
      <c r="K123" s="158"/>
      <c r="L123" s="334"/>
      <c r="M123" s="158">
        <f t="shared" si="15"/>
        <v>0</v>
      </c>
      <c r="N123" s="334"/>
      <c r="O123" s="158">
        <f t="shared" si="16"/>
        <v>0</v>
      </c>
      <c r="P123" s="158">
        <f t="shared" si="17"/>
        <v>0</v>
      </c>
    </row>
    <row r="124" spans="2:16">
      <c r="B124" s="9" t="str">
        <f t="shared" si="18"/>
        <v/>
      </c>
      <c r="C124" s="153">
        <f>IF(D93="","-",+C123+1)</f>
        <v>2041</v>
      </c>
      <c r="D124" s="154">
        <f>IF(F123+SUM(E$99:E123)=D$92,F123,D$92-SUM(E$99:E123))</f>
        <v>649691.61295681167</v>
      </c>
      <c r="E124" s="160">
        <f>IF(+J96&lt;F123,J96,D124)</f>
        <v>37099.547619047618</v>
      </c>
      <c r="F124" s="159">
        <f t="shared" si="10"/>
        <v>612592.0653377641</v>
      </c>
      <c r="G124" s="159">
        <f t="shared" si="11"/>
        <v>631141.83914728789</v>
      </c>
      <c r="H124" s="163">
        <f t="shared" si="12"/>
        <v>113765.266825618</v>
      </c>
      <c r="I124" s="253">
        <f t="shared" si="13"/>
        <v>113765.266825618</v>
      </c>
      <c r="J124" s="158">
        <f t="shared" si="14"/>
        <v>0</v>
      </c>
      <c r="K124" s="158"/>
      <c r="L124" s="334"/>
      <c r="M124" s="158">
        <f t="shared" si="15"/>
        <v>0</v>
      </c>
      <c r="N124" s="334"/>
      <c r="O124" s="158">
        <f t="shared" si="16"/>
        <v>0</v>
      </c>
      <c r="P124" s="158">
        <f t="shared" si="17"/>
        <v>0</v>
      </c>
    </row>
    <row r="125" spans="2:16">
      <c r="B125" s="9" t="str">
        <f t="shared" si="18"/>
        <v/>
      </c>
      <c r="C125" s="153">
        <f>IF(D93="","-",+C124+1)</f>
        <v>2042</v>
      </c>
      <c r="D125" s="154">
        <f>IF(F124+SUM(E$99:E124)=D$92,F124,D$92-SUM(E$99:E124))</f>
        <v>612592.0653377641</v>
      </c>
      <c r="E125" s="160">
        <f>IF(+J96&lt;F124,J96,D125)</f>
        <v>37099.547619047618</v>
      </c>
      <c r="F125" s="159">
        <f t="shared" si="10"/>
        <v>575492.51771871652</v>
      </c>
      <c r="G125" s="159">
        <f t="shared" si="11"/>
        <v>594042.29152824031</v>
      </c>
      <c r="H125" s="163">
        <f t="shared" si="12"/>
        <v>109258.730696916</v>
      </c>
      <c r="I125" s="253">
        <f t="shared" si="13"/>
        <v>109258.730696916</v>
      </c>
      <c r="J125" s="158">
        <f t="shared" si="14"/>
        <v>0</v>
      </c>
      <c r="K125" s="158"/>
      <c r="L125" s="334"/>
      <c r="M125" s="158">
        <f t="shared" si="15"/>
        <v>0</v>
      </c>
      <c r="N125" s="334"/>
      <c r="O125" s="158">
        <f t="shared" si="16"/>
        <v>0</v>
      </c>
      <c r="P125" s="158">
        <f t="shared" si="17"/>
        <v>0</v>
      </c>
    </row>
    <row r="126" spans="2:16">
      <c r="B126" s="9" t="str">
        <f t="shared" si="18"/>
        <v/>
      </c>
      <c r="C126" s="153">
        <f>IF(D93="","-",+C125+1)</f>
        <v>2043</v>
      </c>
      <c r="D126" s="154">
        <f>IF(F125+SUM(E$99:E125)=D$92,F125,D$92-SUM(E$99:E125))</f>
        <v>575492.51771871652</v>
      </c>
      <c r="E126" s="160">
        <f>IF(+J96&lt;F125,J96,D126)</f>
        <v>37099.547619047618</v>
      </c>
      <c r="F126" s="159">
        <f t="shared" si="10"/>
        <v>538392.97009966895</v>
      </c>
      <c r="G126" s="159">
        <f t="shared" si="11"/>
        <v>556942.74390919274</v>
      </c>
      <c r="H126" s="163">
        <f t="shared" si="12"/>
        <v>104752.19456821398</v>
      </c>
      <c r="I126" s="253">
        <f t="shared" si="13"/>
        <v>104752.19456821398</v>
      </c>
      <c r="J126" s="158">
        <f t="shared" si="14"/>
        <v>0</v>
      </c>
      <c r="K126" s="158"/>
      <c r="L126" s="334"/>
      <c r="M126" s="158">
        <f t="shared" si="15"/>
        <v>0</v>
      </c>
      <c r="N126" s="334"/>
      <c r="O126" s="158">
        <f t="shared" si="16"/>
        <v>0</v>
      </c>
      <c r="P126" s="158">
        <f t="shared" si="17"/>
        <v>0</v>
      </c>
    </row>
    <row r="127" spans="2:16">
      <c r="B127" s="9" t="str">
        <f t="shared" si="18"/>
        <v/>
      </c>
      <c r="C127" s="153">
        <f>IF(D93="","-",+C126+1)</f>
        <v>2044</v>
      </c>
      <c r="D127" s="154">
        <f>IF(F126+SUM(E$99:E126)=D$92,F126,D$92-SUM(E$99:E126))</f>
        <v>538392.97009966895</v>
      </c>
      <c r="E127" s="160">
        <f>IF(+J96&lt;F126,J96,D127)</f>
        <v>37099.547619047618</v>
      </c>
      <c r="F127" s="159">
        <f t="shared" si="10"/>
        <v>501293.42248062132</v>
      </c>
      <c r="G127" s="159">
        <f t="shared" si="11"/>
        <v>519843.19629014516</v>
      </c>
      <c r="H127" s="163">
        <f t="shared" si="12"/>
        <v>100245.65843951196</v>
      </c>
      <c r="I127" s="253">
        <f t="shared" si="13"/>
        <v>100245.65843951196</v>
      </c>
      <c r="J127" s="158">
        <f t="shared" si="14"/>
        <v>0</v>
      </c>
      <c r="K127" s="158"/>
      <c r="L127" s="334"/>
      <c r="M127" s="158">
        <f t="shared" si="15"/>
        <v>0</v>
      </c>
      <c r="N127" s="334"/>
      <c r="O127" s="158">
        <f t="shared" si="16"/>
        <v>0</v>
      </c>
      <c r="P127" s="158">
        <f t="shared" si="17"/>
        <v>0</v>
      </c>
    </row>
    <row r="128" spans="2:16">
      <c r="B128" s="9" t="str">
        <f t="shared" si="18"/>
        <v/>
      </c>
      <c r="C128" s="153">
        <f>IF(D93="","-",+C127+1)</f>
        <v>2045</v>
      </c>
      <c r="D128" s="154">
        <f>IF(F127+SUM(E$99:E127)=D$92,F127,D$92-SUM(E$99:E127))</f>
        <v>501293.42248062132</v>
      </c>
      <c r="E128" s="160">
        <f>IF(+J96&lt;F127,J96,D128)</f>
        <v>37099.547619047618</v>
      </c>
      <c r="F128" s="159">
        <f t="shared" si="10"/>
        <v>464193.87486157368</v>
      </c>
      <c r="G128" s="159">
        <f t="shared" si="11"/>
        <v>482743.64867109747</v>
      </c>
      <c r="H128" s="163">
        <f t="shared" si="12"/>
        <v>95739.122310809937</v>
      </c>
      <c r="I128" s="253">
        <f t="shared" si="13"/>
        <v>95739.122310809937</v>
      </c>
      <c r="J128" s="158">
        <f t="shared" si="14"/>
        <v>0</v>
      </c>
      <c r="K128" s="158"/>
      <c r="L128" s="334"/>
      <c r="M128" s="158">
        <f t="shared" si="15"/>
        <v>0</v>
      </c>
      <c r="N128" s="334"/>
      <c r="O128" s="158">
        <f t="shared" si="16"/>
        <v>0</v>
      </c>
      <c r="P128" s="158">
        <f t="shared" si="17"/>
        <v>0</v>
      </c>
    </row>
    <row r="129" spans="2:16">
      <c r="B129" s="9" t="str">
        <f t="shared" si="18"/>
        <v/>
      </c>
      <c r="C129" s="153">
        <f>IF(D93="","-",+C128+1)</f>
        <v>2046</v>
      </c>
      <c r="D129" s="154">
        <f>IF(F128+SUM(E$99:E128)=D$92,F128,D$92-SUM(E$99:E128))</f>
        <v>464193.87486157368</v>
      </c>
      <c r="E129" s="160">
        <f>IF(+J96&lt;F128,J96,D129)</f>
        <v>37099.547619047618</v>
      </c>
      <c r="F129" s="159">
        <f t="shared" si="10"/>
        <v>427094.32724252605</v>
      </c>
      <c r="G129" s="159">
        <f t="shared" si="11"/>
        <v>445644.1010520499</v>
      </c>
      <c r="H129" s="163">
        <f t="shared" si="12"/>
        <v>91232.586182107916</v>
      </c>
      <c r="I129" s="253">
        <f t="shared" si="13"/>
        <v>91232.586182107916</v>
      </c>
      <c r="J129" s="158">
        <f t="shared" si="14"/>
        <v>0</v>
      </c>
      <c r="K129" s="158"/>
      <c r="L129" s="334"/>
      <c r="M129" s="158">
        <f t="shared" si="15"/>
        <v>0</v>
      </c>
      <c r="N129" s="334"/>
      <c r="O129" s="158">
        <f t="shared" si="16"/>
        <v>0</v>
      </c>
      <c r="P129" s="158">
        <f t="shared" si="17"/>
        <v>0</v>
      </c>
    </row>
    <row r="130" spans="2:16">
      <c r="B130" s="9" t="str">
        <f t="shared" si="18"/>
        <v/>
      </c>
      <c r="C130" s="153">
        <f>IF(D93="","-",+C129+1)</f>
        <v>2047</v>
      </c>
      <c r="D130" s="154">
        <f>IF(F129+SUM(E$99:E129)=D$92,F129,D$92-SUM(E$99:E129))</f>
        <v>427094.32724252605</v>
      </c>
      <c r="E130" s="160">
        <f>IF(+J96&lt;F129,J96,D130)</f>
        <v>37099.547619047618</v>
      </c>
      <c r="F130" s="159">
        <f t="shared" si="10"/>
        <v>389994.77962347842</v>
      </c>
      <c r="G130" s="159">
        <f t="shared" si="11"/>
        <v>408544.55343300221</v>
      </c>
      <c r="H130" s="163">
        <f t="shared" si="12"/>
        <v>86726.050053405896</v>
      </c>
      <c r="I130" s="253">
        <f t="shared" si="13"/>
        <v>86726.050053405896</v>
      </c>
      <c r="J130" s="158">
        <f t="shared" si="14"/>
        <v>0</v>
      </c>
      <c r="K130" s="158"/>
      <c r="L130" s="334"/>
      <c r="M130" s="158">
        <f t="shared" si="15"/>
        <v>0</v>
      </c>
      <c r="N130" s="334"/>
      <c r="O130" s="158">
        <f t="shared" si="16"/>
        <v>0</v>
      </c>
      <c r="P130" s="158">
        <f t="shared" si="17"/>
        <v>0</v>
      </c>
    </row>
    <row r="131" spans="2:16">
      <c r="B131" s="9" t="str">
        <f t="shared" si="18"/>
        <v/>
      </c>
      <c r="C131" s="153">
        <f>IF(D93="","-",+C130+1)</f>
        <v>2048</v>
      </c>
      <c r="D131" s="154">
        <f>IF(F130+SUM(E$99:E130)=D$92,F130,D$92-SUM(E$99:E130))</f>
        <v>389994.77962347842</v>
      </c>
      <c r="E131" s="160">
        <f>IF(+J96&lt;F130,J96,D131)</f>
        <v>37099.547619047618</v>
      </c>
      <c r="F131" s="159">
        <f t="shared" ref="F131:F154" si="19">+D131-E131</f>
        <v>352895.23200443079</v>
      </c>
      <c r="G131" s="159">
        <f t="shared" ref="G131:G154" si="20">+(F131+D131)/2</f>
        <v>371445.00581395463</v>
      </c>
      <c r="H131" s="163">
        <f t="shared" si="12"/>
        <v>82219.513924703875</v>
      </c>
      <c r="I131" s="253">
        <f t="shared" si="13"/>
        <v>82219.513924703875</v>
      </c>
      <c r="J131" s="158">
        <f t="shared" ref="J131:J154" si="21">+I541-H541</f>
        <v>0</v>
      </c>
      <c r="K131" s="158"/>
      <c r="L131" s="334"/>
      <c r="M131" s="158">
        <f t="shared" ref="M131:M154" si="22">IF(L541&lt;&gt;0,+H541-L541,0)</f>
        <v>0</v>
      </c>
      <c r="N131" s="334"/>
      <c r="O131" s="158">
        <f t="shared" ref="O131:O154" si="23">IF(N541&lt;&gt;0,+I541-N541,0)</f>
        <v>0</v>
      </c>
      <c r="P131" s="158">
        <f t="shared" ref="P131:P154" si="24">+O541-M541</f>
        <v>0</v>
      </c>
    </row>
    <row r="132" spans="2:16">
      <c r="B132" s="9" t="str">
        <f t="shared" si="18"/>
        <v/>
      </c>
      <c r="C132" s="153">
        <f>IF(D93="","-",+C131+1)</f>
        <v>2049</v>
      </c>
      <c r="D132" s="154">
        <f>IF(F131+SUM(E$99:E131)=D$92,F131,D$92-SUM(E$99:E131))</f>
        <v>352895.23200443079</v>
      </c>
      <c r="E132" s="160">
        <f>IF(+J96&lt;F131,J96,D132)</f>
        <v>37099.547619047618</v>
      </c>
      <c r="F132" s="159">
        <f t="shared" si="19"/>
        <v>315795.68438538315</v>
      </c>
      <c r="G132" s="159">
        <f t="shared" si="20"/>
        <v>334345.45819490694</v>
      </c>
      <c r="H132" s="163">
        <f t="shared" si="12"/>
        <v>77712.977796001855</v>
      </c>
      <c r="I132" s="253">
        <f t="shared" si="13"/>
        <v>77712.977796001855</v>
      </c>
      <c r="J132" s="158">
        <f t="shared" si="21"/>
        <v>0</v>
      </c>
      <c r="K132" s="158"/>
      <c r="L132" s="334"/>
      <c r="M132" s="158">
        <f t="shared" si="22"/>
        <v>0</v>
      </c>
      <c r="N132" s="334"/>
      <c r="O132" s="158">
        <f t="shared" si="23"/>
        <v>0</v>
      </c>
      <c r="P132" s="158">
        <f t="shared" si="24"/>
        <v>0</v>
      </c>
    </row>
    <row r="133" spans="2:16">
      <c r="B133" s="9" t="str">
        <f t="shared" si="18"/>
        <v/>
      </c>
      <c r="C133" s="153">
        <f>IF(D93="","-",+C132+1)</f>
        <v>2050</v>
      </c>
      <c r="D133" s="154">
        <f>IF(F132+SUM(E$99:E132)=D$92,F132,D$92-SUM(E$99:E132))</f>
        <v>315795.68438538315</v>
      </c>
      <c r="E133" s="160">
        <f>IF(+J96&lt;F132,J96,D133)</f>
        <v>37099.547619047618</v>
      </c>
      <c r="F133" s="159">
        <f t="shared" si="19"/>
        <v>278696.13676633552</v>
      </c>
      <c r="G133" s="159">
        <f t="shared" si="20"/>
        <v>297245.91057585937</v>
      </c>
      <c r="H133" s="163">
        <f t="shared" si="12"/>
        <v>73206.441667299834</v>
      </c>
      <c r="I133" s="253">
        <f t="shared" si="13"/>
        <v>73206.441667299834</v>
      </c>
      <c r="J133" s="158">
        <f t="shared" si="21"/>
        <v>0</v>
      </c>
      <c r="K133" s="158"/>
      <c r="L133" s="334"/>
      <c r="M133" s="158">
        <f t="shared" si="22"/>
        <v>0</v>
      </c>
      <c r="N133" s="334"/>
      <c r="O133" s="158">
        <f t="shared" si="23"/>
        <v>0</v>
      </c>
      <c r="P133" s="158">
        <f t="shared" si="24"/>
        <v>0</v>
      </c>
    </row>
    <row r="134" spans="2:16">
      <c r="B134" s="9" t="str">
        <f t="shared" si="18"/>
        <v/>
      </c>
      <c r="C134" s="153">
        <f>IF(D93="","-",+C133+1)</f>
        <v>2051</v>
      </c>
      <c r="D134" s="154">
        <f>IF(F133+SUM(E$99:E133)=D$92,F133,D$92-SUM(E$99:E133))</f>
        <v>278696.13676633552</v>
      </c>
      <c r="E134" s="160">
        <f>IF(+J96&lt;F133,J96,D134)</f>
        <v>37099.547619047618</v>
      </c>
      <c r="F134" s="159">
        <f t="shared" si="19"/>
        <v>241596.58914728789</v>
      </c>
      <c r="G134" s="159">
        <f t="shared" si="20"/>
        <v>260146.3629568117</v>
      </c>
      <c r="H134" s="163">
        <f t="shared" si="12"/>
        <v>68699.905538597814</v>
      </c>
      <c r="I134" s="253">
        <f t="shared" si="13"/>
        <v>68699.905538597814</v>
      </c>
      <c r="J134" s="158">
        <f t="shared" si="21"/>
        <v>0</v>
      </c>
      <c r="K134" s="158"/>
      <c r="L134" s="334"/>
      <c r="M134" s="158">
        <f t="shared" si="22"/>
        <v>0</v>
      </c>
      <c r="N134" s="334"/>
      <c r="O134" s="158">
        <f t="shared" si="23"/>
        <v>0</v>
      </c>
      <c r="P134" s="158">
        <f t="shared" si="24"/>
        <v>0</v>
      </c>
    </row>
    <row r="135" spans="2:16">
      <c r="B135" s="9" t="str">
        <f t="shared" si="18"/>
        <v/>
      </c>
      <c r="C135" s="153">
        <f>IF(D93="","-",+C134+1)</f>
        <v>2052</v>
      </c>
      <c r="D135" s="154">
        <f>IF(F134+SUM(E$99:E134)=D$92,F134,D$92-SUM(E$99:E134))</f>
        <v>241596.58914728789</v>
      </c>
      <c r="E135" s="160">
        <f>IF(+J96&lt;F134,J96,D135)</f>
        <v>37099.547619047618</v>
      </c>
      <c r="F135" s="159">
        <f t="shared" si="19"/>
        <v>204497.04152824025</v>
      </c>
      <c r="G135" s="159">
        <f t="shared" si="20"/>
        <v>223046.81533776407</v>
      </c>
      <c r="H135" s="163">
        <f t="shared" si="12"/>
        <v>64193.369409895786</v>
      </c>
      <c r="I135" s="253">
        <f t="shared" si="13"/>
        <v>64193.369409895786</v>
      </c>
      <c r="J135" s="158">
        <f t="shared" si="21"/>
        <v>0</v>
      </c>
      <c r="K135" s="158"/>
      <c r="L135" s="334"/>
      <c r="M135" s="158">
        <f t="shared" si="22"/>
        <v>0</v>
      </c>
      <c r="N135" s="334"/>
      <c r="O135" s="158">
        <f t="shared" si="23"/>
        <v>0</v>
      </c>
      <c r="P135" s="158">
        <f t="shared" si="24"/>
        <v>0</v>
      </c>
    </row>
    <row r="136" spans="2:16">
      <c r="B136" s="9" t="str">
        <f t="shared" si="18"/>
        <v/>
      </c>
      <c r="C136" s="153">
        <f>IF(D93="","-",+C135+1)</f>
        <v>2053</v>
      </c>
      <c r="D136" s="154">
        <f>IF(F135+SUM(E$99:E135)=D$92,F135,D$92-SUM(E$99:E135))</f>
        <v>204497.04152824025</v>
      </c>
      <c r="E136" s="160">
        <f>IF(+J96&lt;F135,J96,D136)</f>
        <v>37099.547619047618</v>
      </c>
      <c r="F136" s="159">
        <f t="shared" si="19"/>
        <v>167397.49390919262</v>
      </c>
      <c r="G136" s="159">
        <f t="shared" si="20"/>
        <v>185947.26771871644</v>
      </c>
      <c r="H136" s="163">
        <f t="shared" si="12"/>
        <v>59686.833281193765</v>
      </c>
      <c r="I136" s="253">
        <f t="shared" si="13"/>
        <v>59686.833281193765</v>
      </c>
      <c r="J136" s="158">
        <f t="shared" si="21"/>
        <v>0</v>
      </c>
      <c r="K136" s="158"/>
      <c r="L136" s="334"/>
      <c r="M136" s="158">
        <f t="shared" si="22"/>
        <v>0</v>
      </c>
      <c r="N136" s="334"/>
      <c r="O136" s="158">
        <f t="shared" si="23"/>
        <v>0</v>
      </c>
      <c r="P136" s="158">
        <f t="shared" si="24"/>
        <v>0</v>
      </c>
    </row>
    <row r="137" spans="2:16">
      <c r="B137" s="9" t="str">
        <f t="shared" si="18"/>
        <v/>
      </c>
      <c r="C137" s="153">
        <f>IF(D93="","-",+C136+1)</f>
        <v>2054</v>
      </c>
      <c r="D137" s="154">
        <f>IF(F136+SUM(E$99:E136)=D$92,F136,D$92-SUM(E$99:E136))</f>
        <v>167397.49390919262</v>
      </c>
      <c r="E137" s="160">
        <f>IF(+J96&lt;F136,J96,D137)</f>
        <v>37099.547619047618</v>
      </c>
      <c r="F137" s="159">
        <f t="shared" si="19"/>
        <v>130297.946290145</v>
      </c>
      <c r="G137" s="159">
        <f t="shared" si="20"/>
        <v>148847.7200996688</v>
      </c>
      <c r="H137" s="163">
        <f t="shared" si="12"/>
        <v>55180.297152491738</v>
      </c>
      <c r="I137" s="253">
        <f t="shared" si="13"/>
        <v>55180.297152491738</v>
      </c>
      <c r="J137" s="158">
        <f t="shared" si="21"/>
        <v>0</v>
      </c>
      <c r="K137" s="158"/>
      <c r="L137" s="334"/>
      <c r="M137" s="158">
        <f t="shared" si="22"/>
        <v>0</v>
      </c>
      <c r="N137" s="334"/>
      <c r="O137" s="158">
        <f t="shared" si="23"/>
        <v>0</v>
      </c>
      <c r="P137" s="158">
        <f t="shared" si="24"/>
        <v>0</v>
      </c>
    </row>
    <row r="138" spans="2:16">
      <c r="B138" s="9" t="str">
        <f t="shared" si="18"/>
        <v/>
      </c>
      <c r="C138" s="153">
        <f>IF(D93="","-",+C137+1)</f>
        <v>2055</v>
      </c>
      <c r="D138" s="154">
        <f>IF(F137+SUM(E$99:E137)=D$92,F137,D$92-SUM(E$99:E137))</f>
        <v>130297.946290145</v>
      </c>
      <c r="E138" s="160">
        <f>IF(+J96&lt;F137,J96,D138)</f>
        <v>37099.547619047618</v>
      </c>
      <c r="F138" s="159">
        <f t="shared" si="19"/>
        <v>93198.398671097384</v>
      </c>
      <c r="G138" s="159">
        <f t="shared" si="20"/>
        <v>111748.1724806212</v>
      </c>
      <c r="H138" s="163">
        <f t="shared" si="12"/>
        <v>50673.761023789724</v>
      </c>
      <c r="I138" s="253">
        <f t="shared" si="13"/>
        <v>50673.761023789724</v>
      </c>
      <c r="J138" s="158">
        <f t="shared" si="21"/>
        <v>0</v>
      </c>
      <c r="K138" s="158"/>
      <c r="L138" s="334"/>
      <c r="M138" s="158">
        <f t="shared" si="22"/>
        <v>0</v>
      </c>
      <c r="N138" s="334"/>
      <c r="O138" s="158">
        <f t="shared" si="23"/>
        <v>0</v>
      </c>
      <c r="P138" s="158">
        <f t="shared" si="24"/>
        <v>0</v>
      </c>
    </row>
    <row r="139" spans="2:16">
      <c r="B139" s="9" t="str">
        <f t="shared" si="18"/>
        <v/>
      </c>
      <c r="C139" s="153">
        <f>IF(D93="","-",+C138+1)</f>
        <v>2056</v>
      </c>
      <c r="D139" s="154">
        <f>IF(F138+SUM(E$99:E138)=D$92,F138,D$92-SUM(E$99:E138))</f>
        <v>93198.398671097384</v>
      </c>
      <c r="E139" s="160">
        <f>IF(+J96&lt;F138,J96,D139)</f>
        <v>37099.547619047618</v>
      </c>
      <c r="F139" s="159">
        <f t="shared" si="19"/>
        <v>56098.851052049766</v>
      </c>
      <c r="G139" s="159">
        <f t="shared" si="20"/>
        <v>74648.624861573568</v>
      </c>
      <c r="H139" s="163">
        <f t="shared" si="12"/>
        <v>46167.224895087704</v>
      </c>
      <c r="I139" s="253">
        <f t="shared" si="13"/>
        <v>46167.224895087704</v>
      </c>
      <c r="J139" s="158">
        <f t="shared" si="21"/>
        <v>0</v>
      </c>
      <c r="K139" s="158"/>
      <c r="L139" s="334"/>
      <c r="M139" s="158">
        <f t="shared" si="22"/>
        <v>0</v>
      </c>
      <c r="N139" s="334"/>
      <c r="O139" s="158">
        <f t="shared" si="23"/>
        <v>0</v>
      </c>
      <c r="P139" s="158">
        <f t="shared" si="24"/>
        <v>0</v>
      </c>
    </row>
    <row r="140" spans="2:16">
      <c r="B140" s="9" t="str">
        <f t="shared" si="18"/>
        <v/>
      </c>
      <c r="C140" s="153">
        <f>IF(D93="","-",+C139+1)</f>
        <v>2057</v>
      </c>
      <c r="D140" s="154">
        <f>IF(F139+SUM(E$99:E139)=D$92,F139,D$92-SUM(E$99:E139))</f>
        <v>56098.851052049766</v>
      </c>
      <c r="E140" s="160">
        <f>IF(+J96&lt;F139,J96,D140)</f>
        <v>37099.547619047618</v>
      </c>
      <c r="F140" s="159">
        <f t="shared" si="19"/>
        <v>18999.303433002147</v>
      </c>
      <c r="G140" s="159">
        <f t="shared" si="20"/>
        <v>37549.077242525957</v>
      </c>
      <c r="H140" s="163">
        <f t="shared" si="12"/>
        <v>41660.688766385683</v>
      </c>
      <c r="I140" s="253">
        <f t="shared" si="13"/>
        <v>41660.688766385683</v>
      </c>
      <c r="J140" s="158">
        <f t="shared" si="21"/>
        <v>0</v>
      </c>
      <c r="K140" s="158"/>
      <c r="L140" s="334"/>
      <c r="M140" s="158">
        <f t="shared" si="22"/>
        <v>0</v>
      </c>
      <c r="N140" s="334"/>
      <c r="O140" s="158">
        <f t="shared" si="23"/>
        <v>0</v>
      </c>
      <c r="P140" s="158">
        <f t="shared" si="24"/>
        <v>0</v>
      </c>
    </row>
    <row r="141" spans="2:16">
      <c r="B141" s="9" t="str">
        <f t="shared" si="18"/>
        <v/>
      </c>
      <c r="C141" s="153">
        <f>IF(D93="","-",+C140+1)</f>
        <v>2058</v>
      </c>
      <c r="D141" s="154">
        <f>IF(F140+SUM(E$99:E140)=D$92,F140,D$92-SUM(E$99:E140))</f>
        <v>18999.303433002147</v>
      </c>
      <c r="E141" s="160">
        <f>IF(+J96&lt;F140,J96,D141)</f>
        <v>18999.303433002147</v>
      </c>
      <c r="F141" s="159">
        <f t="shared" si="19"/>
        <v>0</v>
      </c>
      <c r="G141" s="159">
        <f t="shared" si="20"/>
        <v>9499.6517165010737</v>
      </c>
      <c r="H141" s="163">
        <f t="shared" si="12"/>
        <v>20153.239974495675</v>
      </c>
      <c r="I141" s="253">
        <f t="shared" si="13"/>
        <v>20153.239974495675</v>
      </c>
      <c r="J141" s="158">
        <f t="shared" si="21"/>
        <v>0</v>
      </c>
      <c r="K141" s="158"/>
      <c r="L141" s="334"/>
      <c r="M141" s="158">
        <f t="shared" si="22"/>
        <v>0</v>
      </c>
      <c r="N141" s="334"/>
      <c r="O141" s="158">
        <f t="shared" si="23"/>
        <v>0</v>
      </c>
      <c r="P141" s="158">
        <f t="shared" si="24"/>
        <v>0</v>
      </c>
    </row>
    <row r="142" spans="2:16">
      <c r="B142" s="9" t="str">
        <f t="shared" si="18"/>
        <v/>
      </c>
      <c r="C142" s="153">
        <f>IF(D93="","-",+C141+1)</f>
        <v>2059</v>
      </c>
      <c r="D142" s="154">
        <f>IF(F141+SUM(E$99:E141)=D$92,F141,D$92-SUM(E$99:E141))</f>
        <v>0</v>
      </c>
      <c r="E142" s="160">
        <f>IF(+J96&lt;F141,J96,D142)</f>
        <v>0</v>
      </c>
      <c r="F142" s="159">
        <f t="shared" si="19"/>
        <v>0</v>
      </c>
      <c r="G142" s="159">
        <f t="shared" si="20"/>
        <v>0</v>
      </c>
      <c r="H142" s="163">
        <f t="shared" si="12"/>
        <v>0</v>
      </c>
      <c r="I142" s="253">
        <f t="shared" si="13"/>
        <v>0</v>
      </c>
      <c r="J142" s="158">
        <f t="shared" si="21"/>
        <v>0</v>
      </c>
      <c r="K142" s="158"/>
      <c r="L142" s="334"/>
      <c r="M142" s="158">
        <f t="shared" si="22"/>
        <v>0</v>
      </c>
      <c r="N142" s="334"/>
      <c r="O142" s="158">
        <f t="shared" si="23"/>
        <v>0</v>
      </c>
      <c r="P142" s="158">
        <f t="shared" si="24"/>
        <v>0</v>
      </c>
    </row>
    <row r="143" spans="2:16">
      <c r="B143" s="9" t="str">
        <f t="shared" si="18"/>
        <v/>
      </c>
      <c r="C143" s="153">
        <f>IF(D93="","-",+C142+1)</f>
        <v>2060</v>
      </c>
      <c r="D143" s="154">
        <f>IF(F142+SUM(E$99:E142)=D$92,F142,D$92-SUM(E$99:E142))</f>
        <v>0</v>
      </c>
      <c r="E143" s="160">
        <f>IF(+J96&lt;F142,J96,D143)</f>
        <v>0</v>
      </c>
      <c r="F143" s="159">
        <f t="shared" si="19"/>
        <v>0</v>
      </c>
      <c r="G143" s="159">
        <f t="shared" si="20"/>
        <v>0</v>
      </c>
      <c r="H143" s="163">
        <f t="shared" si="12"/>
        <v>0</v>
      </c>
      <c r="I143" s="253">
        <f t="shared" si="13"/>
        <v>0</v>
      </c>
      <c r="J143" s="158">
        <f t="shared" si="21"/>
        <v>0</v>
      </c>
      <c r="K143" s="158"/>
      <c r="L143" s="334"/>
      <c r="M143" s="158">
        <f t="shared" si="22"/>
        <v>0</v>
      </c>
      <c r="N143" s="334"/>
      <c r="O143" s="158">
        <f t="shared" si="23"/>
        <v>0</v>
      </c>
      <c r="P143" s="158">
        <f t="shared" si="24"/>
        <v>0</v>
      </c>
    </row>
    <row r="144" spans="2:16">
      <c r="B144" s="9" t="str">
        <f t="shared" si="18"/>
        <v/>
      </c>
      <c r="C144" s="153">
        <f>IF(D93="","-",+C143+1)</f>
        <v>2061</v>
      </c>
      <c r="D144" s="154">
        <f>IF(F143+SUM(E$99:E143)=D$92,F143,D$92-SUM(E$99:E143))</f>
        <v>0</v>
      </c>
      <c r="E144" s="160">
        <f>IF(+J96&lt;F143,J96,D144)</f>
        <v>0</v>
      </c>
      <c r="F144" s="159">
        <f t="shared" si="19"/>
        <v>0</v>
      </c>
      <c r="G144" s="159">
        <f t="shared" si="20"/>
        <v>0</v>
      </c>
      <c r="H144" s="163">
        <f t="shared" si="12"/>
        <v>0</v>
      </c>
      <c r="I144" s="253">
        <f t="shared" si="13"/>
        <v>0</v>
      </c>
      <c r="J144" s="158">
        <f t="shared" si="21"/>
        <v>0</v>
      </c>
      <c r="K144" s="158"/>
      <c r="L144" s="334"/>
      <c r="M144" s="158">
        <f t="shared" si="22"/>
        <v>0</v>
      </c>
      <c r="N144" s="334"/>
      <c r="O144" s="158">
        <f t="shared" si="23"/>
        <v>0</v>
      </c>
      <c r="P144" s="158">
        <f t="shared" si="24"/>
        <v>0</v>
      </c>
    </row>
    <row r="145" spans="2:16">
      <c r="B145" s="9" t="str">
        <f t="shared" si="18"/>
        <v/>
      </c>
      <c r="C145" s="153">
        <f>IF(D93="","-",+C144+1)</f>
        <v>2062</v>
      </c>
      <c r="D145" s="154">
        <f>IF(F144+SUM(E$99:E144)=D$92,F144,D$92-SUM(E$99:E144))</f>
        <v>0</v>
      </c>
      <c r="E145" s="160">
        <f>IF(+J96&lt;F144,J96,D145)</f>
        <v>0</v>
      </c>
      <c r="F145" s="159">
        <f t="shared" si="19"/>
        <v>0</v>
      </c>
      <c r="G145" s="159">
        <f t="shared" si="20"/>
        <v>0</v>
      </c>
      <c r="H145" s="163">
        <f t="shared" si="12"/>
        <v>0</v>
      </c>
      <c r="I145" s="253">
        <f t="shared" si="13"/>
        <v>0</v>
      </c>
      <c r="J145" s="158">
        <f t="shared" si="21"/>
        <v>0</v>
      </c>
      <c r="K145" s="158"/>
      <c r="L145" s="334"/>
      <c r="M145" s="158">
        <f t="shared" si="22"/>
        <v>0</v>
      </c>
      <c r="N145" s="334"/>
      <c r="O145" s="158">
        <f t="shared" si="23"/>
        <v>0</v>
      </c>
      <c r="P145" s="158">
        <f t="shared" si="24"/>
        <v>0</v>
      </c>
    </row>
    <row r="146" spans="2:16">
      <c r="B146" s="9" t="str">
        <f t="shared" si="18"/>
        <v/>
      </c>
      <c r="C146" s="153">
        <f>IF(D93="","-",+C145+1)</f>
        <v>2063</v>
      </c>
      <c r="D146" s="154">
        <f>IF(F145+SUM(E$99:E145)=D$92,F145,D$92-SUM(E$99:E145))</f>
        <v>0</v>
      </c>
      <c r="E146" s="160">
        <f>IF(+J96&lt;F145,J96,D146)</f>
        <v>0</v>
      </c>
      <c r="F146" s="159">
        <f t="shared" si="19"/>
        <v>0</v>
      </c>
      <c r="G146" s="159">
        <f t="shared" si="20"/>
        <v>0</v>
      </c>
      <c r="H146" s="163">
        <f t="shared" si="12"/>
        <v>0</v>
      </c>
      <c r="I146" s="253">
        <f t="shared" si="13"/>
        <v>0</v>
      </c>
      <c r="J146" s="158">
        <f t="shared" si="21"/>
        <v>0</v>
      </c>
      <c r="K146" s="158"/>
      <c r="L146" s="334"/>
      <c r="M146" s="158">
        <f t="shared" si="22"/>
        <v>0</v>
      </c>
      <c r="N146" s="334"/>
      <c r="O146" s="158">
        <f t="shared" si="23"/>
        <v>0</v>
      </c>
      <c r="P146" s="158">
        <f t="shared" si="24"/>
        <v>0</v>
      </c>
    </row>
    <row r="147" spans="2:16">
      <c r="B147" s="9" t="str">
        <f t="shared" si="18"/>
        <v/>
      </c>
      <c r="C147" s="153">
        <f>IF(D93="","-",+C146+1)</f>
        <v>2064</v>
      </c>
      <c r="D147" s="154">
        <f>IF(F146+SUM(E$99:E146)=D$92,F146,D$92-SUM(E$99:E146))</f>
        <v>0</v>
      </c>
      <c r="E147" s="160">
        <f>IF(+J96&lt;F146,J96,D147)</f>
        <v>0</v>
      </c>
      <c r="F147" s="159">
        <f t="shared" si="19"/>
        <v>0</v>
      </c>
      <c r="G147" s="159">
        <f t="shared" si="20"/>
        <v>0</v>
      </c>
      <c r="H147" s="163">
        <f t="shared" si="12"/>
        <v>0</v>
      </c>
      <c r="I147" s="253">
        <f t="shared" si="13"/>
        <v>0</v>
      </c>
      <c r="J147" s="158">
        <f t="shared" si="21"/>
        <v>0</v>
      </c>
      <c r="K147" s="158"/>
      <c r="L147" s="334"/>
      <c r="M147" s="158">
        <f t="shared" si="22"/>
        <v>0</v>
      </c>
      <c r="N147" s="334"/>
      <c r="O147" s="158">
        <f t="shared" si="23"/>
        <v>0</v>
      </c>
      <c r="P147" s="158">
        <f t="shared" si="24"/>
        <v>0</v>
      </c>
    </row>
    <row r="148" spans="2:16">
      <c r="B148" s="9" t="str">
        <f t="shared" si="18"/>
        <v/>
      </c>
      <c r="C148" s="153">
        <f>IF(D93="","-",+C147+1)</f>
        <v>2065</v>
      </c>
      <c r="D148" s="154">
        <f>IF(F147+SUM(E$99:E147)=D$92,F147,D$92-SUM(E$99:E147))</f>
        <v>0</v>
      </c>
      <c r="E148" s="160">
        <f>IF(+J96&lt;F147,J96,D148)</f>
        <v>0</v>
      </c>
      <c r="F148" s="159">
        <f t="shared" si="19"/>
        <v>0</v>
      </c>
      <c r="G148" s="159">
        <f t="shared" si="20"/>
        <v>0</v>
      </c>
      <c r="H148" s="163">
        <f t="shared" si="12"/>
        <v>0</v>
      </c>
      <c r="I148" s="253">
        <f t="shared" si="13"/>
        <v>0</v>
      </c>
      <c r="J148" s="158">
        <f t="shared" si="21"/>
        <v>0</v>
      </c>
      <c r="K148" s="158"/>
      <c r="L148" s="334"/>
      <c r="M148" s="158">
        <f t="shared" si="22"/>
        <v>0</v>
      </c>
      <c r="N148" s="334"/>
      <c r="O148" s="158">
        <f t="shared" si="23"/>
        <v>0</v>
      </c>
      <c r="P148" s="158">
        <f t="shared" si="24"/>
        <v>0</v>
      </c>
    </row>
    <row r="149" spans="2:16">
      <c r="B149" s="9" t="str">
        <f t="shared" si="18"/>
        <v/>
      </c>
      <c r="C149" s="153">
        <f>IF(D93="","-",+C148+1)</f>
        <v>2066</v>
      </c>
      <c r="D149" s="154">
        <f>IF(F148+SUM(E$99:E148)=D$92,F148,D$92-SUM(E$99:E148))</f>
        <v>0</v>
      </c>
      <c r="E149" s="160">
        <f>IF(+J96&lt;F148,J96,D149)</f>
        <v>0</v>
      </c>
      <c r="F149" s="159">
        <f t="shared" si="19"/>
        <v>0</v>
      </c>
      <c r="G149" s="159">
        <f t="shared" si="20"/>
        <v>0</v>
      </c>
      <c r="H149" s="163">
        <f t="shared" si="12"/>
        <v>0</v>
      </c>
      <c r="I149" s="253">
        <f t="shared" si="13"/>
        <v>0</v>
      </c>
      <c r="J149" s="158">
        <f t="shared" si="21"/>
        <v>0</v>
      </c>
      <c r="K149" s="158"/>
      <c r="L149" s="334"/>
      <c r="M149" s="158">
        <f t="shared" si="22"/>
        <v>0</v>
      </c>
      <c r="N149" s="334"/>
      <c r="O149" s="158">
        <f t="shared" si="23"/>
        <v>0</v>
      </c>
      <c r="P149" s="158">
        <f t="shared" si="24"/>
        <v>0</v>
      </c>
    </row>
    <row r="150" spans="2:16">
      <c r="B150" s="9" t="str">
        <f t="shared" si="18"/>
        <v/>
      </c>
      <c r="C150" s="153">
        <f>IF(D93="","-",+C149+1)</f>
        <v>2067</v>
      </c>
      <c r="D150" s="154">
        <f>IF(F149+SUM(E$99:E149)=D$92,F149,D$92-SUM(E$99:E149))</f>
        <v>0</v>
      </c>
      <c r="E150" s="160">
        <f>IF(+J96&lt;F149,J96,D150)</f>
        <v>0</v>
      </c>
      <c r="F150" s="159">
        <f t="shared" si="19"/>
        <v>0</v>
      </c>
      <c r="G150" s="159">
        <f t="shared" si="20"/>
        <v>0</v>
      </c>
      <c r="H150" s="163">
        <f t="shared" si="12"/>
        <v>0</v>
      </c>
      <c r="I150" s="253">
        <f t="shared" si="13"/>
        <v>0</v>
      </c>
      <c r="J150" s="158">
        <f t="shared" si="21"/>
        <v>0</v>
      </c>
      <c r="K150" s="158"/>
      <c r="L150" s="334"/>
      <c r="M150" s="158">
        <f t="shared" si="22"/>
        <v>0</v>
      </c>
      <c r="N150" s="334"/>
      <c r="O150" s="158">
        <f t="shared" si="23"/>
        <v>0</v>
      </c>
      <c r="P150" s="158">
        <f t="shared" si="24"/>
        <v>0</v>
      </c>
    </row>
    <row r="151" spans="2:16">
      <c r="B151" s="9" t="str">
        <f t="shared" si="18"/>
        <v/>
      </c>
      <c r="C151" s="153">
        <f>IF(D93="","-",+C150+1)</f>
        <v>2068</v>
      </c>
      <c r="D151" s="154">
        <f>IF(F150+SUM(E$99:E150)=D$92,F150,D$92-SUM(E$99:E150))</f>
        <v>0</v>
      </c>
      <c r="E151" s="160">
        <f>IF(+J96&lt;F150,J96,D151)</f>
        <v>0</v>
      </c>
      <c r="F151" s="159">
        <f t="shared" si="19"/>
        <v>0</v>
      </c>
      <c r="G151" s="159">
        <f t="shared" si="20"/>
        <v>0</v>
      </c>
      <c r="H151" s="163">
        <f t="shared" si="12"/>
        <v>0</v>
      </c>
      <c r="I151" s="253">
        <f t="shared" si="13"/>
        <v>0</v>
      </c>
      <c r="J151" s="158">
        <f t="shared" si="21"/>
        <v>0</v>
      </c>
      <c r="K151" s="158"/>
      <c r="L151" s="334"/>
      <c r="M151" s="158">
        <f t="shared" si="22"/>
        <v>0</v>
      </c>
      <c r="N151" s="334"/>
      <c r="O151" s="158">
        <f t="shared" si="23"/>
        <v>0</v>
      </c>
      <c r="P151" s="158">
        <f t="shared" si="24"/>
        <v>0</v>
      </c>
    </row>
    <row r="152" spans="2:16">
      <c r="B152" s="9" t="str">
        <f t="shared" si="18"/>
        <v/>
      </c>
      <c r="C152" s="153">
        <f>IF(D93="","-",+C151+1)</f>
        <v>2069</v>
      </c>
      <c r="D152" s="154">
        <f>IF(F151+SUM(E$99:E151)=D$92,F151,D$92-SUM(E$99:E151))</f>
        <v>0</v>
      </c>
      <c r="E152" s="160">
        <f>IF(+J96&lt;F151,J96,D152)</f>
        <v>0</v>
      </c>
      <c r="F152" s="159">
        <f t="shared" si="19"/>
        <v>0</v>
      </c>
      <c r="G152" s="159">
        <f t="shared" si="20"/>
        <v>0</v>
      </c>
      <c r="H152" s="163">
        <f t="shared" si="12"/>
        <v>0</v>
      </c>
      <c r="I152" s="253">
        <f t="shared" si="13"/>
        <v>0</v>
      </c>
      <c r="J152" s="158">
        <f t="shared" si="21"/>
        <v>0</v>
      </c>
      <c r="K152" s="158"/>
      <c r="L152" s="334"/>
      <c r="M152" s="158">
        <f t="shared" si="22"/>
        <v>0</v>
      </c>
      <c r="N152" s="334"/>
      <c r="O152" s="158">
        <f t="shared" si="23"/>
        <v>0</v>
      </c>
      <c r="P152" s="158">
        <f t="shared" si="24"/>
        <v>0</v>
      </c>
    </row>
    <row r="153" spans="2:16">
      <c r="B153" s="9" t="str">
        <f t="shared" si="18"/>
        <v/>
      </c>
      <c r="C153" s="153">
        <f>IF(D93="","-",+C152+1)</f>
        <v>2070</v>
      </c>
      <c r="D153" s="154">
        <f>IF(F152+SUM(E$99:E152)=D$92,F152,D$92-SUM(E$99:E152))</f>
        <v>0</v>
      </c>
      <c r="E153" s="160">
        <f>IF(+J96&lt;F152,J96,D153)</f>
        <v>0</v>
      </c>
      <c r="F153" s="159">
        <f t="shared" si="19"/>
        <v>0</v>
      </c>
      <c r="G153" s="159">
        <f t="shared" si="20"/>
        <v>0</v>
      </c>
      <c r="H153" s="163">
        <f t="shared" si="12"/>
        <v>0</v>
      </c>
      <c r="I153" s="253">
        <f t="shared" si="13"/>
        <v>0</v>
      </c>
      <c r="J153" s="158">
        <f t="shared" si="21"/>
        <v>0</v>
      </c>
      <c r="K153" s="158"/>
      <c r="L153" s="334"/>
      <c r="M153" s="158">
        <f t="shared" si="22"/>
        <v>0</v>
      </c>
      <c r="N153" s="334"/>
      <c r="O153" s="158">
        <f t="shared" si="23"/>
        <v>0</v>
      </c>
      <c r="P153" s="158">
        <f t="shared" si="24"/>
        <v>0</v>
      </c>
    </row>
    <row r="154" spans="2:16" ht="13.5" thickBot="1">
      <c r="B154" s="9" t="str">
        <f t="shared" si="18"/>
        <v/>
      </c>
      <c r="C154" s="164">
        <f>IF(D93="","-",+C153+1)</f>
        <v>2071</v>
      </c>
      <c r="D154" s="215">
        <f>IF(F153+SUM(E$99:E153)=D$92,F153,D$92-SUM(E$99:E153))</f>
        <v>0</v>
      </c>
      <c r="E154" s="166">
        <f>IF(+J96&lt;F153,J96,D154)</f>
        <v>0</v>
      </c>
      <c r="F154" s="165">
        <f t="shared" si="19"/>
        <v>0</v>
      </c>
      <c r="G154" s="165">
        <f t="shared" si="20"/>
        <v>0</v>
      </c>
      <c r="H154" s="167">
        <f t="shared" si="12"/>
        <v>0</v>
      </c>
      <c r="I154" s="254">
        <f t="shared" si="13"/>
        <v>0</v>
      </c>
      <c r="J154" s="169">
        <f t="shared" si="21"/>
        <v>0</v>
      </c>
      <c r="K154" s="158"/>
      <c r="L154" s="335"/>
      <c r="M154" s="169">
        <f t="shared" si="22"/>
        <v>0</v>
      </c>
      <c r="N154" s="335"/>
      <c r="O154" s="169">
        <f t="shared" si="23"/>
        <v>0</v>
      </c>
      <c r="P154" s="169">
        <f t="shared" si="24"/>
        <v>0</v>
      </c>
    </row>
    <row r="155" spans="2:16">
      <c r="C155" s="154" t="s">
        <v>73</v>
      </c>
      <c r="D155" s="111"/>
      <c r="E155" s="111">
        <f>SUM(E99:E154)</f>
        <v>1558181</v>
      </c>
      <c r="F155" s="111"/>
      <c r="G155" s="111"/>
      <c r="H155" s="111">
        <f>SUM(H99:H154)</f>
        <v>5539358.9450840019</v>
      </c>
      <c r="I155" s="111">
        <f>SUM(I99:I154)</f>
        <v>5539358.9450840019</v>
      </c>
      <c r="J155" s="111">
        <f>SUM(J99:J154)</f>
        <v>0</v>
      </c>
      <c r="K155" s="111"/>
      <c r="L155" s="111"/>
      <c r="M155" s="111"/>
      <c r="N155" s="111"/>
      <c r="O155" s="111"/>
      <c r="P155" s="1"/>
    </row>
    <row r="156" spans="2:16">
      <c r="C156" t="s">
        <v>87</v>
      </c>
      <c r="D156" s="2"/>
      <c r="E156" s="1"/>
      <c r="F156" s="1"/>
      <c r="G156" s="1"/>
      <c r="H156" s="1"/>
      <c r="I156" s="3"/>
      <c r="J156" s="3"/>
      <c r="K156" s="111"/>
      <c r="L156" s="3"/>
      <c r="M156" s="3"/>
      <c r="N156" s="3"/>
      <c r="O156" s="3"/>
      <c r="P156" s="1"/>
    </row>
    <row r="157" spans="2:16">
      <c r="C157" s="216"/>
      <c r="D157" s="2"/>
      <c r="E157" s="1"/>
      <c r="F157" s="1"/>
      <c r="G157" s="1"/>
      <c r="H157" s="1"/>
      <c r="I157" s="3"/>
      <c r="J157" s="3"/>
      <c r="K157" s="111"/>
      <c r="L157" s="3"/>
      <c r="M157" s="3"/>
      <c r="N157" s="3"/>
      <c r="O157" s="3"/>
      <c r="P157" s="1"/>
    </row>
    <row r="158" spans="2:16">
      <c r="C158" s="248" t="s">
        <v>127</v>
      </c>
      <c r="D158" s="2"/>
      <c r="E158" s="1"/>
      <c r="F158" s="1"/>
      <c r="G158" s="1"/>
      <c r="H158" s="1"/>
      <c r="I158" s="3"/>
      <c r="J158" s="3"/>
      <c r="K158" s="111"/>
      <c r="L158" s="3"/>
      <c r="M158" s="3"/>
      <c r="N158" s="3"/>
      <c r="O158" s="3"/>
      <c r="P158" s="1"/>
    </row>
    <row r="159" spans="2:16">
      <c r="C159" s="121" t="s">
        <v>74</v>
      </c>
      <c r="D159" s="154"/>
      <c r="E159" s="154"/>
      <c r="F159" s="154"/>
      <c r="G159" s="154"/>
      <c r="H159" s="111"/>
      <c r="I159" s="111"/>
      <c r="J159" s="171"/>
      <c r="K159" s="171"/>
      <c r="L159" s="171"/>
      <c r="M159" s="171"/>
      <c r="N159" s="171"/>
      <c r="O159" s="171"/>
      <c r="P159" s="1"/>
    </row>
    <row r="160" spans="2:16">
      <c r="C160" s="217" t="s">
        <v>75</v>
      </c>
      <c r="D160" s="154"/>
      <c r="E160" s="154"/>
      <c r="F160" s="154"/>
      <c r="G160" s="154"/>
      <c r="H160" s="111"/>
      <c r="I160" s="111"/>
      <c r="J160" s="171"/>
      <c r="K160" s="171"/>
      <c r="L160" s="171"/>
      <c r="M160" s="171"/>
      <c r="N160" s="171"/>
      <c r="O160" s="171"/>
      <c r="P160" s="1"/>
    </row>
    <row r="161" spans="3:16">
      <c r="C161" s="217"/>
      <c r="D161" s="154"/>
      <c r="E161" s="154"/>
      <c r="F161" s="154"/>
      <c r="G161" s="154"/>
      <c r="H161" s="111"/>
      <c r="I161" s="111"/>
      <c r="J161" s="171"/>
      <c r="K161" s="171"/>
      <c r="L161" s="171"/>
      <c r="M161" s="171"/>
      <c r="N161" s="171"/>
      <c r="O161" s="171"/>
      <c r="P161" s="1"/>
    </row>
    <row r="162" spans="3:16" ht="18">
      <c r="C162" s="217"/>
      <c r="D162" s="154"/>
      <c r="E162" s="154"/>
      <c r="F162" s="154"/>
      <c r="G162" s="154"/>
      <c r="H162" s="111"/>
      <c r="I162" s="111"/>
      <c r="J162" s="171"/>
      <c r="K162" s="171"/>
      <c r="L162" s="171"/>
      <c r="M162" s="171"/>
      <c r="N162" s="171"/>
      <c r="P162" s="245" t="s">
        <v>126</v>
      </c>
    </row>
  </sheetData>
  <conditionalFormatting sqref="C17:C72">
    <cfRule type="cellIs" dxfId="51" priority="1" stopIfTrue="1" operator="equal">
      <formula>$I$10</formula>
    </cfRule>
  </conditionalFormatting>
  <conditionalFormatting sqref="C99:C154">
    <cfRule type="cellIs" dxfId="50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1"/>
  <dimension ref="A1:Q162"/>
  <sheetViews>
    <sheetView view="pageBreakPreview" zoomScale="84" zoomScaleNormal="100" zoomScaleSheetLayoutView="84" workbookViewId="0">
      <selection activeCell="C19" sqref="C19"/>
    </sheetView>
  </sheetViews>
  <sheetFormatPr defaultRowHeight="12.75" customHeight="1"/>
  <cols>
    <col min="1" max="1" width="4.7109375" customWidth="1"/>
    <col min="2" max="2" width="6.7109375" customWidth="1"/>
    <col min="3" max="3" width="23.28515625" customWidth="1"/>
    <col min="4" max="8" width="17.7109375" customWidth="1"/>
    <col min="9" max="9" width="20.42578125" customWidth="1"/>
    <col min="10" max="10" width="16.42578125" customWidth="1"/>
    <col min="11" max="11" width="17.7109375" customWidth="1"/>
    <col min="12" max="12" width="16.140625" customWidth="1"/>
    <col min="13" max="13" width="17.7109375" customWidth="1"/>
    <col min="14" max="14" width="16.140625" customWidth="1"/>
    <col min="15" max="15" width="16.85546875" customWidth="1"/>
    <col min="16" max="16" width="24.42578125" customWidth="1"/>
    <col min="17" max="17" width="4.7109375" customWidth="1"/>
    <col min="23" max="23" width="9.140625" customWidth="1"/>
  </cols>
  <sheetData>
    <row r="1" spans="1:17" ht="20.25">
      <c r="A1" s="243" t="s">
        <v>128</v>
      </c>
      <c r="B1" s="1"/>
      <c r="C1" s="21"/>
      <c r="D1" s="2"/>
      <c r="E1" s="1"/>
      <c r="F1" s="99"/>
      <c r="G1" s="1"/>
      <c r="H1" s="3"/>
      <c r="J1" s="7"/>
      <c r="K1" s="109"/>
      <c r="L1" s="109"/>
      <c r="M1" s="109"/>
      <c r="P1" s="249" t="str">
        <f ca="1">"SWEPCO Project "&amp;RIGHT(MID(CELL("filename",$A$1),FIND("]",CELL("filename",$A$1))+1,256),1)&amp;" of "&amp;COUNT('S.001:S.xyz - blank'!$P$3)-1</f>
        <v>SWEPCO Project 3 of 73</v>
      </c>
      <c r="Q1" s="108"/>
    </row>
    <row r="2" spans="1:17" ht="18">
      <c r="B2" s="1"/>
      <c r="C2" s="1"/>
      <c r="D2" s="2"/>
      <c r="E2" s="1"/>
      <c r="F2" s="1"/>
      <c r="G2" s="1"/>
      <c r="H2" s="3"/>
      <c r="I2" s="1"/>
      <c r="J2" s="4"/>
      <c r="K2" s="1"/>
      <c r="L2" s="1"/>
      <c r="M2" s="1"/>
      <c r="N2" s="1"/>
      <c r="P2" s="237" t="s">
        <v>124</v>
      </c>
    </row>
    <row r="3" spans="1:17" ht="18.75">
      <c r="B3" s="5" t="s">
        <v>40</v>
      </c>
      <c r="C3" s="68" t="s">
        <v>41</v>
      </c>
      <c r="D3" s="2"/>
      <c r="E3" s="1"/>
      <c r="F3" s="1"/>
      <c r="G3" s="1"/>
      <c r="H3" s="3"/>
      <c r="I3" s="3"/>
      <c r="J3" s="111"/>
      <c r="K3" s="3"/>
      <c r="L3" s="3"/>
      <c r="M3" s="3"/>
      <c r="N3" s="3"/>
      <c r="O3" s="1" t="str">
        <f>RIGHT(N3,3)</f>
        <v/>
      </c>
      <c r="P3" s="239">
        <v>1</v>
      </c>
    </row>
    <row r="4" spans="1:17" ht="15.75" thickBot="1">
      <c r="C4" s="67"/>
      <c r="D4" s="2"/>
      <c r="E4" s="1"/>
      <c r="F4" s="1"/>
      <c r="G4" s="1"/>
      <c r="H4" s="3"/>
      <c r="I4" s="3"/>
      <c r="J4" s="111"/>
      <c r="K4" s="3"/>
      <c r="L4" s="3"/>
      <c r="M4" s="3"/>
      <c r="N4" s="3"/>
      <c r="O4" s="1"/>
      <c r="P4" s="1"/>
    </row>
    <row r="5" spans="1:17" ht="15">
      <c r="C5" s="112" t="s">
        <v>42</v>
      </c>
      <c r="D5" s="2"/>
      <c r="E5" s="1"/>
      <c r="F5" s="1"/>
      <c r="G5" s="113"/>
      <c r="H5" s="1" t="s">
        <v>43</v>
      </c>
      <c r="I5" s="1"/>
      <c r="J5" s="4"/>
      <c r="K5" s="268" t="s">
        <v>152</v>
      </c>
      <c r="L5" s="114"/>
      <c r="M5" s="115"/>
      <c r="N5" s="116">
        <f>VLOOKUP(I10,C17:I72,5)</f>
        <v>1371566.4755118289</v>
      </c>
      <c r="O5" s="48"/>
      <c r="P5" s="1"/>
    </row>
    <row r="6" spans="1:17" ht="15.75">
      <c r="C6" s="8"/>
      <c r="D6" s="2"/>
      <c r="E6" s="1"/>
      <c r="F6" s="1"/>
      <c r="G6" s="1"/>
      <c r="H6" s="117"/>
      <c r="I6" s="117"/>
      <c r="J6" s="118"/>
      <c r="K6" s="269" t="s">
        <v>153</v>
      </c>
      <c r="L6" s="119"/>
      <c r="M6" s="4"/>
      <c r="N6" s="120">
        <f>VLOOKUP(I10,C17:I72,6)</f>
        <v>1371566.4755118289</v>
      </c>
      <c r="O6" s="1"/>
      <c r="P6" s="1"/>
    </row>
    <row r="7" spans="1:17" ht="13.5" thickBot="1">
      <c r="C7" s="121" t="s">
        <v>44</v>
      </c>
      <c r="D7" s="273" t="s">
        <v>233</v>
      </c>
      <c r="E7" s="1"/>
      <c r="F7" s="1"/>
      <c r="G7" s="1"/>
      <c r="H7" s="3"/>
      <c r="I7" s="3"/>
      <c r="J7" s="111"/>
      <c r="K7" s="122" t="s">
        <v>45</v>
      </c>
      <c r="L7" s="123"/>
      <c r="M7" s="123"/>
      <c r="N7" s="124">
        <f>+N6-N5</f>
        <v>0</v>
      </c>
      <c r="O7" s="347"/>
      <c r="P7" s="1"/>
    </row>
    <row r="8" spans="1:17" ht="13.5" thickBot="1">
      <c r="C8" s="125"/>
      <c r="D8" s="247" t="str">
        <f>IF(D10&lt;100000,"DOES NOT MEET SPP $100,000 MINIMUM INVESTMENT FOR REGIONAL BPU SHARING.","")</f>
        <v/>
      </c>
      <c r="E8" s="126"/>
      <c r="F8" s="126"/>
      <c r="G8" s="126"/>
      <c r="H8" s="126"/>
      <c r="I8" s="126"/>
      <c r="J8" s="101"/>
      <c r="K8" s="126"/>
      <c r="L8" s="126"/>
      <c r="M8" s="126"/>
      <c r="N8" s="348"/>
      <c r="O8" s="349"/>
      <c r="P8" s="350"/>
    </row>
    <row r="9" spans="1:17" ht="13.5" thickBot="1">
      <c r="A9" s="103"/>
      <c r="C9" s="127" t="s">
        <v>46</v>
      </c>
      <c r="D9" s="225" t="s">
        <v>137</v>
      </c>
      <c r="E9" s="401" t="s">
        <v>397</v>
      </c>
      <c r="F9" s="128"/>
      <c r="G9" s="128"/>
      <c r="H9" s="128"/>
      <c r="I9" s="129"/>
      <c r="J9" s="130"/>
      <c r="O9" s="131"/>
      <c r="P9" s="4"/>
    </row>
    <row r="10" spans="1:17">
      <c r="C10" s="132" t="s">
        <v>47</v>
      </c>
      <c r="D10" s="133">
        <f>13742804</f>
        <v>13742804</v>
      </c>
      <c r="E10" s="61" t="s">
        <v>459</v>
      </c>
      <c r="F10" s="131"/>
      <c r="G10" s="134"/>
      <c r="H10" s="134"/>
      <c r="I10" s="135">
        <f>+SWE.WS.F.BPU.ATRR.Projected!K17</f>
        <v>2019</v>
      </c>
      <c r="J10" s="130"/>
      <c r="K10" s="111" t="s">
        <v>48</v>
      </c>
      <c r="O10" s="4"/>
      <c r="P10" s="4"/>
    </row>
    <row r="11" spans="1:17">
      <c r="C11" s="136" t="s">
        <v>49</v>
      </c>
      <c r="D11" s="137">
        <v>2009</v>
      </c>
      <c r="E11" s="136" t="s">
        <v>50</v>
      </c>
      <c r="F11" s="134"/>
      <c r="G11" s="7"/>
      <c r="H11" s="7"/>
      <c r="I11" s="138">
        <v>0</v>
      </c>
      <c r="J11" s="139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4"/>
      <c r="P11" s="4"/>
    </row>
    <row r="12" spans="1:17">
      <c r="C12" s="136" t="s">
        <v>51</v>
      </c>
      <c r="D12" s="133">
        <v>6</v>
      </c>
      <c r="E12" s="136" t="s">
        <v>52</v>
      </c>
      <c r="F12" s="134"/>
      <c r="G12" s="7"/>
      <c r="H12" s="7"/>
      <c r="I12" s="140">
        <f>SWE.WS.F.BPU.ATRR.Projected!$F$76</f>
        <v>9.9555672459071778E-2</v>
      </c>
      <c r="J12" s="141"/>
      <c r="K12" t="s">
        <v>53</v>
      </c>
      <c r="O12" s="4"/>
      <c r="P12" s="4"/>
    </row>
    <row r="13" spans="1:17">
      <c r="C13" s="136" t="s">
        <v>54</v>
      </c>
      <c r="D13" s="138">
        <f>+SWE.WS.F.BPU.ATRR.Projected!F$87</f>
        <v>43</v>
      </c>
      <c r="E13" s="136" t="s">
        <v>55</v>
      </c>
      <c r="F13" s="134"/>
      <c r="G13" s="7"/>
      <c r="H13" s="7"/>
      <c r="I13" s="140">
        <f>IF(G5="",I12,SWE.WS.F.BPU.ATRR.Projected!$F$75)</f>
        <v>9.9555672459071778E-2</v>
      </c>
      <c r="J13" s="141"/>
      <c r="K13" s="111" t="s">
        <v>56</v>
      </c>
      <c r="L13" s="58"/>
      <c r="M13" s="58"/>
      <c r="N13" s="58"/>
      <c r="O13" s="4"/>
      <c r="P13" s="4"/>
    </row>
    <row r="14" spans="1:17" ht="13.5" thickBot="1">
      <c r="C14" s="136" t="s">
        <v>57</v>
      </c>
      <c r="D14" s="137" t="s">
        <v>58</v>
      </c>
      <c r="E14" s="4" t="s">
        <v>59</v>
      </c>
      <c r="F14" s="134"/>
      <c r="G14" s="7"/>
      <c r="H14" s="7"/>
      <c r="I14" s="142">
        <f>IF(D10=0,0,D10/D13)</f>
        <v>319600.09302325582</v>
      </c>
      <c r="J14" s="111"/>
      <c r="K14" s="111"/>
      <c r="L14" s="111"/>
      <c r="M14" s="111"/>
      <c r="N14" s="111"/>
      <c r="O14" s="4"/>
      <c r="P14" s="4"/>
    </row>
    <row r="15" spans="1:17" ht="38.25">
      <c r="C15" s="143" t="s">
        <v>47</v>
      </c>
      <c r="D15" s="144" t="s">
        <v>60</v>
      </c>
      <c r="E15" s="144" t="s">
        <v>61</v>
      </c>
      <c r="F15" s="144" t="s">
        <v>62</v>
      </c>
      <c r="G15" s="434" t="s">
        <v>378</v>
      </c>
      <c r="H15" s="435" t="s">
        <v>379</v>
      </c>
      <c r="I15" s="351" t="s">
        <v>249</v>
      </c>
      <c r="J15" s="145"/>
      <c r="K15" s="271" t="s">
        <v>219</v>
      </c>
      <c r="L15" s="146" t="s">
        <v>64</v>
      </c>
      <c r="M15" s="271" t="s">
        <v>219</v>
      </c>
      <c r="N15" s="146" t="s">
        <v>64</v>
      </c>
      <c r="O15" s="146" t="s">
        <v>65</v>
      </c>
      <c r="P15" s="4"/>
    </row>
    <row r="16" spans="1:17" ht="13.5" thickBot="1">
      <c r="C16" s="147" t="s">
        <v>66</v>
      </c>
      <c r="D16" s="147" t="s">
        <v>67</v>
      </c>
      <c r="E16" s="147" t="s">
        <v>68</v>
      </c>
      <c r="F16" s="147" t="s">
        <v>67</v>
      </c>
      <c r="G16" s="408" t="s">
        <v>69</v>
      </c>
      <c r="H16" s="148" t="s">
        <v>70</v>
      </c>
      <c r="I16" s="149" t="s">
        <v>89</v>
      </c>
      <c r="J16" s="150" t="s">
        <v>71</v>
      </c>
      <c r="K16" s="151" t="s">
        <v>72</v>
      </c>
      <c r="L16" s="151" t="s">
        <v>72</v>
      </c>
      <c r="M16" s="151" t="s">
        <v>90</v>
      </c>
      <c r="N16" s="152" t="s">
        <v>90</v>
      </c>
      <c r="O16" s="151" t="s">
        <v>90</v>
      </c>
      <c r="P16" s="4"/>
    </row>
    <row r="17" spans="2:16">
      <c r="C17" s="153">
        <f>IF(D11= "","-",D11)</f>
        <v>2009</v>
      </c>
      <c r="D17" s="357">
        <v>13558697</v>
      </c>
      <c r="E17" s="358">
        <v>0</v>
      </c>
      <c r="F17" s="357">
        <v>13558697</v>
      </c>
      <c r="G17" s="358">
        <v>173170</v>
      </c>
      <c r="H17" s="359">
        <v>173170</v>
      </c>
      <c r="I17" s="156">
        <f t="shared" ref="I17:I48" si="0">H17-G17</f>
        <v>0</v>
      </c>
      <c r="J17" s="156"/>
      <c r="K17" s="256">
        <v>173170</v>
      </c>
      <c r="L17" s="157">
        <f t="shared" ref="L17:L48" si="1">IF(K17&lt;&gt;0,+G17-K17,0)</f>
        <v>0</v>
      </c>
      <c r="M17" s="256">
        <v>173170</v>
      </c>
      <c r="N17" s="157">
        <f t="shared" ref="N17:N48" si="2">IF(M17&lt;&gt;0,+H17-M17,0)</f>
        <v>0</v>
      </c>
      <c r="O17" s="158">
        <f t="shared" ref="O17:O48" si="3">+N17-L17</f>
        <v>0</v>
      </c>
      <c r="P17" s="4"/>
    </row>
    <row r="18" spans="2:16">
      <c r="B18" s="9" t="str">
        <f>IF(D18=F17,"","IU")</f>
        <v>IU</v>
      </c>
      <c r="C18" s="153">
        <f>IF(D11="","-",+C17+1)</f>
        <v>2010</v>
      </c>
      <c r="D18" s="361">
        <v>14833730</v>
      </c>
      <c r="E18" s="360">
        <v>390361</v>
      </c>
      <c r="F18" s="361">
        <v>14443368</v>
      </c>
      <c r="G18" s="360">
        <v>2466812</v>
      </c>
      <c r="H18" s="359">
        <v>2466812</v>
      </c>
      <c r="I18" s="368">
        <v>0</v>
      </c>
      <c r="J18" s="156"/>
      <c r="K18" s="258">
        <f t="shared" ref="K18:K23" si="4">G18</f>
        <v>2466812</v>
      </c>
      <c r="L18" s="257">
        <f t="shared" si="1"/>
        <v>0</v>
      </c>
      <c r="M18" s="258">
        <f t="shared" ref="M18:M23" si="5">H18</f>
        <v>2466812</v>
      </c>
      <c r="N18" s="158">
        <f t="shared" si="2"/>
        <v>0</v>
      </c>
      <c r="O18" s="158">
        <f t="shared" si="3"/>
        <v>0</v>
      </c>
      <c r="P18" s="4"/>
    </row>
    <row r="19" spans="2:16">
      <c r="B19" s="9" t="str">
        <f>IF(D19=F18,"","IU")</f>
        <v>IU</v>
      </c>
      <c r="C19" s="153">
        <f>IF(D11="","-",+C18+1)</f>
        <v>2011</v>
      </c>
      <c r="D19" s="361">
        <v>13352442</v>
      </c>
      <c r="E19" s="360">
        <v>335190.31707317074</v>
      </c>
      <c r="F19" s="361">
        <v>13017251.68292683</v>
      </c>
      <c r="G19" s="360">
        <v>2368383.292220511</v>
      </c>
      <c r="H19" s="359">
        <v>2368383.292220511</v>
      </c>
      <c r="I19" s="368">
        <v>0</v>
      </c>
      <c r="J19" s="156"/>
      <c r="K19" s="258">
        <f t="shared" si="4"/>
        <v>2368383.292220511</v>
      </c>
      <c r="L19" s="257">
        <f t="shared" si="1"/>
        <v>0</v>
      </c>
      <c r="M19" s="258">
        <f t="shared" si="5"/>
        <v>2368383.292220511</v>
      </c>
      <c r="N19" s="158">
        <f t="shared" si="2"/>
        <v>0</v>
      </c>
      <c r="O19" s="158">
        <f t="shared" si="3"/>
        <v>0</v>
      </c>
      <c r="P19" s="4"/>
    </row>
    <row r="20" spans="2:16">
      <c r="B20" s="9" t="str">
        <f t="shared" ref="B20:B72" si="6">IF(D20=F19,"","IU")</f>
        <v/>
      </c>
      <c r="C20" s="153">
        <f>IF(D11="","-",+C19+1)</f>
        <v>2012</v>
      </c>
      <c r="D20" s="361">
        <v>13017251.68292683</v>
      </c>
      <c r="E20" s="377">
        <v>327209.59523809527</v>
      </c>
      <c r="F20" s="361">
        <v>12690042.087688735</v>
      </c>
      <c r="G20" s="360">
        <v>2214474.4319801349</v>
      </c>
      <c r="H20" s="359">
        <v>2214474.4319801349</v>
      </c>
      <c r="I20" s="368">
        <v>0</v>
      </c>
      <c r="J20" s="156"/>
      <c r="K20" s="258">
        <f t="shared" si="4"/>
        <v>2214474.4319801349</v>
      </c>
      <c r="L20" s="257">
        <f t="shared" si="1"/>
        <v>0</v>
      </c>
      <c r="M20" s="258">
        <f t="shared" si="5"/>
        <v>2214474.4319801349</v>
      </c>
      <c r="N20" s="158">
        <f t="shared" si="2"/>
        <v>0</v>
      </c>
      <c r="O20" s="158">
        <f t="shared" si="3"/>
        <v>0</v>
      </c>
      <c r="P20" s="4"/>
    </row>
    <row r="21" spans="2:16">
      <c r="B21" s="9" t="str">
        <f t="shared" si="6"/>
        <v/>
      </c>
      <c r="C21" s="153">
        <f>IF(D12="","-",+C20+1)</f>
        <v>2013</v>
      </c>
      <c r="D21" s="361">
        <v>12690042.087688735</v>
      </c>
      <c r="E21" s="377">
        <v>327209.59523809527</v>
      </c>
      <c r="F21" s="361">
        <v>12362832.49245064</v>
      </c>
      <c r="G21" s="360">
        <v>2057846.4420481771</v>
      </c>
      <c r="H21" s="359">
        <v>2057846.4420481771</v>
      </c>
      <c r="I21" s="156">
        <v>0</v>
      </c>
      <c r="J21" s="156"/>
      <c r="K21" s="258">
        <f t="shared" si="4"/>
        <v>2057846.4420481771</v>
      </c>
      <c r="L21" s="257">
        <f t="shared" ref="L21:L26" si="7">IF(K21&lt;&gt;0,+G21-K21,0)</f>
        <v>0</v>
      </c>
      <c r="M21" s="258">
        <f t="shared" si="5"/>
        <v>2057846.4420481771</v>
      </c>
      <c r="N21" s="158">
        <f t="shared" ref="N21:N26" si="8">IF(M21&lt;&gt;0,+H21-M21,0)</f>
        <v>0</v>
      </c>
      <c r="O21" s="158">
        <f t="shared" ref="O21:O26" si="9">+N21-L21</f>
        <v>0</v>
      </c>
      <c r="P21" s="4"/>
    </row>
    <row r="22" spans="2:16">
      <c r="B22" s="9" t="str">
        <f t="shared" si="6"/>
        <v/>
      </c>
      <c r="C22" s="153">
        <f>IF(D11="","-",+C21+1)</f>
        <v>2014</v>
      </c>
      <c r="D22" s="361">
        <v>12362832.49245064</v>
      </c>
      <c r="E22" s="377">
        <v>327209.59523809527</v>
      </c>
      <c r="F22" s="361">
        <v>12035622.897212544</v>
      </c>
      <c r="G22" s="360">
        <v>1950941.5974063124</v>
      </c>
      <c r="H22" s="359">
        <v>1950941.5974063124</v>
      </c>
      <c r="I22" s="156">
        <v>0</v>
      </c>
      <c r="J22" s="156"/>
      <c r="K22" s="258">
        <f t="shared" si="4"/>
        <v>1950941.5974063124</v>
      </c>
      <c r="L22" s="257">
        <f t="shared" si="7"/>
        <v>0</v>
      </c>
      <c r="M22" s="258">
        <f t="shared" si="5"/>
        <v>1950941.5974063124</v>
      </c>
      <c r="N22" s="158">
        <f t="shared" si="8"/>
        <v>0</v>
      </c>
      <c r="O22" s="158">
        <f t="shared" si="9"/>
        <v>0</v>
      </c>
      <c r="P22" s="4"/>
    </row>
    <row r="23" spans="2:16">
      <c r="B23" s="9" t="str">
        <f t="shared" si="6"/>
        <v/>
      </c>
      <c r="C23" s="153">
        <f>IF(D11="","-",+C22+1)</f>
        <v>2015</v>
      </c>
      <c r="D23" s="361">
        <v>12035622.897212544</v>
      </c>
      <c r="E23" s="377">
        <v>327209.59523809527</v>
      </c>
      <c r="F23" s="361">
        <v>11708413.301974449</v>
      </c>
      <c r="G23" s="360">
        <v>1869263.8389089857</v>
      </c>
      <c r="H23" s="359">
        <v>1869263.8389089857</v>
      </c>
      <c r="I23" s="156">
        <v>0</v>
      </c>
      <c r="J23" s="156"/>
      <c r="K23" s="258">
        <f t="shared" si="4"/>
        <v>1869263.8389089857</v>
      </c>
      <c r="L23" s="257">
        <f t="shared" si="7"/>
        <v>0</v>
      </c>
      <c r="M23" s="258">
        <f t="shared" si="5"/>
        <v>1869263.8389089857</v>
      </c>
      <c r="N23" s="158">
        <f t="shared" si="8"/>
        <v>0</v>
      </c>
      <c r="O23" s="158">
        <f t="shared" si="9"/>
        <v>0</v>
      </c>
      <c r="P23" s="4"/>
    </row>
    <row r="24" spans="2:16">
      <c r="B24" s="9" t="str">
        <f t="shared" si="6"/>
        <v>IU</v>
      </c>
      <c r="C24" s="153">
        <f>IF(D11="","-",+C23+1)</f>
        <v>2016</v>
      </c>
      <c r="D24" s="361">
        <v>11708414.301974449</v>
      </c>
      <c r="E24" s="377">
        <v>327209.61904761905</v>
      </c>
      <c r="F24" s="361">
        <v>11381204.68292683</v>
      </c>
      <c r="G24" s="360">
        <v>1807676.4398879381</v>
      </c>
      <c r="H24" s="359">
        <v>1807676.4398879381</v>
      </c>
      <c r="I24" s="156">
        <f t="shared" si="0"/>
        <v>0</v>
      </c>
      <c r="J24" s="156"/>
      <c r="K24" s="258">
        <f>G24</f>
        <v>1807676.4398879381</v>
      </c>
      <c r="L24" s="257">
        <f t="shared" si="7"/>
        <v>0</v>
      </c>
      <c r="M24" s="258">
        <f>H24</f>
        <v>1807676.4398879381</v>
      </c>
      <c r="N24" s="158">
        <f t="shared" si="8"/>
        <v>0</v>
      </c>
      <c r="O24" s="158">
        <f t="shared" si="9"/>
        <v>0</v>
      </c>
      <c r="P24" s="4"/>
    </row>
    <row r="25" spans="2:16">
      <c r="B25" s="9" t="str">
        <f t="shared" si="6"/>
        <v/>
      </c>
      <c r="C25" s="153">
        <f>IF(D11="","-",+C24+1)</f>
        <v>2017</v>
      </c>
      <c r="D25" s="361">
        <v>11381204.68292683</v>
      </c>
      <c r="E25" s="377">
        <v>319600.09302325582</v>
      </c>
      <c r="F25" s="361">
        <v>11061604.589903574</v>
      </c>
      <c r="G25" s="360">
        <v>1709848.34416372</v>
      </c>
      <c r="H25" s="359">
        <v>1709848.34416372</v>
      </c>
      <c r="I25" s="156">
        <v>0</v>
      </c>
      <c r="J25" s="156"/>
      <c r="K25" s="258">
        <f>G25</f>
        <v>1709848.34416372</v>
      </c>
      <c r="L25" s="257">
        <f t="shared" si="7"/>
        <v>0</v>
      </c>
      <c r="M25" s="258">
        <f>H25</f>
        <v>1709848.34416372</v>
      </c>
      <c r="N25" s="158">
        <f t="shared" si="8"/>
        <v>0</v>
      </c>
      <c r="O25" s="158">
        <f t="shared" si="9"/>
        <v>0</v>
      </c>
      <c r="P25" s="4"/>
    </row>
    <row r="26" spans="2:16">
      <c r="B26" s="9" t="str">
        <f t="shared" si="6"/>
        <v/>
      </c>
      <c r="C26" s="153">
        <f>IF(D11="","-",+C25+1)</f>
        <v>2018</v>
      </c>
      <c r="D26" s="361">
        <v>11061604.589903574</v>
      </c>
      <c r="E26" s="377">
        <v>335190.34146341466</v>
      </c>
      <c r="F26" s="361">
        <v>10726414.248440159</v>
      </c>
      <c r="G26" s="360">
        <v>1554057.9794814645</v>
      </c>
      <c r="H26" s="359">
        <v>1554057.9794814645</v>
      </c>
      <c r="I26" s="156">
        <f t="shared" si="0"/>
        <v>0</v>
      </c>
      <c r="J26" s="156"/>
      <c r="K26" s="258">
        <f>G26</f>
        <v>1554057.9794814645</v>
      </c>
      <c r="L26" s="257">
        <f t="shared" si="7"/>
        <v>0</v>
      </c>
      <c r="M26" s="258">
        <f>H26</f>
        <v>1554057.9794814645</v>
      </c>
      <c r="N26" s="158">
        <f t="shared" si="8"/>
        <v>0</v>
      </c>
      <c r="O26" s="158">
        <f t="shared" si="9"/>
        <v>0</v>
      </c>
      <c r="P26" s="4"/>
    </row>
    <row r="27" spans="2:16">
      <c r="B27" s="9" t="str">
        <f t="shared" si="6"/>
        <v/>
      </c>
      <c r="C27" s="153">
        <f>IF(D11="","-",+C26+1)</f>
        <v>2019</v>
      </c>
      <c r="D27" s="162">
        <f>IF(F26+SUM(E$17:E26)=D$10,F26,D$10-SUM(E$17:E26))</f>
        <v>10726414.248440159</v>
      </c>
      <c r="E27" s="160">
        <f>IF(+I14&lt;F26,I14,D27)</f>
        <v>319600.09302325582</v>
      </c>
      <c r="F27" s="159">
        <f t="shared" ref="F27:F48" si="10">+D27-E27</f>
        <v>10406814.155416904</v>
      </c>
      <c r="G27" s="161">
        <f t="shared" ref="G27:G72" si="11">+I$12*((D27+F27)/2)+E27</f>
        <v>1371566.4755118289</v>
      </c>
      <c r="H27" s="142">
        <f t="shared" ref="H27:H72" si="12">+I$13*((D27+F27)/2)+E27</f>
        <v>1371566.4755118289</v>
      </c>
      <c r="I27" s="156">
        <f t="shared" si="0"/>
        <v>0</v>
      </c>
      <c r="J27" s="156"/>
      <c r="K27" s="334"/>
      <c r="L27" s="158">
        <f t="shared" si="1"/>
        <v>0</v>
      </c>
      <c r="M27" s="334"/>
      <c r="N27" s="158">
        <f t="shared" si="2"/>
        <v>0</v>
      </c>
      <c r="O27" s="158">
        <f t="shared" si="3"/>
        <v>0</v>
      </c>
      <c r="P27" s="4"/>
    </row>
    <row r="28" spans="2:16">
      <c r="B28" s="9" t="str">
        <f t="shared" si="6"/>
        <v/>
      </c>
      <c r="C28" s="153">
        <f>IF(D11="","-",+C27+1)</f>
        <v>2020</v>
      </c>
      <c r="D28" s="159">
        <f>IF(F27+SUM(E$17:E27)=D$10,F27,D$10-SUM(E$17:E27))</f>
        <v>10406814.155416904</v>
      </c>
      <c r="E28" s="160">
        <f>IF(+I14&lt;F27,I14,D28)</f>
        <v>319600.09302325582</v>
      </c>
      <c r="F28" s="159">
        <f t="shared" si="10"/>
        <v>10087214.062393649</v>
      </c>
      <c r="G28" s="161">
        <f t="shared" si="11"/>
        <v>1339748.4733329169</v>
      </c>
      <c r="H28" s="142">
        <f t="shared" si="12"/>
        <v>1339748.4733329169</v>
      </c>
      <c r="I28" s="156">
        <f t="shared" si="0"/>
        <v>0</v>
      </c>
      <c r="J28" s="156"/>
      <c r="K28" s="334"/>
      <c r="L28" s="158">
        <f t="shared" si="1"/>
        <v>0</v>
      </c>
      <c r="M28" s="334"/>
      <c r="N28" s="158">
        <f t="shared" si="2"/>
        <v>0</v>
      </c>
      <c r="O28" s="158">
        <f t="shared" si="3"/>
        <v>0</v>
      </c>
      <c r="P28" s="4"/>
    </row>
    <row r="29" spans="2:16">
      <c r="B29" s="9" t="str">
        <f t="shared" si="6"/>
        <v/>
      </c>
      <c r="C29" s="153">
        <f>IF(D11="","-",+C28+1)</f>
        <v>2021</v>
      </c>
      <c r="D29" s="159">
        <f>IF(F28+SUM(E$17:E28)=D$10,F28,D$10-SUM(E$17:E28))</f>
        <v>10087214.062393649</v>
      </c>
      <c r="E29" s="160">
        <f>IF(+I14&lt;F28,I14,D29)</f>
        <v>319600.09302325582</v>
      </c>
      <c r="F29" s="159">
        <f t="shared" si="10"/>
        <v>9767613.9693703931</v>
      </c>
      <c r="G29" s="161">
        <f t="shared" si="11"/>
        <v>1307930.4711540048</v>
      </c>
      <c r="H29" s="142">
        <f t="shared" si="12"/>
        <v>1307930.4711540048</v>
      </c>
      <c r="I29" s="156">
        <f t="shared" si="0"/>
        <v>0</v>
      </c>
      <c r="J29" s="156"/>
      <c r="K29" s="334"/>
      <c r="L29" s="158">
        <f t="shared" si="1"/>
        <v>0</v>
      </c>
      <c r="M29" s="334"/>
      <c r="N29" s="158">
        <f t="shared" si="2"/>
        <v>0</v>
      </c>
      <c r="O29" s="158">
        <f t="shared" si="3"/>
        <v>0</v>
      </c>
      <c r="P29" s="4"/>
    </row>
    <row r="30" spans="2:16">
      <c r="B30" s="9" t="str">
        <f t="shared" si="6"/>
        <v/>
      </c>
      <c r="C30" s="153">
        <f>IF(D11="","-",+C29+1)</f>
        <v>2022</v>
      </c>
      <c r="D30" s="159">
        <f>IF(F29+SUM(E$17:E29)=D$10,F29,D$10-SUM(E$17:E29))</f>
        <v>9767613.9693703931</v>
      </c>
      <c r="E30" s="160">
        <f>IF(+I14&lt;F29,I14,D30)</f>
        <v>319600.09302325582</v>
      </c>
      <c r="F30" s="159">
        <f t="shared" si="10"/>
        <v>9448013.8763471376</v>
      </c>
      <c r="G30" s="161">
        <f t="shared" si="11"/>
        <v>1276112.4689750928</v>
      </c>
      <c r="H30" s="142">
        <f t="shared" si="12"/>
        <v>1276112.4689750928</v>
      </c>
      <c r="I30" s="156">
        <f t="shared" si="0"/>
        <v>0</v>
      </c>
      <c r="J30" s="156"/>
      <c r="K30" s="334"/>
      <c r="L30" s="158">
        <f t="shared" si="1"/>
        <v>0</v>
      </c>
      <c r="M30" s="334"/>
      <c r="N30" s="158">
        <f t="shared" si="2"/>
        <v>0</v>
      </c>
      <c r="O30" s="158">
        <f t="shared" si="3"/>
        <v>0</v>
      </c>
      <c r="P30" s="4"/>
    </row>
    <row r="31" spans="2:16">
      <c r="B31" s="9" t="str">
        <f t="shared" si="6"/>
        <v/>
      </c>
      <c r="C31" s="153">
        <f>IF(D11="","-",+C30+1)</f>
        <v>2023</v>
      </c>
      <c r="D31" s="159">
        <f>IF(F30+SUM(E$17:E30)=D$10,F30,D$10-SUM(E$17:E30))</f>
        <v>9448013.8763471376</v>
      </c>
      <c r="E31" s="160">
        <f>IF(+I14&lt;F30,I14,D31)</f>
        <v>319600.09302325582</v>
      </c>
      <c r="F31" s="159">
        <f t="shared" si="10"/>
        <v>9128413.7833238821</v>
      </c>
      <c r="G31" s="161">
        <f t="shared" si="11"/>
        <v>1244294.4667961805</v>
      </c>
      <c r="H31" s="142">
        <f t="shared" si="12"/>
        <v>1244294.4667961805</v>
      </c>
      <c r="I31" s="156">
        <f t="shared" si="0"/>
        <v>0</v>
      </c>
      <c r="J31" s="156"/>
      <c r="K31" s="334"/>
      <c r="L31" s="158">
        <f t="shared" si="1"/>
        <v>0</v>
      </c>
      <c r="M31" s="334"/>
      <c r="N31" s="158">
        <f t="shared" si="2"/>
        <v>0</v>
      </c>
      <c r="O31" s="158">
        <f t="shared" si="3"/>
        <v>0</v>
      </c>
      <c r="P31" s="4"/>
    </row>
    <row r="32" spans="2:16">
      <c r="B32" s="9" t="str">
        <f t="shared" si="6"/>
        <v/>
      </c>
      <c r="C32" s="153">
        <f>IF(D11="","-",+C31+1)</f>
        <v>2024</v>
      </c>
      <c r="D32" s="159">
        <f>IF(F31+SUM(E$17:E31)=D$10,F31,D$10-SUM(E$17:E31))</f>
        <v>9128413.7833238821</v>
      </c>
      <c r="E32" s="160">
        <f>IF(+I14&lt;F31,I14,D32)</f>
        <v>319600.09302325582</v>
      </c>
      <c r="F32" s="159">
        <f t="shared" si="10"/>
        <v>8808813.6903006267</v>
      </c>
      <c r="G32" s="161">
        <f t="shared" si="11"/>
        <v>1212476.4646172684</v>
      </c>
      <c r="H32" s="142">
        <f t="shared" si="12"/>
        <v>1212476.4646172684</v>
      </c>
      <c r="I32" s="156">
        <f t="shared" si="0"/>
        <v>0</v>
      </c>
      <c r="J32" s="156"/>
      <c r="K32" s="334"/>
      <c r="L32" s="158">
        <f t="shared" si="1"/>
        <v>0</v>
      </c>
      <c r="M32" s="334"/>
      <c r="N32" s="158">
        <f t="shared" si="2"/>
        <v>0</v>
      </c>
      <c r="O32" s="158">
        <f t="shared" si="3"/>
        <v>0</v>
      </c>
      <c r="P32" s="4"/>
    </row>
    <row r="33" spans="2:16">
      <c r="B33" s="9" t="str">
        <f t="shared" si="6"/>
        <v/>
      </c>
      <c r="C33" s="153">
        <f>IF(D11="","-",+C32+1)</f>
        <v>2025</v>
      </c>
      <c r="D33" s="159">
        <f>IF(F32+SUM(E$17:E32)=D$10,F32,D$10-SUM(E$17:E32))</f>
        <v>8808813.6903006267</v>
      </c>
      <c r="E33" s="160">
        <f>IF(+I14&lt;F32,I14,D33)</f>
        <v>319600.09302325582</v>
      </c>
      <c r="F33" s="159">
        <f t="shared" si="10"/>
        <v>8489213.5972773712</v>
      </c>
      <c r="G33" s="161">
        <f t="shared" si="11"/>
        <v>1180658.4624383564</v>
      </c>
      <c r="H33" s="142">
        <f t="shared" si="12"/>
        <v>1180658.4624383564</v>
      </c>
      <c r="I33" s="156">
        <f t="shared" si="0"/>
        <v>0</v>
      </c>
      <c r="J33" s="156"/>
      <c r="K33" s="334"/>
      <c r="L33" s="158">
        <f t="shared" si="1"/>
        <v>0</v>
      </c>
      <c r="M33" s="334"/>
      <c r="N33" s="158">
        <f t="shared" si="2"/>
        <v>0</v>
      </c>
      <c r="O33" s="158">
        <f t="shared" si="3"/>
        <v>0</v>
      </c>
      <c r="P33" s="4"/>
    </row>
    <row r="34" spans="2:16">
      <c r="B34" s="9" t="str">
        <f t="shared" si="6"/>
        <v/>
      </c>
      <c r="C34" s="153">
        <f>IF(D11="","-",+C33+1)</f>
        <v>2026</v>
      </c>
      <c r="D34" s="159">
        <f>IF(F33+SUM(E$17:E33)=D$10,F33,D$10-SUM(E$17:E33))</f>
        <v>8489213.5972773712</v>
      </c>
      <c r="E34" s="160">
        <f>IF(+I14&lt;F33,I14,D34)</f>
        <v>319600.09302325582</v>
      </c>
      <c r="F34" s="159">
        <f t="shared" si="10"/>
        <v>8169613.5042541157</v>
      </c>
      <c r="G34" s="161">
        <f t="shared" si="11"/>
        <v>1148840.4602594441</v>
      </c>
      <c r="H34" s="142">
        <f t="shared" si="12"/>
        <v>1148840.4602594441</v>
      </c>
      <c r="I34" s="156">
        <f t="shared" si="0"/>
        <v>0</v>
      </c>
      <c r="J34" s="156"/>
      <c r="K34" s="334"/>
      <c r="L34" s="158">
        <f t="shared" si="1"/>
        <v>0</v>
      </c>
      <c r="M34" s="334"/>
      <c r="N34" s="158">
        <f t="shared" si="2"/>
        <v>0</v>
      </c>
      <c r="O34" s="158">
        <f t="shared" si="3"/>
        <v>0</v>
      </c>
      <c r="P34" s="4"/>
    </row>
    <row r="35" spans="2:16">
      <c r="B35" s="9" t="str">
        <f t="shared" si="6"/>
        <v/>
      </c>
      <c r="C35" s="153">
        <f>IF(D11="","-",+C34+1)</f>
        <v>2027</v>
      </c>
      <c r="D35" s="159">
        <f>IF(F34+SUM(E$17:E34)=D$10,F34,D$10-SUM(E$17:E34))</f>
        <v>8169613.5042541157</v>
      </c>
      <c r="E35" s="160">
        <f>IF(+I14&lt;F34,I14,D35)</f>
        <v>319600.09302325582</v>
      </c>
      <c r="F35" s="159">
        <f t="shared" si="10"/>
        <v>7850013.4112308603</v>
      </c>
      <c r="G35" s="161">
        <f t="shared" si="11"/>
        <v>1117022.458080532</v>
      </c>
      <c r="H35" s="142">
        <f t="shared" si="12"/>
        <v>1117022.458080532</v>
      </c>
      <c r="I35" s="156">
        <f t="shared" si="0"/>
        <v>0</v>
      </c>
      <c r="J35" s="156"/>
      <c r="K35" s="334"/>
      <c r="L35" s="158">
        <f t="shared" si="1"/>
        <v>0</v>
      </c>
      <c r="M35" s="334"/>
      <c r="N35" s="158">
        <f t="shared" si="2"/>
        <v>0</v>
      </c>
      <c r="O35" s="158">
        <f t="shared" si="3"/>
        <v>0</v>
      </c>
      <c r="P35" s="4"/>
    </row>
    <row r="36" spans="2:16">
      <c r="B36" s="9" t="str">
        <f t="shared" si="6"/>
        <v/>
      </c>
      <c r="C36" s="153">
        <f>IF(D11="","-",+C35+1)</f>
        <v>2028</v>
      </c>
      <c r="D36" s="159">
        <f>IF(F35+SUM(E$17:E35)=D$10,F35,D$10-SUM(E$17:E35))</f>
        <v>7850013.4112308603</v>
      </c>
      <c r="E36" s="160">
        <f>IF(+I14&lt;F35,I14,D36)</f>
        <v>319600.09302325582</v>
      </c>
      <c r="F36" s="159">
        <f t="shared" si="10"/>
        <v>7530413.3182076048</v>
      </c>
      <c r="G36" s="161">
        <f t="shared" si="11"/>
        <v>1085204.45590162</v>
      </c>
      <c r="H36" s="142">
        <f t="shared" si="12"/>
        <v>1085204.45590162</v>
      </c>
      <c r="I36" s="156">
        <f t="shared" si="0"/>
        <v>0</v>
      </c>
      <c r="J36" s="156"/>
      <c r="K36" s="334"/>
      <c r="L36" s="158">
        <f t="shared" si="1"/>
        <v>0</v>
      </c>
      <c r="M36" s="334"/>
      <c r="N36" s="158">
        <f t="shared" si="2"/>
        <v>0</v>
      </c>
      <c r="O36" s="158">
        <f t="shared" si="3"/>
        <v>0</v>
      </c>
      <c r="P36" s="4"/>
    </row>
    <row r="37" spans="2:16">
      <c r="B37" s="9" t="str">
        <f t="shared" si="6"/>
        <v/>
      </c>
      <c r="C37" s="153">
        <f>IF(D11="","-",+C36+1)</f>
        <v>2029</v>
      </c>
      <c r="D37" s="159">
        <f>IF(F36+SUM(E$17:E36)=D$10,F36,D$10-SUM(E$17:E36))</f>
        <v>7530413.3182076048</v>
      </c>
      <c r="E37" s="160">
        <f>IF(+I14&lt;F36,I14,D37)</f>
        <v>319600.09302325582</v>
      </c>
      <c r="F37" s="159">
        <f t="shared" si="10"/>
        <v>7210813.2251843493</v>
      </c>
      <c r="G37" s="161">
        <f t="shared" si="11"/>
        <v>1053386.4537227079</v>
      </c>
      <c r="H37" s="142">
        <f t="shared" si="12"/>
        <v>1053386.4537227079</v>
      </c>
      <c r="I37" s="156">
        <f t="shared" si="0"/>
        <v>0</v>
      </c>
      <c r="J37" s="156"/>
      <c r="K37" s="334"/>
      <c r="L37" s="158">
        <f t="shared" si="1"/>
        <v>0</v>
      </c>
      <c r="M37" s="334"/>
      <c r="N37" s="158">
        <f t="shared" si="2"/>
        <v>0</v>
      </c>
      <c r="O37" s="158">
        <f t="shared" si="3"/>
        <v>0</v>
      </c>
      <c r="P37" s="4"/>
    </row>
    <row r="38" spans="2:16">
      <c r="B38" s="9" t="str">
        <f t="shared" si="6"/>
        <v/>
      </c>
      <c r="C38" s="153">
        <f>IF(D11="","-",+C37+1)</f>
        <v>2030</v>
      </c>
      <c r="D38" s="159">
        <f>IF(F37+SUM(E$17:E37)=D$10,F37,D$10-SUM(E$17:E37))</f>
        <v>7210813.2251843493</v>
      </c>
      <c r="E38" s="160">
        <f>IF(+I14&lt;F37,I14,D38)</f>
        <v>319600.09302325582</v>
      </c>
      <c r="F38" s="159">
        <f t="shared" si="10"/>
        <v>6891213.1321610939</v>
      </c>
      <c r="G38" s="161">
        <f t="shared" si="11"/>
        <v>1021568.4515437959</v>
      </c>
      <c r="H38" s="142">
        <f t="shared" si="12"/>
        <v>1021568.4515437959</v>
      </c>
      <c r="I38" s="156">
        <f t="shared" si="0"/>
        <v>0</v>
      </c>
      <c r="J38" s="156"/>
      <c r="K38" s="334"/>
      <c r="L38" s="158">
        <f t="shared" si="1"/>
        <v>0</v>
      </c>
      <c r="M38" s="334"/>
      <c r="N38" s="158">
        <f t="shared" si="2"/>
        <v>0</v>
      </c>
      <c r="O38" s="158">
        <f t="shared" si="3"/>
        <v>0</v>
      </c>
      <c r="P38" s="4"/>
    </row>
    <row r="39" spans="2:16">
      <c r="B39" s="9" t="str">
        <f t="shared" si="6"/>
        <v/>
      </c>
      <c r="C39" s="153">
        <f>IF(D11="","-",+C38+1)</f>
        <v>2031</v>
      </c>
      <c r="D39" s="159">
        <f>IF(F38+SUM(E$17:E38)=D$10,F38,D$10-SUM(E$17:E38))</f>
        <v>6891213.1321610939</v>
      </c>
      <c r="E39" s="160">
        <f>IF(+I14&lt;F38,I14,D39)</f>
        <v>319600.09302325582</v>
      </c>
      <c r="F39" s="159">
        <f t="shared" si="10"/>
        <v>6571613.0391378384</v>
      </c>
      <c r="G39" s="161">
        <f t="shared" si="11"/>
        <v>989750.44936488371</v>
      </c>
      <c r="H39" s="142">
        <f t="shared" si="12"/>
        <v>989750.44936488371</v>
      </c>
      <c r="I39" s="156">
        <f t="shared" si="0"/>
        <v>0</v>
      </c>
      <c r="J39" s="156"/>
      <c r="K39" s="334"/>
      <c r="L39" s="158">
        <f t="shared" si="1"/>
        <v>0</v>
      </c>
      <c r="M39" s="334"/>
      <c r="N39" s="158">
        <f t="shared" si="2"/>
        <v>0</v>
      </c>
      <c r="O39" s="158">
        <f t="shared" si="3"/>
        <v>0</v>
      </c>
      <c r="P39" s="4"/>
    </row>
    <row r="40" spans="2:16">
      <c r="B40" s="9" t="str">
        <f t="shared" si="6"/>
        <v/>
      </c>
      <c r="C40" s="153">
        <f>IF(D11="","-",+C39+1)</f>
        <v>2032</v>
      </c>
      <c r="D40" s="159">
        <f>IF(F39+SUM(E$17:E39)=D$10,F39,D$10-SUM(E$17:E39))</f>
        <v>6571613.0391378384</v>
      </c>
      <c r="E40" s="160">
        <f>IF(+I14&lt;F39,I14,D40)</f>
        <v>319600.09302325582</v>
      </c>
      <c r="F40" s="159">
        <f t="shared" si="10"/>
        <v>6252012.9461145829</v>
      </c>
      <c r="G40" s="161">
        <f t="shared" si="11"/>
        <v>957932.44718597166</v>
      </c>
      <c r="H40" s="142">
        <f t="shared" si="12"/>
        <v>957932.44718597166</v>
      </c>
      <c r="I40" s="156">
        <f t="shared" si="0"/>
        <v>0</v>
      </c>
      <c r="J40" s="156"/>
      <c r="K40" s="334"/>
      <c r="L40" s="158">
        <f t="shared" si="1"/>
        <v>0</v>
      </c>
      <c r="M40" s="334"/>
      <c r="N40" s="158">
        <f t="shared" si="2"/>
        <v>0</v>
      </c>
      <c r="O40" s="158">
        <f t="shared" si="3"/>
        <v>0</v>
      </c>
      <c r="P40" s="4"/>
    </row>
    <row r="41" spans="2:16">
      <c r="B41" s="9" t="str">
        <f t="shared" si="6"/>
        <v/>
      </c>
      <c r="C41" s="153">
        <f>IF(D11="","-",+C40+1)</f>
        <v>2033</v>
      </c>
      <c r="D41" s="159">
        <f>IF(F40+SUM(E$17:E40)=D$10,F40,D$10-SUM(E$17:E40))</f>
        <v>6252012.9461145829</v>
      </c>
      <c r="E41" s="160">
        <f>IF(+I14&lt;F40,I14,D41)</f>
        <v>319600.09302325582</v>
      </c>
      <c r="F41" s="159">
        <f t="shared" si="10"/>
        <v>5932412.8530913275</v>
      </c>
      <c r="G41" s="161">
        <f t="shared" si="11"/>
        <v>926114.44500705961</v>
      </c>
      <c r="H41" s="142">
        <f t="shared" si="12"/>
        <v>926114.44500705961</v>
      </c>
      <c r="I41" s="156">
        <f t="shared" si="0"/>
        <v>0</v>
      </c>
      <c r="J41" s="156"/>
      <c r="K41" s="334"/>
      <c r="L41" s="158">
        <f t="shared" si="1"/>
        <v>0</v>
      </c>
      <c r="M41" s="334"/>
      <c r="N41" s="158">
        <f t="shared" si="2"/>
        <v>0</v>
      </c>
      <c r="O41" s="158">
        <f t="shared" si="3"/>
        <v>0</v>
      </c>
      <c r="P41" s="4"/>
    </row>
    <row r="42" spans="2:16">
      <c r="B42" s="9" t="str">
        <f t="shared" si="6"/>
        <v/>
      </c>
      <c r="C42" s="153">
        <f>IF(D11="","-",+C41+1)</f>
        <v>2034</v>
      </c>
      <c r="D42" s="159">
        <f>IF(F41+SUM(E$17:E41)=D$10,F41,D$10-SUM(E$17:E41))</f>
        <v>5932412.8530913275</v>
      </c>
      <c r="E42" s="160">
        <f>IF(+I14&lt;F41,I14,D42)</f>
        <v>319600.09302325582</v>
      </c>
      <c r="F42" s="159">
        <f t="shared" si="10"/>
        <v>5612812.760068072</v>
      </c>
      <c r="G42" s="161">
        <f t="shared" si="11"/>
        <v>894296.44282814744</v>
      </c>
      <c r="H42" s="142">
        <f t="shared" si="12"/>
        <v>894296.44282814744</v>
      </c>
      <c r="I42" s="156">
        <f t="shared" si="0"/>
        <v>0</v>
      </c>
      <c r="J42" s="156"/>
      <c r="K42" s="334"/>
      <c r="L42" s="158">
        <f t="shared" si="1"/>
        <v>0</v>
      </c>
      <c r="M42" s="334"/>
      <c r="N42" s="158">
        <f t="shared" si="2"/>
        <v>0</v>
      </c>
      <c r="O42" s="158">
        <f t="shared" si="3"/>
        <v>0</v>
      </c>
      <c r="P42" s="4"/>
    </row>
    <row r="43" spans="2:16">
      <c r="B43" s="9" t="str">
        <f t="shared" si="6"/>
        <v/>
      </c>
      <c r="C43" s="153">
        <f>IF(D11="","-",+C42+1)</f>
        <v>2035</v>
      </c>
      <c r="D43" s="159">
        <f>IF(F42+SUM(E$17:E42)=D$10,F42,D$10-SUM(E$17:E42))</f>
        <v>5612812.760068072</v>
      </c>
      <c r="E43" s="160">
        <f>IF(+I14&lt;F42,I14,D43)</f>
        <v>319600.09302325582</v>
      </c>
      <c r="F43" s="159">
        <f t="shared" si="10"/>
        <v>5293212.6670448165</v>
      </c>
      <c r="G43" s="161">
        <f t="shared" si="11"/>
        <v>862478.44064923539</v>
      </c>
      <c r="H43" s="142">
        <f t="shared" si="12"/>
        <v>862478.44064923539</v>
      </c>
      <c r="I43" s="156">
        <f t="shared" si="0"/>
        <v>0</v>
      </c>
      <c r="J43" s="156"/>
      <c r="K43" s="334"/>
      <c r="L43" s="158">
        <f t="shared" si="1"/>
        <v>0</v>
      </c>
      <c r="M43" s="334"/>
      <c r="N43" s="158">
        <f t="shared" si="2"/>
        <v>0</v>
      </c>
      <c r="O43" s="158">
        <f t="shared" si="3"/>
        <v>0</v>
      </c>
      <c r="P43" s="4"/>
    </row>
    <row r="44" spans="2:16">
      <c r="B44" s="9" t="str">
        <f t="shared" si="6"/>
        <v/>
      </c>
      <c r="C44" s="153">
        <f>IF(D11="","-",+C43+1)</f>
        <v>2036</v>
      </c>
      <c r="D44" s="159">
        <f>IF(F43+SUM(E$17:E43)=D$10,F43,D$10-SUM(E$17:E43))</f>
        <v>5293212.6670448165</v>
      </c>
      <c r="E44" s="160">
        <f>IF(+I14&lt;F43,I14,D44)</f>
        <v>319600.09302325582</v>
      </c>
      <c r="F44" s="159">
        <f t="shared" si="10"/>
        <v>4973612.5740215611</v>
      </c>
      <c r="G44" s="161">
        <f t="shared" si="11"/>
        <v>830660.43847032334</v>
      </c>
      <c r="H44" s="142">
        <f t="shared" si="12"/>
        <v>830660.43847032334</v>
      </c>
      <c r="I44" s="156">
        <f t="shared" si="0"/>
        <v>0</v>
      </c>
      <c r="J44" s="156"/>
      <c r="K44" s="334"/>
      <c r="L44" s="158">
        <f t="shared" si="1"/>
        <v>0</v>
      </c>
      <c r="M44" s="334"/>
      <c r="N44" s="158">
        <f t="shared" si="2"/>
        <v>0</v>
      </c>
      <c r="O44" s="158">
        <f t="shared" si="3"/>
        <v>0</v>
      </c>
      <c r="P44" s="4"/>
    </row>
    <row r="45" spans="2:16">
      <c r="B45" s="9" t="str">
        <f t="shared" si="6"/>
        <v/>
      </c>
      <c r="C45" s="153">
        <f>IF(D11="","-",+C44+1)</f>
        <v>2037</v>
      </c>
      <c r="D45" s="159">
        <f>IF(F44+SUM(E$17:E44)=D$10,F44,D$10-SUM(E$17:E44))</f>
        <v>4973612.5740215611</v>
      </c>
      <c r="E45" s="160">
        <f>IF(+I14&lt;F44,I14,D45)</f>
        <v>319600.09302325582</v>
      </c>
      <c r="F45" s="159">
        <f t="shared" si="10"/>
        <v>4654012.4809983056</v>
      </c>
      <c r="G45" s="161">
        <f t="shared" si="11"/>
        <v>798842.43629141117</v>
      </c>
      <c r="H45" s="142">
        <f t="shared" si="12"/>
        <v>798842.43629141117</v>
      </c>
      <c r="I45" s="156">
        <f t="shared" si="0"/>
        <v>0</v>
      </c>
      <c r="J45" s="156"/>
      <c r="K45" s="334"/>
      <c r="L45" s="158">
        <f t="shared" si="1"/>
        <v>0</v>
      </c>
      <c r="M45" s="334"/>
      <c r="N45" s="158">
        <f t="shared" si="2"/>
        <v>0</v>
      </c>
      <c r="O45" s="158">
        <f t="shared" si="3"/>
        <v>0</v>
      </c>
      <c r="P45" s="4"/>
    </row>
    <row r="46" spans="2:16">
      <c r="B46" s="9" t="str">
        <f t="shared" si="6"/>
        <v/>
      </c>
      <c r="C46" s="153">
        <f>IF(D11="","-",+C45+1)</f>
        <v>2038</v>
      </c>
      <c r="D46" s="159">
        <f>IF(F45+SUM(E$17:E45)=D$10,F45,D$10-SUM(E$17:E45))</f>
        <v>4654012.4809983056</v>
      </c>
      <c r="E46" s="160">
        <f>IF(+I14&lt;F45,I14,D46)</f>
        <v>319600.09302325582</v>
      </c>
      <c r="F46" s="159">
        <f t="shared" si="10"/>
        <v>4334412.3879750501</v>
      </c>
      <c r="G46" s="161">
        <f t="shared" si="11"/>
        <v>767024.43411249912</v>
      </c>
      <c r="H46" s="142">
        <f t="shared" si="12"/>
        <v>767024.43411249912</v>
      </c>
      <c r="I46" s="156">
        <f t="shared" si="0"/>
        <v>0</v>
      </c>
      <c r="J46" s="156"/>
      <c r="K46" s="334"/>
      <c r="L46" s="158">
        <f t="shared" si="1"/>
        <v>0</v>
      </c>
      <c r="M46" s="334"/>
      <c r="N46" s="158">
        <f t="shared" si="2"/>
        <v>0</v>
      </c>
      <c r="O46" s="158">
        <f t="shared" si="3"/>
        <v>0</v>
      </c>
      <c r="P46" s="4"/>
    </row>
    <row r="47" spans="2:16">
      <c r="B47" s="9" t="str">
        <f t="shared" si="6"/>
        <v/>
      </c>
      <c r="C47" s="153">
        <f>IF(D11="","-",+C46+1)</f>
        <v>2039</v>
      </c>
      <c r="D47" s="159">
        <f>IF(F46+SUM(E$17:E46)=D$10,F46,D$10-SUM(E$17:E46))</f>
        <v>4334412.3879750501</v>
      </c>
      <c r="E47" s="160">
        <f>IF(+I14&lt;F46,I14,D47)</f>
        <v>319600.09302325582</v>
      </c>
      <c r="F47" s="159">
        <f t="shared" si="10"/>
        <v>4014812.2949517942</v>
      </c>
      <c r="G47" s="161">
        <f t="shared" si="11"/>
        <v>735206.43193358695</v>
      </c>
      <c r="H47" s="142">
        <f t="shared" si="12"/>
        <v>735206.43193358695</v>
      </c>
      <c r="I47" s="156">
        <f t="shared" si="0"/>
        <v>0</v>
      </c>
      <c r="J47" s="156"/>
      <c r="K47" s="334"/>
      <c r="L47" s="158">
        <f t="shared" si="1"/>
        <v>0</v>
      </c>
      <c r="M47" s="334"/>
      <c r="N47" s="158">
        <f t="shared" si="2"/>
        <v>0</v>
      </c>
      <c r="O47" s="158">
        <f t="shared" si="3"/>
        <v>0</v>
      </c>
      <c r="P47" s="4"/>
    </row>
    <row r="48" spans="2:16">
      <c r="B48" s="9" t="str">
        <f t="shared" si="6"/>
        <v/>
      </c>
      <c r="C48" s="153">
        <f>IF(D11="","-",+C47+1)</f>
        <v>2040</v>
      </c>
      <c r="D48" s="159">
        <f>IF(F47+SUM(E$17:E47)=D$10,F47,D$10-SUM(E$17:E47))</f>
        <v>4014812.2949517942</v>
      </c>
      <c r="E48" s="160">
        <f>IF(+I14&lt;F47,I14,D48)</f>
        <v>319600.09302325582</v>
      </c>
      <c r="F48" s="159">
        <f t="shared" si="10"/>
        <v>3695212.2019285383</v>
      </c>
      <c r="G48" s="161">
        <f t="shared" si="11"/>
        <v>703388.4297546749</v>
      </c>
      <c r="H48" s="142">
        <f t="shared" si="12"/>
        <v>703388.4297546749</v>
      </c>
      <c r="I48" s="156">
        <f t="shared" si="0"/>
        <v>0</v>
      </c>
      <c r="J48" s="156"/>
      <c r="K48" s="334"/>
      <c r="L48" s="158">
        <f t="shared" si="1"/>
        <v>0</v>
      </c>
      <c r="M48" s="334"/>
      <c r="N48" s="158">
        <f t="shared" si="2"/>
        <v>0</v>
      </c>
      <c r="O48" s="158">
        <f t="shared" si="3"/>
        <v>0</v>
      </c>
      <c r="P48" s="4"/>
    </row>
    <row r="49" spans="2:17">
      <c r="B49" s="9" t="str">
        <f t="shared" si="6"/>
        <v/>
      </c>
      <c r="C49" s="153">
        <f>IF(D11="","-",+C48+1)</f>
        <v>2041</v>
      </c>
      <c r="D49" s="159">
        <f>IF(F48+SUM(E$17:E48)=D$10,F48,D$10-SUM(E$17:E48))</f>
        <v>3695212.2019285383</v>
      </c>
      <c r="E49" s="160">
        <f>IF(+I14&lt;F48,I14,D49)</f>
        <v>319600.09302325582</v>
      </c>
      <c r="F49" s="159">
        <f t="shared" ref="F49:F72" si="13">+D49-E49</f>
        <v>3375612.1089052823</v>
      </c>
      <c r="G49" s="161">
        <f t="shared" si="11"/>
        <v>671570.42757576273</v>
      </c>
      <c r="H49" s="142">
        <f t="shared" si="12"/>
        <v>671570.42757576273</v>
      </c>
      <c r="I49" s="156">
        <f t="shared" ref="I49:I72" si="14">H49-G49</f>
        <v>0</v>
      </c>
      <c r="J49" s="156"/>
      <c r="K49" s="334"/>
      <c r="L49" s="158">
        <f t="shared" ref="L49:L72" si="15">IF(K49&lt;&gt;0,+G49-K49,0)</f>
        <v>0</v>
      </c>
      <c r="M49" s="334"/>
      <c r="N49" s="158">
        <f t="shared" ref="N49:N72" si="16">IF(M49&lt;&gt;0,+H49-M49,0)</f>
        <v>0</v>
      </c>
      <c r="O49" s="158">
        <f t="shared" ref="O49:O72" si="17">+N49-L49</f>
        <v>0</v>
      </c>
      <c r="P49" s="4"/>
    </row>
    <row r="50" spans="2:17">
      <c r="B50" s="9" t="str">
        <f t="shared" si="6"/>
        <v/>
      </c>
      <c r="C50" s="153">
        <f>IF(D11="","-",+C49+1)</f>
        <v>2042</v>
      </c>
      <c r="D50" s="159">
        <f>IF(F49+SUM(E$17:E49)=D$10,F49,D$10-SUM(E$17:E49))</f>
        <v>3375612.1089052823</v>
      </c>
      <c r="E50" s="160">
        <f>IF(+I14&lt;F49,I14,D50)</f>
        <v>319600.09302325582</v>
      </c>
      <c r="F50" s="159">
        <f t="shared" si="13"/>
        <v>3056012.0158820264</v>
      </c>
      <c r="G50" s="161">
        <f t="shared" si="11"/>
        <v>639752.42539685057</v>
      </c>
      <c r="H50" s="142">
        <f t="shared" si="12"/>
        <v>639752.42539685057</v>
      </c>
      <c r="I50" s="156">
        <f t="shared" si="14"/>
        <v>0</v>
      </c>
      <c r="J50" s="156"/>
      <c r="K50" s="334"/>
      <c r="L50" s="158">
        <f t="shared" si="15"/>
        <v>0</v>
      </c>
      <c r="M50" s="334"/>
      <c r="N50" s="158">
        <f t="shared" si="16"/>
        <v>0</v>
      </c>
      <c r="O50" s="158">
        <f t="shared" si="17"/>
        <v>0</v>
      </c>
      <c r="P50" s="4"/>
    </row>
    <row r="51" spans="2:17">
      <c r="B51" s="9" t="str">
        <f t="shared" si="6"/>
        <v/>
      </c>
      <c r="C51" s="153">
        <f>IF(D11="","-",+C50+1)</f>
        <v>2043</v>
      </c>
      <c r="D51" s="159">
        <f>IF(F50+SUM(E$17:E50)=D$10,F50,D$10-SUM(E$17:E50))</f>
        <v>3056012.0158820264</v>
      </c>
      <c r="E51" s="160">
        <f>IF(+I14&lt;F50,I14,D51)</f>
        <v>319600.09302325582</v>
      </c>
      <c r="F51" s="159">
        <f t="shared" si="13"/>
        <v>2736411.9228587705</v>
      </c>
      <c r="G51" s="161">
        <f t="shared" si="11"/>
        <v>607934.42321793851</v>
      </c>
      <c r="H51" s="142">
        <f t="shared" si="12"/>
        <v>607934.42321793851</v>
      </c>
      <c r="I51" s="156">
        <f t="shared" si="14"/>
        <v>0</v>
      </c>
      <c r="J51" s="156"/>
      <c r="K51" s="334"/>
      <c r="L51" s="158">
        <f t="shared" si="15"/>
        <v>0</v>
      </c>
      <c r="M51" s="334"/>
      <c r="N51" s="158">
        <f t="shared" si="16"/>
        <v>0</v>
      </c>
      <c r="O51" s="158">
        <f t="shared" si="17"/>
        <v>0</v>
      </c>
      <c r="P51" s="4"/>
    </row>
    <row r="52" spans="2:17">
      <c r="B52" s="9" t="str">
        <f t="shared" si="6"/>
        <v/>
      </c>
      <c r="C52" s="153">
        <f>IF(D11="","-",+C51+1)</f>
        <v>2044</v>
      </c>
      <c r="D52" s="159">
        <f>IF(F51+SUM(E$17:E51)=D$10,F51,D$10-SUM(E$17:E51))</f>
        <v>2736411.9228587705</v>
      </c>
      <c r="E52" s="160">
        <f>IF(+I14&lt;F51,I14,D52)</f>
        <v>319600.09302325582</v>
      </c>
      <c r="F52" s="159">
        <f t="shared" si="13"/>
        <v>2416811.8298355145</v>
      </c>
      <c r="G52" s="161">
        <f t="shared" si="11"/>
        <v>576116.42103902623</v>
      </c>
      <c r="H52" s="142">
        <f t="shared" si="12"/>
        <v>576116.42103902623</v>
      </c>
      <c r="I52" s="156">
        <f t="shared" si="14"/>
        <v>0</v>
      </c>
      <c r="J52" s="156"/>
      <c r="K52" s="334"/>
      <c r="L52" s="158">
        <f t="shared" si="15"/>
        <v>0</v>
      </c>
      <c r="M52" s="334"/>
      <c r="N52" s="158">
        <f t="shared" si="16"/>
        <v>0</v>
      </c>
      <c r="O52" s="158">
        <f t="shared" si="17"/>
        <v>0</v>
      </c>
      <c r="P52" s="4"/>
    </row>
    <row r="53" spans="2:17">
      <c r="B53" s="9" t="str">
        <f t="shared" si="6"/>
        <v/>
      </c>
      <c r="C53" s="153">
        <f>IF(D11="","-",+C52+1)</f>
        <v>2045</v>
      </c>
      <c r="D53" s="159">
        <f>IF(F52+SUM(E$17:E52)=D$10,F52,D$10-SUM(E$17:E52))</f>
        <v>2416811.8298355145</v>
      </c>
      <c r="E53" s="160">
        <f>IF(+I14&lt;F52,I14,D53)</f>
        <v>319600.09302325582</v>
      </c>
      <c r="F53" s="159">
        <f t="shared" si="13"/>
        <v>2097211.7368122586</v>
      </c>
      <c r="G53" s="161">
        <f t="shared" si="11"/>
        <v>544298.41886011418</v>
      </c>
      <c r="H53" s="142">
        <f t="shared" si="12"/>
        <v>544298.41886011418</v>
      </c>
      <c r="I53" s="156">
        <f t="shared" si="14"/>
        <v>0</v>
      </c>
      <c r="J53" s="156"/>
      <c r="K53" s="334"/>
      <c r="L53" s="158">
        <f t="shared" si="15"/>
        <v>0</v>
      </c>
      <c r="M53" s="334"/>
      <c r="N53" s="158">
        <f t="shared" si="16"/>
        <v>0</v>
      </c>
      <c r="O53" s="158">
        <f t="shared" si="17"/>
        <v>0</v>
      </c>
      <c r="P53" s="4"/>
    </row>
    <row r="54" spans="2:17">
      <c r="B54" s="9" t="str">
        <f t="shared" si="6"/>
        <v/>
      </c>
      <c r="C54" s="153">
        <f>IF(D11="","-",+C53+1)</f>
        <v>2046</v>
      </c>
      <c r="D54" s="159">
        <f>IF(F53+SUM(E$17:E53)=D$10,F53,D$10-SUM(E$17:E53))</f>
        <v>2097211.7368122586</v>
      </c>
      <c r="E54" s="160">
        <f>IF(+I14&lt;F53,I14,D54)</f>
        <v>319600.09302325582</v>
      </c>
      <c r="F54" s="159">
        <f t="shared" si="13"/>
        <v>1777611.6437890027</v>
      </c>
      <c r="G54" s="161">
        <f t="shared" si="11"/>
        <v>512480.41668120201</v>
      </c>
      <c r="H54" s="142">
        <f t="shared" si="12"/>
        <v>512480.41668120201</v>
      </c>
      <c r="I54" s="156">
        <f t="shared" si="14"/>
        <v>0</v>
      </c>
      <c r="J54" s="156"/>
      <c r="K54" s="334"/>
      <c r="L54" s="158">
        <f t="shared" si="15"/>
        <v>0</v>
      </c>
      <c r="M54" s="334"/>
      <c r="N54" s="158">
        <f t="shared" si="16"/>
        <v>0</v>
      </c>
      <c r="O54" s="158">
        <f t="shared" si="17"/>
        <v>0</v>
      </c>
      <c r="P54" s="4"/>
    </row>
    <row r="55" spans="2:17">
      <c r="B55" s="9" t="str">
        <f t="shared" si="6"/>
        <v/>
      </c>
      <c r="C55" s="153">
        <f>IF(D11="","-",+C54+1)</f>
        <v>2047</v>
      </c>
      <c r="D55" s="159">
        <f>IF(F54+SUM(E$17:E54)=D$10,F54,D$10-SUM(E$17:E54))</f>
        <v>1777611.6437890027</v>
      </c>
      <c r="E55" s="160">
        <f>IF(+I14&lt;F54,I14,D55)</f>
        <v>319600.09302325582</v>
      </c>
      <c r="F55" s="159">
        <f t="shared" si="13"/>
        <v>1458011.5507657467</v>
      </c>
      <c r="G55" s="161">
        <f t="shared" si="11"/>
        <v>480662.41450228984</v>
      </c>
      <c r="H55" s="142">
        <f t="shared" si="12"/>
        <v>480662.41450228984</v>
      </c>
      <c r="I55" s="156">
        <f t="shared" si="14"/>
        <v>0</v>
      </c>
      <c r="J55" s="156"/>
      <c r="K55" s="334"/>
      <c r="L55" s="158">
        <f t="shared" si="15"/>
        <v>0</v>
      </c>
      <c r="M55" s="334"/>
      <c r="N55" s="158">
        <f t="shared" si="16"/>
        <v>0</v>
      </c>
      <c r="O55" s="158">
        <f t="shared" si="17"/>
        <v>0</v>
      </c>
      <c r="P55" s="4"/>
    </row>
    <row r="56" spans="2:17">
      <c r="B56" s="9" t="str">
        <f t="shared" si="6"/>
        <v/>
      </c>
      <c r="C56" s="153">
        <f>IF(D11="","-",+C55+1)</f>
        <v>2048</v>
      </c>
      <c r="D56" s="159">
        <f>IF(F55+SUM(E$17:E55)=D$10,F55,D$10-SUM(E$17:E55))</f>
        <v>1458011.5507657467</v>
      </c>
      <c r="E56" s="160">
        <f>IF(+I14&lt;F55,I14,D56)</f>
        <v>319600.09302325582</v>
      </c>
      <c r="F56" s="159">
        <f t="shared" si="13"/>
        <v>1138411.4577424908</v>
      </c>
      <c r="G56" s="161">
        <f t="shared" si="11"/>
        <v>448844.41232337774</v>
      </c>
      <c r="H56" s="142">
        <f t="shared" si="12"/>
        <v>448844.41232337774</v>
      </c>
      <c r="I56" s="156">
        <f t="shared" si="14"/>
        <v>0</v>
      </c>
      <c r="J56" s="156"/>
      <c r="K56" s="334"/>
      <c r="L56" s="158">
        <f t="shared" si="15"/>
        <v>0</v>
      </c>
      <c r="M56" s="334"/>
      <c r="N56" s="158">
        <f t="shared" si="16"/>
        <v>0</v>
      </c>
      <c r="O56" s="158">
        <f t="shared" si="17"/>
        <v>0</v>
      </c>
      <c r="P56" s="4"/>
    </row>
    <row r="57" spans="2:17">
      <c r="B57" s="9" t="str">
        <f t="shared" si="6"/>
        <v/>
      </c>
      <c r="C57" s="153">
        <f>IF(D11="","-",+C56+1)</f>
        <v>2049</v>
      </c>
      <c r="D57" s="159">
        <f>IF(F56+SUM(E$17:E56)=D$10,F56,D$10-SUM(E$17:E56))</f>
        <v>1138411.4577424908</v>
      </c>
      <c r="E57" s="160">
        <f>IF(+I14&lt;F56,I14,D57)</f>
        <v>319600.09302325582</v>
      </c>
      <c r="F57" s="159">
        <f t="shared" si="13"/>
        <v>818811.36471923499</v>
      </c>
      <c r="G57" s="161">
        <f t="shared" si="11"/>
        <v>417026.41014446563</v>
      </c>
      <c r="H57" s="142">
        <f t="shared" si="12"/>
        <v>417026.41014446563</v>
      </c>
      <c r="I57" s="156">
        <f t="shared" si="14"/>
        <v>0</v>
      </c>
      <c r="J57" s="156"/>
      <c r="K57" s="334"/>
      <c r="L57" s="158">
        <f t="shared" si="15"/>
        <v>0</v>
      </c>
      <c r="M57" s="334"/>
      <c r="N57" s="158">
        <f t="shared" si="16"/>
        <v>0</v>
      </c>
      <c r="O57" s="158">
        <f t="shared" si="17"/>
        <v>0</v>
      </c>
      <c r="P57" s="4"/>
    </row>
    <row r="58" spans="2:17">
      <c r="B58" s="9" t="str">
        <f t="shared" si="6"/>
        <v/>
      </c>
      <c r="C58" s="153">
        <f>IF(D11="","-",+C57+1)</f>
        <v>2050</v>
      </c>
      <c r="D58" s="159">
        <f>IF(F57+SUM(E$17:E57)=D$10,F57,D$10-SUM(E$17:E57))</f>
        <v>818811.36471923499</v>
      </c>
      <c r="E58" s="160">
        <f>IF(+I14&lt;F57,I14,D58)</f>
        <v>319600.09302325582</v>
      </c>
      <c r="F58" s="159">
        <f t="shared" si="13"/>
        <v>499211.27169597917</v>
      </c>
      <c r="G58" s="161">
        <f t="shared" si="11"/>
        <v>385208.40796555346</v>
      </c>
      <c r="H58" s="142">
        <f t="shared" si="12"/>
        <v>385208.40796555346</v>
      </c>
      <c r="I58" s="156">
        <f t="shared" si="14"/>
        <v>0</v>
      </c>
      <c r="J58" s="156"/>
      <c r="K58" s="334"/>
      <c r="L58" s="158">
        <f t="shared" si="15"/>
        <v>0</v>
      </c>
      <c r="M58" s="334"/>
      <c r="N58" s="158">
        <f t="shared" si="16"/>
        <v>0</v>
      </c>
      <c r="O58" s="158">
        <f t="shared" si="17"/>
        <v>0</v>
      </c>
      <c r="P58" s="4"/>
      <c r="Q58" t="str">
        <f>IF(ROUND(Q57,0)=ROUND(SUM(Q18:Q56),0),"","Error -- check allocations above).")</f>
        <v/>
      </c>
    </row>
    <row r="59" spans="2:17">
      <c r="B59" s="9" t="str">
        <f t="shared" si="6"/>
        <v/>
      </c>
      <c r="C59" s="153">
        <f>IF(D11="","-",+C58+1)</f>
        <v>2051</v>
      </c>
      <c r="D59" s="159">
        <f>IF(F58+SUM(E$17:E58)=D$10,F58,D$10-SUM(E$17:E58))</f>
        <v>499211.27169597917</v>
      </c>
      <c r="E59" s="160">
        <f>IF(+I14&lt;F58,I14,D59)</f>
        <v>319600.09302325582</v>
      </c>
      <c r="F59" s="159">
        <f t="shared" si="13"/>
        <v>179611.17867272336</v>
      </c>
      <c r="G59" s="161">
        <f t="shared" si="11"/>
        <v>353390.40578664135</v>
      </c>
      <c r="H59" s="142">
        <f t="shared" si="12"/>
        <v>353390.40578664135</v>
      </c>
      <c r="I59" s="156">
        <f t="shared" si="14"/>
        <v>0</v>
      </c>
      <c r="J59" s="156"/>
      <c r="K59" s="334"/>
      <c r="L59" s="158">
        <f t="shared" si="15"/>
        <v>0</v>
      </c>
      <c r="M59" s="334"/>
      <c r="N59" s="158">
        <f t="shared" si="16"/>
        <v>0</v>
      </c>
      <c r="O59" s="158">
        <f t="shared" si="17"/>
        <v>0</v>
      </c>
      <c r="P59" s="4"/>
    </row>
    <row r="60" spans="2:17">
      <c r="B60" s="9" t="str">
        <f t="shared" si="6"/>
        <v/>
      </c>
      <c r="C60" s="153">
        <f>IF(D11="","-",+C59+1)</f>
        <v>2052</v>
      </c>
      <c r="D60" s="159">
        <f>IF(F59+SUM(E$17:E59)=D$10,F59,D$10-SUM(E$17:E59))</f>
        <v>179611.17867272336</v>
      </c>
      <c r="E60" s="160">
        <f>IF(+I14&lt;F59,I14,D60)</f>
        <v>179611.17867272336</v>
      </c>
      <c r="F60" s="159">
        <f t="shared" si="13"/>
        <v>0</v>
      </c>
      <c r="G60" s="161">
        <f t="shared" si="11"/>
        <v>188551.83450968808</v>
      </c>
      <c r="H60" s="142">
        <f t="shared" si="12"/>
        <v>188551.83450968808</v>
      </c>
      <c r="I60" s="156">
        <f t="shared" si="14"/>
        <v>0</v>
      </c>
      <c r="J60" s="156"/>
      <c r="K60" s="334"/>
      <c r="L60" s="158">
        <f t="shared" si="15"/>
        <v>0</v>
      </c>
      <c r="M60" s="334"/>
      <c r="N60" s="158">
        <f t="shared" si="16"/>
        <v>0</v>
      </c>
      <c r="O60" s="158">
        <f t="shared" si="17"/>
        <v>0</v>
      </c>
      <c r="P60" s="4"/>
    </row>
    <row r="61" spans="2:17">
      <c r="B61" s="9" t="str">
        <f t="shared" si="6"/>
        <v/>
      </c>
      <c r="C61" s="153">
        <f>IF(D11="","-",+C60+1)</f>
        <v>2053</v>
      </c>
      <c r="D61" s="159">
        <f>IF(F60+SUM(E$17:E60)=D$10,F60,D$10-SUM(E$17:E60))</f>
        <v>0</v>
      </c>
      <c r="E61" s="160">
        <f>IF(+I14&lt;F60,I14,D61)</f>
        <v>0</v>
      </c>
      <c r="F61" s="159">
        <f t="shared" si="13"/>
        <v>0</v>
      </c>
      <c r="G61" s="163">
        <f t="shared" si="11"/>
        <v>0</v>
      </c>
      <c r="H61" s="142">
        <f t="shared" si="12"/>
        <v>0</v>
      </c>
      <c r="I61" s="156">
        <f t="shared" si="14"/>
        <v>0</v>
      </c>
      <c r="J61" s="156"/>
      <c r="K61" s="334"/>
      <c r="L61" s="158">
        <f t="shared" si="15"/>
        <v>0</v>
      </c>
      <c r="M61" s="334"/>
      <c r="N61" s="158">
        <f t="shared" si="16"/>
        <v>0</v>
      </c>
      <c r="O61" s="158">
        <f t="shared" si="17"/>
        <v>0</v>
      </c>
      <c r="P61" s="4"/>
    </row>
    <row r="62" spans="2:17">
      <c r="B62" s="9" t="str">
        <f t="shared" si="6"/>
        <v/>
      </c>
      <c r="C62" s="153">
        <f>IF(D11="","-",+C61+1)</f>
        <v>2054</v>
      </c>
      <c r="D62" s="159">
        <f>IF(F61+SUM(E$17:E61)=D$10,F61,D$10-SUM(E$17:E61))</f>
        <v>0</v>
      </c>
      <c r="E62" s="160">
        <f>IF(+I14&lt;F61,I14,D62)</f>
        <v>0</v>
      </c>
      <c r="F62" s="159">
        <f t="shared" si="13"/>
        <v>0</v>
      </c>
      <c r="G62" s="163">
        <f t="shared" si="11"/>
        <v>0</v>
      </c>
      <c r="H62" s="142">
        <f t="shared" si="12"/>
        <v>0</v>
      </c>
      <c r="I62" s="156">
        <f t="shared" si="14"/>
        <v>0</v>
      </c>
      <c r="J62" s="156"/>
      <c r="K62" s="334"/>
      <c r="L62" s="158">
        <f t="shared" si="15"/>
        <v>0</v>
      </c>
      <c r="M62" s="334"/>
      <c r="N62" s="158">
        <f t="shared" si="16"/>
        <v>0</v>
      </c>
      <c r="O62" s="158">
        <f t="shared" si="17"/>
        <v>0</v>
      </c>
      <c r="P62" s="4"/>
    </row>
    <row r="63" spans="2:17">
      <c r="B63" s="9" t="str">
        <f t="shared" si="6"/>
        <v/>
      </c>
      <c r="C63" s="153">
        <f>IF(D11="","-",+C62+1)</f>
        <v>2055</v>
      </c>
      <c r="D63" s="159">
        <f>IF(F62+SUM(E$17:E62)=D$10,F62,D$10-SUM(E$17:E62))</f>
        <v>0</v>
      </c>
      <c r="E63" s="160">
        <f>IF(+I14&lt;F62,I14,D63)</f>
        <v>0</v>
      </c>
      <c r="F63" s="159">
        <f t="shared" si="13"/>
        <v>0</v>
      </c>
      <c r="G63" s="163">
        <f t="shared" si="11"/>
        <v>0</v>
      </c>
      <c r="H63" s="142">
        <f t="shared" si="12"/>
        <v>0</v>
      </c>
      <c r="I63" s="156">
        <f t="shared" si="14"/>
        <v>0</v>
      </c>
      <c r="J63" s="156"/>
      <c r="K63" s="334"/>
      <c r="L63" s="158">
        <f t="shared" si="15"/>
        <v>0</v>
      </c>
      <c r="M63" s="334"/>
      <c r="N63" s="158">
        <f t="shared" si="16"/>
        <v>0</v>
      </c>
      <c r="O63" s="158">
        <f t="shared" si="17"/>
        <v>0</v>
      </c>
      <c r="P63" s="4"/>
    </row>
    <row r="64" spans="2:17">
      <c r="B64" s="9" t="str">
        <f t="shared" si="6"/>
        <v/>
      </c>
      <c r="C64" s="153">
        <f>IF(D11="","-",+C63+1)</f>
        <v>2056</v>
      </c>
      <c r="D64" s="159">
        <f>IF(F63+SUM(E$17:E63)=D$10,F63,D$10-SUM(E$17:E63))</f>
        <v>0</v>
      </c>
      <c r="E64" s="160">
        <f>IF(+I14&lt;F63,I14,D64)</f>
        <v>0</v>
      </c>
      <c r="F64" s="159">
        <f t="shared" si="13"/>
        <v>0</v>
      </c>
      <c r="G64" s="163">
        <f t="shared" si="11"/>
        <v>0</v>
      </c>
      <c r="H64" s="142">
        <f t="shared" si="12"/>
        <v>0</v>
      </c>
      <c r="I64" s="156">
        <f t="shared" si="14"/>
        <v>0</v>
      </c>
      <c r="J64" s="156"/>
      <c r="K64" s="334"/>
      <c r="L64" s="158">
        <f t="shared" si="15"/>
        <v>0</v>
      </c>
      <c r="M64" s="334"/>
      <c r="N64" s="158">
        <f t="shared" si="16"/>
        <v>0</v>
      </c>
      <c r="O64" s="158">
        <f t="shared" si="17"/>
        <v>0</v>
      </c>
      <c r="P64" s="4"/>
    </row>
    <row r="65" spans="1:16">
      <c r="B65" s="9" t="str">
        <f t="shared" si="6"/>
        <v/>
      </c>
      <c r="C65" s="153">
        <f>IF(D11="","-",+C64+1)</f>
        <v>2057</v>
      </c>
      <c r="D65" s="159">
        <f>IF(F64+SUM(E$17:E64)=D$10,F64,D$10-SUM(E$17:E64))</f>
        <v>0</v>
      </c>
      <c r="E65" s="160">
        <f>IF(+I14&lt;F64,I14,D65)</f>
        <v>0</v>
      </c>
      <c r="F65" s="159">
        <f t="shared" si="13"/>
        <v>0</v>
      </c>
      <c r="G65" s="163">
        <f t="shared" si="11"/>
        <v>0</v>
      </c>
      <c r="H65" s="142">
        <f t="shared" si="12"/>
        <v>0</v>
      </c>
      <c r="I65" s="156">
        <f t="shared" si="14"/>
        <v>0</v>
      </c>
      <c r="J65" s="156"/>
      <c r="K65" s="334"/>
      <c r="L65" s="158">
        <f t="shared" si="15"/>
        <v>0</v>
      </c>
      <c r="M65" s="334"/>
      <c r="N65" s="158">
        <f t="shared" si="16"/>
        <v>0</v>
      </c>
      <c r="O65" s="158">
        <f t="shared" si="17"/>
        <v>0</v>
      </c>
      <c r="P65" s="4"/>
    </row>
    <row r="66" spans="1:16">
      <c r="B66" s="9" t="str">
        <f t="shared" si="6"/>
        <v/>
      </c>
      <c r="C66" s="153">
        <f>IF(D11="","-",+C65+1)</f>
        <v>2058</v>
      </c>
      <c r="D66" s="159">
        <f>IF(F65+SUM(E$17:E65)=D$10,F65,D$10-SUM(E$17:E65))</f>
        <v>0</v>
      </c>
      <c r="E66" s="160">
        <f>IF(+I14&lt;F65,I14,D66)</f>
        <v>0</v>
      </c>
      <c r="F66" s="159">
        <f t="shared" si="13"/>
        <v>0</v>
      </c>
      <c r="G66" s="163">
        <f t="shared" si="11"/>
        <v>0</v>
      </c>
      <c r="H66" s="142">
        <f t="shared" si="12"/>
        <v>0</v>
      </c>
      <c r="I66" s="156">
        <f t="shared" si="14"/>
        <v>0</v>
      </c>
      <c r="J66" s="156"/>
      <c r="K66" s="334"/>
      <c r="L66" s="158">
        <f t="shared" si="15"/>
        <v>0</v>
      </c>
      <c r="M66" s="334"/>
      <c r="N66" s="158">
        <f t="shared" si="16"/>
        <v>0</v>
      </c>
      <c r="O66" s="158">
        <f t="shared" si="17"/>
        <v>0</v>
      </c>
      <c r="P66" s="4"/>
    </row>
    <row r="67" spans="1:16">
      <c r="B67" s="9" t="str">
        <f t="shared" si="6"/>
        <v/>
      </c>
      <c r="C67" s="153">
        <f>IF(D11="","-",+C66+1)</f>
        <v>2059</v>
      </c>
      <c r="D67" s="159">
        <f>IF(F66+SUM(E$17:E66)=D$10,F66,D$10-SUM(E$17:E66))</f>
        <v>0</v>
      </c>
      <c r="E67" s="160">
        <f>IF(+I14&lt;F66,I14,D67)</f>
        <v>0</v>
      </c>
      <c r="F67" s="159">
        <f t="shared" si="13"/>
        <v>0</v>
      </c>
      <c r="G67" s="163">
        <f t="shared" si="11"/>
        <v>0</v>
      </c>
      <c r="H67" s="142">
        <f t="shared" si="12"/>
        <v>0</v>
      </c>
      <c r="I67" s="156">
        <f t="shared" si="14"/>
        <v>0</v>
      </c>
      <c r="J67" s="156"/>
      <c r="K67" s="334"/>
      <c r="L67" s="158">
        <f t="shared" si="15"/>
        <v>0</v>
      </c>
      <c r="M67" s="334"/>
      <c r="N67" s="158">
        <f t="shared" si="16"/>
        <v>0</v>
      </c>
      <c r="O67" s="158">
        <f t="shared" si="17"/>
        <v>0</v>
      </c>
      <c r="P67" s="4"/>
    </row>
    <row r="68" spans="1:16">
      <c r="B68" s="9" t="str">
        <f t="shared" si="6"/>
        <v/>
      </c>
      <c r="C68" s="153">
        <f>IF(D11="","-",+C67+1)</f>
        <v>2060</v>
      </c>
      <c r="D68" s="159">
        <f>IF(F67+SUM(E$17:E67)=D$10,F67,D$10-SUM(E$17:E67))</f>
        <v>0</v>
      </c>
      <c r="E68" s="160">
        <f>IF(+I14&lt;F67,I14,D68)</f>
        <v>0</v>
      </c>
      <c r="F68" s="159">
        <f t="shared" si="13"/>
        <v>0</v>
      </c>
      <c r="G68" s="163">
        <f t="shared" si="11"/>
        <v>0</v>
      </c>
      <c r="H68" s="142">
        <f t="shared" si="12"/>
        <v>0</v>
      </c>
      <c r="I68" s="156">
        <f t="shared" si="14"/>
        <v>0</v>
      </c>
      <c r="J68" s="156"/>
      <c r="K68" s="334"/>
      <c r="L68" s="158">
        <f t="shared" si="15"/>
        <v>0</v>
      </c>
      <c r="M68" s="334"/>
      <c r="N68" s="158">
        <f t="shared" si="16"/>
        <v>0</v>
      </c>
      <c r="O68" s="158">
        <f t="shared" si="17"/>
        <v>0</v>
      </c>
      <c r="P68" s="4"/>
    </row>
    <row r="69" spans="1:16">
      <c r="B69" s="9" t="str">
        <f t="shared" si="6"/>
        <v/>
      </c>
      <c r="C69" s="153">
        <f>IF(D11="","-",+C68+1)</f>
        <v>2061</v>
      </c>
      <c r="D69" s="159">
        <f>IF(F68+SUM(E$17:E68)=D$10,F68,D$10-SUM(E$17:E68))</f>
        <v>0</v>
      </c>
      <c r="E69" s="160">
        <f>IF(+I14&lt;F68,I14,D69)</f>
        <v>0</v>
      </c>
      <c r="F69" s="159">
        <f t="shared" si="13"/>
        <v>0</v>
      </c>
      <c r="G69" s="163">
        <f t="shared" si="11"/>
        <v>0</v>
      </c>
      <c r="H69" s="142">
        <f t="shared" si="12"/>
        <v>0</v>
      </c>
      <c r="I69" s="156">
        <f t="shared" si="14"/>
        <v>0</v>
      </c>
      <c r="J69" s="156"/>
      <c r="K69" s="334"/>
      <c r="L69" s="158">
        <f t="shared" si="15"/>
        <v>0</v>
      </c>
      <c r="M69" s="334"/>
      <c r="N69" s="158">
        <f t="shared" si="16"/>
        <v>0</v>
      </c>
      <c r="O69" s="158">
        <f t="shared" si="17"/>
        <v>0</v>
      </c>
      <c r="P69" s="4"/>
    </row>
    <row r="70" spans="1:16">
      <c r="B70" s="9" t="str">
        <f t="shared" si="6"/>
        <v/>
      </c>
      <c r="C70" s="153">
        <f>IF(D11="","-",+C69+1)</f>
        <v>2062</v>
      </c>
      <c r="D70" s="159">
        <f>IF(F69+SUM(E$17:E69)=D$10,F69,D$10-SUM(E$17:E69))</f>
        <v>0</v>
      </c>
      <c r="E70" s="160">
        <f>IF(+I14&lt;F69,I14,D70)</f>
        <v>0</v>
      </c>
      <c r="F70" s="159">
        <f t="shared" si="13"/>
        <v>0</v>
      </c>
      <c r="G70" s="163">
        <f t="shared" si="11"/>
        <v>0</v>
      </c>
      <c r="H70" s="142">
        <f t="shared" si="12"/>
        <v>0</v>
      </c>
      <c r="I70" s="156">
        <f t="shared" si="14"/>
        <v>0</v>
      </c>
      <c r="J70" s="156"/>
      <c r="K70" s="334"/>
      <c r="L70" s="158">
        <f t="shared" si="15"/>
        <v>0</v>
      </c>
      <c r="M70" s="334"/>
      <c r="N70" s="158">
        <f t="shared" si="16"/>
        <v>0</v>
      </c>
      <c r="O70" s="158">
        <f t="shared" si="17"/>
        <v>0</v>
      </c>
      <c r="P70" s="4"/>
    </row>
    <row r="71" spans="1:16">
      <c r="B71" s="9" t="str">
        <f t="shared" si="6"/>
        <v/>
      </c>
      <c r="C71" s="153">
        <f>IF(D11="","-",+C70+1)</f>
        <v>2063</v>
      </c>
      <c r="D71" s="159">
        <f>IF(F70+SUM(E$17:E70)=D$10,F70,D$10-SUM(E$17:E70))</f>
        <v>0</v>
      </c>
      <c r="E71" s="160">
        <f>IF(+I14&lt;F70,I14,D71)</f>
        <v>0</v>
      </c>
      <c r="F71" s="159">
        <f t="shared" si="13"/>
        <v>0</v>
      </c>
      <c r="G71" s="163">
        <f t="shared" si="11"/>
        <v>0</v>
      </c>
      <c r="H71" s="142">
        <f t="shared" si="12"/>
        <v>0</v>
      </c>
      <c r="I71" s="156">
        <f t="shared" si="14"/>
        <v>0</v>
      </c>
      <c r="J71" s="156"/>
      <c r="K71" s="334"/>
      <c r="L71" s="158">
        <f t="shared" si="15"/>
        <v>0</v>
      </c>
      <c r="M71" s="334"/>
      <c r="N71" s="158">
        <f t="shared" si="16"/>
        <v>0</v>
      </c>
      <c r="O71" s="158">
        <f t="shared" si="17"/>
        <v>0</v>
      </c>
      <c r="P71" s="4"/>
    </row>
    <row r="72" spans="1:16" ht="13.5" thickBot="1">
      <c r="B72" s="9" t="str">
        <f t="shared" si="6"/>
        <v/>
      </c>
      <c r="C72" s="164">
        <f>IF(D11="","-",+C71+1)</f>
        <v>2064</v>
      </c>
      <c r="D72" s="165">
        <f>IF(F71+SUM(E$17:E71)=D$10,F71,D$10-SUM(E$17:E71))</f>
        <v>0</v>
      </c>
      <c r="E72" s="166">
        <f>IF(+I14&lt;F71,I14,D72)</f>
        <v>0</v>
      </c>
      <c r="F72" s="165">
        <f t="shared" si="13"/>
        <v>0</v>
      </c>
      <c r="G72" s="167">
        <f t="shared" si="11"/>
        <v>0</v>
      </c>
      <c r="H72" s="124">
        <f t="shared" si="12"/>
        <v>0</v>
      </c>
      <c r="I72" s="168">
        <f t="shared" si="14"/>
        <v>0</v>
      </c>
      <c r="J72" s="156"/>
      <c r="K72" s="335"/>
      <c r="L72" s="169">
        <f t="shared" si="15"/>
        <v>0</v>
      </c>
      <c r="M72" s="335"/>
      <c r="N72" s="169">
        <f t="shared" si="16"/>
        <v>0</v>
      </c>
      <c r="O72" s="169">
        <f t="shared" si="17"/>
        <v>0</v>
      </c>
      <c r="P72" s="4"/>
    </row>
    <row r="73" spans="1:16">
      <c r="C73" s="154" t="s">
        <v>73</v>
      </c>
      <c r="D73" s="111"/>
      <c r="E73" s="111">
        <f>SUM(E17:E72)</f>
        <v>13742803.999999996</v>
      </c>
      <c r="F73" s="111"/>
      <c r="G73" s="111">
        <f>SUM(G17:G72)</f>
        <v>46822814.742031701</v>
      </c>
      <c r="H73" s="111">
        <f>SUM(H17:H72)</f>
        <v>46822814.742031701</v>
      </c>
      <c r="I73" s="111">
        <f>SUM(I17:I72)</f>
        <v>0</v>
      </c>
      <c r="J73" s="111"/>
      <c r="K73" s="111"/>
      <c r="L73" s="111"/>
      <c r="M73" s="111"/>
      <c r="N73" s="111"/>
      <c r="O73" s="4"/>
      <c r="P73" s="4"/>
    </row>
    <row r="74" spans="1:16">
      <c r="D74" s="2"/>
      <c r="E74" s="1"/>
      <c r="F74" s="1"/>
      <c r="G74" s="1"/>
      <c r="H74" s="3"/>
      <c r="I74" s="3"/>
      <c r="J74" s="111"/>
      <c r="K74" s="3"/>
      <c r="L74" s="3"/>
      <c r="M74" s="3"/>
      <c r="N74" s="3"/>
      <c r="O74" s="1"/>
      <c r="P74" s="1"/>
    </row>
    <row r="75" spans="1:16">
      <c r="C75" s="170" t="s">
        <v>91</v>
      </c>
      <c r="D75" s="2"/>
      <c r="E75" s="1"/>
      <c r="F75" s="1"/>
      <c r="G75" s="1"/>
      <c r="H75" s="3"/>
      <c r="I75" s="3"/>
      <c r="J75" s="111"/>
      <c r="K75" s="3"/>
      <c r="L75" s="3"/>
      <c r="M75" s="3"/>
      <c r="N75" s="3"/>
      <c r="O75" s="1"/>
      <c r="P75" s="1"/>
    </row>
    <row r="76" spans="1:16">
      <c r="C76" s="121" t="s">
        <v>74</v>
      </c>
      <c r="D76" s="2"/>
      <c r="E76" s="1"/>
      <c r="F76" s="1"/>
      <c r="G76" s="1"/>
      <c r="H76" s="3"/>
      <c r="I76" s="3"/>
      <c r="J76" s="111"/>
      <c r="K76" s="3"/>
      <c r="L76" s="3"/>
      <c r="M76" s="3"/>
      <c r="N76" s="3"/>
      <c r="O76" s="4"/>
      <c r="P76" s="4"/>
    </row>
    <row r="77" spans="1:16" ht="18">
      <c r="C77" s="121" t="s">
        <v>75</v>
      </c>
      <c r="D77" s="154"/>
      <c r="E77" s="154"/>
      <c r="F77" s="154"/>
      <c r="G77" s="111"/>
      <c r="H77" s="111"/>
      <c r="I77" s="171"/>
      <c r="J77" s="171"/>
      <c r="K77" s="171"/>
      <c r="L77" s="171"/>
      <c r="M77" s="171"/>
      <c r="N77" s="171"/>
      <c r="O77" s="110"/>
      <c r="P77" s="4"/>
    </row>
    <row r="78" spans="1:16">
      <c r="C78" s="121"/>
      <c r="D78" s="154"/>
      <c r="E78" s="154"/>
      <c r="F78" s="154"/>
      <c r="G78" s="111"/>
      <c r="H78" s="111"/>
      <c r="I78" s="171"/>
      <c r="J78" s="171"/>
      <c r="K78" s="171"/>
      <c r="L78" s="171"/>
      <c r="M78" s="171"/>
      <c r="N78" s="171"/>
      <c r="O78" s="4"/>
      <c r="P78" s="1"/>
    </row>
    <row r="79" spans="1:16" ht="15">
      <c r="A79" s="241"/>
      <c r="B79" s="1"/>
      <c r="C79" s="21"/>
      <c r="D79" s="2"/>
      <c r="E79" s="1"/>
      <c r="F79" s="107"/>
      <c r="G79" s="1"/>
      <c r="H79" s="3"/>
      <c r="I79" s="1"/>
      <c r="J79" s="4"/>
      <c r="K79" s="1"/>
      <c r="L79" s="1"/>
      <c r="M79" s="1"/>
      <c r="N79" s="1"/>
    </row>
    <row r="80" spans="1:16" ht="18">
      <c r="B80" s="1"/>
      <c r="C80" s="242"/>
      <c r="D80" s="2"/>
      <c r="E80" s="1"/>
      <c r="F80" s="107"/>
      <c r="G80" s="1"/>
      <c r="H80" s="3"/>
      <c r="I80" s="1"/>
      <c r="J80" s="4"/>
      <c r="K80" s="1"/>
      <c r="L80" s="1"/>
      <c r="M80" s="1"/>
      <c r="N80" s="1"/>
      <c r="P80" s="244" t="s">
        <v>125</v>
      </c>
    </row>
    <row r="81" spans="1:17">
      <c r="B81" s="1"/>
      <c r="C81" s="242"/>
      <c r="D81" s="2"/>
      <c r="E81" s="1"/>
      <c r="F81" s="107"/>
      <c r="G81" s="1"/>
      <c r="H81" s="3"/>
      <c r="I81" s="1"/>
      <c r="J81" s="4"/>
      <c r="K81" s="1"/>
      <c r="L81" s="1"/>
      <c r="M81" s="1"/>
      <c r="N81" s="1"/>
      <c r="O81" s="1"/>
      <c r="P81" s="1"/>
    </row>
    <row r="82" spans="1:17">
      <c r="B82" s="1"/>
      <c r="C82" s="21"/>
      <c r="D82" s="2"/>
      <c r="E82" s="1"/>
      <c r="F82" s="107"/>
      <c r="G82" s="1"/>
      <c r="H82" s="3"/>
      <c r="I82" s="1"/>
      <c r="J82" s="4"/>
      <c r="K82" s="1"/>
      <c r="L82" s="1"/>
      <c r="M82" s="1"/>
      <c r="N82" s="1"/>
      <c r="O82" s="1"/>
      <c r="P82" s="1"/>
      <c r="Q82" s="1"/>
    </row>
    <row r="83" spans="1:17" ht="20.25">
      <c r="A83" s="243" t="s">
        <v>129</v>
      </c>
      <c r="B83" s="1"/>
      <c r="C83" s="21"/>
      <c r="D83" s="2"/>
      <c r="E83" s="1"/>
      <c r="F83" s="99"/>
      <c r="G83" s="99"/>
      <c r="H83" s="1"/>
      <c r="I83" s="3"/>
      <c r="K83" s="7"/>
      <c r="L83" s="109"/>
      <c r="M83" s="109"/>
      <c r="P83" s="110" t="str">
        <f ca="1">P1</f>
        <v>SWEPCO Project 3 of 73</v>
      </c>
      <c r="Q83" s="1"/>
    </row>
    <row r="84" spans="1:17" ht="18">
      <c r="B84" s="1"/>
      <c r="C84" s="1"/>
      <c r="D84" s="2"/>
      <c r="E84" s="1"/>
      <c r="F84" s="1"/>
      <c r="G84" s="1"/>
      <c r="H84" s="1"/>
      <c r="I84" s="3"/>
      <c r="J84" s="1"/>
      <c r="K84" s="4"/>
      <c r="L84" s="1"/>
      <c r="M84" s="1"/>
      <c r="P84" s="237" t="s">
        <v>123</v>
      </c>
      <c r="Q84" s="1"/>
    </row>
    <row r="85" spans="1:17" ht="18.75" thickBot="1">
      <c r="B85" s="5" t="s">
        <v>40</v>
      </c>
      <c r="C85" s="197" t="s">
        <v>78</v>
      </c>
      <c r="D85" s="2"/>
      <c r="E85" s="1"/>
      <c r="F85" s="1"/>
      <c r="G85" s="1"/>
      <c r="H85" s="1"/>
      <c r="I85" s="3"/>
      <c r="J85" s="3"/>
      <c r="K85" s="111"/>
      <c r="L85" s="3"/>
      <c r="M85" s="3"/>
      <c r="N85" s="3"/>
      <c r="O85" s="111"/>
      <c r="P85" s="1"/>
      <c r="Q85" s="1"/>
    </row>
    <row r="86" spans="1:17" ht="15.75" thickBot="1">
      <c r="C86" s="67"/>
      <c r="D86" s="2"/>
      <c r="E86" s="1"/>
      <c r="F86" s="1"/>
      <c r="G86" s="1"/>
      <c r="H86" s="1"/>
      <c r="I86" s="3"/>
      <c r="J86" s="3"/>
      <c r="K86" s="111"/>
      <c r="L86" s="265">
        <f>+J92</f>
        <v>2017</v>
      </c>
      <c r="M86" s="266" t="s">
        <v>7</v>
      </c>
      <c r="N86" s="270" t="s">
        <v>154</v>
      </c>
      <c r="O86" s="267" t="s">
        <v>9</v>
      </c>
      <c r="P86" s="1"/>
      <c r="Q86" s="1"/>
    </row>
    <row r="87" spans="1:17" ht="15">
      <c r="C87" s="235" t="s">
        <v>42</v>
      </c>
      <c r="D87" s="2"/>
      <c r="E87" s="1"/>
      <c r="F87" s="1"/>
      <c r="G87" s="1"/>
      <c r="H87" s="113"/>
      <c r="I87" s="1" t="s">
        <v>43</v>
      </c>
      <c r="J87" s="1"/>
      <c r="K87" s="261"/>
      <c r="L87" s="259" t="s">
        <v>381</v>
      </c>
      <c r="M87" s="198">
        <f>IF(J92&lt;D11,0,VLOOKUP(J92,C17:O72,9))</f>
        <v>1709848.34416372</v>
      </c>
      <c r="N87" s="198">
        <f>IF(J92&lt;D11,0,VLOOKUP(J92,C17:O72,11))</f>
        <v>1709848.34416372</v>
      </c>
      <c r="O87" s="199">
        <f>+N87-M87</f>
        <v>0</v>
      </c>
      <c r="P87" s="1"/>
      <c r="Q87" s="1"/>
    </row>
    <row r="88" spans="1:17" ht="15.75">
      <c r="C88" s="8"/>
      <c r="D88" s="2"/>
      <c r="E88" s="1"/>
      <c r="F88" s="1"/>
      <c r="G88" s="1"/>
      <c r="H88" s="1"/>
      <c r="I88" s="117"/>
      <c r="J88" s="117"/>
      <c r="K88" s="263"/>
      <c r="L88" s="264" t="s">
        <v>382</v>
      </c>
      <c r="M88" s="200">
        <f>IF(J92&lt;D11,0,VLOOKUP(J92,C99:P154,6))</f>
        <v>1678628.9979876066</v>
      </c>
      <c r="N88" s="200">
        <f>IF(J92&lt;D11,0,VLOOKUP(J92,C99:P154,7))</f>
        <v>1678628.9979876066</v>
      </c>
      <c r="O88" s="201">
        <f>+N88-M88</f>
        <v>0</v>
      </c>
      <c r="P88" s="1"/>
      <c r="Q88" s="1"/>
    </row>
    <row r="89" spans="1:17" ht="13.5" thickBot="1">
      <c r="C89" s="121" t="s">
        <v>79</v>
      </c>
      <c r="D89" s="246" t="str">
        <f>+D7</f>
        <v>[NW Ark Area Improve - 2009]  E. Centerton-Flint Crk, E Rogers-N Rogers, Centerton</v>
      </c>
      <c r="E89" s="1"/>
      <c r="F89" s="1"/>
      <c r="G89" s="1"/>
      <c r="H89" s="1"/>
      <c r="I89" s="3"/>
      <c r="J89" s="3"/>
      <c r="K89" s="262"/>
      <c r="L89" s="260" t="s">
        <v>151</v>
      </c>
      <c r="M89" s="203">
        <f>+M88-M87</f>
        <v>-31219.346176113468</v>
      </c>
      <c r="N89" s="203">
        <f>+N88-N87</f>
        <v>-31219.346176113468</v>
      </c>
      <c r="O89" s="204">
        <f>+O88-O87</f>
        <v>0</v>
      </c>
      <c r="P89" s="1"/>
      <c r="Q89" s="1"/>
    </row>
    <row r="90" spans="1:17" ht="13.5" thickBot="1">
      <c r="C90" s="170"/>
      <c r="D90" s="173" t="str">
        <f>D8</f>
        <v/>
      </c>
      <c r="E90" s="107"/>
      <c r="F90" s="107"/>
      <c r="G90" s="107"/>
      <c r="H90" s="126"/>
      <c r="I90" s="3"/>
      <c r="J90" s="3"/>
      <c r="K90" s="111"/>
      <c r="L90" s="3"/>
      <c r="M90" s="3"/>
      <c r="N90" s="3"/>
      <c r="O90" s="111"/>
      <c r="P90" s="1"/>
      <c r="Q90" s="1"/>
    </row>
    <row r="91" spans="1:17" ht="13.5" thickBot="1">
      <c r="A91" s="103"/>
      <c r="C91" s="205" t="s">
        <v>80</v>
      </c>
      <c r="D91" s="224" t="str">
        <f>+D9</f>
        <v>TP2007103</v>
      </c>
      <c r="E91" s="206"/>
      <c r="F91" s="206"/>
      <c r="G91" s="206"/>
      <c r="H91" s="206"/>
      <c r="I91" s="206"/>
      <c r="J91" s="238"/>
      <c r="K91" s="207"/>
      <c r="P91" s="131"/>
      <c r="Q91" s="1"/>
    </row>
    <row r="92" spans="1:17">
      <c r="C92" s="136" t="s">
        <v>47</v>
      </c>
      <c r="D92" s="133">
        <v>13742804</v>
      </c>
      <c r="E92" s="21" t="s">
        <v>81</v>
      </c>
      <c r="H92" s="134"/>
      <c r="I92" s="134"/>
      <c r="J92" s="135">
        <f>+'SWE.WS.G.BPU.ATRR.True-up'!M15</f>
        <v>2017</v>
      </c>
      <c r="K92" s="130"/>
      <c r="L92" s="111" t="s">
        <v>82</v>
      </c>
      <c r="P92" s="4"/>
      <c r="Q92" s="1"/>
    </row>
    <row r="93" spans="1:17">
      <c r="C93" s="136" t="s">
        <v>49</v>
      </c>
      <c r="D93" s="219">
        <f>IF(D11=I10,"",D11)</f>
        <v>2009</v>
      </c>
      <c r="E93" s="136" t="s">
        <v>50</v>
      </c>
      <c r="F93" s="134"/>
      <c r="G93" s="134"/>
      <c r="J93" s="138">
        <f>IF(H87="",0,'SWE.WS.G.BPU.ATRR.True-up'!$F$12)</f>
        <v>0</v>
      </c>
      <c r="K93" s="139"/>
      <c r="L93" t="str">
        <f>"          INPUT TRUE-UP ARR (WITH &amp; WITHOUT INCENTIVES) FROM EACH PRIOR YEAR"</f>
        <v xml:space="preserve">          INPUT TRUE-UP ARR (WITH &amp; WITHOUT INCENTIVES) FROM EACH PRIOR YEAR</v>
      </c>
      <c r="P93" s="4"/>
      <c r="Q93" s="1"/>
    </row>
    <row r="94" spans="1:17">
      <c r="C94" s="136" t="s">
        <v>51</v>
      </c>
      <c r="D94" s="218">
        <f>IF(D11=I10,"",D12)</f>
        <v>6</v>
      </c>
      <c r="E94" s="136" t="s">
        <v>52</v>
      </c>
      <c r="F94" s="134"/>
      <c r="G94" s="134"/>
      <c r="J94" s="140">
        <f>'SWE.WS.G.BPU.ATRR.True-up'!$F$80</f>
        <v>0.12147145768398206</v>
      </c>
      <c r="K94" s="141"/>
      <c r="L94" t="s">
        <v>83</v>
      </c>
      <c r="P94" s="4"/>
      <c r="Q94" s="1"/>
    </row>
    <row r="95" spans="1:17">
      <c r="C95" s="136" t="s">
        <v>54</v>
      </c>
      <c r="D95" s="138">
        <f>'SWE.WS.G.BPU.ATRR.True-up'!F$92</f>
        <v>42</v>
      </c>
      <c r="E95" s="136" t="s">
        <v>55</v>
      </c>
      <c r="F95" s="134"/>
      <c r="G95" s="134"/>
      <c r="J95" s="140">
        <f>IF(H87="",J94,'SWE.WS.G.BPU.ATRR.True-up'!$F$79)</f>
        <v>0.12147145768398206</v>
      </c>
      <c r="K95" s="58"/>
      <c r="L95" s="111" t="s">
        <v>56</v>
      </c>
      <c r="M95" s="58"/>
      <c r="N95" s="58"/>
      <c r="O95" s="58"/>
      <c r="P95" s="4"/>
      <c r="Q95" s="1"/>
    </row>
    <row r="96" spans="1:17" ht="13.5" thickBot="1">
      <c r="C96" s="136" t="s">
        <v>57</v>
      </c>
      <c r="D96" s="220" t="str">
        <f>+D14</f>
        <v>No</v>
      </c>
      <c r="E96" s="202" t="s">
        <v>59</v>
      </c>
      <c r="F96" s="208"/>
      <c r="G96" s="208"/>
      <c r="H96" s="209"/>
      <c r="I96" s="209"/>
      <c r="J96" s="124">
        <f>IF(D92=0,0,D92/D95)</f>
        <v>327209.61904761905</v>
      </c>
      <c r="K96" s="111"/>
      <c r="L96" s="111"/>
      <c r="M96" s="111"/>
      <c r="N96" s="111"/>
      <c r="O96" s="111"/>
      <c r="P96" s="4"/>
      <c r="Q96" s="1"/>
    </row>
    <row r="97" spans="1:17" ht="38.25">
      <c r="A97" s="6"/>
      <c r="B97" s="6"/>
      <c r="C97" s="210" t="s">
        <v>47</v>
      </c>
      <c r="D97" s="211" t="s">
        <v>60</v>
      </c>
      <c r="E97" s="146" t="s">
        <v>61</v>
      </c>
      <c r="F97" s="146" t="s">
        <v>62</v>
      </c>
      <c r="G97" s="144" t="s">
        <v>84</v>
      </c>
      <c r="H97" s="434" t="s">
        <v>378</v>
      </c>
      <c r="I97" s="435" t="s">
        <v>379</v>
      </c>
      <c r="J97" s="210" t="s">
        <v>85</v>
      </c>
      <c r="K97" s="212"/>
      <c r="L97" s="271" t="s">
        <v>220</v>
      </c>
      <c r="M97" s="146" t="s">
        <v>86</v>
      </c>
      <c r="N97" s="271" t="s">
        <v>220</v>
      </c>
      <c r="O97" s="146" t="s">
        <v>86</v>
      </c>
      <c r="P97" s="146" t="s">
        <v>65</v>
      </c>
      <c r="Q97" s="1"/>
    </row>
    <row r="98" spans="1:17" ht="13.5" thickBot="1">
      <c r="C98" s="147" t="s">
        <v>66</v>
      </c>
      <c r="D98" s="213" t="s">
        <v>67</v>
      </c>
      <c r="E98" s="147" t="s">
        <v>68</v>
      </c>
      <c r="F98" s="147" t="s">
        <v>67</v>
      </c>
      <c r="G98" s="147" t="s">
        <v>67</v>
      </c>
      <c r="H98" s="407" t="s">
        <v>69</v>
      </c>
      <c r="I98" s="148" t="s">
        <v>70</v>
      </c>
      <c r="J98" s="149" t="s">
        <v>89</v>
      </c>
      <c r="K98" s="150"/>
      <c r="L98" s="151" t="s">
        <v>72</v>
      </c>
      <c r="M98" s="151" t="s">
        <v>72</v>
      </c>
      <c r="N98" s="151" t="s">
        <v>90</v>
      </c>
      <c r="O98" s="151" t="s">
        <v>90</v>
      </c>
      <c r="P98" s="151" t="s">
        <v>90</v>
      </c>
      <c r="Q98" s="1"/>
    </row>
    <row r="99" spans="1:17">
      <c r="C99" s="153">
        <f>IF(D93= "","-",D93)</f>
        <v>2009</v>
      </c>
      <c r="D99" s="357">
        <v>0</v>
      </c>
      <c r="E99" s="360">
        <v>162954</v>
      </c>
      <c r="F99" s="361">
        <v>12221607</v>
      </c>
      <c r="G99" s="365">
        <v>6110803</v>
      </c>
      <c r="H99" s="362">
        <v>1047418</v>
      </c>
      <c r="I99" s="363">
        <v>1047418</v>
      </c>
      <c r="J99" s="158">
        <f t="shared" ref="J99:J130" si="18">+I99-H99</f>
        <v>0</v>
      </c>
      <c r="K99" s="158"/>
      <c r="L99" s="256">
        <f t="shared" ref="L99:L104" si="19">H99</f>
        <v>1047418</v>
      </c>
      <c r="M99" s="157">
        <f t="shared" ref="M99:M130" si="20">IF(L99&lt;&gt;0,+H99-L99,0)</f>
        <v>0</v>
      </c>
      <c r="N99" s="256">
        <f t="shared" ref="N99:N104" si="21">I99</f>
        <v>1047418</v>
      </c>
      <c r="O99" s="157">
        <f t="shared" ref="O99:O130" si="22">IF(N99&lt;&gt;0,+I99-N99,0)</f>
        <v>0</v>
      </c>
      <c r="P99" s="157">
        <f t="shared" ref="P99:P130" si="23">+O99-M99</f>
        <v>0</v>
      </c>
      <c r="Q99" s="1"/>
    </row>
    <row r="100" spans="1:17">
      <c r="B100" s="9" t="str">
        <f>IF(D100=F99,"","IU")</f>
        <v>IU</v>
      </c>
      <c r="C100" s="153">
        <f>IF(D93="","-",+C99+1)</f>
        <v>2010</v>
      </c>
      <c r="D100" s="357">
        <v>13579849</v>
      </c>
      <c r="E100" s="360">
        <v>335190.31707317074</v>
      </c>
      <c r="F100" s="361">
        <v>13244658.68292683</v>
      </c>
      <c r="G100" s="361">
        <v>13412253.841463415</v>
      </c>
      <c r="H100" s="360">
        <v>2549366.7560608997</v>
      </c>
      <c r="I100" s="359">
        <v>2549366.7560608997</v>
      </c>
      <c r="J100" s="158">
        <f t="shared" si="18"/>
        <v>0</v>
      </c>
      <c r="K100" s="158"/>
      <c r="L100" s="258">
        <f t="shared" si="19"/>
        <v>2549366.7560608997</v>
      </c>
      <c r="M100" s="257">
        <f t="shared" si="20"/>
        <v>0</v>
      </c>
      <c r="N100" s="258">
        <f t="shared" si="21"/>
        <v>2549366.7560608997</v>
      </c>
      <c r="O100" s="158">
        <f t="shared" si="22"/>
        <v>0</v>
      </c>
      <c r="P100" s="158">
        <f t="shared" si="23"/>
        <v>0</v>
      </c>
      <c r="Q100" s="1"/>
    </row>
    <row r="101" spans="1:17">
      <c r="B101" s="9" t="str">
        <f t="shared" ref="B101:B154" si="24">IF(D101=F100,"","IU")</f>
        <v/>
      </c>
      <c r="C101" s="153">
        <f>IF(D93="","-",+C100+1)</f>
        <v>2011</v>
      </c>
      <c r="D101" s="357">
        <v>13244658.68292683</v>
      </c>
      <c r="E101" s="377">
        <v>327209.59523809527</v>
      </c>
      <c r="F101" s="361">
        <v>12917449.087688735</v>
      </c>
      <c r="G101" s="361">
        <v>13081053.885307781</v>
      </c>
      <c r="H101" s="360">
        <v>2294337.1869887193</v>
      </c>
      <c r="I101" s="359">
        <v>2294337.1869887193</v>
      </c>
      <c r="J101" s="158">
        <f t="shared" si="18"/>
        <v>0</v>
      </c>
      <c r="K101" s="158"/>
      <c r="L101" s="258">
        <f t="shared" si="19"/>
        <v>2294337.1869887193</v>
      </c>
      <c r="M101" s="257">
        <f t="shared" si="20"/>
        <v>0</v>
      </c>
      <c r="N101" s="258">
        <f t="shared" si="21"/>
        <v>2294337.1869887193</v>
      </c>
      <c r="O101" s="158">
        <f t="shared" si="22"/>
        <v>0</v>
      </c>
      <c r="P101" s="158">
        <f t="shared" si="23"/>
        <v>0</v>
      </c>
      <c r="Q101" s="1"/>
    </row>
    <row r="102" spans="1:17">
      <c r="B102" s="9" t="str">
        <f t="shared" si="24"/>
        <v/>
      </c>
      <c r="C102" s="153">
        <f>IF(D93="","-",+C101+1)</f>
        <v>2012</v>
      </c>
      <c r="D102" s="357">
        <v>12917449.087688735</v>
      </c>
      <c r="E102" s="360">
        <v>327209.59523809527</v>
      </c>
      <c r="F102" s="361">
        <v>12590239.49245064</v>
      </c>
      <c r="G102" s="361">
        <v>12753844.290069688</v>
      </c>
      <c r="H102" s="360">
        <v>2203987.9280377463</v>
      </c>
      <c r="I102" s="359">
        <v>2203987.9280377463</v>
      </c>
      <c r="J102" s="158">
        <f t="shared" si="18"/>
        <v>0</v>
      </c>
      <c r="K102" s="158"/>
      <c r="L102" s="258">
        <f t="shared" si="19"/>
        <v>2203987.9280377463</v>
      </c>
      <c r="M102" s="257">
        <f t="shared" si="20"/>
        <v>0</v>
      </c>
      <c r="N102" s="258">
        <f t="shared" si="21"/>
        <v>2203987.9280377463</v>
      </c>
      <c r="O102" s="158">
        <f t="shared" si="22"/>
        <v>0</v>
      </c>
      <c r="P102" s="158">
        <f t="shared" si="23"/>
        <v>0</v>
      </c>
      <c r="Q102" s="1"/>
    </row>
    <row r="103" spans="1:17">
      <c r="B103" s="9" t="str">
        <f t="shared" si="24"/>
        <v/>
      </c>
      <c r="C103" s="153">
        <f>IF(D93="","-",+C102+1)</f>
        <v>2013</v>
      </c>
      <c r="D103" s="357">
        <v>12590239.49245064</v>
      </c>
      <c r="E103" s="360">
        <v>327209.59523809527</v>
      </c>
      <c r="F103" s="361">
        <v>12263029.897212544</v>
      </c>
      <c r="G103" s="361">
        <v>12426634.694831591</v>
      </c>
      <c r="H103" s="360">
        <v>2008430.1570795039</v>
      </c>
      <c r="I103" s="359">
        <v>2008430.1570795039</v>
      </c>
      <c r="J103" s="158">
        <v>0</v>
      </c>
      <c r="K103" s="158"/>
      <c r="L103" s="258">
        <f t="shared" si="19"/>
        <v>2008430.1570795039</v>
      </c>
      <c r="M103" s="257">
        <f>IF(L103&lt;&gt;0,+H103-L103,0)</f>
        <v>0</v>
      </c>
      <c r="N103" s="258">
        <f t="shared" si="21"/>
        <v>2008430.1570795039</v>
      </c>
      <c r="O103" s="158">
        <f>IF(N103&lt;&gt;0,+I103-N103,0)</f>
        <v>0</v>
      </c>
      <c r="P103" s="158">
        <f>+O103-M103</f>
        <v>0</v>
      </c>
      <c r="Q103" s="1"/>
    </row>
    <row r="104" spans="1:17">
      <c r="B104" s="9" t="str">
        <f t="shared" si="24"/>
        <v/>
      </c>
      <c r="C104" s="153">
        <f>IF(D93="","-",+C103+1)</f>
        <v>2014</v>
      </c>
      <c r="D104" s="357">
        <v>12263029.897212544</v>
      </c>
      <c r="E104" s="360">
        <v>327209.59523809527</v>
      </c>
      <c r="F104" s="361">
        <v>11935820.301974449</v>
      </c>
      <c r="G104" s="361">
        <v>12099425.099593498</v>
      </c>
      <c r="H104" s="360">
        <v>1971805.3159359931</v>
      </c>
      <c r="I104" s="359">
        <v>1971805.3159359931</v>
      </c>
      <c r="J104" s="158">
        <v>0</v>
      </c>
      <c r="K104" s="158"/>
      <c r="L104" s="258">
        <f t="shared" si="19"/>
        <v>1971805.3159359931</v>
      </c>
      <c r="M104" s="257">
        <f>IF(L104&lt;&gt;0,+H104-L104,0)</f>
        <v>0</v>
      </c>
      <c r="N104" s="258">
        <f t="shared" si="21"/>
        <v>1971805.3159359931</v>
      </c>
      <c r="O104" s="158">
        <f>IF(N104&lt;&gt;0,+I104-N104,0)</f>
        <v>0</v>
      </c>
      <c r="P104" s="158">
        <f>+O104-M104</f>
        <v>0</v>
      </c>
      <c r="Q104" s="1"/>
    </row>
    <row r="105" spans="1:17">
      <c r="B105" s="9" t="str">
        <f t="shared" si="24"/>
        <v>IU</v>
      </c>
      <c r="C105" s="153">
        <f>IF(D93="","-",+C104+1)</f>
        <v>2015</v>
      </c>
      <c r="D105" s="357">
        <v>11935821.301974449</v>
      </c>
      <c r="E105" s="360">
        <v>327209.61904761905</v>
      </c>
      <c r="F105" s="361">
        <v>11608611.68292683</v>
      </c>
      <c r="G105" s="361">
        <v>11772216.49245064</v>
      </c>
      <c r="H105" s="360">
        <v>1878421.3763593063</v>
      </c>
      <c r="I105" s="359">
        <v>1878421.3763593063</v>
      </c>
      <c r="J105" s="158">
        <f t="shared" si="18"/>
        <v>0</v>
      </c>
      <c r="K105" s="158"/>
      <c r="L105" s="258">
        <f>H105</f>
        <v>1878421.3763593063</v>
      </c>
      <c r="M105" s="257">
        <f>IF(L105&lt;&gt;0,+H105-L105,0)</f>
        <v>0</v>
      </c>
      <c r="N105" s="258">
        <f>I105</f>
        <v>1878421.3763593063</v>
      </c>
      <c r="O105" s="158">
        <f>IF(N105&lt;&gt;0,+I105-N105,0)</f>
        <v>0</v>
      </c>
      <c r="P105" s="158">
        <f>+O105-M105</f>
        <v>0</v>
      </c>
      <c r="Q105" s="1"/>
    </row>
    <row r="106" spans="1:17">
      <c r="B106" s="9" t="str">
        <f t="shared" si="24"/>
        <v/>
      </c>
      <c r="C106" s="153">
        <f>IF(D93="","-",+C105+1)</f>
        <v>2016</v>
      </c>
      <c r="D106" s="357">
        <v>11608611.68292683</v>
      </c>
      <c r="E106" s="360">
        <v>319600.09302325582</v>
      </c>
      <c r="F106" s="361">
        <v>11289011.589903574</v>
      </c>
      <c r="G106" s="361">
        <v>11448811.636415202</v>
      </c>
      <c r="H106" s="360">
        <v>1773026.5961818276</v>
      </c>
      <c r="I106" s="359">
        <v>1773026.5961818276</v>
      </c>
      <c r="J106" s="158">
        <v>0</v>
      </c>
      <c r="K106" s="158"/>
      <c r="L106" s="258">
        <f>H106</f>
        <v>1773026.5961818276</v>
      </c>
      <c r="M106" s="257">
        <f>IF(L106&lt;&gt;0,+H106-L106,0)</f>
        <v>0</v>
      </c>
      <c r="N106" s="258">
        <f>I106</f>
        <v>1773026.5961818276</v>
      </c>
      <c r="O106" s="158">
        <f>IF(N106&lt;&gt;0,+I106-N106,0)</f>
        <v>0</v>
      </c>
      <c r="P106" s="158">
        <f>+O106-M106</f>
        <v>0</v>
      </c>
      <c r="Q106" s="1"/>
    </row>
    <row r="107" spans="1:17">
      <c r="B107" s="9" t="str">
        <f t="shared" si="24"/>
        <v/>
      </c>
      <c r="C107" s="153">
        <f>IF(D93="","-",+C106+1)</f>
        <v>2017</v>
      </c>
      <c r="D107" s="154">
        <f>IF(F106+SUM(E$99:E106)=D$92,F106,D$92-SUM(E$99:E106))</f>
        <v>11289011.589903574</v>
      </c>
      <c r="E107" s="160">
        <f>IF(+J96&lt;F106,J96,D107)</f>
        <v>327209.61904761905</v>
      </c>
      <c r="F107" s="159">
        <f t="shared" ref="F107:F130" si="25">+D107-E107</f>
        <v>10961801.970855955</v>
      </c>
      <c r="G107" s="159">
        <f t="shared" ref="G107:G130" si="26">+(F107+D107)/2</f>
        <v>11125406.780379765</v>
      </c>
      <c r="H107" s="163">
        <f t="shared" ref="H107:H112" si="27">+J$94*G107+E107</f>
        <v>1678628.9979876066</v>
      </c>
      <c r="I107" s="253">
        <f t="shared" ref="I107:I112" si="28">+J$95*G107+E107</f>
        <v>1678628.9979876066</v>
      </c>
      <c r="J107" s="158">
        <f t="shared" si="18"/>
        <v>0</v>
      </c>
      <c r="K107" s="158"/>
      <c r="L107" s="334"/>
      <c r="M107" s="158">
        <f t="shared" si="20"/>
        <v>0</v>
      </c>
      <c r="N107" s="334"/>
      <c r="O107" s="158">
        <f t="shared" si="22"/>
        <v>0</v>
      </c>
      <c r="P107" s="158">
        <f t="shared" si="23"/>
        <v>0</v>
      </c>
      <c r="Q107" s="1"/>
    </row>
    <row r="108" spans="1:17">
      <c r="B108" s="9" t="str">
        <f t="shared" si="24"/>
        <v/>
      </c>
      <c r="C108" s="153">
        <f>IF(D93="","-",+C107+1)</f>
        <v>2018</v>
      </c>
      <c r="D108" s="154">
        <f>IF(F107+SUM(E$99:E107)=D$92,F107,D$92-SUM(E$99:E107))</f>
        <v>10961801.970855955</v>
      </c>
      <c r="E108" s="160">
        <f>IF(+J96&lt;F107,J96,D108)</f>
        <v>327209.61904761905</v>
      </c>
      <c r="F108" s="159">
        <f t="shared" si="25"/>
        <v>10634592.351808336</v>
      </c>
      <c r="G108" s="159">
        <f t="shared" si="26"/>
        <v>10798197.161332145</v>
      </c>
      <c r="H108" s="163">
        <f t="shared" si="27"/>
        <v>1638882.3685936718</v>
      </c>
      <c r="I108" s="253">
        <f t="shared" si="28"/>
        <v>1638882.3685936718</v>
      </c>
      <c r="J108" s="158">
        <f t="shared" si="18"/>
        <v>0</v>
      </c>
      <c r="K108" s="158"/>
      <c r="L108" s="334"/>
      <c r="M108" s="158">
        <f t="shared" si="20"/>
        <v>0</v>
      </c>
      <c r="N108" s="334"/>
      <c r="O108" s="158">
        <f t="shared" si="22"/>
        <v>0</v>
      </c>
      <c r="P108" s="158">
        <f t="shared" si="23"/>
        <v>0</v>
      </c>
      <c r="Q108" s="1"/>
    </row>
    <row r="109" spans="1:17">
      <c r="B109" s="9" t="str">
        <f t="shared" si="24"/>
        <v/>
      </c>
      <c r="C109" s="153">
        <f>IF(D93="","-",+C108+1)</f>
        <v>2019</v>
      </c>
      <c r="D109" s="154">
        <f>IF(F108+SUM(E$99:E108)=D$92,F108,D$92-SUM(E$99:E108))</f>
        <v>10634592.351808336</v>
      </c>
      <c r="E109" s="160">
        <f>IF(+J96&lt;F108,J96,D109)</f>
        <v>327209.61904761905</v>
      </c>
      <c r="F109" s="159">
        <f t="shared" si="25"/>
        <v>10307382.732760716</v>
      </c>
      <c r="G109" s="159">
        <f t="shared" si="26"/>
        <v>10470987.542284526</v>
      </c>
      <c r="H109" s="163">
        <f t="shared" si="27"/>
        <v>1599135.7391997371</v>
      </c>
      <c r="I109" s="253">
        <f t="shared" si="28"/>
        <v>1599135.7391997371</v>
      </c>
      <c r="J109" s="158">
        <f t="shared" si="18"/>
        <v>0</v>
      </c>
      <c r="K109" s="158"/>
      <c r="L109" s="334"/>
      <c r="M109" s="158">
        <f t="shared" si="20"/>
        <v>0</v>
      </c>
      <c r="N109" s="334"/>
      <c r="O109" s="158">
        <f t="shared" si="22"/>
        <v>0</v>
      </c>
      <c r="P109" s="158">
        <f t="shared" si="23"/>
        <v>0</v>
      </c>
      <c r="Q109" s="1"/>
    </row>
    <row r="110" spans="1:17">
      <c r="B110" s="9" t="str">
        <f t="shared" si="24"/>
        <v/>
      </c>
      <c r="C110" s="153">
        <f>IF(D93="","-",+C109+1)</f>
        <v>2020</v>
      </c>
      <c r="D110" s="154">
        <f>IF(F109+SUM(E$99:E109)=D$92,F109,D$92-SUM(E$99:E109))</f>
        <v>10307382.732760716</v>
      </c>
      <c r="E110" s="160">
        <f>IF(+J96&lt;F109,J96,D110)</f>
        <v>327209.61904761905</v>
      </c>
      <c r="F110" s="159">
        <f t="shared" si="25"/>
        <v>9980173.1137130968</v>
      </c>
      <c r="G110" s="159">
        <f t="shared" si="26"/>
        <v>10143777.923236907</v>
      </c>
      <c r="H110" s="163">
        <f t="shared" si="27"/>
        <v>1559389.1098058023</v>
      </c>
      <c r="I110" s="253">
        <f t="shared" si="28"/>
        <v>1559389.1098058023</v>
      </c>
      <c r="J110" s="158">
        <f t="shared" si="18"/>
        <v>0</v>
      </c>
      <c r="K110" s="158"/>
      <c r="L110" s="334"/>
      <c r="M110" s="158">
        <f t="shared" si="20"/>
        <v>0</v>
      </c>
      <c r="N110" s="334"/>
      <c r="O110" s="158">
        <f t="shared" si="22"/>
        <v>0</v>
      </c>
      <c r="P110" s="158">
        <f t="shared" si="23"/>
        <v>0</v>
      </c>
      <c r="Q110" s="1"/>
    </row>
    <row r="111" spans="1:17">
      <c r="B111" s="9" t="str">
        <f t="shared" si="24"/>
        <v/>
      </c>
      <c r="C111" s="153">
        <f>IF(D93="","-",+C110+1)</f>
        <v>2021</v>
      </c>
      <c r="D111" s="154">
        <f>IF(F110+SUM(E$99:E110)=D$92,F110,D$92-SUM(E$99:E110))</f>
        <v>9980173.1137130968</v>
      </c>
      <c r="E111" s="160">
        <f>IF(+J96&lt;F110,J96,D111)</f>
        <v>327209.61904761905</v>
      </c>
      <c r="F111" s="159">
        <f t="shared" si="25"/>
        <v>9652963.4946654774</v>
      </c>
      <c r="G111" s="159">
        <f t="shared" si="26"/>
        <v>9816568.3041892871</v>
      </c>
      <c r="H111" s="163">
        <f t="shared" si="27"/>
        <v>1519642.4804118676</v>
      </c>
      <c r="I111" s="253">
        <f t="shared" si="28"/>
        <v>1519642.4804118676</v>
      </c>
      <c r="J111" s="158">
        <f t="shared" si="18"/>
        <v>0</v>
      </c>
      <c r="K111" s="158"/>
      <c r="L111" s="334"/>
      <c r="M111" s="158">
        <f t="shared" si="20"/>
        <v>0</v>
      </c>
      <c r="N111" s="334"/>
      <c r="O111" s="158">
        <f t="shared" si="22"/>
        <v>0</v>
      </c>
      <c r="P111" s="158">
        <f t="shared" si="23"/>
        <v>0</v>
      </c>
      <c r="Q111" s="1"/>
    </row>
    <row r="112" spans="1:17">
      <c r="B112" s="9" t="str">
        <f t="shared" si="24"/>
        <v/>
      </c>
      <c r="C112" s="153">
        <f>IF(D93="","-",+C111+1)</f>
        <v>2022</v>
      </c>
      <c r="D112" s="154">
        <f>IF(F111+SUM(E$99:E111)=D$92,F111,D$92-SUM(E$99:E111))</f>
        <v>9652963.4946654774</v>
      </c>
      <c r="E112" s="160">
        <f>IF(+J96&lt;F111,J96,D112)</f>
        <v>327209.61904761905</v>
      </c>
      <c r="F112" s="159">
        <f t="shared" si="25"/>
        <v>9325753.875617858</v>
      </c>
      <c r="G112" s="159">
        <f t="shared" si="26"/>
        <v>9489358.6851416677</v>
      </c>
      <c r="H112" s="163">
        <f t="shared" si="27"/>
        <v>1479895.8510179329</v>
      </c>
      <c r="I112" s="253">
        <f t="shared" si="28"/>
        <v>1479895.8510179329</v>
      </c>
      <c r="J112" s="158">
        <f t="shared" si="18"/>
        <v>0</v>
      </c>
      <c r="K112" s="158"/>
      <c r="L112" s="334"/>
      <c r="M112" s="158">
        <f t="shared" si="20"/>
        <v>0</v>
      </c>
      <c r="N112" s="334"/>
      <c r="O112" s="158">
        <f t="shared" si="22"/>
        <v>0</v>
      </c>
      <c r="P112" s="158">
        <f t="shared" si="23"/>
        <v>0</v>
      </c>
      <c r="Q112" s="1"/>
    </row>
    <row r="113" spans="2:17">
      <c r="B113" s="9" t="str">
        <f t="shared" si="24"/>
        <v/>
      </c>
      <c r="C113" s="153">
        <f>IF(D93="","-",+C112+1)</f>
        <v>2023</v>
      </c>
      <c r="D113" s="154">
        <f>IF(F112+SUM(E$99:E112)=D$92,F112,D$92-SUM(E$99:E112))</f>
        <v>9325753.875617858</v>
      </c>
      <c r="E113" s="160">
        <f>IF(+J96&lt;F112,J96,D113)</f>
        <v>327209.61904761905</v>
      </c>
      <c r="F113" s="159">
        <f t="shared" si="25"/>
        <v>8998544.2565702386</v>
      </c>
      <c r="G113" s="159">
        <f t="shared" si="26"/>
        <v>9162149.0660940483</v>
      </c>
      <c r="H113" s="163">
        <f t="shared" ref="H113:H154" si="29">+J$94*G113+E113</f>
        <v>1440149.2216239981</v>
      </c>
      <c r="I113" s="253">
        <f t="shared" ref="I113:I154" si="30">+J$95*G113+E113</f>
        <v>1440149.2216239981</v>
      </c>
      <c r="J113" s="158">
        <f t="shared" si="18"/>
        <v>0</v>
      </c>
      <c r="K113" s="158"/>
      <c r="L113" s="334"/>
      <c r="M113" s="158">
        <f t="shared" si="20"/>
        <v>0</v>
      </c>
      <c r="N113" s="334"/>
      <c r="O113" s="158">
        <f t="shared" si="22"/>
        <v>0</v>
      </c>
      <c r="P113" s="158">
        <f t="shared" si="23"/>
        <v>0</v>
      </c>
      <c r="Q113" s="1"/>
    </row>
    <row r="114" spans="2:17">
      <c r="B114" s="9" t="str">
        <f t="shared" si="24"/>
        <v/>
      </c>
      <c r="C114" s="153">
        <f>IF(D93="","-",+C113+1)</f>
        <v>2024</v>
      </c>
      <c r="D114" s="154">
        <f>IF(F113+SUM(E$99:E113)=D$92,F113,D$92-SUM(E$99:E113))</f>
        <v>8998544.2565702386</v>
      </c>
      <c r="E114" s="160">
        <f>IF(+J96&lt;F113,J96,D114)</f>
        <v>327209.61904761905</v>
      </c>
      <c r="F114" s="159">
        <f t="shared" si="25"/>
        <v>8671334.6375226192</v>
      </c>
      <c r="G114" s="159">
        <f t="shared" si="26"/>
        <v>8834939.4470464289</v>
      </c>
      <c r="H114" s="163">
        <f t="shared" si="29"/>
        <v>1400402.5922300634</v>
      </c>
      <c r="I114" s="253">
        <f t="shared" si="30"/>
        <v>1400402.5922300634</v>
      </c>
      <c r="J114" s="158">
        <f t="shared" si="18"/>
        <v>0</v>
      </c>
      <c r="K114" s="158"/>
      <c r="L114" s="334"/>
      <c r="M114" s="158">
        <f t="shared" si="20"/>
        <v>0</v>
      </c>
      <c r="N114" s="334"/>
      <c r="O114" s="158">
        <f t="shared" si="22"/>
        <v>0</v>
      </c>
      <c r="P114" s="158">
        <f t="shared" si="23"/>
        <v>0</v>
      </c>
      <c r="Q114" s="1"/>
    </row>
    <row r="115" spans="2:17">
      <c r="B115" s="9" t="str">
        <f t="shared" si="24"/>
        <v/>
      </c>
      <c r="C115" s="153">
        <f>IF(D93="","-",+C114+1)</f>
        <v>2025</v>
      </c>
      <c r="D115" s="154">
        <f>IF(F114+SUM(E$99:E114)=D$92,F114,D$92-SUM(E$99:E114))</f>
        <v>8671334.6375226192</v>
      </c>
      <c r="E115" s="160">
        <f>IF(+J96&lt;F114,J96,D115)</f>
        <v>327209.61904761905</v>
      </c>
      <c r="F115" s="159">
        <f t="shared" si="25"/>
        <v>8344125.0184749998</v>
      </c>
      <c r="G115" s="159">
        <f t="shared" si="26"/>
        <v>8507729.8279988095</v>
      </c>
      <c r="H115" s="163">
        <f t="shared" si="29"/>
        <v>1360655.9628361284</v>
      </c>
      <c r="I115" s="253">
        <f t="shared" si="30"/>
        <v>1360655.9628361284</v>
      </c>
      <c r="J115" s="158">
        <f t="shared" si="18"/>
        <v>0</v>
      </c>
      <c r="K115" s="158"/>
      <c r="L115" s="334"/>
      <c r="M115" s="158">
        <f t="shared" si="20"/>
        <v>0</v>
      </c>
      <c r="N115" s="334"/>
      <c r="O115" s="158">
        <f t="shared" si="22"/>
        <v>0</v>
      </c>
      <c r="P115" s="158">
        <f t="shared" si="23"/>
        <v>0</v>
      </c>
      <c r="Q115" s="1"/>
    </row>
    <row r="116" spans="2:17">
      <c r="B116" s="9" t="str">
        <f t="shared" si="24"/>
        <v/>
      </c>
      <c r="C116" s="153">
        <f>IF(D93="","-",+C115+1)</f>
        <v>2026</v>
      </c>
      <c r="D116" s="154">
        <f>IF(F115+SUM(E$99:E115)=D$92,F115,D$92-SUM(E$99:E115))</f>
        <v>8344125.0184749998</v>
      </c>
      <c r="E116" s="160">
        <f>IF(+J96&lt;F115,J96,D116)</f>
        <v>327209.61904761905</v>
      </c>
      <c r="F116" s="159">
        <f t="shared" si="25"/>
        <v>8016915.3994273804</v>
      </c>
      <c r="G116" s="159">
        <f t="shared" si="26"/>
        <v>8180520.2089511901</v>
      </c>
      <c r="H116" s="163">
        <f t="shared" si="29"/>
        <v>1320909.3334421935</v>
      </c>
      <c r="I116" s="253">
        <f t="shared" si="30"/>
        <v>1320909.3334421935</v>
      </c>
      <c r="J116" s="158">
        <f t="shared" si="18"/>
        <v>0</v>
      </c>
      <c r="K116" s="158"/>
      <c r="L116" s="334"/>
      <c r="M116" s="158">
        <f t="shared" si="20"/>
        <v>0</v>
      </c>
      <c r="N116" s="334"/>
      <c r="O116" s="158">
        <f t="shared" si="22"/>
        <v>0</v>
      </c>
      <c r="P116" s="158">
        <f t="shared" si="23"/>
        <v>0</v>
      </c>
      <c r="Q116" s="1"/>
    </row>
    <row r="117" spans="2:17">
      <c r="B117" s="9" t="str">
        <f t="shared" si="24"/>
        <v/>
      </c>
      <c r="C117" s="153">
        <f>IF(D93="","-",+C116+1)</f>
        <v>2027</v>
      </c>
      <c r="D117" s="154">
        <f>IF(F116+SUM(E$99:E116)=D$92,F116,D$92-SUM(E$99:E116))</f>
        <v>8016915.3994273804</v>
      </c>
      <c r="E117" s="160">
        <f>IF(+J96&lt;F116,J96,D117)</f>
        <v>327209.61904761905</v>
      </c>
      <c r="F117" s="159">
        <f t="shared" si="25"/>
        <v>7689705.780379761</v>
      </c>
      <c r="G117" s="159">
        <f t="shared" si="26"/>
        <v>7853310.5899035707</v>
      </c>
      <c r="H117" s="163">
        <f t="shared" si="29"/>
        <v>1281162.7040482587</v>
      </c>
      <c r="I117" s="253">
        <f t="shared" si="30"/>
        <v>1281162.7040482587</v>
      </c>
      <c r="J117" s="158">
        <f t="shared" si="18"/>
        <v>0</v>
      </c>
      <c r="K117" s="158"/>
      <c r="L117" s="334"/>
      <c r="M117" s="158">
        <f t="shared" si="20"/>
        <v>0</v>
      </c>
      <c r="N117" s="334"/>
      <c r="O117" s="158">
        <f t="shared" si="22"/>
        <v>0</v>
      </c>
      <c r="P117" s="158">
        <f t="shared" si="23"/>
        <v>0</v>
      </c>
      <c r="Q117" s="1"/>
    </row>
    <row r="118" spans="2:17">
      <c r="B118" s="9" t="str">
        <f t="shared" si="24"/>
        <v/>
      </c>
      <c r="C118" s="153">
        <f>IF(D93="","-",+C117+1)</f>
        <v>2028</v>
      </c>
      <c r="D118" s="154">
        <f>IF(F117+SUM(E$99:E117)=D$92,F117,D$92-SUM(E$99:E117))</f>
        <v>7689705.780379761</v>
      </c>
      <c r="E118" s="160">
        <f>IF(+J96&lt;F117,J96,D118)</f>
        <v>327209.61904761905</v>
      </c>
      <c r="F118" s="159">
        <f t="shared" si="25"/>
        <v>7362496.1613321416</v>
      </c>
      <c r="G118" s="159">
        <f t="shared" si="26"/>
        <v>7526100.9708559513</v>
      </c>
      <c r="H118" s="163">
        <f t="shared" si="29"/>
        <v>1241416.074654324</v>
      </c>
      <c r="I118" s="253">
        <f t="shared" si="30"/>
        <v>1241416.074654324</v>
      </c>
      <c r="J118" s="158">
        <f t="shared" si="18"/>
        <v>0</v>
      </c>
      <c r="K118" s="158"/>
      <c r="L118" s="334"/>
      <c r="M118" s="158">
        <f t="shared" si="20"/>
        <v>0</v>
      </c>
      <c r="N118" s="334"/>
      <c r="O118" s="158">
        <f t="shared" si="22"/>
        <v>0</v>
      </c>
      <c r="P118" s="158">
        <f t="shared" si="23"/>
        <v>0</v>
      </c>
      <c r="Q118" s="1"/>
    </row>
    <row r="119" spans="2:17">
      <c r="B119" s="9" t="str">
        <f t="shared" si="24"/>
        <v/>
      </c>
      <c r="C119" s="153">
        <f>IF(D93="","-",+C118+1)</f>
        <v>2029</v>
      </c>
      <c r="D119" s="154">
        <f>IF(F118+SUM(E$99:E118)=D$92,F118,D$92-SUM(E$99:E118))</f>
        <v>7362496.1613321416</v>
      </c>
      <c r="E119" s="160">
        <f>IF(+J96&lt;F118,J96,D119)</f>
        <v>327209.61904761905</v>
      </c>
      <c r="F119" s="159">
        <f t="shared" si="25"/>
        <v>7035286.5422845222</v>
      </c>
      <c r="G119" s="159">
        <f t="shared" si="26"/>
        <v>7198891.3518083319</v>
      </c>
      <c r="H119" s="163">
        <f t="shared" si="29"/>
        <v>1201669.4452603892</v>
      </c>
      <c r="I119" s="253">
        <f t="shared" si="30"/>
        <v>1201669.4452603892</v>
      </c>
      <c r="J119" s="158">
        <f t="shared" si="18"/>
        <v>0</v>
      </c>
      <c r="K119" s="158"/>
      <c r="L119" s="334"/>
      <c r="M119" s="158">
        <f t="shared" si="20"/>
        <v>0</v>
      </c>
      <c r="N119" s="334"/>
      <c r="O119" s="158">
        <f t="shared" si="22"/>
        <v>0</v>
      </c>
      <c r="P119" s="158">
        <f t="shared" si="23"/>
        <v>0</v>
      </c>
      <c r="Q119" s="1"/>
    </row>
    <row r="120" spans="2:17">
      <c r="B120" s="9" t="str">
        <f t="shared" si="24"/>
        <v/>
      </c>
      <c r="C120" s="153">
        <f>IF(D93="","-",+C119+1)</f>
        <v>2030</v>
      </c>
      <c r="D120" s="154">
        <f>IF(F119+SUM(E$99:E119)=D$92,F119,D$92-SUM(E$99:E119))</f>
        <v>7035286.5422845222</v>
      </c>
      <c r="E120" s="160">
        <f>IF(+J96&lt;F119,J96,D120)</f>
        <v>327209.61904761905</v>
      </c>
      <c r="F120" s="159">
        <f t="shared" si="25"/>
        <v>6708076.9232369028</v>
      </c>
      <c r="G120" s="159">
        <f t="shared" si="26"/>
        <v>6871681.7327607125</v>
      </c>
      <c r="H120" s="163">
        <f t="shared" si="29"/>
        <v>1161922.8158664545</v>
      </c>
      <c r="I120" s="253">
        <f t="shared" si="30"/>
        <v>1161922.8158664545</v>
      </c>
      <c r="J120" s="158">
        <f t="shared" si="18"/>
        <v>0</v>
      </c>
      <c r="K120" s="158"/>
      <c r="L120" s="334"/>
      <c r="M120" s="158">
        <f t="shared" si="20"/>
        <v>0</v>
      </c>
      <c r="N120" s="334"/>
      <c r="O120" s="158">
        <f t="shared" si="22"/>
        <v>0</v>
      </c>
      <c r="P120" s="158">
        <f t="shared" si="23"/>
        <v>0</v>
      </c>
      <c r="Q120" s="1"/>
    </row>
    <row r="121" spans="2:17">
      <c r="B121" s="9" t="str">
        <f t="shared" si="24"/>
        <v/>
      </c>
      <c r="C121" s="153">
        <f>IF(D93="","-",+C120+1)</f>
        <v>2031</v>
      </c>
      <c r="D121" s="154">
        <f>IF(F120+SUM(E$99:E120)=D$92,F120,D$92-SUM(E$99:E120))</f>
        <v>6708076.9232369028</v>
      </c>
      <c r="E121" s="160">
        <f>IF(+J96&lt;F120,J96,D121)</f>
        <v>327209.61904761905</v>
      </c>
      <c r="F121" s="159">
        <f t="shared" si="25"/>
        <v>6380867.3041892834</v>
      </c>
      <c r="G121" s="159">
        <f t="shared" si="26"/>
        <v>6544472.1137130931</v>
      </c>
      <c r="H121" s="163">
        <f t="shared" si="29"/>
        <v>1122176.1864725198</v>
      </c>
      <c r="I121" s="253">
        <f t="shared" si="30"/>
        <v>1122176.1864725198</v>
      </c>
      <c r="J121" s="158">
        <f t="shared" si="18"/>
        <v>0</v>
      </c>
      <c r="K121" s="158"/>
      <c r="L121" s="334"/>
      <c r="M121" s="158">
        <f t="shared" si="20"/>
        <v>0</v>
      </c>
      <c r="N121" s="334"/>
      <c r="O121" s="158">
        <f t="shared" si="22"/>
        <v>0</v>
      </c>
      <c r="P121" s="158">
        <f t="shared" si="23"/>
        <v>0</v>
      </c>
      <c r="Q121" s="1"/>
    </row>
    <row r="122" spans="2:17">
      <c r="B122" s="9" t="str">
        <f t="shared" si="24"/>
        <v/>
      </c>
      <c r="C122" s="153">
        <f>IF(D93="","-",+C121+1)</f>
        <v>2032</v>
      </c>
      <c r="D122" s="154">
        <f>IF(F121+SUM(E$99:E121)=D$92,F121,D$92-SUM(E$99:E121))</f>
        <v>6380867.3041892834</v>
      </c>
      <c r="E122" s="160">
        <f>IF(+J96&lt;F121,J96,D122)</f>
        <v>327209.61904761905</v>
      </c>
      <c r="F122" s="159">
        <f t="shared" si="25"/>
        <v>6053657.685141664</v>
      </c>
      <c r="G122" s="159">
        <f t="shared" si="26"/>
        <v>6217262.4946654737</v>
      </c>
      <c r="H122" s="163">
        <f t="shared" si="29"/>
        <v>1082429.557078585</v>
      </c>
      <c r="I122" s="253">
        <f t="shared" si="30"/>
        <v>1082429.557078585</v>
      </c>
      <c r="J122" s="158">
        <f t="shared" si="18"/>
        <v>0</v>
      </c>
      <c r="K122" s="158"/>
      <c r="L122" s="334"/>
      <c r="M122" s="158">
        <f t="shared" si="20"/>
        <v>0</v>
      </c>
      <c r="N122" s="334"/>
      <c r="O122" s="158">
        <f t="shared" si="22"/>
        <v>0</v>
      </c>
      <c r="P122" s="158">
        <f t="shared" si="23"/>
        <v>0</v>
      </c>
      <c r="Q122" s="1"/>
    </row>
    <row r="123" spans="2:17">
      <c r="B123" s="9" t="str">
        <f t="shared" si="24"/>
        <v/>
      </c>
      <c r="C123" s="153">
        <f>IF(D93="","-",+C122+1)</f>
        <v>2033</v>
      </c>
      <c r="D123" s="154">
        <f>IF(F122+SUM(E$99:E122)=D$92,F122,D$92-SUM(E$99:E122))</f>
        <v>6053657.685141664</v>
      </c>
      <c r="E123" s="160">
        <f>IF(+J96&lt;F122,J96,D123)</f>
        <v>327209.61904761905</v>
      </c>
      <c r="F123" s="159">
        <f t="shared" si="25"/>
        <v>5726448.0660940446</v>
      </c>
      <c r="G123" s="159">
        <f t="shared" si="26"/>
        <v>5890052.8756178543</v>
      </c>
      <c r="H123" s="163">
        <f t="shared" si="29"/>
        <v>1042682.9276846501</v>
      </c>
      <c r="I123" s="253">
        <f t="shared" si="30"/>
        <v>1042682.9276846501</v>
      </c>
      <c r="J123" s="158">
        <f t="shared" si="18"/>
        <v>0</v>
      </c>
      <c r="K123" s="158"/>
      <c r="L123" s="334"/>
      <c r="M123" s="158">
        <f t="shared" si="20"/>
        <v>0</v>
      </c>
      <c r="N123" s="334"/>
      <c r="O123" s="158">
        <f t="shared" si="22"/>
        <v>0</v>
      </c>
      <c r="P123" s="158">
        <f t="shared" si="23"/>
        <v>0</v>
      </c>
      <c r="Q123" s="1"/>
    </row>
    <row r="124" spans="2:17">
      <c r="B124" s="9" t="str">
        <f t="shared" si="24"/>
        <v/>
      </c>
      <c r="C124" s="153">
        <f>IF(D93="","-",+C123+1)</f>
        <v>2034</v>
      </c>
      <c r="D124" s="154">
        <f>IF(F123+SUM(E$99:E123)=D$92,F123,D$92-SUM(E$99:E123))</f>
        <v>5726448.0660940446</v>
      </c>
      <c r="E124" s="160">
        <f>IF(+J96&lt;F123,J96,D124)</f>
        <v>327209.61904761905</v>
      </c>
      <c r="F124" s="159">
        <f t="shared" si="25"/>
        <v>5399238.4470464252</v>
      </c>
      <c r="G124" s="159">
        <f t="shared" si="26"/>
        <v>5562843.2565702349</v>
      </c>
      <c r="H124" s="163">
        <f t="shared" si="29"/>
        <v>1002936.2982907153</v>
      </c>
      <c r="I124" s="253">
        <f t="shared" si="30"/>
        <v>1002936.2982907153</v>
      </c>
      <c r="J124" s="158">
        <f t="shared" si="18"/>
        <v>0</v>
      </c>
      <c r="K124" s="158"/>
      <c r="L124" s="334"/>
      <c r="M124" s="158">
        <f t="shared" si="20"/>
        <v>0</v>
      </c>
      <c r="N124" s="334"/>
      <c r="O124" s="158">
        <f t="shared" si="22"/>
        <v>0</v>
      </c>
      <c r="P124" s="158">
        <f t="shared" si="23"/>
        <v>0</v>
      </c>
      <c r="Q124" s="1"/>
    </row>
    <row r="125" spans="2:17">
      <c r="B125" s="9" t="str">
        <f t="shared" si="24"/>
        <v/>
      </c>
      <c r="C125" s="153">
        <f>IF(D93="","-",+C124+1)</f>
        <v>2035</v>
      </c>
      <c r="D125" s="154">
        <f>IF(F124+SUM(E$99:E124)=D$92,F124,D$92-SUM(E$99:E124))</f>
        <v>5399238.4470464252</v>
      </c>
      <c r="E125" s="160">
        <f>IF(+J96&lt;F124,J96,D125)</f>
        <v>327209.61904761905</v>
      </c>
      <c r="F125" s="159">
        <f t="shared" si="25"/>
        <v>5072028.8279988058</v>
      </c>
      <c r="G125" s="159">
        <f t="shared" si="26"/>
        <v>5235633.6375226155</v>
      </c>
      <c r="H125" s="163">
        <f t="shared" si="29"/>
        <v>963189.66889678047</v>
      </c>
      <c r="I125" s="253">
        <f t="shared" si="30"/>
        <v>963189.66889678047</v>
      </c>
      <c r="J125" s="158">
        <f t="shared" si="18"/>
        <v>0</v>
      </c>
      <c r="K125" s="158"/>
      <c r="L125" s="334"/>
      <c r="M125" s="158">
        <f t="shared" si="20"/>
        <v>0</v>
      </c>
      <c r="N125" s="334"/>
      <c r="O125" s="158">
        <f t="shared" si="22"/>
        <v>0</v>
      </c>
      <c r="P125" s="158">
        <f t="shared" si="23"/>
        <v>0</v>
      </c>
      <c r="Q125" s="1"/>
    </row>
    <row r="126" spans="2:17">
      <c r="B126" s="9" t="str">
        <f t="shared" si="24"/>
        <v/>
      </c>
      <c r="C126" s="153">
        <f>IF(D93="","-",+C125+1)</f>
        <v>2036</v>
      </c>
      <c r="D126" s="154">
        <f>IF(F125+SUM(E$99:E125)=D$92,F125,D$92-SUM(E$99:E125))</f>
        <v>5072028.8279988058</v>
      </c>
      <c r="E126" s="160">
        <f>IF(+J96&lt;F125,J96,D126)</f>
        <v>327209.61904761905</v>
      </c>
      <c r="F126" s="159">
        <f t="shared" si="25"/>
        <v>4744819.2089511864</v>
      </c>
      <c r="G126" s="159">
        <f t="shared" si="26"/>
        <v>4908424.0184749961</v>
      </c>
      <c r="H126" s="163">
        <f t="shared" si="29"/>
        <v>923443.03950284573</v>
      </c>
      <c r="I126" s="253">
        <f t="shared" si="30"/>
        <v>923443.03950284573</v>
      </c>
      <c r="J126" s="158">
        <f t="shared" si="18"/>
        <v>0</v>
      </c>
      <c r="K126" s="158"/>
      <c r="L126" s="334"/>
      <c r="M126" s="158">
        <f t="shared" si="20"/>
        <v>0</v>
      </c>
      <c r="N126" s="334"/>
      <c r="O126" s="158">
        <f t="shared" si="22"/>
        <v>0</v>
      </c>
      <c r="P126" s="158">
        <f t="shared" si="23"/>
        <v>0</v>
      </c>
      <c r="Q126" s="1"/>
    </row>
    <row r="127" spans="2:17">
      <c r="B127" s="9" t="str">
        <f t="shared" si="24"/>
        <v/>
      </c>
      <c r="C127" s="153">
        <f>IF(D93="","-",+C126+1)</f>
        <v>2037</v>
      </c>
      <c r="D127" s="154">
        <f>IF(F126+SUM(E$99:E126)=D$92,F126,D$92-SUM(E$99:E126))</f>
        <v>4744819.2089511864</v>
      </c>
      <c r="E127" s="160">
        <f>IF(+J96&lt;F126,J96,D127)</f>
        <v>327209.61904761905</v>
      </c>
      <c r="F127" s="159">
        <f t="shared" si="25"/>
        <v>4417609.589903567</v>
      </c>
      <c r="G127" s="159">
        <f t="shared" si="26"/>
        <v>4581214.3994273767</v>
      </c>
      <c r="H127" s="163">
        <f t="shared" si="29"/>
        <v>883696.41010891087</v>
      </c>
      <c r="I127" s="253">
        <f t="shared" si="30"/>
        <v>883696.41010891087</v>
      </c>
      <c r="J127" s="158">
        <f t="shared" si="18"/>
        <v>0</v>
      </c>
      <c r="K127" s="158"/>
      <c r="L127" s="334"/>
      <c r="M127" s="158">
        <f t="shared" si="20"/>
        <v>0</v>
      </c>
      <c r="N127" s="334"/>
      <c r="O127" s="158">
        <f t="shared" si="22"/>
        <v>0</v>
      </c>
      <c r="P127" s="158">
        <f t="shared" si="23"/>
        <v>0</v>
      </c>
      <c r="Q127" s="1"/>
    </row>
    <row r="128" spans="2:17">
      <c r="B128" s="9" t="str">
        <f t="shared" si="24"/>
        <v/>
      </c>
      <c r="C128" s="153">
        <f>IF(D93="","-",+C127+1)</f>
        <v>2038</v>
      </c>
      <c r="D128" s="154">
        <f>IF(F127+SUM(E$99:E127)=D$92,F127,D$92-SUM(E$99:E127))</f>
        <v>4417609.589903567</v>
      </c>
      <c r="E128" s="160">
        <f>IF(+J96&lt;F127,J96,D128)</f>
        <v>327209.61904761905</v>
      </c>
      <c r="F128" s="159">
        <f t="shared" si="25"/>
        <v>4090399.970855948</v>
      </c>
      <c r="G128" s="159">
        <f t="shared" si="26"/>
        <v>4254004.7803797573</v>
      </c>
      <c r="H128" s="163">
        <f t="shared" si="29"/>
        <v>843949.78071497614</v>
      </c>
      <c r="I128" s="253">
        <f t="shared" si="30"/>
        <v>843949.78071497614</v>
      </c>
      <c r="J128" s="158">
        <f t="shared" si="18"/>
        <v>0</v>
      </c>
      <c r="K128" s="158"/>
      <c r="L128" s="334"/>
      <c r="M128" s="158">
        <f t="shared" si="20"/>
        <v>0</v>
      </c>
      <c r="N128" s="334"/>
      <c r="O128" s="158">
        <f t="shared" si="22"/>
        <v>0</v>
      </c>
      <c r="P128" s="158">
        <f t="shared" si="23"/>
        <v>0</v>
      </c>
      <c r="Q128" s="1"/>
    </row>
    <row r="129" spans="2:17">
      <c r="B129" s="9" t="str">
        <f t="shared" si="24"/>
        <v/>
      </c>
      <c r="C129" s="153">
        <f>IF(D93="","-",+C128+1)</f>
        <v>2039</v>
      </c>
      <c r="D129" s="154">
        <f>IF(F128+SUM(E$99:E128)=D$92,F128,D$92-SUM(E$99:E128))</f>
        <v>4090399.970855948</v>
      </c>
      <c r="E129" s="160">
        <f>IF(+J96&lt;F128,J96,D129)</f>
        <v>327209.61904761905</v>
      </c>
      <c r="F129" s="159">
        <f t="shared" si="25"/>
        <v>3763190.3518083291</v>
      </c>
      <c r="G129" s="159">
        <f t="shared" si="26"/>
        <v>3926795.1613321388</v>
      </c>
      <c r="H129" s="163">
        <f t="shared" si="29"/>
        <v>804203.1513210414</v>
      </c>
      <c r="I129" s="253">
        <f t="shared" si="30"/>
        <v>804203.1513210414</v>
      </c>
      <c r="J129" s="158">
        <f t="shared" si="18"/>
        <v>0</v>
      </c>
      <c r="K129" s="158"/>
      <c r="L129" s="334"/>
      <c r="M129" s="158">
        <f t="shared" si="20"/>
        <v>0</v>
      </c>
      <c r="N129" s="334"/>
      <c r="O129" s="158">
        <f t="shared" si="22"/>
        <v>0</v>
      </c>
      <c r="P129" s="158">
        <f t="shared" si="23"/>
        <v>0</v>
      </c>
      <c r="Q129" s="1"/>
    </row>
    <row r="130" spans="2:17">
      <c r="B130" s="9" t="str">
        <f t="shared" si="24"/>
        <v/>
      </c>
      <c r="C130" s="153">
        <f>IF(D93="","-",+C129+1)</f>
        <v>2040</v>
      </c>
      <c r="D130" s="154">
        <f>IF(F129+SUM(E$99:E129)=D$92,F129,D$92-SUM(E$99:E129))</f>
        <v>3763190.3518083291</v>
      </c>
      <c r="E130" s="160">
        <f>IF(+J96&lt;F129,J96,D130)</f>
        <v>327209.61904761905</v>
      </c>
      <c r="F130" s="159">
        <f t="shared" si="25"/>
        <v>3435980.7327607102</v>
      </c>
      <c r="G130" s="159">
        <f t="shared" si="26"/>
        <v>3599585.5422845194</v>
      </c>
      <c r="H130" s="163">
        <f t="shared" si="29"/>
        <v>764456.52192710666</v>
      </c>
      <c r="I130" s="253">
        <f t="shared" si="30"/>
        <v>764456.52192710666</v>
      </c>
      <c r="J130" s="158">
        <f t="shared" si="18"/>
        <v>0</v>
      </c>
      <c r="K130" s="158"/>
      <c r="L130" s="334"/>
      <c r="M130" s="158">
        <f t="shared" si="20"/>
        <v>0</v>
      </c>
      <c r="N130" s="334"/>
      <c r="O130" s="158">
        <f t="shared" si="22"/>
        <v>0</v>
      </c>
      <c r="P130" s="158">
        <f t="shared" si="23"/>
        <v>0</v>
      </c>
      <c r="Q130" s="1"/>
    </row>
    <row r="131" spans="2:17">
      <c r="B131" s="9" t="str">
        <f t="shared" si="24"/>
        <v/>
      </c>
      <c r="C131" s="153">
        <f>IF(D93="","-",+C130+1)</f>
        <v>2041</v>
      </c>
      <c r="D131" s="154">
        <f>IF(F130+SUM(E$99:E130)=D$92,F130,D$92-SUM(E$99:E130))</f>
        <v>3435980.7327607102</v>
      </c>
      <c r="E131" s="160">
        <f>IF(+J96&lt;F130,J96,D131)</f>
        <v>327209.61904761905</v>
      </c>
      <c r="F131" s="159">
        <f t="shared" ref="F131:F154" si="31">+D131-E131</f>
        <v>3108771.1137130912</v>
      </c>
      <c r="G131" s="159">
        <f t="shared" ref="G131:G154" si="32">+(F131+D131)/2</f>
        <v>3272375.9232369009</v>
      </c>
      <c r="H131" s="163">
        <f t="shared" si="29"/>
        <v>724709.89253317192</v>
      </c>
      <c r="I131" s="253">
        <f t="shared" si="30"/>
        <v>724709.89253317192</v>
      </c>
      <c r="J131" s="158">
        <f t="shared" ref="J131:J154" si="33">+I131-H131</f>
        <v>0</v>
      </c>
      <c r="K131" s="158"/>
      <c r="L131" s="334"/>
      <c r="M131" s="158">
        <f t="shared" ref="M131:M154" si="34">IF(L131&lt;&gt;0,+H131-L131,0)</f>
        <v>0</v>
      </c>
      <c r="N131" s="334"/>
      <c r="O131" s="158">
        <f t="shared" ref="O131:O154" si="35">IF(N131&lt;&gt;0,+I131-N131,0)</f>
        <v>0</v>
      </c>
      <c r="P131" s="158">
        <f t="shared" ref="P131:P154" si="36">+O131-M131</f>
        <v>0</v>
      </c>
      <c r="Q131" s="1"/>
    </row>
    <row r="132" spans="2:17">
      <c r="B132" s="9" t="str">
        <f t="shared" si="24"/>
        <v/>
      </c>
      <c r="C132" s="153">
        <f>IF(D93="","-",+C131+1)</f>
        <v>2042</v>
      </c>
      <c r="D132" s="154">
        <f>IF(F131+SUM(E$99:E131)=D$92,F131,D$92-SUM(E$99:E131))</f>
        <v>3108771.1137130912</v>
      </c>
      <c r="E132" s="160">
        <f>IF(+J96&lt;F131,J96,D132)</f>
        <v>327209.61904761905</v>
      </c>
      <c r="F132" s="159">
        <f t="shared" si="31"/>
        <v>2781561.4946654723</v>
      </c>
      <c r="G132" s="159">
        <f t="shared" si="32"/>
        <v>2945166.3041892815</v>
      </c>
      <c r="H132" s="163">
        <f t="shared" si="29"/>
        <v>684963.26313923718</v>
      </c>
      <c r="I132" s="253">
        <f t="shared" si="30"/>
        <v>684963.26313923718</v>
      </c>
      <c r="J132" s="158">
        <f t="shared" si="33"/>
        <v>0</v>
      </c>
      <c r="K132" s="158"/>
      <c r="L132" s="334"/>
      <c r="M132" s="158">
        <f t="shared" si="34"/>
        <v>0</v>
      </c>
      <c r="N132" s="334"/>
      <c r="O132" s="158">
        <f t="shared" si="35"/>
        <v>0</v>
      </c>
      <c r="P132" s="158">
        <f t="shared" si="36"/>
        <v>0</v>
      </c>
      <c r="Q132" s="1"/>
    </row>
    <row r="133" spans="2:17">
      <c r="B133" s="9" t="str">
        <f t="shared" si="24"/>
        <v/>
      </c>
      <c r="C133" s="153">
        <f>IF(D93="","-",+C132+1)</f>
        <v>2043</v>
      </c>
      <c r="D133" s="154">
        <f>IF(F132+SUM(E$99:E132)=D$92,F132,D$92-SUM(E$99:E132))</f>
        <v>2781561.4946654723</v>
      </c>
      <c r="E133" s="160">
        <f>IF(+J96&lt;F132,J96,D133)</f>
        <v>327209.61904761905</v>
      </c>
      <c r="F133" s="159">
        <f t="shared" si="31"/>
        <v>2454351.8756178534</v>
      </c>
      <c r="G133" s="159">
        <f t="shared" si="32"/>
        <v>2617956.6851416631</v>
      </c>
      <c r="H133" s="163">
        <f t="shared" si="29"/>
        <v>645216.63374530245</v>
      </c>
      <c r="I133" s="253">
        <f t="shared" si="30"/>
        <v>645216.63374530245</v>
      </c>
      <c r="J133" s="158">
        <f t="shared" si="33"/>
        <v>0</v>
      </c>
      <c r="K133" s="158"/>
      <c r="L133" s="334"/>
      <c r="M133" s="158">
        <f t="shared" si="34"/>
        <v>0</v>
      </c>
      <c r="N133" s="334"/>
      <c r="O133" s="158">
        <f t="shared" si="35"/>
        <v>0</v>
      </c>
      <c r="P133" s="158">
        <f t="shared" si="36"/>
        <v>0</v>
      </c>
      <c r="Q133" s="1"/>
    </row>
    <row r="134" spans="2:17">
      <c r="B134" s="9" t="str">
        <f t="shared" si="24"/>
        <v/>
      </c>
      <c r="C134" s="153">
        <f>IF(D93="","-",+C133+1)</f>
        <v>2044</v>
      </c>
      <c r="D134" s="154">
        <f>IF(F133+SUM(E$99:E133)=D$92,F133,D$92-SUM(E$99:E133))</f>
        <v>2454351.8756178534</v>
      </c>
      <c r="E134" s="160">
        <f>IF(+J96&lt;F133,J96,D134)</f>
        <v>327209.61904761905</v>
      </c>
      <c r="F134" s="159">
        <f t="shared" si="31"/>
        <v>2127142.2565702344</v>
      </c>
      <c r="G134" s="159">
        <f t="shared" si="32"/>
        <v>2290747.0660940437</v>
      </c>
      <c r="H134" s="163">
        <f t="shared" si="29"/>
        <v>605470.00435136771</v>
      </c>
      <c r="I134" s="253">
        <f t="shared" si="30"/>
        <v>605470.00435136771</v>
      </c>
      <c r="J134" s="158">
        <f t="shared" si="33"/>
        <v>0</v>
      </c>
      <c r="K134" s="158"/>
      <c r="L134" s="334"/>
      <c r="M134" s="158">
        <f t="shared" si="34"/>
        <v>0</v>
      </c>
      <c r="N134" s="334"/>
      <c r="O134" s="158">
        <f t="shared" si="35"/>
        <v>0</v>
      </c>
      <c r="P134" s="158">
        <f t="shared" si="36"/>
        <v>0</v>
      </c>
      <c r="Q134" s="1"/>
    </row>
    <row r="135" spans="2:17">
      <c r="B135" s="9" t="str">
        <f t="shared" si="24"/>
        <v/>
      </c>
      <c r="C135" s="153">
        <f>IF(D93="","-",+C134+1)</f>
        <v>2045</v>
      </c>
      <c r="D135" s="154">
        <f>IF(F134+SUM(E$99:E134)=D$92,F134,D$92-SUM(E$99:E134))</f>
        <v>2127142.2565702344</v>
      </c>
      <c r="E135" s="160">
        <f>IF(+J96&lt;F134,J96,D135)</f>
        <v>327209.61904761905</v>
      </c>
      <c r="F135" s="159">
        <f t="shared" si="31"/>
        <v>1799932.6375226155</v>
      </c>
      <c r="G135" s="159">
        <f t="shared" si="32"/>
        <v>1963537.447046425</v>
      </c>
      <c r="H135" s="163">
        <f t="shared" si="29"/>
        <v>565723.37495743297</v>
      </c>
      <c r="I135" s="253">
        <f t="shared" si="30"/>
        <v>565723.37495743297</v>
      </c>
      <c r="J135" s="158">
        <f t="shared" si="33"/>
        <v>0</v>
      </c>
      <c r="K135" s="158"/>
      <c r="L135" s="334"/>
      <c r="M135" s="158">
        <f t="shared" si="34"/>
        <v>0</v>
      </c>
      <c r="N135" s="334"/>
      <c r="O135" s="158">
        <f t="shared" si="35"/>
        <v>0</v>
      </c>
      <c r="P135" s="158">
        <f t="shared" si="36"/>
        <v>0</v>
      </c>
      <c r="Q135" s="1"/>
    </row>
    <row r="136" spans="2:17">
      <c r="B136" s="9" t="str">
        <f t="shared" si="24"/>
        <v/>
      </c>
      <c r="C136" s="153">
        <f>IF(D93="","-",+C135+1)</f>
        <v>2046</v>
      </c>
      <c r="D136" s="154">
        <f>IF(F135+SUM(E$99:E135)=D$92,F135,D$92-SUM(E$99:E135))</f>
        <v>1799932.6375226155</v>
      </c>
      <c r="E136" s="160">
        <f>IF(+J96&lt;F135,J96,D136)</f>
        <v>327209.61904761905</v>
      </c>
      <c r="F136" s="159">
        <f t="shared" si="31"/>
        <v>1472723.0184749966</v>
      </c>
      <c r="G136" s="159">
        <f t="shared" si="32"/>
        <v>1636327.827998806</v>
      </c>
      <c r="H136" s="163">
        <f t="shared" si="29"/>
        <v>525976.74556349823</v>
      </c>
      <c r="I136" s="253">
        <f t="shared" si="30"/>
        <v>525976.74556349823</v>
      </c>
      <c r="J136" s="158">
        <f t="shared" si="33"/>
        <v>0</v>
      </c>
      <c r="K136" s="158"/>
      <c r="L136" s="334"/>
      <c r="M136" s="158">
        <f t="shared" si="34"/>
        <v>0</v>
      </c>
      <c r="N136" s="334"/>
      <c r="O136" s="158">
        <f t="shared" si="35"/>
        <v>0</v>
      </c>
      <c r="P136" s="158">
        <f t="shared" si="36"/>
        <v>0</v>
      </c>
      <c r="Q136" s="1"/>
    </row>
    <row r="137" spans="2:17">
      <c r="B137" s="9" t="str">
        <f t="shared" si="24"/>
        <v/>
      </c>
      <c r="C137" s="153">
        <f>IF(D93="","-",+C136+1)</f>
        <v>2047</v>
      </c>
      <c r="D137" s="154">
        <f>IF(F136+SUM(E$99:E136)=D$92,F136,D$92-SUM(E$99:E136))</f>
        <v>1472723.0184749966</v>
      </c>
      <c r="E137" s="160">
        <f>IF(+J96&lt;F136,J96,D137)</f>
        <v>327209.61904761905</v>
      </c>
      <c r="F137" s="159">
        <f t="shared" si="31"/>
        <v>1145513.3994273776</v>
      </c>
      <c r="G137" s="159">
        <f t="shared" si="32"/>
        <v>1309118.2089511871</v>
      </c>
      <c r="H137" s="163">
        <f t="shared" si="29"/>
        <v>486230.11616956355</v>
      </c>
      <c r="I137" s="253">
        <f t="shared" si="30"/>
        <v>486230.11616956355</v>
      </c>
      <c r="J137" s="158">
        <f t="shared" si="33"/>
        <v>0</v>
      </c>
      <c r="K137" s="158"/>
      <c r="L137" s="334"/>
      <c r="M137" s="158">
        <f t="shared" si="34"/>
        <v>0</v>
      </c>
      <c r="N137" s="334"/>
      <c r="O137" s="158">
        <f t="shared" si="35"/>
        <v>0</v>
      </c>
      <c r="P137" s="158">
        <f t="shared" si="36"/>
        <v>0</v>
      </c>
      <c r="Q137" s="1"/>
    </row>
    <row r="138" spans="2:17">
      <c r="B138" s="9" t="str">
        <f t="shared" si="24"/>
        <v/>
      </c>
      <c r="C138" s="153">
        <f>IF(D93="","-",+C137+1)</f>
        <v>2048</v>
      </c>
      <c r="D138" s="154">
        <f>IF(F137+SUM(E$99:E137)=D$92,F137,D$92-SUM(E$99:E137))</f>
        <v>1145513.3994273776</v>
      </c>
      <c r="E138" s="160">
        <f>IF(+J96&lt;F137,J96,D138)</f>
        <v>327209.61904761905</v>
      </c>
      <c r="F138" s="159">
        <f t="shared" si="31"/>
        <v>818303.78037975857</v>
      </c>
      <c r="G138" s="159">
        <f t="shared" si="32"/>
        <v>981908.58990356815</v>
      </c>
      <c r="H138" s="163">
        <f t="shared" si="29"/>
        <v>446483.48677562881</v>
      </c>
      <c r="I138" s="253">
        <f t="shared" si="30"/>
        <v>446483.48677562881</v>
      </c>
      <c r="J138" s="158">
        <f t="shared" si="33"/>
        <v>0</v>
      </c>
      <c r="K138" s="158"/>
      <c r="L138" s="334"/>
      <c r="M138" s="158">
        <f t="shared" si="34"/>
        <v>0</v>
      </c>
      <c r="N138" s="334"/>
      <c r="O138" s="158">
        <f t="shared" si="35"/>
        <v>0</v>
      </c>
      <c r="P138" s="158">
        <f t="shared" si="36"/>
        <v>0</v>
      </c>
      <c r="Q138" s="1"/>
    </row>
    <row r="139" spans="2:17">
      <c r="B139" s="9" t="str">
        <f t="shared" si="24"/>
        <v/>
      </c>
      <c r="C139" s="153">
        <f>IF(D93="","-",+C138+1)</f>
        <v>2049</v>
      </c>
      <c r="D139" s="154">
        <f>IF(F138+SUM(E$99:E138)=D$92,F138,D$92-SUM(E$99:E138))</f>
        <v>818303.78037975857</v>
      </c>
      <c r="E139" s="160">
        <f>IF(+J96&lt;F138,J96,D139)</f>
        <v>327209.61904761905</v>
      </c>
      <c r="F139" s="159">
        <f t="shared" si="31"/>
        <v>491094.16133213951</v>
      </c>
      <c r="G139" s="159">
        <f t="shared" si="32"/>
        <v>654698.97085594898</v>
      </c>
      <c r="H139" s="163">
        <f t="shared" si="29"/>
        <v>406736.85738169408</v>
      </c>
      <c r="I139" s="253">
        <f t="shared" si="30"/>
        <v>406736.85738169408</v>
      </c>
      <c r="J139" s="158">
        <f t="shared" si="33"/>
        <v>0</v>
      </c>
      <c r="K139" s="158"/>
      <c r="L139" s="334"/>
      <c r="M139" s="158">
        <f t="shared" si="34"/>
        <v>0</v>
      </c>
      <c r="N139" s="334"/>
      <c r="O139" s="158">
        <f t="shared" si="35"/>
        <v>0</v>
      </c>
      <c r="P139" s="158">
        <f t="shared" si="36"/>
        <v>0</v>
      </c>
      <c r="Q139" s="1"/>
    </row>
    <row r="140" spans="2:17">
      <c r="B140" s="9" t="str">
        <f t="shared" si="24"/>
        <v/>
      </c>
      <c r="C140" s="153">
        <f>IF(D93="","-",+C139+1)</f>
        <v>2050</v>
      </c>
      <c r="D140" s="154">
        <f>IF(F139+SUM(E$99:E139)=D$92,F139,D$92-SUM(E$99:E139))</f>
        <v>491094.16133213951</v>
      </c>
      <c r="E140" s="160">
        <f>IF(+J96&lt;F139,J96,D140)</f>
        <v>327209.61904761905</v>
      </c>
      <c r="F140" s="159">
        <f t="shared" si="31"/>
        <v>163884.54228452046</v>
      </c>
      <c r="G140" s="159">
        <f t="shared" si="32"/>
        <v>327489.35180832999</v>
      </c>
      <c r="H140" s="163">
        <f t="shared" si="29"/>
        <v>366990.22798775934</v>
      </c>
      <c r="I140" s="253">
        <f t="shared" si="30"/>
        <v>366990.22798775934</v>
      </c>
      <c r="J140" s="158">
        <f t="shared" si="33"/>
        <v>0</v>
      </c>
      <c r="K140" s="158"/>
      <c r="L140" s="334"/>
      <c r="M140" s="158">
        <f t="shared" si="34"/>
        <v>0</v>
      </c>
      <c r="N140" s="334"/>
      <c r="O140" s="158">
        <f t="shared" si="35"/>
        <v>0</v>
      </c>
      <c r="P140" s="158">
        <f t="shared" si="36"/>
        <v>0</v>
      </c>
      <c r="Q140" s="1"/>
    </row>
    <row r="141" spans="2:17">
      <c r="B141" s="9" t="str">
        <f t="shared" si="24"/>
        <v/>
      </c>
      <c r="C141" s="153">
        <f>IF(D93="","-",+C140+1)</f>
        <v>2051</v>
      </c>
      <c r="D141" s="154">
        <f>IF(F140+SUM(E$99:E140)=D$92,F140,D$92-SUM(E$99:E140))</f>
        <v>163884.54228452046</v>
      </c>
      <c r="E141" s="160">
        <f>IF(+J96&lt;F140,J96,D141)</f>
        <v>163884.54228452046</v>
      </c>
      <c r="F141" s="159">
        <f t="shared" si="31"/>
        <v>0</v>
      </c>
      <c r="G141" s="159">
        <f t="shared" si="32"/>
        <v>81942.27114226023</v>
      </c>
      <c r="H141" s="163">
        <f t="shared" si="29"/>
        <v>173838.18940610692</v>
      </c>
      <c r="I141" s="253">
        <f t="shared" si="30"/>
        <v>173838.18940610692</v>
      </c>
      <c r="J141" s="158">
        <f t="shared" si="33"/>
        <v>0</v>
      </c>
      <c r="K141" s="158"/>
      <c r="L141" s="334"/>
      <c r="M141" s="158">
        <f t="shared" si="34"/>
        <v>0</v>
      </c>
      <c r="N141" s="334"/>
      <c r="O141" s="158">
        <f t="shared" si="35"/>
        <v>0</v>
      </c>
      <c r="P141" s="158">
        <f t="shared" si="36"/>
        <v>0</v>
      </c>
      <c r="Q141" s="1"/>
    </row>
    <row r="142" spans="2:17">
      <c r="B142" s="9" t="str">
        <f t="shared" si="24"/>
        <v/>
      </c>
      <c r="C142" s="153">
        <f>IF(D93="","-",+C141+1)</f>
        <v>2052</v>
      </c>
      <c r="D142" s="154">
        <f>IF(F141+SUM(E$99:E141)=D$92,F141,D$92-SUM(E$99:E141))</f>
        <v>0</v>
      </c>
      <c r="E142" s="160">
        <f>IF(+J96&lt;F141,J96,D142)</f>
        <v>0</v>
      </c>
      <c r="F142" s="159">
        <f t="shared" si="31"/>
        <v>0</v>
      </c>
      <c r="G142" s="159">
        <f t="shared" si="32"/>
        <v>0</v>
      </c>
      <c r="H142" s="163">
        <f t="shared" si="29"/>
        <v>0</v>
      </c>
      <c r="I142" s="253">
        <f t="shared" si="30"/>
        <v>0</v>
      </c>
      <c r="J142" s="158">
        <f t="shared" si="33"/>
        <v>0</v>
      </c>
      <c r="K142" s="158"/>
      <c r="L142" s="334"/>
      <c r="M142" s="158">
        <f t="shared" si="34"/>
        <v>0</v>
      </c>
      <c r="N142" s="334"/>
      <c r="O142" s="158">
        <f t="shared" si="35"/>
        <v>0</v>
      </c>
      <c r="P142" s="158">
        <f t="shared" si="36"/>
        <v>0</v>
      </c>
      <c r="Q142" s="1"/>
    </row>
    <row r="143" spans="2:17">
      <c r="B143" s="9" t="str">
        <f t="shared" si="24"/>
        <v/>
      </c>
      <c r="C143" s="153">
        <f>IF(D93="","-",+C142+1)</f>
        <v>2053</v>
      </c>
      <c r="D143" s="154">
        <f>IF(F142+SUM(E$99:E142)=D$92,F142,D$92-SUM(E$99:E142))</f>
        <v>0</v>
      </c>
      <c r="E143" s="160">
        <f>IF(+J96&lt;F142,J96,D143)</f>
        <v>0</v>
      </c>
      <c r="F143" s="159">
        <f t="shared" si="31"/>
        <v>0</v>
      </c>
      <c r="G143" s="159">
        <f t="shared" si="32"/>
        <v>0</v>
      </c>
      <c r="H143" s="163">
        <f t="shared" si="29"/>
        <v>0</v>
      </c>
      <c r="I143" s="253">
        <f t="shared" si="30"/>
        <v>0</v>
      </c>
      <c r="J143" s="158">
        <f t="shared" si="33"/>
        <v>0</v>
      </c>
      <c r="K143" s="158"/>
      <c r="L143" s="334"/>
      <c r="M143" s="158">
        <f t="shared" si="34"/>
        <v>0</v>
      </c>
      <c r="N143" s="334"/>
      <c r="O143" s="158">
        <f t="shared" si="35"/>
        <v>0</v>
      </c>
      <c r="P143" s="158">
        <f t="shared" si="36"/>
        <v>0</v>
      </c>
      <c r="Q143" s="1"/>
    </row>
    <row r="144" spans="2:17">
      <c r="B144" s="9" t="str">
        <f t="shared" si="24"/>
        <v/>
      </c>
      <c r="C144" s="153">
        <f>IF(D93="","-",+C143+1)</f>
        <v>2054</v>
      </c>
      <c r="D144" s="154">
        <f>IF(F143+SUM(E$99:E143)=D$92,F143,D$92-SUM(E$99:E143))</f>
        <v>0</v>
      </c>
      <c r="E144" s="160">
        <f>IF(+J96&lt;F143,J96,D144)</f>
        <v>0</v>
      </c>
      <c r="F144" s="159">
        <f t="shared" si="31"/>
        <v>0</v>
      </c>
      <c r="G144" s="159">
        <f t="shared" si="32"/>
        <v>0</v>
      </c>
      <c r="H144" s="163">
        <f t="shared" si="29"/>
        <v>0</v>
      </c>
      <c r="I144" s="253">
        <f t="shared" si="30"/>
        <v>0</v>
      </c>
      <c r="J144" s="158">
        <f t="shared" si="33"/>
        <v>0</v>
      </c>
      <c r="K144" s="158"/>
      <c r="L144" s="334"/>
      <c r="M144" s="158">
        <f t="shared" si="34"/>
        <v>0</v>
      </c>
      <c r="N144" s="334"/>
      <c r="O144" s="158">
        <f t="shared" si="35"/>
        <v>0</v>
      </c>
      <c r="P144" s="158">
        <f t="shared" si="36"/>
        <v>0</v>
      </c>
      <c r="Q144" s="1"/>
    </row>
    <row r="145" spans="2:17">
      <c r="B145" s="9" t="str">
        <f t="shared" si="24"/>
        <v/>
      </c>
      <c r="C145" s="153">
        <f>IF(D93="","-",+C144+1)</f>
        <v>2055</v>
      </c>
      <c r="D145" s="154">
        <f>IF(F144+SUM(E$99:E144)=D$92,F144,D$92-SUM(E$99:E144))</f>
        <v>0</v>
      </c>
      <c r="E145" s="160">
        <f>IF(+J96&lt;F144,J96,D145)</f>
        <v>0</v>
      </c>
      <c r="F145" s="159">
        <f t="shared" si="31"/>
        <v>0</v>
      </c>
      <c r="G145" s="159">
        <f t="shared" si="32"/>
        <v>0</v>
      </c>
      <c r="H145" s="163">
        <f t="shared" si="29"/>
        <v>0</v>
      </c>
      <c r="I145" s="253">
        <f t="shared" si="30"/>
        <v>0</v>
      </c>
      <c r="J145" s="158">
        <f t="shared" si="33"/>
        <v>0</v>
      </c>
      <c r="K145" s="158"/>
      <c r="L145" s="334"/>
      <c r="M145" s="158">
        <f t="shared" si="34"/>
        <v>0</v>
      </c>
      <c r="N145" s="334"/>
      <c r="O145" s="158">
        <f t="shared" si="35"/>
        <v>0</v>
      </c>
      <c r="P145" s="158">
        <f t="shared" si="36"/>
        <v>0</v>
      </c>
      <c r="Q145" s="1"/>
    </row>
    <row r="146" spans="2:17">
      <c r="B146" s="9" t="str">
        <f t="shared" si="24"/>
        <v/>
      </c>
      <c r="C146" s="153">
        <f>IF(D93="","-",+C145+1)</f>
        <v>2056</v>
      </c>
      <c r="D146" s="154">
        <f>IF(F145+SUM(E$99:E145)=D$92,F145,D$92-SUM(E$99:E145))</f>
        <v>0</v>
      </c>
      <c r="E146" s="160">
        <f>IF(+J96&lt;F145,J96,D146)</f>
        <v>0</v>
      </c>
      <c r="F146" s="159">
        <f t="shared" si="31"/>
        <v>0</v>
      </c>
      <c r="G146" s="159">
        <f t="shared" si="32"/>
        <v>0</v>
      </c>
      <c r="H146" s="163">
        <f t="shared" si="29"/>
        <v>0</v>
      </c>
      <c r="I146" s="253">
        <f t="shared" si="30"/>
        <v>0</v>
      </c>
      <c r="J146" s="158">
        <f t="shared" si="33"/>
        <v>0</v>
      </c>
      <c r="K146" s="158"/>
      <c r="L146" s="334"/>
      <c r="M146" s="158">
        <f t="shared" si="34"/>
        <v>0</v>
      </c>
      <c r="N146" s="334"/>
      <c r="O146" s="158">
        <f t="shared" si="35"/>
        <v>0</v>
      </c>
      <c r="P146" s="158">
        <f t="shared" si="36"/>
        <v>0</v>
      </c>
      <c r="Q146" s="1"/>
    </row>
    <row r="147" spans="2:17">
      <c r="B147" s="9" t="str">
        <f t="shared" si="24"/>
        <v/>
      </c>
      <c r="C147" s="153">
        <f>IF(D93="","-",+C146+1)</f>
        <v>2057</v>
      </c>
      <c r="D147" s="154">
        <f>IF(F146+SUM(E$99:E146)=D$92,F146,D$92-SUM(E$99:E146))</f>
        <v>0</v>
      </c>
      <c r="E147" s="160">
        <f>IF(+J96&lt;F146,J96,D147)</f>
        <v>0</v>
      </c>
      <c r="F147" s="159">
        <f t="shared" si="31"/>
        <v>0</v>
      </c>
      <c r="G147" s="159">
        <f t="shared" si="32"/>
        <v>0</v>
      </c>
      <c r="H147" s="163">
        <f t="shared" si="29"/>
        <v>0</v>
      </c>
      <c r="I147" s="253">
        <f t="shared" si="30"/>
        <v>0</v>
      </c>
      <c r="J147" s="158">
        <f t="shared" si="33"/>
        <v>0</v>
      </c>
      <c r="K147" s="158"/>
      <c r="L147" s="334"/>
      <c r="M147" s="158">
        <f t="shared" si="34"/>
        <v>0</v>
      </c>
      <c r="N147" s="334"/>
      <c r="O147" s="158">
        <f t="shared" si="35"/>
        <v>0</v>
      </c>
      <c r="P147" s="158">
        <f t="shared" si="36"/>
        <v>0</v>
      </c>
      <c r="Q147" s="1"/>
    </row>
    <row r="148" spans="2:17">
      <c r="B148" s="9" t="str">
        <f t="shared" si="24"/>
        <v/>
      </c>
      <c r="C148" s="153">
        <f>IF(D93="","-",+C147+1)</f>
        <v>2058</v>
      </c>
      <c r="D148" s="154">
        <f>IF(F147+SUM(E$99:E147)=D$92,F147,D$92-SUM(E$99:E147))</f>
        <v>0</v>
      </c>
      <c r="E148" s="160">
        <f>IF(+J96&lt;F147,J96,D148)</f>
        <v>0</v>
      </c>
      <c r="F148" s="159">
        <f t="shared" si="31"/>
        <v>0</v>
      </c>
      <c r="G148" s="159">
        <f t="shared" si="32"/>
        <v>0</v>
      </c>
      <c r="H148" s="163">
        <f t="shared" si="29"/>
        <v>0</v>
      </c>
      <c r="I148" s="253">
        <f t="shared" si="30"/>
        <v>0</v>
      </c>
      <c r="J148" s="158">
        <f t="shared" si="33"/>
        <v>0</v>
      </c>
      <c r="K148" s="158"/>
      <c r="L148" s="334"/>
      <c r="M148" s="158">
        <f t="shared" si="34"/>
        <v>0</v>
      </c>
      <c r="N148" s="334"/>
      <c r="O148" s="158">
        <f t="shared" si="35"/>
        <v>0</v>
      </c>
      <c r="P148" s="158">
        <f t="shared" si="36"/>
        <v>0</v>
      </c>
      <c r="Q148" s="1"/>
    </row>
    <row r="149" spans="2:17">
      <c r="B149" s="9" t="str">
        <f t="shared" si="24"/>
        <v/>
      </c>
      <c r="C149" s="153">
        <f>IF(D93="","-",+C148+1)</f>
        <v>2059</v>
      </c>
      <c r="D149" s="154">
        <f>IF(F148+SUM(E$99:E148)=D$92,F148,D$92-SUM(E$99:E148))</f>
        <v>0</v>
      </c>
      <c r="E149" s="160">
        <f>IF(+J96&lt;F148,J96,D149)</f>
        <v>0</v>
      </c>
      <c r="F149" s="159">
        <f t="shared" si="31"/>
        <v>0</v>
      </c>
      <c r="G149" s="159">
        <f t="shared" si="32"/>
        <v>0</v>
      </c>
      <c r="H149" s="163">
        <f t="shared" si="29"/>
        <v>0</v>
      </c>
      <c r="I149" s="253">
        <f t="shared" si="30"/>
        <v>0</v>
      </c>
      <c r="J149" s="158">
        <f t="shared" si="33"/>
        <v>0</v>
      </c>
      <c r="K149" s="158"/>
      <c r="L149" s="334"/>
      <c r="M149" s="158">
        <f t="shared" si="34"/>
        <v>0</v>
      </c>
      <c r="N149" s="334"/>
      <c r="O149" s="158">
        <f t="shared" si="35"/>
        <v>0</v>
      </c>
      <c r="P149" s="158">
        <f t="shared" si="36"/>
        <v>0</v>
      </c>
      <c r="Q149" s="1"/>
    </row>
    <row r="150" spans="2:17">
      <c r="B150" s="9" t="str">
        <f t="shared" si="24"/>
        <v/>
      </c>
      <c r="C150" s="153">
        <f>IF(D93="","-",+C149+1)</f>
        <v>2060</v>
      </c>
      <c r="D150" s="154">
        <f>IF(F149+SUM(E$99:E149)=D$92,F149,D$92-SUM(E$99:E149))</f>
        <v>0</v>
      </c>
      <c r="E150" s="160">
        <f>IF(+J96&lt;F149,J96,D150)</f>
        <v>0</v>
      </c>
      <c r="F150" s="159">
        <f t="shared" si="31"/>
        <v>0</v>
      </c>
      <c r="G150" s="159">
        <f t="shared" si="32"/>
        <v>0</v>
      </c>
      <c r="H150" s="163">
        <f t="shared" si="29"/>
        <v>0</v>
      </c>
      <c r="I150" s="253">
        <f t="shared" si="30"/>
        <v>0</v>
      </c>
      <c r="J150" s="158">
        <f t="shared" si="33"/>
        <v>0</v>
      </c>
      <c r="K150" s="158"/>
      <c r="L150" s="334"/>
      <c r="M150" s="158">
        <f t="shared" si="34"/>
        <v>0</v>
      </c>
      <c r="N150" s="334"/>
      <c r="O150" s="158">
        <f t="shared" si="35"/>
        <v>0</v>
      </c>
      <c r="P150" s="158">
        <f t="shared" si="36"/>
        <v>0</v>
      </c>
      <c r="Q150" s="1"/>
    </row>
    <row r="151" spans="2:17">
      <c r="B151" s="9" t="str">
        <f t="shared" si="24"/>
        <v/>
      </c>
      <c r="C151" s="153">
        <f>IF(D93="","-",+C150+1)</f>
        <v>2061</v>
      </c>
      <c r="D151" s="154">
        <f>IF(F150+SUM(E$99:E150)=D$92,F150,D$92-SUM(E$99:E150))</f>
        <v>0</v>
      </c>
      <c r="E151" s="160">
        <f>IF(+J96&lt;F150,J96,D151)</f>
        <v>0</v>
      </c>
      <c r="F151" s="159">
        <f t="shared" si="31"/>
        <v>0</v>
      </c>
      <c r="G151" s="159">
        <f t="shared" si="32"/>
        <v>0</v>
      </c>
      <c r="H151" s="163">
        <f t="shared" si="29"/>
        <v>0</v>
      </c>
      <c r="I151" s="253">
        <f t="shared" si="30"/>
        <v>0</v>
      </c>
      <c r="J151" s="158">
        <f t="shared" si="33"/>
        <v>0</v>
      </c>
      <c r="K151" s="158"/>
      <c r="L151" s="334"/>
      <c r="M151" s="158">
        <f t="shared" si="34"/>
        <v>0</v>
      </c>
      <c r="N151" s="334"/>
      <c r="O151" s="158">
        <f t="shared" si="35"/>
        <v>0</v>
      </c>
      <c r="P151" s="158">
        <f t="shared" si="36"/>
        <v>0</v>
      </c>
      <c r="Q151" s="1"/>
    </row>
    <row r="152" spans="2:17">
      <c r="B152" s="9" t="str">
        <f t="shared" si="24"/>
        <v/>
      </c>
      <c r="C152" s="153">
        <f>IF(D93="","-",+C151+1)</f>
        <v>2062</v>
      </c>
      <c r="D152" s="154">
        <f>IF(F151+SUM(E$99:E151)=D$92,F151,D$92-SUM(E$99:E151))</f>
        <v>0</v>
      </c>
      <c r="E152" s="160">
        <f>IF(+J96&lt;F151,J96,D152)</f>
        <v>0</v>
      </c>
      <c r="F152" s="159">
        <f t="shared" si="31"/>
        <v>0</v>
      </c>
      <c r="G152" s="159">
        <f t="shared" si="32"/>
        <v>0</v>
      </c>
      <c r="H152" s="163">
        <f t="shared" si="29"/>
        <v>0</v>
      </c>
      <c r="I152" s="253">
        <f t="shared" si="30"/>
        <v>0</v>
      </c>
      <c r="J152" s="158">
        <f t="shared" si="33"/>
        <v>0</v>
      </c>
      <c r="K152" s="158"/>
      <c r="L152" s="334"/>
      <c r="M152" s="158">
        <f t="shared" si="34"/>
        <v>0</v>
      </c>
      <c r="N152" s="334"/>
      <c r="O152" s="158">
        <f t="shared" si="35"/>
        <v>0</v>
      </c>
      <c r="P152" s="158">
        <f t="shared" si="36"/>
        <v>0</v>
      </c>
      <c r="Q152" s="1"/>
    </row>
    <row r="153" spans="2:17">
      <c r="B153" s="9" t="str">
        <f t="shared" si="24"/>
        <v/>
      </c>
      <c r="C153" s="153">
        <f>IF(D93="","-",+C152+1)</f>
        <v>2063</v>
      </c>
      <c r="D153" s="154">
        <f>IF(F152+SUM(E$99:E152)=D$92,F152,D$92-SUM(E$99:E152))</f>
        <v>0</v>
      </c>
      <c r="E153" s="160">
        <f>IF(+J96&lt;F152,J96,D153)</f>
        <v>0</v>
      </c>
      <c r="F153" s="159">
        <f t="shared" si="31"/>
        <v>0</v>
      </c>
      <c r="G153" s="159">
        <f t="shared" si="32"/>
        <v>0</v>
      </c>
      <c r="H153" s="163">
        <f t="shared" si="29"/>
        <v>0</v>
      </c>
      <c r="I153" s="253">
        <f t="shared" si="30"/>
        <v>0</v>
      </c>
      <c r="J153" s="158">
        <f t="shared" si="33"/>
        <v>0</v>
      </c>
      <c r="K153" s="158"/>
      <c r="L153" s="334"/>
      <c r="M153" s="158">
        <f t="shared" si="34"/>
        <v>0</v>
      </c>
      <c r="N153" s="334"/>
      <c r="O153" s="158">
        <f t="shared" si="35"/>
        <v>0</v>
      </c>
      <c r="P153" s="158">
        <f t="shared" si="36"/>
        <v>0</v>
      </c>
      <c r="Q153" s="1"/>
    </row>
    <row r="154" spans="2:17" ht="13.5" thickBot="1">
      <c r="B154" s="9" t="str">
        <f t="shared" si="24"/>
        <v/>
      </c>
      <c r="C154" s="164">
        <f>IF(D93="","-",+C153+1)</f>
        <v>2064</v>
      </c>
      <c r="D154" s="215">
        <f>IF(F153+SUM(E$99:E153)=D$92,F153,D$92-SUM(E$99:E153))</f>
        <v>0</v>
      </c>
      <c r="E154" s="166">
        <f>IF(+J96&lt;F153,J96,D154)</f>
        <v>0</v>
      </c>
      <c r="F154" s="165">
        <f t="shared" si="31"/>
        <v>0</v>
      </c>
      <c r="G154" s="165">
        <f t="shared" si="32"/>
        <v>0</v>
      </c>
      <c r="H154" s="167">
        <f t="shared" si="29"/>
        <v>0</v>
      </c>
      <c r="I154" s="254">
        <f t="shared" si="30"/>
        <v>0</v>
      </c>
      <c r="J154" s="169">
        <f t="shared" si="33"/>
        <v>0</v>
      </c>
      <c r="K154" s="158"/>
      <c r="L154" s="335"/>
      <c r="M154" s="169">
        <f t="shared" si="34"/>
        <v>0</v>
      </c>
      <c r="N154" s="335"/>
      <c r="O154" s="169">
        <f t="shared" si="35"/>
        <v>0</v>
      </c>
      <c r="P154" s="169">
        <f t="shared" si="36"/>
        <v>0</v>
      </c>
      <c r="Q154" s="1"/>
    </row>
    <row r="155" spans="2:17">
      <c r="C155" s="154" t="s">
        <v>73</v>
      </c>
      <c r="D155" s="111"/>
      <c r="E155" s="111">
        <f>SUM(E99:E154)</f>
        <v>13742804.000000004</v>
      </c>
      <c r="F155" s="111"/>
      <c r="G155" s="111"/>
      <c r="H155" s="111">
        <f>SUM(H99:H154)</f>
        <v>50676158.34763132</v>
      </c>
      <c r="I155" s="111">
        <f>SUM(I99:I154)</f>
        <v>50676158.34763132</v>
      </c>
      <c r="J155" s="111">
        <f>SUM(J99:J154)</f>
        <v>0</v>
      </c>
      <c r="K155" s="111"/>
      <c r="L155" s="111"/>
      <c r="M155" s="111"/>
      <c r="N155" s="111"/>
      <c r="O155" s="111"/>
      <c r="P155" s="1"/>
      <c r="Q155" s="1"/>
    </row>
    <row r="156" spans="2:17">
      <c r="D156" s="2"/>
      <c r="E156" s="1"/>
      <c r="F156" s="1"/>
      <c r="G156" s="1"/>
      <c r="H156" s="1"/>
      <c r="I156" s="3"/>
      <c r="J156" s="3"/>
      <c r="K156" s="111"/>
      <c r="L156" s="3"/>
      <c r="M156" s="3"/>
      <c r="N156" s="3"/>
      <c r="O156" s="3"/>
      <c r="P156" s="1"/>
      <c r="Q156" s="1"/>
    </row>
    <row r="157" spans="2:17">
      <c r="C157" s="216" t="s">
        <v>87</v>
      </c>
      <c r="D157" s="2"/>
      <c r="E157" s="1"/>
      <c r="F157" s="1"/>
      <c r="G157" s="1"/>
      <c r="H157" s="1"/>
      <c r="I157" s="3"/>
      <c r="J157" s="3"/>
      <c r="K157" s="111"/>
      <c r="L157" s="3"/>
      <c r="M157" s="3"/>
      <c r="N157" s="3"/>
      <c r="O157" s="3"/>
      <c r="P157" s="1"/>
      <c r="Q157" s="1"/>
    </row>
    <row r="158" spans="2:17">
      <c r="D158" s="2"/>
      <c r="E158" s="1"/>
      <c r="F158" s="1"/>
      <c r="G158" s="1"/>
      <c r="H158" s="1"/>
      <c r="I158" s="3"/>
      <c r="J158" s="3"/>
      <c r="K158" s="111"/>
      <c r="L158" s="3"/>
      <c r="M158" s="3"/>
      <c r="N158" s="3"/>
      <c r="O158" s="3"/>
      <c r="P158" s="1"/>
      <c r="Q158" s="1"/>
    </row>
    <row r="159" spans="2:17">
      <c r="C159" s="170" t="s">
        <v>92</v>
      </c>
      <c r="D159" s="154"/>
      <c r="E159" s="154"/>
      <c r="F159" s="154"/>
      <c r="G159" s="154"/>
      <c r="H159" s="111"/>
      <c r="I159" s="111"/>
      <c r="J159" s="171"/>
      <c r="K159" s="171"/>
      <c r="L159" s="171"/>
      <c r="M159" s="171"/>
      <c r="N159" s="171"/>
      <c r="O159" s="171"/>
      <c r="P159" s="1"/>
      <c r="Q159" s="1"/>
    </row>
    <row r="160" spans="2:17">
      <c r="C160" s="217" t="s">
        <v>74</v>
      </c>
      <c r="D160" s="154"/>
      <c r="E160" s="154"/>
      <c r="F160" s="154"/>
      <c r="G160" s="154"/>
      <c r="H160" s="111"/>
      <c r="I160" s="111"/>
      <c r="J160" s="171"/>
      <c r="K160" s="171"/>
      <c r="L160" s="171"/>
      <c r="M160" s="171"/>
      <c r="N160" s="171"/>
      <c r="O160" s="171"/>
      <c r="P160" s="1"/>
      <c r="Q160" s="1"/>
    </row>
    <row r="161" spans="3:17">
      <c r="C161" s="217" t="s">
        <v>75</v>
      </c>
      <c r="D161" s="154"/>
      <c r="E161" s="154"/>
      <c r="F161" s="154"/>
      <c r="G161" s="154"/>
      <c r="H161" s="111"/>
      <c r="I161" s="111"/>
      <c r="J161" s="171"/>
      <c r="K161" s="171"/>
      <c r="L161" s="171"/>
      <c r="M161" s="171"/>
      <c r="N161" s="171"/>
      <c r="O161" s="171"/>
      <c r="P161" s="1"/>
      <c r="Q161" s="1"/>
    </row>
    <row r="162" spans="3:17" ht="18">
      <c r="C162" s="217"/>
      <c r="D162" s="154"/>
      <c r="E162" s="154"/>
      <c r="F162" s="154"/>
      <c r="G162" s="154"/>
      <c r="H162" s="111"/>
      <c r="I162" s="111"/>
      <c r="J162" s="171"/>
      <c r="K162" s="171"/>
      <c r="L162" s="171"/>
      <c r="M162" s="171"/>
      <c r="N162" s="171"/>
      <c r="P162" s="237" t="s">
        <v>126</v>
      </c>
      <c r="Q162" s="1"/>
    </row>
  </sheetData>
  <phoneticPr fontId="0" type="noConversion"/>
  <conditionalFormatting sqref="C17:C72">
    <cfRule type="cellIs" dxfId="159" priority="1" stopIfTrue="1" operator="equal">
      <formula>$I$10</formula>
    </cfRule>
  </conditionalFormatting>
  <conditionalFormatting sqref="C99:C154">
    <cfRule type="cellIs" dxfId="158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  <legacyDrawing r:id="rId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6"/>
  <dimension ref="A1:P162"/>
  <sheetViews>
    <sheetView view="pageBreakPreview" zoomScale="80" zoomScaleNormal="100" zoomScaleSheetLayoutView="80" workbookViewId="0">
      <selection activeCell="C19" sqref="C19"/>
    </sheetView>
  </sheetViews>
  <sheetFormatPr defaultRowHeight="12.75" customHeight="1"/>
  <cols>
    <col min="1" max="1" width="4.7109375" customWidth="1"/>
    <col min="2" max="2" width="6.7109375" customWidth="1"/>
    <col min="3" max="3" width="23.28515625" customWidth="1"/>
    <col min="4" max="8" width="17.7109375" customWidth="1"/>
    <col min="9" max="9" width="20.42578125" customWidth="1"/>
    <col min="10" max="10" width="16.42578125" customWidth="1"/>
    <col min="11" max="11" width="17.7109375" customWidth="1"/>
    <col min="12" max="12" width="16.140625" customWidth="1"/>
    <col min="13" max="13" width="17.7109375" customWidth="1"/>
    <col min="14" max="14" width="16.7109375" customWidth="1"/>
    <col min="15" max="15" width="16.85546875" customWidth="1"/>
    <col min="16" max="16" width="24.42578125" customWidth="1"/>
    <col min="17" max="17" width="9.140625" customWidth="1"/>
    <col min="23" max="23" width="9.140625" customWidth="1"/>
  </cols>
  <sheetData>
    <row r="1" spans="1:16" ht="20.25">
      <c r="A1" s="243" t="s">
        <v>128</v>
      </c>
      <c r="B1" s="1"/>
      <c r="C1" s="21"/>
      <c r="D1" s="2"/>
      <c r="E1" s="1"/>
      <c r="F1" s="99"/>
      <c r="G1" s="1"/>
      <c r="H1" s="3"/>
      <c r="J1" s="7"/>
      <c r="K1" s="109"/>
      <c r="L1" s="109"/>
      <c r="M1" s="109"/>
      <c r="P1" s="249" t="str">
        <f ca="1">"SWEPCO Project "&amp;RIGHT(MID(CELL("filename",$A$1),FIND("]",CELL("filename",$A$1))+1,256),2)&amp;" of "&amp;COUNT('S.001:S.xyz - blank'!$P$3)-1</f>
        <v>SWEPCO Project 57 of 73</v>
      </c>
    </row>
    <row r="2" spans="1:16" ht="18">
      <c r="B2" s="1"/>
      <c r="C2" s="1"/>
      <c r="D2" s="2"/>
      <c r="E2" s="1"/>
      <c r="F2" s="1"/>
      <c r="G2" s="1"/>
      <c r="H2" s="3"/>
      <c r="I2" s="1"/>
      <c r="J2" s="4"/>
      <c r="K2" s="1"/>
      <c r="L2" s="1"/>
      <c r="M2" s="1"/>
      <c r="N2" s="1"/>
      <c r="P2" s="244" t="s">
        <v>124</v>
      </c>
    </row>
    <row r="3" spans="1:16" ht="18.75">
      <c r="B3" s="5" t="s">
        <v>40</v>
      </c>
      <c r="C3" s="68" t="s">
        <v>41</v>
      </c>
      <c r="D3" s="2"/>
      <c r="E3" s="1"/>
      <c r="F3" s="1"/>
      <c r="G3" s="1"/>
      <c r="H3" s="3"/>
      <c r="I3" s="3"/>
      <c r="J3" s="111"/>
      <c r="K3" s="3"/>
      <c r="L3" s="3"/>
      <c r="M3" s="3"/>
      <c r="N3" s="3"/>
      <c r="O3" s="1"/>
      <c r="P3" s="240">
        <v>1</v>
      </c>
    </row>
    <row r="4" spans="1:16" ht="15.75" thickBot="1">
      <c r="C4" s="67"/>
      <c r="D4" s="2"/>
      <c r="E4" s="1"/>
      <c r="F4" s="1"/>
      <c r="G4" s="1"/>
      <c r="H4" s="3"/>
      <c r="I4" s="3"/>
      <c r="J4" s="111"/>
      <c r="K4" s="3"/>
      <c r="L4" s="3"/>
      <c r="M4" s="3"/>
      <c r="N4" s="3"/>
      <c r="O4" s="1"/>
      <c r="P4" s="1"/>
    </row>
    <row r="5" spans="1:16" ht="15">
      <c r="C5" s="112" t="s">
        <v>42</v>
      </c>
      <c r="D5" s="2"/>
      <c r="E5" s="1"/>
      <c r="F5" s="1"/>
      <c r="G5" s="113"/>
      <c r="H5" s="1" t="s">
        <v>43</v>
      </c>
      <c r="I5" s="1"/>
      <c r="J5" s="4"/>
      <c r="K5" s="268" t="s">
        <v>152</v>
      </c>
      <c r="L5" s="114"/>
      <c r="M5" s="115"/>
      <c r="N5" s="116">
        <f>VLOOKUP(I10,C17:I72,5)</f>
        <v>142548.46223135307</v>
      </c>
      <c r="P5" s="1"/>
    </row>
    <row r="6" spans="1:16" ht="15.75">
      <c r="C6" s="8"/>
      <c r="D6" s="2"/>
      <c r="E6" s="1"/>
      <c r="F6" s="1"/>
      <c r="G6" s="1"/>
      <c r="H6" s="117"/>
      <c r="I6" s="117"/>
      <c r="J6" s="118"/>
      <c r="K6" s="269" t="s">
        <v>153</v>
      </c>
      <c r="L6" s="119"/>
      <c r="M6" s="4"/>
      <c r="N6" s="120">
        <f>VLOOKUP(I10,C17:I72,6)</f>
        <v>142548.46223135307</v>
      </c>
      <c r="O6" s="1"/>
      <c r="P6" s="1"/>
    </row>
    <row r="7" spans="1:16" ht="13.5" thickBot="1">
      <c r="C7" s="121" t="s">
        <v>44</v>
      </c>
      <c r="D7" s="223" t="s">
        <v>349</v>
      </c>
      <c r="E7" s="1"/>
      <c r="F7" s="1"/>
      <c r="G7" s="1"/>
      <c r="H7" s="3"/>
      <c r="I7" s="3"/>
      <c r="J7" s="111"/>
      <c r="K7" s="122" t="s">
        <v>45</v>
      </c>
      <c r="L7" s="123"/>
      <c r="M7" s="123"/>
      <c r="N7" s="124">
        <f>+N6-N5</f>
        <v>0</v>
      </c>
      <c r="O7" s="1"/>
      <c r="P7" s="1"/>
    </row>
    <row r="8" spans="1:16" ht="13.5" thickBot="1">
      <c r="C8" s="125"/>
      <c r="D8" s="352" t="str">
        <f>IF(D10&lt;100000,"DOES NOT MEET SPP $100,000 MINIMUM INVESTMENT FOR REGIONAL BPU SHARING.","")</f>
        <v/>
      </c>
      <c r="E8" s="126"/>
      <c r="F8" s="126"/>
      <c r="G8" s="126"/>
      <c r="H8" s="126"/>
      <c r="I8" s="126"/>
      <c r="J8" s="101"/>
      <c r="K8" s="126"/>
      <c r="L8" s="126"/>
      <c r="M8" s="126"/>
      <c r="N8" s="126"/>
      <c r="O8" s="101"/>
      <c r="P8" s="21"/>
    </row>
    <row r="9" spans="1:16" ht="13.5" thickBot="1">
      <c r="C9" s="127" t="s">
        <v>46</v>
      </c>
      <c r="D9" s="225" t="s">
        <v>350</v>
      </c>
      <c r="E9" s="401" t="s">
        <v>444</v>
      </c>
      <c r="F9" s="128"/>
      <c r="G9" s="128"/>
      <c r="H9" s="128"/>
      <c r="I9" s="129"/>
      <c r="J9" s="130"/>
      <c r="O9" s="131"/>
      <c r="P9" s="4"/>
    </row>
    <row r="10" spans="1:16">
      <c r="C10" s="132" t="s">
        <v>47</v>
      </c>
      <c r="D10" s="133">
        <v>1230858</v>
      </c>
      <c r="E10" s="61" t="s">
        <v>459</v>
      </c>
      <c r="F10" s="131"/>
      <c r="G10" s="134"/>
      <c r="H10" s="134"/>
      <c r="I10" s="135">
        <f>+SWE.WS.F.BPU.ATRR.Projected!K17</f>
        <v>2019</v>
      </c>
      <c r="J10" s="130"/>
      <c r="K10" s="111" t="s">
        <v>48</v>
      </c>
      <c r="O10" s="4"/>
      <c r="P10" s="4"/>
    </row>
    <row r="11" spans="1:16">
      <c r="C11" s="136" t="s">
        <v>49</v>
      </c>
      <c r="D11" s="137">
        <v>2016</v>
      </c>
      <c r="E11" s="136" t="s">
        <v>50</v>
      </c>
      <c r="F11" s="134"/>
      <c r="G11" s="7"/>
      <c r="H11" s="7"/>
      <c r="I11" s="138">
        <f>IF(G5="",0,SWE.WS.F.BPU.ATRR.Projected!F$11)</f>
        <v>0</v>
      </c>
      <c r="J11" s="139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4"/>
      <c r="P11" s="4"/>
    </row>
    <row r="12" spans="1:16">
      <c r="C12" s="136" t="s">
        <v>51</v>
      </c>
      <c r="D12" s="133">
        <v>4</v>
      </c>
      <c r="E12" s="136" t="s">
        <v>52</v>
      </c>
      <c r="F12" s="134"/>
      <c r="G12" s="7"/>
      <c r="H12" s="7"/>
      <c r="I12" s="140">
        <f>SWE.WS.F.BPU.ATRR.Projected!$F$76</f>
        <v>9.9555672459071778E-2</v>
      </c>
      <c r="J12" s="141"/>
      <c r="K12" t="s">
        <v>53</v>
      </c>
      <c r="O12" s="4"/>
      <c r="P12" s="4"/>
    </row>
    <row r="13" spans="1:16">
      <c r="C13" s="136" t="s">
        <v>54</v>
      </c>
      <c r="D13" s="138">
        <f>+SWE.WS.F.BPU.ATRR.Projected!F$87</f>
        <v>43</v>
      </c>
      <c r="E13" s="136" t="s">
        <v>55</v>
      </c>
      <c r="F13" s="134"/>
      <c r="G13" s="7"/>
      <c r="H13" s="7"/>
      <c r="I13" s="140">
        <f>IF(G5="",I12,SWE.WS.F.BPU.ATRR.Projected!$F$75)</f>
        <v>9.9555672459071778E-2</v>
      </c>
      <c r="J13" s="141"/>
      <c r="K13" s="111" t="s">
        <v>56</v>
      </c>
      <c r="L13" s="58"/>
      <c r="M13" s="58"/>
      <c r="N13" s="58"/>
      <c r="O13" s="4"/>
      <c r="P13" s="4"/>
    </row>
    <row r="14" spans="1:16" ht="13.5" thickBot="1">
      <c r="C14" s="136" t="s">
        <v>57</v>
      </c>
      <c r="D14" s="137" t="s">
        <v>58</v>
      </c>
      <c r="E14" s="4" t="s">
        <v>59</v>
      </c>
      <c r="F14" s="134"/>
      <c r="G14" s="7"/>
      <c r="H14" s="7"/>
      <c r="I14" s="142">
        <f>IF(D10=0,0,D10/D13)</f>
        <v>28624.60465116279</v>
      </c>
      <c r="J14" s="111"/>
      <c r="K14" s="111"/>
      <c r="L14" s="111"/>
      <c r="M14" s="111"/>
      <c r="N14" s="111"/>
      <c r="O14" s="4"/>
      <c r="P14" s="4"/>
    </row>
    <row r="15" spans="1:16" ht="38.25">
      <c r="C15" s="143" t="s">
        <v>47</v>
      </c>
      <c r="D15" s="144" t="s">
        <v>60</v>
      </c>
      <c r="E15" s="144" t="s">
        <v>61</v>
      </c>
      <c r="F15" s="144" t="s">
        <v>62</v>
      </c>
      <c r="G15" s="434" t="s">
        <v>378</v>
      </c>
      <c r="H15" s="435" t="s">
        <v>379</v>
      </c>
      <c r="I15" s="143" t="s">
        <v>63</v>
      </c>
      <c r="J15" s="145"/>
      <c r="K15" s="271" t="s">
        <v>219</v>
      </c>
      <c r="L15" s="146" t="s">
        <v>64</v>
      </c>
      <c r="M15" s="271" t="s">
        <v>219</v>
      </c>
      <c r="N15" s="146" t="s">
        <v>64</v>
      </c>
      <c r="O15" s="146" t="s">
        <v>65</v>
      </c>
      <c r="P15" s="4"/>
    </row>
    <row r="16" spans="1:16" ht="13.5" thickBot="1">
      <c r="C16" s="147" t="s">
        <v>66</v>
      </c>
      <c r="D16" s="147" t="s">
        <v>67</v>
      </c>
      <c r="E16" s="147" t="s">
        <v>68</v>
      </c>
      <c r="F16" s="147" t="s">
        <v>67</v>
      </c>
      <c r="G16" s="408" t="s">
        <v>69</v>
      </c>
      <c r="H16" s="148" t="s">
        <v>70</v>
      </c>
      <c r="I16" s="149" t="s">
        <v>89</v>
      </c>
      <c r="J16" s="150" t="s">
        <v>71</v>
      </c>
      <c r="K16" s="151" t="s">
        <v>72</v>
      </c>
      <c r="L16" s="151" t="s">
        <v>72</v>
      </c>
      <c r="M16" s="151" t="s">
        <v>90</v>
      </c>
      <c r="N16" s="152" t="s">
        <v>90</v>
      </c>
      <c r="O16" s="151" t="s">
        <v>90</v>
      </c>
      <c r="P16" s="4"/>
    </row>
    <row r="17" spans="2:16">
      <c r="C17" s="153">
        <f>IF(D11= "","-",D11)</f>
        <v>2016</v>
      </c>
      <c r="D17" s="411">
        <v>1140472</v>
      </c>
      <c r="E17" s="410">
        <v>13577.047619047618</v>
      </c>
      <c r="F17" s="411">
        <v>1126894.9523809524</v>
      </c>
      <c r="G17" s="410">
        <v>160163.51487370714</v>
      </c>
      <c r="H17" s="416">
        <v>160163.51487370714</v>
      </c>
      <c r="I17" s="156">
        <f t="shared" ref="I17:I72" si="0">H17-G17</f>
        <v>0</v>
      </c>
      <c r="J17" s="156"/>
      <c r="K17" s="258">
        <f>+G17</f>
        <v>160163.51487370714</v>
      </c>
      <c r="L17" s="257">
        <f t="shared" ref="L17:L72" si="1">IF(K17&lt;&gt;0,+G17-K17,0)</f>
        <v>0</v>
      </c>
      <c r="M17" s="258">
        <f>+H17</f>
        <v>160163.51487370714</v>
      </c>
      <c r="N17" s="158">
        <f t="shared" ref="N17:N72" si="2">IF(M17&lt;&gt;0,+H17-M17,0)</f>
        <v>0</v>
      </c>
      <c r="O17" s="158">
        <f t="shared" ref="O17:O72" si="3">+N17-L17</f>
        <v>0</v>
      </c>
      <c r="P17" s="4"/>
    </row>
    <row r="18" spans="2:16">
      <c r="B18" s="9" t="str">
        <f>IF(D18=F17,"","IU")</f>
        <v>IU</v>
      </c>
      <c r="C18" s="153">
        <f>IF(D11="","-",+C17+1)</f>
        <v>2017</v>
      </c>
      <c r="D18" s="411">
        <v>1217280.9523809524</v>
      </c>
      <c r="E18" s="410">
        <v>28624.60465116279</v>
      </c>
      <c r="F18" s="411">
        <v>1188656.3477297896</v>
      </c>
      <c r="G18" s="410">
        <v>177663.43856764107</v>
      </c>
      <c r="H18" s="416">
        <v>177663.43856764107</v>
      </c>
      <c r="I18" s="156">
        <v>0</v>
      </c>
      <c r="J18" s="156"/>
      <c r="K18" s="258">
        <f>+G18</f>
        <v>177663.43856764107</v>
      </c>
      <c r="L18" s="257">
        <f>IF(K18&lt;&gt;0,+G18-K18,0)</f>
        <v>0</v>
      </c>
      <c r="M18" s="258">
        <f>+H18</f>
        <v>177663.43856764107</v>
      </c>
      <c r="N18" s="158">
        <f>IF(M18&lt;&gt;0,+H18-M18,0)</f>
        <v>0</v>
      </c>
      <c r="O18" s="158">
        <f>+N18-L18</f>
        <v>0</v>
      </c>
      <c r="P18" s="4"/>
    </row>
    <row r="19" spans="2:16">
      <c r="B19" s="9" t="str">
        <f>IF(D19=F18,"","IU")</f>
        <v/>
      </c>
      <c r="C19" s="153">
        <f>IF(D11="","-",+C18+1)</f>
        <v>2018</v>
      </c>
      <c r="D19" s="411">
        <v>1188656.3477297896</v>
      </c>
      <c r="E19" s="410">
        <v>30020.926829268294</v>
      </c>
      <c r="F19" s="411">
        <v>1158635.4209005213</v>
      </c>
      <c r="G19" s="410">
        <v>161333.36946102462</v>
      </c>
      <c r="H19" s="416">
        <v>161333.36946102462</v>
      </c>
      <c r="I19" s="156">
        <f t="shared" si="0"/>
        <v>0</v>
      </c>
      <c r="J19" s="156"/>
      <c r="K19" s="258">
        <f>+G19</f>
        <v>161333.36946102462</v>
      </c>
      <c r="L19" s="257">
        <f>IF(K19&lt;&gt;0,+G19-K19,0)</f>
        <v>0</v>
      </c>
      <c r="M19" s="258">
        <f>+H19</f>
        <v>161333.36946102462</v>
      </c>
      <c r="N19" s="158">
        <f>IF(M19&lt;&gt;0,+H19-M19,0)</f>
        <v>0</v>
      </c>
      <c r="O19" s="158">
        <f t="shared" si="3"/>
        <v>0</v>
      </c>
      <c r="P19" s="4"/>
    </row>
    <row r="20" spans="2:16">
      <c r="B20" s="9" t="str">
        <f t="shared" ref="B20:B72" si="4">IF(D20=F19,"","IU")</f>
        <v/>
      </c>
      <c r="C20" s="153">
        <f>IF(D11="","-",+C19+1)</f>
        <v>2019</v>
      </c>
      <c r="D20" s="159">
        <f>IF(F19+SUM(E$17:E19)=D$10,F19,D$10-SUM(E$17:E19))</f>
        <v>1158635.4209005213</v>
      </c>
      <c r="E20" s="160">
        <f>IF(+I14&lt;F19,I14,D20)</f>
        <v>28624.60465116279</v>
      </c>
      <c r="F20" s="159">
        <f t="shared" ref="F20:F72" si="5">+D20-E20</f>
        <v>1130010.8162493585</v>
      </c>
      <c r="G20" s="161">
        <f t="shared" ref="G20:G49" si="6">+I$12*((D20+F20)/2)+E20</f>
        <v>142548.46223135307</v>
      </c>
      <c r="H20" s="142">
        <f t="shared" ref="H20:H49" si="7">+I$13*((D20+F20)/2)+E20</f>
        <v>142548.46223135307</v>
      </c>
      <c r="I20" s="156">
        <f t="shared" si="0"/>
        <v>0</v>
      </c>
      <c r="J20" s="156"/>
      <c r="K20" s="334"/>
      <c r="L20" s="158">
        <f t="shared" si="1"/>
        <v>0</v>
      </c>
      <c r="M20" s="334"/>
      <c r="N20" s="158">
        <f t="shared" si="2"/>
        <v>0</v>
      </c>
      <c r="O20" s="158">
        <f t="shared" si="3"/>
        <v>0</v>
      </c>
      <c r="P20" s="4"/>
    </row>
    <row r="21" spans="2:16">
      <c r="B21" s="9" t="str">
        <f t="shared" si="4"/>
        <v/>
      </c>
      <c r="C21" s="153">
        <f>IF(D11="","-",+C20+1)</f>
        <v>2020</v>
      </c>
      <c r="D21" s="159">
        <f>IF(F20+SUM(E$17:E20)=D$10,F20,D$10-SUM(E$17:E20))</f>
        <v>1130010.8162493585</v>
      </c>
      <c r="E21" s="160">
        <f>IF(+I14&lt;F20,I14,D21)</f>
        <v>28624.60465116279</v>
      </c>
      <c r="F21" s="159">
        <f t="shared" si="5"/>
        <v>1101386.2115981956</v>
      </c>
      <c r="G21" s="161">
        <f t="shared" si="6"/>
        <v>139698.72046643146</v>
      </c>
      <c r="H21" s="142">
        <f t="shared" si="7"/>
        <v>139698.72046643146</v>
      </c>
      <c r="I21" s="156">
        <f t="shared" si="0"/>
        <v>0</v>
      </c>
      <c r="J21" s="156"/>
      <c r="K21" s="334"/>
      <c r="L21" s="158">
        <f t="shared" si="1"/>
        <v>0</v>
      </c>
      <c r="M21" s="334"/>
      <c r="N21" s="158">
        <f t="shared" si="2"/>
        <v>0</v>
      </c>
      <c r="O21" s="158">
        <f t="shared" si="3"/>
        <v>0</v>
      </c>
      <c r="P21" s="4"/>
    </row>
    <row r="22" spans="2:16">
      <c r="B22" s="9" t="str">
        <f t="shared" si="4"/>
        <v/>
      </c>
      <c r="C22" s="153">
        <f>IF(D11="","-",+C21+1)</f>
        <v>2021</v>
      </c>
      <c r="D22" s="159">
        <f>IF(F21+SUM(E$17:E21)=D$10,F21,D$10-SUM(E$17:E21))</f>
        <v>1101386.2115981956</v>
      </c>
      <c r="E22" s="160">
        <f>IF(+I14&lt;F21,I14,D22)</f>
        <v>28624.60465116279</v>
      </c>
      <c r="F22" s="159">
        <f t="shared" si="5"/>
        <v>1072761.6069470327</v>
      </c>
      <c r="G22" s="161">
        <f t="shared" si="6"/>
        <v>136848.97870150988</v>
      </c>
      <c r="H22" s="142">
        <f t="shared" si="7"/>
        <v>136848.97870150988</v>
      </c>
      <c r="I22" s="156">
        <f t="shared" si="0"/>
        <v>0</v>
      </c>
      <c r="J22" s="156"/>
      <c r="K22" s="334"/>
      <c r="L22" s="158">
        <f t="shared" si="1"/>
        <v>0</v>
      </c>
      <c r="M22" s="334"/>
      <c r="N22" s="158">
        <f t="shared" si="2"/>
        <v>0</v>
      </c>
      <c r="O22" s="158">
        <f t="shared" si="3"/>
        <v>0</v>
      </c>
      <c r="P22" s="4"/>
    </row>
    <row r="23" spans="2:16">
      <c r="B23" s="9" t="str">
        <f t="shared" si="4"/>
        <v/>
      </c>
      <c r="C23" s="153">
        <f>IF(D11="","-",+C22+1)</f>
        <v>2022</v>
      </c>
      <c r="D23" s="159">
        <f>IF(F22+SUM(E$17:E22)=D$10,F22,D$10-SUM(E$17:E22))</f>
        <v>1072761.6069470327</v>
      </c>
      <c r="E23" s="160">
        <f>IF(+I14&lt;F22,I14,D23)</f>
        <v>28624.60465116279</v>
      </c>
      <c r="F23" s="159">
        <f t="shared" si="5"/>
        <v>1044137.00229587</v>
      </c>
      <c r="G23" s="161">
        <f t="shared" si="6"/>
        <v>133999.23693658828</v>
      </c>
      <c r="H23" s="142">
        <f t="shared" si="7"/>
        <v>133999.23693658828</v>
      </c>
      <c r="I23" s="156">
        <f t="shared" si="0"/>
        <v>0</v>
      </c>
      <c r="J23" s="156"/>
      <c r="K23" s="334"/>
      <c r="L23" s="158">
        <f t="shared" si="1"/>
        <v>0</v>
      </c>
      <c r="M23" s="334"/>
      <c r="N23" s="158">
        <f t="shared" si="2"/>
        <v>0</v>
      </c>
      <c r="O23" s="158">
        <f t="shared" si="3"/>
        <v>0</v>
      </c>
      <c r="P23" s="4"/>
    </row>
    <row r="24" spans="2:16">
      <c r="B24" s="9" t="str">
        <f t="shared" si="4"/>
        <v/>
      </c>
      <c r="C24" s="153">
        <f>IF(D11="","-",+C23+1)</f>
        <v>2023</v>
      </c>
      <c r="D24" s="159">
        <f>IF(F23+SUM(E$17:E23)=D$10,F23,D$10-SUM(E$17:E23))</f>
        <v>1044137.00229587</v>
      </c>
      <c r="E24" s="160">
        <f>IF(+I14&lt;F23,I14,D24)</f>
        <v>28624.60465116279</v>
      </c>
      <c r="F24" s="159">
        <f t="shared" si="5"/>
        <v>1015512.3976447072</v>
      </c>
      <c r="G24" s="161">
        <f t="shared" si="6"/>
        <v>131149.4951716667</v>
      </c>
      <c r="H24" s="142">
        <f t="shared" si="7"/>
        <v>131149.4951716667</v>
      </c>
      <c r="I24" s="156">
        <f t="shared" si="0"/>
        <v>0</v>
      </c>
      <c r="J24" s="156"/>
      <c r="K24" s="334"/>
      <c r="L24" s="158">
        <f t="shared" si="1"/>
        <v>0</v>
      </c>
      <c r="M24" s="334"/>
      <c r="N24" s="158">
        <f t="shared" si="2"/>
        <v>0</v>
      </c>
      <c r="O24" s="158">
        <f t="shared" si="3"/>
        <v>0</v>
      </c>
      <c r="P24" s="4"/>
    </row>
    <row r="25" spans="2:16">
      <c r="B25" s="9" t="str">
        <f t="shared" si="4"/>
        <v/>
      </c>
      <c r="C25" s="153">
        <f>IF(D11="","-",+C24+1)</f>
        <v>2024</v>
      </c>
      <c r="D25" s="159">
        <f>IF(F24+SUM(E$17:E24)=D$10,F24,D$10-SUM(E$17:E24))</f>
        <v>1015512.3976447072</v>
      </c>
      <c r="E25" s="160">
        <f>IF(+I14&lt;F24,I14,D25)</f>
        <v>28624.60465116279</v>
      </c>
      <c r="F25" s="159">
        <f t="shared" si="5"/>
        <v>986887.79299354448</v>
      </c>
      <c r="G25" s="161">
        <f t="shared" si="6"/>
        <v>128299.75340674512</v>
      </c>
      <c r="H25" s="142">
        <f t="shared" si="7"/>
        <v>128299.75340674512</v>
      </c>
      <c r="I25" s="156">
        <f t="shared" si="0"/>
        <v>0</v>
      </c>
      <c r="J25" s="156"/>
      <c r="K25" s="334"/>
      <c r="L25" s="158">
        <f t="shared" si="1"/>
        <v>0</v>
      </c>
      <c r="M25" s="334"/>
      <c r="N25" s="158">
        <f t="shared" si="2"/>
        <v>0</v>
      </c>
      <c r="O25" s="158">
        <f t="shared" si="3"/>
        <v>0</v>
      </c>
      <c r="P25" s="4"/>
    </row>
    <row r="26" spans="2:16">
      <c r="B26" s="9" t="str">
        <f t="shared" si="4"/>
        <v/>
      </c>
      <c r="C26" s="153">
        <f>IF(D11="","-",+C25+1)</f>
        <v>2025</v>
      </c>
      <c r="D26" s="159">
        <f>IF(F25+SUM(E$17:E25)=D$10,F25,D$10-SUM(E$17:E25))</f>
        <v>986887.79299354448</v>
      </c>
      <c r="E26" s="160">
        <f>IF(+I14&lt;F25,I14,D26)</f>
        <v>28624.60465116279</v>
      </c>
      <c r="F26" s="159">
        <f t="shared" si="5"/>
        <v>958263.18834238173</v>
      </c>
      <c r="G26" s="161">
        <f t="shared" si="6"/>
        <v>125450.01164182356</v>
      </c>
      <c r="H26" s="142">
        <f t="shared" si="7"/>
        <v>125450.01164182356</v>
      </c>
      <c r="I26" s="156">
        <f t="shared" si="0"/>
        <v>0</v>
      </c>
      <c r="J26" s="156"/>
      <c r="K26" s="334"/>
      <c r="L26" s="158">
        <f t="shared" si="1"/>
        <v>0</v>
      </c>
      <c r="M26" s="334"/>
      <c r="N26" s="158">
        <f t="shared" si="2"/>
        <v>0</v>
      </c>
      <c r="O26" s="158">
        <f t="shared" si="3"/>
        <v>0</v>
      </c>
      <c r="P26" s="4"/>
    </row>
    <row r="27" spans="2:16">
      <c r="B27" s="9" t="str">
        <f t="shared" si="4"/>
        <v/>
      </c>
      <c r="C27" s="153">
        <f>IF(D11="","-",+C26+1)</f>
        <v>2026</v>
      </c>
      <c r="D27" s="159">
        <f>IF(F26+SUM(E$17:E26)=D$10,F26,D$10-SUM(E$17:E26))</f>
        <v>958263.18834238173</v>
      </c>
      <c r="E27" s="160">
        <f>IF(+I14&lt;F26,I14,D27)</f>
        <v>28624.60465116279</v>
      </c>
      <c r="F27" s="159">
        <f t="shared" si="5"/>
        <v>929638.58369121898</v>
      </c>
      <c r="G27" s="161">
        <f t="shared" si="6"/>
        <v>122600.26987690196</v>
      </c>
      <c r="H27" s="142">
        <f t="shared" si="7"/>
        <v>122600.26987690196</v>
      </c>
      <c r="I27" s="156">
        <f t="shared" si="0"/>
        <v>0</v>
      </c>
      <c r="J27" s="156"/>
      <c r="K27" s="334"/>
      <c r="L27" s="158">
        <f t="shared" si="1"/>
        <v>0</v>
      </c>
      <c r="M27" s="334"/>
      <c r="N27" s="158">
        <f t="shared" si="2"/>
        <v>0</v>
      </c>
      <c r="O27" s="158">
        <f t="shared" si="3"/>
        <v>0</v>
      </c>
      <c r="P27" s="4"/>
    </row>
    <row r="28" spans="2:16">
      <c r="B28" s="9" t="str">
        <f t="shared" si="4"/>
        <v/>
      </c>
      <c r="C28" s="153">
        <f>IF(D11="","-",+C27+1)</f>
        <v>2027</v>
      </c>
      <c r="D28" s="159">
        <f>IF(F27+SUM(E$17:E27)=D$10,F27,D$10-SUM(E$17:E27))</f>
        <v>929638.58369121898</v>
      </c>
      <c r="E28" s="160">
        <f>IF(+I14&lt;F27,I14,D28)</f>
        <v>28624.60465116279</v>
      </c>
      <c r="F28" s="159">
        <f t="shared" si="5"/>
        <v>901013.97904005623</v>
      </c>
      <c r="G28" s="161">
        <f t="shared" si="6"/>
        <v>119750.5281119804</v>
      </c>
      <c r="H28" s="142">
        <f t="shared" si="7"/>
        <v>119750.5281119804</v>
      </c>
      <c r="I28" s="156">
        <f t="shared" si="0"/>
        <v>0</v>
      </c>
      <c r="J28" s="156"/>
      <c r="K28" s="334"/>
      <c r="L28" s="158">
        <f t="shared" si="1"/>
        <v>0</v>
      </c>
      <c r="M28" s="334"/>
      <c r="N28" s="158">
        <f t="shared" si="2"/>
        <v>0</v>
      </c>
      <c r="O28" s="158">
        <f t="shared" si="3"/>
        <v>0</v>
      </c>
      <c r="P28" s="4"/>
    </row>
    <row r="29" spans="2:16">
      <c r="B29" s="9" t="str">
        <f t="shared" si="4"/>
        <v/>
      </c>
      <c r="C29" s="153">
        <f>IF(D11="","-",+C28+1)</f>
        <v>2028</v>
      </c>
      <c r="D29" s="159">
        <f>IF(F28+SUM(E$17:E28)=D$10,F28,D$10-SUM(E$17:E28))</f>
        <v>901013.97904005623</v>
      </c>
      <c r="E29" s="160">
        <f>IF(+I14&lt;F28,I14,D29)</f>
        <v>28624.60465116279</v>
      </c>
      <c r="F29" s="159">
        <f t="shared" si="5"/>
        <v>872389.37438889348</v>
      </c>
      <c r="G29" s="161">
        <f t="shared" si="6"/>
        <v>116900.78634705881</v>
      </c>
      <c r="H29" s="142">
        <f t="shared" si="7"/>
        <v>116900.78634705881</v>
      </c>
      <c r="I29" s="156">
        <f t="shared" si="0"/>
        <v>0</v>
      </c>
      <c r="J29" s="156"/>
      <c r="K29" s="334"/>
      <c r="L29" s="158">
        <f t="shared" si="1"/>
        <v>0</v>
      </c>
      <c r="M29" s="334"/>
      <c r="N29" s="158">
        <f t="shared" si="2"/>
        <v>0</v>
      </c>
      <c r="O29" s="158">
        <f t="shared" si="3"/>
        <v>0</v>
      </c>
      <c r="P29" s="4"/>
    </row>
    <row r="30" spans="2:16">
      <c r="B30" s="9" t="str">
        <f t="shared" si="4"/>
        <v/>
      </c>
      <c r="C30" s="153">
        <f>IF(D11="","-",+C29+1)</f>
        <v>2029</v>
      </c>
      <c r="D30" s="159">
        <f>IF(F29+SUM(E$17:E29)=D$10,F29,D$10-SUM(E$17:E29))</f>
        <v>872389.37438889348</v>
      </c>
      <c r="E30" s="160">
        <f>IF(+I14&lt;F29,I14,D30)</f>
        <v>28624.60465116279</v>
      </c>
      <c r="F30" s="159">
        <f t="shared" si="5"/>
        <v>843764.76973773073</v>
      </c>
      <c r="G30" s="161">
        <f t="shared" si="6"/>
        <v>114051.04458213723</v>
      </c>
      <c r="H30" s="142">
        <f t="shared" si="7"/>
        <v>114051.04458213723</v>
      </c>
      <c r="I30" s="156">
        <f t="shared" si="0"/>
        <v>0</v>
      </c>
      <c r="J30" s="156"/>
      <c r="K30" s="334"/>
      <c r="L30" s="158">
        <f t="shared" si="1"/>
        <v>0</v>
      </c>
      <c r="M30" s="334"/>
      <c r="N30" s="158">
        <f t="shared" si="2"/>
        <v>0</v>
      </c>
      <c r="O30" s="158">
        <f t="shared" si="3"/>
        <v>0</v>
      </c>
      <c r="P30" s="4"/>
    </row>
    <row r="31" spans="2:16">
      <c r="B31" s="9" t="str">
        <f t="shared" si="4"/>
        <v/>
      </c>
      <c r="C31" s="153">
        <f>IF(D11="","-",+C30+1)</f>
        <v>2030</v>
      </c>
      <c r="D31" s="159">
        <f>IF(F30+SUM(E$17:E30)=D$10,F30,D$10-SUM(E$17:E30))</f>
        <v>843764.76973773073</v>
      </c>
      <c r="E31" s="160">
        <f>IF(+I14&lt;F30,I14,D31)</f>
        <v>28624.60465116279</v>
      </c>
      <c r="F31" s="159">
        <f t="shared" si="5"/>
        <v>815140.16508656798</v>
      </c>
      <c r="G31" s="161">
        <f t="shared" si="6"/>
        <v>111201.30281721563</v>
      </c>
      <c r="H31" s="142">
        <f t="shared" si="7"/>
        <v>111201.30281721563</v>
      </c>
      <c r="I31" s="156">
        <f t="shared" si="0"/>
        <v>0</v>
      </c>
      <c r="J31" s="156"/>
      <c r="K31" s="334"/>
      <c r="L31" s="158">
        <f t="shared" si="1"/>
        <v>0</v>
      </c>
      <c r="M31" s="334"/>
      <c r="N31" s="158">
        <f t="shared" si="2"/>
        <v>0</v>
      </c>
      <c r="O31" s="158">
        <f t="shared" si="3"/>
        <v>0</v>
      </c>
      <c r="P31" s="4"/>
    </row>
    <row r="32" spans="2:16">
      <c r="B32" s="9" t="str">
        <f t="shared" si="4"/>
        <v/>
      </c>
      <c r="C32" s="153">
        <f>IF(D11="","-",+C31+1)</f>
        <v>2031</v>
      </c>
      <c r="D32" s="159">
        <f>IF(F31+SUM(E$17:E31)=D$10,F31,D$10-SUM(E$17:E31))</f>
        <v>815140.16508656798</v>
      </c>
      <c r="E32" s="160">
        <f>IF(+I14&lt;F31,I14,D32)</f>
        <v>28624.60465116279</v>
      </c>
      <c r="F32" s="159">
        <f t="shared" si="5"/>
        <v>786515.56043540523</v>
      </c>
      <c r="G32" s="161">
        <f t="shared" si="6"/>
        <v>108351.56105229407</v>
      </c>
      <c r="H32" s="142">
        <f t="shared" si="7"/>
        <v>108351.56105229407</v>
      </c>
      <c r="I32" s="156">
        <f t="shared" si="0"/>
        <v>0</v>
      </c>
      <c r="J32" s="156"/>
      <c r="K32" s="334"/>
      <c r="L32" s="158">
        <f t="shared" si="1"/>
        <v>0</v>
      </c>
      <c r="M32" s="334"/>
      <c r="N32" s="158">
        <f t="shared" si="2"/>
        <v>0</v>
      </c>
      <c r="O32" s="158">
        <f t="shared" si="3"/>
        <v>0</v>
      </c>
      <c r="P32" s="4"/>
    </row>
    <row r="33" spans="2:16">
      <c r="B33" s="9" t="str">
        <f t="shared" si="4"/>
        <v/>
      </c>
      <c r="C33" s="153">
        <f>IF(D11="","-",+C32+1)</f>
        <v>2032</v>
      </c>
      <c r="D33" s="159">
        <f>IF(F32+SUM(E$17:E32)=D$10,F32,D$10-SUM(E$17:E32))</f>
        <v>786515.56043540523</v>
      </c>
      <c r="E33" s="160">
        <f>IF(+I14&lt;F32,I14,D33)</f>
        <v>28624.60465116279</v>
      </c>
      <c r="F33" s="159">
        <f t="shared" si="5"/>
        <v>757890.95578424248</v>
      </c>
      <c r="G33" s="161">
        <f t="shared" si="6"/>
        <v>105501.81928737248</v>
      </c>
      <c r="H33" s="142">
        <f t="shared" si="7"/>
        <v>105501.81928737248</v>
      </c>
      <c r="I33" s="156">
        <f t="shared" si="0"/>
        <v>0</v>
      </c>
      <c r="J33" s="156"/>
      <c r="K33" s="334"/>
      <c r="L33" s="158">
        <f t="shared" si="1"/>
        <v>0</v>
      </c>
      <c r="M33" s="334"/>
      <c r="N33" s="158">
        <f t="shared" si="2"/>
        <v>0</v>
      </c>
      <c r="O33" s="158">
        <f t="shared" si="3"/>
        <v>0</v>
      </c>
      <c r="P33" s="4"/>
    </row>
    <row r="34" spans="2:16">
      <c r="B34" s="9" t="str">
        <f t="shared" si="4"/>
        <v/>
      </c>
      <c r="C34" s="153">
        <f>IF(D11="","-",+C33+1)</f>
        <v>2033</v>
      </c>
      <c r="D34" s="159">
        <f>IF(F33+SUM(E$17:E33)=D$10,F33,D$10-SUM(E$17:E33))</f>
        <v>757890.95578424248</v>
      </c>
      <c r="E34" s="160">
        <f>IF(+I14&lt;F33,I14,D34)</f>
        <v>28624.60465116279</v>
      </c>
      <c r="F34" s="159">
        <f t="shared" si="5"/>
        <v>729266.35113307973</v>
      </c>
      <c r="G34" s="161">
        <f t="shared" si="6"/>
        <v>102652.07752245091</v>
      </c>
      <c r="H34" s="142">
        <f t="shared" si="7"/>
        <v>102652.07752245091</v>
      </c>
      <c r="I34" s="156">
        <f t="shared" si="0"/>
        <v>0</v>
      </c>
      <c r="J34" s="156"/>
      <c r="K34" s="334"/>
      <c r="L34" s="158">
        <f t="shared" si="1"/>
        <v>0</v>
      </c>
      <c r="M34" s="334"/>
      <c r="N34" s="158">
        <f t="shared" si="2"/>
        <v>0</v>
      </c>
      <c r="O34" s="158">
        <f t="shared" si="3"/>
        <v>0</v>
      </c>
      <c r="P34" s="4"/>
    </row>
    <row r="35" spans="2:16">
      <c r="B35" s="9" t="str">
        <f t="shared" si="4"/>
        <v/>
      </c>
      <c r="C35" s="153">
        <f>IF(D11="","-",+C34+1)</f>
        <v>2034</v>
      </c>
      <c r="D35" s="159">
        <f>IF(F34+SUM(E$17:E34)=D$10,F34,D$10-SUM(E$17:E34))</f>
        <v>729266.35113307973</v>
      </c>
      <c r="E35" s="160">
        <f>IF(+I14&lt;F34,I14,D35)</f>
        <v>28624.60465116279</v>
      </c>
      <c r="F35" s="159">
        <f t="shared" si="5"/>
        <v>700641.74648191698</v>
      </c>
      <c r="G35" s="161">
        <f t="shared" si="6"/>
        <v>99802.335757529319</v>
      </c>
      <c r="H35" s="142">
        <f t="shared" si="7"/>
        <v>99802.335757529319</v>
      </c>
      <c r="I35" s="156">
        <f t="shared" si="0"/>
        <v>0</v>
      </c>
      <c r="J35" s="156"/>
      <c r="K35" s="334"/>
      <c r="L35" s="158">
        <f t="shared" si="1"/>
        <v>0</v>
      </c>
      <c r="M35" s="334"/>
      <c r="N35" s="158">
        <f t="shared" si="2"/>
        <v>0</v>
      </c>
      <c r="O35" s="158">
        <f t="shared" si="3"/>
        <v>0</v>
      </c>
      <c r="P35" s="4"/>
    </row>
    <row r="36" spans="2:16">
      <c r="B36" s="9" t="str">
        <f t="shared" si="4"/>
        <v/>
      </c>
      <c r="C36" s="153">
        <f>IF(D11="","-",+C35+1)</f>
        <v>2035</v>
      </c>
      <c r="D36" s="159">
        <f>IF(F35+SUM(E$17:E35)=D$10,F35,D$10-SUM(E$17:E35))</f>
        <v>700641.74648191698</v>
      </c>
      <c r="E36" s="160">
        <f>IF(+I14&lt;F35,I14,D36)</f>
        <v>28624.60465116279</v>
      </c>
      <c r="F36" s="159">
        <f t="shared" si="5"/>
        <v>672017.14183075423</v>
      </c>
      <c r="G36" s="161">
        <f t="shared" si="6"/>
        <v>96952.593992607741</v>
      </c>
      <c r="H36" s="142">
        <f t="shared" si="7"/>
        <v>96952.593992607741</v>
      </c>
      <c r="I36" s="156">
        <f t="shared" si="0"/>
        <v>0</v>
      </c>
      <c r="J36" s="156"/>
      <c r="K36" s="334"/>
      <c r="L36" s="158">
        <f t="shared" si="1"/>
        <v>0</v>
      </c>
      <c r="M36" s="334"/>
      <c r="N36" s="158">
        <f t="shared" si="2"/>
        <v>0</v>
      </c>
      <c r="O36" s="158">
        <f t="shared" si="3"/>
        <v>0</v>
      </c>
      <c r="P36" s="4"/>
    </row>
    <row r="37" spans="2:16">
      <c r="B37" s="9" t="str">
        <f t="shared" si="4"/>
        <v/>
      </c>
      <c r="C37" s="153">
        <f>IF(D11="","-",+C36+1)</f>
        <v>2036</v>
      </c>
      <c r="D37" s="159">
        <f>IF(F36+SUM(E$17:E36)=D$10,F36,D$10-SUM(E$17:E36))</f>
        <v>672017.14183075423</v>
      </c>
      <c r="E37" s="160">
        <f>IF(+I14&lt;F36,I14,D37)</f>
        <v>28624.60465116279</v>
      </c>
      <c r="F37" s="159">
        <f t="shared" si="5"/>
        <v>643392.53717959148</v>
      </c>
      <c r="G37" s="161">
        <f t="shared" si="6"/>
        <v>94102.852227686148</v>
      </c>
      <c r="H37" s="142">
        <f t="shared" si="7"/>
        <v>94102.852227686148</v>
      </c>
      <c r="I37" s="156">
        <f t="shared" si="0"/>
        <v>0</v>
      </c>
      <c r="J37" s="156"/>
      <c r="K37" s="334"/>
      <c r="L37" s="158">
        <f t="shared" si="1"/>
        <v>0</v>
      </c>
      <c r="M37" s="334"/>
      <c r="N37" s="158">
        <f t="shared" si="2"/>
        <v>0</v>
      </c>
      <c r="O37" s="158">
        <f t="shared" si="3"/>
        <v>0</v>
      </c>
      <c r="P37" s="4"/>
    </row>
    <row r="38" spans="2:16">
      <c r="B38" s="9" t="str">
        <f t="shared" si="4"/>
        <v/>
      </c>
      <c r="C38" s="153">
        <f>IF(D11="","-",+C37+1)</f>
        <v>2037</v>
      </c>
      <c r="D38" s="159">
        <f>IF(F37+SUM(E$17:E37)=D$10,F37,D$10-SUM(E$17:E37))</f>
        <v>643392.53717959148</v>
      </c>
      <c r="E38" s="160">
        <f>IF(+I14&lt;F37,I14,D38)</f>
        <v>28624.60465116279</v>
      </c>
      <c r="F38" s="159">
        <f t="shared" si="5"/>
        <v>614767.93252842873</v>
      </c>
      <c r="G38" s="161">
        <f t="shared" si="6"/>
        <v>91253.110462764569</v>
      </c>
      <c r="H38" s="142">
        <f t="shared" si="7"/>
        <v>91253.110462764569</v>
      </c>
      <c r="I38" s="156">
        <f t="shared" si="0"/>
        <v>0</v>
      </c>
      <c r="J38" s="156"/>
      <c r="K38" s="334"/>
      <c r="L38" s="158">
        <f t="shared" si="1"/>
        <v>0</v>
      </c>
      <c r="M38" s="334"/>
      <c r="N38" s="158">
        <f t="shared" si="2"/>
        <v>0</v>
      </c>
      <c r="O38" s="158">
        <f t="shared" si="3"/>
        <v>0</v>
      </c>
      <c r="P38" s="4"/>
    </row>
    <row r="39" spans="2:16">
      <c r="B39" s="9" t="str">
        <f t="shared" si="4"/>
        <v/>
      </c>
      <c r="C39" s="153">
        <f>IF(D11="","-",+C38+1)</f>
        <v>2038</v>
      </c>
      <c r="D39" s="159">
        <f>IF(F38+SUM(E$17:E38)=D$10,F38,D$10-SUM(E$17:E38))</f>
        <v>614767.93252842873</v>
      </c>
      <c r="E39" s="160">
        <f>IF(+I14&lt;F38,I14,D39)</f>
        <v>28624.60465116279</v>
      </c>
      <c r="F39" s="159">
        <f t="shared" si="5"/>
        <v>586143.32787726598</v>
      </c>
      <c r="G39" s="161">
        <f t="shared" si="6"/>
        <v>88403.368697842991</v>
      </c>
      <c r="H39" s="142">
        <f t="shared" si="7"/>
        <v>88403.368697842991</v>
      </c>
      <c r="I39" s="156">
        <f t="shared" si="0"/>
        <v>0</v>
      </c>
      <c r="J39" s="156"/>
      <c r="K39" s="334"/>
      <c r="L39" s="158">
        <f t="shared" si="1"/>
        <v>0</v>
      </c>
      <c r="M39" s="334"/>
      <c r="N39" s="158">
        <f t="shared" si="2"/>
        <v>0</v>
      </c>
      <c r="O39" s="158">
        <f t="shared" si="3"/>
        <v>0</v>
      </c>
      <c r="P39" s="4"/>
    </row>
    <row r="40" spans="2:16">
      <c r="B40" s="9" t="str">
        <f t="shared" si="4"/>
        <v/>
      </c>
      <c r="C40" s="153">
        <f>IF(D11="","-",+C39+1)</f>
        <v>2039</v>
      </c>
      <c r="D40" s="159">
        <f>IF(F39+SUM(E$17:E39)=D$10,F39,D$10-SUM(E$17:E39))</f>
        <v>586143.32787726598</v>
      </c>
      <c r="E40" s="160">
        <f>IF(+I14&lt;F39,I14,D40)</f>
        <v>28624.60465116279</v>
      </c>
      <c r="F40" s="159">
        <f t="shared" si="5"/>
        <v>557518.72322610323</v>
      </c>
      <c r="G40" s="161">
        <f t="shared" si="6"/>
        <v>85553.626932921412</v>
      </c>
      <c r="H40" s="142">
        <f t="shared" si="7"/>
        <v>85553.626932921412</v>
      </c>
      <c r="I40" s="156">
        <f t="shared" si="0"/>
        <v>0</v>
      </c>
      <c r="J40" s="156"/>
      <c r="K40" s="334"/>
      <c r="L40" s="158">
        <f t="shared" si="1"/>
        <v>0</v>
      </c>
      <c r="M40" s="334"/>
      <c r="N40" s="158">
        <f t="shared" si="2"/>
        <v>0</v>
      </c>
      <c r="O40" s="158">
        <f t="shared" si="3"/>
        <v>0</v>
      </c>
      <c r="P40" s="4"/>
    </row>
    <row r="41" spans="2:16">
      <c r="B41" s="9" t="str">
        <f t="shared" si="4"/>
        <v/>
      </c>
      <c r="C41" s="153">
        <f>IF(D11="","-",+C40+1)</f>
        <v>2040</v>
      </c>
      <c r="D41" s="159">
        <f>IF(F40+SUM(E$17:E40)=D$10,F40,D$10-SUM(E$17:E40))</f>
        <v>557518.72322610323</v>
      </c>
      <c r="E41" s="160">
        <f>IF(+I14&lt;F40,I14,D41)</f>
        <v>28624.60465116279</v>
      </c>
      <c r="F41" s="159">
        <f t="shared" si="5"/>
        <v>528894.11857494048</v>
      </c>
      <c r="G41" s="161">
        <f t="shared" si="6"/>
        <v>82703.885167999819</v>
      </c>
      <c r="H41" s="142">
        <f t="shared" si="7"/>
        <v>82703.885167999819</v>
      </c>
      <c r="I41" s="156">
        <f t="shared" si="0"/>
        <v>0</v>
      </c>
      <c r="J41" s="156"/>
      <c r="K41" s="334"/>
      <c r="L41" s="158">
        <f t="shared" si="1"/>
        <v>0</v>
      </c>
      <c r="M41" s="334"/>
      <c r="N41" s="158">
        <f t="shared" si="2"/>
        <v>0</v>
      </c>
      <c r="O41" s="158">
        <f t="shared" si="3"/>
        <v>0</v>
      </c>
      <c r="P41" s="4"/>
    </row>
    <row r="42" spans="2:16">
      <c r="B42" s="9" t="str">
        <f t="shared" si="4"/>
        <v/>
      </c>
      <c r="C42" s="153">
        <f>IF(D11="","-",+C41+1)</f>
        <v>2041</v>
      </c>
      <c r="D42" s="159">
        <f>IF(F41+SUM(E$17:E41)=D$10,F41,D$10-SUM(E$17:E41))</f>
        <v>528894.11857494048</v>
      </c>
      <c r="E42" s="160">
        <f>IF(+I14&lt;F41,I14,D42)</f>
        <v>28624.60465116279</v>
      </c>
      <c r="F42" s="159">
        <f t="shared" si="5"/>
        <v>500269.51392377767</v>
      </c>
      <c r="G42" s="161">
        <f t="shared" si="6"/>
        <v>79854.14340307824</v>
      </c>
      <c r="H42" s="142">
        <f t="shared" si="7"/>
        <v>79854.14340307824</v>
      </c>
      <c r="I42" s="156">
        <f t="shared" si="0"/>
        <v>0</v>
      </c>
      <c r="J42" s="156"/>
      <c r="K42" s="334"/>
      <c r="L42" s="158">
        <f t="shared" si="1"/>
        <v>0</v>
      </c>
      <c r="M42" s="334"/>
      <c r="N42" s="158">
        <f t="shared" si="2"/>
        <v>0</v>
      </c>
      <c r="O42" s="158">
        <f t="shared" si="3"/>
        <v>0</v>
      </c>
      <c r="P42" s="4"/>
    </row>
    <row r="43" spans="2:16">
      <c r="B43" s="9" t="str">
        <f t="shared" si="4"/>
        <v/>
      </c>
      <c r="C43" s="153">
        <f>IF(D11="","-",+C42+1)</f>
        <v>2042</v>
      </c>
      <c r="D43" s="159">
        <f>IF(F42+SUM(E$17:E42)=D$10,F42,D$10-SUM(E$17:E42))</f>
        <v>500269.51392377767</v>
      </c>
      <c r="E43" s="160">
        <f>IF(+I14&lt;F42,I14,D43)</f>
        <v>28624.60465116279</v>
      </c>
      <c r="F43" s="159">
        <f t="shared" si="5"/>
        <v>471644.90927261487</v>
      </c>
      <c r="G43" s="161">
        <f t="shared" si="6"/>
        <v>77004.401638156662</v>
      </c>
      <c r="H43" s="142">
        <f t="shared" si="7"/>
        <v>77004.401638156662</v>
      </c>
      <c r="I43" s="156">
        <f t="shared" si="0"/>
        <v>0</v>
      </c>
      <c r="J43" s="156"/>
      <c r="K43" s="334"/>
      <c r="L43" s="158">
        <f t="shared" si="1"/>
        <v>0</v>
      </c>
      <c r="M43" s="334"/>
      <c r="N43" s="158">
        <f t="shared" si="2"/>
        <v>0</v>
      </c>
      <c r="O43" s="158">
        <f t="shared" si="3"/>
        <v>0</v>
      </c>
      <c r="P43" s="4"/>
    </row>
    <row r="44" spans="2:16">
      <c r="B44" s="9" t="str">
        <f t="shared" si="4"/>
        <v/>
      </c>
      <c r="C44" s="153">
        <f>IF(D11="","-",+C43+1)</f>
        <v>2043</v>
      </c>
      <c r="D44" s="159">
        <f>IF(F43+SUM(E$17:E43)=D$10,F43,D$10-SUM(E$17:E43))</f>
        <v>471644.90927261487</v>
      </c>
      <c r="E44" s="160">
        <f>IF(+I14&lt;F43,I14,D44)</f>
        <v>28624.60465116279</v>
      </c>
      <c r="F44" s="159">
        <f t="shared" si="5"/>
        <v>443020.30462145206</v>
      </c>
      <c r="G44" s="161">
        <f t="shared" si="6"/>
        <v>74154.659873235069</v>
      </c>
      <c r="H44" s="142">
        <f t="shared" si="7"/>
        <v>74154.659873235069</v>
      </c>
      <c r="I44" s="156">
        <f t="shared" si="0"/>
        <v>0</v>
      </c>
      <c r="J44" s="156"/>
      <c r="K44" s="334"/>
      <c r="L44" s="158">
        <f t="shared" si="1"/>
        <v>0</v>
      </c>
      <c r="M44" s="334"/>
      <c r="N44" s="158">
        <f t="shared" si="2"/>
        <v>0</v>
      </c>
      <c r="O44" s="158">
        <f t="shared" si="3"/>
        <v>0</v>
      </c>
      <c r="P44" s="4"/>
    </row>
    <row r="45" spans="2:16">
      <c r="B45" s="9" t="str">
        <f t="shared" si="4"/>
        <v/>
      </c>
      <c r="C45" s="153">
        <f>IF(D11="","-",+C44+1)</f>
        <v>2044</v>
      </c>
      <c r="D45" s="159">
        <f>IF(F44+SUM(E$17:E44)=D$10,F44,D$10-SUM(E$17:E44))</f>
        <v>443020.30462145206</v>
      </c>
      <c r="E45" s="160">
        <f>IF(+I14&lt;F44,I14,D45)</f>
        <v>28624.60465116279</v>
      </c>
      <c r="F45" s="159">
        <f t="shared" si="5"/>
        <v>414395.69997028925</v>
      </c>
      <c r="G45" s="161">
        <f t="shared" si="6"/>
        <v>71304.91810831349</v>
      </c>
      <c r="H45" s="142">
        <f t="shared" si="7"/>
        <v>71304.91810831349</v>
      </c>
      <c r="I45" s="156">
        <f t="shared" si="0"/>
        <v>0</v>
      </c>
      <c r="J45" s="156"/>
      <c r="K45" s="334"/>
      <c r="L45" s="158">
        <f t="shared" si="1"/>
        <v>0</v>
      </c>
      <c r="M45" s="334"/>
      <c r="N45" s="158">
        <f t="shared" si="2"/>
        <v>0</v>
      </c>
      <c r="O45" s="158">
        <f t="shared" si="3"/>
        <v>0</v>
      </c>
      <c r="P45" s="4"/>
    </row>
    <row r="46" spans="2:16">
      <c r="B46" s="9" t="str">
        <f t="shared" si="4"/>
        <v/>
      </c>
      <c r="C46" s="153">
        <f>IF(D11="","-",+C45+1)</f>
        <v>2045</v>
      </c>
      <c r="D46" s="159">
        <f>IF(F45+SUM(E$17:E45)=D$10,F45,D$10-SUM(E$17:E45))</f>
        <v>414395.69997028925</v>
      </c>
      <c r="E46" s="160">
        <f>IF(+I14&lt;F45,I14,D46)</f>
        <v>28624.60465116279</v>
      </c>
      <c r="F46" s="159">
        <f t="shared" si="5"/>
        <v>385771.09531912644</v>
      </c>
      <c r="G46" s="161">
        <f t="shared" si="6"/>
        <v>68455.176343391897</v>
      </c>
      <c r="H46" s="142">
        <f t="shared" si="7"/>
        <v>68455.176343391897</v>
      </c>
      <c r="I46" s="156">
        <f t="shared" si="0"/>
        <v>0</v>
      </c>
      <c r="J46" s="156"/>
      <c r="K46" s="334"/>
      <c r="L46" s="158">
        <f t="shared" si="1"/>
        <v>0</v>
      </c>
      <c r="M46" s="334"/>
      <c r="N46" s="158">
        <f t="shared" si="2"/>
        <v>0</v>
      </c>
      <c r="O46" s="158">
        <f t="shared" si="3"/>
        <v>0</v>
      </c>
      <c r="P46" s="4"/>
    </row>
    <row r="47" spans="2:16">
      <c r="B47" s="9" t="str">
        <f t="shared" si="4"/>
        <v/>
      </c>
      <c r="C47" s="153">
        <f>IF(D11="","-",+C46+1)</f>
        <v>2046</v>
      </c>
      <c r="D47" s="159">
        <f>IF(F46+SUM(E$17:E46)=D$10,F46,D$10-SUM(E$17:E46))</f>
        <v>385771.09531912644</v>
      </c>
      <c r="E47" s="160">
        <f>IF(+I14&lt;F46,I14,D47)</f>
        <v>28624.60465116279</v>
      </c>
      <c r="F47" s="159">
        <f t="shared" si="5"/>
        <v>357146.49066796363</v>
      </c>
      <c r="G47" s="161">
        <f t="shared" si="6"/>
        <v>65605.434578470304</v>
      </c>
      <c r="H47" s="142">
        <f t="shared" si="7"/>
        <v>65605.434578470304</v>
      </c>
      <c r="I47" s="156">
        <f t="shared" si="0"/>
        <v>0</v>
      </c>
      <c r="J47" s="156"/>
      <c r="K47" s="334"/>
      <c r="L47" s="158">
        <f t="shared" si="1"/>
        <v>0</v>
      </c>
      <c r="M47" s="334"/>
      <c r="N47" s="158">
        <f t="shared" si="2"/>
        <v>0</v>
      </c>
      <c r="O47" s="158">
        <f t="shared" si="3"/>
        <v>0</v>
      </c>
      <c r="P47" s="4"/>
    </row>
    <row r="48" spans="2:16">
      <c r="B48" s="9" t="str">
        <f t="shared" si="4"/>
        <v/>
      </c>
      <c r="C48" s="153">
        <f>IF(D11="","-",+C47+1)</f>
        <v>2047</v>
      </c>
      <c r="D48" s="159">
        <f>IF(F47+SUM(E$17:E47)=D$10,F47,D$10-SUM(E$17:E47))</f>
        <v>357146.49066796363</v>
      </c>
      <c r="E48" s="160">
        <f>IF(+I14&lt;F47,I14,D48)</f>
        <v>28624.60465116279</v>
      </c>
      <c r="F48" s="159">
        <f t="shared" si="5"/>
        <v>328521.88601680083</v>
      </c>
      <c r="G48" s="161">
        <f t="shared" si="6"/>
        <v>62755.692813548711</v>
      </c>
      <c r="H48" s="142">
        <f t="shared" si="7"/>
        <v>62755.692813548711</v>
      </c>
      <c r="I48" s="156">
        <f t="shared" si="0"/>
        <v>0</v>
      </c>
      <c r="J48" s="156"/>
      <c r="K48" s="334"/>
      <c r="L48" s="158">
        <f t="shared" si="1"/>
        <v>0</v>
      </c>
      <c r="M48" s="334"/>
      <c r="N48" s="158">
        <f t="shared" si="2"/>
        <v>0</v>
      </c>
      <c r="O48" s="158">
        <f t="shared" si="3"/>
        <v>0</v>
      </c>
      <c r="P48" s="4"/>
    </row>
    <row r="49" spans="2:16">
      <c r="B49" s="9" t="str">
        <f t="shared" si="4"/>
        <v/>
      </c>
      <c r="C49" s="153">
        <f>IF(D11="","-",+C48+1)</f>
        <v>2048</v>
      </c>
      <c r="D49" s="159">
        <f>IF(F48+SUM(E$17:E48)=D$10,F48,D$10-SUM(E$17:E48))</f>
        <v>328521.88601680083</v>
      </c>
      <c r="E49" s="160">
        <f>IF(+I14&lt;F48,I14,D49)</f>
        <v>28624.60465116279</v>
      </c>
      <c r="F49" s="159">
        <f t="shared" si="5"/>
        <v>299897.28136563802</v>
      </c>
      <c r="G49" s="161">
        <f t="shared" si="6"/>
        <v>59905.951048627132</v>
      </c>
      <c r="H49" s="142">
        <f t="shared" si="7"/>
        <v>59905.951048627132</v>
      </c>
      <c r="I49" s="156">
        <f t="shared" si="0"/>
        <v>0</v>
      </c>
      <c r="J49" s="156"/>
      <c r="K49" s="334"/>
      <c r="L49" s="158">
        <f t="shared" si="1"/>
        <v>0</v>
      </c>
      <c r="M49" s="334"/>
      <c r="N49" s="158">
        <f t="shared" si="2"/>
        <v>0</v>
      </c>
      <c r="O49" s="158">
        <f t="shared" si="3"/>
        <v>0</v>
      </c>
      <c r="P49" s="4"/>
    </row>
    <row r="50" spans="2:16">
      <c r="B50" s="9" t="str">
        <f t="shared" si="4"/>
        <v/>
      </c>
      <c r="C50" s="153">
        <f>IF(D11="","-",+C49+1)</f>
        <v>2049</v>
      </c>
      <c r="D50" s="159">
        <f>IF(F49+SUM(E$17:E49)=D$10,F49,D$10-SUM(E$17:E49))</f>
        <v>299897.28136563802</v>
      </c>
      <c r="E50" s="160">
        <f>IF(+I14&lt;F49,I14,D50)</f>
        <v>28624.60465116279</v>
      </c>
      <c r="F50" s="159">
        <f t="shared" si="5"/>
        <v>271272.67671447521</v>
      </c>
      <c r="G50" s="161">
        <f t="shared" ref="G50:G72" si="8">+I$12*((D50+F50)/2)+E50</f>
        <v>57056.209283705539</v>
      </c>
      <c r="H50" s="142">
        <f t="shared" ref="H50:H72" si="9">+I$13*((D50+F50)/2)+E50</f>
        <v>57056.209283705539</v>
      </c>
      <c r="I50" s="156">
        <f t="shared" si="0"/>
        <v>0</v>
      </c>
      <c r="J50" s="156"/>
      <c r="K50" s="334"/>
      <c r="L50" s="158">
        <f t="shared" si="1"/>
        <v>0</v>
      </c>
      <c r="M50" s="334"/>
      <c r="N50" s="158">
        <f t="shared" si="2"/>
        <v>0</v>
      </c>
      <c r="O50" s="158">
        <f t="shared" si="3"/>
        <v>0</v>
      </c>
      <c r="P50" s="4"/>
    </row>
    <row r="51" spans="2:16">
      <c r="B51" s="9" t="str">
        <f t="shared" si="4"/>
        <v/>
      </c>
      <c r="C51" s="153">
        <f>IF(D11="","-",+C50+1)</f>
        <v>2050</v>
      </c>
      <c r="D51" s="159">
        <f>IF(F50+SUM(E$17:E50)=D$10,F50,D$10-SUM(E$17:E50))</f>
        <v>271272.67671447521</v>
      </c>
      <c r="E51" s="160">
        <f>IF(+I14&lt;F50,I14,D51)</f>
        <v>28624.60465116279</v>
      </c>
      <c r="F51" s="159">
        <f t="shared" si="5"/>
        <v>242648.07206331243</v>
      </c>
      <c r="G51" s="161">
        <f t="shared" si="8"/>
        <v>54206.46751878396</v>
      </c>
      <c r="H51" s="142">
        <f t="shared" si="9"/>
        <v>54206.46751878396</v>
      </c>
      <c r="I51" s="156">
        <f t="shared" si="0"/>
        <v>0</v>
      </c>
      <c r="J51" s="156"/>
      <c r="K51" s="334"/>
      <c r="L51" s="158">
        <f t="shared" si="1"/>
        <v>0</v>
      </c>
      <c r="M51" s="334"/>
      <c r="N51" s="158">
        <f t="shared" si="2"/>
        <v>0</v>
      </c>
      <c r="O51" s="158">
        <f t="shared" si="3"/>
        <v>0</v>
      </c>
      <c r="P51" s="4"/>
    </row>
    <row r="52" spans="2:16">
      <c r="B52" s="9" t="str">
        <f t="shared" si="4"/>
        <v/>
      </c>
      <c r="C52" s="153">
        <f>IF(D11="","-",+C51+1)</f>
        <v>2051</v>
      </c>
      <c r="D52" s="159">
        <f>IF(F51+SUM(E$17:E51)=D$10,F51,D$10-SUM(E$17:E51))</f>
        <v>242648.07206331243</v>
      </c>
      <c r="E52" s="160">
        <f>IF(+I14&lt;F51,I14,D52)</f>
        <v>28624.60465116279</v>
      </c>
      <c r="F52" s="159">
        <f t="shared" si="5"/>
        <v>214023.46741214965</v>
      </c>
      <c r="G52" s="161">
        <f t="shared" si="8"/>
        <v>51356.725753862374</v>
      </c>
      <c r="H52" s="142">
        <f t="shared" si="9"/>
        <v>51356.725753862374</v>
      </c>
      <c r="I52" s="156">
        <f t="shared" si="0"/>
        <v>0</v>
      </c>
      <c r="J52" s="156"/>
      <c r="K52" s="334"/>
      <c r="L52" s="158">
        <f t="shared" si="1"/>
        <v>0</v>
      </c>
      <c r="M52" s="334"/>
      <c r="N52" s="158">
        <f t="shared" si="2"/>
        <v>0</v>
      </c>
      <c r="O52" s="158">
        <f t="shared" si="3"/>
        <v>0</v>
      </c>
      <c r="P52" s="4"/>
    </row>
    <row r="53" spans="2:16">
      <c r="B53" s="9" t="str">
        <f t="shared" si="4"/>
        <v/>
      </c>
      <c r="C53" s="153">
        <f>IF(D11="","-",+C52+1)</f>
        <v>2052</v>
      </c>
      <c r="D53" s="159">
        <f>IF(F52+SUM(E$17:E52)=D$10,F52,D$10-SUM(E$17:E52))</f>
        <v>214023.46741214965</v>
      </c>
      <c r="E53" s="160">
        <f>IF(+I14&lt;F52,I14,D53)</f>
        <v>28624.60465116279</v>
      </c>
      <c r="F53" s="159">
        <f t="shared" si="5"/>
        <v>185398.86276098687</v>
      </c>
      <c r="G53" s="161">
        <f t="shared" si="8"/>
        <v>48506.983988940789</v>
      </c>
      <c r="H53" s="142">
        <f t="shared" si="9"/>
        <v>48506.983988940789</v>
      </c>
      <c r="I53" s="156">
        <f t="shared" si="0"/>
        <v>0</v>
      </c>
      <c r="J53" s="156"/>
      <c r="K53" s="334"/>
      <c r="L53" s="158">
        <f t="shared" si="1"/>
        <v>0</v>
      </c>
      <c r="M53" s="334"/>
      <c r="N53" s="158">
        <f t="shared" si="2"/>
        <v>0</v>
      </c>
      <c r="O53" s="158">
        <f t="shared" si="3"/>
        <v>0</v>
      </c>
      <c r="P53" s="4"/>
    </row>
    <row r="54" spans="2:16">
      <c r="B54" s="9" t="str">
        <f t="shared" si="4"/>
        <v/>
      </c>
      <c r="C54" s="153">
        <f>IF(D11="","-",+C53+1)</f>
        <v>2053</v>
      </c>
      <c r="D54" s="159">
        <f>IF(F53+SUM(E$17:E53)=D$10,F53,D$10-SUM(E$17:E53))</f>
        <v>185398.86276098687</v>
      </c>
      <c r="E54" s="160">
        <f>IF(+I14&lt;F53,I14,D54)</f>
        <v>28624.60465116279</v>
      </c>
      <c r="F54" s="159">
        <f t="shared" si="5"/>
        <v>156774.25810982409</v>
      </c>
      <c r="G54" s="161">
        <f t="shared" si="8"/>
        <v>45657.24222401921</v>
      </c>
      <c r="H54" s="142">
        <f t="shared" si="9"/>
        <v>45657.24222401921</v>
      </c>
      <c r="I54" s="156">
        <f t="shared" si="0"/>
        <v>0</v>
      </c>
      <c r="J54" s="156"/>
      <c r="K54" s="334"/>
      <c r="L54" s="158">
        <f t="shared" si="1"/>
        <v>0</v>
      </c>
      <c r="M54" s="334"/>
      <c r="N54" s="158">
        <f t="shared" si="2"/>
        <v>0</v>
      </c>
      <c r="O54" s="158">
        <f t="shared" si="3"/>
        <v>0</v>
      </c>
      <c r="P54" s="4"/>
    </row>
    <row r="55" spans="2:16">
      <c r="B55" s="9" t="str">
        <f t="shared" si="4"/>
        <v/>
      </c>
      <c r="C55" s="153">
        <f>IF(D11="","-",+C54+1)</f>
        <v>2054</v>
      </c>
      <c r="D55" s="159">
        <f>IF(F54+SUM(E$17:E54)=D$10,F54,D$10-SUM(E$17:E54))</f>
        <v>156774.25810982409</v>
      </c>
      <c r="E55" s="160">
        <f>IF(+I14&lt;F54,I14,D55)</f>
        <v>28624.60465116279</v>
      </c>
      <c r="F55" s="159">
        <f t="shared" si="5"/>
        <v>128149.6534586613</v>
      </c>
      <c r="G55" s="161">
        <f t="shared" si="8"/>
        <v>42807.500459097617</v>
      </c>
      <c r="H55" s="142">
        <f t="shared" si="9"/>
        <v>42807.500459097617</v>
      </c>
      <c r="I55" s="156">
        <f t="shared" si="0"/>
        <v>0</v>
      </c>
      <c r="J55" s="156"/>
      <c r="K55" s="334"/>
      <c r="L55" s="158">
        <f t="shared" si="1"/>
        <v>0</v>
      </c>
      <c r="M55" s="334"/>
      <c r="N55" s="158">
        <f t="shared" si="2"/>
        <v>0</v>
      </c>
      <c r="O55" s="158">
        <f t="shared" si="3"/>
        <v>0</v>
      </c>
      <c r="P55" s="4"/>
    </row>
    <row r="56" spans="2:16">
      <c r="B56" s="9" t="str">
        <f t="shared" si="4"/>
        <v/>
      </c>
      <c r="C56" s="153">
        <f>IF(D11="","-",+C55+1)</f>
        <v>2055</v>
      </c>
      <c r="D56" s="159">
        <f>IF(F55+SUM(E$17:E55)=D$10,F55,D$10-SUM(E$17:E55))</f>
        <v>128149.6534586613</v>
      </c>
      <c r="E56" s="160">
        <f>IF(+I14&lt;F55,I14,D56)</f>
        <v>28624.60465116279</v>
      </c>
      <c r="F56" s="159">
        <f t="shared" si="5"/>
        <v>99525.048807498504</v>
      </c>
      <c r="G56" s="161">
        <f t="shared" si="8"/>
        <v>39957.758694176038</v>
      </c>
      <c r="H56" s="142">
        <f t="shared" si="9"/>
        <v>39957.758694176038</v>
      </c>
      <c r="I56" s="156">
        <f t="shared" si="0"/>
        <v>0</v>
      </c>
      <c r="J56" s="156"/>
      <c r="K56" s="334"/>
      <c r="L56" s="158">
        <f t="shared" si="1"/>
        <v>0</v>
      </c>
      <c r="M56" s="334"/>
      <c r="N56" s="158">
        <f t="shared" si="2"/>
        <v>0</v>
      </c>
      <c r="O56" s="158">
        <f t="shared" si="3"/>
        <v>0</v>
      </c>
      <c r="P56" s="4"/>
    </row>
    <row r="57" spans="2:16">
      <c r="B57" s="9" t="str">
        <f t="shared" si="4"/>
        <v/>
      </c>
      <c r="C57" s="153">
        <f>IF(D11="","-",+C56+1)</f>
        <v>2056</v>
      </c>
      <c r="D57" s="159">
        <f>IF(F56+SUM(E$17:E56)=D$10,F56,D$10-SUM(E$17:E56))</f>
        <v>99525.048807498504</v>
      </c>
      <c r="E57" s="160">
        <f>IF(+I14&lt;F56,I14,D57)</f>
        <v>28624.60465116279</v>
      </c>
      <c r="F57" s="159">
        <f t="shared" si="5"/>
        <v>70900.44415633571</v>
      </c>
      <c r="G57" s="161">
        <f t="shared" si="8"/>
        <v>37108.016929254452</v>
      </c>
      <c r="H57" s="142">
        <f t="shared" si="9"/>
        <v>37108.016929254452</v>
      </c>
      <c r="I57" s="156">
        <f t="shared" si="0"/>
        <v>0</v>
      </c>
      <c r="J57" s="156"/>
      <c r="K57" s="334"/>
      <c r="L57" s="158">
        <f t="shared" si="1"/>
        <v>0</v>
      </c>
      <c r="M57" s="334"/>
      <c r="N57" s="158">
        <f t="shared" si="2"/>
        <v>0</v>
      </c>
      <c r="O57" s="158">
        <f t="shared" si="3"/>
        <v>0</v>
      </c>
      <c r="P57" s="4"/>
    </row>
    <row r="58" spans="2:16">
      <c r="B58" s="9" t="str">
        <f t="shared" si="4"/>
        <v/>
      </c>
      <c r="C58" s="153">
        <f>IF(D11="","-",+C57+1)</f>
        <v>2057</v>
      </c>
      <c r="D58" s="159">
        <f>IF(F57+SUM(E$17:E57)=D$10,F57,D$10-SUM(E$17:E57))</f>
        <v>70900.44415633571</v>
      </c>
      <c r="E58" s="160">
        <f>IF(+I14&lt;F57,I14,D58)</f>
        <v>28624.60465116279</v>
      </c>
      <c r="F58" s="159">
        <f t="shared" si="5"/>
        <v>42275.839505172917</v>
      </c>
      <c r="G58" s="161">
        <f t="shared" si="8"/>
        <v>34258.275164332867</v>
      </c>
      <c r="H58" s="142">
        <f t="shared" si="9"/>
        <v>34258.275164332867</v>
      </c>
      <c r="I58" s="156">
        <f t="shared" si="0"/>
        <v>0</v>
      </c>
      <c r="J58" s="156"/>
      <c r="K58" s="334"/>
      <c r="L58" s="158">
        <f t="shared" si="1"/>
        <v>0</v>
      </c>
      <c r="M58" s="334"/>
      <c r="N58" s="158">
        <f t="shared" si="2"/>
        <v>0</v>
      </c>
      <c r="O58" s="158">
        <f t="shared" si="3"/>
        <v>0</v>
      </c>
      <c r="P58" s="4"/>
    </row>
    <row r="59" spans="2:16">
      <c r="B59" s="9" t="str">
        <f t="shared" si="4"/>
        <v/>
      </c>
      <c r="C59" s="153">
        <f>IF(D11="","-",+C58+1)</f>
        <v>2058</v>
      </c>
      <c r="D59" s="159">
        <f>IF(F58+SUM(E$17:E58)=D$10,F58,D$10-SUM(E$17:E58))</f>
        <v>42275.839505172917</v>
      </c>
      <c r="E59" s="160">
        <f>IF(+I14&lt;F58,I14,D59)</f>
        <v>28624.60465116279</v>
      </c>
      <c r="F59" s="159">
        <f t="shared" si="5"/>
        <v>13651.234854010127</v>
      </c>
      <c r="G59" s="161">
        <f t="shared" si="8"/>
        <v>31408.533399411281</v>
      </c>
      <c r="H59" s="142">
        <f t="shared" si="9"/>
        <v>31408.533399411281</v>
      </c>
      <c r="I59" s="156">
        <f t="shared" si="0"/>
        <v>0</v>
      </c>
      <c r="J59" s="156"/>
      <c r="K59" s="334"/>
      <c r="L59" s="158">
        <f t="shared" si="1"/>
        <v>0</v>
      </c>
      <c r="M59" s="334"/>
      <c r="N59" s="158">
        <f t="shared" si="2"/>
        <v>0</v>
      </c>
      <c r="O59" s="158">
        <f t="shared" si="3"/>
        <v>0</v>
      </c>
      <c r="P59" s="4"/>
    </row>
    <row r="60" spans="2:16">
      <c r="B60" s="9" t="str">
        <f t="shared" si="4"/>
        <v/>
      </c>
      <c r="C60" s="153">
        <f>IF(D11="","-",+C59+1)</f>
        <v>2059</v>
      </c>
      <c r="D60" s="159">
        <f>IF(F59+SUM(E$17:E59)=D$10,F59,D$10-SUM(E$17:E59))</f>
        <v>13651.234854010127</v>
      </c>
      <c r="E60" s="160">
        <f>IF(+I14&lt;F59,I14,D60)</f>
        <v>13651.234854010127</v>
      </c>
      <c r="F60" s="159">
        <f t="shared" si="5"/>
        <v>0</v>
      </c>
      <c r="G60" s="161">
        <f t="shared" si="8"/>
        <v>14330.763786903975</v>
      </c>
      <c r="H60" s="142">
        <f t="shared" si="9"/>
        <v>14330.763786903975</v>
      </c>
      <c r="I60" s="156">
        <f t="shared" si="0"/>
        <v>0</v>
      </c>
      <c r="J60" s="156"/>
      <c r="K60" s="334"/>
      <c r="L60" s="158">
        <f t="shared" si="1"/>
        <v>0</v>
      </c>
      <c r="M60" s="334"/>
      <c r="N60" s="158">
        <f t="shared" si="2"/>
        <v>0</v>
      </c>
      <c r="O60" s="158">
        <f t="shared" si="3"/>
        <v>0</v>
      </c>
      <c r="P60" s="4"/>
    </row>
    <row r="61" spans="2:16">
      <c r="B61" s="9" t="str">
        <f t="shared" si="4"/>
        <v/>
      </c>
      <c r="C61" s="153">
        <f>IF(D11="","-",+C60+1)</f>
        <v>2060</v>
      </c>
      <c r="D61" s="159">
        <f>IF(F60+SUM(E$17:E60)=D$10,F60,D$10-SUM(E$17:E60))</f>
        <v>0</v>
      </c>
      <c r="E61" s="160">
        <f>IF(+I14&lt;F60,I14,D61)</f>
        <v>0</v>
      </c>
      <c r="F61" s="159">
        <f t="shared" si="5"/>
        <v>0</v>
      </c>
      <c r="G61" s="163">
        <f t="shared" si="8"/>
        <v>0</v>
      </c>
      <c r="H61" s="142">
        <f t="shared" si="9"/>
        <v>0</v>
      </c>
      <c r="I61" s="156">
        <f t="shared" si="0"/>
        <v>0</v>
      </c>
      <c r="J61" s="156"/>
      <c r="K61" s="334"/>
      <c r="L61" s="158">
        <f t="shared" si="1"/>
        <v>0</v>
      </c>
      <c r="M61" s="334"/>
      <c r="N61" s="158">
        <f t="shared" si="2"/>
        <v>0</v>
      </c>
      <c r="O61" s="158">
        <f t="shared" si="3"/>
        <v>0</v>
      </c>
      <c r="P61" s="4"/>
    </row>
    <row r="62" spans="2:16">
      <c r="B62" s="9" t="str">
        <f t="shared" si="4"/>
        <v/>
      </c>
      <c r="C62" s="153">
        <f>IF(D11="","-",+C61+1)</f>
        <v>2061</v>
      </c>
      <c r="D62" s="159">
        <f>IF(F61+SUM(E$17:E61)=D$10,F61,D$10-SUM(E$17:E61))</f>
        <v>0</v>
      </c>
      <c r="E62" s="160">
        <f>IF(+I14&lt;F61,I14,D62)</f>
        <v>0</v>
      </c>
      <c r="F62" s="159">
        <f t="shared" si="5"/>
        <v>0</v>
      </c>
      <c r="G62" s="163">
        <f t="shared" si="8"/>
        <v>0</v>
      </c>
      <c r="H62" s="142">
        <f t="shared" si="9"/>
        <v>0</v>
      </c>
      <c r="I62" s="156">
        <f t="shared" si="0"/>
        <v>0</v>
      </c>
      <c r="J62" s="156"/>
      <c r="K62" s="334"/>
      <c r="L62" s="158">
        <f t="shared" si="1"/>
        <v>0</v>
      </c>
      <c r="M62" s="334"/>
      <c r="N62" s="158">
        <f t="shared" si="2"/>
        <v>0</v>
      </c>
      <c r="O62" s="158">
        <f t="shared" si="3"/>
        <v>0</v>
      </c>
      <c r="P62" s="4"/>
    </row>
    <row r="63" spans="2:16">
      <c r="B63" s="9" t="str">
        <f t="shared" si="4"/>
        <v/>
      </c>
      <c r="C63" s="153">
        <f>IF(D11="","-",+C62+1)</f>
        <v>2062</v>
      </c>
      <c r="D63" s="159">
        <f>IF(F62+SUM(E$17:E62)=D$10,F62,D$10-SUM(E$17:E62))</f>
        <v>0</v>
      </c>
      <c r="E63" s="160">
        <f>IF(+I14&lt;F62,I14,D63)</f>
        <v>0</v>
      </c>
      <c r="F63" s="159">
        <f t="shared" si="5"/>
        <v>0</v>
      </c>
      <c r="G63" s="163">
        <f t="shared" si="8"/>
        <v>0</v>
      </c>
      <c r="H63" s="142">
        <f t="shared" si="9"/>
        <v>0</v>
      </c>
      <c r="I63" s="156">
        <f t="shared" si="0"/>
        <v>0</v>
      </c>
      <c r="J63" s="156"/>
      <c r="K63" s="334"/>
      <c r="L63" s="158">
        <f t="shared" si="1"/>
        <v>0</v>
      </c>
      <c r="M63" s="334"/>
      <c r="N63" s="158">
        <f t="shared" si="2"/>
        <v>0</v>
      </c>
      <c r="O63" s="158">
        <f t="shared" si="3"/>
        <v>0</v>
      </c>
      <c r="P63" s="4"/>
    </row>
    <row r="64" spans="2:16">
      <c r="B64" s="9" t="str">
        <f t="shared" si="4"/>
        <v/>
      </c>
      <c r="C64" s="153">
        <f>IF(D11="","-",+C63+1)</f>
        <v>2063</v>
      </c>
      <c r="D64" s="159">
        <f>IF(F63+SUM(E$17:E63)=D$10,F63,D$10-SUM(E$17:E63))</f>
        <v>0</v>
      </c>
      <c r="E64" s="160">
        <f>IF(+I14&lt;F63,I14,D64)</f>
        <v>0</v>
      </c>
      <c r="F64" s="159">
        <f t="shared" si="5"/>
        <v>0</v>
      </c>
      <c r="G64" s="163">
        <f t="shared" si="8"/>
        <v>0</v>
      </c>
      <c r="H64" s="142">
        <f t="shared" si="9"/>
        <v>0</v>
      </c>
      <c r="I64" s="156">
        <f t="shared" si="0"/>
        <v>0</v>
      </c>
      <c r="J64" s="156"/>
      <c r="K64" s="334"/>
      <c r="L64" s="158">
        <f t="shared" si="1"/>
        <v>0</v>
      </c>
      <c r="M64" s="334"/>
      <c r="N64" s="158">
        <f t="shared" si="2"/>
        <v>0</v>
      </c>
      <c r="O64" s="158">
        <f t="shared" si="3"/>
        <v>0</v>
      </c>
      <c r="P64" s="4"/>
    </row>
    <row r="65" spans="2:16">
      <c r="B65" s="9" t="str">
        <f t="shared" si="4"/>
        <v/>
      </c>
      <c r="C65" s="153">
        <f>IF(D11="","-",+C64+1)</f>
        <v>2064</v>
      </c>
      <c r="D65" s="159">
        <f>IF(F64+SUM(E$17:E64)=D$10,F64,D$10-SUM(E$17:E64))</f>
        <v>0</v>
      </c>
      <c r="E65" s="160">
        <f>IF(+I14&lt;F64,I14,D65)</f>
        <v>0</v>
      </c>
      <c r="F65" s="159">
        <f t="shared" si="5"/>
        <v>0</v>
      </c>
      <c r="G65" s="163">
        <f t="shared" si="8"/>
        <v>0</v>
      </c>
      <c r="H65" s="142">
        <f t="shared" si="9"/>
        <v>0</v>
      </c>
      <c r="I65" s="156">
        <f t="shared" si="0"/>
        <v>0</v>
      </c>
      <c r="J65" s="156"/>
      <c r="K65" s="334"/>
      <c r="L65" s="158">
        <f t="shared" si="1"/>
        <v>0</v>
      </c>
      <c r="M65" s="334"/>
      <c r="N65" s="158">
        <f t="shared" si="2"/>
        <v>0</v>
      </c>
      <c r="O65" s="158">
        <f t="shared" si="3"/>
        <v>0</v>
      </c>
      <c r="P65" s="4"/>
    </row>
    <row r="66" spans="2:16">
      <c r="B66" s="9" t="str">
        <f t="shared" si="4"/>
        <v/>
      </c>
      <c r="C66" s="153">
        <f>IF(D11="","-",+C65+1)</f>
        <v>2065</v>
      </c>
      <c r="D66" s="159">
        <f>IF(F65+SUM(E$17:E65)=D$10,F65,D$10-SUM(E$17:E65))</f>
        <v>0</v>
      </c>
      <c r="E66" s="160">
        <f>IF(+I14&lt;F65,I14,D66)</f>
        <v>0</v>
      </c>
      <c r="F66" s="159">
        <f t="shared" si="5"/>
        <v>0</v>
      </c>
      <c r="G66" s="163">
        <f t="shared" si="8"/>
        <v>0</v>
      </c>
      <c r="H66" s="142">
        <f t="shared" si="9"/>
        <v>0</v>
      </c>
      <c r="I66" s="156">
        <f t="shared" si="0"/>
        <v>0</v>
      </c>
      <c r="J66" s="156"/>
      <c r="K66" s="334"/>
      <c r="L66" s="158">
        <f t="shared" si="1"/>
        <v>0</v>
      </c>
      <c r="M66" s="334"/>
      <c r="N66" s="158">
        <f t="shared" si="2"/>
        <v>0</v>
      </c>
      <c r="O66" s="158">
        <f t="shared" si="3"/>
        <v>0</v>
      </c>
      <c r="P66" s="4"/>
    </row>
    <row r="67" spans="2:16">
      <c r="B67" s="9" t="str">
        <f t="shared" si="4"/>
        <v/>
      </c>
      <c r="C67" s="153">
        <f>IF(D11="","-",+C66+1)</f>
        <v>2066</v>
      </c>
      <c r="D67" s="159">
        <f>IF(F66+SUM(E$17:E66)=D$10,F66,D$10-SUM(E$17:E66))</f>
        <v>0</v>
      </c>
      <c r="E67" s="160">
        <f>IF(+I14&lt;F66,I14,D67)</f>
        <v>0</v>
      </c>
      <c r="F67" s="159">
        <f t="shared" si="5"/>
        <v>0</v>
      </c>
      <c r="G67" s="163">
        <f t="shared" si="8"/>
        <v>0</v>
      </c>
      <c r="H67" s="142">
        <f t="shared" si="9"/>
        <v>0</v>
      </c>
      <c r="I67" s="156">
        <f t="shared" si="0"/>
        <v>0</v>
      </c>
      <c r="J67" s="156"/>
      <c r="K67" s="334"/>
      <c r="L67" s="158">
        <f t="shared" si="1"/>
        <v>0</v>
      </c>
      <c r="M67" s="334"/>
      <c r="N67" s="158">
        <f t="shared" si="2"/>
        <v>0</v>
      </c>
      <c r="O67" s="158">
        <f t="shared" si="3"/>
        <v>0</v>
      </c>
      <c r="P67" s="4"/>
    </row>
    <row r="68" spans="2:16">
      <c r="B68" s="9" t="str">
        <f t="shared" si="4"/>
        <v/>
      </c>
      <c r="C68" s="153">
        <f>IF(D11="","-",+C67+1)</f>
        <v>2067</v>
      </c>
      <c r="D68" s="159">
        <f>IF(F67+SUM(E$17:E67)=D$10,F67,D$10-SUM(E$17:E67))</f>
        <v>0</v>
      </c>
      <c r="E68" s="160">
        <f>IF(+I14&lt;F67,I14,D68)</f>
        <v>0</v>
      </c>
      <c r="F68" s="159">
        <f t="shared" si="5"/>
        <v>0</v>
      </c>
      <c r="G68" s="163">
        <f t="shared" si="8"/>
        <v>0</v>
      </c>
      <c r="H68" s="142">
        <f t="shared" si="9"/>
        <v>0</v>
      </c>
      <c r="I68" s="156">
        <f t="shared" si="0"/>
        <v>0</v>
      </c>
      <c r="J68" s="156"/>
      <c r="K68" s="334"/>
      <c r="L68" s="158">
        <f t="shared" si="1"/>
        <v>0</v>
      </c>
      <c r="M68" s="334"/>
      <c r="N68" s="158">
        <f t="shared" si="2"/>
        <v>0</v>
      </c>
      <c r="O68" s="158">
        <f t="shared" si="3"/>
        <v>0</v>
      </c>
      <c r="P68" s="4"/>
    </row>
    <row r="69" spans="2:16">
      <c r="B69" s="9" t="str">
        <f t="shared" si="4"/>
        <v/>
      </c>
      <c r="C69" s="153">
        <f>IF(D11="","-",+C68+1)</f>
        <v>2068</v>
      </c>
      <c r="D69" s="159">
        <f>IF(F68+SUM(E$17:E68)=D$10,F68,D$10-SUM(E$17:E68))</f>
        <v>0</v>
      </c>
      <c r="E69" s="160">
        <f>IF(+I14&lt;F68,I14,D69)</f>
        <v>0</v>
      </c>
      <c r="F69" s="159">
        <f t="shared" si="5"/>
        <v>0</v>
      </c>
      <c r="G69" s="163">
        <f t="shared" si="8"/>
        <v>0</v>
      </c>
      <c r="H69" s="142">
        <f t="shared" si="9"/>
        <v>0</v>
      </c>
      <c r="I69" s="156">
        <f t="shared" si="0"/>
        <v>0</v>
      </c>
      <c r="J69" s="156"/>
      <c r="K69" s="334"/>
      <c r="L69" s="158">
        <f t="shared" si="1"/>
        <v>0</v>
      </c>
      <c r="M69" s="334"/>
      <c r="N69" s="158">
        <f t="shared" si="2"/>
        <v>0</v>
      </c>
      <c r="O69" s="158">
        <f t="shared" si="3"/>
        <v>0</v>
      </c>
      <c r="P69" s="4"/>
    </row>
    <row r="70" spans="2:16">
      <c r="B70" s="9" t="str">
        <f t="shared" si="4"/>
        <v/>
      </c>
      <c r="C70" s="153">
        <f>IF(D11="","-",+C69+1)</f>
        <v>2069</v>
      </c>
      <c r="D70" s="159">
        <f>IF(F69+SUM(E$17:E69)=D$10,F69,D$10-SUM(E$17:E69))</f>
        <v>0</v>
      </c>
      <c r="E70" s="160">
        <f>IF(+I14&lt;F69,I14,D70)</f>
        <v>0</v>
      </c>
      <c r="F70" s="159">
        <f t="shared" si="5"/>
        <v>0</v>
      </c>
      <c r="G70" s="163">
        <f t="shared" si="8"/>
        <v>0</v>
      </c>
      <c r="H70" s="142">
        <f t="shared" si="9"/>
        <v>0</v>
      </c>
      <c r="I70" s="156">
        <f t="shared" si="0"/>
        <v>0</v>
      </c>
      <c r="J70" s="156"/>
      <c r="K70" s="334"/>
      <c r="L70" s="158">
        <f t="shared" si="1"/>
        <v>0</v>
      </c>
      <c r="M70" s="334"/>
      <c r="N70" s="158">
        <f t="shared" si="2"/>
        <v>0</v>
      </c>
      <c r="O70" s="158">
        <f t="shared" si="3"/>
        <v>0</v>
      </c>
      <c r="P70" s="4"/>
    </row>
    <row r="71" spans="2:16">
      <c r="B71" s="9" t="str">
        <f t="shared" si="4"/>
        <v/>
      </c>
      <c r="C71" s="153">
        <f>IF(D11="","-",+C70+1)</f>
        <v>2070</v>
      </c>
      <c r="D71" s="159">
        <f>IF(F70+SUM(E$17:E70)=D$10,F70,D$10-SUM(E$17:E70))</f>
        <v>0</v>
      </c>
      <c r="E71" s="160">
        <f>IF(+I14&lt;F70,I14,D71)</f>
        <v>0</v>
      </c>
      <c r="F71" s="159">
        <f t="shared" si="5"/>
        <v>0</v>
      </c>
      <c r="G71" s="163">
        <f t="shared" si="8"/>
        <v>0</v>
      </c>
      <c r="H71" s="142">
        <f t="shared" si="9"/>
        <v>0</v>
      </c>
      <c r="I71" s="156">
        <f t="shared" si="0"/>
        <v>0</v>
      </c>
      <c r="J71" s="156"/>
      <c r="K71" s="334"/>
      <c r="L71" s="158">
        <f t="shared" si="1"/>
        <v>0</v>
      </c>
      <c r="M71" s="334"/>
      <c r="N71" s="158">
        <f t="shared" si="2"/>
        <v>0</v>
      </c>
      <c r="O71" s="158">
        <f t="shared" si="3"/>
        <v>0</v>
      </c>
      <c r="P71" s="4"/>
    </row>
    <row r="72" spans="2:16" ht="13.5" thickBot="1">
      <c r="B72" s="9" t="str">
        <f t="shared" si="4"/>
        <v/>
      </c>
      <c r="C72" s="164">
        <f>IF(D11="","-",+C71+1)</f>
        <v>2071</v>
      </c>
      <c r="D72" s="165">
        <f>IF(F71+SUM(E$17:E71)=D$10,F71,D$10-SUM(E$17:E71))</f>
        <v>0</v>
      </c>
      <c r="E72" s="166">
        <f>IF(+I14&lt;F71,I14,D72)</f>
        <v>0</v>
      </c>
      <c r="F72" s="165">
        <f t="shared" si="5"/>
        <v>0</v>
      </c>
      <c r="G72" s="167">
        <f t="shared" si="8"/>
        <v>0</v>
      </c>
      <c r="H72" s="124">
        <f t="shared" si="9"/>
        <v>0</v>
      </c>
      <c r="I72" s="168">
        <f t="shared" si="0"/>
        <v>0</v>
      </c>
      <c r="J72" s="156"/>
      <c r="K72" s="335"/>
      <c r="L72" s="169">
        <f t="shared" si="1"/>
        <v>0</v>
      </c>
      <c r="M72" s="335"/>
      <c r="N72" s="169">
        <f t="shared" si="2"/>
        <v>0</v>
      </c>
      <c r="O72" s="169">
        <f t="shared" si="3"/>
        <v>0</v>
      </c>
      <c r="P72" s="4"/>
    </row>
    <row r="73" spans="2:16">
      <c r="C73" s="154" t="s">
        <v>73</v>
      </c>
      <c r="D73" s="111"/>
      <c r="E73" s="111">
        <f>SUM(E17:E72)</f>
        <v>1230858.0000000002</v>
      </c>
      <c r="F73" s="111"/>
      <c r="G73" s="111">
        <f>SUM(G17:G72)</f>
        <v>3992630.9993045637</v>
      </c>
      <c r="H73" s="111">
        <f>SUM(H17:H72)</f>
        <v>3992630.9993045637</v>
      </c>
      <c r="I73" s="111">
        <f>SUM(I17:I72)</f>
        <v>0</v>
      </c>
      <c r="J73" s="111"/>
      <c r="K73" s="111"/>
      <c r="L73" s="111"/>
      <c r="M73" s="111"/>
      <c r="N73" s="111"/>
      <c r="O73" s="4"/>
      <c r="P73" s="4"/>
    </row>
    <row r="74" spans="2:16">
      <c r="D74" s="2"/>
      <c r="E74" s="1"/>
      <c r="F74" s="1"/>
      <c r="G74" s="1"/>
      <c r="H74" s="3"/>
      <c r="I74" s="3"/>
      <c r="J74" s="111"/>
      <c r="K74" s="3"/>
      <c r="L74" s="3"/>
      <c r="M74" s="3"/>
      <c r="N74" s="3"/>
      <c r="O74" s="1"/>
      <c r="P74" s="1"/>
    </row>
    <row r="75" spans="2:16">
      <c r="C75" s="170" t="s">
        <v>91</v>
      </c>
      <c r="D75" s="2"/>
      <c r="E75" s="1"/>
      <c r="F75" s="1"/>
      <c r="G75" s="1"/>
      <c r="H75" s="3"/>
      <c r="I75" s="3"/>
      <c r="J75" s="111"/>
      <c r="K75" s="3"/>
      <c r="L75" s="3"/>
      <c r="M75" s="3"/>
      <c r="N75" s="3"/>
      <c r="O75" s="1"/>
      <c r="P75" s="1"/>
    </row>
    <row r="76" spans="2:16">
      <c r="C76" s="121" t="s">
        <v>74</v>
      </c>
      <c r="D76" s="2"/>
      <c r="E76" s="1"/>
      <c r="F76" s="1"/>
      <c r="G76" s="1"/>
      <c r="H76" s="3"/>
      <c r="I76" s="3"/>
      <c r="J76" s="111"/>
      <c r="K76" s="3"/>
      <c r="L76" s="3"/>
      <c r="M76" s="3"/>
      <c r="N76" s="3"/>
      <c r="O76" s="4"/>
      <c r="P76" s="4"/>
    </row>
    <row r="77" spans="2:16">
      <c r="C77" s="121" t="s">
        <v>75</v>
      </c>
      <c r="D77" s="154"/>
      <c r="E77" s="154"/>
      <c r="F77" s="154"/>
      <c r="G77" s="111"/>
      <c r="H77" s="111"/>
      <c r="I77" s="171"/>
      <c r="J77" s="171"/>
      <c r="K77" s="171"/>
      <c r="L77" s="171"/>
      <c r="M77" s="171"/>
      <c r="N77" s="171"/>
      <c r="O77" s="4"/>
      <c r="P77" s="4"/>
    </row>
    <row r="78" spans="2:16">
      <c r="C78" s="121"/>
      <c r="D78" s="154"/>
      <c r="E78" s="154"/>
      <c r="F78" s="154"/>
      <c r="G78" s="111"/>
      <c r="H78" s="111"/>
      <c r="I78" s="171"/>
      <c r="J78" s="171"/>
      <c r="K78" s="171"/>
      <c r="L78" s="171"/>
      <c r="M78" s="171"/>
      <c r="N78" s="171"/>
      <c r="O78" s="4"/>
      <c r="P78" s="1"/>
    </row>
    <row r="79" spans="2:16">
      <c r="B79" s="1"/>
      <c r="C79" s="21"/>
      <c r="D79" s="2"/>
      <c r="E79" s="1"/>
      <c r="F79" s="107"/>
      <c r="G79" s="1"/>
      <c r="H79" s="3"/>
      <c r="I79" s="1"/>
      <c r="J79" s="4"/>
      <c r="K79" s="1"/>
      <c r="L79" s="1"/>
      <c r="M79" s="1"/>
      <c r="N79" s="1"/>
      <c r="O79" s="1"/>
      <c r="P79" s="1"/>
    </row>
    <row r="80" spans="2:16" ht="18">
      <c r="B80" s="1"/>
      <c r="C80" s="242"/>
      <c r="D80" s="2"/>
      <c r="E80" s="1"/>
      <c r="F80" s="107"/>
      <c r="G80" s="1"/>
      <c r="H80" s="3"/>
      <c r="I80" s="1"/>
      <c r="J80" s="4"/>
      <c r="K80" s="1"/>
      <c r="L80" s="1"/>
      <c r="M80" s="1"/>
      <c r="N80" s="1"/>
      <c r="P80" s="244" t="s">
        <v>125</v>
      </c>
    </row>
    <row r="81" spans="1:16">
      <c r="B81" s="1"/>
      <c r="C81" s="21"/>
      <c r="D81" s="2"/>
      <c r="E81" s="1"/>
      <c r="F81" s="107"/>
      <c r="G81" s="1"/>
      <c r="H81" s="3"/>
      <c r="I81" s="1"/>
      <c r="J81" s="4"/>
      <c r="K81" s="1"/>
      <c r="L81" s="1"/>
      <c r="M81" s="1"/>
      <c r="N81" s="1"/>
      <c r="O81" s="1"/>
      <c r="P81" s="1"/>
    </row>
    <row r="82" spans="1:16">
      <c r="B82" s="1"/>
      <c r="C82" s="21"/>
      <c r="D82" s="2"/>
      <c r="E82" s="1"/>
      <c r="F82" s="107"/>
      <c r="G82" s="1"/>
      <c r="H82" s="3"/>
      <c r="I82" s="1"/>
      <c r="J82" s="4"/>
      <c r="K82" s="1"/>
      <c r="L82" s="1"/>
      <c r="M82" s="1"/>
      <c r="N82" s="1"/>
      <c r="O82" s="1"/>
      <c r="P82" s="1"/>
    </row>
    <row r="83" spans="1:16" ht="20.25">
      <c r="A83" s="243" t="s">
        <v>129</v>
      </c>
      <c r="B83" s="1"/>
      <c r="C83" s="21"/>
      <c r="D83" s="2"/>
      <c r="E83" s="1"/>
      <c r="F83" s="99"/>
      <c r="G83" s="99"/>
      <c r="H83" s="1"/>
      <c r="I83" s="3"/>
      <c r="K83" s="7"/>
      <c r="L83" s="109"/>
      <c r="M83" s="109"/>
      <c r="P83" s="109" t="str">
        <f ca="1">P1</f>
        <v>SWEPCO Project 57 of 73</v>
      </c>
    </row>
    <row r="84" spans="1:16" ht="18">
      <c r="B84" s="1"/>
      <c r="C84" s="1"/>
      <c r="D84" s="2"/>
      <c r="E84" s="1"/>
      <c r="F84" s="1"/>
      <c r="G84" s="1"/>
      <c r="H84" s="1"/>
      <c r="I84" s="3"/>
      <c r="J84" s="1"/>
      <c r="K84" s="4"/>
      <c r="L84" s="1"/>
      <c r="M84" s="1"/>
      <c r="P84" s="244" t="s">
        <v>123</v>
      </c>
    </row>
    <row r="85" spans="1:16" ht="18.75" thickBot="1">
      <c r="B85" s="5" t="s">
        <v>40</v>
      </c>
      <c r="C85" s="197" t="s">
        <v>78</v>
      </c>
      <c r="D85" s="2"/>
      <c r="E85" s="1"/>
      <c r="F85" s="1"/>
      <c r="G85" s="1"/>
      <c r="H85" s="1"/>
      <c r="I85" s="3"/>
      <c r="J85" s="3"/>
      <c r="K85" s="111"/>
      <c r="L85" s="3"/>
      <c r="M85" s="3"/>
      <c r="N85" s="3"/>
      <c r="O85" s="111"/>
      <c r="P85" s="1"/>
    </row>
    <row r="86" spans="1:16" ht="15.75" thickBot="1">
      <c r="C86" s="67"/>
      <c r="D86" s="2"/>
      <c r="E86" s="1"/>
      <c r="F86" s="1"/>
      <c r="G86" s="1"/>
      <c r="H86" s="1"/>
      <c r="I86" s="3"/>
      <c r="J86" s="3"/>
      <c r="K86" s="111"/>
      <c r="L86" s="265">
        <f>+J92</f>
        <v>2017</v>
      </c>
      <c r="M86" s="266" t="s">
        <v>7</v>
      </c>
      <c r="N86" s="270" t="s">
        <v>154</v>
      </c>
      <c r="O86" s="267" t="s">
        <v>9</v>
      </c>
      <c r="P86" s="1"/>
    </row>
    <row r="87" spans="1:16" ht="15">
      <c r="C87" s="235" t="s">
        <v>42</v>
      </c>
      <c r="D87" s="2"/>
      <c r="E87" s="1"/>
      <c r="F87" s="1"/>
      <c r="G87" s="1"/>
      <c r="H87" s="113"/>
      <c r="I87" s="1" t="s">
        <v>43</v>
      </c>
      <c r="J87" s="1"/>
      <c r="K87" s="261"/>
      <c r="L87" s="259" t="s">
        <v>381</v>
      </c>
      <c r="M87" s="198">
        <f>IF(J92&lt;D11,0,VLOOKUP(J92,C17:O72,9))</f>
        <v>177663.43856764107</v>
      </c>
      <c r="N87" s="198">
        <f>IF(J92&lt;D11,0,VLOOKUP(J92,C17:O72,11))</f>
        <v>177663.43856764107</v>
      </c>
      <c r="O87" s="199">
        <f>+N87-M87</f>
        <v>0</v>
      </c>
      <c r="P87" s="1"/>
    </row>
    <row r="88" spans="1:16" ht="15.75">
      <c r="C88" s="8"/>
      <c r="D88" s="2"/>
      <c r="E88" s="1"/>
      <c r="F88" s="1"/>
      <c r="G88" s="1"/>
      <c r="H88" s="1"/>
      <c r="I88" s="117"/>
      <c r="J88" s="117"/>
      <c r="K88" s="263"/>
      <c r="L88" s="264" t="s">
        <v>382</v>
      </c>
      <c r="M88" s="200">
        <f>IF(J92&lt;D11,0,VLOOKUP(J92,C99:P154,6))</f>
        <v>175374.14109788925</v>
      </c>
      <c r="N88" s="200">
        <f>IF(J92&lt;D11,0,VLOOKUP(J92,C99:P154,7))</f>
        <v>175374.14109788925</v>
      </c>
      <c r="O88" s="201">
        <f>+N88-M88</f>
        <v>0</v>
      </c>
      <c r="P88" s="1"/>
    </row>
    <row r="89" spans="1:16" ht="13.5" thickBot="1">
      <c r="C89" s="121" t="s">
        <v>79</v>
      </c>
      <c r="D89" s="246" t="str">
        <f>+D7</f>
        <v>Winnsboro 138 kw</v>
      </c>
      <c r="E89" s="1"/>
      <c r="F89" s="1"/>
      <c r="G89" s="1"/>
      <c r="H89" s="1"/>
      <c r="I89" s="3"/>
      <c r="J89" s="3"/>
      <c r="K89" s="262"/>
      <c r="L89" s="260" t="s">
        <v>151</v>
      </c>
      <c r="M89" s="203">
        <f>+M88-M87</f>
        <v>-2289.2974697518221</v>
      </c>
      <c r="N89" s="203">
        <f>+N88-N87</f>
        <v>-2289.2974697518221</v>
      </c>
      <c r="O89" s="204">
        <f>+O88-O87</f>
        <v>0</v>
      </c>
      <c r="P89" s="1"/>
    </row>
    <row r="90" spans="1:16" ht="13.5" thickBot="1">
      <c r="C90" s="170"/>
      <c r="D90" s="173" t="str">
        <f>D8</f>
        <v/>
      </c>
      <c r="E90" s="107"/>
      <c r="F90" s="107"/>
      <c r="G90" s="107"/>
      <c r="H90" s="126"/>
      <c r="I90" s="3"/>
      <c r="J90" s="3"/>
      <c r="K90" s="111"/>
      <c r="L90" s="3"/>
      <c r="M90" s="3"/>
      <c r="N90" s="3"/>
      <c r="O90" s="111"/>
      <c r="P90" s="1"/>
    </row>
    <row r="91" spans="1:16" ht="13.5" thickBot="1">
      <c r="A91" s="103"/>
      <c r="C91" s="205" t="s">
        <v>80</v>
      </c>
      <c r="D91" s="224" t="str">
        <f>+D9</f>
        <v>TP2013122</v>
      </c>
      <c r="E91" s="206"/>
      <c r="F91" s="206"/>
      <c r="G91" s="206"/>
      <c r="H91" s="206"/>
      <c r="I91" s="206"/>
      <c r="J91" s="206"/>
      <c r="K91" s="207"/>
      <c r="P91" s="131"/>
    </row>
    <row r="92" spans="1:16">
      <c r="C92" s="136" t="s">
        <v>47</v>
      </c>
      <c r="D92" s="133">
        <v>1231361</v>
      </c>
      <c r="E92" s="21" t="s">
        <v>81</v>
      </c>
      <c r="H92" s="134"/>
      <c r="I92" s="134"/>
      <c r="J92" s="135">
        <f>+'SWE.WS.G.BPU.ATRR.True-up'!M15</f>
        <v>2017</v>
      </c>
      <c r="K92" s="130"/>
      <c r="L92" s="111" t="s">
        <v>82</v>
      </c>
      <c r="P92" s="4"/>
    </row>
    <row r="93" spans="1:16">
      <c r="C93" s="136" t="s">
        <v>49</v>
      </c>
      <c r="D93" s="219">
        <f>IF(D11=I10,"",D11)</f>
        <v>2016</v>
      </c>
      <c r="E93" s="136" t="s">
        <v>50</v>
      </c>
      <c r="F93" s="134"/>
      <c r="G93" s="134"/>
      <c r="J93" s="138">
        <f>IF(H87="",0,'SWE.WS.G.BPU.ATRR.True-up'!$F$12)</f>
        <v>0</v>
      </c>
      <c r="K93" s="139"/>
      <c r="L93" t="str">
        <f>"          INPUT TRUE-UP ARR (WITH &amp; WITHOUT INCENTIVES) FROM EACH PRIOR YEAR"</f>
        <v xml:space="preserve">          INPUT TRUE-UP ARR (WITH &amp; WITHOUT INCENTIVES) FROM EACH PRIOR YEAR</v>
      </c>
      <c r="P93" s="4"/>
    </row>
    <row r="94" spans="1:16">
      <c r="C94" s="136" t="s">
        <v>51</v>
      </c>
      <c r="D94" s="218">
        <f>IF(D11=I10,"",D12)</f>
        <v>4</v>
      </c>
      <c r="E94" s="136" t="s">
        <v>52</v>
      </c>
      <c r="F94" s="134"/>
      <c r="G94" s="134"/>
      <c r="J94" s="140">
        <f>'SWE.WS.G.BPU.ATRR.True-up'!$F$80</f>
        <v>0.12147145768398206</v>
      </c>
      <c r="K94" s="141"/>
      <c r="L94" t="s">
        <v>83</v>
      </c>
      <c r="P94" s="4"/>
    </row>
    <row r="95" spans="1:16">
      <c r="C95" s="136" t="s">
        <v>54</v>
      </c>
      <c r="D95" s="138">
        <f>'SWE.WS.G.BPU.ATRR.True-up'!F$92</f>
        <v>42</v>
      </c>
      <c r="E95" s="136" t="s">
        <v>55</v>
      </c>
      <c r="F95" s="134"/>
      <c r="G95" s="134"/>
      <c r="J95" s="140">
        <f>IF(H87="",J94,'SWE.WS.G.BPU.ATRR.True-up'!$F$79)</f>
        <v>0.12147145768398206</v>
      </c>
      <c r="K95" s="58"/>
      <c r="L95" s="111" t="s">
        <v>56</v>
      </c>
      <c r="M95" s="58"/>
      <c r="N95" s="58"/>
      <c r="O95" s="58"/>
      <c r="P95" s="4"/>
    </row>
    <row r="96" spans="1:16" ht="13.5" thickBot="1">
      <c r="C96" s="136" t="s">
        <v>57</v>
      </c>
      <c r="D96" s="220" t="str">
        <f>+D14</f>
        <v>No</v>
      </c>
      <c r="E96" s="202" t="s">
        <v>59</v>
      </c>
      <c r="F96" s="208"/>
      <c r="G96" s="208"/>
      <c r="H96" s="209"/>
      <c r="I96" s="209"/>
      <c r="J96" s="124">
        <f>IF(D92=0,0,D92/D95)</f>
        <v>29318.119047619046</v>
      </c>
      <c r="K96" s="111"/>
      <c r="L96" s="111"/>
      <c r="M96" s="111"/>
      <c r="N96" s="111"/>
      <c r="O96" s="111"/>
      <c r="P96" s="4"/>
    </row>
    <row r="97" spans="1:16" ht="38.25">
      <c r="A97" s="6"/>
      <c r="B97" s="6"/>
      <c r="C97" s="210" t="s">
        <v>47</v>
      </c>
      <c r="D97" s="211" t="s">
        <v>60</v>
      </c>
      <c r="E97" s="146" t="s">
        <v>61</v>
      </c>
      <c r="F97" s="146" t="s">
        <v>62</v>
      </c>
      <c r="G97" s="144" t="s">
        <v>84</v>
      </c>
      <c r="H97" s="434" t="s">
        <v>378</v>
      </c>
      <c r="I97" s="435" t="s">
        <v>379</v>
      </c>
      <c r="J97" s="210" t="s">
        <v>85</v>
      </c>
      <c r="K97" s="212"/>
      <c r="L97" s="271" t="s">
        <v>220</v>
      </c>
      <c r="M97" s="146" t="s">
        <v>86</v>
      </c>
      <c r="N97" s="271" t="s">
        <v>220</v>
      </c>
      <c r="O97" s="146" t="s">
        <v>86</v>
      </c>
      <c r="P97" s="146" t="s">
        <v>65</v>
      </c>
    </row>
    <row r="98" spans="1:16" ht="13.5" thickBot="1">
      <c r="C98" s="147" t="s">
        <v>66</v>
      </c>
      <c r="D98" s="213" t="s">
        <v>67</v>
      </c>
      <c r="E98" s="147" t="s">
        <v>68</v>
      </c>
      <c r="F98" s="147" t="s">
        <v>67</v>
      </c>
      <c r="G98" s="147" t="s">
        <v>67</v>
      </c>
      <c r="H98" s="255" t="s">
        <v>69</v>
      </c>
      <c r="I98" s="148" t="s">
        <v>70</v>
      </c>
      <c r="J98" s="149" t="s">
        <v>89</v>
      </c>
      <c r="K98" s="150"/>
      <c r="L98" s="151" t="s">
        <v>72</v>
      </c>
      <c r="M98" s="151" t="s">
        <v>72</v>
      </c>
      <c r="N98" s="151" t="s">
        <v>90</v>
      </c>
      <c r="O98" s="151" t="s">
        <v>90</v>
      </c>
      <c r="P98" s="151" t="s">
        <v>90</v>
      </c>
    </row>
    <row r="99" spans="1:16">
      <c r="C99" s="153">
        <f>IF(D93= "","-",D93)</f>
        <v>2016</v>
      </c>
      <c r="D99" s="387">
        <v>0</v>
      </c>
      <c r="E99" s="390">
        <v>14312.302325581393</v>
      </c>
      <c r="F99" s="389">
        <v>1216545.6976744186</v>
      </c>
      <c r="G99" s="455">
        <v>608272.84883720928</v>
      </c>
      <c r="H99" s="456">
        <v>91532.533361593654</v>
      </c>
      <c r="I99" s="457">
        <v>91532.533361593654</v>
      </c>
      <c r="J99" s="458">
        <v>0</v>
      </c>
      <c r="K99" s="158"/>
      <c r="L99" s="256">
        <v>91532.533361593654</v>
      </c>
      <c r="M99" s="172">
        <v>0</v>
      </c>
      <c r="N99" s="256">
        <v>91532.533361593654</v>
      </c>
      <c r="O99" s="172">
        <v>0</v>
      </c>
      <c r="P99" s="172">
        <v>0</v>
      </c>
    </row>
    <row r="100" spans="1:16">
      <c r="B100" s="9" t="str">
        <f>IF(D100=F99,"","IU")</f>
        <v>IU</v>
      </c>
      <c r="C100" s="153">
        <f>IF(D93="","-",+C99+1)</f>
        <v>2017</v>
      </c>
      <c r="D100" s="154">
        <f>IF(F99+SUM(E$99:E99)=D$92,F99,D$92-SUM(E$99:E99))</f>
        <v>1217048.6976744186</v>
      </c>
      <c r="E100" s="160">
        <f>IF(+J96&lt;F99,J96,D100)</f>
        <v>29318.119047619046</v>
      </c>
      <c r="F100" s="159">
        <f t="shared" ref="F100:F130" si="10">+D100-E100</f>
        <v>1187730.5786267996</v>
      </c>
      <c r="G100" s="159">
        <f t="shared" ref="G100:G130" si="11">+(F100+D100)/2</f>
        <v>1202389.6381506091</v>
      </c>
      <c r="H100" s="163">
        <f t="shared" ref="H100:H154" si="12">+J$94*G100+E100</f>
        <v>175374.14109788925</v>
      </c>
      <c r="I100" s="253">
        <f t="shared" ref="I100:I154" si="13">+J$95*G100+E100</f>
        <v>175374.14109788925</v>
      </c>
      <c r="J100" s="158">
        <f t="shared" ref="J100:J130" si="14">+I100-H100</f>
        <v>0</v>
      </c>
      <c r="K100" s="158"/>
      <c r="L100" s="334"/>
      <c r="M100" s="158">
        <f t="shared" ref="M100:M130" si="15">IF(L100&lt;&gt;0,+H100-L100,0)</f>
        <v>0</v>
      </c>
      <c r="N100" s="334"/>
      <c r="O100" s="158">
        <f t="shared" ref="O100:O130" si="16">IF(N100&lt;&gt;0,+I100-N100,0)</f>
        <v>0</v>
      </c>
      <c r="P100" s="158">
        <f t="shared" ref="P100:P130" si="17">+O100-M100</f>
        <v>0</v>
      </c>
    </row>
    <row r="101" spans="1:16">
      <c r="B101" s="9" t="str">
        <f t="shared" ref="B101:B154" si="18">IF(D101=F100,"","IU")</f>
        <v/>
      </c>
      <c r="C101" s="153">
        <f>IF(D93="","-",+C100+1)</f>
        <v>2018</v>
      </c>
      <c r="D101" s="154">
        <f>IF(F100+SUM(E$99:E100)=D$92,F100,D$92-SUM(E$99:E100))</f>
        <v>1187730.5786267996</v>
      </c>
      <c r="E101" s="160">
        <f>IF(+J96&lt;F100,J96,D101)</f>
        <v>29318.119047619046</v>
      </c>
      <c r="F101" s="159">
        <f t="shared" si="10"/>
        <v>1158412.4595791807</v>
      </c>
      <c r="G101" s="159">
        <f t="shared" si="11"/>
        <v>1173071.5191029902</v>
      </c>
      <c r="H101" s="163">
        <f t="shared" si="12"/>
        <v>171812.82644062248</v>
      </c>
      <c r="I101" s="253">
        <f t="shared" si="13"/>
        <v>171812.82644062248</v>
      </c>
      <c r="J101" s="158">
        <f t="shared" si="14"/>
        <v>0</v>
      </c>
      <c r="K101" s="158"/>
      <c r="L101" s="334"/>
      <c r="M101" s="158">
        <f t="shared" si="15"/>
        <v>0</v>
      </c>
      <c r="N101" s="334"/>
      <c r="O101" s="158">
        <f t="shared" si="16"/>
        <v>0</v>
      </c>
      <c r="P101" s="158">
        <f t="shared" si="17"/>
        <v>0</v>
      </c>
    </row>
    <row r="102" spans="1:16">
      <c r="B102" s="9" t="str">
        <f t="shared" si="18"/>
        <v/>
      </c>
      <c r="C102" s="153">
        <f>IF(D93="","-",+C101+1)</f>
        <v>2019</v>
      </c>
      <c r="D102" s="154">
        <f>IF(F101+SUM(E$99:E101)=D$92,F101,D$92-SUM(E$99:E101))</f>
        <v>1158412.4595791807</v>
      </c>
      <c r="E102" s="160">
        <f>IF(+J96&lt;F101,J96,D102)</f>
        <v>29318.119047619046</v>
      </c>
      <c r="F102" s="159">
        <f t="shared" si="10"/>
        <v>1129094.3405315618</v>
      </c>
      <c r="G102" s="159">
        <f t="shared" si="11"/>
        <v>1143753.4000553712</v>
      </c>
      <c r="H102" s="163">
        <f t="shared" si="12"/>
        <v>168251.51178335567</v>
      </c>
      <c r="I102" s="253">
        <f t="shared" si="13"/>
        <v>168251.51178335567</v>
      </c>
      <c r="J102" s="158">
        <f t="shared" si="14"/>
        <v>0</v>
      </c>
      <c r="K102" s="158"/>
      <c r="L102" s="334"/>
      <c r="M102" s="158">
        <f t="shared" si="15"/>
        <v>0</v>
      </c>
      <c r="N102" s="334"/>
      <c r="O102" s="158">
        <f t="shared" si="16"/>
        <v>0</v>
      </c>
      <c r="P102" s="158">
        <f t="shared" si="17"/>
        <v>0</v>
      </c>
    </row>
    <row r="103" spans="1:16">
      <c r="B103" s="9" t="str">
        <f t="shared" si="18"/>
        <v/>
      </c>
      <c r="C103" s="153">
        <f>IF(D93="","-",+C102+1)</f>
        <v>2020</v>
      </c>
      <c r="D103" s="154">
        <f>IF(F102+SUM(E$99:E102)=D$92,F102,D$92-SUM(E$99:E102))</f>
        <v>1129094.3405315618</v>
      </c>
      <c r="E103" s="160">
        <f>IF(+J96&lt;F102,J96,D103)</f>
        <v>29318.119047619046</v>
      </c>
      <c r="F103" s="159">
        <f t="shared" si="10"/>
        <v>1099776.2214839428</v>
      </c>
      <c r="G103" s="159">
        <f t="shared" si="11"/>
        <v>1114435.2810077523</v>
      </c>
      <c r="H103" s="163">
        <f t="shared" si="12"/>
        <v>164690.1971260889</v>
      </c>
      <c r="I103" s="253">
        <f t="shared" si="13"/>
        <v>164690.1971260889</v>
      </c>
      <c r="J103" s="158">
        <f t="shared" si="14"/>
        <v>0</v>
      </c>
      <c r="K103" s="158"/>
      <c r="L103" s="334"/>
      <c r="M103" s="158">
        <f t="shared" si="15"/>
        <v>0</v>
      </c>
      <c r="N103" s="334"/>
      <c r="O103" s="158">
        <f t="shared" si="16"/>
        <v>0</v>
      </c>
      <c r="P103" s="158">
        <f t="shared" si="17"/>
        <v>0</v>
      </c>
    </row>
    <row r="104" spans="1:16">
      <c r="B104" s="9" t="str">
        <f t="shared" si="18"/>
        <v/>
      </c>
      <c r="C104" s="153">
        <f>IF(D93="","-",+C103+1)</f>
        <v>2021</v>
      </c>
      <c r="D104" s="154">
        <f>IF(F103+SUM(E$99:E103)=D$92,F103,D$92-SUM(E$99:E103))</f>
        <v>1099776.2214839428</v>
      </c>
      <c r="E104" s="160">
        <f>IF(+J96&lt;F103,J96,D104)</f>
        <v>29318.119047619046</v>
      </c>
      <c r="F104" s="159">
        <f t="shared" si="10"/>
        <v>1070458.1024363239</v>
      </c>
      <c r="G104" s="159">
        <f t="shared" si="11"/>
        <v>1085117.1619601334</v>
      </c>
      <c r="H104" s="163">
        <f t="shared" si="12"/>
        <v>161128.88246882209</v>
      </c>
      <c r="I104" s="253">
        <f t="shared" si="13"/>
        <v>161128.88246882209</v>
      </c>
      <c r="J104" s="158">
        <f t="shared" si="14"/>
        <v>0</v>
      </c>
      <c r="K104" s="158"/>
      <c r="L104" s="334"/>
      <c r="M104" s="158">
        <f t="shared" si="15"/>
        <v>0</v>
      </c>
      <c r="N104" s="334"/>
      <c r="O104" s="158">
        <f t="shared" si="16"/>
        <v>0</v>
      </c>
      <c r="P104" s="158">
        <f t="shared" si="17"/>
        <v>0</v>
      </c>
    </row>
    <row r="105" spans="1:16">
      <c r="B105" s="9" t="str">
        <f t="shared" si="18"/>
        <v/>
      </c>
      <c r="C105" s="153">
        <f>IF(D93="","-",+C104+1)</f>
        <v>2022</v>
      </c>
      <c r="D105" s="154">
        <f>IF(F104+SUM(E$99:E104)=D$92,F104,D$92-SUM(E$99:E104))</f>
        <v>1070458.1024363239</v>
      </c>
      <c r="E105" s="160">
        <f>IF(+J96&lt;F104,J96,D105)</f>
        <v>29318.119047619046</v>
      </c>
      <c r="F105" s="159">
        <f t="shared" si="10"/>
        <v>1041139.9833887048</v>
      </c>
      <c r="G105" s="159">
        <f t="shared" si="11"/>
        <v>1055799.0429125144</v>
      </c>
      <c r="H105" s="163">
        <f t="shared" si="12"/>
        <v>157567.56781155529</v>
      </c>
      <c r="I105" s="253">
        <f t="shared" si="13"/>
        <v>157567.56781155529</v>
      </c>
      <c r="J105" s="158">
        <f t="shared" si="14"/>
        <v>0</v>
      </c>
      <c r="K105" s="158"/>
      <c r="L105" s="334"/>
      <c r="M105" s="158">
        <f t="shared" si="15"/>
        <v>0</v>
      </c>
      <c r="N105" s="334"/>
      <c r="O105" s="158">
        <f t="shared" si="16"/>
        <v>0</v>
      </c>
      <c r="P105" s="158">
        <f t="shared" si="17"/>
        <v>0</v>
      </c>
    </row>
    <row r="106" spans="1:16">
      <c r="B106" s="9" t="str">
        <f t="shared" si="18"/>
        <v/>
      </c>
      <c r="C106" s="153">
        <f>IF(D93="","-",+C105+1)</f>
        <v>2023</v>
      </c>
      <c r="D106" s="154">
        <f>IF(F105+SUM(E$99:E105)=D$92,F105,D$92-SUM(E$99:E105))</f>
        <v>1041139.9833887048</v>
      </c>
      <c r="E106" s="160">
        <f>IF(+J96&lt;F105,J96,D106)</f>
        <v>29318.119047619046</v>
      </c>
      <c r="F106" s="159">
        <f t="shared" si="10"/>
        <v>1011821.8643410858</v>
      </c>
      <c r="G106" s="159">
        <f t="shared" si="11"/>
        <v>1026480.9238648952</v>
      </c>
      <c r="H106" s="163">
        <f t="shared" si="12"/>
        <v>154006.25315428848</v>
      </c>
      <c r="I106" s="253">
        <f t="shared" si="13"/>
        <v>154006.25315428848</v>
      </c>
      <c r="J106" s="158">
        <f t="shared" si="14"/>
        <v>0</v>
      </c>
      <c r="K106" s="158"/>
      <c r="L106" s="334"/>
      <c r="M106" s="158">
        <f t="shared" si="15"/>
        <v>0</v>
      </c>
      <c r="N106" s="334"/>
      <c r="O106" s="158">
        <f t="shared" si="16"/>
        <v>0</v>
      </c>
      <c r="P106" s="158">
        <f t="shared" si="17"/>
        <v>0</v>
      </c>
    </row>
    <row r="107" spans="1:16">
      <c r="B107" s="9" t="str">
        <f t="shared" si="18"/>
        <v/>
      </c>
      <c r="C107" s="153">
        <f>IF(D93="","-",+C106+1)</f>
        <v>2024</v>
      </c>
      <c r="D107" s="154">
        <f>IF(F106+SUM(E$99:E106)=D$92,F106,D$92-SUM(E$99:E106))</f>
        <v>1011821.8643410858</v>
      </c>
      <c r="E107" s="160">
        <f>IF(+J96&lt;F106,J96,D107)</f>
        <v>29318.119047619046</v>
      </c>
      <c r="F107" s="159">
        <f t="shared" si="10"/>
        <v>982503.74529346672</v>
      </c>
      <c r="G107" s="159">
        <f t="shared" si="11"/>
        <v>997162.80481727631</v>
      </c>
      <c r="H107" s="163">
        <f t="shared" si="12"/>
        <v>150444.93849702168</v>
      </c>
      <c r="I107" s="253">
        <f t="shared" si="13"/>
        <v>150444.93849702168</v>
      </c>
      <c r="J107" s="158">
        <f t="shared" si="14"/>
        <v>0</v>
      </c>
      <c r="K107" s="158"/>
      <c r="L107" s="334"/>
      <c r="M107" s="158">
        <f t="shared" si="15"/>
        <v>0</v>
      </c>
      <c r="N107" s="334"/>
      <c r="O107" s="158">
        <f t="shared" si="16"/>
        <v>0</v>
      </c>
      <c r="P107" s="158">
        <f t="shared" si="17"/>
        <v>0</v>
      </c>
    </row>
    <row r="108" spans="1:16">
      <c r="B108" s="9" t="str">
        <f t="shared" si="18"/>
        <v/>
      </c>
      <c r="C108" s="153">
        <f>IF(D93="","-",+C107+1)</f>
        <v>2025</v>
      </c>
      <c r="D108" s="154">
        <f>IF(F107+SUM(E$99:E107)=D$92,F107,D$92-SUM(E$99:E107))</f>
        <v>982503.74529346672</v>
      </c>
      <c r="E108" s="160">
        <f>IF(+J96&lt;F107,J96,D108)</f>
        <v>29318.119047619046</v>
      </c>
      <c r="F108" s="159">
        <f t="shared" si="10"/>
        <v>953185.62624584767</v>
      </c>
      <c r="G108" s="159">
        <f t="shared" si="11"/>
        <v>967844.68576965714</v>
      </c>
      <c r="H108" s="163">
        <f t="shared" si="12"/>
        <v>146883.62383975487</v>
      </c>
      <c r="I108" s="253">
        <f t="shared" si="13"/>
        <v>146883.62383975487</v>
      </c>
      <c r="J108" s="158">
        <f t="shared" si="14"/>
        <v>0</v>
      </c>
      <c r="K108" s="158"/>
      <c r="L108" s="334"/>
      <c r="M108" s="158">
        <f t="shared" si="15"/>
        <v>0</v>
      </c>
      <c r="N108" s="334"/>
      <c r="O108" s="158">
        <f t="shared" si="16"/>
        <v>0</v>
      </c>
      <c r="P108" s="158">
        <f t="shared" si="17"/>
        <v>0</v>
      </c>
    </row>
    <row r="109" spans="1:16">
      <c r="B109" s="9" t="str">
        <f t="shared" si="18"/>
        <v/>
      </c>
      <c r="C109" s="153">
        <f>IF(D93="","-",+C108+1)</f>
        <v>2026</v>
      </c>
      <c r="D109" s="154">
        <f>IF(F108+SUM(E$99:E108)=D$92,F108,D$92-SUM(E$99:E108))</f>
        <v>953185.62624584767</v>
      </c>
      <c r="E109" s="160">
        <f>IF(+J96&lt;F108,J96,D109)</f>
        <v>29318.119047619046</v>
      </c>
      <c r="F109" s="159">
        <f t="shared" si="10"/>
        <v>923867.50719822862</v>
      </c>
      <c r="G109" s="159">
        <f t="shared" si="11"/>
        <v>938526.5667220382</v>
      </c>
      <c r="H109" s="163">
        <f t="shared" si="12"/>
        <v>143322.30918248807</v>
      </c>
      <c r="I109" s="253">
        <f t="shared" si="13"/>
        <v>143322.30918248807</v>
      </c>
      <c r="J109" s="158">
        <f t="shared" si="14"/>
        <v>0</v>
      </c>
      <c r="K109" s="158"/>
      <c r="L109" s="334"/>
      <c r="M109" s="158">
        <f t="shared" si="15"/>
        <v>0</v>
      </c>
      <c r="N109" s="334"/>
      <c r="O109" s="158">
        <f t="shared" si="16"/>
        <v>0</v>
      </c>
      <c r="P109" s="158">
        <f t="shared" si="17"/>
        <v>0</v>
      </c>
    </row>
    <row r="110" spans="1:16">
      <c r="B110" s="9" t="str">
        <f t="shared" si="18"/>
        <v/>
      </c>
      <c r="C110" s="153">
        <f>IF(D93="","-",+C109+1)</f>
        <v>2027</v>
      </c>
      <c r="D110" s="154">
        <f>IF(F109+SUM(E$99:E109)=D$92,F109,D$92-SUM(E$99:E109))</f>
        <v>923867.50719822862</v>
      </c>
      <c r="E110" s="160">
        <f>IF(+J96&lt;F109,J96,D110)</f>
        <v>29318.119047619046</v>
      </c>
      <c r="F110" s="159">
        <f t="shared" si="10"/>
        <v>894549.38815060956</v>
      </c>
      <c r="G110" s="159">
        <f t="shared" si="11"/>
        <v>909208.44767441903</v>
      </c>
      <c r="H110" s="163">
        <f t="shared" si="12"/>
        <v>139760.99452522126</v>
      </c>
      <c r="I110" s="253">
        <f t="shared" si="13"/>
        <v>139760.99452522126</v>
      </c>
      <c r="J110" s="158">
        <f t="shared" si="14"/>
        <v>0</v>
      </c>
      <c r="K110" s="158"/>
      <c r="L110" s="334"/>
      <c r="M110" s="158">
        <f t="shared" si="15"/>
        <v>0</v>
      </c>
      <c r="N110" s="334"/>
      <c r="O110" s="158">
        <f t="shared" si="16"/>
        <v>0</v>
      </c>
      <c r="P110" s="158">
        <f t="shared" si="17"/>
        <v>0</v>
      </c>
    </row>
    <row r="111" spans="1:16">
      <c r="B111" s="9" t="str">
        <f t="shared" si="18"/>
        <v/>
      </c>
      <c r="C111" s="153">
        <f>IF(D93="","-",+C110+1)</f>
        <v>2028</v>
      </c>
      <c r="D111" s="154">
        <f>IF(F110+SUM(E$99:E110)=D$92,F110,D$92-SUM(E$99:E110))</f>
        <v>894549.38815060956</v>
      </c>
      <c r="E111" s="160">
        <f>IF(+J96&lt;F110,J96,D111)</f>
        <v>29318.119047619046</v>
      </c>
      <c r="F111" s="159">
        <f t="shared" si="10"/>
        <v>865231.26910299051</v>
      </c>
      <c r="G111" s="159">
        <f t="shared" si="11"/>
        <v>879890.3286268001</v>
      </c>
      <c r="H111" s="163">
        <f t="shared" si="12"/>
        <v>136199.67986795446</v>
      </c>
      <c r="I111" s="253">
        <f t="shared" si="13"/>
        <v>136199.67986795446</v>
      </c>
      <c r="J111" s="158">
        <f t="shared" si="14"/>
        <v>0</v>
      </c>
      <c r="K111" s="158"/>
      <c r="L111" s="334"/>
      <c r="M111" s="158">
        <f t="shared" si="15"/>
        <v>0</v>
      </c>
      <c r="N111" s="334"/>
      <c r="O111" s="158">
        <f t="shared" si="16"/>
        <v>0</v>
      </c>
      <c r="P111" s="158">
        <f t="shared" si="17"/>
        <v>0</v>
      </c>
    </row>
    <row r="112" spans="1:16">
      <c r="B112" s="9" t="str">
        <f t="shared" si="18"/>
        <v/>
      </c>
      <c r="C112" s="153">
        <f>IF(D93="","-",+C111+1)</f>
        <v>2029</v>
      </c>
      <c r="D112" s="154">
        <f>IF(F111+SUM(E$99:E111)=D$92,F111,D$92-SUM(E$99:E111))</f>
        <v>865231.26910299051</v>
      </c>
      <c r="E112" s="160">
        <f>IF(+J96&lt;F111,J96,D112)</f>
        <v>29318.119047619046</v>
      </c>
      <c r="F112" s="159">
        <f t="shared" si="10"/>
        <v>835913.15005537146</v>
      </c>
      <c r="G112" s="159">
        <f t="shared" si="11"/>
        <v>850572.20957918093</v>
      </c>
      <c r="H112" s="163">
        <f t="shared" si="12"/>
        <v>132638.36521068763</v>
      </c>
      <c r="I112" s="253">
        <f t="shared" si="13"/>
        <v>132638.36521068763</v>
      </c>
      <c r="J112" s="158">
        <f t="shared" si="14"/>
        <v>0</v>
      </c>
      <c r="K112" s="158"/>
      <c r="L112" s="334"/>
      <c r="M112" s="158">
        <f t="shared" si="15"/>
        <v>0</v>
      </c>
      <c r="N112" s="334"/>
      <c r="O112" s="158">
        <f t="shared" si="16"/>
        <v>0</v>
      </c>
      <c r="P112" s="158">
        <f t="shared" si="17"/>
        <v>0</v>
      </c>
    </row>
    <row r="113" spans="2:16">
      <c r="B113" s="9" t="str">
        <f t="shared" si="18"/>
        <v/>
      </c>
      <c r="C113" s="153">
        <f>IF(D93="","-",+C112+1)</f>
        <v>2030</v>
      </c>
      <c r="D113" s="154">
        <f>IF(F112+SUM(E$99:E112)=D$92,F112,D$92-SUM(E$99:E112))</f>
        <v>835913.15005537146</v>
      </c>
      <c r="E113" s="160">
        <f>IF(+J96&lt;F112,J96,D113)</f>
        <v>29318.119047619046</v>
      </c>
      <c r="F113" s="159">
        <f t="shared" si="10"/>
        <v>806595.0310077524</v>
      </c>
      <c r="G113" s="159">
        <f t="shared" si="11"/>
        <v>821254.09053156199</v>
      </c>
      <c r="H113" s="163">
        <f t="shared" si="12"/>
        <v>129077.05055342085</v>
      </c>
      <c r="I113" s="253">
        <f t="shared" si="13"/>
        <v>129077.05055342085</v>
      </c>
      <c r="J113" s="158">
        <f t="shared" si="14"/>
        <v>0</v>
      </c>
      <c r="K113" s="158"/>
      <c r="L113" s="334"/>
      <c r="M113" s="158">
        <f t="shared" si="15"/>
        <v>0</v>
      </c>
      <c r="N113" s="334"/>
      <c r="O113" s="158">
        <f t="shared" si="16"/>
        <v>0</v>
      </c>
      <c r="P113" s="158">
        <f t="shared" si="17"/>
        <v>0</v>
      </c>
    </row>
    <row r="114" spans="2:16">
      <c r="B114" s="9" t="str">
        <f t="shared" si="18"/>
        <v/>
      </c>
      <c r="C114" s="153">
        <f>IF(D93="","-",+C113+1)</f>
        <v>2031</v>
      </c>
      <c r="D114" s="154">
        <f>IF(F113+SUM(E$99:E113)=D$92,F113,D$92-SUM(E$99:E113))</f>
        <v>806595.0310077524</v>
      </c>
      <c r="E114" s="160">
        <f>IF(+J96&lt;F113,J96,D114)</f>
        <v>29318.119047619046</v>
      </c>
      <c r="F114" s="159">
        <f t="shared" si="10"/>
        <v>777276.91196013335</v>
      </c>
      <c r="G114" s="159">
        <f t="shared" si="11"/>
        <v>791935.97148394282</v>
      </c>
      <c r="H114" s="163">
        <f t="shared" si="12"/>
        <v>125515.73589615402</v>
      </c>
      <c r="I114" s="253">
        <f t="shared" si="13"/>
        <v>125515.73589615402</v>
      </c>
      <c r="J114" s="158">
        <f t="shared" si="14"/>
        <v>0</v>
      </c>
      <c r="K114" s="158"/>
      <c r="L114" s="334"/>
      <c r="M114" s="158">
        <f t="shared" si="15"/>
        <v>0</v>
      </c>
      <c r="N114" s="334"/>
      <c r="O114" s="158">
        <f t="shared" si="16"/>
        <v>0</v>
      </c>
      <c r="P114" s="158">
        <f t="shared" si="17"/>
        <v>0</v>
      </c>
    </row>
    <row r="115" spans="2:16">
      <c r="B115" s="9" t="str">
        <f t="shared" si="18"/>
        <v/>
      </c>
      <c r="C115" s="153">
        <f>IF(D93="","-",+C114+1)</f>
        <v>2032</v>
      </c>
      <c r="D115" s="154">
        <f>IF(F114+SUM(E$99:E114)=D$92,F114,D$92-SUM(E$99:E114))</f>
        <v>777276.91196013335</v>
      </c>
      <c r="E115" s="160">
        <f>IF(+J96&lt;F114,J96,D115)</f>
        <v>29318.119047619046</v>
      </c>
      <c r="F115" s="159">
        <f t="shared" si="10"/>
        <v>747958.7929125143</v>
      </c>
      <c r="G115" s="159">
        <f t="shared" si="11"/>
        <v>762617.85243632388</v>
      </c>
      <c r="H115" s="163">
        <f t="shared" si="12"/>
        <v>121954.42123888724</v>
      </c>
      <c r="I115" s="253">
        <f t="shared" si="13"/>
        <v>121954.42123888724</v>
      </c>
      <c r="J115" s="158">
        <f t="shared" si="14"/>
        <v>0</v>
      </c>
      <c r="K115" s="158"/>
      <c r="L115" s="334"/>
      <c r="M115" s="158">
        <f t="shared" si="15"/>
        <v>0</v>
      </c>
      <c r="N115" s="334"/>
      <c r="O115" s="158">
        <f t="shared" si="16"/>
        <v>0</v>
      </c>
      <c r="P115" s="158">
        <f t="shared" si="17"/>
        <v>0</v>
      </c>
    </row>
    <row r="116" spans="2:16">
      <c r="B116" s="9" t="str">
        <f t="shared" si="18"/>
        <v/>
      </c>
      <c r="C116" s="153">
        <f>IF(D93="","-",+C115+1)</f>
        <v>2033</v>
      </c>
      <c r="D116" s="154">
        <f>IF(F115+SUM(E$99:E115)=D$92,F115,D$92-SUM(E$99:E115))</f>
        <v>747958.7929125143</v>
      </c>
      <c r="E116" s="160">
        <f>IF(+J96&lt;F115,J96,D116)</f>
        <v>29318.119047619046</v>
      </c>
      <c r="F116" s="159">
        <f t="shared" si="10"/>
        <v>718640.67386489525</v>
      </c>
      <c r="G116" s="159">
        <f t="shared" si="11"/>
        <v>733299.73338870471</v>
      </c>
      <c r="H116" s="163">
        <f t="shared" si="12"/>
        <v>118393.10658162041</v>
      </c>
      <c r="I116" s="253">
        <f t="shared" si="13"/>
        <v>118393.10658162041</v>
      </c>
      <c r="J116" s="158">
        <f t="shared" si="14"/>
        <v>0</v>
      </c>
      <c r="K116" s="158"/>
      <c r="L116" s="334"/>
      <c r="M116" s="158">
        <f t="shared" si="15"/>
        <v>0</v>
      </c>
      <c r="N116" s="334"/>
      <c r="O116" s="158">
        <f t="shared" si="16"/>
        <v>0</v>
      </c>
      <c r="P116" s="158">
        <f t="shared" si="17"/>
        <v>0</v>
      </c>
    </row>
    <row r="117" spans="2:16">
      <c r="B117" s="9" t="str">
        <f t="shared" si="18"/>
        <v/>
      </c>
      <c r="C117" s="153">
        <f>IF(D93="","-",+C116+1)</f>
        <v>2034</v>
      </c>
      <c r="D117" s="154">
        <f>IF(F116+SUM(E$99:E116)=D$92,F116,D$92-SUM(E$99:E116))</f>
        <v>718640.67386489525</v>
      </c>
      <c r="E117" s="160">
        <f>IF(+J96&lt;F116,J96,D117)</f>
        <v>29318.119047619046</v>
      </c>
      <c r="F117" s="159">
        <f t="shared" si="10"/>
        <v>689322.55481727619</v>
      </c>
      <c r="G117" s="159">
        <f t="shared" si="11"/>
        <v>703981.61434108578</v>
      </c>
      <c r="H117" s="163">
        <f t="shared" si="12"/>
        <v>114831.79192435363</v>
      </c>
      <c r="I117" s="253">
        <f t="shared" si="13"/>
        <v>114831.79192435363</v>
      </c>
      <c r="J117" s="158">
        <f t="shared" si="14"/>
        <v>0</v>
      </c>
      <c r="K117" s="158"/>
      <c r="L117" s="334"/>
      <c r="M117" s="158">
        <f t="shared" si="15"/>
        <v>0</v>
      </c>
      <c r="N117" s="334"/>
      <c r="O117" s="158">
        <f t="shared" si="16"/>
        <v>0</v>
      </c>
      <c r="P117" s="158">
        <f t="shared" si="17"/>
        <v>0</v>
      </c>
    </row>
    <row r="118" spans="2:16">
      <c r="B118" s="9" t="str">
        <f t="shared" si="18"/>
        <v/>
      </c>
      <c r="C118" s="153">
        <f>IF(D93="","-",+C117+1)</f>
        <v>2035</v>
      </c>
      <c r="D118" s="154">
        <f>IF(F117+SUM(E$99:E117)=D$92,F117,D$92-SUM(E$99:E117))</f>
        <v>689322.55481727619</v>
      </c>
      <c r="E118" s="160">
        <f>IF(+J96&lt;F117,J96,D118)</f>
        <v>29318.119047619046</v>
      </c>
      <c r="F118" s="159">
        <f t="shared" si="10"/>
        <v>660004.43576965714</v>
      </c>
      <c r="G118" s="159">
        <f t="shared" si="11"/>
        <v>674663.49529346661</v>
      </c>
      <c r="H118" s="163">
        <f t="shared" si="12"/>
        <v>111270.4772670868</v>
      </c>
      <c r="I118" s="253">
        <f t="shared" si="13"/>
        <v>111270.4772670868</v>
      </c>
      <c r="J118" s="158">
        <f t="shared" si="14"/>
        <v>0</v>
      </c>
      <c r="K118" s="158"/>
      <c r="L118" s="334"/>
      <c r="M118" s="158">
        <f t="shared" si="15"/>
        <v>0</v>
      </c>
      <c r="N118" s="334"/>
      <c r="O118" s="158">
        <f t="shared" si="16"/>
        <v>0</v>
      </c>
      <c r="P118" s="158">
        <f t="shared" si="17"/>
        <v>0</v>
      </c>
    </row>
    <row r="119" spans="2:16">
      <c r="B119" s="9" t="str">
        <f t="shared" si="18"/>
        <v/>
      </c>
      <c r="C119" s="153">
        <f>IF(D93="","-",+C118+1)</f>
        <v>2036</v>
      </c>
      <c r="D119" s="154">
        <f>IF(F118+SUM(E$99:E118)=D$92,F118,D$92-SUM(E$99:E118))</f>
        <v>660004.43576965714</v>
      </c>
      <c r="E119" s="160">
        <f>IF(+J96&lt;F118,J96,D119)</f>
        <v>29318.119047619046</v>
      </c>
      <c r="F119" s="159">
        <f t="shared" si="10"/>
        <v>630686.31672203809</v>
      </c>
      <c r="G119" s="159">
        <f t="shared" si="11"/>
        <v>645345.37624584767</v>
      </c>
      <c r="H119" s="163">
        <f t="shared" si="12"/>
        <v>107709.16260982002</v>
      </c>
      <c r="I119" s="253">
        <f t="shared" si="13"/>
        <v>107709.16260982002</v>
      </c>
      <c r="J119" s="158">
        <f t="shared" si="14"/>
        <v>0</v>
      </c>
      <c r="K119" s="158"/>
      <c r="L119" s="334"/>
      <c r="M119" s="158">
        <f t="shared" si="15"/>
        <v>0</v>
      </c>
      <c r="N119" s="334"/>
      <c r="O119" s="158">
        <f t="shared" si="16"/>
        <v>0</v>
      </c>
      <c r="P119" s="158">
        <f t="shared" si="17"/>
        <v>0</v>
      </c>
    </row>
    <row r="120" spans="2:16">
      <c r="B120" s="9" t="str">
        <f t="shared" si="18"/>
        <v/>
      </c>
      <c r="C120" s="153">
        <f>IF(D93="","-",+C119+1)</f>
        <v>2037</v>
      </c>
      <c r="D120" s="154">
        <f>IF(F119+SUM(E$99:E119)=D$92,F119,D$92-SUM(E$99:E119))</f>
        <v>630686.31672203809</v>
      </c>
      <c r="E120" s="160">
        <f>IF(+J96&lt;F119,J96,D120)</f>
        <v>29318.119047619046</v>
      </c>
      <c r="F120" s="159">
        <f t="shared" si="10"/>
        <v>601368.19767441903</v>
      </c>
      <c r="G120" s="159">
        <f t="shared" si="11"/>
        <v>616027.2571982285</v>
      </c>
      <c r="H120" s="163">
        <f t="shared" si="12"/>
        <v>104147.84795255319</v>
      </c>
      <c r="I120" s="253">
        <f t="shared" si="13"/>
        <v>104147.84795255319</v>
      </c>
      <c r="J120" s="158">
        <f t="shared" si="14"/>
        <v>0</v>
      </c>
      <c r="K120" s="158"/>
      <c r="L120" s="334"/>
      <c r="M120" s="158">
        <f t="shared" si="15"/>
        <v>0</v>
      </c>
      <c r="N120" s="334"/>
      <c r="O120" s="158">
        <f t="shared" si="16"/>
        <v>0</v>
      </c>
      <c r="P120" s="158">
        <f t="shared" si="17"/>
        <v>0</v>
      </c>
    </row>
    <row r="121" spans="2:16">
      <c r="B121" s="9" t="str">
        <f t="shared" si="18"/>
        <v/>
      </c>
      <c r="C121" s="153">
        <f>IF(D93="","-",+C120+1)</f>
        <v>2038</v>
      </c>
      <c r="D121" s="154">
        <f>IF(F120+SUM(E$99:E120)=D$92,F120,D$92-SUM(E$99:E120))</f>
        <v>601368.19767441903</v>
      </c>
      <c r="E121" s="160">
        <f>IF(+J96&lt;F120,J96,D121)</f>
        <v>29318.119047619046</v>
      </c>
      <c r="F121" s="159">
        <f t="shared" si="10"/>
        <v>572050.07862679998</v>
      </c>
      <c r="G121" s="159">
        <f t="shared" si="11"/>
        <v>586709.13815060956</v>
      </c>
      <c r="H121" s="163">
        <f t="shared" si="12"/>
        <v>100586.53329528641</v>
      </c>
      <c r="I121" s="253">
        <f t="shared" si="13"/>
        <v>100586.53329528641</v>
      </c>
      <c r="J121" s="158">
        <f t="shared" si="14"/>
        <v>0</v>
      </c>
      <c r="K121" s="158"/>
      <c r="L121" s="334"/>
      <c r="M121" s="158">
        <f t="shared" si="15"/>
        <v>0</v>
      </c>
      <c r="N121" s="334"/>
      <c r="O121" s="158">
        <f t="shared" si="16"/>
        <v>0</v>
      </c>
      <c r="P121" s="158">
        <f t="shared" si="17"/>
        <v>0</v>
      </c>
    </row>
    <row r="122" spans="2:16">
      <c r="B122" s="9" t="str">
        <f t="shared" si="18"/>
        <v/>
      </c>
      <c r="C122" s="153">
        <f>IF(D93="","-",+C121+1)</f>
        <v>2039</v>
      </c>
      <c r="D122" s="154">
        <f>IF(F121+SUM(E$99:E121)=D$92,F121,D$92-SUM(E$99:E121))</f>
        <v>572050.07862679998</v>
      </c>
      <c r="E122" s="160">
        <f>IF(+J96&lt;F121,J96,D122)</f>
        <v>29318.119047619046</v>
      </c>
      <c r="F122" s="159">
        <f t="shared" si="10"/>
        <v>542731.95957918093</v>
      </c>
      <c r="G122" s="159">
        <f t="shared" si="11"/>
        <v>557391.01910299039</v>
      </c>
      <c r="H122" s="163">
        <f t="shared" si="12"/>
        <v>97025.218638019578</v>
      </c>
      <c r="I122" s="253">
        <f t="shared" si="13"/>
        <v>97025.218638019578</v>
      </c>
      <c r="J122" s="158">
        <f t="shared" si="14"/>
        <v>0</v>
      </c>
      <c r="K122" s="158"/>
      <c r="L122" s="334"/>
      <c r="M122" s="158">
        <f t="shared" si="15"/>
        <v>0</v>
      </c>
      <c r="N122" s="334"/>
      <c r="O122" s="158">
        <f t="shared" si="16"/>
        <v>0</v>
      </c>
      <c r="P122" s="158">
        <f t="shared" si="17"/>
        <v>0</v>
      </c>
    </row>
    <row r="123" spans="2:16">
      <c r="B123" s="9" t="str">
        <f t="shared" si="18"/>
        <v/>
      </c>
      <c r="C123" s="153">
        <f>IF(D93="","-",+C122+1)</f>
        <v>2040</v>
      </c>
      <c r="D123" s="154">
        <f>IF(F122+SUM(E$99:E122)=D$92,F122,D$92-SUM(E$99:E122))</f>
        <v>542731.95957918093</v>
      </c>
      <c r="E123" s="160">
        <f>IF(+J96&lt;F122,J96,D123)</f>
        <v>29318.119047619046</v>
      </c>
      <c r="F123" s="159">
        <f t="shared" si="10"/>
        <v>513413.84053156187</v>
      </c>
      <c r="G123" s="159">
        <f t="shared" si="11"/>
        <v>528072.90005537146</v>
      </c>
      <c r="H123" s="163">
        <f t="shared" si="12"/>
        <v>93463.903980752788</v>
      </c>
      <c r="I123" s="253">
        <f t="shared" si="13"/>
        <v>93463.903980752788</v>
      </c>
      <c r="J123" s="158">
        <f t="shared" si="14"/>
        <v>0</v>
      </c>
      <c r="K123" s="158"/>
      <c r="L123" s="334"/>
      <c r="M123" s="158">
        <f t="shared" si="15"/>
        <v>0</v>
      </c>
      <c r="N123" s="334"/>
      <c r="O123" s="158">
        <f t="shared" si="16"/>
        <v>0</v>
      </c>
      <c r="P123" s="158">
        <f t="shared" si="17"/>
        <v>0</v>
      </c>
    </row>
    <row r="124" spans="2:16">
      <c r="B124" s="9" t="str">
        <f t="shared" si="18"/>
        <v/>
      </c>
      <c r="C124" s="153">
        <f>IF(D93="","-",+C123+1)</f>
        <v>2041</v>
      </c>
      <c r="D124" s="154">
        <f>IF(F123+SUM(E$99:E123)=D$92,F123,D$92-SUM(E$99:E123))</f>
        <v>513413.84053156187</v>
      </c>
      <c r="E124" s="160">
        <f>IF(+J96&lt;F123,J96,D124)</f>
        <v>29318.119047619046</v>
      </c>
      <c r="F124" s="159">
        <f t="shared" si="10"/>
        <v>484095.72148394282</v>
      </c>
      <c r="G124" s="159">
        <f t="shared" si="11"/>
        <v>498754.78100775235</v>
      </c>
      <c r="H124" s="163">
        <f t="shared" si="12"/>
        <v>89902.589323485969</v>
      </c>
      <c r="I124" s="253">
        <f t="shared" si="13"/>
        <v>89902.589323485969</v>
      </c>
      <c r="J124" s="158">
        <f t="shared" si="14"/>
        <v>0</v>
      </c>
      <c r="K124" s="158"/>
      <c r="L124" s="334"/>
      <c r="M124" s="158">
        <f t="shared" si="15"/>
        <v>0</v>
      </c>
      <c r="N124" s="334"/>
      <c r="O124" s="158">
        <f t="shared" si="16"/>
        <v>0</v>
      </c>
      <c r="P124" s="158">
        <f t="shared" si="17"/>
        <v>0</v>
      </c>
    </row>
    <row r="125" spans="2:16">
      <c r="B125" s="9" t="str">
        <f t="shared" si="18"/>
        <v/>
      </c>
      <c r="C125" s="153">
        <f>IF(D93="","-",+C124+1)</f>
        <v>2042</v>
      </c>
      <c r="D125" s="154">
        <f>IF(F124+SUM(E$99:E124)=D$92,F124,D$92-SUM(E$99:E124))</f>
        <v>484095.72148394282</v>
      </c>
      <c r="E125" s="160">
        <f>IF(+J96&lt;F124,J96,D125)</f>
        <v>29318.119047619046</v>
      </c>
      <c r="F125" s="159">
        <f t="shared" si="10"/>
        <v>454777.60243632377</v>
      </c>
      <c r="G125" s="159">
        <f t="shared" si="11"/>
        <v>469436.66196013329</v>
      </c>
      <c r="H125" s="163">
        <f t="shared" si="12"/>
        <v>86341.274666219164</v>
      </c>
      <c r="I125" s="253">
        <f t="shared" si="13"/>
        <v>86341.274666219164</v>
      </c>
      <c r="J125" s="158">
        <f t="shared" si="14"/>
        <v>0</v>
      </c>
      <c r="K125" s="158"/>
      <c r="L125" s="334"/>
      <c r="M125" s="158">
        <f t="shared" si="15"/>
        <v>0</v>
      </c>
      <c r="N125" s="334"/>
      <c r="O125" s="158">
        <f t="shared" si="16"/>
        <v>0</v>
      </c>
      <c r="P125" s="158">
        <f t="shared" si="17"/>
        <v>0</v>
      </c>
    </row>
    <row r="126" spans="2:16">
      <c r="B126" s="9" t="str">
        <f t="shared" si="18"/>
        <v/>
      </c>
      <c r="C126" s="153">
        <f>IF(D93="","-",+C125+1)</f>
        <v>2043</v>
      </c>
      <c r="D126" s="154">
        <f>IF(F125+SUM(E$99:E125)=D$92,F125,D$92-SUM(E$99:E125))</f>
        <v>454777.60243632377</v>
      </c>
      <c r="E126" s="160">
        <f>IF(+J96&lt;F125,J96,D126)</f>
        <v>29318.119047619046</v>
      </c>
      <c r="F126" s="159">
        <f t="shared" si="10"/>
        <v>425459.48338870471</v>
      </c>
      <c r="G126" s="159">
        <f t="shared" si="11"/>
        <v>440118.54291251424</v>
      </c>
      <c r="H126" s="163">
        <f t="shared" si="12"/>
        <v>82779.960008952359</v>
      </c>
      <c r="I126" s="253">
        <f t="shared" si="13"/>
        <v>82779.960008952359</v>
      </c>
      <c r="J126" s="158">
        <f t="shared" si="14"/>
        <v>0</v>
      </c>
      <c r="K126" s="158"/>
      <c r="L126" s="334"/>
      <c r="M126" s="158">
        <f t="shared" si="15"/>
        <v>0</v>
      </c>
      <c r="N126" s="334"/>
      <c r="O126" s="158">
        <f t="shared" si="16"/>
        <v>0</v>
      </c>
      <c r="P126" s="158">
        <f t="shared" si="17"/>
        <v>0</v>
      </c>
    </row>
    <row r="127" spans="2:16">
      <c r="B127" s="9" t="str">
        <f t="shared" si="18"/>
        <v/>
      </c>
      <c r="C127" s="153">
        <f>IF(D93="","-",+C126+1)</f>
        <v>2044</v>
      </c>
      <c r="D127" s="154">
        <f>IF(F126+SUM(E$99:E126)=D$92,F126,D$92-SUM(E$99:E126))</f>
        <v>425459.48338870471</v>
      </c>
      <c r="E127" s="160">
        <f>IF(+J96&lt;F126,J96,D127)</f>
        <v>29318.119047619046</v>
      </c>
      <c r="F127" s="159">
        <f t="shared" si="10"/>
        <v>396141.36434108566</v>
      </c>
      <c r="G127" s="159">
        <f t="shared" si="11"/>
        <v>410800.42386489519</v>
      </c>
      <c r="H127" s="163">
        <f t="shared" si="12"/>
        <v>79218.645351685554</v>
      </c>
      <c r="I127" s="253">
        <f t="shared" si="13"/>
        <v>79218.645351685554</v>
      </c>
      <c r="J127" s="158">
        <f t="shared" si="14"/>
        <v>0</v>
      </c>
      <c r="K127" s="158"/>
      <c r="L127" s="334"/>
      <c r="M127" s="158">
        <f t="shared" si="15"/>
        <v>0</v>
      </c>
      <c r="N127" s="334"/>
      <c r="O127" s="158">
        <f t="shared" si="16"/>
        <v>0</v>
      </c>
      <c r="P127" s="158">
        <f t="shared" si="17"/>
        <v>0</v>
      </c>
    </row>
    <row r="128" spans="2:16">
      <c r="B128" s="9" t="str">
        <f t="shared" si="18"/>
        <v/>
      </c>
      <c r="C128" s="153">
        <f>IF(D93="","-",+C127+1)</f>
        <v>2045</v>
      </c>
      <c r="D128" s="154">
        <f>IF(F127+SUM(E$99:E127)=D$92,F127,D$92-SUM(E$99:E127))</f>
        <v>396141.36434108566</v>
      </c>
      <c r="E128" s="160">
        <f>IF(+J96&lt;F127,J96,D128)</f>
        <v>29318.119047619046</v>
      </c>
      <c r="F128" s="159">
        <f t="shared" si="10"/>
        <v>366823.24529346661</v>
      </c>
      <c r="G128" s="159">
        <f t="shared" si="11"/>
        <v>381482.30481727613</v>
      </c>
      <c r="H128" s="163">
        <f t="shared" si="12"/>
        <v>75657.33069441875</v>
      </c>
      <c r="I128" s="253">
        <f t="shared" si="13"/>
        <v>75657.33069441875</v>
      </c>
      <c r="J128" s="158">
        <f t="shared" si="14"/>
        <v>0</v>
      </c>
      <c r="K128" s="158"/>
      <c r="L128" s="334"/>
      <c r="M128" s="158">
        <f t="shared" si="15"/>
        <v>0</v>
      </c>
      <c r="N128" s="334"/>
      <c r="O128" s="158">
        <f t="shared" si="16"/>
        <v>0</v>
      </c>
      <c r="P128" s="158">
        <f t="shared" si="17"/>
        <v>0</v>
      </c>
    </row>
    <row r="129" spans="2:16">
      <c r="B129" s="9" t="str">
        <f t="shared" si="18"/>
        <v/>
      </c>
      <c r="C129" s="153">
        <f>IF(D93="","-",+C128+1)</f>
        <v>2046</v>
      </c>
      <c r="D129" s="154">
        <f>IF(F128+SUM(E$99:E128)=D$92,F128,D$92-SUM(E$99:E128))</f>
        <v>366823.24529346661</v>
      </c>
      <c r="E129" s="160">
        <f>IF(+J96&lt;F128,J96,D129)</f>
        <v>29318.119047619046</v>
      </c>
      <c r="F129" s="159">
        <f t="shared" si="10"/>
        <v>337505.12624584755</v>
      </c>
      <c r="G129" s="159">
        <f t="shared" si="11"/>
        <v>352164.18576965708</v>
      </c>
      <c r="H129" s="163">
        <f t="shared" si="12"/>
        <v>72096.016037151945</v>
      </c>
      <c r="I129" s="253">
        <f t="shared" si="13"/>
        <v>72096.016037151945</v>
      </c>
      <c r="J129" s="158">
        <f t="shared" si="14"/>
        <v>0</v>
      </c>
      <c r="K129" s="158"/>
      <c r="L129" s="334"/>
      <c r="M129" s="158">
        <f t="shared" si="15"/>
        <v>0</v>
      </c>
      <c r="N129" s="334"/>
      <c r="O129" s="158">
        <f t="shared" si="16"/>
        <v>0</v>
      </c>
      <c r="P129" s="158">
        <f t="shared" si="17"/>
        <v>0</v>
      </c>
    </row>
    <row r="130" spans="2:16">
      <c r="B130" s="9" t="str">
        <f t="shared" si="18"/>
        <v/>
      </c>
      <c r="C130" s="153">
        <f>IF(D93="","-",+C129+1)</f>
        <v>2047</v>
      </c>
      <c r="D130" s="154">
        <f>IF(F129+SUM(E$99:E129)=D$92,F129,D$92-SUM(E$99:E129))</f>
        <v>337505.12624584755</v>
      </c>
      <c r="E130" s="160">
        <f>IF(+J96&lt;F129,J96,D130)</f>
        <v>29318.119047619046</v>
      </c>
      <c r="F130" s="159">
        <f t="shared" si="10"/>
        <v>308187.0071982285</v>
      </c>
      <c r="G130" s="159">
        <f t="shared" si="11"/>
        <v>322846.06672203803</v>
      </c>
      <c r="H130" s="163">
        <f t="shared" si="12"/>
        <v>68534.70137988514</v>
      </c>
      <c r="I130" s="253">
        <f t="shared" si="13"/>
        <v>68534.70137988514</v>
      </c>
      <c r="J130" s="158">
        <f t="shared" si="14"/>
        <v>0</v>
      </c>
      <c r="K130" s="158"/>
      <c r="L130" s="334"/>
      <c r="M130" s="158">
        <f t="shared" si="15"/>
        <v>0</v>
      </c>
      <c r="N130" s="334"/>
      <c r="O130" s="158">
        <f t="shared" si="16"/>
        <v>0</v>
      </c>
      <c r="P130" s="158">
        <f t="shared" si="17"/>
        <v>0</v>
      </c>
    </row>
    <row r="131" spans="2:16">
      <c r="B131" s="9" t="str">
        <f t="shared" si="18"/>
        <v/>
      </c>
      <c r="C131" s="153">
        <f>IF(D93="","-",+C130+1)</f>
        <v>2048</v>
      </c>
      <c r="D131" s="154">
        <f>IF(F130+SUM(E$99:E130)=D$92,F130,D$92-SUM(E$99:E130))</f>
        <v>308187.0071982285</v>
      </c>
      <c r="E131" s="160">
        <f>IF(+J96&lt;F130,J96,D131)</f>
        <v>29318.119047619046</v>
      </c>
      <c r="F131" s="159">
        <f t="shared" ref="F131:F154" si="19">+D131-E131</f>
        <v>278868.88815060945</v>
      </c>
      <c r="G131" s="159">
        <f t="shared" ref="G131:G154" si="20">+(F131+D131)/2</f>
        <v>293527.94767441897</v>
      </c>
      <c r="H131" s="163">
        <f t="shared" si="12"/>
        <v>64973.386722618328</v>
      </c>
      <c r="I131" s="253">
        <f t="shared" si="13"/>
        <v>64973.386722618328</v>
      </c>
      <c r="J131" s="158">
        <f t="shared" ref="J131:J154" si="21">+I541-H541</f>
        <v>0</v>
      </c>
      <c r="K131" s="158"/>
      <c r="L131" s="334"/>
      <c r="M131" s="158">
        <f t="shared" ref="M131:M154" si="22">IF(L541&lt;&gt;0,+H541-L541,0)</f>
        <v>0</v>
      </c>
      <c r="N131" s="334"/>
      <c r="O131" s="158">
        <f t="shared" ref="O131:O154" si="23">IF(N541&lt;&gt;0,+I541-N541,0)</f>
        <v>0</v>
      </c>
      <c r="P131" s="158">
        <f t="shared" ref="P131:P154" si="24">+O541-M541</f>
        <v>0</v>
      </c>
    </row>
    <row r="132" spans="2:16">
      <c r="B132" s="9" t="str">
        <f t="shared" si="18"/>
        <v/>
      </c>
      <c r="C132" s="153">
        <f>IF(D93="","-",+C131+1)</f>
        <v>2049</v>
      </c>
      <c r="D132" s="154">
        <f>IF(F131+SUM(E$99:E131)=D$92,F131,D$92-SUM(E$99:E131))</f>
        <v>278868.88815060945</v>
      </c>
      <c r="E132" s="160">
        <f>IF(+J96&lt;F131,J96,D132)</f>
        <v>29318.119047619046</v>
      </c>
      <c r="F132" s="159">
        <f t="shared" si="19"/>
        <v>249550.76910299039</v>
      </c>
      <c r="G132" s="159">
        <f t="shared" si="20"/>
        <v>264209.82862679992</v>
      </c>
      <c r="H132" s="163">
        <f t="shared" si="12"/>
        <v>61412.072065351524</v>
      </c>
      <c r="I132" s="253">
        <f t="shared" si="13"/>
        <v>61412.072065351524</v>
      </c>
      <c r="J132" s="158">
        <f t="shared" si="21"/>
        <v>0</v>
      </c>
      <c r="K132" s="158"/>
      <c r="L132" s="334"/>
      <c r="M132" s="158">
        <f t="shared" si="22"/>
        <v>0</v>
      </c>
      <c r="N132" s="334"/>
      <c r="O132" s="158">
        <f t="shared" si="23"/>
        <v>0</v>
      </c>
      <c r="P132" s="158">
        <f t="shared" si="24"/>
        <v>0</v>
      </c>
    </row>
    <row r="133" spans="2:16">
      <c r="B133" s="9" t="str">
        <f t="shared" si="18"/>
        <v/>
      </c>
      <c r="C133" s="153">
        <f>IF(D93="","-",+C132+1)</f>
        <v>2050</v>
      </c>
      <c r="D133" s="154">
        <f>IF(F132+SUM(E$99:E132)=D$92,F132,D$92-SUM(E$99:E132))</f>
        <v>249550.76910299039</v>
      </c>
      <c r="E133" s="160">
        <f>IF(+J96&lt;F132,J96,D133)</f>
        <v>29318.119047619046</v>
      </c>
      <c r="F133" s="159">
        <f t="shared" si="19"/>
        <v>220232.65005537134</v>
      </c>
      <c r="G133" s="159">
        <f t="shared" si="20"/>
        <v>234891.70957918087</v>
      </c>
      <c r="H133" s="163">
        <f t="shared" si="12"/>
        <v>57850.757408084719</v>
      </c>
      <c r="I133" s="253">
        <f t="shared" si="13"/>
        <v>57850.757408084719</v>
      </c>
      <c r="J133" s="158">
        <f t="shared" si="21"/>
        <v>0</v>
      </c>
      <c r="K133" s="158"/>
      <c r="L133" s="334"/>
      <c r="M133" s="158">
        <f t="shared" si="22"/>
        <v>0</v>
      </c>
      <c r="N133" s="334"/>
      <c r="O133" s="158">
        <f t="shared" si="23"/>
        <v>0</v>
      </c>
      <c r="P133" s="158">
        <f t="shared" si="24"/>
        <v>0</v>
      </c>
    </row>
    <row r="134" spans="2:16">
      <c r="B134" s="9" t="str">
        <f t="shared" si="18"/>
        <v/>
      </c>
      <c r="C134" s="153">
        <f>IF(D93="","-",+C133+1)</f>
        <v>2051</v>
      </c>
      <c r="D134" s="154">
        <f>IF(F133+SUM(E$99:E133)=D$92,F133,D$92-SUM(E$99:E133))</f>
        <v>220232.65005537134</v>
      </c>
      <c r="E134" s="160">
        <f>IF(+J96&lt;F133,J96,D134)</f>
        <v>29318.119047619046</v>
      </c>
      <c r="F134" s="159">
        <f t="shared" si="19"/>
        <v>190914.53100775229</v>
      </c>
      <c r="G134" s="159">
        <f t="shared" si="20"/>
        <v>205573.59053156181</v>
      </c>
      <c r="H134" s="163">
        <f t="shared" si="12"/>
        <v>54289.442750817907</v>
      </c>
      <c r="I134" s="253">
        <f t="shared" si="13"/>
        <v>54289.442750817907</v>
      </c>
      <c r="J134" s="158">
        <f t="shared" si="21"/>
        <v>0</v>
      </c>
      <c r="K134" s="158"/>
      <c r="L134" s="334"/>
      <c r="M134" s="158">
        <f t="shared" si="22"/>
        <v>0</v>
      </c>
      <c r="N134" s="334"/>
      <c r="O134" s="158">
        <f t="shared" si="23"/>
        <v>0</v>
      </c>
      <c r="P134" s="158">
        <f t="shared" si="24"/>
        <v>0</v>
      </c>
    </row>
    <row r="135" spans="2:16">
      <c r="B135" s="9" t="str">
        <f t="shared" si="18"/>
        <v/>
      </c>
      <c r="C135" s="153">
        <f>IF(D93="","-",+C134+1)</f>
        <v>2052</v>
      </c>
      <c r="D135" s="154">
        <f>IF(F134+SUM(E$99:E134)=D$92,F134,D$92-SUM(E$99:E134))</f>
        <v>190914.53100775229</v>
      </c>
      <c r="E135" s="160">
        <f>IF(+J96&lt;F134,J96,D135)</f>
        <v>29318.119047619046</v>
      </c>
      <c r="F135" s="159">
        <f t="shared" si="19"/>
        <v>161596.41196013323</v>
      </c>
      <c r="G135" s="159">
        <f t="shared" si="20"/>
        <v>176255.47148394276</v>
      </c>
      <c r="H135" s="163">
        <f t="shared" si="12"/>
        <v>50728.128093551102</v>
      </c>
      <c r="I135" s="253">
        <f t="shared" si="13"/>
        <v>50728.128093551102</v>
      </c>
      <c r="J135" s="158">
        <f t="shared" si="21"/>
        <v>0</v>
      </c>
      <c r="K135" s="158"/>
      <c r="L135" s="334"/>
      <c r="M135" s="158">
        <f t="shared" si="22"/>
        <v>0</v>
      </c>
      <c r="N135" s="334"/>
      <c r="O135" s="158">
        <f t="shared" si="23"/>
        <v>0</v>
      </c>
      <c r="P135" s="158">
        <f t="shared" si="24"/>
        <v>0</v>
      </c>
    </row>
    <row r="136" spans="2:16">
      <c r="B136" s="9" t="str">
        <f t="shared" si="18"/>
        <v/>
      </c>
      <c r="C136" s="153">
        <f>IF(D93="","-",+C135+1)</f>
        <v>2053</v>
      </c>
      <c r="D136" s="154">
        <f>IF(F135+SUM(E$99:E135)=D$92,F135,D$92-SUM(E$99:E135))</f>
        <v>161596.41196013323</v>
      </c>
      <c r="E136" s="160">
        <f>IF(+J96&lt;F135,J96,D136)</f>
        <v>29318.119047619046</v>
      </c>
      <c r="F136" s="159">
        <f t="shared" si="19"/>
        <v>132278.29291251418</v>
      </c>
      <c r="G136" s="159">
        <f t="shared" si="20"/>
        <v>146937.35243632371</v>
      </c>
      <c r="H136" s="163">
        <f t="shared" si="12"/>
        <v>47166.813436284297</v>
      </c>
      <c r="I136" s="253">
        <f t="shared" si="13"/>
        <v>47166.813436284297</v>
      </c>
      <c r="J136" s="158">
        <f t="shared" si="21"/>
        <v>0</v>
      </c>
      <c r="K136" s="158"/>
      <c r="L136" s="334"/>
      <c r="M136" s="158">
        <f t="shared" si="22"/>
        <v>0</v>
      </c>
      <c r="N136" s="334"/>
      <c r="O136" s="158">
        <f t="shared" si="23"/>
        <v>0</v>
      </c>
      <c r="P136" s="158">
        <f t="shared" si="24"/>
        <v>0</v>
      </c>
    </row>
    <row r="137" spans="2:16">
      <c r="B137" s="9" t="str">
        <f t="shared" si="18"/>
        <v/>
      </c>
      <c r="C137" s="153">
        <f>IF(D93="","-",+C136+1)</f>
        <v>2054</v>
      </c>
      <c r="D137" s="154">
        <f>IF(F136+SUM(E$99:E136)=D$92,F136,D$92-SUM(E$99:E136))</f>
        <v>132278.29291251418</v>
      </c>
      <c r="E137" s="160">
        <f>IF(+J96&lt;F136,J96,D137)</f>
        <v>29318.119047619046</v>
      </c>
      <c r="F137" s="159">
        <f t="shared" si="19"/>
        <v>102960.17386489513</v>
      </c>
      <c r="G137" s="159">
        <f t="shared" si="20"/>
        <v>117619.23338870466</v>
      </c>
      <c r="H137" s="163">
        <f t="shared" si="12"/>
        <v>43605.498779017493</v>
      </c>
      <c r="I137" s="253">
        <f t="shared" si="13"/>
        <v>43605.498779017493</v>
      </c>
      <c r="J137" s="158">
        <f t="shared" si="21"/>
        <v>0</v>
      </c>
      <c r="K137" s="158"/>
      <c r="L137" s="334"/>
      <c r="M137" s="158">
        <f t="shared" si="22"/>
        <v>0</v>
      </c>
      <c r="N137" s="334"/>
      <c r="O137" s="158">
        <f t="shared" si="23"/>
        <v>0</v>
      </c>
      <c r="P137" s="158">
        <f t="shared" si="24"/>
        <v>0</v>
      </c>
    </row>
    <row r="138" spans="2:16">
      <c r="B138" s="9" t="str">
        <f t="shared" si="18"/>
        <v/>
      </c>
      <c r="C138" s="153">
        <f>IF(D93="","-",+C137+1)</f>
        <v>2055</v>
      </c>
      <c r="D138" s="154">
        <f>IF(F137+SUM(E$99:E137)=D$92,F137,D$92-SUM(E$99:E137))</f>
        <v>102960.17386489513</v>
      </c>
      <c r="E138" s="160">
        <f>IF(+J96&lt;F137,J96,D138)</f>
        <v>29318.119047619046</v>
      </c>
      <c r="F138" s="159">
        <f t="shared" si="19"/>
        <v>73642.054817276075</v>
      </c>
      <c r="G138" s="159">
        <f t="shared" si="20"/>
        <v>88301.114341085602</v>
      </c>
      <c r="H138" s="163">
        <f t="shared" si="12"/>
        <v>40044.184121750688</v>
      </c>
      <c r="I138" s="253">
        <f t="shared" si="13"/>
        <v>40044.184121750688</v>
      </c>
      <c r="J138" s="158">
        <f t="shared" si="21"/>
        <v>0</v>
      </c>
      <c r="K138" s="158"/>
      <c r="L138" s="334"/>
      <c r="M138" s="158">
        <f t="shared" si="22"/>
        <v>0</v>
      </c>
      <c r="N138" s="334"/>
      <c r="O138" s="158">
        <f t="shared" si="23"/>
        <v>0</v>
      </c>
      <c r="P138" s="158">
        <f t="shared" si="24"/>
        <v>0</v>
      </c>
    </row>
    <row r="139" spans="2:16">
      <c r="B139" s="9" t="str">
        <f t="shared" si="18"/>
        <v/>
      </c>
      <c r="C139" s="153">
        <f>IF(D93="","-",+C138+1)</f>
        <v>2056</v>
      </c>
      <c r="D139" s="154">
        <f>IF(F138+SUM(E$99:E138)=D$92,F138,D$92-SUM(E$99:E138))</f>
        <v>73642.054817276075</v>
      </c>
      <c r="E139" s="160">
        <f>IF(+J96&lt;F138,J96,D139)</f>
        <v>29318.119047619046</v>
      </c>
      <c r="F139" s="159">
        <f t="shared" si="19"/>
        <v>44323.93576965703</v>
      </c>
      <c r="G139" s="159">
        <f t="shared" si="20"/>
        <v>58982.995293466549</v>
      </c>
      <c r="H139" s="163">
        <f t="shared" si="12"/>
        <v>36482.869464483883</v>
      </c>
      <c r="I139" s="253">
        <f t="shared" si="13"/>
        <v>36482.869464483883</v>
      </c>
      <c r="J139" s="158">
        <f t="shared" si="21"/>
        <v>0</v>
      </c>
      <c r="K139" s="158"/>
      <c r="L139" s="334"/>
      <c r="M139" s="158">
        <f t="shared" si="22"/>
        <v>0</v>
      </c>
      <c r="N139" s="334"/>
      <c r="O139" s="158">
        <f t="shared" si="23"/>
        <v>0</v>
      </c>
      <c r="P139" s="158">
        <f t="shared" si="24"/>
        <v>0</v>
      </c>
    </row>
    <row r="140" spans="2:16">
      <c r="B140" s="9" t="str">
        <f t="shared" si="18"/>
        <v/>
      </c>
      <c r="C140" s="153">
        <f>IF(D93="","-",+C139+1)</f>
        <v>2057</v>
      </c>
      <c r="D140" s="154">
        <f>IF(F139+SUM(E$99:E139)=D$92,F139,D$92-SUM(E$99:E139))</f>
        <v>44323.93576965703</v>
      </c>
      <c r="E140" s="160">
        <f>IF(+J96&lt;F139,J96,D140)</f>
        <v>29318.119047619046</v>
      </c>
      <c r="F140" s="159">
        <f t="shared" si="19"/>
        <v>15005.816722037984</v>
      </c>
      <c r="G140" s="159">
        <f t="shared" si="20"/>
        <v>29664.876245847507</v>
      </c>
      <c r="H140" s="163">
        <f t="shared" si="12"/>
        <v>32921.554807217079</v>
      </c>
      <c r="I140" s="253">
        <f t="shared" si="13"/>
        <v>32921.554807217079</v>
      </c>
      <c r="J140" s="158">
        <f t="shared" si="21"/>
        <v>0</v>
      </c>
      <c r="K140" s="158"/>
      <c r="L140" s="334"/>
      <c r="M140" s="158">
        <f t="shared" si="22"/>
        <v>0</v>
      </c>
      <c r="N140" s="334"/>
      <c r="O140" s="158">
        <f t="shared" si="23"/>
        <v>0</v>
      </c>
      <c r="P140" s="158">
        <f t="shared" si="24"/>
        <v>0</v>
      </c>
    </row>
    <row r="141" spans="2:16">
      <c r="B141" s="9" t="str">
        <f t="shared" si="18"/>
        <v/>
      </c>
      <c r="C141" s="153">
        <f>IF(D93="","-",+C140+1)</f>
        <v>2058</v>
      </c>
      <c r="D141" s="154">
        <f>IF(F140+SUM(E$99:E140)=D$92,F140,D$92-SUM(E$99:E140))</f>
        <v>15005.816722037984</v>
      </c>
      <c r="E141" s="160">
        <f>IF(+J96&lt;F140,J96,D141)</f>
        <v>15005.816722037984</v>
      </c>
      <c r="F141" s="159">
        <f t="shared" si="19"/>
        <v>0</v>
      </c>
      <c r="G141" s="159">
        <f t="shared" si="20"/>
        <v>7502.9083610189919</v>
      </c>
      <c r="H141" s="163">
        <f t="shared" si="12"/>
        <v>15917.205937520297</v>
      </c>
      <c r="I141" s="253">
        <f t="shared" si="13"/>
        <v>15917.205937520297</v>
      </c>
      <c r="J141" s="158">
        <f t="shared" si="21"/>
        <v>0</v>
      </c>
      <c r="K141" s="158"/>
      <c r="L141" s="334"/>
      <c r="M141" s="158">
        <f t="shared" si="22"/>
        <v>0</v>
      </c>
      <c r="N141" s="334"/>
      <c r="O141" s="158">
        <f t="shared" si="23"/>
        <v>0</v>
      </c>
      <c r="P141" s="158">
        <f t="shared" si="24"/>
        <v>0</v>
      </c>
    </row>
    <row r="142" spans="2:16">
      <c r="B142" s="9" t="str">
        <f t="shared" si="18"/>
        <v/>
      </c>
      <c r="C142" s="153">
        <f>IF(D93="","-",+C141+1)</f>
        <v>2059</v>
      </c>
      <c r="D142" s="154">
        <f>IF(F141+SUM(E$99:E141)=D$92,F141,D$92-SUM(E$99:E141))</f>
        <v>0</v>
      </c>
      <c r="E142" s="160">
        <f>IF(+J96&lt;F141,J96,D142)</f>
        <v>0</v>
      </c>
      <c r="F142" s="159">
        <f t="shared" si="19"/>
        <v>0</v>
      </c>
      <c r="G142" s="159">
        <f t="shared" si="20"/>
        <v>0</v>
      </c>
      <c r="H142" s="163">
        <f t="shared" si="12"/>
        <v>0</v>
      </c>
      <c r="I142" s="253">
        <f t="shared" si="13"/>
        <v>0</v>
      </c>
      <c r="J142" s="158">
        <f t="shared" si="21"/>
        <v>0</v>
      </c>
      <c r="K142" s="158"/>
      <c r="L142" s="334"/>
      <c r="M142" s="158">
        <f t="shared" si="22"/>
        <v>0</v>
      </c>
      <c r="N142" s="334"/>
      <c r="O142" s="158">
        <f t="shared" si="23"/>
        <v>0</v>
      </c>
      <c r="P142" s="158">
        <f t="shared" si="24"/>
        <v>0</v>
      </c>
    </row>
    <row r="143" spans="2:16">
      <c r="B143" s="9" t="str">
        <f t="shared" si="18"/>
        <v/>
      </c>
      <c r="C143" s="153">
        <f>IF(D93="","-",+C142+1)</f>
        <v>2060</v>
      </c>
      <c r="D143" s="154">
        <f>IF(F142+SUM(E$99:E142)=D$92,F142,D$92-SUM(E$99:E142))</f>
        <v>0</v>
      </c>
      <c r="E143" s="160">
        <f>IF(+J96&lt;F142,J96,D143)</f>
        <v>0</v>
      </c>
      <c r="F143" s="159">
        <f t="shared" si="19"/>
        <v>0</v>
      </c>
      <c r="G143" s="159">
        <f t="shared" si="20"/>
        <v>0</v>
      </c>
      <c r="H143" s="163">
        <f t="shared" si="12"/>
        <v>0</v>
      </c>
      <c r="I143" s="253">
        <f t="shared" si="13"/>
        <v>0</v>
      </c>
      <c r="J143" s="158">
        <f t="shared" si="21"/>
        <v>0</v>
      </c>
      <c r="K143" s="158"/>
      <c r="L143" s="334"/>
      <c r="M143" s="158">
        <f t="shared" si="22"/>
        <v>0</v>
      </c>
      <c r="N143" s="334"/>
      <c r="O143" s="158">
        <f t="shared" si="23"/>
        <v>0</v>
      </c>
      <c r="P143" s="158">
        <f t="shared" si="24"/>
        <v>0</v>
      </c>
    </row>
    <row r="144" spans="2:16">
      <c r="B144" s="9" t="str">
        <f t="shared" si="18"/>
        <v/>
      </c>
      <c r="C144" s="153">
        <f>IF(D93="","-",+C143+1)</f>
        <v>2061</v>
      </c>
      <c r="D144" s="154">
        <f>IF(F143+SUM(E$99:E143)=D$92,F143,D$92-SUM(E$99:E143))</f>
        <v>0</v>
      </c>
      <c r="E144" s="160">
        <f>IF(+J96&lt;F143,J96,D144)</f>
        <v>0</v>
      </c>
      <c r="F144" s="159">
        <f t="shared" si="19"/>
        <v>0</v>
      </c>
      <c r="G144" s="159">
        <f t="shared" si="20"/>
        <v>0</v>
      </c>
      <c r="H144" s="163">
        <f t="shared" si="12"/>
        <v>0</v>
      </c>
      <c r="I144" s="253">
        <f t="shared" si="13"/>
        <v>0</v>
      </c>
      <c r="J144" s="158">
        <f t="shared" si="21"/>
        <v>0</v>
      </c>
      <c r="K144" s="158"/>
      <c r="L144" s="334"/>
      <c r="M144" s="158">
        <f t="shared" si="22"/>
        <v>0</v>
      </c>
      <c r="N144" s="334"/>
      <c r="O144" s="158">
        <f t="shared" si="23"/>
        <v>0</v>
      </c>
      <c r="P144" s="158">
        <f t="shared" si="24"/>
        <v>0</v>
      </c>
    </row>
    <row r="145" spans="2:16">
      <c r="B145" s="9" t="str">
        <f t="shared" si="18"/>
        <v/>
      </c>
      <c r="C145" s="153">
        <f>IF(D93="","-",+C144+1)</f>
        <v>2062</v>
      </c>
      <c r="D145" s="154">
        <f>IF(F144+SUM(E$99:E144)=D$92,F144,D$92-SUM(E$99:E144))</f>
        <v>0</v>
      </c>
      <c r="E145" s="160">
        <f>IF(+J96&lt;F144,J96,D145)</f>
        <v>0</v>
      </c>
      <c r="F145" s="159">
        <f t="shared" si="19"/>
        <v>0</v>
      </c>
      <c r="G145" s="159">
        <f t="shared" si="20"/>
        <v>0</v>
      </c>
      <c r="H145" s="163">
        <f t="shared" si="12"/>
        <v>0</v>
      </c>
      <c r="I145" s="253">
        <f t="shared" si="13"/>
        <v>0</v>
      </c>
      <c r="J145" s="158">
        <f t="shared" si="21"/>
        <v>0</v>
      </c>
      <c r="K145" s="158"/>
      <c r="L145" s="334"/>
      <c r="M145" s="158">
        <f t="shared" si="22"/>
        <v>0</v>
      </c>
      <c r="N145" s="334"/>
      <c r="O145" s="158">
        <f t="shared" si="23"/>
        <v>0</v>
      </c>
      <c r="P145" s="158">
        <f t="shared" si="24"/>
        <v>0</v>
      </c>
    </row>
    <row r="146" spans="2:16">
      <c r="B146" s="9" t="str">
        <f t="shared" si="18"/>
        <v/>
      </c>
      <c r="C146" s="153">
        <f>IF(D93="","-",+C145+1)</f>
        <v>2063</v>
      </c>
      <c r="D146" s="154">
        <f>IF(F145+SUM(E$99:E145)=D$92,F145,D$92-SUM(E$99:E145))</f>
        <v>0</v>
      </c>
      <c r="E146" s="160">
        <f>IF(+J96&lt;F145,J96,D146)</f>
        <v>0</v>
      </c>
      <c r="F146" s="159">
        <f t="shared" si="19"/>
        <v>0</v>
      </c>
      <c r="G146" s="159">
        <f t="shared" si="20"/>
        <v>0</v>
      </c>
      <c r="H146" s="163">
        <f t="shared" si="12"/>
        <v>0</v>
      </c>
      <c r="I146" s="253">
        <f t="shared" si="13"/>
        <v>0</v>
      </c>
      <c r="J146" s="158">
        <f t="shared" si="21"/>
        <v>0</v>
      </c>
      <c r="K146" s="158"/>
      <c r="L146" s="334"/>
      <c r="M146" s="158">
        <f t="shared" si="22"/>
        <v>0</v>
      </c>
      <c r="N146" s="334"/>
      <c r="O146" s="158">
        <f t="shared" si="23"/>
        <v>0</v>
      </c>
      <c r="P146" s="158">
        <f t="shared" si="24"/>
        <v>0</v>
      </c>
    </row>
    <row r="147" spans="2:16">
      <c r="B147" s="9" t="str">
        <f t="shared" si="18"/>
        <v/>
      </c>
      <c r="C147" s="153">
        <f>IF(D93="","-",+C146+1)</f>
        <v>2064</v>
      </c>
      <c r="D147" s="154">
        <f>IF(F146+SUM(E$99:E146)=D$92,F146,D$92-SUM(E$99:E146))</f>
        <v>0</v>
      </c>
      <c r="E147" s="160">
        <f>IF(+J96&lt;F146,J96,D147)</f>
        <v>0</v>
      </c>
      <c r="F147" s="159">
        <f t="shared" si="19"/>
        <v>0</v>
      </c>
      <c r="G147" s="159">
        <f t="shared" si="20"/>
        <v>0</v>
      </c>
      <c r="H147" s="163">
        <f t="shared" si="12"/>
        <v>0</v>
      </c>
      <c r="I147" s="253">
        <f t="shared" si="13"/>
        <v>0</v>
      </c>
      <c r="J147" s="158">
        <f t="shared" si="21"/>
        <v>0</v>
      </c>
      <c r="K147" s="158"/>
      <c r="L147" s="334"/>
      <c r="M147" s="158">
        <f t="shared" si="22"/>
        <v>0</v>
      </c>
      <c r="N147" s="334"/>
      <c r="O147" s="158">
        <f t="shared" si="23"/>
        <v>0</v>
      </c>
      <c r="P147" s="158">
        <f t="shared" si="24"/>
        <v>0</v>
      </c>
    </row>
    <row r="148" spans="2:16">
      <c r="B148" s="9" t="str">
        <f t="shared" si="18"/>
        <v/>
      </c>
      <c r="C148" s="153">
        <f>IF(D93="","-",+C147+1)</f>
        <v>2065</v>
      </c>
      <c r="D148" s="154">
        <f>IF(F147+SUM(E$99:E147)=D$92,F147,D$92-SUM(E$99:E147))</f>
        <v>0</v>
      </c>
      <c r="E148" s="160">
        <f>IF(+J96&lt;F147,J96,D148)</f>
        <v>0</v>
      </c>
      <c r="F148" s="159">
        <f t="shared" si="19"/>
        <v>0</v>
      </c>
      <c r="G148" s="159">
        <f t="shared" si="20"/>
        <v>0</v>
      </c>
      <c r="H148" s="163">
        <f t="shared" si="12"/>
        <v>0</v>
      </c>
      <c r="I148" s="253">
        <f t="shared" si="13"/>
        <v>0</v>
      </c>
      <c r="J148" s="158">
        <f t="shared" si="21"/>
        <v>0</v>
      </c>
      <c r="K148" s="158"/>
      <c r="L148" s="334"/>
      <c r="M148" s="158">
        <f t="shared" si="22"/>
        <v>0</v>
      </c>
      <c r="N148" s="334"/>
      <c r="O148" s="158">
        <f t="shared" si="23"/>
        <v>0</v>
      </c>
      <c r="P148" s="158">
        <f t="shared" si="24"/>
        <v>0</v>
      </c>
    </row>
    <row r="149" spans="2:16">
      <c r="B149" s="9" t="str">
        <f t="shared" si="18"/>
        <v/>
      </c>
      <c r="C149" s="153">
        <f>IF(D93="","-",+C148+1)</f>
        <v>2066</v>
      </c>
      <c r="D149" s="154">
        <f>IF(F148+SUM(E$99:E148)=D$92,F148,D$92-SUM(E$99:E148))</f>
        <v>0</v>
      </c>
      <c r="E149" s="160">
        <f>IF(+J96&lt;F148,J96,D149)</f>
        <v>0</v>
      </c>
      <c r="F149" s="159">
        <f t="shared" si="19"/>
        <v>0</v>
      </c>
      <c r="G149" s="159">
        <f t="shared" si="20"/>
        <v>0</v>
      </c>
      <c r="H149" s="163">
        <f t="shared" si="12"/>
        <v>0</v>
      </c>
      <c r="I149" s="253">
        <f t="shared" si="13"/>
        <v>0</v>
      </c>
      <c r="J149" s="158">
        <f t="shared" si="21"/>
        <v>0</v>
      </c>
      <c r="K149" s="158"/>
      <c r="L149" s="334"/>
      <c r="M149" s="158">
        <f t="shared" si="22"/>
        <v>0</v>
      </c>
      <c r="N149" s="334"/>
      <c r="O149" s="158">
        <f t="shared" si="23"/>
        <v>0</v>
      </c>
      <c r="P149" s="158">
        <f t="shared" si="24"/>
        <v>0</v>
      </c>
    </row>
    <row r="150" spans="2:16">
      <c r="B150" s="9" t="str">
        <f t="shared" si="18"/>
        <v/>
      </c>
      <c r="C150" s="153">
        <f>IF(D93="","-",+C149+1)</f>
        <v>2067</v>
      </c>
      <c r="D150" s="154">
        <f>IF(F149+SUM(E$99:E149)=D$92,F149,D$92-SUM(E$99:E149))</f>
        <v>0</v>
      </c>
      <c r="E150" s="160">
        <f>IF(+J96&lt;F149,J96,D150)</f>
        <v>0</v>
      </c>
      <c r="F150" s="159">
        <f t="shared" si="19"/>
        <v>0</v>
      </c>
      <c r="G150" s="159">
        <f t="shared" si="20"/>
        <v>0</v>
      </c>
      <c r="H150" s="163">
        <f t="shared" si="12"/>
        <v>0</v>
      </c>
      <c r="I150" s="253">
        <f t="shared" si="13"/>
        <v>0</v>
      </c>
      <c r="J150" s="158">
        <f t="shared" si="21"/>
        <v>0</v>
      </c>
      <c r="K150" s="158"/>
      <c r="L150" s="334"/>
      <c r="M150" s="158">
        <f t="shared" si="22"/>
        <v>0</v>
      </c>
      <c r="N150" s="334"/>
      <c r="O150" s="158">
        <f t="shared" si="23"/>
        <v>0</v>
      </c>
      <c r="P150" s="158">
        <f t="shared" si="24"/>
        <v>0</v>
      </c>
    </row>
    <row r="151" spans="2:16">
      <c r="B151" s="9" t="str">
        <f t="shared" si="18"/>
        <v/>
      </c>
      <c r="C151" s="153">
        <f>IF(D93="","-",+C150+1)</f>
        <v>2068</v>
      </c>
      <c r="D151" s="154">
        <f>IF(F150+SUM(E$99:E150)=D$92,F150,D$92-SUM(E$99:E150))</f>
        <v>0</v>
      </c>
      <c r="E151" s="160">
        <f>IF(+J96&lt;F150,J96,D151)</f>
        <v>0</v>
      </c>
      <c r="F151" s="159">
        <f t="shared" si="19"/>
        <v>0</v>
      </c>
      <c r="G151" s="159">
        <f t="shared" si="20"/>
        <v>0</v>
      </c>
      <c r="H151" s="163">
        <f t="shared" si="12"/>
        <v>0</v>
      </c>
      <c r="I151" s="253">
        <f t="shared" si="13"/>
        <v>0</v>
      </c>
      <c r="J151" s="158">
        <f t="shared" si="21"/>
        <v>0</v>
      </c>
      <c r="K151" s="158"/>
      <c r="L151" s="334"/>
      <c r="M151" s="158">
        <f t="shared" si="22"/>
        <v>0</v>
      </c>
      <c r="N151" s="334"/>
      <c r="O151" s="158">
        <f t="shared" si="23"/>
        <v>0</v>
      </c>
      <c r="P151" s="158">
        <f t="shared" si="24"/>
        <v>0</v>
      </c>
    </row>
    <row r="152" spans="2:16">
      <c r="B152" s="9" t="str">
        <f t="shared" si="18"/>
        <v/>
      </c>
      <c r="C152" s="153">
        <f>IF(D93="","-",+C151+1)</f>
        <v>2069</v>
      </c>
      <c r="D152" s="154">
        <f>IF(F151+SUM(E$99:E151)=D$92,F151,D$92-SUM(E$99:E151))</f>
        <v>0</v>
      </c>
      <c r="E152" s="160">
        <f>IF(+J96&lt;F151,J96,D152)</f>
        <v>0</v>
      </c>
      <c r="F152" s="159">
        <f t="shared" si="19"/>
        <v>0</v>
      </c>
      <c r="G152" s="159">
        <f t="shared" si="20"/>
        <v>0</v>
      </c>
      <c r="H152" s="163">
        <f t="shared" si="12"/>
        <v>0</v>
      </c>
      <c r="I152" s="253">
        <f t="shared" si="13"/>
        <v>0</v>
      </c>
      <c r="J152" s="158">
        <f t="shared" si="21"/>
        <v>0</v>
      </c>
      <c r="K152" s="158"/>
      <c r="L152" s="334"/>
      <c r="M152" s="158">
        <f t="shared" si="22"/>
        <v>0</v>
      </c>
      <c r="N152" s="334"/>
      <c r="O152" s="158">
        <f t="shared" si="23"/>
        <v>0</v>
      </c>
      <c r="P152" s="158">
        <f t="shared" si="24"/>
        <v>0</v>
      </c>
    </row>
    <row r="153" spans="2:16">
      <c r="B153" s="9" t="str">
        <f t="shared" si="18"/>
        <v/>
      </c>
      <c r="C153" s="153">
        <f>IF(D93="","-",+C152+1)</f>
        <v>2070</v>
      </c>
      <c r="D153" s="154">
        <f>IF(F152+SUM(E$99:E152)=D$92,F152,D$92-SUM(E$99:E152))</f>
        <v>0</v>
      </c>
      <c r="E153" s="160">
        <f>IF(+J96&lt;F152,J96,D153)</f>
        <v>0</v>
      </c>
      <c r="F153" s="159">
        <f t="shared" si="19"/>
        <v>0</v>
      </c>
      <c r="G153" s="159">
        <f t="shared" si="20"/>
        <v>0</v>
      </c>
      <c r="H153" s="163">
        <f t="shared" si="12"/>
        <v>0</v>
      </c>
      <c r="I153" s="253">
        <f t="shared" si="13"/>
        <v>0</v>
      </c>
      <c r="J153" s="158">
        <f t="shared" si="21"/>
        <v>0</v>
      </c>
      <c r="K153" s="158"/>
      <c r="L153" s="334"/>
      <c r="M153" s="158">
        <f t="shared" si="22"/>
        <v>0</v>
      </c>
      <c r="N153" s="334"/>
      <c r="O153" s="158">
        <f t="shared" si="23"/>
        <v>0</v>
      </c>
      <c r="P153" s="158">
        <f t="shared" si="24"/>
        <v>0</v>
      </c>
    </row>
    <row r="154" spans="2:16" ht="13.5" thickBot="1">
      <c r="B154" s="9" t="str">
        <f t="shared" si="18"/>
        <v/>
      </c>
      <c r="C154" s="164">
        <f>IF(D93="","-",+C153+1)</f>
        <v>2071</v>
      </c>
      <c r="D154" s="215">
        <f>IF(F153+SUM(E$99:E153)=D$92,F153,D$92-SUM(E$99:E153))</f>
        <v>0</v>
      </c>
      <c r="E154" s="166">
        <f>IF(+J96&lt;F153,J96,D154)</f>
        <v>0</v>
      </c>
      <c r="F154" s="165">
        <f t="shared" si="19"/>
        <v>0</v>
      </c>
      <c r="G154" s="165">
        <f t="shared" si="20"/>
        <v>0</v>
      </c>
      <c r="H154" s="167">
        <f t="shared" si="12"/>
        <v>0</v>
      </c>
      <c r="I154" s="254">
        <f t="shared" si="13"/>
        <v>0</v>
      </c>
      <c r="J154" s="169">
        <f t="shared" si="21"/>
        <v>0</v>
      </c>
      <c r="K154" s="158"/>
      <c r="L154" s="335"/>
      <c r="M154" s="169">
        <f t="shared" si="22"/>
        <v>0</v>
      </c>
      <c r="N154" s="335"/>
      <c r="O154" s="169">
        <f t="shared" si="23"/>
        <v>0</v>
      </c>
      <c r="P154" s="169">
        <f t="shared" si="24"/>
        <v>0</v>
      </c>
    </row>
    <row r="155" spans="2:16">
      <c r="C155" s="154" t="s">
        <v>73</v>
      </c>
      <c r="D155" s="111"/>
      <c r="E155" s="111">
        <f>SUM(E99:E154)</f>
        <v>1231360.9999999998</v>
      </c>
      <c r="F155" s="111"/>
      <c r="G155" s="111"/>
      <c r="H155" s="111">
        <f>SUM(H99:H154)</f>
        <v>4377511.5053537954</v>
      </c>
      <c r="I155" s="111">
        <f>SUM(I99:I154)</f>
        <v>4377511.5053537954</v>
      </c>
      <c r="J155" s="111">
        <f>SUM(J99:J154)</f>
        <v>0</v>
      </c>
      <c r="K155" s="111"/>
      <c r="L155" s="111"/>
      <c r="M155" s="111"/>
      <c r="N155" s="111"/>
      <c r="O155" s="111"/>
      <c r="P155" s="1"/>
    </row>
    <row r="156" spans="2:16">
      <c r="C156" t="s">
        <v>87</v>
      </c>
      <c r="D156" s="2"/>
      <c r="E156" s="1"/>
      <c r="F156" s="1"/>
      <c r="G156" s="1"/>
      <c r="H156" s="1"/>
      <c r="I156" s="3"/>
      <c r="J156" s="3"/>
      <c r="K156" s="111"/>
      <c r="L156" s="3"/>
      <c r="M156" s="3"/>
      <c r="N156" s="3"/>
      <c r="O156" s="3"/>
      <c r="P156" s="1"/>
    </row>
    <row r="157" spans="2:16">
      <c r="C157" s="216"/>
      <c r="D157" s="2"/>
      <c r="E157" s="1"/>
      <c r="F157" s="1"/>
      <c r="G157" s="1"/>
      <c r="H157" s="1"/>
      <c r="I157" s="3"/>
      <c r="J157" s="3"/>
      <c r="K157" s="111"/>
      <c r="L157" s="3"/>
      <c r="M157" s="3"/>
      <c r="N157" s="3"/>
      <c r="O157" s="3"/>
      <c r="P157" s="1"/>
    </row>
    <row r="158" spans="2:16">
      <c r="C158" s="248" t="s">
        <v>127</v>
      </c>
      <c r="D158" s="2"/>
      <c r="E158" s="1"/>
      <c r="F158" s="1"/>
      <c r="G158" s="1"/>
      <c r="H158" s="1"/>
      <c r="I158" s="3"/>
      <c r="J158" s="3"/>
      <c r="K158" s="111"/>
      <c r="L158" s="3"/>
      <c r="M158" s="3"/>
      <c r="N158" s="3"/>
      <c r="O158" s="3"/>
      <c r="P158" s="1"/>
    </row>
    <row r="159" spans="2:16">
      <c r="C159" s="121" t="s">
        <v>74</v>
      </c>
      <c r="D159" s="154"/>
      <c r="E159" s="154"/>
      <c r="F159" s="154"/>
      <c r="G159" s="154"/>
      <c r="H159" s="111"/>
      <c r="I159" s="111"/>
      <c r="J159" s="171"/>
      <c r="K159" s="171"/>
      <c r="L159" s="171"/>
      <c r="M159" s="171"/>
      <c r="N159" s="171"/>
      <c r="O159" s="171"/>
      <c r="P159" s="1"/>
    </row>
    <row r="160" spans="2:16">
      <c r="C160" s="217" t="s">
        <v>75</v>
      </c>
      <c r="D160" s="154"/>
      <c r="E160" s="154"/>
      <c r="F160" s="154"/>
      <c r="G160" s="154"/>
      <c r="H160" s="111"/>
      <c r="I160" s="111"/>
      <c r="J160" s="171"/>
      <c r="K160" s="171"/>
      <c r="L160" s="171"/>
      <c r="M160" s="171"/>
      <c r="N160" s="171"/>
      <c r="O160" s="171"/>
      <c r="P160" s="1"/>
    </row>
    <row r="161" spans="3:16">
      <c r="C161" s="217"/>
      <c r="D161" s="154"/>
      <c r="E161" s="154"/>
      <c r="F161" s="154"/>
      <c r="G161" s="154"/>
      <c r="H161" s="111"/>
      <c r="I161" s="111"/>
      <c r="J161" s="171"/>
      <c r="K161" s="171"/>
      <c r="L161" s="171"/>
      <c r="M161" s="171"/>
      <c r="N161" s="171"/>
      <c r="O161" s="171"/>
      <c r="P161" s="1"/>
    </row>
    <row r="162" spans="3:16" ht="18">
      <c r="C162" s="217"/>
      <c r="D162" s="154"/>
      <c r="E162" s="154"/>
      <c r="F162" s="154"/>
      <c r="G162" s="154"/>
      <c r="H162" s="111"/>
      <c r="I162" s="111"/>
      <c r="J162" s="171"/>
      <c r="K162" s="171"/>
      <c r="L162" s="171"/>
      <c r="M162" s="171"/>
      <c r="N162" s="171"/>
      <c r="P162" s="245" t="s">
        <v>126</v>
      </c>
    </row>
  </sheetData>
  <conditionalFormatting sqref="C17:C72">
    <cfRule type="cellIs" dxfId="49" priority="1" stopIfTrue="1" operator="equal">
      <formula>$I$10</formula>
    </cfRule>
  </conditionalFormatting>
  <conditionalFormatting sqref="C99:C154">
    <cfRule type="cellIs" dxfId="48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7"/>
  <dimension ref="A1:P162"/>
  <sheetViews>
    <sheetView view="pageBreakPreview" topLeftCell="A79" zoomScale="80" zoomScaleNormal="100" zoomScaleSheetLayoutView="80" workbookViewId="0">
      <selection activeCell="C19" sqref="C19"/>
    </sheetView>
  </sheetViews>
  <sheetFormatPr defaultRowHeight="12.75" customHeight="1"/>
  <cols>
    <col min="1" max="1" width="4.7109375" customWidth="1"/>
    <col min="2" max="2" width="6.7109375" customWidth="1"/>
    <col min="3" max="3" width="23.28515625" customWidth="1"/>
    <col min="4" max="8" width="17.7109375" customWidth="1"/>
    <col min="9" max="9" width="20.42578125" customWidth="1"/>
    <col min="10" max="10" width="16.42578125" customWidth="1"/>
    <col min="11" max="11" width="17.7109375" customWidth="1"/>
    <col min="12" max="12" width="16.140625" customWidth="1"/>
    <col min="13" max="13" width="17.7109375" customWidth="1"/>
    <col min="14" max="14" width="16.7109375" customWidth="1"/>
    <col min="15" max="15" width="16.85546875" customWidth="1"/>
    <col min="16" max="16" width="24.42578125" customWidth="1"/>
    <col min="17" max="17" width="9.140625" customWidth="1"/>
    <col min="23" max="23" width="9.140625" customWidth="1"/>
  </cols>
  <sheetData>
    <row r="1" spans="1:16" ht="20.25">
      <c r="A1" s="243" t="s">
        <v>128</v>
      </c>
      <c r="B1" s="1"/>
      <c r="C1" s="21"/>
      <c r="D1" s="2"/>
      <c r="E1" s="1"/>
      <c r="F1" s="99"/>
      <c r="G1" s="1"/>
      <c r="H1" s="3"/>
      <c r="J1" s="7"/>
      <c r="K1" s="109"/>
      <c r="L1" s="109"/>
      <c r="M1" s="109"/>
      <c r="P1" s="249" t="str">
        <f ca="1">"SWEPCO Project "&amp;RIGHT(MID(CELL("filename",$A$1),FIND("]",CELL("filename",$A$1))+1,256),2)&amp;" of "&amp;COUNT('S.001:S.xyz - blank'!$P$3)-1</f>
        <v>SWEPCO Project 58 of 73</v>
      </c>
    </row>
    <row r="2" spans="1:16" ht="18">
      <c r="B2" s="1"/>
      <c r="C2" s="1"/>
      <c r="D2" s="2"/>
      <c r="E2" s="1"/>
      <c r="F2" s="1"/>
      <c r="G2" s="1"/>
      <c r="H2" s="3"/>
      <c r="I2" s="1"/>
      <c r="J2" s="4"/>
      <c r="K2" s="1"/>
      <c r="L2" s="1"/>
      <c r="M2" s="1"/>
      <c r="N2" s="1"/>
      <c r="P2" s="244" t="s">
        <v>124</v>
      </c>
    </row>
    <row r="3" spans="1:16" ht="18.75">
      <c r="B3" s="5" t="s">
        <v>40</v>
      </c>
      <c r="C3" s="68" t="s">
        <v>41</v>
      </c>
      <c r="D3" s="2"/>
      <c r="E3" s="1"/>
      <c r="F3" s="1"/>
      <c r="G3" s="1"/>
      <c r="H3" s="3"/>
      <c r="I3" s="3"/>
      <c r="J3" s="111"/>
      <c r="K3" s="3"/>
      <c r="L3" s="3"/>
      <c r="M3" s="3"/>
      <c r="N3" s="3"/>
      <c r="O3" s="1"/>
      <c r="P3" s="240">
        <v>1</v>
      </c>
    </row>
    <row r="4" spans="1:16" ht="15.75" thickBot="1">
      <c r="C4" s="67"/>
      <c r="D4" s="2"/>
      <c r="E4" s="1"/>
      <c r="F4" s="1"/>
      <c r="G4" s="1"/>
      <c r="H4" s="3"/>
      <c r="I4" s="3"/>
      <c r="J4" s="111"/>
      <c r="K4" s="3"/>
      <c r="L4" s="3"/>
      <c r="M4" s="3"/>
      <c r="N4" s="3"/>
      <c r="O4" s="1"/>
      <c r="P4" s="1"/>
    </row>
    <row r="5" spans="1:16" ht="15">
      <c r="C5" s="112" t="s">
        <v>42</v>
      </c>
      <c r="D5" s="2"/>
      <c r="E5" s="1"/>
      <c r="F5" s="1"/>
      <c r="G5" s="113"/>
      <c r="H5" s="1" t="s">
        <v>43</v>
      </c>
      <c r="I5" s="1"/>
      <c r="J5" s="4"/>
      <c r="K5" s="268" t="s">
        <v>152</v>
      </c>
      <c r="L5" s="114"/>
      <c r="M5" s="115"/>
      <c r="N5" s="116">
        <f>VLOOKUP(I10,C17:I72,5)</f>
        <v>2920606.36207972</v>
      </c>
      <c r="P5" s="1"/>
    </row>
    <row r="6" spans="1:16" ht="15.75">
      <c r="C6" s="8"/>
      <c r="D6" s="2"/>
      <c r="E6" s="1"/>
      <c r="F6" s="1"/>
      <c r="G6" s="1"/>
      <c r="H6" s="117"/>
      <c r="I6" s="117"/>
      <c r="J6" s="118"/>
      <c r="K6" s="269" t="s">
        <v>153</v>
      </c>
      <c r="L6" s="119"/>
      <c r="M6" s="4"/>
      <c r="N6" s="120">
        <f>VLOOKUP(I10,C17:I72,6)</f>
        <v>2920606.36207972</v>
      </c>
      <c r="O6" s="1"/>
      <c r="P6" s="1"/>
    </row>
    <row r="7" spans="1:16" ht="13.5" thickBot="1">
      <c r="C7" s="121" t="s">
        <v>44</v>
      </c>
      <c r="D7" s="386" t="s">
        <v>351</v>
      </c>
      <c r="E7" s="379"/>
      <c r="F7" s="379"/>
      <c r="G7" s="1"/>
      <c r="H7" s="3"/>
      <c r="I7" s="3"/>
      <c r="J7" s="111"/>
      <c r="K7" s="122" t="s">
        <v>45</v>
      </c>
      <c r="L7" s="123"/>
      <c r="M7" s="123"/>
      <c r="N7" s="124">
        <f>+N6-N5</f>
        <v>0</v>
      </c>
      <c r="O7" s="1"/>
      <c r="P7" s="1"/>
    </row>
    <row r="8" spans="1:16" ht="13.5" thickBot="1">
      <c r="C8" s="125"/>
      <c r="D8" s="352" t="str">
        <f>IF(D10&lt;100000,"DOES NOT MEET SPP $100,000 MINIMUM INVESTMENT FOR REGIONAL BPU SHARING.","")</f>
        <v/>
      </c>
      <c r="E8" s="126"/>
      <c r="F8" s="126"/>
      <c r="G8" s="126"/>
      <c r="H8" s="126"/>
      <c r="I8" s="126"/>
      <c r="J8" s="101"/>
      <c r="K8" s="126"/>
      <c r="L8" s="126"/>
      <c r="M8" s="126"/>
      <c r="N8" s="126"/>
      <c r="O8" s="101"/>
      <c r="P8" s="21"/>
    </row>
    <row r="9" spans="1:16" ht="13.5" thickBot="1">
      <c r="C9" s="127" t="s">
        <v>46</v>
      </c>
      <c r="D9" s="225" t="s">
        <v>252</v>
      </c>
      <c r="E9" s="401" t="s">
        <v>445</v>
      </c>
      <c r="F9" s="128"/>
      <c r="G9" s="128"/>
      <c r="H9" s="128"/>
      <c r="I9" s="129"/>
      <c r="J9" s="130"/>
      <c r="O9" s="131"/>
      <c r="P9" s="4"/>
    </row>
    <row r="10" spans="1:16">
      <c r="C10" s="132" t="s">
        <v>47</v>
      </c>
      <c r="D10" s="133">
        <v>25217060</v>
      </c>
      <c r="E10" s="61" t="s">
        <v>459</v>
      </c>
      <c r="F10" s="131"/>
      <c r="G10" s="134"/>
      <c r="H10" s="134"/>
      <c r="I10" s="135">
        <f>+SWE.WS.F.BPU.ATRR.Projected!K17</f>
        <v>2019</v>
      </c>
      <c r="J10" s="130"/>
      <c r="K10" s="111" t="s">
        <v>48</v>
      </c>
      <c r="O10" s="4"/>
      <c r="P10" s="4"/>
    </row>
    <row r="11" spans="1:16">
      <c r="C11" s="136" t="s">
        <v>49</v>
      </c>
      <c r="D11" s="137">
        <v>2016</v>
      </c>
      <c r="E11" s="136" t="s">
        <v>50</v>
      </c>
      <c r="F11" s="134"/>
      <c r="G11" s="7"/>
      <c r="H11" s="7"/>
      <c r="I11" s="138">
        <f>IF(G5="",0,SWE.WS.F.BPU.ATRR.Projected!F$11)</f>
        <v>0</v>
      </c>
      <c r="J11" s="139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4"/>
      <c r="P11" s="4"/>
    </row>
    <row r="12" spans="1:16">
      <c r="C12" s="136" t="s">
        <v>51</v>
      </c>
      <c r="D12" s="133">
        <v>9</v>
      </c>
      <c r="E12" s="136" t="s">
        <v>52</v>
      </c>
      <c r="F12" s="134"/>
      <c r="G12" s="7"/>
      <c r="H12" s="7"/>
      <c r="I12" s="140">
        <f>SWE.WS.F.BPU.ATRR.Projected!$F$76</f>
        <v>9.9555672459071778E-2</v>
      </c>
      <c r="J12" s="141"/>
      <c r="K12" t="s">
        <v>53</v>
      </c>
      <c r="O12" s="4"/>
      <c r="P12" s="4"/>
    </row>
    <row r="13" spans="1:16">
      <c r="C13" s="136" t="s">
        <v>54</v>
      </c>
      <c r="D13" s="138">
        <f>+SWE.WS.F.BPU.ATRR.Projected!F$87</f>
        <v>43</v>
      </c>
      <c r="E13" s="136" t="s">
        <v>55</v>
      </c>
      <c r="F13" s="134"/>
      <c r="G13" s="7"/>
      <c r="H13" s="7"/>
      <c r="I13" s="140">
        <f>IF(G5="",I12,SWE.WS.F.BPU.ATRR.Projected!$F$75)</f>
        <v>9.9555672459071778E-2</v>
      </c>
      <c r="J13" s="141"/>
      <c r="K13" s="111" t="s">
        <v>56</v>
      </c>
      <c r="L13" s="58"/>
      <c r="M13" s="58"/>
      <c r="N13" s="58"/>
      <c r="O13" s="4"/>
      <c r="P13" s="4"/>
    </row>
    <row r="14" spans="1:16" ht="13.5" thickBot="1">
      <c r="C14" s="136" t="s">
        <v>57</v>
      </c>
      <c r="D14" s="137" t="s">
        <v>58</v>
      </c>
      <c r="E14" s="4" t="s">
        <v>59</v>
      </c>
      <c r="F14" s="134"/>
      <c r="G14" s="7"/>
      <c r="H14" s="7"/>
      <c r="I14" s="142">
        <f>IF(D10=0,0,D10/D13)</f>
        <v>586443.25581395347</v>
      </c>
      <c r="J14" s="111"/>
      <c r="K14" s="111"/>
      <c r="L14" s="111"/>
      <c r="M14" s="111"/>
      <c r="N14" s="111"/>
      <c r="O14" s="4"/>
      <c r="P14" s="4"/>
    </row>
    <row r="15" spans="1:16" ht="38.25">
      <c r="C15" s="143" t="s">
        <v>47</v>
      </c>
      <c r="D15" s="144" t="s">
        <v>60</v>
      </c>
      <c r="E15" s="144" t="s">
        <v>61</v>
      </c>
      <c r="F15" s="144" t="s">
        <v>62</v>
      </c>
      <c r="G15" s="434" t="s">
        <v>378</v>
      </c>
      <c r="H15" s="435" t="s">
        <v>379</v>
      </c>
      <c r="I15" s="143" t="s">
        <v>63</v>
      </c>
      <c r="J15" s="145"/>
      <c r="K15" s="271" t="s">
        <v>219</v>
      </c>
      <c r="L15" s="146" t="s">
        <v>64</v>
      </c>
      <c r="M15" s="271" t="s">
        <v>219</v>
      </c>
      <c r="N15" s="146" t="s">
        <v>64</v>
      </c>
      <c r="O15" s="146" t="s">
        <v>65</v>
      </c>
      <c r="P15" s="4"/>
    </row>
    <row r="16" spans="1:16" ht="13.5" thickBot="1">
      <c r="C16" s="147" t="s">
        <v>66</v>
      </c>
      <c r="D16" s="147" t="s">
        <v>67</v>
      </c>
      <c r="E16" s="147" t="s">
        <v>68</v>
      </c>
      <c r="F16" s="147" t="s">
        <v>67</v>
      </c>
      <c r="G16" s="408" t="s">
        <v>69</v>
      </c>
      <c r="H16" s="148" t="s">
        <v>70</v>
      </c>
      <c r="I16" s="149" t="s">
        <v>89</v>
      </c>
      <c r="J16" s="150" t="s">
        <v>71</v>
      </c>
      <c r="K16" s="151" t="s">
        <v>72</v>
      </c>
      <c r="L16" s="151" t="s">
        <v>72</v>
      </c>
      <c r="M16" s="151" t="s">
        <v>90</v>
      </c>
      <c r="N16" s="152" t="s">
        <v>90</v>
      </c>
      <c r="O16" s="151" t="s">
        <v>90</v>
      </c>
      <c r="P16" s="4"/>
    </row>
    <row r="17" spans="2:16">
      <c r="C17" s="153">
        <f>IF(D11= "","-",D11)</f>
        <v>2016</v>
      </c>
      <c r="D17" s="411">
        <v>23229161</v>
      </c>
      <c r="E17" s="410">
        <v>276537.63095238095</v>
      </c>
      <c r="F17" s="411">
        <v>22952623.369047619</v>
      </c>
      <c r="G17" s="410">
        <v>3262214.3054167381</v>
      </c>
      <c r="H17" s="416">
        <v>3262214.3054167381</v>
      </c>
      <c r="I17" s="156">
        <f t="shared" ref="I17:I72" si="0">H17-G17</f>
        <v>0</v>
      </c>
      <c r="J17" s="156"/>
      <c r="K17" s="258">
        <f>+G17</f>
        <v>3262214.3054167381</v>
      </c>
      <c r="L17" s="257">
        <f t="shared" ref="L17:L72" si="1">IF(K17&lt;&gt;0,+G17-K17,0)</f>
        <v>0</v>
      </c>
      <c r="M17" s="258">
        <f>+H17</f>
        <v>3262214.3054167381</v>
      </c>
      <c r="N17" s="158">
        <f t="shared" ref="N17:N72" si="2">IF(M17&lt;&gt;0,+H17-M17,0)</f>
        <v>0</v>
      </c>
      <c r="O17" s="158">
        <f t="shared" ref="O17:O72" si="3">+N17-L17</f>
        <v>0</v>
      </c>
      <c r="P17" s="4"/>
    </row>
    <row r="18" spans="2:16">
      <c r="B18" s="9" t="str">
        <f>IF(D18=F17,"","IU")</f>
        <v>IU</v>
      </c>
      <c r="C18" s="153">
        <f>IF(D11="","-",+C17+1)</f>
        <v>2017</v>
      </c>
      <c r="D18" s="411">
        <v>24940522.369047619</v>
      </c>
      <c r="E18" s="410">
        <v>586443.25581395347</v>
      </c>
      <c r="F18" s="411">
        <v>24354079.113233667</v>
      </c>
      <c r="G18" s="410">
        <v>3640059.7914396082</v>
      </c>
      <c r="H18" s="416">
        <v>3640059.7914396082</v>
      </c>
      <c r="I18" s="156">
        <v>0</v>
      </c>
      <c r="J18" s="156"/>
      <c r="K18" s="258">
        <f>+G18</f>
        <v>3640059.7914396082</v>
      </c>
      <c r="L18" s="257">
        <f>IF(K18&lt;&gt;0,+G18-K18,0)</f>
        <v>0</v>
      </c>
      <c r="M18" s="258">
        <f>+H18</f>
        <v>3640059.7914396082</v>
      </c>
      <c r="N18" s="158">
        <f>IF(M18&lt;&gt;0,+H18-M18,0)</f>
        <v>0</v>
      </c>
      <c r="O18" s="158">
        <f>+N18-L18</f>
        <v>0</v>
      </c>
      <c r="P18" s="4"/>
    </row>
    <row r="19" spans="2:16">
      <c r="B19" s="9" t="str">
        <f>IF(D19=F18,"","IU")</f>
        <v/>
      </c>
      <c r="C19" s="153">
        <f>IF(D11="","-",+C18+1)</f>
        <v>2018</v>
      </c>
      <c r="D19" s="411">
        <v>24354079.113233667</v>
      </c>
      <c r="E19" s="410">
        <v>615050.24390243902</v>
      </c>
      <c r="F19" s="411">
        <v>23739028.869331229</v>
      </c>
      <c r="G19" s="410">
        <v>3305479.94136969</v>
      </c>
      <c r="H19" s="416">
        <v>3305479.94136969</v>
      </c>
      <c r="I19" s="156">
        <f t="shared" si="0"/>
        <v>0</v>
      </c>
      <c r="J19" s="156"/>
      <c r="K19" s="258">
        <f>+G19</f>
        <v>3305479.94136969</v>
      </c>
      <c r="L19" s="257">
        <f>IF(K19&lt;&gt;0,+G19-K19,0)</f>
        <v>0</v>
      </c>
      <c r="M19" s="258">
        <f>+H19</f>
        <v>3305479.94136969</v>
      </c>
      <c r="N19" s="158">
        <f>IF(M19&lt;&gt;0,+H19-M19,0)</f>
        <v>0</v>
      </c>
      <c r="O19" s="158">
        <f>+N19-L19</f>
        <v>0</v>
      </c>
      <c r="P19" s="4"/>
    </row>
    <row r="20" spans="2:16">
      <c r="B20" s="9" t="str">
        <f t="shared" ref="B20:B72" si="4">IF(D20=F19,"","IU")</f>
        <v/>
      </c>
      <c r="C20" s="153">
        <f>IF(D11="","-",+C19+1)</f>
        <v>2019</v>
      </c>
      <c r="D20" s="159">
        <f>IF(F19+SUM(E$17:E19)=D$10,F19,D$10-SUM(E$17:E19))</f>
        <v>23739028.869331229</v>
      </c>
      <c r="E20" s="160">
        <f>IF(+I14&lt;F19,I14,D20)</f>
        <v>586443.25581395347</v>
      </c>
      <c r="F20" s="159">
        <f t="shared" ref="F20:F72" si="5">+D20-E20</f>
        <v>23152585.613517277</v>
      </c>
      <c r="G20" s="161">
        <f t="shared" ref="G20:G49" si="6">+I$12*((D20+F20)/2)+E20</f>
        <v>2920606.36207972</v>
      </c>
      <c r="H20" s="142">
        <f t="shared" ref="H20:H49" si="7">+I$13*((D20+F20)/2)+E20</f>
        <v>2920606.36207972</v>
      </c>
      <c r="I20" s="156">
        <f t="shared" si="0"/>
        <v>0</v>
      </c>
      <c r="J20" s="156"/>
      <c r="K20" s="334"/>
      <c r="L20" s="158">
        <f t="shared" si="1"/>
        <v>0</v>
      </c>
      <c r="M20" s="334"/>
      <c r="N20" s="158">
        <f t="shared" si="2"/>
        <v>0</v>
      </c>
      <c r="O20" s="158">
        <f t="shared" si="3"/>
        <v>0</v>
      </c>
      <c r="P20" s="4"/>
    </row>
    <row r="21" spans="2:16">
      <c r="B21" s="9" t="str">
        <f t="shared" si="4"/>
        <v/>
      </c>
      <c r="C21" s="153">
        <f>IF(D11="","-",+C20+1)</f>
        <v>2020</v>
      </c>
      <c r="D21" s="159">
        <f>IF(F20+SUM(E$17:E20)=D$10,F20,D$10-SUM(E$17:E20))</f>
        <v>23152585.613517277</v>
      </c>
      <c r="E21" s="160">
        <f>IF(+I14&lt;F20,I14,D21)</f>
        <v>586443.25581395347</v>
      </c>
      <c r="F21" s="159">
        <f t="shared" si="5"/>
        <v>22566142.357703324</v>
      </c>
      <c r="G21" s="161">
        <f t="shared" si="6"/>
        <v>2862222.6093880739</v>
      </c>
      <c r="H21" s="142">
        <f t="shared" si="7"/>
        <v>2862222.6093880739</v>
      </c>
      <c r="I21" s="156">
        <f t="shared" si="0"/>
        <v>0</v>
      </c>
      <c r="J21" s="156"/>
      <c r="K21" s="334"/>
      <c r="L21" s="158">
        <f t="shared" si="1"/>
        <v>0</v>
      </c>
      <c r="M21" s="334"/>
      <c r="N21" s="158">
        <f t="shared" si="2"/>
        <v>0</v>
      </c>
      <c r="O21" s="158">
        <f t="shared" si="3"/>
        <v>0</v>
      </c>
      <c r="P21" s="4"/>
    </row>
    <row r="22" spans="2:16">
      <c r="B22" s="9" t="str">
        <f t="shared" si="4"/>
        <v/>
      </c>
      <c r="C22" s="153">
        <f>IF(D11="","-",+C21+1)</f>
        <v>2021</v>
      </c>
      <c r="D22" s="159">
        <f>IF(F21+SUM(E$17:E21)=D$10,F21,D$10-SUM(E$17:E21))</f>
        <v>22566142.357703324</v>
      </c>
      <c r="E22" s="160">
        <f>IF(+I14&lt;F21,I14,D22)</f>
        <v>586443.25581395347</v>
      </c>
      <c r="F22" s="159">
        <f t="shared" si="5"/>
        <v>21979699.101889372</v>
      </c>
      <c r="G22" s="161">
        <f t="shared" si="6"/>
        <v>2803838.8566964287</v>
      </c>
      <c r="H22" s="142">
        <f t="shared" si="7"/>
        <v>2803838.8566964287</v>
      </c>
      <c r="I22" s="156">
        <f t="shared" si="0"/>
        <v>0</v>
      </c>
      <c r="J22" s="156"/>
      <c r="K22" s="334"/>
      <c r="L22" s="158">
        <f t="shared" si="1"/>
        <v>0</v>
      </c>
      <c r="M22" s="334"/>
      <c r="N22" s="158">
        <f t="shared" si="2"/>
        <v>0</v>
      </c>
      <c r="O22" s="158">
        <f t="shared" si="3"/>
        <v>0</v>
      </c>
      <c r="P22" s="4"/>
    </row>
    <row r="23" spans="2:16">
      <c r="B23" s="9" t="str">
        <f t="shared" si="4"/>
        <v/>
      </c>
      <c r="C23" s="153">
        <f>IF(D11="","-",+C22+1)</f>
        <v>2022</v>
      </c>
      <c r="D23" s="159">
        <f>IF(F22+SUM(E$17:E22)=D$10,F22,D$10-SUM(E$17:E22))</f>
        <v>21979699.101889372</v>
      </c>
      <c r="E23" s="160">
        <f>IF(+I14&lt;F22,I14,D23)</f>
        <v>586443.25581395347</v>
      </c>
      <c r="F23" s="159">
        <f t="shared" si="5"/>
        <v>21393255.846075419</v>
      </c>
      <c r="G23" s="161">
        <f t="shared" si="6"/>
        <v>2745455.1040047831</v>
      </c>
      <c r="H23" s="142">
        <f t="shared" si="7"/>
        <v>2745455.1040047831</v>
      </c>
      <c r="I23" s="156">
        <f t="shared" si="0"/>
        <v>0</v>
      </c>
      <c r="J23" s="156"/>
      <c r="K23" s="334"/>
      <c r="L23" s="158">
        <f t="shared" si="1"/>
        <v>0</v>
      </c>
      <c r="M23" s="334"/>
      <c r="N23" s="158">
        <f t="shared" si="2"/>
        <v>0</v>
      </c>
      <c r="O23" s="158">
        <f t="shared" si="3"/>
        <v>0</v>
      </c>
      <c r="P23" s="4"/>
    </row>
    <row r="24" spans="2:16">
      <c r="B24" s="9" t="str">
        <f t="shared" si="4"/>
        <v/>
      </c>
      <c r="C24" s="153">
        <f>IF(D11="","-",+C23+1)</f>
        <v>2023</v>
      </c>
      <c r="D24" s="159">
        <f>IF(F23+SUM(E$17:E23)=D$10,F23,D$10-SUM(E$17:E23))</f>
        <v>21393255.846075419</v>
      </c>
      <c r="E24" s="160">
        <f>IF(+I14&lt;F23,I14,D24)</f>
        <v>586443.25581395347</v>
      </c>
      <c r="F24" s="159">
        <f t="shared" si="5"/>
        <v>20806812.590261467</v>
      </c>
      <c r="G24" s="161">
        <f t="shared" si="6"/>
        <v>2687071.3513131379</v>
      </c>
      <c r="H24" s="142">
        <f t="shared" si="7"/>
        <v>2687071.3513131379</v>
      </c>
      <c r="I24" s="156">
        <f t="shared" si="0"/>
        <v>0</v>
      </c>
      <c r="J24" s="156"/>
      <c r="K24" s="334"/>
      <c r="L24" s="158">
        <f t="shared" si="1"/>
        <v>0</v>
      </c>
      <c r="M24" s="334"/>
      <c r="N24" s="158">
        <f t="shared" si="2"/>
        <v>0</v>
      </c>
      <c r="O24" s="158">
        <f t="shared" si="3"/>
        <v>0</v>
      </c>
      <c r="P24" s="4"/>
    </row>
    <row r="25" spans="2:16">
      <c r="B25" s="9" t="str">
        <f t="shared" si="4"/>
        <v/>
      </c>
      <c r="C25" s="153">
        <f>IF(D11="","-",+C24+1)</f>
        <v>2024</v>
      </c>
      <c r="D25" s="159">
        <f>IF(F24+SUM(E$17:E24)=D$10,F24,D$10-SUM(E$17:E24))</f>
        <v>20806812.590261467</v>
      </c>
      <c r="E25" s="160">
        <f>IF(+I14&lt;F24,I14,D25)</f>
        <v>586443.25581395347</v>
      </c>
      <c r="F25" s="159">
        <f t="shared" si="5"/>
        <v>20220369.334447514</v>
      </c>
      <c r="G25" s="161">
        <f t="shared" si="6"/>
        <v>2628687.5986214923</v>
      </c>
      <c r="H25" s="142">
        <f t="shared" si="7"/>
        <v>2628687.5986214923</v>
      </c>
      <c r="I25" s="156">
        <f t="shared" si="0"/>
        <v>0</v>
      </c>
      <c r="J25" s="156"/>
      <c r="K25" s="334"/>
      <c r="L25" s="158">
        <f t="shared" si="1"/>
        <v>0</v>
      </c>
      <c r="M25" s="334"/>
      <c r="N25" s="158">
        <f t="shared" si="2"/>
        <v>0</v>
      </c>
      <c r="O25" s="158">
        <f t="shared" si="3"/>
        <v>0</v>
      </c>
      <c r="P25" s="4"/>
    </row>
    <row r="26" spans="2:16">
      <c r="B26" s="9" t="str">
        <f t="shared" si="4"/>
        <v/>
      </c>
      <c r="C26" s="153">
        <f>IF(D11="","-",+C25+1)</f>
        <v>2025</v>
      </c>
      <c r="D26" s="159">
        <f>IF(F25+SUM(E$17:E25)=D$10,F25,D$10-SUM(E$17:E25))</f>
        <v>20220369.334447514</v>
      </c>
      <c r="E26" s="160">
        <f>IF(+I14&lt;F25,I14,D26)</f>
        <v>586443.25581395347</v>
      </c>
      <c r="F26" s="159">
        <f t="shared" si="5"/>
        <v>19633926.078633562</v>
      </c>
      <c r="G26" s="161">
        <f t="shared" si="6"/>
        <v>2570303.8459298471</v>
      </c>
      <c r="H26" s="142">
        <f t="shared" si="7"/>
        <v>2570303.8459298471</v>
      </c>
      <c r="I26" s="156">
        <f t="shared" si="0"/>
        <v>0</v>
      </c>
      <c r="J26" s="156"/>
      <c r="K26" s="334"/>
      <c r="L26" s="158">
        <f t="shared" si="1"/>
        <v>0</v>
      </c>
      <c r="M26" s="334"/>
      <c r="N26" s="158">
        <f t="shared" si="2"/>
        <v>0</v>
      </c>
      <c r="O26" s="158">
        <f t="shared" si="3"/>
        <v>0</v>
      </c>
      <c r="P26" s="4"/>
    </row>
    <row r="27" spans="2:16">
      <c r="B27" s="9" t="str">
        <f t="shared" si="4"/>
        <v/>
      </c>
      <c r="C27" s="153">
        <f>IF(D11="","-",+C26+1)</f>
        <v>2026</v>
      </c>
      <c r="D27" s="159">
        <f>IF(F26+SUM(E$17:E26)=D$10,F26,D$10-SUM(E$17:E26))</f>
        <v>19633926.078633562</v>
      </c>
      <c r="E27" s="160">
        <f>IF(+I14&lt;F26,I14,D27)</f>
        <v>586443.25581395347</v>
      </c>
      <c r="F27" s="159">
        <f t="shared" si="5"/>
        <v>19047482.822819609</v>
      </c>
      <c r="G27" s="161">
        <f t="shared" si="6"/>
        <v>2511920.093238201</v>
      </c>
      <c r="H27" s="142">
        <f t="shared" si="7"/>
        <v>2511920.093238201</v>
      </c>
      <c r="I27" s="156">
        <f t="shared" si="0"/>
        <v>0</v>
      </c>
      <c r="J27" s="156"/>
      <c r="K27" s="334"/>
      <c r="L27" s="158">
        <f t="shared" si="1"/>
        <v>0</v>
      </c>
      <c r="M27" s="334"/>
      <c r="N27" s="158">
        <f t="shared" si="2"/>
        <v>0</v>
      </c>
      <c r="O27" s="158">
        <f t="shared" si="3"/>
        <v>0</v>
      </c>
      <c r="P27" s="4"/>
    </row>
    <row r="28" spans="2:16">
      <c r="B28" s="9" t="str">
        <f t="shared" si="4"/>
        <v/>
      </c>
      <c r="C28" s="153">
        <f>IF(D11="","-",+C27+1)</f>
        <v>2027</v>
      </c>
      <c r="D28" s="159">
        <f>IF(F27+SUM(E$17:E27)=D$10,F27,D$10-SUM(E$17:E27))</f>
        <v>19047482.822819609</v>
      </c>
      <c r="E28" s="160">
        <f>IF(+I14&lt;F27,I14,D28)</f>
        <v>586443.25581395347</v>
      </c>
      <c r="F28" s="159">
        <f t="shared" si="5"/>
        <v>18461039.567005657</v>
      </c>
      <c r="G28" s="161">
        <f t="shared" si="6"/>
        <v>2453536.3405465558</v>
      </c>
      <c r="H28" s="142">
        <f t="shared" si="7"/>
        <v>2453536.3405465558</v>
      </c>
      <c r="I28" s="156">
        <f t="shared" si="0"/>
        <v>0</v>
      </c>
      <c r="J28" s="156"/>
      <c r="K28" s="334"/>
      <c r="L28" s="158">
        <f t="shared" si="1"/>
        <v>0</v>
      </c>
      <c r="M28" s="334"/>
      <c r="N28" s="158">
        <f t="shared" si="2"/>
        <v>0</v>
      </c>
      <c r="O28" s="158">
        <f t="shared" si="3"/>
        <v>0</v>
      </c>
      <c r="P28" s="4"/>
    </row>
    <row r="29" spans="2:16">
      <c r="B29" s="9" t="str">
        <f t="shared" si="4"/>
        <v/>
      </c>
      <c r="C29" s="153">
        <f>IF(D11="","-",+C28+1)</f>
        <v>2028</v>
      </c>
      <c r="D29" s="159">
        <f>IF(F28+SUM(E$17:E28)=D$10,F28,D$10-SUM(E$17:E28))</f>
        <v>18461039.567005657</v>
      </c>
      <c r="E29" s="160">
        <f>IF(+I14&lt;F28,I14,D29)</f>
        <v>586443.25581395347</v>
      </c>
      <c r="F29" s="159">
        <f t="shared" si="5"/>
        <v>17874596.311191704</v>
      </c>
      <c r="G29" s="161">
        <f t="shared" si="6"/>
        <v>2395152.5878549097</v>
      </c>
      <c r="H29" s="142">
        <f t="shared" si="7"/>
        <v>2395152.5878549097</v>
      </c>
      <c r="I29" s="156">
        <f t="shared" si="0"/>
        <v>0</v>
      </c>
      <c r="J29" s="156"/>
      <c r="K29" s="334"/>
      <c r="L29" s="158">
        <f t="shared" si="1"/>
        <v>0</v>
      </c>
      <c r="M29" s="334"/>
      <c r="N29" s="158">
        <f t="shared" si="2"/>
        <v>0</v>
      </c>
      <c r="O29" s="158">
        <f t="shared" si="3"/>
        <v>0</v>
      </c>
      <c r="P29" s="4"/>
    </row>
    <row r="30" spans="2:16">
      <c r="B30" s="9" t="str">
        <f t="shared" si="4"/>
        <v/>
      </c>
      <c r="C30" s="153">
        <f>IF(D11="","-",+C29+1)</f>
        <v>2029</v>
      </c>
      <c r="D30" s="159">
        <f>IF(F29+SUM(E$17:E29)=D$10,F29,D$10-SUM(E$17:E29))</f>
        <v>17874596.311191704</v>
      </c>
      <c r="E30" s="160">
        <f>IF(+I14&lt;F29,I14,D30)</f>
        <v>586443.25581395347</v>
      </c>
      <c r="F30" s="159">
        <f t="shared" si="5"/>
        <v>17288153.055377752</v>
      </c>
      <c r="G30" s="161">
        <f t="shared" si="6"/>
        <v>2336768.8351632645</v>
      </c>
      <c r="H30" s="142">
        <f t="shared" si="7"/>
        <v>2336768.8351632645</v>
      </c>
      <c r="I30" s="156">
        <f t="shared" si="0"/>
        <v>0</v>
      </c>
      <c r="J30" s="156"/>
      <c r="K30" s="334"/>
      <c r="L30" s="158">
        <f t="shared" si="1"/>
        <v>0</v>
      </c>
      <c r="M30" s="334"/>
      <c r="N30" s="158">
        <f t="shared" si="2"/>
        <v>0</v>
      </c>
      <c r="O30" s="158">
        <f t="shared" si="3"/>
        <v>0</v>
      </c>
      <c r="P30" s="4"/>
    </row>
    <row r="31" spans="2:16">
      <c r="B31" s="9" t="str">
        <f t="shared" si="4"/>
        <v/>
      </c>
      <c r="C31" s="153">
        <f>IF(D11="","-",+C30+1)</f>
        <v>2030</v>
      </c>
      <c r="D31" s="159">
        <f>IF(F30+SUM(E$17:E30)=D$10,F30,D$10-SUM(E$17:E30))</f>
        <v>17288153.055377752</v>
      </c>
      <c r="E31" s="160">
        <f>IF(+I14&lt;F30,I14,D31)</f>
        <v>586443.25581395347</v>
      </c>
      <c r="F31" s="159">
        <f t="shared" si="5"/>
        <v>16701709.799563799</v>
      </c>
      <c r="G31" s="161">
        <f t="shared" si="6"/>
        <v>2278385.0824716189</v>
      </c>
      <c r="H31" s="142">
        <f t="shared" si="7"/>
        <v>2278385.0824716189</v>
      </c>
      <c r="I31" s="156">
        <f t="shared" si="0"/>
        <v>0</v>
      </c>
      <c r="J31" s="156"/>
      <c r="K31" s="334"/>
      <c r="L31" s="158">
        <f t="shared" si="1"/>
        <v>0</v>
      </c>
      <c r="M31" s="334"/>
      <c r="N31" s="158">
        <f t="shared" si="2"/>
        <v>0</v>
      </c>
      <c r="O31" s="158">
        <f t="shared" si="3"/>
        <v>0</v>
      </c>
      <c r="P31" s="4"/>
    </row>
    <row r="32" spans="2:16">
      <c r="B32" s="9" t="str">
        <f t="shared" si="4"/>
        <v/>
      </c>
      <c r="C32" s="153">
        <f>IF(D11="","-",+C31+1)</f>
        <v>2031</v>
      </c>
      <c r="D32" s="159">
        <f>IF(F31+SUM(E$17:E31)=D$10,F31,D$10-SUM(E$17:E31))</f>
        <v>16701709.799563799</v>
      </c>
      <c r="E32" s="160">
        <f>IF(+I14&lt;F31,I14,D32)</f>
        <v>586443.25581395347</v>
      </c>
      <c r="F32" s="159">
        <f t="shared" si="5"/>
        <v>16115266.543749847</v>
      </c>
      <c r="G32" s="161">
        <f t="shared" si="6"/>
        <v>2220001.3297799737</v>
      </c>
      <c r="H32" s="142">
        <f t="shared" si="7"/>
        <v>2220001.3297799737</v>
      </c>
      <c r="I32" s="156">
        <f t="shared" si="0"/>
        <v>0</v>
      </c>
      <c r="J32" s="156"/>
      <c r="K32" s="334"/>
      <c r="L32" s="158">
        <f t="shared" si="1"/>
        <v>0</v>
      </c>
      <c r="M32" s="334"/>
      <c r="N32" s="158">
        <f t="shared" si="2"/>
        <v>0</v>
      </c>
      <c r="O32" s="158">
        <f t="shared" si="3"/>
        <v>0</v>
      </c>
      <c r="P32" s="4"/>
    </row>
    <row r="33" spans="2:16">
      <c r="B33" s="9" t="str">
        <f t="shared" si="4"/>
        <v/>
      </c>
      <c r="C33" s="153">
        <f>IF(D11="","-",+C32+1)</f>
        <v>2032</v>
      </c>
      <c r="D33" s="159">
        <f>IF(F32+SUM(E$17:E32)=D$10,F32,D$10-SUM(E$17:E32))</f>
        <v>16115266.543749847</v>
      </c>
      <c r="E33" s="160">
        <f>IF(+I14&lt;F32,I14,D33)</f>
        <v>586443.25581395347</v>
      </c>
      <c r="F33" s="159">
        <f t="shared" si="5"/>
        <v>15528823.287935894</v>
      </c>
      <c r="G33" s="161">
        <f t="shared" si="6"/>
        <v>2161617.5770883281</v>
      </c>
      <c r="H33" s="142">
        <f t="shared" si="7"/>
        <v>2161617.5770883281</v>
      </c>
      <c r="I33" s="156">
        <f t="shared" si="0"/>
        <v>0</v>
      </c>
      <c r="J33" s="156"/>
      <c r="K33" s="334"/>
      <c r="L33" s="158">
        <f t="shared" si="1"/>
        <v>0</v>
      </c>
      <c r="M33" s="334"/>
      <c r="N33" s="158">
        <f t="shared" si="2"/>
        <v>0</v>
      </c>
      <c r="O33" s="158">
        <f t="shared" si="3"/>
        <v>0</v>
      </c>
      <c r="P33" s="4"/>
    </row>
    <row r="34" spans="2:16">
      <c r="B34" s="9" t="str">
        <f t="shared" si="4"/>
        <v/>
      </c>
      <c r="C34" s="153">
        <f>IF(D11="","-",+C33+1)</f>
        <v>2033</v>
      </c>
      <c r="D34" s="159">
        <f>IF(F33+SUM(E$17:E33)=D$10,F33,D$10-SUM(E$17:E33))</f>
        <v>15528823.287935894</v>
      </c>
      <c r="E34" s="160">
        <f>IF(+I14&lt;F33,I14,D34)</f>
        <v>586443.25581395347</v>
      </c>
      <c r="F34" s="159">
        <f t="shared" si="5"/>
        <v>14942380.032121941</v>
      </c>
      <c r="G34" s="161">
        <f t="shared" si="6"/>
        <v>2103233.8243966829</v>
      </c>
      <c r="H34" s="142">
        <f t="shared" si="7"/>
        <v>2103233.8243966829</v>
      </c>
      <c r="I34" s="156">
        <f t="shared" si="0"/>
        <v>0</v>
      </c>
      <c r="J34" s="156"/>
      <c r="K34" s="334"/>
      <c r="L34" s="158">
        <f t="shared" si="1"/>
        <v>0</v>
      </c>
      <c r="M34" s="334"/>
      <c r="N34" s="158">
        <f t="shared" si="2"/>
        <v>0</v>
      </c>
      <c r="O34" s="158">
        <f t="shared" si="3"/>
        <v>0</v>
      </c>
      <c r="P34" s="4"/>
    </row>
    <row r="35" spans="2:16">
      <c r="B35" s="9" t="str">
        <f t="shared" si="4"/>
        <v/>
      </c>
      <c r="C35" s="153">
        <f>IF(D11="","-",+C34+1)</f>
        <v>2034</v>
      </c>
      <c r="D35" s="159">
        <f>IF(F34+SUM(E$17:E34)=D$10,F34,D$10-SUM(E$17:E34))</f>
        <v>14942380.032121941</v>
      </c>
      <c r="E35" s="160">
        <f>IF(+I14&lt;F34,I14,D35)</f>
        <v>586443.25581395347</v>
      </c>
      <c r="F35" s="159">
        <f t="shared" si="5"/>
        <v>14355936.776307989</v>
      </c>
      <c r="G35" s="161">
        <f t="shared" si="6"/>
        <v>2044850.0717050373</v>
      </c>
      <c r="H35" s="142">
        <f t="shared" si="7"/>
        <v>2044850.0717050373</v>
      </c>
      <c r="I35" s="156">
        <f t="shared" si="0"/>
        <v>0</v>
      </c>
      <c r="J35" s="156"/>
      <c r="K35" s="334"/>
      <c r="L35" s="158">
        <f t="shared" si="1"/>
        <v>0</v>
      </c>
      <c r="M35" s="334"/>
      <c r="N35" s="158">
        <f t="shared" si="2"/>
        <v>0</v>
      </c>
      <c r="O35" s="158">
        <f t="shared" si="3"/>
        <v>0</v>
      </c>
      <c r="P35" s="4"/>
    </row>
    <row r="36" spans="2:16">
      <c r="B36" s="9" t="str">
        <f t="shared" si="4"/>
        <v/>
      </c>
      <c r="C36" s="153">
        <f>IF(D11="","-",+C35+1)</f>
        <v>2035</v>
      </c>
      <c r="D36" s="159">
        <f>IF(F35+SUM(E$17:E35)=D$10,F35,D$10-SUM(E$17:E35))</f>
        <v>14355936.776307989</v>
      </c>
      <c r="E36" s="160">
        <f>IF(+I14&lt;F35,I14,D36)</f>
        <v>586443.25581395347</v>
      </c>
      <c r="F36" s="159">
        <f t="shared" si="5"/>
        <v>13769493.520494036</v>
      </c>
      <c r="G36" s="161">
        <f t="shared" si="6"/>
        <v>1986466.3190133916</v>
      </c>
      <c r="H36" s="142">
        <f t="shared" si="7"/>
        <v>1986466.3190133916</v>
      </c>
      <c r="I36" s="156">
        <f t="shared" si="0"/>
        <v>0</v>
      </c>
      <c r="J36" s="156"/>
      <c r="K36" s="334"/>
      <c r="L36" s="158">
        <f t="shared" si="1"/>
        <v>0</v>
      </c>
      <c r="M36" s="334"/>
      <c r="N36" s="158">
        <f t="shared" si="2"/>
        <v>0</v>
      </c>
      <c r="O36" s="158">
        <f t="shared" si="3"/>
        <v>0</v>
      </c>
      <c r="P36" s="4"/>
    </row>
    <row r="37" spans="2:16">
      <c r="B37" s="9" t="str">
        <f t="shared" si="4"/>
        <v/>
      </c>
      <c r="C37" s="153">
        <f>IF(D11="","-",+C36+1)</f>
        <v>2036</v>
      </c>
      <c r="D37" s="159">
        <f>IF(F36+SUM(E$17:E36)=D$10,F36,D$10-SUM(E$17:E36))</f>
        <v>13769493.520494036</v>
      </c>
      <c r="E37" s="160">
        <f>IF(+I14&lt;F36,I14,D37)</f>
        <v>586443.25581395347</v>
      </c>
      <c r="F37" s="159">
        <f t="shared" si="5"/>
        <v>13183050.264680084</v>
      </c>
      <c r="G37" s="161">
        <f t="shared" si="6"/>
        <v>1928082.5663217462</v>
      </c>
      <c r="H37" s="142">
        <f t="shared" si="7"/>
        <v>1928082.5663217462</v>
      </c>
      <c r="I37" s="156">
        <f t="shared" si="0"/>
        <v>0</v>
      </c>
      <c r="J37" s="156"/>
      <c r="K37" s="334"/>
      <c r="L37" s="158">
        <f t="shared" si="1"/>
        <v>0</v>
      </c>
      <c r="M37" s="334"/>
      <c r="N37" s="158">
        <f t="shared" si="2"/>
        <v>0</v>
      </c>
      <c r="O37" s="158">
        <f t="shared" si="3"/>
        <v>0</v>
      </c>
      <c r="P37" s="4"/>
    </row>
    <row r="38" spans="2:16">
      <c r="B38" s="9" t="str">
        <f t="shared" si="4"/>
        <v/>
      </c>
      <c r="C38" s="153">
        <f>IF(D11="","-",+C37+1)</f>
        <v>2037</v>
      </c>
      <c r="D38" s="159">
        <f>IF(F37+SUM(E$17:E37)=D$10,F37,D$10-SUM(E$17:E37))</f>
        <v>13183050.264680084</v>
      </c>
      <c r="E38" s="160">
        <f>IF(+I14&lt;F37,I14,D38)</f>
        <v>586443.25581395347</v>
      </c>
      <c r="F38" s="159">
        <f t="shared" si="5"/>
        <v>12596607.008866131</v>
      </c>
      <c r="G38" s="161">
        <f t="shared" si="6"/>
        <v>1869698.8136301006</v>
      </c>
      <c r="H38" s="142">
        <f t="shared" si="7"/>
        <v>1869698.8136301006</v>
      </c>
      <c r="I38" s="156">
        <f t="shared" si="0"/>
        <v>0</v>
      </c>
      <c r="J38" s="156"/>
      <c r="K38" s="334"/>
      <c r="L38" s="158">
        <f t="shared" si="1"/>
        <v>0</v>
      </c>
      <c r="M38" s="334"/>
      <c r="N38" s="158">
        <f t="shared" si="2"/>
        <v>0</v>
      </c>
      <c r="O38" s="158">
        <f t="shared" si="3"/>
        <v>0</v>
      </c>
      <c r="P38" s="4"/>
    </row>
    <row r="39" spans="2:16">
      <c r="B39" s="9" t="str">
        <f t="shared" si="4"/>
        <v/>
      </c>
      <c r="C39" s="153">
        <f>IF(D11="","-",+C38+1)</f>
        <v>2038</v>
      </c>
      <c r="D39" s="159">
        <f>IF(F38+SUM(E$17:E38)=D$10,F38,D$10-SUM(E$17:E38))</f>
        <v>12596607.008866131</v>
      </c>
      <c r="E39" s="160">
        <f>IF(+I14&lt;F38,I14,D39)</f>
        <v>586443.25581395347</v>
      </c>
      <c r="F39" s="159">
        <f t="shared" si="5"/>
        <v>12010163.753052179</v>
      </c>
      <c r="G39" s="161">
        <f t="shared" si="6"/>
        <v>1811315.0609384552</v>
      </c>
      <c r="H39" s="142">
        <f t="shared" si="7"/>
        <v>1811315.0609384552</v>
      </c>
      <c r="I39" s="156">
        <f t="shared" si="0"/>
        <v>0</v>
      </c>
      <c r="J39" s="156"/>
      <c r="K39" s="334"/>
      <c r="L39" s="158">
        <f t="shared" si="1"/>
        <v>0</v>
      </c>
      <c r="M39" s="334"/>
      <c r="N39" s="158">
        <f t="shared" si="2"/>
        <v>0</v>
      </c>
      <c r="O39" s="158">
        <f t="shared" si="3"/>
        <v>0</v>
      </c>
      <c r="P39" s="4"/>
    </row>
    <row r="40" spans="2:16">
      <c r="B40" s="9" t="str">
        <f t="shared" si="4"/>
        <v/>
      </c>
      <c r="C40" s="153">
        <f>IF(D11="","-",+C39+1)</f>
        <v>2039</v>
      </c>
      <c r="D40" s="159">
        <f>IF(F39+SUM(E$17:E39)=D$10,F39,D$10-SUM(E$17:E39))</f>
        <v>12010163.753052179</v>
      </c>
      <c r="E40" s="160">
        <f>IF(+I14&lt;F39,I14,D40)</f>
        <v>586443.25581395347</v>
      </c>
      <c r="F40" s="159">
        <f t="shared" si="5"/>
        <v>11423720.497238226</v>
      </c>
      <c r="G40" s="161">
        <f t="shared" si="6"/>
        <v>1752931.3082468098</v>
      </c>
      <c r="H40" s="142">
        <f t="shared" si="7"/>
        <v>1752931.3082468098</v>
      </c>
      <c r="I40" s="156">
        <f t="shared" si="0"/>
        <v>0</v>
      </c>
      <c r="J40" s="156"/>
      <c r="K40" s="334"/>
      <c r="L40" s="158">
        <f t="shared" si="1"/>
        <v>0</v>
      </c>
      <c r="M40" s="334"/>
      <c r="N40" s="158">
        <f t="shared" si="2"/>
        <v>0</v>
      </c>
      <c r="O40" s="158">
        <f t="shared" si="3"/>
        <v>0</v>
      </c>
      <c r="P40" s="4"/>
    </row>
    <row r="41" spans="2:16">
      <c r="B41" s="9" t="str">
        <f t="shared" si="4"/>
        <v/>
      </c>
      <c r="C41" s="153">
        <f>IF(D11="","-",+C40+1)</f>
        <v>2040</v>
      </c>
      <c r="D41" s="159">
        <f>IF(F40+SUM(E$17:E40)=D$10,F40,D$10-SUM(E$17:E40))</f>
        <v>11423720.497238226</v>
      </c>
      <c r="E41" s="160">
        <f>IF(+I14&lt;F40,I14,D41)</f>
        <v>586443.25581395347</v>
      </c>
      <c r="F41" s="159">
        <f t="shared" si="5"/>
        <v>10837277.241424274</v>
      </c>
      <c r="G41" s="161">
        <f t="shared" si="6"/>
        <v>1694547.5555551641</v>
      </c>
      <c r="H41" s="142">
        <f t="shared" si="7"/>
        <v>1694547.5555551641</v>
      </c>
      <c r="I41" s="156">
        <f t="shared" si="0"/>
        <v>0</v>
      </c>
      <c r="J41" s="156"/>
      <c r="K41" s="334"/>
      <c r="L41" s="158">
        <f t="shared" si="1"/>
        <v>0</v>
      </c>
      <c r="M41" s="334"/>
      <c r="N41" s="158">
        <f t="shared" si="2"/>
        <v>0</v>
      </c>
      <c r="O41" s="158">
        <f t="shared" si="3"/>
        <v>0</v>
      </c>
      <c r="P41" s="4"/>
    </row>
    <row r="42" spans="2:16">
      <c r="B42" s="9" t="str">
        <f t="shared" si="4"/>
        <v/>
      </c>
      <c r="C42" s="153">
        <f>IF(D11="","-",+C41+1)</f>
        <v>2041</v>
      </c>
      <c r="D42" s="159">
        <f>IF(F41+SUM(E$17:E41)=D$10,F41,D$10-SUM(E$17:E41))</f>
        <v>10837277.241424274</v>
      </c>
      <c r="E42" s="160">
        <f>IF(+I14&lt;F41,I14,D42)</f>
        <v>586443.25581395347</v>
      </c>
      <c r="F42" s="159">
        <f t="shared" si="5"/>
        <v>10250833.985610321</v>
      </c>
      <c r="G42" s="161">
        <f t="shared" si="6"/>
        <v>1636163.8028635187</v>
      </c>
      <c r="H42" s="142">
        <f t="shared" si="7"/>
        <v>1636163.8028635187</v>
      </c>
      <c r="I42" s="156">
        <f t="shared" si="0"/>
        <v>0</v>
      </c>
      <c r="J42" s="156"/>
      <c r="K42" s="334"/>
      <c r="L42" s="158">
        <f t="shared" si="1"/>
        <v>0</v>
      </c>
      <c r="M42" s="334"/>
      <c r="N42" s="158">
        <f t="shared" si="2"/>
        <v>0</v>
      </c>
      <c r="O42" s="158">
        <f t="shared" si="3"/>
        <v>0</v>
      </c>
      <c r="P42" s="4"/>
    </row>
    <row r="43" spans="2:16">
      <c r="B43" s="9" t="str">
        <f t="shared" si="4"/>
        <v/>
      </c>
      <c r="C43" s="153">
        <f>IF(D11="","-",+C42+1)</f>
        <v>2042</v>
      </c>
      <c r="D43" s="159">
        <f>IF(F42+SUM(E$17:E42)=D$10,F42,D$10-SUM(E$17:E42))</f>
        <v>10250833.985610321</v>
      </c>
      <c r="E43" s="160">
        <f>IF(+I14&lt;F42,I14,D43)</f>
        <v>586443.25581395347</v>
      </c>
      <c r="F43" s="159">
        <f t="shared" si="5"/>
        <v>9664390.7297963686</v>
      </c>
      <c r="G43" s="161">
        <f t="shared" si="6"/>
        <v>1577780.0501718731</v>
      </c>
      <c r="H43" s="142">
        <f t="shared" si="7"/>
        <v>1577780.0501718731</v>
      </c>
      <c r="I43" s="156">
        <f t="shared" si="0"/>
        <v>0</v>
      </c>
      <c r="J43" s="156"/>
      <c r="K43" s="334"/>
      <c r="L43" s="158">
        <f t="shared" si="1"/>
        <v>0</v>
      </c>
      <c r="M43" s="334"/>
      <c r="N43" s="158">
        <f t="shared" si="2"/>
        <v>0</v>
      </c>
      <c r="O43" s="158">
        <f t="shared" si="3"/>
        <v>0</v>
      </c>
      <c r="P43" s="4"/>
    </row>
    <row r="44" spans="2:16">
      <c r="B44" s="9" t="str">
        <f t="shared" si="4"/>
        <v/>
      </c>
      <c r="C44" s="153">
        <f>IF(D11="","-",+C43+1)</f>
        <v>2043</v>
      </c>
      <c r="D44" s="159">
        <f>IF(F43+SUM(E$17:E43)=D$10,F43,D$10-SUM(E$17:E43))</f>
        <v>9664390.7297963686</v>
      </c>
      <c r="E44" s="160">
        <f>IF(+I14&lt;F43,I14,D44)</f>
        <v>586443.25581395347</v>
      </c>
      <c r="F44" s="159">
        <f t="shared" si="5"/>
        <v>9077947.4739824161</v>
      </c>
      <c r="G44" s="161">
        <f t="shared" si="6"/>
        <v>1519396.2974802277</v>
      </c>
      <c r="H44" s="142">
        <f t="shared" si="7"/>
        <v>1519396.2974802277</v>
      </c>
      <c r="I44" s="156">
        <f t="shared" si="0"/>
        <v>0</v>
      </c>
      <c r="J44" s="156"/>
      <c r="K44" s="334"/>
      <c r="L44" s="158">
        <f t="shared" si="1"/>
        <v>0</v>
      </c>
      <c r="M44" s="334"/>
      <c r="N44" s="158">
        <f t="shared" si="2"/>
        <v>0</v>
      </c>
      <c r="O44" s="158">
        <f t="shared" si="3"/>
        <v>0</v>
      </c>
      <c r="P44" s="4"/>
    </row>
    <row r="45" spans="2:16">
      <c r="B45" s="9" t="str">
        <f t="shared" si="4"/>
        <v/>
      </c>
      <c r="C45" s="153">
        <f>IF(D11="","-",+C44+1)</f>
        <v>2044</v>
      </c>
      <c r="D45" s="159">
        <f>IF(F44+SUM(E$17:E44)=D$10,F44,D$10-SUM(E$17:E44))</f>
        <v>9077947.4739824161</v>
      </c>
      <c r="E45" s="160">
        <f>IF(+I14&lt;F44,I14,D45)</f>
        <v>586443.25581395347</v>
      </c>
      <c r="F45" s="159">
        <f t="shared" si="5"/>
        <v>8491504.2181684636</v>
      </c>
      <c r="G45" s="161">
        <f t="shared" si="6"/>
        <v>1461012.5447885823</v>
      </c>
      <c r="H45" s="142">
        <f t="shared" si="7"/>
        <v>1461012.5447885823</v>
      </c>
      <c r="I45" s="156">
        <f t="shared" si="0"/>
        <v>0</v>
      </c>
      <c r="J45" s="156"/>
      <c r="K45" s="334"/>
      <c r="L45" s="158">
        <f t="shared" si="1"/>
        <v>0</v>
      </c>
      <c r="M45" s="334"/>
      <c r="N45" s="158">
        <f t="shared" si="2"/>
        <v>0</v>
      </c>
      <c r="O45" s="158">
        <f t="shared" si="3"/>
        <v>0</v>
      </c>
      <c r="P45" s="4"/>
    </row>
    <row r="46" spans="2:16">
      <c r="B46" s="9" t="str">
        <f t="shared" si="4"/>
        <v/>
      </c>
      <c r="C46" s="153">
        <f>IF(D11="","-",+C45+1)</f>
        <v>2045</v>
      </c>
      <c r="D46" s="159">
        <f>IF(F45+SUM(E$17:E45)=D$10,F45,D$10-SUM(E$17:E45))</f>
        <v>8491504.2181684636</v>
      </c>
      <c r="E46" s="160">
        <f>IF(+I14&lt;F45,I14,D46)</f>
        <v>586443.25581395347</v>
      </c>
      <c r="F46" s="159">
        <f t="shared" si="5"/>
        <v>7905060.9623545101</v>
      </c>
      <c r="G46" s="161">
        <f t="shared" si="6"/>
        <v>1402628.7920969366</v>
      </c>
      <c r="H46" s="142">
        <f t="shared" si="7"/>
        <v>1402628.7920969366</v>
      </c>
      <c r="I46" s="156">
        <f t="shared" si="0"/>
        <v>0</v>
      </c>
      <c r="J46" s="156"/>
      <c r="K46" s="334"/>
      <c r="L46" s="158">
        <f t="shared" si="1"/>
        <v>0</v>
      </c>
      <c r="M46" s="334"/>
      <c r="N46" s="158">
        <f t="shared" si="2"/>
        <v>0</v>
      </c>
      <c r="O46" s="158">
        <f t="shared" si="3"/>
        <v>0</v>
      </c>
      <c r="P46" s="4"/>
    </row>
    <row r="47" spans="2:16">
      <c r="B47" s="9" t="str">
        <f t="shared" si="4"/>
        <v/>
      </c>
      <c r="C47" s="153">
        <f>IF(D11="","-",+C46+1)</f>
        <v>2046</v>
      </c>
      <c r="D47" s="159">
        <f>IF(F46+SUM(E$17:E46)=D$10,F46,D$10-SUM(E$17:E46))</f>
        <v>7905060.9623545101</v>
      </c>
      <c r="E47" s="160">
        <f>IF(+I14&lt;F46,I14,D47)</f>
        <v>586443.25581395347</v>
      </c>
      <c r="F47" s="159">
        <f t="shared" si="5"/>
        <v>7318617.7065405566</v>
      </c>
      <c r="G47" s="161">
        <f t="shared" si="6"/>
        <v>1344245.039405291</v>
      </c>
      <c r="H47" s="142">
        <f t="shared" si="7"/>
        <v>1344245.039405291</v>
      </c>
      <c r="I47" s="156">
        <f t="shared" si="0"/>
        <v>0</v>
      </c>
      <c r="J47" s="156"/>
      <c r="K47" s="334"/>
      <c r="L47" s="158">
        <f t="shared" si="1"/>
        <v>0</v>
      </c>
      <c r="M47" s="334"/>
      <c r="N47" s="158">
        <f t="shared" si="2"/>
        <v>0</v>
      </c>
      <c r="O47" s="158">
        <f t="shared" si="3"/>
        <v>0</v>
      </c>
      <c r="P47" s="4"/>
    </row>
    <row r="48" spans="2:16">
      <c r="B48" s="9" t="str">
        <f t="shared" si="4"/>
        <v/>
      </c>
      <c r="C48" s="153">
        <f>IF(D11="","-",+C47+1)</f>
        <v>2047</v>
      </c>
      <c r="D48" s="159">
        <f>IF(F47+SUM(E$17:E47)=D$10,F47,D$10-SUM(E$17:E47))</f>
        <v>7318617.7065405566</v>
      </c>
      <c r="E48" s="160">
        <f>IF(+I14&lt;F47,I14,D48)</f>
        <v>586443.25581395347</v>
      </c>
      <c r="F48" s="159">
        <f t="shared" si="5"/>
        <v>6732174.4507266032</v>
      </c>
      <c r="G48" s="161">
        <f t="shared" si="6"/>
        <v>1285861.2867136453</v>
      </c>
      <c r="H48" s="142">
        <f t="shared" si="7"/>
        <v>1285861.2867136453</v>
      </c>
      <c r="I48" s="156">
        <f t="shared" si="0"/>
        <v>0</v>
      </c>
      <c r="J48" s="156"/>
      <c r="K48" s="334"/>
      <c r="L48" s="158">
        <f t="shared" si="1"/>
        <v>0</v>
      </c>
      <c r="M48" s="334"/>
      <c r="N48" s="158">
        <f t="shared" si="2"/>
        <v>0</v>
      </c>
      <c r="O48" s="158">
        <f t="shared" si="3"/>
        <v>0</v>
      </c>
      <c r="P48" s="4"/>
    </row>
    <row r="49" spans="2:16">
      <c r="B49" s="9" t="str">
        <f t="shared" si="4"/>
        <v/>
      </c>
      <c r="C49" s="153">
        <f>IF(D11="","-",+C48+1)</f>
        <v>2048</v>
      </c>
      <c r="D49" s="159">
        <f>IF(F48+SUM(E$17:E48)=D$10,F48,D$10-SUM(E$17:E48))</f>
        <v>6732174.4507266032</v>
      </c>
      <c r="E49" s="160">
        <f>IF(+I14&lt;F48,I14,D49)</f>
        <v>586443.25581395347</v>
      </c>
      <c r="F49" s="159">
        <f t="shared" si="5"/>
        <v>6145731.1949126497</v>
      </c>
      <c r="G49" s="161">
        <f t="shared" si="6"/>
        <v>1227477.5340219997</v>
      </c>
      <c r="H49" s="142">
        <f t="shared" si="7"/>
        <v>1227477.5340219997</v>
      </c>
      <c r="I49" s="156">
        <f t="shared" si="0"/>
        <v>0</v>
      </c>
      <c r="J49" s="156"/>
      <c r="K49" s="334"/>
      <c r="L49" s="158">
        <f t="shared" si="1"/>
        <v>0</v>
      </c>
      <c r="M49" s="334"/>
      <c r="N49" s="158">
        <f t="shared" si="2"/>
        <v>0</v>
      </c>
      <c r="O49" s="158">
        <f t="shared" si="3"/>
        <v>0</v>
      </c>
      <c r="P49" s="4"/>
    </row>
    <row r="50" spans="2:16">
      <c r="B50" s="9" t="str">
        <f t="shared" si="4"/>
        <v/>
      </c>
      <c r="C50" s="153">
        <f>IF(D11="","-",+C49+1)</f>
        <v>2049</v>
      </c>
      <c r="D50" s="159">
        <f>IF(F49+SUM(E$17:E49)=D$10,F49,D$10-SUM(E$17:E49))</f>
        <v>6145731.1949126497</v>
      </c>
      <c r="E50" s="160">
        <f>IF(+I14&lt;F49,I14,D50)</f>
        <v>586443.25581395347</v>
      </c>
      <c r="F50" s="159">
        <f t="shared" si="5"/>
        <v>5559287.9390986962</v>
      </c>
      <c r="G50" s="161">
        <f t="shared" ref="G50:G72" si="8">+I$12*((D50+F50)/2)+E50</f>
        <v>1169093.7813303543</v>
      </c>
      <c r="H50" s="142">
        <f t="shared" ref="H50:H72" si="9">+I$13*((D50+F50)/2)+E50</f>
        <v>1169093.7813303543</v>
      </c>
      <c r="I50" s="156">
        <f t="shared" si="0"/>
        <v>0</v>
      </c>
      <c r="J50" s="156"/>
      <c r="K50" s="334"/>
      <c r="L50" s="158">
        <f t="shared" si="1"/>
        <v>0</v>
      </c>
      <c r="M50" s="334"/>
      <c r="N50" s="158">
        <f t="shared" si="2"/>
        <v>0</v>
      </c>
      <c r="O50" s="158">
        <f t="shared" si="3"/>
        <v>0</v>
      </c>
      <c r="P50" s="4"/>
    </row>
    <row r="51" spans="2:16">
      <c r="B51" s="9" t="str">
        <f t="shared" si="4"/>
        <v/>
      </c>
      <c r="C51" s="153">
        <f>IF(D11="","-",+C50+1)</f>
        <v>2050</v>
      </c>
      <c r="D51" s="159">
        <f>IF(F50+SUM(E$17:E50)=D$10,F50,D$10-SUM(E$17:E50))</f>
        <v>5559287.9390986962</v>
      </c>
      <c r="E51" s="160">
        <f>IF(+I14&lt;F50,I14,D51)</f>
        <v>586443.25581395347</v>
      </c>
      <c r="F51" s="159">
        <f t="shared" si="5"/>
        <v>4972844.6832847428</v>
      </c>
      <c r="G51" s="161">
        <f t="shared" si="8"/>
        <v>1110710.0286387086</v>
      </c>
      <c r="H51" s="142">
        <f t="shared" si="9"/>
        <v>1110710.0286387086</v>
      </c>
      <c r="I51" s="156">
        <f t="shared" si="0"/>
        <v>0</v>
      </c>
      <c r="J51" s="156"/>
      <c r="K51" s="334"/>
      <c r="L51" s="158">
        <f t="shared" si="1"/>
        <v>0</v>
      </c>
      <c r="M51" s="334"/>
      <c r="N51" s="158">
        <f t="shared" si="2"/>
        <v>0</v>
      </c>
      <c r="O51" s="158">
        <f t="shared" si="3"/>
        <v>0</v>
      </c>
      <c r="P51" s="4"/>
    </row>
    <row r="52" spans="2:16">
      <c r="B52" s="9" t="str">
        <f t="shared" si="4"/>
        <v/>
      </c>
      <c r="C52" s="153">
        <f>IF(D11="","-",+C51+1)</f>
        <v>2051</v>
      </c>
      <c r="D52" s="159">
        <f>IF(F51+SUM(E$17:E51)=D$10,F51,D$10-SUM(E$17:E51))</f>
        <v>4972844.6832847428</v>
      </c>
      <c r="E52" s="160">
        <f>IF(+I14&lt;F51,I14,D52)</f>
        <v>586443.25581395347</v>
      </c>
      <c r="F52" s="159">
        <f t="shared" si="5"/>
        <v>4386401.4274707893</v>
      </c>
      <c r="G52" s="161">
        <f t="shared" si="8"/>
        <v>1052326.2759470632</v>
      </c>
      <c r="H52" s="142">
        <f t="shared" si="9"/>
        <v>1052326.2759470632</v>
      </c>
      <c r="I52" s="156">
        <f t="shared" si="0"/>
        <v>0</v>
      </c>
      <c r="J52" s="156"/>
      <c r="K52" s="334"/>
      <c r="L52" s="158">
        <f t="shared" si="1"/>
        <v>0</v>
      </c>
      <c r="M52" s="334"/>
      <c r="N52" s="158">
        <f t="shared" si="2"/>
        <v>0</v>
      </c>
      <c r="O52" s="158">
        <f t="shared" si="3"/>
        <v>0</v>
      </c>
      <c r="P52" s="4"/>
    </row>
    <row r="53" spans="2:16">
      <c r="B53" s="9" t="str">
        <f t="shared" si="4"/>
        <v/>
      </c>
      <c r="C53" s="153">
        <f>IF(D11="","-",+C52+1)</f>
        <v>2052</v>
      </c>
      <c r="D53" s="159">
        <f>IF(F52+SUM(E$17:E52)=D$10,F52,D$10-SUM(E$17:E52))</f>
        <v>4386401.4274707893</v>
      </c>
      <c r="E53" s="160">
        <f>IF(+I14&lt;F52,I14,D53)</f>
        <v>586443.25581395347</v>
      </c>
      <c r="F53" s="159">
        <f t="shared" si="5"/>
        <v>3799958.1716568358</v>
      </c>
      <c r="G53" s="161">
        <f t="shared" si="8"/>
        <v>993942.52325541747</v>
      </c>
      <c r="H53" s="142">
        <f t="shared" si="9"/>
        <v>993942.52325541747</v>
      </c>
      <c r="I53" s="156">
        <f t="shared" si="0"/>
        <v>0</v>
      </c>
      <c r="J53" s="156"/>
      <c r="K53" s="334"/>
      <c r="L53" s="158">
        <f t="shared" si="1"/>
        <v>0</v>
      </c>
      <c r="M53" s="334"/>
      <c r="N53" s="158">
        <f t="shared" si="2"/>
        <v>0</v>
      </c>
      <c r="O53" s="158">
        <f t="shared" si="3"/>
        <v>0</v>
      </c>
      <c r="P53" s="4"/>
    </row>
    <row r="54" spans="2:16">
      <c r="B54" s="9" t="str">
        <f t="shared" si="4"/>
        <v/>
      </c>
      <c r="C54" s="153">
        <f>IF(D11="","-",+C53+1)</f>
        <v>2053</v>
      </c>
      <c r="D54" s="159">
        <f>IF(F53+SUM(E$17:E53)=D$10,F53,D$10-SUM(E$17:E53))</f>
        <v>3799958.1716568358</v>
      </c>
      <c r="E54" s="160">
        <f>IF(+I14&lt;F53,I14,D54)</f>
        <v>586443.25581395347</v>
      </c>
      <c r="F54" s="159">
        <f t="shared" si="5"/>
        <v>3213514.9158428824</v>
      </c>
      <c r="G54" s="161">
        <f t="shared" si="8"/>
        <v>935558.77056377195</v>
      </c>
      <c r="H54" s="142">
        <f t="shared" si="9"/>
        <v>935558.77056377195</v>
      </c>
      <c r="I54" s="156">
        <f t="shared" si="0"/>
        <v>0</v>
      </c>
      <c r="J54" s="156"/>
      <c r="K54" s="334"/>
      <c r="L54" s="158">
        <f t="shared" si="1"/>
        <v>0</v>
      </c>
      <c r="M54" s="334"/>
      <c r="N54" s="158">
        <f t="shared" si="2"/>
        <v>0</v>
      </c>
      <c r="O54" s="158">
        <f t="shared" si="3"/>
        <v>0</v>
      </c>
      <c r="P54" s="4"/>
    </row>
    <row r="55" spans="2:16">
      <c r="B55" s="9" t="str">
        <f t="shared" si="4"/>
        <v/>
      </c>
      <c r="C55" s="153">
        <f>IF(D11="","-",+C54+1)</f>
        <v>2054</v>
      </c>
      <c r="D55" s="159">
        <f>IF(F54+SUM(E$17:E54)=D$10,F54,D$10-SUM(E$17:E54))</f>
        <v>3213514.9158428824</v>
      </c>
      <c r="E55" s="160">
        <f>IF(+I14&lt;F54,I14,D55)</f>
        <v>586443.25581395347</v>
      </c>
      <c r="F55" s="159">
        <f t="shared" si="5"/>
        <v>2627071.6600289289</v>
      </c>
      <c r="G55" s="161">
        <f t="shared" si="8"/>
        <v>877175.01787212631</v>
      </c>
      <c r="H55" s="142">
        <f t="shared" si="9"/>
        <v>877175.01787212631</v>
      </c>
      <c r="I55" s="156">
        <f t="shared" si="0"/>
        <v>0</v>
      </c>
      <c r="J55" s="156"/>
      <c r="K55" s="334"/>
      <c r="L55" s="158">
        <f t="shared" si="1"/>
        <v>0</v>
      </c>
      <c r="M55" s="334"/>
      <c r="N55" s="158">
        <f t="shared" si="2"/>
        <v>0</v>
      </c>
      <c r="O55" s="158">
        <f t="shared" si="3"/>
        <v>0</v>
      </c>
      <c r="P55" s="4"/>
    </row>
    <row r="56" spans="2:16">
      <c r="B56" s="9" t="str">
        <f t="shared" si="4"/>
        <v/>
      </c>
      <c r="C56" s="153">
        <f>IF(D11="","-",+C55+1)</f>
        <v>2055</v>
      </c>
      <c r="D56" s="159">
        <f>IF(F55+SUM(E$17:E55)=D$10,F55,D$10-SUM(E$17:E55))</f>
        <v>2627071.6600289289</v>
      </c>
      <c r="E56" s="160">
        <f>IF(+I14&lt;F55,I14,D56)</f>
        <v>586443.25581395347</v>
      </c>
      <c r="F56" s="159">
        <f t="shared" si="5"/>
        <v>2040628.4042149754</v>
      </c>
      <c r="G56" s="161">
        <f t="shared" si="8"/>
        <v>818791.26518048067</v>
      </c>
      <c r="H56" s="142">
        <f t="shared" si="9"/>
        <v>818791.26518048067</v>
      </c>
      <c r="I56" s="156">
        <f t="shared" si="0"/>
        <v>0</v>
      </c>
      <c r="J56" s="156"/>
      <c r="K56" s="334"/>
      <c r="L56" s="158">
        <f t="shared" si="1"/>
        <v>0</v>
      </c>
      <c r="M56" s="334"/>
      <c r="N56" s="158">
        <f t="shared" si="2"/>
        <v>0</v>
      </c>
      <c r="O56" s="158">
        <f t="shared" si="3"/>
        <v>0</v>
      </c>
      <c r="P56" s="4"/>
    </row>
    <row r="57" spans="2:16">
      <c r="B57" s="9" t="str">
        <f t="shared" si="4"/>
        <v/>
      </c>
      <c r="C57" s="153">
        <f>IF(D11="","-",+C56+1)</f>
        <v>2056</v>
      </c>
      <c r="D57" s="159">
        <f>IF(F56+SUM(E$17:E56)=D$10,F56,D$10-SUM(E$17:E56))</f>
        <v>2040628.4042149754</v>
      </c>
      <c r="E57" s="160">
        <f>IF(+I14&lt;F56,I14,D57)</f>
        <v>586443.25581395347</v>
      </c>
      <c r="F57" s="159">
        <f t="shared" si="5"/>
        <v>1454185.148401022</v>
      </c>
      <c r="G57" s="161">
        <f t="shared" si="8"/>
        <v>760407.51248883503</v>
      </c>
      <c r="H57" s="142">
        <f t="shared" si="9"/>
        <v>760407.51248883503</v>
      </c>
      <c r="I57" s="156">
        <f t="shared" si="0"/>
        <v>0</v>
      </c>
      <c r="J57" s="156"/>
      <c r="K57" s="334"/>
      <c r="L57" s="158">
        <f t="shared" si="1"/>
        <v>0</v>
      </c>
      <c r="M57" s="334"/>
      <c r="N57" s="158">
        <f t="shared" si="2"/>
        <v>0</v>
      </c>
      <c r="O57" s="158">
        <f t="shared" si="3"/>
        <v>0</v>
      </c>
      <c r="P57" s="4"/>
    </row>
    <row r="58" spans="2:16">
      <c r="B58" s="9" t="str">
        <f t="shared" si="4"/>
        <v/>
      </c>
      <c r="C58" s="153">
        <f>IF(D11="","-",+C57+1)</f>
        <v>2057</v>
      </c>
      <c r="D58" s="159">
        <f>IF(F57+SUM(E$17:E57)=D$10,F57,D$10-SUM(E$17:E57))</f>
        <v>1454185.148401022</v>
      </c>
      <c r="E58" s="160">
        <f>IF(+I14&lt;F57,I14,D58)</f>
        <v>586443.25581395347</v>
      </c>
      <c r="F58" s="159">
        <f t="shared" si="5"/>
        <v>867741.89258706849</v>
      </c>
      <c r="G58" s="161">
        <f t="shared" si="8"/>
        <v>702023.7597971895</v>
      </c>
      <c r="H58" s="142">
        <f t="shared" si="9"/>
        <v>702023.7597971895</v>
      </c>
      <c r="I58" s="156">
        <f t="shared" si="0"/>
        <v>0</v>
      </c>
      <c r="J58" s="156"/>
      <c r="K58" s="334"/>
      <c r="L58" s="158">
        <f t="shared" si="1"/>
        <v>0</v>
      </c>
      <c r="M58" s="334"/>
      <c r="N58" s="158">
        <f t="shared" si="2"/>
        <v>0</v>
      </c>
      <c r="O58" s="158">
        <f t="shared" si="3"/>
        <v>0</v>
      </c>
      <c r="P58" s="4"/>
    </row>
    <row r="59" spans="2:16">
      <c r="B59" s="9" t="str">
        <f t="shared" si="4"/>
        <v/>
      </c>
      <c r="C59" s="153">
        <f>IF(D11="","-",+C58+1)</f>
        <v>2058</v>
      </c>
      <c r="D59" s="159">
        <f>IF(F58+SUM(E$17:E58)=D$10,F58,D$10-SUM(E$17:E58))</f>
        <v>867741.89258706849</v>
      </c>
      <c r="E59" s="160">
        <f>IF(+I14&lt;F58,I14,D59)</f>
        <v>586443.25581395347</v>
      </c>
      <c r="F59" s="159">
        <f t="shared" si="5"/>
        <v>281298.63677311502</v>
      </c>
      <c r="G59" s="161">
        <f t="shared" si="8"/>
        <v>643640.00710554386</v>
      </c>
      <c r="H59" s="142">
        <f t="shared" si="9"/>
        <v>643640.00710554386</v>
      </c>
      <c r="I59" s="156">
        <f t="shared" si="0"/>
        <v>0</v>
      </c>
      <c r="J59" s="156"/>
      <c r="K59" s="334"/>
      <c r="L59" s="158">
        <f t="shared" si="1"/>
        <v>0</v>
      </c>
      <c r="M59" s="334"/>
      <c r="N59" s="158">
        <f t="shared" si="2"/>
        <v>0</v>
      </c>
      <c r="O59" s="158">
        <f t="shared" si="3"/>
        <v>0</v>
      </c>
      <c r="P59" s="4"/>
    </row>
    <row r="60" spans="2:16">
      <c r="B60" s="9" t="str">
        <f t="shared" si="4"/>
        <v/>
      </c>
      <c r="C60" s="153">
        <f>IF(D11="","-",+C59+1)</f>
        <v>2059</v>
      </c>
      <c r="D60" s="159">
        <f>IF(F59+SUM(E$17:E59)=D$10,F59,D$10-SUM(E$17:E59))</f>
        <v>281298.63677311502</v>
      </c>
      <c r="E60" s="160">
        <f>IF(+I14&lt;F59,I14,D60)</f>
        <v>281298.63677311502</v>
      </c>
      <c r="F60" s="159">
        <f t="shared" si="5"/>
        <v>0</v>
      </c>
      <c r="G60" s="161">
        <f t="shared" si="8"/>
        <v>295301.07424599887</v>
      </c>
      <c r="H60" s="142">
        <f t="shared" si="9"/>
        <v>295301.07424599887</v>
      </c>
      <c r="I60" s="156">
        <f t="shared" si="0"/>
        <v>0</v>
      </c>
      <c r="J60" s="156"/>
      <c r="K60" s="334"/>
      <c r="L60" s="158">
        <f t="shared" si="1"/>
        <v>0</v>
      </c>
      <c r="M60" s="334"/>
      <c r="N60" s="158">
        <f t="shared" si="2"/>
        <v>0</v>
      </c>
      <c r="O60" s="158">
        <f t="shared" si="3"/>
        <v>0</v>
      </c>
      <c r="P60" s="4"/>
    </row>
    <row r="61" spans="2:16">
      <c r="B61" s="9" t="str">
        <f t="shared" si="4"/>
        <v/>
      </c>
      <c r="C61" s="153">
        <f>IF(D11="","-",+C60+1)</f>
        <v>2060</v>
      </c>
      <c r="D61" s="159">
        <f>IF(F60+SUM(E$17:E60)=D$10,F60,D$10-SUM(E$17:E60))</f>
        <v>0</v>
      </c>
      <c r="E61" s="160">
        <f>IF(+I14&lt;F60,I14,D61)</f>
        <v>0</v>
      </c>
      <c r="F61" s="159">
        <f t="shared" si="5"/>
        <v>0</v>
      </c>
      <c r="G61" s="163">
        <f t="shared" si="8"/>
        <v>0</v>
      </c>
      <c r="H61" s="142">
        <f t="shared" si="9"/>
        <v>0</v>
      </c>
      <c r="I61" s="156">
        <f t="shared" si="0"/>
        <v>0</v>
      </c>
      <c r="J61" s="156"/>
      <c r="K61" s="334"/>
      <c r="L61" s="158">
        <f t="shared" si="1"/>
        <v>0</v>
      </c>
      <c r="M61" s="334"/>
      <c r="N61" s="158">
        <f t="shared" si="2"/>
        <v>0</v>
      </c>
      <c r="O61" s="158">
        <f t="shared" si="3"/>
        <v>0</v>
      </c>
      <c r="P61" s="4"/>
    </row>
    <row r="62" spans="2:16">
      <c r="B62" s="9" t="str">
        <f t="shared" si="4"/>
        <v/>
      </c>
      <c r="C62" s="153">
        <f>IF(D11="","-",+C61+1)</f>
        <v>2061</v>
      </c>
      <c r="D62" s="159">
        <f>IF(F61+SUM(E$17:E61)=D$10,F61,D$10-SUM(E$17:E61))</f>
        <v>0</v>
      </c>
      <c r="E62" s="160">
        <f>IF(+I14&lt;F61,I14,D62)</f>
        <v>0</v>
      </c>
      <c r="F62" s="159">
        <f t="shared" si="5"/>
        <v>0</v>
      </c>
      <c r="G62" s="163">
        <f t="shared" si="8"/>
        <v>0</v>
      </c>
      <c r="H62" s="142">
        <f t="shared" si="9"/>
        <v>0</v>
      </c>
      <c r="I62" s="156">
        <f t="shared" si="0"/>
        <v>0</v>
      </c>
      <c r="J62" s="156"/>
      <c r="K62" s="334"/>
      <c r="L62" s="158">
        <f t="shared" si="1"/>
        <v>0</v>
      </c>
      <c r="M62" s="334"/>
      <c r="N62" s="158">
        <f t="shared" si="2"/>
        <v>0</v>
      </c>
      <c r="O62" s="158">
        <f t="shared" si="3"/>
        <v>0</v>
      </c>
      <c r="P62" s="4"/>
    </row>
    <row r="63" spans="2:16">
      <c r="B63" s="9" t="str">
        <f t="shared" si="4"/>
        <v/>
      </c>
      <c r="C63" s="153">
        <f>IF(D11="","-",+C62+1)</f>
        <v>2062</v>
      </c>
      <c r="D63" s="159">
        <f>IF(F62+SUM(E$17:E62)=D$10,F62,D$10-SUM(E$17:E62))</f>
        <v>0</v>
      </c>
      <c r="E63" s="160">
        <f>IF(+I14&lt;F62,I14,D63)</f>
        <v>0</v>
      </c>
      <c r="F63" s="159">
        <f t="shared" si="5"/>
        <v>0</v>
      </c>
      <c r="G63" s="163">
        <f t="shared" si="8"/>
        <v>0</v>
      </c>
      <c r="H63" s="142">
        <f t="shared" si="9"/>
        <v>0</v>
      </c>
      <c r="I63" s="156">
        <f t="shared" si="0"/>
        <v>0</v>
      </c>
      <c r="J63" s="156"/>
      <c r="K63" s="334"/>
      <c r="L63" s="158">
        <f t="shared" si="1"/>
        <v>0</v>
      </c>
      <c r="M63" s="334"/>
      <c r="N63" s="158">
        <f t="shared" si="2"/>
        <v>0</v>
      </c>
      <c r="O63" s="158">
        <f t="shared" si="3"/>
        <v>0</v>
      </c>
      <c r="P63" s="4"/>
    </row>
    <row r="64" spans="2:16">
      <c r="B64" s="9" t="str">
        <f t="shared" si="4"/>
        <v/>
      </c>
      <c r="C64" s="153">
        <f>IF(D11="","-",+C63+1)</f>
        <v>2063</v>
      </c>
      <c r="D64" s="159">
        <f>IF(F63+SUM(E$17:E63)=D$10,F63,D$10-SUM(E$17:E63))</f>
        <v>0</v>
      </c>
      <c r="E64" s="160">
        <f>IF(+I14&lt;F63,I14,D64)</f>
        <v>0</v>
      </c>
      <c r="F64" s="159">
        <f t="shared" si="5"/>
        <v>0</v>
      </c>
      <c r="G64" s="163">
        <f t="shared" si="8"/>
        <v>0</v>
      </c>
      <c r="H64" s="142">
        <f t="shared" si="9"/>
        <v>0</v>
      </c>
      <c r="I64" s="156">
        <f t="shared" si="0"/>
        <v>0</v>
      </c>
      <c r="J64" s="156"/>
      <c r="K64" s="334"/>
      <c r="L64" s="158">
        <f t="shared" si="1"/>
        <v>0</v>
      </c>
      <c r="M64" s="334"/>
      <c r="N64" s="158">
        <f t="shared" si="2"/>
        <v>0</v>
      </c>
      <c r="O64" s="158">
        <f t="shared" si="3"/>
        <v>0</v>
      </c>
      <c r="P64" s="4"/>
    </row>
    <row r="65" spans="2:16">
      <c r="B65" s="9" t="str">
        <f t="shared" si="4"/>
        <v/>
      </c>
      <c r="C65" s="153">
        <f>IF(D11="","-",+C64+1)</f>
        <v>2064</v>
      </c>
      <c r="D65" s="159">
        <f>IF(F64+SUM(E$17:E64)=D$10,F64,D$10-SUM(E$17:E64))</f>
        <v>0</v>
      </c>
      <c r="E65" s="160">
        <f>IF(+I14&lt;F64,I14,D65)</f>
        <v>0</v>
      </c>
      <c r="F65" s="159">
        <f t="shared" si="5"/>
        <v>0</v>
      </c>
      <c r="G65" s="163">
        <f t="shared" si="8"/>
        <v>0</v>
      </c>
      <c r="H65" s="142">
        <f t="shared" si="9"/>
        <v>0</v>
      </c>
      <c r="I65" s="156">
        <f t="shared" si="0"/>
        <v>0</v>
      </c>
      <c r="J65" s="156"/>
      <c r="K65" s="334"/>
      <c r="L65" s="158">
        <f t="shared" si="1"/>
        <v>0</v>
      </c>
      <c r="M65" s="334"/>
      <c r="N65" s="158">
        <f t="shared" si="2"/>
        <v>0</v>
      </c>
      <c r="O65" s="158">
        <f t="shared" si="3"/>
        <v>0</v>
      </c>
      <c r="P65" s="4"/>
    </row>
    <row r="66" spans="2:16">
      <c r="B66" s="9" t="str">
        <f t="shared" si="4"/>
        <v/>
      </c>
      <c r="C66" s="153">
        <f>IF(D11="","-",+C65+1)</f>
        <v>2065</v>
      </c>
      <c r="D66" s="159">
        <f>IF(F65+SUM(E$17:E65)=D$10,F65,D$10-SUM(E$17:E65))</f>
        <v>0</v>
      </c>
      <c r="E66" s="160">
        <f>IF(+I14&lt;F65,I14,D66)</f>
        <v>0</v>
      </c>
      <c r="F66" s="159">
        <f t="shared" si="5"/>
        <v>0</v>
      </c>
      <c r="G66" s="163">
        <f t="shared" si="8"/>
        <v>0</v>
      </c>
      <c r="H66" s="142">
        <f t="shared" si="9"/>
        <v>0</v>
      </c>
      <c r="I66" s="156">
        <f t="shared" si="0"/>
        <v>0</v>
      </c>
      <c r="J66" s="156"/>
      <c r="K66" s="334"/>
      <c r="L66" s="158">
        <f t="shared" si="1"/>
        <v>0</v>
      </c>
      <c r="M66" s="334"/>
      <c r="N66" s="158">
        <f t="shared" si="2"/>
        <v>0</v>
      </c>
      <c r="O66" s="158">
        <f t="shared" si="3"/>
        <v>0</v>
      </c>
      <c r="P66" s="4"/>
    </row>
    <row r="67" spans="2:16">
      <c r="B67" s="9" t="str">
        <f t="shared" si="4"/>
        <v/>
      </c>
      <c r="C67" s="153">
        <f>IF(D11="","-",+C66+1)</f>
        <v>2066</v>
      </c>
      <c r="D67" s="159">
        <f>IF(F66+SUM(E$17:E66)=D$10,F66,D$10-SUM(E$17:E66))</f>
        <v>0</v>
      </c>
      <c r="E67" s="160">
        <f>IF(+I14&lt;F66,I14,D67)</f>
        <v>0</v>
      </c>
      <c r="F67" s="159">
        <f t="shared" si="5"/>
        <v>0</v>
      </c>
      <c r="G67" s="163">
        <f t="shared" si="8"/>
        <v>0</v>
      </c>
      <c r="H67" s="142">
        <f t="shared" si="9"/>
        <v>0</v>
      </c>
      <c r="I67" s="156">
        <f t="shared" si="0"/>
        <v>0</v>
      </c>
      <c r="J67" s="156"/>
      <c r="K67" s="334"/>
      <c r="L67" s="158">
        <f t="shared" si="1"/>
        <v>0</v>
      </c>
      <c r="M67" s="334"/>
      <c r="N67" s="158">
        <f t="shared" si="2"/>
        <v>0</v>
      </c>
      <c r="O67" s="158">
        <f t="shared" si="3"/>
        <v>0</v>
      </c>
      <c r="P67" s="4"/>
    </row>
    <row r="68" spans="2:16">
      <c r="B68" s="9" t="str">
        <f t="shared" si="4"/>
        <v/>
      </c>
      <c r="C68" s="153">
        <f>IF(D11="","-",+C67+1)</f>
        <v>2067</v>
      </c>
      <c r="D68" s="159">
        <f>IF(F67+SUM(E$17:E67)=D$10,F67,D$10-SUM(E$17:E67))</f>
        <v>0</v>
      </c>
      <c r="E68" s="160">
        <f>IF(+I14&lt;F67,I14,D68)</f>
        <v>0</v>
      </c>
      <c r="F68" s="159">
        <f t="shared" si="5"/>
        <v>0</v>
      </c>
      <c r="G68" s="163">
        <f t="shared" si="8"/>
        <v>0</v>
      </c>
      <c r="H68" s="142">
        <f t="shared" si="9"/>
        <v>0</v>
      </c>
      <c r="I68" s="156">
        <f t="shared" si="0"/>
        <v>0</v>
      </c>
      <c r="J68" s="156"/>
      <c r="K68" s="334"/>
      <c r="L68" s="158">
        <f t="shared" si="1"/>
        <v>0</v>
      </c>
      <c r="M68" s="334"/>
      <c r="N68" s="158">
        <f t="shared" si="2"/>
        <v>0</v>
      </c>
      <c r="O68" s="158">
        <f t="shared" si="3"/>
        <v>0</v>
      </c>
      <c r="P68" s="4"/>
    </row>
    <row r="69" spans="2:16">
      <c r="B69" s="9" t="str">
        <f t="shared" si="4"/>
        <v/>
      </c>
      <c r="C69" s="153">
        <f>IF(D11="","-",+C68+1)</f>
        <v>2068</v>
      </c>
      <c r="D69" s="159">
        <f>IF(F68+SUM(E$17:E68)=D$10,F68,D$10-SUM(E$17:E68))</f>
        <v>0</v>
      </c>
      <c r="E69" s="160">
        <f>IF(+I14&lt;F68,I14,D69)</f>
        <v>0</v>
      </c>
      <c r="F69" s="159">
        <f t="shared" si="5"/>
        <v>0</v>
      </c>
      <c r="G69" s="163">
        <f t="shared" si="8"/>
        <v>0</v>
      </c>
      <c r="H69" s="142">
        <f t="shared" si="9"/>
        <v>0</v>
      </c>
      <c r="I69" s="156">
        <f t="shared" si="0"/>
        <v>0</v>
      </c>
      <c r="J69" s="156"/>
      <c r="K69" s="334"/>
      <c r="L69" s="158">
        <f t="shared" si="1"/>
        <v>0</v>
      </c>
      <c r="M69" s="334"/>
      <c r="N69" s="158">
        <f t="shared" si="2"/>
        <v>0</v>
      </c>
      <c r="O69" s="158">
        <f t="shared" si="3"/>
        <v>0</v>
      </c>
      <c r="P69" s="4"/>
    </row>
    <row r="70" spans="2:16">
      <c r="B70" s="9" t="str">
        <f t="shared" si="4"/>
        <v/>
      </c>
      <c r="C70" s="153">
        <f>IF(D11="","-",+C69+1)</f>
        <v>2069</v>
      </c>
      <c r="D70" s="159">
        <f>IF(F69+SUM(E$17:E69)=D$10,F69,D$10-SUM(E$17:E69))</f>
        <v>0</v>
      </c>
      <c r="E70" s="160">
        <f>IF(+I14&lt;F69,I14,D70)</f>
        <v>0</v>
      </c>
      <c r="F70" s="159">
        <f t="shared" si="5"/>
        <v>0</v>
      </c>
      <c r="G70" s="163">
        <f t="shared" si="8"/>
        <v>0</v>
      </c>
      <c r="H70" s="142">
        <f t="shared" si="9"/>
        <v>0</v>
      </c>
      <c r="I70" s="156">
        <f t="shared" si="0"/>
        <v>0</v>
      </c>
      <c r="J70" s="156"/>
      <c r="K70" s="334"/>
      <c r="L70" s="158">
        <f t="shared" si="1"/>
        <v>0</v>
      </c>
      <c r="M70" s="334"/>
      <c r="N70" s="158">
        <f t="shared" si="2"/>
        <v>0</v>
      </c>
      <c r="O70" s="158">
        <f t="shared" si="3"/>
        <v>0</v>
      </c>
      <c r="P70" s="4"/>
    </row>
    <row r="71" spans="2:16">
      <c r="B71" s="9" t="str">
        <f t="shared" si="4"/>
        <v/>
      </c>
      <c r="C71" s="153">
        <f>IF(D11="","-",+C70+1)</f>
        <v>2070</v>
      </c>
      <c r="D71" s="159">
        <f>IF(F70+SUM(E$17:E70)=D$10,F70,D$10-SUM(E$17:E70))</f>
        <v>0</v>
      </c>
      <c r="E71" s="160">
        <f>IF(+I14&lt;F70,I14,D71)</f>
        <v>0</v>
      </c>
      <c r="F71" s="159">
        <f t="shared" si="5"/>
        <v>0</v>
      </c>
      <c r="G71" s="163">
        <f t="shared" si="8"/>
        <v>0</v>
      </c>
      <c r="H71" s="142">
        <f t="shared" si="9"/>
        <v>0</v>
      </c>
      <c r="I71" s="156">
        <f t="shared" si="0"/>
        <v>0</v>
      </c>
      <c r="J71" s="156"/>
      <c r="K71" s="334"/>
      <c r="L71" s="158">
        <f t="shared" si="1"/>
        <v>0</v>
      </c>
      <c r="M71" s="334"/>
      <c r="N71" s="158">
        <f t="shared" si="2"/>
        <v>0</v>
      </c>
      <c r="O71" s="158">
        <f t="shared" si="3"/>
        <v>0</v>
      </c>
      <c r="P71" s="4"/>
    </row>
    <row r="72" spans="2:16" ht="13.5" thickBot="1">
      <c r="B72" s="9" t="str">
        <f t="shared" si="4"/>
        <v/>
      </c>
      <c r="C72" s="164">
        <f>IF(D11="","-",+C71+1)</f>
        <v>2071</v>
      </c>
      <c r="D72" s="165">
        <f>IF(F71+SUM(E$17:E71)=D$10,F71,D$10-SUM(E$17:E71))</f>
        <v>0</v>
      </c>
      <c r="E72" s="166">
        <f>IF(+I14&lt;F71,I14,D72)</f>
        <v>0</v>
      </c>
      <c r="F72" s="165">
        <f t="shared" si="5"/>
        <v>0</v>
      </c>
      <c r="G72" s="167">
        <f t="shared" si="8"/>
        <v>0</v>
      </c>
      <c r="H72" s="124">
        <f t="shared" si="9"/>
        <v>0</v>
      </c>
      <c r="I72" s="168">
        <f t="shared" si="0"/>
        <v>0</v>
      </c>
      <c r="J72" s="156"/>
      <c r="K72" s="335"/>
      <c r="L72" s="169">
        <f t="shared" si="1"/>
        <v>0</v>
      </c>
      <c r="M72" s="335"/>
      <c r="N72" s="169">
        <f t="shared" si="2"/>
        <v>0</v>
      </c>
      <c r="O72" s="169">
        <f t="shared" si="3"/>
        <v>0</v>
      </c>
      <c r="P72" s="4"/>
    </row>
    <row r="73" spans="2:16">
      <c r="C73" s="154" t="s">
        <v>73</v>
      </c>
      <c r="D73" s="111"/>
      <c r="E73" s="111">
        <f>SUM(E17:E72)</f>
        <v>25217060</v>
      </c>
      <c r="F73" s="111"/>
      <c r="G73" s="111">
        <f>SUM(G17:G72)</f>
        <v>81787982.496177316</v>
      </c>
      <c r="H73" s="111">
        <f>SUM(H17:H72)</f>
        <v>81787982.496177316</v>
      </c>
      <c r="I73" s="111">
        <f>SUM(I17:I72)</f>
        <v>0</v>
      </c>
      <c r="J73" s="111"/>
      <c r="K73" s="111"/>
      <c r="L73" s="111"/>
      <c r="M73" s="111"/>
      <c r="N73" s="111"/>
      <c r="O73" s="4"/>
      <c r="P73" s="4"/>
    </row>
    <row r="74" spans="2:16">
      <c r="D74" s="2"/>
      <c r="E74" s="1"/>
      <c r="F74" s="1"/>
      <c r="G74" s="1"/>
      <c r="H74" s="3"/>
      <c r="I74" s="3"/>
      <c r="J74" s="111"/>
      <c r="K74" s="3"/>
      <c r="L74" s="3"/>
      <c r="M74" s="3"/>
      <c r="N74" s="3"/>
      <c r="O74" s="1"/>
      <c r="P74" s="1"/>
    </row>
    <row r="75" spans="2:16">
      <c r="C75" s="170" t="s">
        <v>91</v>
      </c>
      <c r="D75" s="2"/>
      <c r="E75" s="1"/>
      <c r="F75" s="1"/>
      <c r="G75" s="1"/>
      <c r="H75" s="3"/>
      <c r="I75" s="3"/>
      <c r="J75" s="111"/>
      <c r="K75" s="3"/>
      <c r="L75" s="3"/>
      <c r="M75" s="3"/>
      <c r="N75" s="3"/>
      <c r="O75" s="1"/>
      <c r="P75" s="1"/>
    </row>
    <row r="76" spans="2:16">
      <c r="C76" s="121" t="s">
        <v>74</v>
      </c>
      <c r="D76" s="2"/>
      <c r="E76" s="1"/>
      <c r="F76" s="1"/>
      <c r="G76" s="1"/>
      <c r="H76" s="3"/>
      <c r="I76" s="3"/>
      <c r="J76" s="111"/>
      <c r="K76" s="3"/>
      <c r="L76" s="3"/>
      <c r="M76" s="3"/>
      <c r="N76" s="3"/>
      <c r="O76" s="4"/>
      <c r="P76" s="4"/>
    </row>
    <row r="77" spans="2:16">
      <c r="C77" s="121" t="s">
        <v>75</v>
      </c>
      <c r="D77" s="154"/>
      <c r="E77" s="154"/>
      <c r="F77" s="154"/>
      <c r="G77" s="111"/>
      <c r="H77" s="111"/>
      <c r="I77" s="171"/>
      <c r="J77" s="171"/>
      <c r="K77" s="171"/>
      <c r="L77" s="171"/>
      <c r="M77" s="171"/>
      <c r="N77" s="171"/>
      <c r="O77" s="4"/>
      <c r="P77" s="4"/>
    </row>
    <row r="78" spans="2:16">
      <c r="C78" s="121"/>
      <c r="D78" s="154"/>
      <c r="E78" s="154"/>
      <c r="F78" s="154"/>
      <c r="G78" s="111"/>
      <c r="H78" s="111"/>
      <c r="I78" s="171"/>
      <c r="J78" s="171"/>
      <c r="K78" s="171"/>
      <c r="L78" s="171"/>
      <c r="M78" s="171"/>
      <c r="N78" s="171"/>
      <c r="O78" s="4"/>
      <c r="P78" s="1"/>
    </row>
    <row r="79" spans="2:16">
      <c r="B79" s="1"/>
      <c r="C79" s="21"/>
      <c r="D79" s="2"/>
      <c r="E79" s="1"/>
      <c r="F79" s="107"/>
      <c r="G79" s="1"/>
      <c r="H79" s="3"/>
      <c r="I79" s="1"/>
      <c r="J79" s="4"/>
      <c r="K79" s="1"/>
      <c r="L79" s="1"/>
      <c r="M79" s="1"/>
      <c r="N79" s="1"/>
      <c r="O79" s="1"/>
      <c r="P79" s="1"/>
    </row>
    <row r="80" spans="2:16" ht="18">
      <c r="B80" s="1"/>
      <c r="C80" s="242"/>
      <c r="D80" s="2"/>
      <c r="E80" s="1"/>
      <c r="F80" s="107"/>
      <c r="G80" s="1"/>
      <c r="H80" s="3"/>
      <c r="I80" s="1"/>
      <c r="J80" s="4"/>
      <c r="K80" s="1"/>
      <c r="L80" s="1"/>
      <c r="M80" s="1"/>
      <c r="N80" s="1"/>
      <c r="P80" s="244" t="s">
        <v>125</v>
      </c>
    </row>
    <row r="81" spans="1:16">
      <c r="B81" s="1"/>
      <c r="C81" s="21"/>
      <c r="D81" s="2"/>
      <c r="E81" s="1"/>
      <c r="F81" s="107"/>
      <c r="G81" s="1"/>
      <c r="H81" s="3"/>
      <c r="I81" s="1"/>
      <c r="J81" s="4"/>
      <c r="K81" s="1"/>
      <c r="L81" s="1"/>
      <c r="M81" s="1"/>
      <c r="N81" s="1"/>
      <c r="O81" s="1"/>
      <c r="P81" s="1"/>
    </row>
    <row r="82" spans="1:16">
      <c r="B82" s="1"/>
      <c r="C82" s="21"/>
      <c r="D82" s="2"/>
      <c r="E82" s="1"/>
      <c r="F82" s="107"/>
      <c r="G82" s="1"/>
      <c r="H82" s="3"/>
      <c r="I82" s="1"/>
      <c r="J82" s="4"/>
      <c r="K82" s="1"/>
      <c r="L82" s="1"/>
      <c r="M82" s="1"/>
      <c r="N82" s="1"/>
      <c r="O82" s="1"/>
      <c r="P82" s="1"/>
    </row>
    <row r="83" spans="1:16" ht="20.25">
      <c r="A83" s="243" t="s">
        <v>129</v>
      </c>
      <c r="B83" s="1"/>
      <c r="C83" s="21"/>
      <c r="D83" s="2"/>
      <c r="E83" s="1"/>
      <c r="F83" s="99"/>
      <c r="G83" s="99"/>
      <c r="H83" s="1"/>
      <c r="I83" s="3"/>
      <c r="K83" s="7"/>
      <c r="L83" s="109"/>
      <c r="M83" s="109"/>
      <c r="P83" s="109" t="str">
        <f ca="1">P1</f>
        <v>SWEPCO Project 58 of 73</v>
      </c>
    </row>
    <row r="84" spans="1:16" ht="18">
      <c r="B84" s="1"/>
      <c r="C84" s="1"/>
      <c r="D84" s="2"/>
      <c r="E84" s="1"/>
      <c r="F84" s="1"/>
      <c r="G84" s="1"/>
      <c r="H84" s="1"/>
      <c r="I84" s="3"/>
      <c r="J84" s="1"/>
      <c r="K84" s="4"/>
      <c r="L84" s="1"/>
      <c r="M84" s="1"/>
      <c r="P84" s="244" t="s">
        <v>123</v>
      </c>
    </row>
    <row r="85" spans="1:16" ht="18.75" thickBot="1">
      <c r="B85" s="5" t="s">
        <v>40</v>
      </c>
      <c r="C85" s="197" t="s">
        <v>78</v>
      </c>
      <c r="D85" s="2"/>
      <c r="E85" s="1"/>
      <c r="F85" s="1"/>
      <c r="G85" s="1"/>
      <c r="H85" s="1"/>
      <c r="I85" s="3"/>
      <c r="J85" s="3"/>
      <c r="K85" s="111"/>
      <c r="L85" s="3"/>
      <c r="M85" s="3"/>
      <c r="N85" s="3"/>
      <c r="O85" s="111"/>
      <c r="P85" s="1"/>
    </row>
    <row r="86" spans="1:16" ht="15.75" thickBot="1">
      <c r="C86" s="67"/>
      <c r="D86" s="2"/>
      <c r="E86" s="1"/>
      <c r="F86" s="1"/>
      <c r="G86" s="1"/>
      <c r="H86" s="1"/>
      <c r="I86" s="3"/>
      <c r="J86" s="3"/>
      <c r="K86" s="111"/>
      <c r="L86" s="265">
        <f>+J92</f>
        <v>2017</v>
      </c>
      <c r="M86" s="266" t="s">
        <v>7</v>
      </c>
      <c r="N86" s="270" t="s">
        <v>154</v>
      </c>
      <c r="O86" s="267" t="s">
        <v>9</v>
      </c>
      <c r="P86" s="1"/>
    </row>
    <row r="87" spans="1:16" ht="15">
      <c r="C87" s="235" t="s">
        <v>42</v>
      </c>
      <c r="D87" s="2"/>
      <c r="E87" s="1"/>
      <c r="F87" s="1"/>
      <c r="G87" s="1"/>
      <c r="H87" s="113"/>
      <c r="I87" s="1" t="s">
        <v>43</v>
      </c>
      <c r="J87" s="1"/>
      <c r="K87" s="261"/>
      <c r="L87" s="259" t="s">
        <v>381</v>
      </c>
      <c r="M87" s="198">
        <f>IF(J92&lt;D11,0,VLOOKUP(J92,C17:O72,9))</f>
        <v>3640059.7914396082</v>
      </c>
      <c r="N87" s="198">
        <f>IF(J92&lt;D11,0,VLOOKUP(J92,C17:O72,11))</f>
        <v>3640059.7914396082</v>
      </c>
      <c r="O87" s="199">
        <f>+N87-M87</f>
        <v>0</v>
      </c>
      <c r="P87" s="1"/>
    </row>
    <row r="88" spans="1:16" ht="15.75">
      <c r="C88" s="8"/>
      <c r="D88" s="2"/>
      <c r="E88" s="1"/>
      <c r="F88" s="1"/>
      <c r="G88" s="1"/>
      <c r="H88" s="1"/>
      <c r="I88" s="117"/>
      <c r="J88" s="117"/>
      <c r="K88" s="263"/>
      <c r="L88" s="264" t="s">
        <v>382</v>
      </c>
      <c r="M88" s="200">
        <f>IF(J92&lt;D11,0,VLOOKUP(J92,C99:P154,6))</f>
        <v>3608545.5012496901</v>
      </c>
      <c r="N88" s="200">
        <f>IF(J92&lt;D11,0,VLOOKUP(J92,C99:P154,7))</f>
        <v>3608545.5012496901</v>
      </c>
      <c r="O88" s="201">
        <f>+N88-M88</f>
        <v>0</v>
      </c>
      <c r="P88" s="1"/>
    </row>
    <row r="89" spans="1:16" ht="13.5" thickBot="1">
      <c r="C89" s="121" t="s">
        <v>79</v>
      </c>
      <c r="D89" s="246" t="str">
        <f>+D7</f>
        <v>Rock Hill-Springridge Pan-Harr REC 138 kv</v>
      </c>
      <c r="E89" s="1"/>
      <c r="F89" s="1"/>
      <c r="G89" s="1"/>
      <c r="H89" s="1"/>
      <c r="I89" s="3"/>
      <c r="J89" s="3"/>
      <c r="K89" s="262"/>
      <c r="L89" s="260" t="s">
        <v>151</v>
      </c>
      <c r="M89" s="203">
        <f>+M88-M87</f>
        <v>-31514.290189918131</v>
      </c>
      <c r="N89" s="203">
        <f>+N88-N87</f>
        <v>-31514.290189918131</v>
      </c>
      <c r="O89" s="204">
        <f>+O88-O87</f>
        <v>0</v>
      </c>
      <c r="P89" s="1"/>
    </row>
    <row r="90" spans="1:16" ht="13.5" thickBot="1">
      <c r="C90" s="170"/>
      <c r="D90" s="173" t="str">
        <f>D8</f>
        <v/>
      </c>
      <c r="E90" s="107"/>
      <c r="F90" s="107"/>
      <c r="G90" s="107"/>
      <c r="H90" s="126"/>
      <c r="I90" s="3"/>
      <c r="J90" s="3"/>
      <c r="K90" s="111"/>
      <c r="L90" s="3"/>
      <c r="M90" s="3"/>
      <c r="N90" s="3"/>
      <c r="O90" s="111"/>
      <c r="P90" s="1"/>
    </row>
    <row r="91" spans="1:16" ht="13.5" thickBot="1">
      <c r="A91" s="103"/>
      <c r="C91" s="205" t="s">
        <v>80</v>
      </c>
      <c r="D91" s="224" t="str">
        <f>+D9</f>
        <v>TP______</v>
      </c>
      <c r="E91" s="206"/>
      <c r="F91" s="206"/>
      <c r="G91" s="206"/>
      <c r="H91" s="206"/>
      <c r="I91" s="206"/>
      <c r="J91" s="206"/>
      <c r="K91" s="207"/>
      <c r="P91" s="131"/>
    </row>
    <row r="92" spans="1:16">
      <c r="C92" s="136" t="s">
        <v>47</v>
      </c>
      <c r="D92" s="133">
        <v>25330929</v>
      </c>
      <c r="E92" s="21" t="s">
        <v>81</v>
      </c>
      <c r="H92" s="134"/>
      <c r="I92" s="134"/>
      <c r="J92" s="135">
        <f>+'SWE.WS.G.BPU.ATRR.True-up'!M15</f>
        <v>2017</v>
      </c>
      <c r="K92" s="130"/>
      <c r="L92" s="111" t="s">
        <v>82</v>
      </c>
      <c r="P92" s="4"/>
    </row>
    <row r="93" spans="1:16">
      <c r="C93" s="136" t="s">
        <v>49</v>
      </c>
      <c r="D93" s="219">
        <f>IF(D11=I10,"",D11)</f>
        <v>2016</v>
      </c>
      <c r="E93" s="136" t="s">
        <v>50</v>
      </c>
      <c r="F93" s="134"/>
      <c r="G93" s="134"/>
      <c r="J93" s="138">
        <f>IF(H87="",0,'SWE.WS.G.BPU.ATRR.True-up'!$F$12)</f>
        <v>0</v>
      </c>
      <c r="K93" s="139"/>
      <c r="L93" t="str">
        <f>"          INPUT TRUE-UP ARR (WITH &amp; WITHOUT INCENTIVES) FROM EACH PRIOR YEAR"</f>
        <v xml:space="preserve">          INPUT TRUE-UP ARR (WITH &amp; WITHOUT INCENTIVES) FROM EACH PRIOR YEAR</v>
      </c>
      <c r="P93" s="4"/>
    </row>
    <row r="94" spans="1:16">
      <c r="C94" s="136" t="s">
        <v>51</v>
      </c>
      <c r="D94" s="218">
        <f>IF(D11=I10,"",D12)</f>
        <v>9</v>
      </c>
      <c r="E94" s="136" t="s">
        <v>52</v>
      </c>
      <c r="F94" s="134"/>
      <c r="G94" s="134"/>
      <c r="J94" s="140">
        <f>'SWE.WS.G.BPU.ATRR.True-up'!$F$80</f>
        <v>0.12147145768398206</v>
      </c>
      <c r="K94" s="141"/>
      <c r="L94" t="s">
        <v>83</v>
      </c>
      <c r="P94" s="4"/>
    </row>
    <row r="95" spans="1:16">
      <c r="C95" s="136" t="s">
        <v>54</v>
      </c>
      <c r="D95" s="138">
        <f>'SWE.WS.G.BPU.ATRR.True-up'!F$92</f>
        <v>42</v>
      </c>
      <c r="E95" s="136" t="s">
        <v>55</v>
      </c>
      <c r="F95" s="134"/>
      <c r="G95" s="134"/>
      <c r="J95" s="140">
        <f>IF(H87="",J94,'SWE.WS.G.BPU.ATRR.True-up'!$F$79)</f>
        <v>0.12147145768398206</v>
      </c>
      <c r="K95" s="58"/>
      <c r="L95" s="111" t="s">
        <v>56</v>
      </c>
      <c r="M95" s="58"/>
      <c r="N95" s="58"/>
      <c r="O95" s="58"/>
      <c r="P95" s="4"/>
    </row>
    <row r="96" spans="1:16" ht="13.5" thickBot="1">
      <c r="C96" s="136" t="s">
        <v>57</v>
      </c>
      <c r="D96" s="220" t="str">
        <f>+D14</f>
        <v>No</v>
      </c>
      <c r="E96" s="202" t="s">
        <v>59</v>
      </c>
      <c r="F96" s="208"/>
      <c r="G96" s="208"/>
      <c r="H96" s="209"/>
      <c r="I96" s="209"/>
      <c r="J96" s="124">
        <f>IF(D92=0,0,D92/D95)</f>
        <v>603117.35714285716</v>
      </c>
      <c r="K96" s="111"/>
      <c r="L96" s="111"/>
      <c r="M96" s="111"/>
      <c r="N96" s="111"/>
      <c r="O96" s="111"/>
      <c r="P96" s="4"/>
    </row>
    <row r="97" spans="1:16" ht="38.25">
      <c r="A97" s="6"/>
      <c r="B97" s="6"/>
      <c r="C97" s="210" t="s">
        <v>47</v>
      </c>
      <c r="D97" s="211" t="s">
        <v>60</v>
      </c>
      <c r="E97" s="146" t="s">
        <v>61</v>
      </c>
      <c r="F97" s="146" t="s">
        <v>62</v>
      </c>
      <c r="G97" s="144" t="s">
        <v>84</v>
      </c>
      <c r="H97" s="434" t="s">
        <v>378</v>
      </c>
      <c r="I97" s="435" t="s">
        <v>379</v>
      </c>
      <c r="J97" s="210" t="s">
        <v>85</v>
      </c>
      <c r="K97" s="212"/>
      <c r="L97" s="271" t="s">
        <v>220</v>
      </c>
      <c r="M97" s="146" t="s">
        <v>86</v>
      </c>
      <c r="N97" s="271" t="s">
        <v>220</v>
      </c>
      <c r="O97" s="146" t="s">
        <v>86</v>
      </c>
      <c r="P97" s="146" t="s">
        <v>65</v>
      </c>
    </row>
    <row r="98" spans="1:16" ht="13.5" thickBot="1">
      <c r="C98" s="147" t="s">
        <v>66</v>
      </c>
      <c r="D98" s="213" t="s">
        <v>67</v>
      </c>
      <c r="E98" s="147" t="s">
        <v>68</v>
      </c>
      <c r="F98" s="147" t="s">
        <v>67</v>
      </c>
      <c r="G98" s="147" t="s">
        <v>67</v>
      </c>
      <c r="H98" s="407" t="s">
        <v>69</v>
      </c>
      <c r="I98" s="148" t="s">
        <v>70</v>
      </c>
      <c r="J98" s="149" t="s">
        <v>89</v>
      </c>
      <c r="K98" s="150"/>
      <c r="L98" s="151" t="s">
        <v>72</v>
      </c>
      <c r="M98" s="151" t="s">
        <v>72</v>
      </c>
      <c r="N98" s="151" t="s">
        <v>90</v>
      </c>
      <c r="O98" s="151" t="s">
        <v>90</v>
      </c>
      <c r="P98" s="151" t="s">
        <v>90</v>
      </c>
    </row>
    <row r="99" spans="1:16">
      <c r="C99" s="153">
        <f>IF(D93= "","-",D93)</f>
        <v>2016</v>
      </c>
      <c r="D99" s="387">
        <v>0</v>
      </c>
      <c r="E99" s="390">
        <v>287523.95348837209</v>
      </c>
      <c r="F99" s="389">
        <v>24439536.046511628</v>
      </c>
      <c r="G99" s="455">
        <v>12219768.023255814</v>
      </c>
      <c r="H99" s="456">
        <v>1838823.3609271972</v>
      </c>
      <c r="I99" s="457">
        <v>1838823.3609271972</v>
      </c>
      <c r="J99" s="458">
        <v>0</v>
      </c>
      <c r="K99" s="158"/>
      <c r="L99" s="256">
        <v>1838823.3609271972</v>
      </c>
      <c r="M99" s="172">
        <v>0</v>
      </c>
      <c r="N99" s="256">
        <v>1838823.3609271972</v>
      </c>
      <c r="O99" s="172">
        <v>0</v>
      </c>
      <c r="P99" s="172">
        <v>0</v>
      </c>
    </row>
    <row r="100" spans="1:16">
      <c r="B100" s="9" t="str">
        <f>IF(D100=F99,"","IU")</f>
        <v>IU</v>
      </c>
      <c r="C100" s="153">
        <f>IF(D93="","-",+C99+1)</f>
        <v>2017</v>
      </c>
      <c r="D100" s="154">
        <f>IF(F99+SUM(E$99:E99)=D$92,F99,D$92-SUM(E$99:E99))</f>
        <v>25043405.046511628</v>
      </c>
      <c r="E100" s="160">
        <f>IF(+J96&lt;F99,J96,D100)</f>
        <v>603117.35714285716</v>
      </c>
      <c r="F100" s="159">
        <f t="shared" ref="F100:F130" si="10">+D100-E100</f>
        <v>24440287.68936877</v>
      </c>
      <c r="G100" s="159">
        <f t="shared" ref="G100:G130" si="11">+(F100+D100)/2</f>
        <v>24741846.367940199</v>
      </c>
      <c r="H100" s="163">
        <f t="shared" ref="H100:H154" si="12">+J$94*G100+E100</f>
        <v>3608545.5012496901</v>
      </c>
      <c r="I100" s="253">
        <f t="shared" ref="I100:I154" si="13">+J$95*G100+E100</f>
        <v>3608545.5012496901</v>
      </c>
      <c r="J100" s="158">
        <f t="shared" ref="J100:J130" si="14">+I100-H100</f>
        <v>0</v>
      </c>
      <c r="K100" s="158"/>
      <c r="L100" s="334"/>
      <c r="M100" s="158">
        <f t="shared" ref="M100:M130" si="15">IF(L100&lt;&gt;0,+H100-L100,0)</f>
        <v>0</v>
      </c>
      <c r="N100" s="334"/>
      <c r="O100" s="158">
        <f t="shared" ref="O100:O130" si="16">IF(N100&lt;&gt;0,+I100-N100,0)</f>
        <v>0</v>
      </c>
      <c r="P100" s="158">
        <f t="shared" ref="P100:P130" si="17">+O100-M100</f>
        <v>0</v>
      </c>
    </row>
    <row r="101" spans="1:16">
      <c r="B101" s="9" t="str">
        <f t="shared" ref="B101:B154" si="18">IF(D101=F100,"","IU")</f>
        <v/>
      </c>
      <c r="C101" s="153">
        <f>IF(D93="","-",+C100+1)</f>
        <v>2018</v>
      </c>
      <c r="D101" s="154">
        <f>IF(F100+SUM(E$99:E100)=D$92,F100,D$92-SUM(E$99:E100))</f>
        <v>24440287.68936877</v>
      </c>
      <c r="E101" s="160">
        <f>IF(+J96&lt;F100,J96,D101)</f>
        <v>603117.35714285716</v>
      </c>
      <c r="F101" s="159">
        <f t="shared" si="10"/>
        <v>23837170.332225911</v>
      </c>
      <c r="G101" s="159">
        <f t="shared" si="11"/>
        <v>24138729.01079734</v>
      </c>
      <c r="H101" s="163">
        <f t="shared" si="12"/>
        <v>3535283.9567230362</v>
      </c>
      <c r="I101" s="253">
        <f t="shared" si="13"/>
        <v>3535283.9567230362</v>
      </c>
      <c r="J101" s="158">
        <f t="shared" si="14"/>
        <v>0</v>
      </c>
      <c r="K101" s="158"/>
      <c r="L101" s="334"/>
      <c r="M101" s="158">
        <f t="shared" si="15"/>
        <v>0</v>
      </c>
      <c r="N101" s="334"/>
      <c r="O101" s="158">
        <f t="shared" si="16"/>
        <v>0</v>
      </c>
      <c r="P101" s="158">
        <f t="shared" si="17"/>
        <v>0</v>
      </c>
    </row>
    <row r="102" spans="1:16">
      <c r="B102" s="9" t="str">
        <f t="shared" si="18"/>
        <v/>
      </c>
      <c r="C102" s="153">
        <f>IF(D93="","-",+C101+1)</f>
        <v>2019</v>
      </c>
      <c r="D102" s="154">
        <f>IF(F101+SUM(E$99:E101)=D$92,F101,D$92-SUM(E$99:E101))</f>
        <v>23837170.332225911</v>
      </c>
      <c r="E102" s="160">
        <f>IF(+J96&lt;F101,J96,D102)</f>
        <v>603117.35714285716</v>
      </c>
      <c r="F102" s="159">
        <f t="shared" si="10"/>
        <v>23234052.975083053</v>
      </c>
      <c r="G102" s="159">
        <f t="shared" si="11"/>
        <v>23535611.653654482</v>
      </c>
      <c r="H102" s="163">
        <f t="shared" si="12"/>
        <v>3462022.4121963829</v>
      </c>
      <c r="I102" s="253">
        <f t="shared" si="13"/>
        <v>3462022.4121963829</v>
      </c>
      <c r="J102" s="158">
        <f t="shared" si="14"/>
        <v>0</v>
      </c>
      <c r="K102" s="158"/>
      <c r="L102" s="334"/>
      <c r="M102" s="158">
        <f t="shared" si="15"/>
        <v>0</v>
      </c>
      <c r="N102" s="334"/>
      <c r="O102" s="158">
        <f t="shared" si="16"/>
        <v>0</v>
      </c>
      <c r="P102" s="158">
        <f t="shared" si="17"/>
        <v>0</v>
      </c>
    </row>
    <row r="103" spans="1:16">
      <c r="B103" s="9" t="str">
        <f t="shared" si="18"/>
        <v/>
      </c>
      <c r="C103" s="153">
        <f>IF(D93="","-",+C102+1)</f>
        <v>2020</v>
      </c>
      <c r="D103" s="154">
        <f>IF(F102+SUM(E$99:E102)=D$92,F102,D$92-SUM(E$99:E102))</f>
        <v>23234052.975083053</v>
      </c>
      <c r="E103" s="160">
        <f>IF(+J96&lt;F102,J96,D103)</f>
        <v>603117.35714285716</v>
      </c>
      <c r="F103" s="159">
        <f t="shared" si="10"/>
        <v>22630935.617940195</v>
      </c>
      <c r="G103" s="159">
        <f t="shared" si="11"/>
        <v>22932494.296511624</v>
      </c>
      <c r="H103" s="163">
        <f t="shared" si="12"/>
        <v>3388760.8676697291</v>
      </c>
      <c r="I103" s="253">
        <f t="shared" si="13"/>
        <v>3388760.8676697291</v>
      </c>
      <c r="J103" s="158">
        <f t="shared" si="14"/>
        <v>0</v>
      </c>
      <c r="K103" s="158"/>
      <c r="L103" s="334"/>
      <c r="M103" s="158">
        <f t="shared" si="15"/>
        <v>0</v>
      </c>
      <c r="N103" s="334"/>
      <c r="O103" s="158">
        <f t="shared" si="16"/>
        <v>0</v>
      </c>
      <c r="P103" s="158">
        <f t="shared" si="17"/>
        <v>0</v>
      </c>
    </row>
    <row r="104" spans="1:16">
      <c r="B104" s="9" t="str">
        <f t="shared" si="18"/>
        <v/>
      </c>
      <c r="C104" s="153">
        <f>IF(D93="","-",+C103+1)</f>
        <v>2021</v>
      </c>
      <c r="D104" s="154">
        <f>IF(F103+SUM(E$99:E103)=D$92,F103,D$92-SUM(E$99:E103))</f>
        <v>22630935.617940195</v>
      </c>
      <c r="E104" s="160">
        <f>IF(+J96&lt;F103,J96,D104)</f>
        <v>603117.35714285716</v>
      </c>
      <c r="F104" s="159">
        <f t="shared" si="10"/>
        <v>22027818.260797337</v>
      </c>
      <c r="G104" s="159">
        <f t="shared" si="11"/>
        <v>22329376.939368766</v>
      </c>
      <c r="H104" s="163">
        <f t="shared" si="12"/>
        <v>3315499.3231430752</v>
      </c>
      <c r="I104" s="253">
        <f t="shared" si="13"/>
        <v>3315499.3231430752</v>
      </c>
      <c r="J104" s="158">
        <f t="shared" si="14"/>
        <v>0</v>
      </c>
      <c r="K104" s="158"/>
      <c r="L104" s="334"/>
      <c r="M104" s="158">
        <f t="shared" si="15"/>
        <v>0</v>
      </c>
      <c r="N104" s="334"/>
      <c r="O104" s="158">
        <f t="shared" si="16"/>
        <v>0</v>
      </c>
      <c r="P104" s="158">
        <f t="shared" si="17"/>
        <v>0</v>
      </c>
    </row>
    <row r="105" spans="1:16">
      <c r="B105" s="9" t="str">
        <f t="shared" si="18"/>
        <v/>
      </c>
      <c r="C105" s="153">
        <f>IF(D93="","-",+C104+1)</f>
        <v>2022</v>
      </c>
      <c r="D105" s="154">
        <f>IF(F104+SUM(E$99:E104)=D$92,F104,D$92-SUM(E$99:E104))</f>
        <v>22027818.260797337</v>
      </c>
      <c r="E105" s="160">
        <f>IF(+J96&lt;F104,J96,D105)</f>
        <v>603117.35714285716</v>
      </c>
      <c r="F105" s="159">
        <f t="shared" si="10"/>
        <v>21424700.903654478</v>
      </c>
      <c r="G105" s="159">
        <f t="shared" si="11"/>
        <v>21726259.582225908</v>
      </c>
      <c r="H105" s="163">
        <f t="shared" si="12"/>
        <v>3242237.7786164214</v>
      </c>
      <c r="I105" s="253">
        <f t="shared" si="13"/>
        <v>3242237.7786164214</v>
      </c>
      <c r="J105" s="158">
        <f t="shared" si="14"/>
        <v>0</v>
      </c>
      <c r="K105" s="158"/>
      <c r="L105" s="334"/>
      <c r="M105" s="158">
        <f t="shared" si="15"/>
        <v>0</v>
      </c>
      <c r="N105" s="334"/>
      <c r="O105" s="158">
        <f t="shared" si="16"/>
        <v>0</v>
      </c>
      <c r="P105" s="158">
        <f t="shared" si="17"/>
        <v>0</v>
      </c>
    </row>
    <row r="106" spans="1:16">
      <c r="B106" s="9" t="str">
        <f t="shared" si="18"/>
        <v/>
      </c>
      <c r="C106" s="153">
        <f>IF(D93="","-",+C105+1)</f>
        <v>2023</v>
      </c>
      <c r="D106" s="154">
        <f>IF(F105+SUM(E$99:E105)=D$92,F105,D$92-SUM(E$99:E105))</f>
        <v>21424700.903654478</v>
      </c>
      <c r="E106" s="160">
        <f>IF(+J96&lt;F105,J96,D106)</f>
        <v>603117.35714285716</v>
      </c>
      <c r="F106" s="159">
        <f t="shared" si="10"/>
        <v>20821583.54651162</v>
      </c>
      <c r="G106" s="159">
        <f t="shared" si="11"/>
        <v>21123142.225083049</v>
      </c>
      <c r="H106" s="163">
        <f t="shared" si="12"/>
        <v>3168976.2340897676</v>
      </c>
      <c r="I106" s="253">
        <f t="shared" si="13"/>
        <v>3168976.2340897676</v>
      </c>
      <c r="J106" s="158">
        <f t="shared" si="14"/>
        <v>0</v>
      </c>
      <c r="K106" s="158"/>
      <c r="L106" s="334"/>
      <c r="M106" s="158">
        <f t="shared" si="15"/>
        <v>0</v>
      </c>
      <c r="N106" s="334"/>
      <c r="O106" s="158">
        <f t="shared" si="16"/>
        <v>0</v>
      </c>
      <c r="P106" s="158">
        <f t="shared" si="17"/>
        <v>0</v>
      </c>
    </row>
    <row r="107" spans="1:16">
      <c r="B107" s="9" t="str">
        <f t="shared" si="18"/>
        <v/>
      </c>
      <c r="C107" s="153">
        <f>IF(D93="","-",+C106+1)</f>
        <v>2024</v>
      </c>
      <c r="D107" s="154">
        <f>IF(F106+SUM(E$99:E106)=D$92,F106,D$92-SUM(E$99:E106))</f>
        <v>20821583.54651162</v>
      </c>
      <c r="E107" s="160">
        <f>IF(+J96&lt;F106,J96,D107)</f>
        <v>603117.35714285716</v>
      </c>
      <c r="F107" s="159">
        <f t="shared" si="10"/>
        <v>20218466.189368762</v>
      </c>
      <c r="G107" s="159">
        <f t="shared" si="11"/>
        <v>20520024.867940191</v>
      </c>
      <c r="H107" s="163">
        <f t="shared" si="12"/>
        <v>3095714.6895631137</v>
      </c>
      <c r="I107" s="253">
        <f t="shared" si="13"/>
        <v>3095714.6895631137</v>
      </c>
      <c r="J107" s="158">
        <f t="shared" si="14"/>
        <v>0</v>
      </c>
      <c r="K107" s="158"/>
      <c r="L107" s="334"/>
      <c r="M107" s="158">
        <f t="shared" si="15"/>
        <v>0</v>
      </c>
      <c r="N107" s="334"/>
      <c r="O107" s="158">
        <f t="shared" si="16"/>
        <v>0</v>
      </c>
      <c r="P107" s="158">
        <f t="shared" si="17"/>
        <v>0</v>
      </c>
    </row>
    <row r="108" spans="1:16">
      <c r="B108" s="9" t="str">
        <f t="shared" si="18"/>
        <v/>
      </c>
      <c r="C108" s="153">
        <f>IF(D93="","-",+C107+1)</f>
        <v>2025</v>
      </c>
      <c r="D108" s="154">
        <f>IF(F107+SUM(E$99:E107)=D$92,F107,D$92-SUM(E$99:E107))</f>
        <v>20218466.189368762</v>
      </c>
      <c r="E108" s="160">
        <f>IF(+J96&lt;F107,J96,D108)</f>
        <v>603117.35714285716</v>
      </c>
      <c r="F108" s="159">
        <f t="shared" si="10"/>
        <v>19615348.832225904</v>
      </c>
      <c r="G108" s="159">
        <f t="shared" si="11"/>
        <v>19916907.510797333</v>
      </c>
      <c r="H108" s="163">
        <f t="shared" si="12"/>
        <v>3022453.1450364599</v>
      </c>
      <c r="I108" s="253">
        <f t="shared" si="13"/>
        <v>3022453.1450364599</v>
      </c>
      <c r="J108" s="158">
        <f t="shared" si="14"/>
        <v>0</v>
      </c>
      <c r="K108" s="158"/>
      <c r="L108" s="334"/>
      <c r="M108" s="158">
        <f t="shared" si="15"/>
        <v>0</v>
      </c>
      <c r="N108" s="334"/>
      <c r="O108" s="158">
        <f t="shared" si="16"/>
        <v>0</v>
      </c>
      <c r="P108" s="158">
        <f t="shared" si="17"/>
        <v>0</v>
      </c>
    </row>
    <row r="109" spans="1:16">
      <c r="B109" s="9" t="str">
        <f t="shared" si="18"/>
        <v/>
      </c>
      <c r="C109" s="153">
        <f>IF(D93="","-",+C108+1)</f>
        <v>2026</v>
      </c>
      <c r="D109" s="154">
        <f>IF(F108+SUM(E$99:E108)=D$92,F108,D$92-SUM(E$99:E108))</f>
        <v>19615348.832225904</v>
      </c>
      <c r="E109" s="160">
        <f>IF(+J96&lt;F108,J96,D109)</f>
        <v>603117.35714285716</v>
      </c>
      <c r="F109" s="159">
        <f t="shared" si="10"/>
        <v>19012231.475083046</v>
      </c>
      <c r="G109" s="159">
        <f t="shared" si="11"/>
        <v>19313790.153654475</v>
      </c>
      <c r="H109" s="163">
        <f t="shared" si="12"/>
        <v>2949191.6005098061</v>
      </c>
      <c r="I109" s="253">
        <f t="shared" si="13"/>
        <v>2949191.6005098061</v>
      </c>
      <c r="J109" s="158">
        <f t="shared" si="14"/>
        <v>0</v>
      </c>
      <c r="K109" s="158"/>
      <c r="L109" s="334"/>
      <c r="M109" s="158">
        <f t="shared" si="15"/>
        <v>0</v>
      </c>
      <c r="N109" s="334"/>
      <c r="O109" s="158">
        <f t="shared" si="16"/>
        <v>0</v>
      </c>
      <c r="P109" s="158">
        <f t="shared" si="17"/>
        <v>0</v>
      </c>
    </row>
    <row r="110" spans="1:16">
      <c r="B110" s="9" t="str">
        <f t="shared" si="18"/>
        <v/>
      </c>
      <c r="C110" s="153">
        <f>IF(D93="","-",+C109+1)</f>
        <v>2027</v>
      </c>
      <c r="D110" s="154">
        <f>IF(F109+SUM(E$99:E109)=D$92,F109,D$92-SUM(E$99:E109))</f>
        <v>19012231.475083046</v>
      </c>
      <c r="E110" s="160">
        <f>IF(+J96&lt;F109,J96,D110)</f>
        <v>603117.35714285716</v>
      </c>
      <c r="F110" s="159">
        <f t="shared" si="10"/>
        <v>18409114.117940187</v>
      </c>
      <c r="G110" s="159">
        <f t="shared" si="11"/>
        <v>18710672.796511617</v>
      </c>
      <c r="H110" s="163">
        <f t="shared" si="12"/>
        <v>2875930.0559831522</v>
      </c>
      <c r="I110" s="253">
        <f t="shared" si="13"/>
        <v>2875930.0559831522</v>
      </c>
      <c r="J110" s="158">
        <f t="shared" si="14"/>
        <v>0</v>
      </c>
      <c r="K110" s="158"/>
      <c r="L110" s="334"/>
      <c r="M110" s="158">
        <f t="shared" si="15"/>
        <v>0</v>
      </c>
      <c r="N110" s="334"/>
      <c r="O110" s="158">
        <f t="shared" si="16"/>
        <v>0</v>
      </c>
      <c r="P110" s="158">
        <f t="shared" si="17"/>
        <v>0</v>
      </c>
    </row>
    <row r="111" spans="1:16">
      <c r="B111" s="9" t="str">
        <f t="shared" si="18"/>
        <v/>
      </c>
      <c r="C111" s="153">
        <f>IF(D93="","-",+C110+1)</f>
        <v>2028</v>
      </c>
      <c r="D111" s="154">
        <f>IF(F110+SUM(E$99:E110)=D$92,F110,D$92-SUM(E$99:E110))</f>
        <v>18409114.117940187</v>
      </c>
      <c r="E111" s="160">
        <f>IF(+J96&lt;F110,J96,D111)</f>
        <v>603117.35714285716</v>
      </c>
      <c r="F111" s="159">
        <f t="shared" si="10"/>
        <v>17805996.760797329</v>
      </c>
      <c r="G111" s="159">
        <f t="shared" si="11"/>
        <v>18107555.439368758</v>
      </c>
      <c r="H111" s="163">
        <f t="shared" si="12"/>
        <v>2802668.5114564984</v>
      </c>
      <c r="I111" s="253">
        <f t="shared" si="13"/>
        <v>2802668.5114564984</v>
      </c>
      <c r="J111" s="158">
        <f t="shared" si="14"/>
        <v>0</v>
      </c>
      <c r="K111" s="158"/>
      <c r="L111" s="334"/>
      <c r="M111" s="158">
        <f t="shared" si="15"/>
        <v>0</v>
      </c>
      <c r="N111" s="334"/>
      <c r="O111" s="158">
        <f t="shared" si="16"/>
        <v>0</v>
      </c>
      <c r="P111" s="158">
        <f t="shared" si="17"/>
        <v>0</v>
      </c>
    </row>
    <row r="112" spans="1:16">
      <c r="B112" s="9" t="str">
        <f t="shared" si="18"/>
        <v/>
      </c>
      <c r="C112" s="153">
        <f>IF(D93="","-",+C111+1)</f>
        <v>2029</v>
      </c>
      <c r="D112" s="154">
        <f>IF(F111+SUM(E$99:E111)=D$92,F111,D$92-SUM(E$99:E111))</f>
        <v>17805996.760797329</v>
      </c>
      <c r="E112" s="160">
        <f>IF(+J96&lt;F111,J96,D112)</f>
        <v>603117.35714285716</v>
      </c>
      <c r="F112" s="159">
        <f t="shared" si="10"/>
        <v>17202879.403654471</v>
      </c>
      <c r="G112" s="159">
        <f t="shared" si="11"/>
        <v>17504438.0822259</v>
      </c>
      <c r="H112" s="163">
        <f t="shared" si="12"/>
        <v>2729406.9669298446</v>
      </c>
      <c r="I112" s="253">
        <f t="shared" si="13"/>
        <v>2729406.9669298446</v>
      </c>
      <c r="J112" s="158">
        <f t="shared" si="14"/>
        <v>0</v>
      </c>
      <c r="K112" s="158"/>
      <c r="L112" s="334"/>
      <c r="M112" s="158">
        <f t="shared" si="15"/>
        <v>0</v>
      </c>
      <c r="N112" s="334"/>
      <c r="O112" s="158">
        <f t="shared" si="16"/>
        <v>0</v>
      </c>
      <c r="P112" s="158">
        <f t="shared" si="17"/>
        <v>0</v>
      </c>
    </row>
    <row r="113" spans="2:16">
      <c r="B113" s="9" t="str">
        <f t="shared" si="18"/>
        <v/>
      </c>
      <c r="C113" s="153">
        <f>IF(D93="","-",+C112+1)</f>
        <v>2030</v>
      </c>
      <c r="D113" s="154">
        <f>IF(F112+SUM(E$99:E112)=D$92,F112,D$92-SUM(E$99:E112))</f>
        <v>17202879.403654471</v>
      </c>
      <c r="E113" s="160">
        <f>IF(+J96&lt;F112,J96,D113)</f>
        <v>603117.35714285716</v>
      </c>
      <c r="F113" s="159">
        <f t="shared" si="10"/>
        <v>16599762.046511615</v>
      </c>
      <c r="G113" s="159">
        <f t="shared" si="11"/>
        <v>16901320.725083042</v>
      </c>
      <c r="H113" s="163">
        <f t="shared" si="12"/>
        <v>2656145.4224031908</v>
      </c>
      <c r="I113" s="253">
        <f t="shared" si="13"/>
        <v>2656145.4224031908</v>
      </c>
      <c r="J113" s="158">
        <f t="shared" si="14"/>
        <v>0</v>
      </c>
      <c r="K113" s="158"/>
      <c r="L113" s="334"/>
      <c r="M113" s="158">
        <f t="shared" si="15"/>
        <v>0</v>
      </c>
      <c r="N113" s="334"/>
      <c r="O113" s="158">
        <f t="shared" si="16"/>
        <v>0</v>
      </c>
      <c r="P113" s="158">
        <f t="shared" si="17"/>
        <v>0</v>
      </c>
    </row>
    <row r="114" spans="2:16">
      <c r="B114" s="9" t="str">
        <f t="shared" si="18"/>
        <v/>
      </c>
      <c r="C114" s="153">
        <f>IF(D93="","-",+C113+1)</f>
        <v>2031</v>
      </c>
      <c r="D114" s="154">
        <f>IF(F113+SUM(E$99:E113)=D$92,F113,D$92-SUM(E$99:E113))</f>
        <v>16599762.046511615</v>
      </c>
      <c r="E114" s="160">
        <f>IF(+J96&lt;F113,J96,D114)</f>
        <v>603117.35714285716</v>
      </c>
      <c r="F114" s="159">
        <f t="shared" si="10"/>
        <v>15996644.689368758</v>
      </c>
      <c r="G114" s="159">
        <f t="shared" si="11"/>
        <v>16298203.367940187</v>
      </c>
      <c r="H114" s="163">
        <f t="shared" si="12"/>
        <v>2582883.8778765374</v>
      </c>
      <c r="I114" s="253">
        <f t="shared" si="13"/>
        <v>2582883.8778765374</v>
      </c>
      <c r="J114" s="158">
        <f t="shared" si="14"/>
        <v>0</v>
      </c>
      <c r="K114" s="158"/>
      <c r="L114" s="334"/>
      <c r="M114" s="158">
        <f t="shared" si="15"/>
        <v>0</v>
      </c>
      <c r="N114" s="334"/>
      <c r="O114" s="158">
        <f t="shared" si="16"/>
        <v>0</v>
      </c>
      <c r="P114" s="158">
        <f t="shared" si="17"/>
        <v>0</v>
      </c>
    </row>
    <row r="115" spans="2:16">
      <c r="B115" s="9" t="str">
        <f t="shared" si="18"/>
        <v/>
      </c>
      <c r="C115" s="153">
        <f>IF(D93="","-",+C114+1)</f>
        <v>2032</v>
      </c>
      <c r="D115" s="154">
        <f>IF(F114+SUM(E$99:E114)=D$92,F114,D$92-SUM(E$99:E114))</f>
        <v>15996644.689368758</v>
      </c>
      <c r="E115" s="160">
        <f>IF(+J96&lt;F114,J96,D115)</f>
        <v>603117.35714285716</v>
      </c>
      <c r="F115" s="159">
        <f t="shared" si="10"/>
        <v>15393527.332225902</v>
      </c>
      <c r="G115" s="159">
        <f t="shared" si="11"/>
        <v>15695086.010797329</v>
      </c>
      <c r="H115" s="163">
        <f t="shared" si="12"/>
        <v>2509622.3333498836</v>
      </c>
      <c r="I115" s="253">
        <f t="shared" si="13"/>
        <v>2509622.3333498836</v>
      </c>
      <c r="J115" s="158">
        <f t="shared" si="14"/>
        <v>0</v>
      </c>
      <c r="K115" s="158"/>
      <c r="L115" s="334"/>
      <c r="M115" s="158">
        <f t="shared" si="15"/>
        <v>0</v>
      </c>
      <c r="N115" s="334"/>
      <c r="O115" s="158">
        <f t="shared" si="16"/>
        <v>0</v>
      </c>
      <c r="P115" s="158">
        <f t="shared" si="17"/>
        <v>0</v>
      </c>
    </row>
    <row r="116" spans="2:16">
      <c r="B116" s="9" t="str">
        <f t="shared" si="18"/>
        <v/>
      </c>
      <c r="C116" s="153">
        <f>IF(D93="","-",+C115+1)</f>
        <v>2033</v>
      </c>
      <c r="D116" s="154">
        <f>IF(F115+SUM(E$99:E115)=D$92,F115,D$92-SUM(E$99:E115))</f>
        <v>15393527.332225902</v>
      </c>
      <c r="E116" s="160">
        <f>IF(+J96&lt;F115,J96,D116)</f>
        <v>603117.35714285716</v>
      </c>
      <c r="F116" s="159">
        <f t="shared" si="10"/>
        <v>14790409.975083046</v>
      </c>
      <c r="G116" s="159">
        <f t="shared" si="11"/>
        <v>15091968.653654475</v>
      </c>
      <c r="H116" s="163">
        <f t="shared" si="12"/>
        <v>2436360.7888232302</v>
      </c>
      <c r="I116" s="253">
        <f t="shared" si="13"/>
        <v>2436360.7888232302</v>
      </c>
      <c r="J116" s="158">
        <f t="shared" si="14"/>
        <v>0</v>
      </c>
      <c r="K116" s="158"/>
      <c r="L116" s="334"/>
      <c r="M116" s="158">
        <f t="shared" si="15"/>
        <v>0</v>
      </c>
      <c r="N116" s="334"/>
      <c r="O116" s="158">
        <f t="shared" si="16"/>
        <v>0</v>
      </c>
      <c r="P116" s="158">
        <f t="shared" si="17"/>
        <v>0</v>
      </c>
    </row>
    <row r="117" spans="2:16">
      <c r="B117" s="9" t="str">
        <f t="shared" si="18"/>
        <v/>
      </c>
      <c r="C117" s="153">
        <f>IF(D93="","-",+C116+1)</f>
        <v>2034</v>
      </c>
      <c r="D117" s="154">
        <f>IF(F116+SUM(E$99:E116)=D$92,F116,D$92-SUM(E$99:E116))</f>
        <v>14790409.975083046</v>
      </c>
      <c r="E117" s="160">
        <f>IF(+J96&lt;F116,J96,D117)</f>
        <v>603117.35714285716</v>
      </c>
      <c r="F117" s="159">
        <f t="shared" si="10"/>
        <v>14187292.617940189</v>
      </c>
      <c r="G117" s="159">
        <f t="shared" si="11"/>
        <v>14488851.296511617</v>
      </c>
      <c r="H117" s="163">
        <f t="shared" si="12"/>
        <v>2363099.2442965764</v>
      </c>
      <c r="I117" s="253">
        <f t="shared" si="13"/>
        <v>2363099.2442965764</v>
      </c>
      <c r="J117" s="158">
        <f t="shared" si="14"/>
        <v>0</v>
      </c>
      <c r="K117" s="158"/>
      <c r="L117" s="334"/>
      <c r="M117" s="158">
        <f t="shared" si="15"/>
        <v>0</v>
      </c>
      <c r="N117" s="334"/>
      <c r="O117" s="158">
        <f t="shared" si="16"/>
        <v>0</v>
      </c>
      <c r="P117" s="158">
        <f t="shared" si="17"/>
        <v>0</v>
      </c>
    </row>
    <row r="118" spans="2:16">
      <c r="B118" s="9" t="str">
        <f t="shared" si="18"/>
        <v/>
      </c>
      <c r="C118" s="153">
        <f>IF(D93="","-",+C117+1)</f>
        <v>2035</v>
      </c>
      <c r="D118" s="154">
        <f>IF(F117+SUM(E$99:E117)=D$92,F117,D$92-SUM(E$99:E117))</f>
        <v>14187292.617940189</v>
      </c>
      <c r="E118" s="160">
        <f>IF(+J96&lt;F117,J96,D118)</f>
        <v>603117.35714285716</v>
      </c>
      <c r="F118" s="159">
        <f t="shared" si="10"/>
        <v>13584175.260797333</v>
      </c>
      <c r="G118" s="159">
        <f t="shared" si="11"/>
        <v>13885733.939368762</v>
      </c>
      <c r="H118" s="163">
        <f t="shared" si="12"/>
        <v>2289837.699769923</v>
      </c>
      <c r="I118" s="253">
        <f t="shared" si="13"/>
        <v>2289837.699769923</v>
      </c>
      <c r="J118" s="158">
        <f t="shared" si="14"/>
        <v>0</v>
      </c>
      <c r="K118" s="158"/>
      <c r="L118" s="334"/>
      <c r="M118" s="158">
        <f t="shared" si="15"/>
        <v>0</v>
      </c>
      <c r="N118" s="334"/>
      <c r="O118" s="158">
        <f t="shared" si="16"/>
        <v>0</v>
      </c>
      <c r="P118" s="158">
        <f t="shared" si="17"/>
        <v>0</v>
      </c>
    </row>
    <row r="119" spans="2:16">
      <c r="B119" s="9" t="str">
        <f t="shared" si="18"/>
        <v/>
      </c>
      <c r="C119" s="153">
        <f>IF(D93="","-",+C118+1)</f>
        <v>2036</v>
      </c>
      <c r="D119" s="154">
        <f>IF(F118+SUM(E$99:E118)=D$92,F118,D$92-SUM(E$99:E118))</f>
        <v>13584175.260797333</v>
      </c>
      <c r="E119" s="160">
        <f>IF(+J96&lt;F118,J96,D119)</f>
        <v>603117.35714285716</v>
      </c>
      <c r="F119" s="159">
        <f t="shared" si="10"/>
        <v>12981057.903654477</v>
      </c>
      <c r="G119" s="159">
        <f t="shared" si="11"/>
        <v>13282616.582225904</v>
      </c>
      <c r="H119" s="163">
        <f t="shared" si="12"/>
        <v>2216576.1552432696</v>
      </c>
      <c r="I119" s="253">
        <f t="shared" si="13"/>
        <v>2216576.1552432696</v>
      </c>
      <c r="J119" s="158">
        <f t="shared" si="14"/>
        <v>0</v>
      </c>
      <c r="K119" s="158"/>
      <c r="L119" s="334"/>
      <c r="M119" s="158">
        <f t="shared" si="15"/>
        <v>0</v>
      </c>
      <c r="N119" s="334"/>
      <c r="O119" s="158">
        <f t="shared" si="16"/>
        <v>0</v>
      </c>
      <c r="P119" s="158">
        <f t="shared" si="17"/>
        <v>0</v>
      </c>
    </row>
    <row r="120" spans="2:16">
      <c r="B120" s="9" t="str">
        <f t="shared" si="18"/>
        <v/>
      </c>
      <c r="C120" s="153">
        <f>IF(D93="","-",+C119+1)</f>
        <v>2037</v>
      </c>
      <c r="D120" s="154">
        <f>IF(F119+SUM(E$99:E119)=D$92,F119,D$92-SUM(E$99:E119))</f>
        <v>12981057.903654477</v>
      </c>
      <c r="E120" s="160">
        <f>IF(+J96&lt;F119,J96,D120)</f>
        <v>603117.35714285716</v>
      </c>
      <c r="F120" s="159">
        <f t="shared" si="10"/>
        <v>12377940.54651162</v>
      </c>
      <c r="G120" s="159">
        <f t="shared" si="11"/>
        <v>12679499.225083049</v>
      </c>
      <c r="H120" s="163">
        <f t="shared" si="12"/>
        <v>2143314.6107166163</v>
      </c>
      <c r="I120" s="253">
        <f t="shared" si="13"/>
        <v>2143314.6107166163</v>
      </c>
      <c r="J120" s="158">
        <f t="shared" si="14"/>
        <v>0</v>
      </c>
      <c r="K120" s="158"/>
      <c r="L120" s="334"/>
      <c r="M120" s="158">
        <f t="shared" si="15"/>
        <v>0</v>
      </c>
      <c r="N120" s="334"/>
      <c r="O120" s="158">
        <f t="shared" si="16"/>
        <v>0</v>
      </c>
      <c r="P120" s="158">
        <f t="shared" si="17"/>
        <v>0</v>
      </c>
    </row>
    <row r="121" spans="2:16">
      <c r="B121" s="9" t="str">
        <f t="shared" si="18"/>
        <v/>
      </c>
      <c r="C121" s="153">
        <f>IF(D93="","-",+C120+1)</f>
        <v>2038</v>
      </c>
      <c r="D121" s="154">
        <f>IF(F120+SUM(E$99:E120)=D$92,F120,D$92-SUM(E$99:E120))</f>
        <v>12377940.54651162</v>
      </c>
      <c r="E121" s="160">
        <f>IF(+J96&lt;F120,J96,D121)</f>
        <v>603117.35714285716</v>
      </c>
      <c r="F121" s="159">
        <f t="shared" si="10"/>
        <v>11774823.189368764</v>
      </c>
      <c r="G121" s="159">
        <f t="shared" si="11"/>
        <v>12076381.867940191</v>
      </c>
      <c r="H121" s="163">
        <f t="shared" si="12"/>
        <v>2070053.0661899624</v>
      </c>
      <c r="I121" s="253">
        <f t="shared" si="13"/>
        <v>2070053.0661899624</v>
      </c>
      <c r="J121" s="158">
        <f t="shared" si="14"/>
        <v>0</v>
      </c>
      <c r="K121" s="158"/>
      <c r="L121" s="334"/>
      <c r="M121" s="158">
        <f t="shared" si="15"/>
        <v>0</v>
      </c>
      <c r="N121" s="334"/>
      <c r="O121" s="158">
        <f t="shared" si="16"/>
        <v>0</v>
      </c>
      <c r="P121" s="158">
        <f t="shared" si="17"/>
        <v>0</v>
      </c>
    </row>
    <row r="122" spans="2:16">
      <c r="B122" s="9" t="str">
        <f t="shared" si="18"/>
        <v/>
      </c>
      <c r="C122" s="153">
        <f>IF(D93="","-",+C121+1)</f>
        <v>2039</v>
      </c>
      <c r="D122" s="154">
        <f>IF(F121+SUM(E$99:E121)=D$92,F121,D$92-SUM(E$99:E121))</f>
        <v>11774823.189368764</v>
      </c>
      <c r="E122" s="160">
        <f>IF(+J96&lt;F121,J96,D122)</f>
        <v>603117.35714285716</v>
      </c>
      <c r="F122" s="159">
        <f t="shared" si="10"/>
        <v>11171705.832225908</v>
      </c>
      <c r="G122" s="159">
        <f t="shared" si="11"/>
        <v>11473264.510797337</v>
      </c>
      <c r="H122" s="163">
        <f t="shared" si="12"/>
        <v>1996791.5216633091</v>
      </c>
      <c r="I122" s="253">
        <f t="shared" si="13"/>
        <v>1996791.5216633091</v>
      </c>
      <c r="J122" s="158">
        <f t="shared" si="14"/>
        <v>0</v>
      </c>
      <c r="K122" s="158"/>
      <c r="L122" s="334"/>
      <c r="M122" s="158">
        <f t="shared" si="15"/>
        <v>0</v>
      </c>
      <c r="N122" s="334"/>
      <c r="O122" s="158">
        <f t="shared" si="16"/>
        <v>0</v>
      </c>
      <c r="P122" s="158">
        <f t="shared" si="17"/>
        <v>0</v>
      </c>
    </row>
    <row r="123" spans="2:16">
      <c r="B123" s="9" t="str">
        <f t="shared" si="18"/>
        <v/>
      </c>
      <c r="C123" s="153">
        <f>IF(D93="","-",+C122+1)</f>
        <v>2040</v>
      </c>
      <c r="D123" s="154">
        <f>IF(F122+SUM(E$99:E122)=D$92,F122,D$92-SUM(E$99:E122))</f>
        <v>11171705.832225908</v>
      </c>
      <c r="E123" s="160">
        <f>IF(+J96&lt;F122,J96,D123)</f>
        <v>603117.35714285716</v>
      </c>
      <c r="F123" s="159">
        <f t="shared" si="10"/>
        <v>10568588.475083051</v>
      </c>
      <c r="G123" s="159">
        <f t="shared" si="11"/>
        <v>10870147.153654478</v>
      </c>
      <c r="H123" s="163">
        <f t="shared" si="12"/>
        <v>1923529.9771366552</v>
      </c>
      <c r="I123" s="253">
        <f t="shared" si="13"/>
        <v>1923529.9771366552</v>
      </c>
      <c r="J123" s="158">
        <f t="shared" si="14"/>
        <v>0</v>
      </c>
      <c r="K123" s="158"/>
      <c r="L123" s="334"/>
      <c r="M123" s="158">
        <f t="shared" si="15"/>
        <v>0</v>
      </c>
      <c r="N123" s="334"/>
      <c r="O123" s="158">
        <f t="shared" si="16"/>
        <v>0</v>
      </c>
      <c r="P123" s="158">
        <f t="shared" si="17"/>
        <v>0</v>
      </c>
    </row>
    <row r="124" spans="2:16">
      <c r="B124" s="9" t="str">
        <f t="shared" si="18"/>
        <v/>
      </c>
      <c r="C124" s="153">
        <f>IF(D93="","-",+C123+1)</f>
        <v>2041</v>
      </c>
      <c r="D124" s="154">
        <f>IF(F123+SUM(E$99:E123)=D$92,F123,D$92-SUM(E$99:E123))</f>
        <v>10568588.475083051</v>
      </c>
      <c r="E124" s="160">
        <f>IF(+J96&lt;F123,J96,D124)</f>
        <v>603117.35714285716</v>
      </c>
      <c r="F124" s="159">
        <f t="shared" si="10"/>
        <v>9965471.1179401949</v>
      </c>
      <c r="G124" s="159">
        <f t="shared" si="11"/>
        <v>10267029.796511624</v>
      </c>
      <c r="H124" s="163">
        <f t="shared" si="12"/>
        <v>1850268.4326100019</v>
      </c>
      <c r="I124" s="253">
        <f t="shared" si="13"/>
        <v>1850268.4326100019</v>
      </c>
      <c r="J124" s="158">
        <f t="shared" si="14"/>
        <v>0</v>
      </c>
      <c r="K124" s="158"/>
      <c r="L124" s="334"/>
      <c r="M124" s="158">
        <f t="shared" si="15"/>
        <v>0</v>
      </c>
      <c r="N124" s="334"/>
      <c r="O124" s="158">
        <f t="shared" si="16"/>
        <v>0</v>
      </c>
      <c r="P124" s="158">
        <f t="shared" si="17"/>
        <v>0</v>
      </c>
    </row>
    <row r="125" spans="2:16">
      <c r="B125" s="9" t="str">
        <f t="shared" si="18"/>
        <v/>
      </c>
      <c r="C125" s="153">
        <f>IF(D93="","-",+C124+1)</f>
        <v>2042</v>
      </c>
      <c r="D125" s="154">
        <f>IF(F124+SUM(E$99:E124)=D$92,F124,D$92-SUM(E$99:E124))</f>
        <v>9965471.1179401949</v>
      </c>
      <c r="E125" s="160">
        <f>IF(+J96&lt;F124,J96,D125)</f>
        <v>603117.35714285716</v>
      </c>
      <c r="F125" s="159">
        <f t="shared" si="10"/>
        <v>9362353.7607973386</v>
      </c>
      <c r="G125" s="159">
        <f t="shared" si="11"/>
        <v>9663912.4393687658</v>
      </c>
      <c r="H125" s="163">
        <f t="shared" si="12"/>
        <v>1777006.8880833481</v>
      </c>
      <c r="I125" s="253">
        <f t="shared" si="13"/>
        <v>1777006.8880833481</v>
      </c>
      <c r="J125" s="158">
        <f t="shared" si="14"/>
        <v>0</v>
      </c>
      <c r="K125" s="158"/>
      <c r="L125" s="334"/>
      <c r="M125" s="158">
        <f t="shared" si="15"/>
        <v>0</v>
      </c>
      <c r="N125" s="334"/>
      <c r="O125" s="158">
        <f t="shared" si="16"/>
        <v>0</v>
      </c>
      <c r="P125" s="158">
        <f t="shared" si="17"/>
        <v>0</v>
      </c>
    </row>
    <row r="126" spans="2:16">
      <c r="B126" s="9" t="str">
        <f t="shared" si="18"/>
        <v/>
      </c>
      <c r="C126" s="153">
        <f>IF(D93="","-",+C125+1)</f>
        <v>2043</v>
      </c>
      <c r="D126" s="154">
        <f>IF(F125+SUM(E$99:E125)=D$92,F125,D$92-SUM(E$99:E125))</f>
        <v>9362353.7607973386</v>
      </c>
      <c r="E126" s="160">
        <f>IF(+J96&lt;F125,J96,D126)</f>
        <v>603117.35714285716</v>
      </c>
      <c r="F126" s="159">
        <f t="shared" si="10"/>
        <v>8759236.4036544822</v>
      </c>
      <c r="G126" s="159">
        <f t="shared" si="11"/>
        <v>9060795.0822259113</v>
      </c>
      <c r="H126" s="163">
        <f t="shared" si="12"/>
        <v>1703745.3435566947</v>
      </c>
      <c r="I126" s="253">
        <f t="shared" si="13"/>
        <v>1703745.3435566947</v>
      </c>
      <c r="J126" s="158">
        <f t="shared" si="14"/>
        <v>0</v>
      </c>
      <c r="K126" s="158"/>
      <c r="L126" s="334"/>
      <c r="M126" s="158">
        <f t="shared" si="15"/>
        <v>0</v>
      </c>
      <c r="N126" s="334"/>
      <c r="O126" s="158">
        <f t="shared" si="16"/>
        <v>0</v>
      </c>
      <c r="P126" s="158">
        <f t="shared" si="17"/>
        <v>0</v>
      </c>
    </row>
    <row r="127" spans="2:16">
      <c r="B127" s="9" t="str">
        <f t="shared" si="18"/>
        <v/>
      </c>
      <c r="C127" s="153">
        <f>IF(D93="","-",+C126+1)</f>
        <v>2044</v>
      </c>
      <c r="D127" s="154">
        <f>IF(F126+SUM(E$99:E126)=D$92,F126,D$92-SUM(E$99:E126))</f>
        <v>8759236.4036544822</v>
      </c>
      <c r="E127" s="160">
        <f>IF(+J96&lt;F126,J96,D127)</f>
        <v>603117.35714285716</v>
      </c>
      <c r="F127" s="159">
        <f t="shared" si="10"/>
        <v>8156119.0465116249</v>
      </c>
      <c r="G127" s="159">
        <f t="shared" si="11"/>
        <v>8457677.7250830531</v>
      </c>
      <c r="H127" s="163">
        <f t="shared" si="12"/>
        <v>1630483.7990300409</v>
      </c>
      <c r="I127" s="253">
        <f t="shared" si="13"/>
        <v>1630483.7990300409</v>
      </c>
      <c r="J127" s="158">
        <f t="shared" si="14"/>
        <v>0</v>
      </c>
      <c r="K127" s="158"/>
      <c r="L127" s="334"/>
      <c r="M127" s="158">
        <f t="shared" si="15"/>
        <v>0</v>
      </c>
      <c r="N127" s="334"/>
      <c r="O127" s="158">
        <f t="shared" si="16"/>
        <v>0</v>
      </c>
      <c r="P127" s="158">
        <f t="shared" si="17"/>
        <v>0</v>
      </c>
    </row>
    <row r="128" spans="2:16">
      <c r="B128" s="9" t="str">
        <f t="shared" si="18"/>
        <v/>
      </c>
      <c r="C128" s="153">
        <f>IF(D93="","-",+C127+1)</f>
        <v>2045</v>
      </c>
      <c r="D128" s="154">
        <f>IF(F127+SUM(E$99:E127)=D$92,F127,D$92-SUM(E$99:E127))</f>
        <v>8156119.0465116249</v>
      </c>
      <c r="E128" s="160">
        <f>IF(+J96&lt;F127,J96,D128)</f>
        <v>603117.35714285716</v>
      </c>
      <c r="F128" s="159">
        <f t="shared" si="10"/>
        <v>7553001.6893687677</v>
      </c>
      <c r="G128" s="159">
        <f t="shared" si="11"/>
        <v>7854560.3679401968</v>
      </c>
      <c r="H128" s="163">
        <f t="shared" si="12"/>
        <v>1557222.2545033873</v>
      </c>
      <c r="I128" s="253">
        <f t="shared" si="13"/>
        <v>1557222.2545033873</v>
      </c>
      <c r="J128" s="158">
        <f t="shared" si="14"/>
        <v>0</v>
      </c>
      <c r="K128" s="158"/>
      <c r="L128" s="334"/>
      <c r="M128" s="158">
        <f t="shared" si="15"/>
        <v>0</v>
      </c>
      <c r="N128" s="334"/>
      <c r="O128" s="158">
        <f t="shared" si="16"/>
        <v>0</v>
      </c>
      <c r="P128" s="158">
        <f t="shared" si="17"/>
        <v>0</v>
      </c>
    </row>
    <row r="129" spans="2:16">
      <c r="B129" s="9" t="str">
        <f t="shared" si="18"/>
        <v/>
      </c>
      <c r="C129" s="153">
        <f>IF(D93="","-",+C128+1)</f>
        <v>2046</v>
      </c>
      <c r="D129" s="154">
        <f>IF(F128+SUM(E$99:E128)=D$92,F128,D$92-SUM(E$99:E128))</f>
        <v>7553001.6893687677</v>
      </c>
      <c r="E129" s="160">
        <f>IF(+J96&lt;F128,J96,D129)</f>
        <v>603117.35714285716</v>
      </c>
      <c r="F129" s="159">
        <f t="shared" si="10"/>
        <v>6949884.3322259104</v>
      </c>
      <c r="G129" s="159">
        <f t="shared" si="11"/>
        <v>7251443.0107973386</v>
      </c>
      <c r="H129" s="163">
        <f t="shared" si="12"/>
        <v>1483960.7099767337</v>
      </c>
      <c r="I129" s="253">
        <f t="shared" si="13"/>
        <v>1483960.7099767337</v>
      </c>
      <c r="J129" s="158">
        <f t="shared" si="14"/>
        <v>0</v>
      </c>
      <c r="K129" s="158"/>
      <c r="L129" s="334"/>
      <c r="M129" s="158">
        <f t="shared" si="15"/>
        <v>0</v>
      </c>
      <c r="N129" s="334"/>
      <c r="O129" s="158">
        <f t="shared" si="16"/>
        <v>0</v>
      </c>
      <c r="P129" s="158">
        <f t="shared" si="17"/>
        <v>0</v>
      </c>
    </row>
    <row r="130" spans="2:16">
      <c r="B130" s="9" t="str">
        <f t="shared" si="18"/>
        <v/>
      </c>
      <c r="C130" s="153">
        <f>IF(D93="","-",+C129+1)</f>
        <v>2047</v>
      </c>
      <c r="D130" s="154">
        <f>IF(F129+SUM(E$99:E129)=D$92,F129,D$92-SUM(E$99:E129))</f>
        <v>6949884.3322259104</v>
      </c>
      <c r="E130" s="160">
        <f>IF(+J96&lt;F129,J96,D130)</f>
        <v>603117.35714285716</v>
      </c>
      <c r="F130" s="159">
        <f t="shared" si="10"/>
        <v>6346766.9750830531</v>
      </c>
      <c r="G130" s="159">
        <f t="shared" si="11"/>
        <v>6648325.6536544822</v>
      </c>
      <c r="H130" s="163">
        <f t="shared" si="12"/>
        <v>1410699.1654500798</v>
      </c>
      <c r="I130" s="253">
        <f t="shared" si="13"/>
        <v>1410699.1654500798</v>
      </c>
      <c r="J130" s="158">
        <f t="shared" si="14"/>
        <v>0</v>
      </c>
      <c r="K130" s="158"/>
      <c r="L130" s="334"/>
      <c r="M130" s="158">
        <f t="shared" si="15"/>
        <v>0</v>
      </c>
      <c r="N130" s="334"/>
      <c r="O130" s="158">
        <f t="shared" si="16"/>
        <v>0</v>
      </c>
      <c r="P130" s="158">
        <f t="shared" si="17"/>
        <v>0</v>
      </c>
    </row>
    <row r="131" spans="2:16">
      <c r="B131" s="9" t="str">
        <f t="shared" si="18"/>
        <v/>
      </c>
      <c r="C131" s="153">
        <f>IF(D93="","-",+C130+1)</f>
        <v>2048</v>
      </c>
      <c r="D131" s="154">
        <f>IF(F130+SUM(E$99:E130)=D$92,F130,D$92-SUM(E$99:E130))</f>
        <v>6346766.9750830531</v>
      </c>
      <c r="E131" s="160">
        <f>IF(+J96&lt;F130,J96,D131)</f>
        <v>603117.35714285716</v>
      </c>
      <c r="F131" s="159">
        <f t="shared" ref="F131:F154" si="19">+D131-E131</f>
        <v>5743649.6179401958</v>
      </c>
      <c r="G131" s="159">
        <f t="shared" ref="G131:G154" si="20">+(F131+D131)/2</f>
        <v>6045208.296511624</v>
      </c>
      <c r="H131" s="163">
        <f t="shared" si="12"/>
        <v>1337437.620923426</v>
      </c>
      <c r="I131" s="253">
        <f t="shared" si="13"/>
        <v>1337437.620923426</v>
      </c>
      <c r="J131" s="158">
        <f t="shared" ref="J131:J154" si="21">+I541-H541</f>
        <v>0</v>
      </c>
      <c r="K131" s="158"/>
      <c r="L131" s="334"/>
      <c r="M131" s="158">
        <f t="shared" ref="M131:M154" si="22">IF(L541&lt;&gt;0,+H541-L541,0)</f>
        <v>0</v>
      </c>
      <c r="N131" s="334"/>
      <c r="O131" s="158">
        <f t="shared" ref="O131:O154" si="23">IF(N541&lt;&gt;0,+I541-N541,0)</f>
        <v>0</v>
      </c>
      <c r="P131" s="158">
        <f t="shared" ref="P131:P154" si="24">+O541-M541</f>
        <v>0</v>
      </c>
    </row>
    <row r="132" spans="2:16">
      <c r="B132" s="9" t="str">
        <f t="shared" si="18"/>
        <v/>
      </c>
      <c r="C132" s="153">
        <f>IF(D93="","-",+C131+1)</f>
        <v>2049</v>
      </c>
      <c r="D132" s="154">
        <f>IF(F131+SUM(E$99:E131)=D$92,F131,D$92-SUM(E$99:E131))</f>
        <v>5743649.6179401958</v>
      </c>
      <c r="E132" s="160">
        <f>IF(+J96&lt;F131,J96,D132)</f>
        <v>603117.35714285716</v>
      </c>
      <c r="F132" s="159">
        <f t="shared" si="19"/>
        <v>5140532.2607973386</v>
      </c>
      <c r="G132" s="159">
        <f t="shared" si="20"/>
        <v>5442090.9393687677</v>
      </c>
      <c r="H132" s="163">
        <f t="shared" si="12"/>
        <v>1264176.0763967726</v>
      </c>
      <c r="I132" s="253">
        <f t="shared" si="13"/>
        <v>1264176.0763967726</v>
      </c>
      <c r="J132" s="158">
        <f t="shared" si="21"/>
        <v>0</v>
      </c>
      <c r="K132" s="158"/>
      <c r="L132" s="334"/>
      <c r="M132" s="158">
        <f t="shared" si="22"/>
        <v>0</v>
      </c>
      <c r="N132" s="334"/>
      <c r="O132" s="158">
        <f t="shared" si="23"/>
        <v>0</v>
      </c>
      <c r="P132" s="158">
        <f t="shared" si="24"/>
        <v>0</v>
      </c>
    </row>
    <row r="133" spans="2:16">
      <c r="B133" s="9" t="str">
        <f t="shared" si="18"/>
        <v/>
      </c>
      <c r="C133" s="153">
        <f>IF(D93="","-",+C132+1)</f>
        <v>2050</v>
      </c>
      <c r="D133" s="154">
        <f>IF(F132+SUM(E$99:E132)=D$92,F132,D$92-SUM(E$99:E132))</f>
        <v>5140532.2607973386</v>
      </c>
      <c r="E133" s="160">
        <f>IF(+J96&lt;F132,J96,D133)</f>
        <v>603117.35714285716</v>
      </c>
      <c r="F133" s="159">
        <f t="shared" si="19"/>
        <v>4537414.9036544813</v>
      </c>
      <c r="G133" s="159">
        <f t="shared" si="20"/>
        <v>4838973.5822259095</v>
      </c>
      <c r="H133" s="163">
        <f t="shared" si="12"/>
        <v>1190914.5318701188</v>
      </c>
      <c r="I133" s="253">
        <f t="shared" si="13"/>
        <v>1190914.5318701188</v>
      </c>
      <c r="J133" s="158">
        <f t="shared" si="21"/>
        <v>0</v>
      </c>
      <c r="K133" s="158"/>
      <c r="L133" s="334"/>
      <c r="M133" s="158">
        <f t="shared" si="22"/>
        <v>0</v>
      </c>
      <c r="N133" s="334"/>
      <c r="O133" s="158">
        <f t="shared" si="23"/>
        <v>0</v>
      </c>
      <c r="P133" s="158">
        <f t="shared" si="24"/>
        <v>0</v>
      </c>
    </row>
    <row r="134" spans="2:16">
      <c r="B134" s="9" t="str">
        <f t="shared" si="18"/>
        <v/>
      </c>
      <c r="C134" s="153">
        <f>IF(D93="","-",+C133+1)</f>
        <v>2051</v>
      </c>
      <c r="D134" s="154">
        <f>IF(F133+SUM(E$99:E133)=D$92,F133,D$92-SUM(E$99:E133))</f>
        <v>4537414.9036544813</v>
      </c>
      <c r="E134" s="160">
        <f>IF(+J96&lt;F133,J96,D134)</f>
        <v>603117.35714285716</v>
      </c>
      <c r="F134" s="159">
        <f t="shared" si="19"/>
        <v>3934297.546511624</v>
      </c>
      <c r="G134" s="159">
        <f t="shared" si="20"/>
        <v>4235856.2250830531</v>
      </c>
      <c r="H134" s="163">
        <f t="shared" si="12"/>
        <v>1117652.9873434652</v>
      </c>
      <c r="I134" s="253">
        <f t="shared" si="13"/>
        <v>1117652.9873434652</v>
      </c>
      <c r="J134" s="158">
        <f t="shared" si="21"/>
        <v>0</v>
      </c>
      <c r="K134" s="158"/>
      <c r="L134" s="334"/>
      <c r="M134" s="158">
        <f t="shared" si="22"/>
        <v>0</v>
      </c>
      <c r="N134" s="334"/>
      <c r="O134" s="158">
        <f t="shared" si="23"/>
        <v>0</v>
      </c>
      <c r="P134" s="158">
        <f t="shared" si="24"/>
        <v>0</v>
      </c>
    </row>
    <row r="135" spans="2:16">
      <c r="B135" s="9" t="str">
        <f t="shared" si="18"/>
        <v/>
      </c>
      <c r="C135" s="153">
        <f>IF(D93="","-",+C134+1)</f>
        <v>2052</v>
      </c>
      <c r="D135" s="154">
        <f>IF(F134+SUM(E$99:E134)=D$92,F134,D$92-SUM(E$99:E134))</f>
        <v>3934297.546511624</v>
      </c>
      <c r="E135" s="160">
        <f>IF(+J96&lt;F134,J96,D135)</f>
        <v>603117.35714285716</v>
      </c>
      <c r="F135" s="159">
        <f t="shared" si="19"/>
        <v>3331180.1893687667</v>
      </c>
      <c r="G135" s="159">
        <f t="shared" si="20"/>
        <v>3632738.8679401954</v>
      </c>
      <c r="H135" s="163">
        <f t="shared" si="12"/>
        <v>1044391.4428168115</v>
      </c>
      <c r="I135" s="253">
        <f t="shared" si="13"/>
        <v>1044391.4428168115</v>
      </c>
      <c r="J135" s="158">
        <f t="shared" si="21"/>
        <v>0</v>
      </c>
      <c r="K135" s="158"/>
      <c r="L135" s="334"/>
      <c r="M135" s="158">
        <f t="shared" si="22"/>
        <v>0</v>
      </c>
      <c r="N135" s="334"/>
      <c r="O135" s="158">
        <f t="shared" si="23"/>
        <v>0</v>
      </c>
      <c r="P135" s="158">
        <f t="shared" si="24"/>
        <v>0</v>
      </c>
    </row>
    <row r="136" spans="2:16">
      <c r="B136" s="9" t="str">
        <f t="shared" si="18"/>
        <v/>
      </c>
      <c r="C136" s="153">
        <f>IF(D93="","-",+C135+1)</f>
        <v>2053</v>
      </c>
      <c r="D136" s="154">
        <f>IF(F135+SUM(E$99:E135)=D$92,F135,D$92-SUM(E$99:E135))</f>
        <v>3331180.1893687667</v>
      </c>
      <c r="E136" s="160">
        <f>IF(+J96&lt;F135,J96,D136)</f>
        <v>603117.35714285716</v>
      </c>
      <c r="F136" s="159">
        <f t="shared" si="19"/>
        <v>2728062.8322259095</v>
      </c>
      <c r="G136" s="159">
        <f t="shared" si="20"/>
        <v>3029621.5107973381</v>
      </c>
      <c r="H136" s="163">
        <f t="shared" si="12"/>
        <v>971129.89829015778</v>
      </c>
      <c r="I136" s="253">
        <f t="shared" si="13"/>
        <v>971129.89829015778</v>
      </c>
      <c r="J136" s="158">
        <f t="shared" si="21"/>
        <v>0</v>
      </c>
      <c r="K136" s="158"/>
      <c r="L136" s="334"/>
      <c r="M136" s="158">
        <f t="shared" si="22"/>
        <v>0</v>
      </c>
      <c r="N136" s="334"/>
      <c r="O136" s="158">
        <f t="shared" si="23"/>
        <v>0</v>
      </c>
      <c r="P136" s="158">
        <f t="shared" si="24"/>
        <v>0</v>
      </c>
    </row>
    <row r="137" spans="2:16">
      <c r="B137" s="9" t="str">
        <f t="shared" si="18"/>
        <v/>
      </c>
      <c r="C137" s="153">
        <f>IF(D93="","-",+C136+1)</f>
        <v>2054</v>
      </c>
      <c r="D137" s="154">
        <f>IF(F136+SUM(E$99:E136)=D$92,F136,D$92-SUM(E$99:E136))</f>
        <v>2728062.8322259095</v>
      </c>
      <c r="E137" s="160">
        <f>IF(+J96&lt;F136,J96,D137)</f>
        <v>603117.35714285716</v>
      </c>
      <c r="F137" s="159">
        <f t="shared" si="19"/>
        <v>2124945.4750830522</v>
      </c>
      <c r="G137" s="159">
        <f t="shared" si="20"/>
        <v>2426504.1536544808</v>
      </c>
      <c r="H137" s="163">
        <f t="shared" si="12"/>
        <v>897868.35376350419</v>
      </c>
      <c r="I137" s="253">
        <f t="shared" si="13"/>
        <v>897868.35376350419</v>
      </c>
      <c r="J137" s="158">
        <f t="shared" si="21"/>
        <v>0</v>
      </c>
      <c r="K137" s="158"/>
      <c r="L137" s="334"/>
      <c r="M137" s="158">
        <f t="shared" si="22"/>
        <v>0</v>
      </c>
      <c r="N137" s="334"/>
      <c r="O137" s="158">
        <f t="shared" si="23"/>
        <v>0</v>
      </c>
      <c r="P137" s="158">
        <f t="shared" si="24"/>
        <v>0</v>
      </c>
    </row>
    <row r="138" spans="2:16">
      <c r="B138" s="9" t="str">
        <f t="shared" si="18"/>
        <v/>
      </c>
      <c r="C138" s="153">
        <f>IF(D93="","-",+C137+1)</f>
        <v>2055</v>
      </c>
      <c r="D138" s="154">
        <f>IF(F137+SUM(E$99:E137)=D$92,F137,D$92-SUM(E$99:E137))</f>
        <v>2124945.4750830522</v>
      </c>
      <c r="E138" s="160">
        <f>IF(+J96&lt;F137,J96,D138)</f>
        <v>603117.35714285716</v>
      </c>
      <c r="F138" s="159">
        <f t="shared" si="19"/>
        <v>1521828.1179401949</v>
      </c>
      <c r="G138" s="159">
        <f t="shared" si="20"/>
        <v>1823386.7965116235</v>
      </c>
      <c r="H138" s="163">
        <f t="shared" si="12"/>
        <v>824606.80923685047</v>
      </c>
      <c r="I138" s="253">
        <f t="shared" si="13"/>
        <v>824606.80923685047</v>
      </c>
      <c r="J138" s="158">
        <f t="shared" si="21"/>
        <v>0</v>
      </c>
      <c r="K138" s="158"/>
      <c r="L138" s="334"/>
      <c r="M138" s="158">
        <f t="shared" si="22"/>
        <v>0</v>
      </c>
      <c r="N138" s="334"/>
      <c r="O138" s="158">
        <f t="shared" si="23"/>
        <v>0</v>
      </c>
      <c r="P138" s="158">
        <f t="shared" si="24"/>
        <v>0</v>
      </c>
    </row>
    <row r="139" spans="2:16">
      <c r="B139" s="9" t="str">
        <f t="shared" si="18"/>
        <v/>
      </c>
      <c r="C139" s="153">
        <f>IF(D93="","-",+C138+1)</f>
        <v>2056</v>
      </c>
      <c r="D139" s="154">
        <f>IF(F138+SUM(E$99:E138)=D$92,F138,D$92-SUM(E$99:E138))</f>
        <v>1521828.1179401949</v>
      </c>
      <c r="E139" s="160">
        <f>IF(+J96&lt;F138,J96,D139)</f>
        <v>603117.35714285716</v>
      </c>
      <c r="F139" s="159">
        <f t="shared" si="19"/>
        <v>918710.76079733775</v>
      </c>
      <c r="G139" s="159">
        <f t="shared" si="20"/>
        <v>1220269.4393687663</v>
      </c>
      <c r="H139" s="163">
        <f t="shared" si="12"/>
        <v>751345.26471019676</v>
      </c>
      <c r="I139" s="253">
        <f t="shared" si="13"/>
        <v>751345.26471019676</v>
      </c>
      <c r="J139" s="158">
        <f t="shared" si="21"/>
        <v>0</v>
      </c>
      <c r="K139" s="158"/>
      <c r="L139" s="334"/>
      <c r="M139" s="158">
        <f t="shared" si="22"/>
        <v>0</v>
      </c>
      <c r="N139" s="334"/>
      <c r="O139" s="158">
        <f t="shared" si="23"/>
        <v>0</v>
      </c>
      <c r="P139" s="158">
        <f t="shared" si="24"/>
        <v>0</v>
      </c>
    </row>
    <row r="140" spans="2:16">
      <c r="B140" s="9" t="str">
        <f t="shared" si="18"/>
        <v/>
      </c>
      <c r="C140" s="153">
        <f>IF(D93="","-",+C139+1)</f>
        <v>2057</v>
      </c>
      <c r="D140" s="154">
        <f>IF(F139+SUM(E$99:E139)=D$92,F139,D$92-SUM(E$99:E139))</f>
        <v>918710.76079733775</v>
      </c>
      <c r="E140" s="160">
        <f>IF(+J96&lt;F139,J96,D140)</f>
        <v>603117.35714285716</v>
      </c>
      <c r="F140" s="159">
        <f t="shared" si="19"/>
        <v>315593.40365448059</v>
      </c>
      <c r="G140" s="159">
        <f t="shared" si="20"/>
        <v>617152.08222590922</v>
      </c>
      <c r="H140" s="163">
        <f t="shared" si="12"/>
        <v>678083.72018354316</v>
      </c>
      <c r="I140" s="253">
        <f t="shared" si="13"/>
        <v>678083.72018354316</v>
      </c>
      <c r="J140" s="158">
        <f t="shared" si="21"/>
        <v>0</v>
      </c>
      <c r="K140" s="158"/>
      <c r="L140" s="334"/>
      <c r="M140" s="158">
        <f t="shared" si="22"/>
        <v>0</v>
      </c>
      <c r="N140" s="334"/>
      <c r="O140" s="158">
        <f t="shared" si="23"/>
        <v>0</v>
      </c>
      <c r="P140" s="158">
        <f t="shared" si="24"/>
        <v>0</v>
      </c>
    </row>
    <row r="141" spans="2:16">
      <c r="B141" s="9" t="str">
        <f t="shared" si="18"/>
        <v/>
      </c>
      <c r="C141" s="153">
        <f>IF(D93="","-",+C140+1)</f>
        <v>2058</v>
      </c>
      <c r="D141" s="154">
        <f>IF(F140+SUM(E$99:E140)=D$92,F140,D$92-SUM(E$99:E140))</f>
        <v>315593.40365448059</v>
      </c>
      <c r="E141" s="160">
        <f>IF(+J96&lt;F140,J96,D141)</f>
        <v>315593.40365448059</v>
      </c>
      <c r="F141" s="159">
        <f t="shared" si="19"/>
        <v>0</v>
      </c>
      <c r="G141" s="159">
        <f t="shared" si="20"/>
        <v>157796.70182724029</v>
      </c>
      <c r="H141" s="163">
        <f t="shared" si="12"/>
        <v>334761.19904316013</v>
      </c>
      <c r="I141" s="253">
        <f t="shared" si="13"/>
        <v>334761.19904316013</v>
      </c>
      <c r="J141" s="158">
        <f t="shared" si="21"/>
        <v>0</v>
      </c>
      <c r="K141" s="158"/>
      <c r="L141" s="334"/>
      <c r="M141" s="158">
        <f t="shared" si="22"/>
        <v>0</v>
      </c>
      <c r="N141" s="334"/>
      <c r="O141" s="158">
        <f t="shared" si="23"/>
        <v>0</v>
      </c>
      <c r="P141" s="158">
        <f t="shared" si="24"/>
        <v>0</v>
      </c>
    </row>
    <row r="142" spans="2:16">
      <c r="B142" s="9" t="str">
        <f t="shared" si="18"/>
        <v/>
      </c>
      <c r="C142" s="153">
        <f>IF(D93="","-",+C141+1)</f>
        <v>2059</v>
      </c>
      <c r="D142" s="154">
        <f>IF(F141+SUM(E$99:E141)=D$92,F141,D$92-SUM(E$99:E141))</f>
        <v>0</v>
      </c>
      <c r="E142" s="160">
        <f>IF(+J96&lt;F141,J96,D142)</f>
        <v>0</v>
      </c>
      <c r="F142" s="159">
        <f t="shared" si="19"/>
        <v>0</v>
      </c>
      <c r="G142" s="159">
        <f t="shared" si="20"/>
        <v>0</v>
      </c>
      <c r="H142" s="163">
        <f t="shared" si="12"/>
        <v>0</v>
      </c>
      <c r="I142" s="253">
        <f t="shared" si="13"/>
        <v>0</v>
      </c>
      <c r="J142" s="158">
        <f t="shared" si="21"/>
        <v>0</v>
      </c>
      <c r="K142" s="158"/>
      <c r="L142" s="334"/>
      <c r="M142" s="158">
        <f t="shared" si="22"/>
        <v>0</v>
      </c>
      <c r="N142" s="334"/>
      <c r="O142" s="158">
        <f t="shared" si="23"/>
        <v>0</v>
      </c>
      <c r="P142" s="158">
        <f t="shared" si="24"/>
        <v>0</v>
      </c>
    </row>
    <row r="143" spans="2:16">
      <c r="B143" s="9" t="str">
        <f t="shared" si="18"/>
        <v/>
      </c>
      <c r="C143" s="153">
        <f>IF(D93="","-",+C142+1)</f>
        <v>2060</v>
      </c>
      <c r="D143" s="154">
        <f>IF(F142+SUM(E$99:E142)=D$92,F142,D$92-SUM(E$99:E142))</f>
        <v>0</v>
      </c>
      <c r="E143" s="160">
        <f>IF(+J96&lt;F142,J96,D143)</f>
        <v>0</v>
      </c>
      <c r="F143" s="159">
        <f t="shared" si="19"/>
        <v>0</v>
      </c>
      <c r="G143" s="159">
        <f t="shared" si="20"/>
        <v>0</v>
      </c>
      <c r="H143" s="163">
        <f t="shared" si="12"/>
        <v>0</v>
      </c>
      <c r="I143" s="253">
        <f t="shared" si="13"/>
        <v>0</v>
      </c>
      <c r="J143" s="158">
        <f t="shared" si="21"/>
        <v>0</v>
      </c>
      <c r="K143" s="158"/>
      <c r="L143" s="334"/>
      <c r="M143" s="158">
        <f t="shared" si="22"/>
        <v>0</v>
      </c>
      <c r="N143" s="334"/>
      <c r="O143" s="158">
        <f t="shared" si="23"/>
        <v>0</v>
      </c>
      <c r="P143" s="158">
        <f t="shared" si="24"/>
        <v>0</v>
      </c>
    </row>
    <row r="144" spans="2:16">
      <c r="B144" s="9" t="str">
        <f t="shared" si="18"/>
        <v/>
      </c>
      <c r="C144" s="153">
        <f>IF(D93="","-",+C143+1)</f>
        <v>2061</v>
      </c>
      <c r="D144" s="154">
        <f>IF(F143+SUM(E$99:E143)=D$92,F143,D$92-SUM(E$99:E143))</f>
        <v>0</v>
      </c>
      <c r="E144" s="160">
        <f>IF(+J96&lt;F143,J96,D144)</f>
        <v>0</v>
      </c>
      <c r="F144" s="159">
        <f t="shared" si="19"/>
        <v>0</v>
      </c>
      <c r="G144" s="159">
        <f t="shared" si="20"/>
        <v>0</v>
      </c>
      <c r="H144" s="163">
        <f t="shared" si="12"/>
        <v>0</v>
      </c>
      <c r="I144" s="253">
        <f t="shared" si="13"/>
        <v>0</v>
      </c>
      <c r="J144" s="158">
        <f t="shared" si="21"/>
        <v>0</v>
      </c>
      <c r="K144" s="158"/>
      <c r="L144" s="334"/>
      <c r="M144" s="158">
        <f t="shared" si="22"/>
        <v>0</v>
      </c>
      <c r="N144" s="334"/>
      <c r="O144" s="158">
        <f t="shared" si="23"/>
        <v>0</v>
      </c>
      <c r="P144" s="158">
        <f t="shared" si="24"/>
        <v>0</v>
      </c>
    </row>
    <row r="145" spans="2:16">
      <c r="B145" s="9" t="str">
        <f t="shared" si="18"/>
        <v/>
      </c>
      <c r="C145" s="153">
        <f>IF(D93="","-",+C144+1)</f>
        <v>2062</v>
      </c>
      <c r="D145" s="154">
        <f>IF(F144+SUM(E$99:E144)=D$92,F144,D$92-SUM(E$99:E144))</f>
        <v>0</v>
      </c>
      <c r="E145" s="160">
        <f>IF(+J96&lt;F144,J96,D145)</f>
        <v>0</v>
      </c>
      <c r="F145" s="159">
        <f t="shared" si="19"/>
        <v>0</v>
      </c>
      <c r="G145" s="159">
        <f t="shared" si="20"/>
        <v>0</v>
      </c>
      <c r="H145" s="163">
        <f t="shared" si="12"/>
        <v>0</v>
      </c>
      <c r="I145" s="253">
        <f t="shared" si="13"/>
        <v>0</v>
      </c>
      <c r="J145" s="158">
        <f t="shared" si="21"/>
        <v>0</v>
      </c>
      <c r="K145" s="158"/>
      <c r="L145" s="334"/>
      <c r="M145" s="158">
        <f t="shared" si="22"/>
        <v>0</v>
      </c>
      <c r="N145" s="334"/>
      <c r="O145" s="158">
        <f t="shared" si="23"/>
        <v>0</v>
      </c>
      <c r="P145" s="158">
        <f t="shared" si="24"/>
        <v>0</v>
      </c>
    </row>
    <row r="146" spans="2:16">
      <c r="B146" s="9" t="str">
        <f t="shared" si="18"/>
        <v/>
      </c>
      <c r="C146" s="153">
        <f>IF(D93="","-",+C145+1)</f>
        <v>2063</v>
      </c>
      <c r="D146" s="154">
        <f>IF(F145+SUM(E$99:E145)=D$92,F145,D$92-SUM(E$99:E145))</f>
        <v>0</v>
      </c>
      <c r="E146" s="160">
        <f>IF(+J96&lt;F145,J96,D146)</f>
        <v>0</v>
      </c>
      <c r="F146" s="159">
        <f t="shared" si="19"/>
        <v>0</v>
      </c>
      <c r="G146" s="159">
        <f t="shared" si="20"/>
        <v>0</v>
      </c>
      <c r="H146" s="163">
        <f t="shared" si="12"/>
        <v>0</v>
      </c>
      <c r="I146" s="253">
        <f t="shared" si="13"/>
        <v>0</v>
      </c>
      <c r="J146" s="158">
        <f t="shared" si="21"/>
        <v>0</v>
      </c>
      <c r="K146" s="158"/>
      <c r="L146" s="334"/>
      <c r="M146" s="158">
        <f t="shared" si="22"/>
        <v>0</v>
      </c>
      <c r="N146" s="334"/>
      <c r="O146" s="158">
        <f t="shared" si="23"/>
        <v>0</v>
      </c>
      <c r="P146" s="158">
        <f t="shared" si="24"/>
        <v>0</v>
      </c>
    </row>
    <row r="147" spans="2:16">
      <c r="B147" s="9" t="str">
        <f t="shared" si="18"/>
        <v/>
      </c>
      <c r="C147" s="153">
        <f>IF(D93="","-",+C146+1)</f>
        <v>2064</v>
      </c>
      <c r="D147" s="154">
        <f>IF(F146+SUM(E$99:E146)=D$92,F146,D$92-SUM(E$99:E146))</f>
        <v>0</v>
      </c>
      <c r="E147" s="160">
        <f>IF(+J96&lt;F146,J96,D147)</f>
        <v>0</v>
      </c>
      <c r="F147" s="159">
        <f t="shared" si="19"/>
        <v>0</v>
      </c>
      <c r="G147" s="159">
        <f t="shared" si="20"/>
        <v>0</v>
      </c>
      <c r="H147" s="163">
        <f t="shared" si="12"/>
        <v>0</v>
      </c>
      <c r="I147" s="253">
        <f t="shared" si="13"/>
        <v>0</v>
      </c>
      <c r="J147" s="158">
        <f t="shared" si="21"/>
        <v>0</v>
      </c>
      <c r="K147" s="158"/>
      <c r="L147" s="334"/>
      <c r="M147" s="158">
        <f t="shared" si="22"/>
        <v>0</v>
      </c>
      <c r="N147" s="334"/>
      <c r="O147" s="158">
        <f t="shared" si="23"/>
        <v>0</v>
      </c>
      <c r="P147" s="158">
        <f t="shared" si="24"/>
        <v>0</v>
      </c>
    </row>
    <row r="148" spans="2:16">
      <c r="B148" s="9" t="str">
        <f t="shared" si="18"/>
        <v/>
      </c>
      <c r="C148" s="153">
        <f>IF(D93="","-",+C147+1)</f>
        <v>2065</v>
      </c>
      <c r="D148" s="154">
        <f>IF(F147+SUM(E$99:E147)=D$92,F147,D$92-SUM(E$99:E147))</f>
        <v>0</v>
      </c>
      <c r="E148" s="160">
        <f>IF(+J96&lt;F147,J96,D148)</f>
        <v>0</v>
      </c>
      <c r="F148" s="159">
        <f t="shared" si="19"/>
        <v>0</v>
      </c>
      <c r="G148" s="159">
        <f t="shared" si="20"/>
        <v>0</v>
      </c>
      <c r="H148" s="163">
        <f t="shared" si="12"/>
        <v>0</v>
      </c>
      <c r="I148" s="253">
        <f t="shared" si="13"/>
        <v>0</v>
      </c>
      <c r="J148" s="158">
        <f t="shared" si="21"/>
        <v>0</v>
      </c>
      <c r="K148" s="158"/>
      <c r="L148" s="334"/>
      <c r="M148" s="158">
        <f t="shared" si="22"/>
        <v>0</v>
      </c>
      <c r="N148" s="334"/>
      <c r="O148" s="158">
        <f t="shared" si="23"/>
        <v>0</v>
      </c>
      <c r="P148" s="158">
        <f t="shared" si="24"/>
        <v>0</v>
      </c>
    </row>
    <row r="149" spans="2:16">
      <c r="B149" s="9" t="str">
        <f t="shared" si="18"/>
        <v/>
      </c>
      <c r="C149" s="153">
        <f>IF(D93="","-",+C148+1)</f>
        <v>2066</v>
      </c>
      <c r="D149" s="154">
        <f>IF(F148+SUM(E$99:E148)=D$92,F148,D$92-SUM(E$99:E148))</f>
        <v>0</v>
      </c>
      <c r="E149" s="160">
        <f>IF(+J96&lt;F148,J96,D149)</f>
        <v>0</v>
      </c>
      <c r="F149" s="159">
        <f t="shared" si="19"/>
        <v>0</v>
      </c>
      <c r="G149" s="159">
        <f t="shared" si="20"/>
        <v>0</v>
      </c>
      <c r="H149" s="163">
        <f t="shared" si="12"/>
        <v>0</v>
      </c>
      <c r="I149" s="253">
        <f t="shared" si="13"/>
        <v>0</v>
      </c>
      <c r="J149" s="158">
        <f t="shared" si="21"/>
        <v>0</v>
      </c>
      <c r="K149" s="158"/>
      <c r="L149" s="334"/>
      <c r="M149" s="158">
        <f t="shared" si="22"/>
        <v>0</v>
      </c>
      <c r="N149" s="334"/>
      <c r="O149" s="158">
        <f t="shared" si="23"/>
        <v>0</v>
      </c>
      <c r="P149" s="158">
        <f t="shared" si="24"/>
        <v>0</v>
      </c>
    </row>
    <row r="150" spans="2:16">
      <c r="B150" s="9" t="str">
        <f t="shared" si="18"/>
        <v/>
      </c>
      <c r="C150" s="153">
        <f>IF(D93="","-",+C149+1)</f>
        <v>2067</v>
      </c>
      <c r="D150" s="154">
        <f>IF(F149+SUM(E$99:E149)=D$92,F149,D$92-SUM(E$99:E149))</f>
        <v>0</v>
      </c>
      <c r="E150" s="160">
        <f>IF(+J96&lt;F149,J96,D150)</f>
        <v>0</v>
      </c>
      <c r="F150" s="159">
        <f t="shared" si="19"/>
        <v>0</v>
      </c>
      <c r="G150" s="159">
        <f t="shared" si="20"/>
        <v>0</v>
      </c>
      <c r="H150" s="163">
        <f t="shared" si="12"/>
        <v>0</v>
      </c>
      <c r="I150" s="253">
        <f t="shared" si="13"/>
        <v>0</v>
      </c>
      <c r="J150" s="158">
        <f t="shared" si="21"/>
        <v>0</v>
      </c>
      <c r="K150" s="158"/>
      <c r="L150" s="334"/>
      <c r="M150" s="158">
        <f t="shared" si="22"/>
        <v>0</v>
      </c>
      <c r="N150" s="334"/>
      <c r="O150" s="158">
        <f t="shared" si="23"/>
        <v>0</v>
      </c>
      <c r="P150" s="158">
        <f t="shared" si="24"/>
        <v>0</v>
      </c>
    </row>
    <row r="151" spans="2:16">
      <c r="B151" s="9" t="str">
        <f t="shared" si="18"/>
        <v/>
      </c>
      <c r="C151" s="153">
        <f>IF(D93="","-",+C150+1)</f>
        <v>2068</v>
      </c>
      <c r="D151" s="154">
        <f>IF(F150+SUM(E$99:E150)=D$92,F150,D$92-SUM(E$99:E150))</f>
        <v>0</v>
      </c>
      <c r="E151" s="160">
        <f>IF(+J96&lt;F150,J96,D151)</f>
        <v>0</v>
      </c>
      <c r="F151" s="159">
        <f t="shared" si="19"/>
        <v>0</v>
      </c>
      <c r="G151" s="159">
        <f t="shared" si="20"/>
        <v>0</v>
      </c>
      <c r="H151" s="163">
        <f t="shared" si="12"/>
        <v>0</v>
      </c>
      <c r="I151" s="253">
        <f t="shared" si="13"/>
        <v>0</v>
      </c>
      <c r="J151" s="158">
        <f t="shared" si="21"/>
        <v>0</v>
      </c>
      <c r="K151" s="158"/>
      <c r="L151" s="334"/>
      <c r="M151" s="158">
        <f t="shared" si="22"/>
        <v>0</v>
      </c>
      <c r="N151" s="334"/>
      <c r="O151" s="158">
        <f t="shared" si="23"/>
        <v>0</v>
      </c>
      <c r="P151" s="158">
        <f t="shared" si="24"/>
        <v>0</v>
      </c>
    </row>
    <row r="152" spans="2:16">
      <c r="B152" s="9" t="str">
        <f t="shared" si="18"/>
        <v/>
      </c>
      <c r="C152" s="153">
        <f>IF(D93="","-",+C151+1)</f>
        <v>2069</v>
      </c>
      <c r="D152" s="154">
        <f>IF(F151+SUM(E$99:E151)=D$92,F151,D$92-SUM(E$99:E151))</f>
        <v>0</v>
      </c>
      <c r="E152" s="160">
        <f>IF(+J96&lt;F151,J96,D152)</f>
        <v>0</v>
      </c>
      <c r="F152" s="159">
        <f t="shared" si="19"/>
        <v>0</v>
      </c>
      <c r="G152" s="159">
        <f t="shared" si="20"/>
        <v>0</v>
      </c>
      <c r="H152" s="163">
        <f t="shared" si="12"/>
        <v>0</v>
      </c>
      <c r="I152" s="253">
        <f t="shared" si="13"/>
        <v>0</v>
      </c>
      <c r="J152" s="158">
        <f t="shared" si="21"/>
        <v>0</v>
      </c>
      <c r="K152" s="158"/>
      <c r="L152" s="334"/>
      <c r="M152" s="158">
        <f t="shared" si="22"/>
        <v>0</v>
      </c>
      <c r="N152" s="334"/>
      <c r="O152" s="158">
        <f t="shared" si="23"/>
        <v>0</v>
      </c>
      <c r="P152" s="158">
        <f t="shared" si="24"/>
        <v>0</v>
      </c>
    </row>
    <row r="153" spans="2:16">
      <c r="B153" s="9" t="str">
        <f t="shared" si="18"/>
        <v/>
      </c>
      <c r="C153" s="153">
        <f>IF(D93="","-",+C152+1)</f>
        <v>2070</v>
      </c>
      <c r="D153" s="154">
        <f>IF(F152+SUM(E$99:E152)=D$92,F152,D$92-SUM(E$99:E152))</f>
        <v>0</v>
      </c>
      <c r="E153" s="160">
        <f>IF(+J96&lt;F152,J96,D153)</f>
        <v>0</v>
      </c>
      <c r="F153" s="159">
        <f t="shared" si="19"/>
        <v>0</v>
      </c>
      <c r="G153" s="159">
        <f t="shared" si="20"/>
        <v>0</v>
      </c>
      <c r="H153" s="163">
        <f t="shared" si="12"/>
        <v>0</v>
      </c>
      <c r="I153" s="253">
        <f t="shared" si="13"/>
        <v>0</v>
      </c>
      <c r="J153" s="158">
        <f t="shared" si="21"/>
        <v>0</v>
      </c>
      <c r="K153" s="158"/>
      <c r="L153" s="334"/>
      <c r="M153" s="158">
        <f t="shared" si="22"/>
        <v>0</v>
      </c>
      <c r="N153" s="334"/>
      <c r="O153" s="158">
        <f t="shared" si="23"/>
        <v>0</v>
      </c>
      <c r="P153" s="158">
        <f t="shared" si="24"/>
        <v>0</v>
      </c>
    </row>
    <row r="154" spans="2:16" ht="13.5" thickBot="1">
      <c r="B154" s="9" t="str">
        <f t="shared" si="18"/>
        <v/>
      </c>
      <c r="C154" s="164">
        <f>IF(D93="","-",+C153+1)</f>
        <v>2071</v>
      </c>
      <c r="D154" s="215">
        <f>IF(F153+SUM(E$99:E153)=D$92,F153,D$92-SUM(E$99:E153))</f>
        <v>0</v>
      </c>
      <c r="E154" s="166">
        <f>IF(+J96&lt;F153,J96,D154)</f>
        <v>0</v>
      </c>
      <c r="F154" s="165">
        <f t="shared" si="19"/>
        <v>0</v>
      </c>
      <c r="G154" s="165">
        <f t="shared" si="20"/>
        <v>0</v>
      </c>
      <c r="H154" s="167">
        <f t="shared" si="12"/>
        <v>0</v>
      </c>
      <c r="I154" s="254">
        <f t="shared" si="13"/>
        <v>0</v>
      </c>
      <c r="J154" s="169">
        <f t="shared" si="21"/>
        <v>0</v>
      </c>
      <c r="K154" s="158"/>
      <c r="L154" s="335"/>
      <c r="M154" s="169">
        <f t="shared" si="22"/>
        <v>0</v>
      </c>
      <c r="N154" s="335"/>
      <c r="O154" s="169">
        <f t="shared" si="23"/>
        <v>0</v>
      </c>
      <c r="P154" s="169">
        <f t="shared" si="24"/>
        <v>0</v>
      </c>
    </row>
    <row r="155" spans="2:16">
      <c r="C155" s="154" t="s">
        <v>73</v>
      </c>
      <c r="D155" s="111"/>
      <c r="E155" s="111">
        <f>SUM(E99:E154)</f>
        <v>25330929</v>
      </c>
      <c r="F155" s="111"/>
      <c r="G155" s="111"/>
      <c r="H155" s="111">
        <f>SUM(H99:H154)</f>
        <v>90049483.599351615</v>
      </c>
      <c r="I155" s="111">
        <f>SUM(I99:I154)</f>
        <v>90049483.599351615</v>
      </c>
      <c r="J155" s="111">
        <f>SUM(J99:J154)</f>
        <v>0</v>
      </c>
      <c r="K155" s="111"/>
      <c r="L155" s="111"/>
      <c r="M155" s="111"/>
      <c r="N155" s="111"/>
      <c r="O155" s="111"/>
      <c r="P155" s="1"/>
    </row>
    <row r="156" spans="2:16">
      <c r="C156" t="s">
        <v>87</v>
      </c>
      <c r="D156" s="2"/>
      <c r="E156" s="1"/>
      <c r="F156" s="1"/>
      <c r="G156" s="1"/>
      <c r="H156" s="1"/>
      <c r="I156" s="3"/>
      <c r="J156" s="3"/>
      <c r="K156" s="111"/>
      <c r="L156" s="3"/>
      <c r="M156" s="3"/>
      <c r="N156" s="3"/>
      <c r="O156" s="3"/>
      <c r="P156" s="1"/>
    </row>
    <row r="157" spans="2:16">
      <c r="C157" s="216"/>
      <c r="D157" s="2"/>
      <c r="E157" s="1"/>
      <c r="F157" s="1"/>
      <c r="G157" s="1"/>
      <c r="H157" s="1"/>
      <c r="I157" s="3"/>
      <c r="J157" s="3"/>
      <c r="K157" s="111"/>
      <c r="L157" s="3"/>
      <c r="M157" s="3"/>
      <c r="N157" s="3"/>
      <c r="O157" s="3"/>
      <c r="P157" s="1"/>
    </row>
    <row r="158" spans="2:16">
      <c r="C158" s="248" t="s">
        <v>127</v>
      </c>
      <c r="D158" s="2"/>
      <c r="E158" s="1"/>
      <c r="F158" s="1"/>
      <c r="G158" s="1"/>
      <c r="H158" s="1"/>
      <c r="I158" s="3"/>
      <c r="J158" s="3"/>
      <c r="K158" s="111"/>
      <c r="L158" s="3"/>
      <c r="M158" s="3"/>
      <c r="N158" s="3"/>
      <c r="O158" s="3"/>
      <c r="P158" s="1"/>
    </row>
    <row r="159" spans="2:16">
      <c r="C159" s="121" t="s">
        <v>74</v>
      </c>
      <c r="D159" s="154"/>
      <c r="E159" s="154"/>
      <c r="F159" s="154"/>
      <c r="G159" s="154"/>
      <c r="H159" s="111"/>
      <c r="I159" s="111"/>
      <c r="J159" s="171"/>
      <c r="K159" s="171"/>
      <c r="L159" s="171"/>
      <c r="M159" s="171"/>
      <c r="N159" s="171"/>
      <c r="O159" s="171"/>
      <c r="P159" s="1"/>
    </row>
    <row r="160" spans="2:16">
      <c r="C160" s="217" t="s">
        <v>75</v>
      </c>
      <c r="D160" s="154"/>
      <c r="E160" s="154"/>
      <c r="F160" s="154"/>
      <c r="G160" s="154"/>
      <c r="H160" s="111"/>
      <c r="I160" s="111"/>
      <c r="J160" s="171"/>
      <c r="K160" s="171"/>
      <c r="L160" s="171"/>
      <c r="M160" s="171"/>
      <c r="N160" s="171"/>
      <c r="O160" s="171"/>
      <c r="P160" s="1"/>
    </row>
    <row r="161" spans="3:16">
      <c r="C161" s="217"/>
      <c r="D161" s="154"/>
      <c r="E161" s="154"/>
      <c r="F161" s="154"/>
      <c r="G161" s="154"/>
      <c r="H161" s="111"/>
      <c r="I161" s="111"/>
      <c r="J161" s="171"/>
      <c r="K161" s="171"/>
      <c r="L161" s="171"/>
      <c r="M161" s="171"/>
      <c r="N161" s="171"/>
      <c r="O161" s="171"/>
      <c r="P161" s="1"/>
    </row>
    <row r="162" spans="3:16" ht="18">
      <c r="C162" s="217"/>
      <c r="D162" s="154"/>
      <c r="E162" s="154"/>
      <c r="F162" s="154"/>
      <c r="G162" s="154"/>
      <c r="H162" s="111"/>
      <c r="I162" s="111"/>
      <c r="J162" s="171"/>
      <c r="K162" s="171"/>
      <c r="L162" s="171"/>
      <c r="M162" s="171"/>
      <c r="N162" s="171"/>
      <c r="P162" s="245" t="s">
        <v>126</v>
      </c>
    </row>
  </sheetData>
  <conditionalFormatting sqref="C17:C72">
    <cfRule type="cellIs" dxfId="47" priority="1" stopIfTrue="1" operator="equal">
      <formula>$I$10</formula>
    </cfRule>
  </conditionalFormatting>
  <conditionalFormatting sqref="C99:C154">
    <cfRule type="cellIs" dxfId="46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08"/>
  <dimension ref="A1:P162"/>
  <sheetViews>
    <sheetView view="pageBreakPreview" topLeftCell="D82" zoomScale="80" zoomScaleNormal="100" zoomScaleSheetLayoutView="80" workbookViewId="0">
      <selection activeCell="C19" sqref="C19"/>
    </sheetView>
  </sheetViews>
  <sheetFormatPr defaultRowHeight="12.75" customHeight="1"/>
  <cols>
    <col min="1" max="1" width="4.7109375" customWidth="1"/>
    <col min="2" max="2" width="6.7109375" customWidth="1"/>
    <col min="3" max="3" width="23.28515625" customWidth="1"/>
    <col min="4" max="8" width="17.7109375" customWidth="1"/>
    <col min="9" max="9" width="20.42578125" customWidth="1"/>
    <col min="10" max="10" width="16.42578125" customWidth="1"/>
    <col min="11" max="11" width="17.7109375" customWidth="1"/>
    <col min="12" max="12" width="16.140625" customWidth="1"/>
    <col min="13" max="13" width="17.7109375" customWidth="1"/>
    <col min="14" max="14" width="16.7109375" customWidth="1"/>
    <col min="15" max="15" width="16.85546875" customWidth="1"/>
    <col min="16" max="16" width="24.42578125" customWidth="1"/>
    <col min="17" max="17" width="9.140625" customWidth="1"/>
    <col min="23" max="23" width="9.140625" customWidth="1"/>
  </cols>
  <sheetData>
    <row r="1" spans="1:16" ht="20.25">
      <c r="A1" s="243" t="s">
        <v>128</v>
      </c>
      <c r="B1" s="1"/>
      <c r="C1" s="21"/>
      <c r="D1" s="2"/>
      <c r="E1" s="1"/>
      <c r="F1" s="99"/>
      <c r="G1" s="1"/>
      <c r="H1" s="3"/>
      <c r="J1" s="7"/>
      <c r="K1" s="109"/>
      <c r="L1" s="109"/>
      <c r="M1" s="109"/>
      <c r="P1" s="249" t="str">
        <f ca="1">"SWEPCO Project "&amp;RIGHT(MID(CELL("filename",$A$1),FIND("]",CELL("filename",$A$1))+1,256),2)&amp;" of "&amp;COUNT('S.001:S.xyz - blank'!$P$3)-1</f>
        <v>SWEPCO Project 59 of 73</v>
      </c>
    </row>
    <row r="2" spans="1:16" ht="18">
      <c r="B2" s="1"/>
      <c r="C2" s="1"/>
      <c r="D2" s="2"/>
      <c r="E2" s="1"/>
      <c r="F2" s="1"/>
      <c r="G2" s="1"/>
      <c r="H2" s="3"/>
      <c r="I2" s="1"/>
      <c r="J2" s="4"/>
      <c r="K2" s="1"/>
      <c r="L2" s="1"/>
      <c r="M2" s="1"/>
      <c r="N2" s="1"/>
      <c r="P2" s="244" t="s">
        <v>124</v>
      </c>
    </row>
    <row r="3" spans="1:16" ht="18.75">
      <c r="B3" s="5" t="s">
        <v>40</v>
      </c>
      <c r="C3" s="68" t="s">
        <v>41</v>
      </c>
      <c r="D3" s="2"/>
      <c r="E3" s="1"/>
      <c r="F3" s="1"/>
      <c r="G3" s="1"/>
      <c r="H3" s="3"/>
      <c r="I3" s="3"/>
      <c r="J3" s="111"/>
      <c r="K3" s="3"/>
      <c r="L3" s="3"/>
      <c r="M3" s="3"/>
      <c r="N3" s="3"/>
      <c r="O3" s="1"/>
      <c r="P3" s="240">
        <v>1</v>
      </c>
    </row>
    <row r="4" spans="1:16" ht="15.75" thickBot="1">
      <c r="C4" s="67"/>
      <c r="D4" s="2"/>
      <c r="E4" s="1"/>
      <c r="F4" s="1"/>
      <c r="G4" s="1"/>
      <c r="H4" s="3"/>
      <c r="I4" s="3"/>
      <c r="J4" s="111"/>
      <c r="K4" s="3"/>
      <c r="L4" s="3"/>
      <c r="M4" s="3"/>
      <c r="N4" s="3"/>
      <c r="O4" s="1"/>
      <c r="P4" s="1"/>
    </row>
    <row r="5" spans="1:16" ht="15">
      <c r="C5" s="112" t="s">
        <v>42</v>
      </c>
      <c r="D5" s="2"/>
      <c r="E5" s="1"/>
      <c r="F5" s="1"/>
      <c r="G5" s="113"/>
      <c r="H5" s="1" t="s">
        <v>43</v>
      </c>
      <c r="I5" s="1"/>
      <c r="J5" s="4"/>
      <c r="K5" s="268" t="s">
        <v>152</v>
      </c>
      <c r="L5" s="114"/>
      <c r="M5" s="115"/>
      <c r="N5" s="116">
        <f>VLOOKUP(I10,C17:I72,5)</f>
        <v>1879734.0121499456</v>
      </c>
      <c r="P5" s="1"/>
    </row>
    <row r="6" spans="1:16" ht="15.75">
      <c r="C6" s="8"/>
      <c r="D6" s="2"/>
      <c r="E6" s="1"/>
      <c r="F6" s="1"/>
      <c r="G6" s="1"/>
      <c r="H6" s="117"/>
      <c r="I6" s="117"/>
      <c r="J6" s="118"/>
      <c r="K6" s="269" t="s">
        <v>153</v>
      </c>
      <c r="L6" s="119"/>
      <c r="M6" s="4"/>
      <c r="N6" s="120">
        <f>VLOOKUP(I10,C17:I72,6)</f>
        <v>1879734.0121499456</v>
      </c>
      <c r="O6" s="1"/>
      <c r="P6" s="1"/>
    </row>
    <row r="7" spans="1:16" ht="13.5" thickBot="1">
      <c r="C7" s="121" t="s">
        <v>44</v>
      </c>
      <c r="D7" s="223" t="s">
        <v>352</v>
      </c>
      <c r="E7" s="379"/>
      <c r="F7" s="1"/>
      <c r="G7" s="1"/>
      <c r="H7" s="3"/>
      <c r="I7" s="3"/>
      <c r="J7" s="111"/>
      <c r="K7" s="122" t="s">
        <v>45</v>
      </c>
      <c r="L7" s="123"/>
      <c r="M7" s="123"/>
      <c r="N7" s="124">
        <f>+N6-N5</f>
        <v>0</v>
      </c>
      <c r="O7" s="1"/>
      <c r="P7" s="1"/>
    </row>
    <row r="8" spans="1:16" ht="13.5" thickBot="1">
      <c r="C8" s="125"/>
      <c r="D8" s="352" t="str">
        <f>IF(D10&lt;100000,"DOES NOT MEET SPP $100,000 MINIMUM INVESTMENT FOR REGIONAL BPU SHARING.","")</f>
        <v/>
      </c>
      <c r="E8" s="126"/>
      <c r="F8" s="126"/>
      <c r="G8" s="126"/>
      <c r="H8" s="126"/>
      <c r="I8" s="126"/>
      <c r="J8" s="101"/>
      <c r="K8" s="126"/>
      <c r="L8" s="126"/>
      <c r="M8" s="126"/>
      <c r="N8" s="126"/>
      <c r="O8" s="101"/>
      <c r="P8" s="21"/>
    </row>
    <row r="9" spans="1:16" ht="13.5" thickBot="1">
      <c r="C9" s="127" t="s">
        <v>46</v>
      </c>
      <c r="D9" s="225" t="s">
        <v>252</v>
      </c>
      <c r="E9" s="401" t="s">
        <v>446</v>
      </c>
      <c r="F9" s="128"/>
      <c r="G9" s="128"/>
      <c r="H9" s="128"/>
      <c r="I9" s="129"/>
      <c r="J9" s="130"/>
      <c r="O9" s="131"/>
      <c r="P9" s="4"/>
    </row>
    <row r="10" spans="1:16">
      <c r="C10" s="132" t="s">
        <v>47</v>
      </c>
      <c r="D10" s="133">
        <v>16078412</v>
      </c>
      <c r="E10" s="61" t="s">
        <v>459</v>
      </c>
      <c r="F10" s="131"/>
      <c r="G10" s="134"/>
      <c r="H10" s="134"/>
      <c r="I10" s="135">
        <f>+SWE.WS.F.BPU.ATRR.Projected!K17</f>
        <v>2019</v>
      </c>
      <c r="J10" s="130"/>
      <c r="K10" s="111" t="s">
        <v>48</v>
      </c>
      <c r="O10" s="4"/>
      <c r="P10" s="4"/>
    </row>
    <row r="11" spans="1:16">
      <c r="C11" s="136" t="s">
        <v>49</v>
      </c>
      <c r="D11" s="137">
        <v>2017</v>
      </c>
      <c r="E11" s="136" t="s">
        <v>50</v>
      </c>
      <c r="F11" s="134"/>
      <c r="G11" s="7"/>
      <c r="H11" s="7"/>
      <c r="I11" s="138">
        <f>IF(G5="",0,SWE.WS.F.BPU.ATRR.Projected!F$11)</f>
        <v>0</v>
      </c>
      <c r="J11" s="139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4"/>
      <c r="P11" s="4"/>
    </row>
    <row r="12" spans="1:16">
      <c r="C12" s="136" t="s">
        <v>51</v>
      </c>
      <c r="D12" s="133">
        <v>3</v>
      </c>
      <c r="E12" s="136" t="s">
        <v>52</v>
      </c>
      <c r="F12" s="134"/>
      <c r="G12" s="7"/>
      <c r="H12" s="7"/>
      <c r="I12" s="140">
        <f>SWE.WS.F.BPU.ATRR.Projected!$F$76</f>
        <v>9.9555672459071778E-2</v>
      </c>
      <c r="J12" s="141"/>
      <c r="K12" t="s">
        <v>53</v>
      </c>
      <c r="O12" s="4"/>
      <c r="P12" s="4"/>
    </row>
    <row r="13" spans="1:16">
      <c r="C13" s="136" t="s">
        <v>54</v>
      </c>
      <c r="D13" s="138">
        <f>+SWE.WS.F.BPU.ATRR.Projected!F$87</f>
        <v>43</v>
      </c>
      <c r="E13" s="136" t="s">
        <v>55</v>
      </c>
      <c r="F13" s="134"/>
      <c r="G13" s="7"/>
      <c r="H13" s="7"/>
      <c r="I13" s="140">
        <f>IF(G5="",I12,SWE.WS.F.BPU.ATRR.Projected!$F$75)</f>
        <v>9.9555672459071778E-2</v>
      </c>
      <c r="J13" s="141"/>
      <c r="K13" s="111" t="s">
        <v>56</v>
      </c>
      <c r="L13" s="58"/>
      <c r="M13" s="58"/>
      <c r="N13" s="58"/>
      <c r="O13" s="4"/>
      <c r="P13" s="4"/>
    </row>
    <row r="14" spans="1:16" ht="13.5" thickBot="1">
      <c r="C14" s="136" t="s">
        <v>57</v>
      </c>
      <c r="D14" s="137" t="s">
        <v>58</v>
      </c>
      <c r="E14" s="4" t="s">
        <v>59</v>
      </c>
      <c r="F14" s="134"/>
      <c r="G14" s="7"/>
      <c r="H14" s="7"/>
      <c r="I14" s="142">
        <f>IF(D10=0,0,D10/D13)</f>
        <v>373916.5581395349</v>
      </c>
      <c r="J14" s="111"/>
      <c r="K14" s="111"/>
      <c r="L14" s="111"/>
      <c r="M14" s="111"/>
      <c r="N14" s="111"/>
      <c r="O14" s="4"/>
      <c r="P14" s="4"/>
    </row>
    <row r="15" spans="1:16" ht="38.25">
      <c r="C15" s="143" t="s">
        <v>47</v>
      </c>
      <c r="D15" s="144" t="s">
        <v>60</v>
      </c>
      <c r="E15" s="144" t="s">
        <v>61</v>
      </c>
      <c r="F15" s="144" t="s">
        <v>62</v>
      </c>
      <c r="G15" s="434" t="s">
        <v>378</v>
      </c>
      <c r="H15" s="435" t="s">
        <v>379</v>
      </c>
      <c r="I15" s="143" t="s">
        <v>63</v>
      </c>
      <c r="J15" s="145"/>
      <c r="K15" s="271" t="s">
        <v>219</v>
      </c>
      <c r="L15" s="146" t="s">
        <v>64</v>
      </c>
      <c r="M15" s="271" t="s">
        <v>219</v>
      </c>
      <c r="N15" s="146" t="s">
        <v>64</v>
      </c>
      <c r="O15" s="146" t="s">
        <v>65</v>
      </c>
      <c r="P15" s="4"/>
    </row>
    <row r="16" spans="1:16" ht="13.5" thickBot="1">
      <c r="C16" s="147" t="s">
        <v>66</v>
      </c>
      <c r="D16" s="147" t="s">
        <v>67</v>
      </c>
      <c r="E16" s="147" t="s">
        <v>68</v>
      </c>
      <c r="F16" s="147" t="s">
        <v>67</v>
      </c>
      <c r="G16" s="408" t="s">
        <v>69</v>
      </c>
      <c r="H16" s="148" t="s">
        <v>70</v>
      </c>
      <c r="I16" s="149" t="s">
        <v>89</v>
      </c>
      <c r="J16" s="150" t="s">
        <v>71</v>
      </c>
      <c r="K16" s="151" t="s">
        <v>72</v>
      </c>
      <c r="L16" s="151" t="s">
        <v>72</v>
      </c>
      <c r="M16" s="151" t="s">
        <v>90</v>
      </c>
      <c r="N16" s="152" t="s">
        <v>90</v>
      </c>
      <c r="O16" s="151" t="s">
        <v>90</v>
      </c>
      <c r="P16" s="4"/>
    </row>
    <row r="17" spans="2:16">
      <c r="C17" s="153">
        <v>2016</v>
      </c>
      <c r="D17" s="411">
        <v>9636181</v>
      </c>
      <c r="E17" s="410">
        <v>0</v>
      </c>
      <c r="F17" s="411">
        <v>9636181</v>
      </c>
      <c r="G17" s="410">
        <v>1253474.1837577762</v>
      </c>
      <c r="H17" s="416">
        <v>1253474.1837577762</v>
      </c>
      <c r="I17" s="156">
        <f t="shared" ref="I17:I72" si="0">H17-G17</f>
        <v>0</v>
      </c>
      <c r="J17" s="156"/>
      <c r="K17" s="258">
        <f>+G17</f>
        <v>1253474.1837577762</v>
      </c>
      <c r="L17" s="257">
        <f t="shared" ref="L17:L72" si="1">IF(K17&lt;&gt;0,+G17-K17,0)</f>
        <v>0</v>
      </c>
      <c r="M17" s="258">
        <f>+H17</f>
        <v>1253474.1837577762</v>
      </c>
      <c r="N17" s="158">
        <f t="shared" ref="N17:N72" si="2">IF(M17&lt;&gt;0,+H17-M17,0)</f>
        <v>0</v>
      </c>
      <c r="O17" s="158">
        <f t="shared" ref="O17:O72" si="3">+N17-L17</f>
        <v>0</v>
      </c>
      <c r="P17" s="4"/>
    </row>
    <row r="18" spans="2:16">
      <c r="B18" s="9" t="str">
        <f>IF(D18=F17,"","IU")</f>
        <v>IU</v>
      </c>
      <c r="C18" s="153">
        <f>IF(D11="","-",+C17+1)</f>
        <v>2017</v>
      </c>
      <c r="D18" s="411">
        <v>16078412</v>
      </c>
      <c r="E18" s="410">
        <v>373916.5581395349</v>
      </c>
      <c r="F18" s="411">
        <v>15704495.441860465</v>
      </c>
      <c r="G18" s="410">
        <v>2342749.0224735853</v>
      </c>
      <c r="H18" s="416">
        <v>2342749.0224735853</v>
      </c>
      <c r="I18" s="156">
        <v>0</v>
      </c>
      <c r="J18" s="156"/>
      <c r="K18" s="258">
        <f>+G18</f>
        <v>2342749.0224735853</v>
      </c>
      <c r="L18" s="257">
        <f>IF(K18&lt;&gt;0,+G18-K18,0)</f>
        <v>0</v>
      </c>
      <c r="M18" s="258">
        <f>+H18</f>
        <v>2342749.0224735853</v>
      </c>
      <c r="N18" s="158">
        <f>IF(M18&lt;&gt;0,+H18-M18,0)</f>
        <v>0</v>
      </c>
      <c r="O18" s="158">
        <f>+N18-L18</f>
        <v>0</v>
      </c>
      <c r="P18" s="4"/>
    </row>
    <row r="19" spans="2:16">
      <c r="B19" s="9" t="str">
        <f>IF(D19=F18,"","IU")</f>
        <v/>
      </c>
      <c r="C19" s="153">
        <f>IF(D11="","-",+C18+1)</f>
        <v>2018</v>
      </c>
      <c r="D19" s="411">
        <v>15704495.441860465</v>
      </c>
      <c r="E19" s="410">
        <v>392156.39024390245</v>
      </c>
      <c r="F19" s="411">
        <v>15312339.051616563</v>
      </c>
      <c r="G19" s="410">
        <v>2127303.4028455764</v>
      </c>
      <c r="H19" s="416">
        <v>2127303.4028455764</v>
      </c>
      <c r="I19" s="156">
        <f t="shared" si="0"/>
        <v>0</v>
      </c>
      <c r="J19" s="156"/>
      <c r="K19" s="258">
        <f>+G19</f>
        <v>2127303.4028455764</v>
      </c>
      <c r="L19" s="257">
        <f>IF(K19&lt;&gt;0,+G19-K19,0)</f>
        <v>0</v>
      </c>
      <c r="M19" s="258">
        <f>+H19</f>
        <v>2127303.4028455764</v>
      </c>
      <c r="N19" s="158">
        <f>IF(M19&lt;&gt;0,+H19-M19,0)</f>
        <v>0</v>
      </c>
      <c r="O19" s="158">
        <f>+N19-L19</f>
        <v>0</v>
      </c>
      <c r="P19" s="4"/>
    </row>
    <row r="20" spans="2:16">
      <c r="B20" s="9" t="str">
        <f t="shared" ref="B20:B72" si="4">IF(D20=F19,"","IU")</f>
        <v/>
      </c>
      <c r="C20" s="153">
        <f>IF(D11="","-",+C19+1)</f>
        <v>2019</v>
      </c>
      <c r="D20" s="159">
        <f>IF(F19+SUM(E$17:E19)=D$10,F19,D$10-SUM(E$17:E19))</f>
        <v>15312339.051616563</v>
      </c>
      <c r="E20" s="160">
        <f>IF(+I14&lt;F19,I14,D20)</f>
        <v>373916.5581395349</v>
      </c>
      <c r="F20" s="159">
        <f t="shared" ref="F20:F72" si="5">+D20-E20</f>
        <v>14938422.493477028</v>
      </c>
      <c r="G20" s="161">
        <f t="shared" ref="G20:G49" si="6">+I$12*((D20+F20)/2)+E20</f>
        <v>1879734.0121499456</v>
      </c>
      <c r="H20" s="142">
        <f t="shared" ref="H20:H49" si="7">+I$13*((D20+F20)/2)+E20</f>
        <v>1879734.0121499456</v>
      </c>
      <c r="I20" s="156">
        <f t="shared" si="0"/>
        <v>0</v>
      </c>
      <c r="J20" s="156"/>
      <c r="K20" s="334"/>
      <c r="L20" s="158">
        <f t="shared" si="1"/>
        <v>0</v>
      </c>
      <c r="M20" s="334"/>
      <c r="N20" s="158">
        <f t="shared" si="2"/>
        <v>0</v>
      </c>
      <c r="O20" s="158">
        <f t="shared" si="3"/>
        <v>0</v>
      </c>
      <c r="P20" s="4"/>
    </row>
    <row r="21" spans="2:16">
      <c r="B21" s="9" t="str">
        <f t="shared" si="4"/>
        <v/>
      </c>
      <c r="C21" s="153">
        <f>IF(D11="","-",+C20+1)</f>
        <v>2020</v>
      </c>
      <c r="D21" s="159">
        <f>IF(F20+SUM(E$17:E20)=D$10,F20,D$10-SUM(E$17:E20))</f>
        <v>14938422.493477028</v>
      </c>
      <c r="E21" s="160">
        <f>IF(+I14&lt;F20,I14,D21)</f>
        <v>373916.5581395349</v>
      </c>
      <c r="F21" s="159">
        <f t="shared" si="5"/>
        <v>14564505.935337493</v>
      </c>
      <c r="G21" s="161">
        <f t="shared" si="6"/>
        <v>1842508.4977607827</v>
      </c>
      <c r="H21" s="142">
        <f t="shared" si="7"/>
        <v>1842508.4977607827</v>
      </c>
      <c r="I21" s="156">
        <f t="shared" si="0"/>
        <v>0</v>
      </c>
      <c r="J21" s="156"/>
      <c r="K21" s="334"/>
      <c r="L21" s="158">
        <f t="shared" si="1"/>
        <v>0</v>
      </c>
      <c r="M21" s="334"/>
      <c r="N21" s="158">
        <f t="shared" si="2"/>
        <v>0</v>
      </c>
      <c r="O21" s="158">
        <f t="shared" si="3"/>
        <v>0</v>
      </c>
      <c r="P21" s="4"/>
    </row>
    <row r="22" spans="2:16">
      <c r="B22" s="9" t="str">
        <f t="shared" si="4"/>
        <v/>
      </c>
      <c r="C22" s="153">
        <f>IF(D11="","-",+C21+1)</f>
        <v>2021</v>
      </c>
      <c r="D22" s="159">
        <f>IF(F21+SUM(E$17:E21)=D$10,F21,D$10-SUM(E$17:E21))</f>
        <v>14564505.935337493</v>
      </c>
      <c r="E22" s="160">
        <f>IF(+I14&lt;F21,I14,D22)</f>
        <v>373916.5581395349</v>
      </c>
      <c r="F22" s="159">
        <f t="shared" si="5"/>
        <v>14190589.377197959</v>
      </c>
      <c r="G22" s="161">
        <f t="shared" si="6"/>
        <v>1805282.9833716196</v>
      </c>
      <c r="H22" s="142">
        <f t="shared" si="7"/>
        <v>1805282.9833716196</v>
      </c>
      <c r="I22" s="156">
        <f t="shared" si="0"/>
        <v>0</v>
      </c>
      <c r="J22" s="156"/>
      <c r="K22" s="334"/>
      <c r="L22" s="158">
        <f t="shared" si="1"/>
        <v>0</v>
      </c>
      <c r="M22" s="334"/>
      <c r="N22" s="158">
        <f t="shared" si="2"/>
        <v>0</v>
      </c>
      <c r="O22" s="158">
        <f t="shared" si="3"/>
        <v>0</v>
      </c>
      <c r="P22" s="4"/>
    </row>
    <row r="23" spans="2:16">
      <c r="B23" s="9" t="str">
        <f t="shared" si="4"/>
        <v/>
      </c>
      <c r="C23" s="153">
        <f>IF(D11="","-",+C22+1)</f>
        <v>2022</v>
      </c>
      <c r="D23" s="159">
        <f>IF(F22+SUM(E$17:E22)=D$10,F22,D$10-SUM(E$17:E22))</f>
        <v>14190589.377197959</v>
      </c>
      <c r="E23" s="160">
        <f>IF(+I14&lt;F22,I14,D23)</f>
        <v>373916.5581395349</v>
      </c>
      <c r="F23" s="159">
        <f t="shared" si="5"/>
        <v>13816672.819058424</v>
      </c>
      <c r="G23" s="161">
        <f t="shared" si="6"/>
        <v>1768057.468982457</v>
      </c>
      <c r="H23" s="142">
        <f t="shared" si="7"/>
        <v>1768057.468982457</v>
      </c>
      <c r="I23" s="156">
        <f t="shared" si="0"/>
        <v>0</v>
      </c>
      <c r="J23" s="156"/>
      <c r="K23" s="334"/>
      <c r="L23" s="158">
        <f t="shared" si="1"/>
        <v>0</v>
      </c>
      <c r="M23" s="334"/>
      <c r="N23" s="158">
        <f t="shared" si="2"/>
        <v>0</v>
      </c>
      <c r="O23" s="158">
        <f t="shared" si="3"/>
        <v>0</v>
      </c>
      <c r="P23" s="4"/>
    </row>
    <row r="24" spans="2:16">
      <c r="B24" s="9" t="str">
        <f t="shared" si="4"/>
        <v/>
      </c>
      <c r="C24" s="153">
        <f>IF(D11="","-",+C23+1)</f>
        <v>2023</v>
      </c>
      <c r="D24" s="159">
        <f>IF(F23+SUM(E$17:E23)=D$10,F23,D$10-SUM(E$17:E23))</f>
        <v>13816672.819058424</v>
      </c>
      <c r="E24" s="160">
        <f>IF(+I14&lt;F23,I14,D24)</f>
        <v>373916.5581395349</v>
      </c>
      <c r="F24" s="159">
        <f t="shared" si="5"/>
        <v>13442756.260918889</v>
      </c>
      <c r="G24" s="161">
        <f t="shared" si="6"/>
        <v>1730831.9545932936</v>
      </c>
      <c r="H24" s="142">
        <f t="shared" si="7"/>
        <v>1730831.9545932936</v>
      </c>
      <c r="I24" s="156">
        <f t="shared" si="0"/>
        <v>0</v>
      </c>
      <c r="J24" s="156"/>
      <c r="K24" s="334"/>
      <c r="L24" s="158">
        <f t="shared" si="1"/>
        <v>0</v>
      </c>
      <c r="M24" s="334"/>
      <c r="N24" s="158">
        <f t="shared" si="2"/>
        <v>0</v>
      </c>
      <c r="O24" s="158">
        <f t="shared" si="3"/>
        <v>0</v>
      </c>
      <c r="P24" s="4"/>
    </row>
    <row r="25" spans="2:16">
      <c r="B25" s="9" t="str">
        <f t="shared" si="4"/>
        <v/>
      </c>
      <c r="C25" s="153">
        <f>IF(D11="","-",+C24+1)</f>
        <v>2024</v>
      </c>
      <c r="D25" s="159">
        <f>IF(F24+SUM(E$17:E24)=D$10,F24,D$10-SUM(E$17:E24))</f>
        <v>13442756.260918889</v>
      </c>
      <c r="E25" s="160">
        <f>IF(+I14&lt;F24,I14,D25)</f>
        <v>373916.5581395349</v>
      </c>
      <c r="F25" s="159">
        <f t="shared" si="5"/>
        <v>13068839.702779355</v>
      </c>
      <c r="G25" s="161">
        <f t="shared" si="6"/>
        <v>1693606.440204131</v>
      </c>
      <c r="H25" s="142">
        <f t="shared" si="7"/>
        <v>1693606.440204131</v>
      </c>
      <c r="I25" s="156">
        <f t="shared" si="0"/>
        <v>0</v>
      </c>
      <c r="J25" s="156"/>
      <c r="K25" s="334"/>
      <c r="L25" s="158">
        <f t="shared" si="1"/>
        <v>0</v>
      </c>
      <c r="M25" s="334"/>
      <c r="N25" s="158">
        <f t="shared" si="2"/>
        <v>0</v>
      </c>
      <c r="O25" s="158">
        <f t="shared" si="3"/>
        <v>0</v>
      </c>
      <c r="P25" s="4"/>
    </row>
    <row r="26" spans="2:16">
      <c r="B26" s="9" t="str">
        <f t="shared" si="4"/>
        <v/>
      </c>
      <c r="C26" s="153">
        <f>IF(D11="","-",+C25+1)</f>
        <v>2025</v>
      </c>
      <c r="D26" s="159">
        <f>IF(F25+SUM(E$17:E25)=D$10,F25,D$10-SUM(E$17:E25))</f>
        <v>13068839.702779355</v>
      </c>
      <c r="E26" s="160">
        <f>IF(+I14&lt;F25,I14,D26)</f>
        <v>373916.5581395349</v>
      </c>
      <c r="F26" s="159">
        <f t="shared" si="5"/>
        <v>12694923.14463982</v>
      </c>
      <c r="G26" s="161">
        <f t="shared" si="6"/>
        <v>1656380.9258149676</v>
      </c>
      <c r="H26" s="142">
        <f t="shared" si="7"/>
        <v>1656380.9258149676</v>
      </c>
      <c r="I26" s="156">
        <f t="shared" si="0"/>
        <v>0</v>
      </c>
      <c r="J26" s="156"/>
      <c r="K26" s="334"/>
      <c r="L26" s="158">
        <f t="shared" si="1"/>
        <v>0</v>
      </c>
      <c r="M26" s="334"/>
      <c r="N26" s="158">
        <f t="shared" si="2"/>
        <v>0</v>
      </c>
      <c r="O26" s="158">
        <f t="shared" si="3"/>
        <v>0</v>
      </c>
      <c r="P26" s="4"/>
    </row>
    <row r="27" spans="2:16">
      <c r="B27" s="9" t="str">
        <f t="shared" si="4"/>
        <v/>
      </c>
      <c r="C27" s="153">
        <f>IF(D11="","-",+C26+1)</f>
        <v>2026</v>
      </c>
      <c r="D27" s="159">
        <f>IF(F26+SUM(E$17:E26)=D$10,F26,D$10-SUM(E$17:E26))</f>
        <v>12694923.14463982</v>
      </c>
      <c r="E27" s="160">
        <f>IF(+I14&lt;F26,I14,D27)</f>
        <v>373916.5581395349</v>
      </c>
      <c r="F27" s="159">
        <f t="shared" si="5"/>
        <v>12321006.586500285</v>
      </c>
      <c r="G27" s="161">
        <f t="shared" si="6"/>
        <v>1619155.411425805</v>
      </c>
      <c r="H27" s="142">
        <f t="shared" si="7"/>
        <v>1619155.411425805</v>
      </c>
      <c r="I27" s="156">
        <f t="shared" si="0"/>
        <v>0</v>
      </c>
      <c r="J27" s="156"/>
      <c r="K27" s="334"/>
      <c r="L27" s="158">
        <f t="shared" si="1"/>
        <v>0</v>
      </c>
      <c r="M27" s="334"/>
      <c r="N27" s="158">
        <f t="shared" si="2"/>
        <v>0</v>
      </c>
      <c r="O27" s="158">
        <f t="shared" si="3"/>
        <v>0</v>
      </c>
      <c r="P27" s="4"/>
    </row>
    <row r="28" spans="2:16">
      <c r="B28" s="9" t="str">
        <f t="shared" si="4"/>
        <v/>
      </c>
      <c r="C28" s="153">
        <f>IF(D11="","-",+C27+1)</f>
        <v>2027</v>
      </c>
      <c r="D28" s="159">
        <f>IF(F27+SUM(E$17:E27)=D$10,F27,D$10-SUM(E$17:E27))</f>
        <v>12321006.586500285</v>
      </c>
      <c r="E28" s="160">
        <f>IF(+I14&lt;F27,I14,D28)</f>
        <v>373916.5581395349</v>
      </c>
      <c r="F28" s="159">
        <f t="shared" si="5"/>
        <v>11947090.028360751</v>
      </c>
      <c r="G28" s="161">
        <f t="shared" si="6"/>
        <v>1581929.8970366418</v>
      </c>
      <c r="H28" s="142">
        <f t="shared" si="7"/>
        <v>1581929.8970366418</v>
      </c>
      <c r="I28" s="156">
        <f t="shared" si="0"/>
        <v>0</v>
      </c>
      <c r="J28" s="156"/>
      <c r="K28" s="334"/>
      <c r="L28" s="158">
        <f t="shared" si="1"/>
        <v>0</v>
      </c>
      <c r="M28" s="334"/>
      <c r="N28" s="158">
        <f t="shared" si="2"/>
        <v>0</v>
      </c>
      <c r="O28" s="158">
        <f t="shared" si="3"/>
        <v>0</v>
      </c>
      <c r="P28" s="4"/>
    </row>
    <row r="29" spans="2:16">
      <c r="B29" s="9" t="str">
        <f t="shared" si="4"/>
        <v/>
      </c>
      <c r="C29" s="153">
        <f>IF(D11="","-",+C28+1)</f>
        <v>2028</v>
      </c>
      <c r="D29" s="159">
        <f>IF(F28+SUM(E$17:E28)=D$10,F28,D$10-SUM(E$17:E28))</f>
        <v>11947090.028360751</v>
      </c>
      <c r="E29" s="160">
        <f>IF(+I14&lt;F28,I14,D29)</f>
        <v>373916.5581395349</v>
      </c>
      <c r="F29" s="159">
        <f t="shared" si="5"/>
        <v>11573173.470221216</v>
      </c>
      <c r="G29" s="161">
        <f t="shared" si="6"/>
        <v>1544704.382647479</v>
      </c>
      <c r="H29" s="142">
        <f t="shared" si="7"/>
        <v>1544704.382647479</v>
      </c>
      <c r="I29" s="156">
        <f t="shared" si="0"/>
        <v>0</v>
      </c>
      <c r="J29" s="156"/>
      <c r="K29" s="334"/>
      <c r="L29" s="158">
        <f t="shared" si="1"/>
        <v>0</v>
      </c>
      <c r="M29" s="334"/>
      <c r="N29" s="158">
        <f t="shared" si="2"/>
        <v>0</v>
      </c>
      <c r="O29" s="158">
        <f t="shared" si="3"/>
        <v>0</v>
      </c>
      <c r="P29" s="4"/>
    </row>
    <row r="30" spans="2:16">
      <c r="B30" s="9" t="str">
        <f t="shared" si="4"/>
        <v/>
      </c>
      <c r="C30" s="153">
        <f>IF(D11="","-",+C29+1)</f>
        <v>2029</v>
      </c>
      <c r="D30" s="159">
        <f>IF(F29+SUM(E$17:E29)=D$10,F29,D$10-SUM(E$17:E29))</f>
        <v>11573173.470221216</v>
      </c>
      <c r="E30" s="160">
        <f>IF(+I14&lt;F29,I14,D30)</f>
        <v>373916.5581395349</v>
      </c>
      <c r="F30" s="159">
        <f t="shared" si="5"/>
        <v>11199256.912081681</v>
      </c>
      <c r="G30" s="161">
        <f t="shared" si="6"/>
        <v>1507478.8682583158</v>
      </c>
      <c r="H30" s="142">
        <f t="shared" si="7"/>
        <v>1507478.8682583158</v>
      </c>
      <c r="I30" s="156">
        <f t="shared" si="0"/>
        <v>0</v>
      </c>
      <c r="J30" s="156"/>
      <c r="K30" s="334"/>
      <c r="L30" s="158">
        <f t="shared" si="1"/>
        <v>0</v>
      </c>
      <c r="M30" s="334"/>
      <c r="N30" s="158">
        <f t="shared" si="2"/>
        <v>0</v>
      </c>
      <c r="O30" s="158">
        <f t="shared" si="3"/>
        <v>0</v>
      </c>
      <c r="P30" s="4"/>
    </row>
    <row r="31" spans="2:16">
      <c r="B31" s="9" t="str">
        <f t="shared" si="4"/>
        <v/>
      </c>
      <c r="C31" s="153">
        <f>IF(D11="","-",+C30+1)</f>
        <v>2030</v>
      </c>
      <c r="D31" s="159">
        <f>IF(F30+SUM(E$17:E30)=D$10,F30,D$10-SUM(E$17:E30))</f>
        <v>11199256.912081681</v>
      </c>
      <c r="E31" s="160">
        <f>IF(+I14&lt;F30,I14,D31)</f>
        <v>373916.5581395349</v>
      </c>
      <c r="F31" s="159">
        <f t="shared" si="5"/>
        <v>10825340.353942147</v>
      </c>
      <c r="G31" s="161">
        <f t="shared" si="6"/>
        <v>1470253.353869153</v>
      </c>
      <c r="H31" s="142">
        <f t="shared" si="7"/>
        <v>1470253.353869153</v>
      </c>
      <c r="I31" s="156">
        <f t="shared" si="0"/>
        <v>0</v>
      </c>
      <c r="J31" s="156"/>
      <c r="K31" s="334"/>
      <c r="L31" s="158">
        <f t="shared" si="1"/>
        <v>0</v>
      </c>
      <c r="M31" s="334"/>
      <c r="N31" s="158">
        <f t="shared" si="2"/>
        <v>0</v>
      </c>
      <c r="O31" s="158">
        <f t="shared" si="3"/>
        <v>0</v>
      </c>
      <c r="P31" s="4"/>
    </row>
    <row r="32" spans="2:16">
      <c r="B32" s="9" t="str">
        <f t="shared" si="4"/>
        <v/>
      </c>
      <c r="C32" s="153">
        <f>IF(D11="","-",+C31+1)</f>
        <v>2031</v>
      </c>
      <c r="D32" s="159">
        <f>IF(F31+SUM(E$17:E31)=D$10,F31,D$10-SUM(E$17:E31))</f>
        <v>10825340.353942147</v>
      </c>
      <c r="E32" s="160">
        <f>IF(+I14&lt;F31,I14,D32)</f>
        <v>373916.5581395349</v>
      </c>
      <c r="F32" s="159">
        <f t="shared" si="5"/>
        <v>10451423.795802612</v>
      </c>
      <c r="G32" s="161">
        <f t="shared" si="6"/>
        <v>1433027.8394799898</v>
      </c>
      <c r="H32" s="142">
        <f t="shared" si="7"/>
        <v>1433027.8394799898</v>
      </c>
      <c r="I32" s="156">
        <f t="shared" si="0"/>
        <v>0</v>
      </c>
      <c r="J32" s="156"/>
      <c r="K32" s="334"/>
      <c r="L32" s="158">
        <f t="shared" si="1"/>
        <v>0</v>
      </c>
      <c r="M32" s="334"/>
      <c r="N32" s="158">
        <f t="shared" si="2"/>
        <v>0</v>
      </c>
      <c r="O32" s="158">
        <f t="shared" si="3"/>
        <v>0</v>
      </c>
      <c r="P32" s="4"/>
    </row>
    <row r="33" spans="2:16">
      <c r="B33" s="9" t="str">
        <f t="shared" si="4"/>
        <v/>
      </c>
      <c r="C33" s="153">
        <f>IF(D11="","-",+C32+1)</f>
        <v>2032</v>
      </c>
      <c r="D33" s="159">
        <f>IF(F32+SUM(E$17:E32)=D$10,F32,D$10-SUM(E$17:E32))</f>
        <v>10451423.795802612</v>
      </c>
      <c r="E33" s="160">
        <f>IF(+I14&lt;F32,I14,D33)</f>
        <v>373916.5581395349</v>
      </c>
      <c r="F33" s="159">
        <f t="shared" si="5"/>
        <v>10077507.237663077</v>
      </c>
      <c r="G33" s="161">
        <f t="shared" si="6"/>
        <v>1395802.325090827</v>
      </c>
      <c r="H33" s="142">
        <f t="shared" si="7"/>
        <v>1395802.325090827</v>
      </c>
      <c r="I33" s="156">
        <f t="shared" si="0"/>
        <v>0</v>
      </c>
      <c r="J33" s="156"/>
      <c r="K33" s="334"/>
      <c r="L33" s="158">
        <f t="shared" si="1"/>
        <v>0</v>
      </c>
      <c r="M33" s="334"/>
      <c r="N33" s="158">
        <f t="shared" si="2"/>
        <v>0</v>
      </c>
      <c r="O33" s="158">
        <f t="shared" si="3"/>
        <v>0</v>
      </c>
      <c r="P33" s="4"/>
    </row>
    <row r="34" spans="2:16">
      <c r="B34" s="9" t="str">
        <f t="shared" si="4"/>
        <v/>
      </c>
      <c r="C34" s="153">
        <f>IF(D11="","-",+C33+1)</f>
        <v>2033</v>
      </c>
      <c r="D34" s="159">
        <f>IF(F33+SUM(E$17:E33)=D$10,F33,D$10-SUM(E$17:E33))</f>
        <v>10077507.237663077</v>
      </c>
      <c r="E34" s="160">
        <f>IF(+I14&lt;F33,I14,D34)</f>
        <v>373916.5581395349</v>
      </c>
      <c r="F34" s="159">
        <f t="shared" si="5"/>
        <v>9703590.6795235425</v>
      </c>
      <c r="G34" s="161">
        <f t="shared" si="6"/>
        <v>1358576.8107016638</v>
      </c>
      <c r="H34" s="142">
        <f t="shared" si="7"/>
        <v>1358576.8107016638</v>
      </c>
      <c r="I34" s="156">
        <f t="shared" si="0"/>
        <v>0</v>
      </c>
      <c r="J34" s="156"/>
      <c r="K34" s="334"/>
      <c r="L34" s="158">
        <f t="shared" si="1"/>
        <v>0</v>
      </c>
      <c r="M34" s="334"/>
      <c r="N34" s="158">
        <f t="shared" si="2"/>
        <v>0</v>
      </c>
      <c r="O34" s="158">
        <f t="shared" si="3"/>
        <v>0</v>
      </c>
      <c r="P34" s="4"/>
    </row>
    <row r="35" spans="2:16">
      <c r="B35" s="9" t="str">
        <f t="shared" si="4"/>
        <v/>
      </c>
      <c r="C35" s="153">
        <f>IF(D11="","-",+C34+1)</f>
        <v>2034</v>
      </c>
      <c r="D35" s="159">
        <f>IF(F34+SUM(E$17:E34)=D$10,F34,D$10-SUM(E$17:E34))</f>
        <v>9703590.6795235425</v>
      </c>
      <c r="E35" s="160">
        <f>IF(+I14&lt;F34,I14,D35)</f>
        <v>373916.5581395349</v>
      </c>
      <c r="F35" s="159">
        <f t="shared" si="5"/>
        <v>9329674.1213840079</v>
      </c>
      <c r="G35" s="161">
        <f t="shared" si="6"/>
        <v>1321351.2963125012</v>
      </c>
      <c r="H35" s="142">
        <f t="shared" si="7"/>
        <v>1321351.2963125012</v>
      </c>
      <c r="I35" s="156">
        <f t="shared" si="0"/>
        <v>0</v>
      </c>
      <c r="J35" s="156"/>
      <c r="K35" s="334"/>
      <c r="L35" s="158">
        <f t="shared" si="1"/>
        <v>0</v>
      </c>
      <c r="M35" s="334"/>
      <c r="N35" s="158">
        <f t="shared" si="2"/>
        <v>0</v>
      </c>
      <c r="O35" s="158">
        <f t="shared" si="3"/>
        <v>0</v>
      </c>
      <c r="P35" s="4"/>
    </row>
    <row r="36" spans="2:16">
      <c r="B36" s="9" t="str">
        <f t="shared" si="4"/>
        <v/>
      </c>
      <c r="C36" s="153">
        <f>IF(D11="","-",+C35+1)</f>
        <v>2035</v>
      </c>
      <c r="D36" s="159">
        <f>IF(F35+SUM(E$17:E35)=D$10,F35,D$10-SUM(E$17:E35))</f>
        <v>9329674.1213840079</v>
      </c>
      <c r="E36" s="160">
        <f>IF(+I14&lt;F35,I14,D36)</f>
        <v>373916.5581395349</v>
      </c>
      <c r="F36" s="159">
        <f t="shared" si="5"/>
        <v>8955757.5632444732</v>
      </c>
      <c r="G36" s="161">
        <f t="shared" si="6"/>
        <v>1284125.7819233378</v>
      </c>
      <c r="H36" s="142">
        <f t="shared" si="7"/>
        <v>1284125.7819233378</v>
      </c>
      <c r="I36" s="156">
        <f t="shared" si="0"/>
        <v>0</v>
      </c>
      <c r="J36" s="156"/>
      <c r="K36" s="334"/>
      <c r="L36" s="158">
        <f t="shared" si="1"/>
        <v>0</v>
      </c>
      <c r="M36" s="334"/>
      <c r="N36" s="158">
        <f t="shared" si="2"/>
        <v>0</v>
      </c>
      <c r="O36" s="158">
        <f t="shared" si="3"/>
        <v>0</v>
      </c>
      <c r="P36" s="4"/>
    </row>
    <row r="37" spans="2:16">
      <c r="B37" s="9" t="str">
        <f t="shared" si="4"/>
        <v/>
      </c>
      <c r="C37" s="153">
        <f>IF(D11="","-",+C36+1)</f>
        <v>2036</v>
      </c>
      <c r="D37" s="159">
        <f>IF(F36+SUM(E$17:E36)=D$10,F36,D$10-SUM(E$17:E36))</f>
        <v>8955757.5632444732</v>
      </c>
      <c r="E37" s="160">
        <f>IF(+I14&lt;F36,I14,D37)</f>
        <v>373916.5581395349</v>
      </c>
      <c r="F37" s="159">
        <f t="shared" si="5"/>
        <v>8581841.0051049385</v>
      </c>
      <c r="G37" s="161">
        <f t="shared" si="6"/>
        <v>1246900.267534175</v>
      </c>
      <c r="H37" s="142">
        <f t="shared" si="7"/>
        <v>1246900.267534175</v>
      </c>
      <c r="I37" s="156">
        <f t="shared" si="0"/>
        <v>0</v>
      </c>
      <c r="J37" s="156"/>
      <c r="K37" s="334"/>
      <c r="L37" s="158">
        <f t="shared" si="1"/>
        <v>0</v>
      </c>
      <c r="M37" s="334"/>
      <c r="N37" s="158">
        <f t="shared" si="2"/>
        <v>0</v>
      </c>
      <c r="O37" s="158">
        <f t="shared" si="3"/>
        <v>0</v>
      </c>
      <c r="P37" s="4"/>
    </row>
    <row r="38" spans="2:16">
      <c r="B38" s="9" t="str">
        <f t="shared" si="4"/>
        <v/>
      </c>
      <c r="C38" s="153">
        <f>IF(D11="","-",+C37+1)</f>
        <v>2037</v>
      </c>
      <c r="D38" s="159">
        <f>IF(F37+SUM(E$17:E37)=D$10,F37,D$10-SUM(E$17:E37))</f>
        <v>8581841.0051049385</v>
      </c>
      <c r="E38" s="160">
        <f>IF(+I14&lt;F37,I14,D38)</f>
        <v>373916.5581395349</v>
      </c>
      <c r="F38" s="159">
        <f t="shared" si="5"/>
        <v>8207924.4469654039</v>
      </c>
      <c r="G38" s="161">
        <f t="shared" si="6"/>
        <v>1209674.7531450121</v>
      </c>
      <c r="H38" s="142">
        <f t="shared" si="7"/>
        <v>1209674.7531450121</v>
      </c>
      <c r="I38" s="156">
        <f t="shared" si="0"/>
        <v>0</v>
      </c>
      <c r="J38" s="156"/>
      <c r="K38" s="334"/>
      <c r="L38" s="158">
        <f t="shared" si="1"/>
        <v>0</v>
      </c>
      <c r="M38" s="334"/>
      <c r="N38" s="158">
        <f t="shared" si="2"/>
        <v>0</v>
      </c>
      <c r="O38" s="158">
        <f t="shared" si="3"/>
        <v>0</v>
      </c>
      <c r="P38" s="4"/>
    </row>
    <row r="39" spans="2:16">
      <c r="B39" s="9" t="str">
        <f t="shared" si="4"/>
        <v/>
      </c>
      <c r="C39" s="153">
        <f>IF(D11="","-",+C38+1)</f>
        <v>2038</v>
      </c>
      <c r="D39" s="159">
        <f>IF(F38+SUM(E$17:E38)=D$10,F38,D$10-SUM(E$17:E38))</f>
        <v>8207924.4469654039</v>
      </c>
      <c r="E39" s="160">
        <f>IF(+I14&lt;F38,I14,D39)</f>
        <v>373916.5581395349</v>
      </c>
      <c r="F39" s="159">
        <f t="shared" si="5"/>
        <v>7834007.8888258692</v>
      </c>
      <c r="G39" s="161">
        <f t="shared" si="6"/>
        <v>1172449.2387558492</v>
      </c>
      <c r="H39" s="142">
        <f t="shared" si="7"/>
        <v>1172449.2387558492</v>
      </c>
      <c r="I39" s="156">
        <f t="shared" si="0"/>
        <v>0</v>
      </c>
      <c r="J39" s="156"/>
      <c r="K39" s="334"/>
      <c r="L39" s="158">
        <f t="shared" si="1"/>
        <v>0</v>
      </c>
      <c r="M39" s="334"/>
      <c r="N39" s="158">
        <f t="shared" si="2"/>
        <v>0</v>
      </c>
      <c r="O39" s="158">
        <f t="shared" si="3"/>
        <v>0</v>
      </c>
      <c r="P39" s="4"/>
    </row>
    <row r="40" spans="2:16">
      <c r="B40" s="9" t="str">
        <f t="shared" si="4"/>
        <v/>
      </c>
      <c r="C40" s="153">
        <f>IF(D11="","-",+C39+1)</f>
        <v>2039</v>
      </c>
      <c r="D40" s="159">
        <f>IF(F39+SUM(E$17:E39)=D$10,F39,D$10-SUM(E$17:E39))</f>
        <v>7834007.8888258692</v>
      </c>
      <c r="E40" s="160">
        <f>IF(+I14&lt;F39,I14,D40)</f>
        <v>373916.5581395349</v>
      </c>
      <c r="F40" s="159">
        <f t="shared" si="5"/>
        <v>7460091.3306863345</v>
      </c>
      <c r="G40" s="161">
        <f t="shared" si="6"/>
        <v>1135223.7243666861</v>
      </c>
      <c r="H40" s="142">
        <f t="shared" si="7"/>
        <v>1135223.7243666861</v>
      </c>
      <c r="I40" s="156">
        <f t="shared" si="0"/>
        <v>0</v>
      </c>
      <c r="J40" s="156"/>
      <c r="K40" s="334"/>
      <c r="L40" s="158">
        <f t="shared" si="1"/>
        <v>0</v>
      </c>
      <c r="M40" s="334"/>
      <c r="N40" s="158">
        <f t="shared" si="2"/>
        <v>0</v>
      </c>
      <c r="O40" s="158">
        <f t="shared" si="3"/>
        <v>0</v>
      </c>
      <c r="P40" s="4"/>
    </row>
    <row r="41" spans="2:16">
      <c r="B41" s="9" t="str">
        <f t="shared" si="4"/>
        <v/>
      </c>
      <c r="C41" s="153">
        <f>IF(D11="","-",+C40+1)</f>
        <v>2040</v>
      </c>
      <c r="D41" s="159">
        <f>IF(F40+SUM(E$17:E40)=D$10,F40,D$10-SUM(E$17:E40))</f>
        <v>7460091.3306863345</v>
      </c>
      <c r="E41" s="160">
        <f>IF(+I14&lt;F40,I14,D41)</f>
        <v>373916.5581395349</v>
      </c>
      <c r="F41" s="159">
        <f t="shared" si="5"/>
        <v>7086174.7725467999</v>
      </c>
      <c r="G41" s="161">
        <f t="shared" si="6"/>
        <v>1097998.209977523</v>
      </c>
      <c r="H41" s="142">
        <f t="shared" si="7"/>
        <v>1097998.209977523</v>
      </c>
      <c r="I41" s="156">
        <f t="shared" si="0"/>
        <v>0</v>
      </c>
      <c r="J41" s="156"/>
      <c r="K41" s="334"/>
      <c r="L41" s="158">
        <f t="shared" si="1"/>
        <v>0</v>
      </c>
      <c r="M41" s="334"/>
      <c r="N41" s="158">
        <f t="shared" si="2"/>
        <v>0</v>
      </c>
      <c r="O41" s="158">
        <f t="shared" si="3"/>
        <v>0</v>
      </c>
      <c r="P41" s="4"/>
    </row>
    <row r="42" spans="2:16">
      <c r="B42" s="9" t="str">
        <f t="shared" si="4"/>
        <v/>
      </c>
      <c r="C42" s="153">
        <f>IF(D11="","-",+C41+1)</f>
        <v>2041</v>
      </c>
      <c r="D42" s="159">
        <f>IF(F41+SUM(E$17:E41)=D$10,F41,D$10-SUM(E$17:E41))</f>
        <v>7086174.7725467999</v>
      </c>
      <c r="E42" s="160">
        <f>IF(+I14&lt;F41,I14,D42)</f>
        <v>373916.5581395349</v>
      </c>
      <c r="F42" s="159">
        <f t="shared" si="5"/>
        <v>6712258.2144072652</v>
      </c>
      <c r="G42" s="161">
        <f t="shared" si="6"/>
        <v>1060772.6955883601</v>
      </c>
      <c r="H42" s="142">
        <f t="shared" si="7"/>
        <v>1060772.6955883601</v>
      </c>
      <c r="I42" s="156">
        <f t="shared" si="0"/>
        <v>0</v>
      </c>
      <c r="J42" s="156"/>
      <c r="K42" s="334"/>
      <c r="L42" s="158">
        <f t="shared" si="1"/>
        <v>0</v>
      </c>
      <c r="M42" s="334"/>
      <c r="N42" s="158">
        <f t="shared" si="2"/>
        <v>0</v>
      </c>
      <c r="O42" s="158">
        <f t="shared" si="3"/>
        <v>0</v>
      </c>
      <c r="P42" s="4"/>
    </row>
    <row r="43" spans="2:16">
      <c r="B43" s="9" t="str">
        <f t="shared" si="4"/>
        <v/>
      </c>
      <c r="C43" s="153">
        <f>IF(D11="","-",+C42+1)</f>
        <v>2042</v>
      </c>
      <c r="D43" s="159">
        <f>IF(F42+SUM(E$17:E42)=D$10,F42,D$10-SUM(E$17:E42))</f>
        <v>6712258.2144072652</v>
      </c>
      <c r="E43" s="160">
        <f>IF(+I14&lt;F42,I14,D43)</f>
        <v>373916.5581395349</v>
      </c>
      <c r="F43" s="159">
        <f t="shared" si="5"/>
        <v>6338341.6562677305</v>
      </c>
      <c r="G43" s="161">
        <f t="shared" si="6"/>
        <v>1023547.1811991971</v>
      </c>
      <c r="H43" s="142">
        <f t="shared" si="7"/>
        <v>1023547.1811991971</v>
      </c>
      <c r="I43" s="156">
        <f t="shared" si="0"/>
        <v>0</v>
      </c>
      <c r="J43" s="156"/>
      <c r="K43" s="334"/>
      <c r="L43" s="158">
        <f t="shared" si="1"/>
        <v>0</v>
      </c>
      <c r="M43" s="334"/>
      <c r="N43" s="158">
        <f t="shared" si="2"/>
        <v>0</v>
      </c>
      <c r="O43" s="158">
        <f t="shared" si="3"/>
        <v>0</v>
      </c>
      <c r="P43" s="4"/>
    </row>
    <row r="44" spans="2:16">
      <c r="B44" s="9" t="str">
        <f t="shared" si="4"/>
        <v/>
      </c>
      <c r="C44" s="153">
        <f>IF(D11="","-",+C43+1)</f>
        <v>2043</v>
      </c>
      <c r="D44" s="159">
        <f>IF(F43+SUM(E$17:E43)=D$10,F43,D$10-SUM(E$17:E43))</f>
        <v>6338341.6562677305</v>
      </c>
      <c r="E44" s="160">
        <f>IF(+I14&lt;F43,I14,D44)</f>
        <v>373916.5581395349</v>
      </c>
      <c r="F44" s="159">
        <f t="shared" si="5"/>
        <v>5964425.0981281959</v>
      </c>
      <c r="G44" s="161">
        <f t="shared" si="6"/>
        <v>986321.66681003408</v>
      </c>
      <c r="H44" s="142">
        <f t="shared" si="7"/>
        <v>986321.66681003408</v>
      </c>
      <c r="I44" s="156">
        <f t="shared" si="0"/>
        <v>0</v>
      </c>
      <c r="J44" s="156"/>
      <c r="K44" s="334"/>
      <c r="L44" s="158">
        <f t="shared" si="1"/>
        <v>0</v>
      </c>
      <c r="M44" s="334"/>
      <c r="N44" s="158">
        <f t="shared" si="2"/>
        <v>0</v>
      </c>
      <c r="O44" s="158">
        <f t="shared" si="3"/>
        <v>0</v>
      </c>
      <c r="P44" s="4"/>
    </row>
    <row r="45" spans="2:16">
      <c r="B45" s="9" t="str">
        <f t="shared" si="4"/>
        <v/>
      </c>
      <c r="C45" s="153">
        <f>IF(D11="","-",+C44+1)</f>
        <v>2044</v>
      </c>
      <c r="D45" s="159">
        <f>IF(F44+SUM(E$17:E44)=D$10,F44,D$10-SUM(E$17:E44))</f>
        <v>5964425.0981281959</v>
      </c>
      <c r="E45" s="160">
        <f>IF(+I14&lt;F44,I14,D45)</f>
        <v>373916.5581395349</v>
      </c>
      <c r="F45" s="159">
        <f t="shared" si="5"/>
        <v>5590508.5399886612</v>
      </c>
      <c r="G45" s="161">
        <f t="shared" si="6"/>
        <v>949096.15242087108</v>
      </c>
      <c r="H45" s="142">
        <f t="shared" si="7"/>
        <v>949096.15242087108</v>
      </c>
      <c r="I45" s="156">
        <f t="shared" si="0"/>
        <v>0</v>
      </c>
      <c r="J45" s="156"/>
      <c r="K45" s="334"/>
      <c r="L45" s="158">
        <f t="shared" si="1"/>
        <v>0</v>
      </c>
      <c r="M45" s="334"/>
      <c r="N45" s="158">
        <f t="shared" si="2"/>
        <v>0</v>
      </c>
      <c r="O45" s="158">
        <f t="shared" si="3"/>
        <v>0</v>
      </c>
      <c r="P45" s="4"/>
    </row>
    <row r="46" spans="2:16">
      <c r="B46" s="9" t="str">
        <f t="shared" si="4"/>
        <v/>
      </c>
      <c r="C46" s="153">
        <f>IF(D11="","-",+C45+1)</f>
        <v>2045</v>
      </c>
      <c r="D46" s="159">
        <f>IF(F45+SUM(E$17:E45)=D$10,F45,D$10-SUM(E$17:E45))</f>
        <v>5590508.5399886612</v>
      </c>
      <c r="E46" s="160">
        <f>IF(+I14&lt;F45,I14,D46)</f>
        <v>373916.5581395349</v>
      </c>
      <c r="F46" s="159">
        <f t="shared" si="5"/>
        <v>5216591.9818491265</v>
      </c>
      <c r="G46" s="161">
        <f t="shared" si="6"/>
        <v>911870.63803170819</v>
      </c>
      <c r="H46" s="142">
        <f t="shared" si="7"/>
        <v>911870.63803170819</v>
      </c>
      <c r="I46" s="156">
        <f t="shared" si="0"/>
        <v>0</v>
      </c>
      <c r="J46" s="156"/>
      <c r="K46" s="334"/>
      <c r="L46" s="158">
        <f t="shared" si="1"/>
        <v>0</v>
      </c>
      <c r="M46" s="334"/>
      <c r="N46" s="158">
        <f t="shared" si="2"/>
        <v>0</v>
      </c>
      <c r="O46" s="158">
        <f t="shared" si="3"/>
        <v>0</v>
      </c>
      <c r="P46" s="4"/>
    </row>
    <row r="47" spans="2:16">
      <c r="B47" s="9" t="str">
        <f t="shared" si="4"/>
        <v/>
      </c>
      <c r="C47" s="153">
        <f>IF(D11="","-",+C46+1)</f>
        <v>2046</v>
      </c>
      <c r="D47" s="159">
        <f>IF(F46+SUM(E$17:E46)=D$10,F46,D$10-SUM(E$17:E46))</f>
        <v>5216591.9818491265</v>
      </c>
      <c r="E47" s="160">
        <f>IF(+I14&lt;F46,I14,D47)</f>
        <v>373916.5581395349</v>
      </c>
      <c r="F47" s="159">
        <f t="shared" si="5"/>
        <v>4842675.4237095919</v>
      </c>
      <c r="G47" s="161">
        <f t="shared" si="6"/>
        <v>874645.12364254519</v>
      </c>
      <c r="H47" s="142">
        <f t="shared" si="7"/>
        <v>874645.12364254519</v>
      </c>
      <c r="I47" s="156">
        <f t="shared" si="0"/>
        <v>0</v>
      </c>
      <c r="J47" s="156"/>
      <c r="K47" s="334"/>
      <c r="L47" s="158">
        <f t="shared" si="1"/>
        <v>0</v>
      </c>
      <c r="M47" s="334"/>
      <c r="N47" s="158">
        <f t="shared" si="2"/>
        <v>0</v>
      </c>
      <c r="O47" s="158">
        <f t="shared" si="3"/>
        <v>0</v>
      </c>
      <c r="P47" s="4"/>
    </row>
    <row r="48" spans="2:16">
      <c r="B48" s="9" t="str">
        <f t="shared" si="4"/>
        <v/>
      </c>
      <c r="C48" s="153">
        <f>IF(D11="","-",+C47+1)</f>
        <v>2047</v>
      </c>
      <c r="D48" s="159">
        <f>IF(F47+SUM(E$17:E47)=D$10,F47,D$10-SUM(E$17:E47))</f>
        <v>4842675.4237095919</v>
      </c>
      <c r="E48" s="160">
        <f>IF(+I14&lt;F47,I14,D48)</f>
        <v>373916.5581395349</v>
      </c>
      <c r="F48" s="159">
        <f t="shared" si="5"/>
        <v>4468758.8655700572</v>
      </c>
      <c r="G48" s="161">
        <f t="shared" si="6"/>
        <v>837419.60925338219</v>
      </c>
      <c r="H48" s="142">
        <f t="shared" si="7"/>
        <v>837419.60925338219</v>
      </c>
      <c r="I48" s="156">
        <f t="shared" si="0"/>
        <v>0</v>
      </c>
      <c r="J48" s="156"/>
      <c r="K48" s="334"/>
      <c r="L48" s="158">
        <f t="shared" si="1"/>
        <v>0</v>
      </c>
      <c r="M48" s="334"/>
      <c r="N48" s="158">
        <f t="shared" si="2"/>
        <v>0</v>
      </c>
      <c r="O48" s="158">
        <f t="shared" si="3"/>
        <v>0</v>
      </c>
      <c r="P48" s="4"/>
    </row>
    <row r="49" spans="2:16">
      <c r="B49" s="9" t="str">
        <f t="shared" si="4"/>
        <v/>
      </c>
      <c r="C49" s="153">
        <f>IF(D11="","-",+C48+1)</f>
        <v>2048</v>
      </c>
      <c r="D49" s="159">
        <f>IF(F48+SUM(E$17:E48)=D$10,F48,D$10-SUM(E$17:E48))</f>
        <v>4468758.8655700572</v>
      </c>
      <c r="E49" s="160">
        <f>IF(+I14&lt;F48,I14,D49)</f>
        <v>373916.5581395349</v>
      </c>
      <c r="F49" s="159">
        <f t="shared" si="5"/>
        <v>4094842.3074305225</v>
      </c>
      <c r="G49" s="161">
        <f t="shared" si="6"/>
        <v>800194.09486421919</v>
      </c>
      <c r="H49" s="142">
        <f t="shared" si="7"/>
        <v>800194.09486421919</v>
      </c>
      <c r="I49" s="156">
        <f t="shared" si="0"/>
        <v>0</v>
      </c>
      <c r="J49" s="156"/>
      <c r="K49" s="334"/>
      <c r="L49" s="158">
        <f t="shared" si="1"/>
        <v>0</v>
      </c>
      <c r="M49" s="334"/>
      <c r="N49" s="158">
        <f t="shared" si="2"/>
        <v>0</v>
      </c>
      <c r="O49" s="158">
        <f t="shared" si="3"/>
        <v>0</v>
      </c>
      <c r="P49" s="4"/>
    </row>
    <row r="50" spans="2:16">
      <c r="B50" s="9" t="str">
        <f t="shared" si="4"/>
        <v/>
      </c>
      <c r="C50" s="153">
        <f>IF(D11="","-",+C49+1)</f>
        <v>2049</v>
      </c>
      <c r="D50" s="159">
        <f>IF(F49+SUM(E$17:E49)=D$10,F49,D$10-SUM(E$17:E49))</f>
        <v>4094842.3074305225</v>
      </c>
      <c r="E50" s="160">
        <f>IF(+I14&lt;F49,I14,D50)</f>
        <v>373916.5581395349</v>
      </c>
      <c r="F50" s="159">
        <f t="shared" si="5"/>
        <v>3720925.7492909878</v>
      </c>
      <c r="G50" s="161">
        <f t="shared" ref="G50:G72" si="8">+I$12*((D50+F50)/2)+E50</f>
        <v>762968.58047505619</v>
      </c>
      <c r="H50" s="142">
        <f t="shared" ref="H50:H72" si="9">+I$13*((D50+F50)/2)+E50</f>
        <v>762968.58047505619</v>
      </c>
      <c r="I50" s="156">
        <f t="shared" si="0"/>
        <v>0</v>
      </c>
      <c r="J50" s="156"/>
      <c r="K50" s="334"/>
      <c r="L50" s="158">
        <f t="shared" si="1"/>
        <v>0</v>
      </c>
      <c r="M50" s="334"/>
      <c r="N50" s="158">
        <f t="shared" si="2"/>
        <v>0</v>
      </c>
      <c r="O50" s="158">
        <f t="shared" si="3"/>
        <v>0</v>
      </c>
      <c r="P50" s="4"/>
    </row>
    <row r="51" spans="2:16">
      <c r="B51" s="9" t="str">
        <f t="shared" si="4"/>
        <v/>
      </c>
      <c r="C51" s="153">
        <f>IF(D11="","-",+C50+1)</f>
        <v>2050</v>
      </c>
      <c r="D51" s="159">
        <f>IF(F50+SUM(E$17:E50)=D$10,F50,D$10-SUM(E$17:E50))</f>
        <v>3720925.7492909878</v>
      </c>
      <c r="E51" s="160">
        <f>IF(+I14&lt;F50,I14,D51)</f>
        <v>373916.5581395349</v>
      </c>
      <c r="F51" s="159">
        <f t="shared" si="5"/>
        <v>3347009.1911514532</v>
      </c>
      <c r="G51" s="161">
        <f t="shared" si="8"/>
        <v>725743.0660858932</v>
      </c>
      <c r="H51" s="142">
        <f t="shared" si="9"/>
        <v>725743.0660858932</v>
      </c>
      <c r="I51" s="156">
        <f t="shared" si="0"/>
        <v>0</v>
      </c>
      <c r="J51" s="156"/>
      <c r="K51" s="334"/>
      <c r="L51" s="158">
        <f t="shared" si="1"/>
        <v>0</v>
      </c>
      <c r="M51" s="334"/>
      <c r="N51" s="158">
        <f t="shared" si="2"/>
        <v>0</v>
      </c>
      <c r="O51" s="158">
        <f t="shared" si="3"/>
        <v>0</v>
      </c>
      <c r="P51" s="4"/>
    </row>
    <row r="52" spans="2:16">
      <c r="B52" s="9" t="str">
        <f t="shared" si="4"/>
        <v/>
      </c>
      <c r="C52" s="153">
        <f>IF(D11="","-",+C51+1)</f>
        <v>2051</v>
      </c>
      <c r="D52" s="159">
        <f>IF(F51+SUM(E$17:E51)=D$10,F51,D$10-SUM(E$17:E51))</f>
        <v>3347009.1911514532</v>
      </c>
      <c r="E52" s="160">
        <f>IF(+I14&lt;F51,I14,D52)</f>
        <v>373916.5581395349</v>
      </c>
      <c r="F52" s="159">
        <f t="shared" si="5"/>
        <v>2973092.6330119185</v>
      </c>
      <c r="G52" s="161">
        <f t="shared" si="8"/>
        <v>688517.55169673031</v>
      </c>
      <c r="H52" s="142">
        <f t="shared" si="9"/>
        <v>688517.55169673031</v>
      </c>
      <c r="I52" s="156">
        <f t="shared" si="0"/>
        <v>0</v>
      </c>
      <c r="J52" s="156"/>
      <c r="K52" s="334"/>
      <c r="L52" s="158">
        <f t="shared" si="1"/>
        <v>0</v>
      </c>
      <c r="M52" s="334"/>
      <c r="N52" s="158">
        <f t="shared" si="2"/>
        <v>0</v>
      </c>
      <c r="O52" s="158">
        <f t="shared" si="3"/>
        <v>0</v>
      </c>
      <c r="P52" s="4"/>
    </row>
    <row r="53" spans="2:16">
      <c r="B53" s="9" t="str">
        <f t="shared" si="4"/>
        <v/>
      </c>
      <c r="C53" s="153">
        <f>IF(D11="","-",+C52+1)</f>
        <v>2052</v>
      </c>
      <c r="D53" s="159">
        <f>IF(F52+SUM(E$17:E52)=D$10,F52,D$10-SUM(E$17:E52))</f>
        <v>2973092.6330119185</v>
      </c>
      <c r="E53" s="160">
        <f>IF(+I14&lt;F52,I14,D53)</f>
        <v>373916.5581395349</v>
      </c>
      <c r="F53" s="159">
        <f t="shared" si="5"/>
        <v>2599176.0748723838</v>
      </c>
      <c r="G53" s="161">
        <f t="shared" si="8"/>
        <v>651292.0373075672</v>
      </c>
      <c r="H53" s="142">
        <f t="shared" si="9"/>
        <v>651292.0373075672</v>
      </c>
      <c r="I53" s="156">
        <f t="shared" si="0"/>
        <v>0</v>
      </c>
      <c r="J53" s="156"/>
      <c r="K53" s="334"/>
      <c r="L53" s="158">
        <f t="shared" si="1"/>
        <v>0</v>
      </c>
      <c r="M53" s="334"/>
      <c r="N53" s="158">
        <f t="shared" si="2"/>
        <v>0</v>
      </c>
      <c r="O53" s="158">
        <f t="shared" si="3"/>
        <v>0</v>
      </c>
      <c r="P53" s="4"/>
    </row>
    <row r="54" spans="2:16">
      <c r="B54" s="9" t="str">
        <f t="shared" si="4"/>
        <v/>
      </c>
      <c r="C54" s="153">
        <f>IF(D11="","-",+C53+1)</f>
        <v>2053</v>
      </c>
      <c r="D54" s="159">
        <f>IF(F53+SUM(E$17:E53)=D$10,F53,D$10-SUM(E$17:E53))</f>
        <v>2599176.0748723838</v>
      </c>
      <c r="E54" s="160">
        <f>IF(+I14&lt;F53,I14,D54)</f>
        <v>373916.5581395349</v>
      </c>
      <c r="F54" s="159">
        <f t="shared" si="5"/>
        <v>2225259.5167328492</v>
      </c>
      <c r="G54" s="161">
        <f t="shared" si="8"/>
        <v>614066.52291840431</v>
      </c>
      <c r="H54" s="142">
        <f t="shared" si="9"/>
        <v>614066.52291840431</v>
      </c>
      <c r="I54" s="156">
        <f t="shared" si="0"/>
        <v>0</v>
      </c>
      <c r="J54" s="156"/>
      <c r="K54" s="334"/>
      <c r="L54" s="158">
        <f t="shared" si="1"/>
        <v>0</v>
      </c>
      <c r="M54" s="334"/>
      <c r="N54" s="158">
        <f t="shared" si="2"/>
        <v>0</v>
      </c>
      <c r="O54" s="158">
        <f t="shared" si="3"/>
        <v>0</v>
      </c>
      <c r="P54" s="4"/>
    </row>
    <row r="55" spans="2:16">
      <c r="B55" s="9" t="str">
        <f t="shared" si="4"/>
        <v/>
      </c>
      <c r="C55" s="153">
        <f>IF(D11="","-",+C54+1)</f>
        <v>2054</v>
      </c>
      <c r="D55" s="159">
        <f>IF(F54+SUM(E$17:E54)=D$10,F54,D$10-SUM(E$17:E54))</f>
        <v>2225259.5167328492</v>
      </c>
      <c r="E55" s="160">
        <f>IF(+I14&lt;F54,I14,D55)</f>
        <v>373916.5581395349</v>
      </c>
      <c r="F55" s="159">
        <f t="shared" si="5"/>
        <v>1851342.9585933143</v>
      </c>
      <c r="G55" s="161">
        <f t="shared" si="8"/>
        <v>576841.00852924131</v>
      </c>
      <c r="H55" s="142">
        <f t="shared" si="9"/>
        <v>576841.00852924131</v>
      </c>
      <c r="I55" s="156">
        <f t="shared" si="0"/>
        <v>0</v>
      </c>
      <c r="J55" s="156"/>
      <c r="K55" s="334"/>
      <c r="L55" s="158">
        <f t="shared" si="1"/>
        <v>0</v>
      </c>
      <c r="M55" s="334"/>
      <c r="N55" s="158">
        <f t="shared" si="2"/>
        <v>0</v>
      </c>
      <c r="O55" s="158">
        <f t="shared" si="3"/>
        <v>0</v>
      </c>
      <c r="P55" s="4"/>
    </row>
    <row r="56" spans="2:16">
      <c r="B56" s="9" t="str">
        <f t="shared" si="4"/>
        <v/>
      </c>
      <c r="C56" s="153">
        <f>IF(D11="","-",+C55+1)</f>
        <v>2055</v>
      </c>
      <c r="D56" s="159">
        <f>IF(F55+SUM(E$17:E55)=D$10,F55,D$10-SUM(E$17:E55))</f>
        <v>1851342.9585933143</v>
      </c>
      <c r="E56" s="160">
        <f>IF(+I14&lt;F55,I14,D56)</f>
        <v>373916.5581395349</v>
      </c>
      <c r="F56" s="159">
        <f t="shared" si="5"/>
        <v>1477426.4004537794</v>
      </c>
      <c r="G56" s="161">
        <f t="shared" si="8"/>
        <v>539615.49414007831</v>
      </c>
      <c r="H56" s="142">
        <f t="shared" si="9"/>
        <v>539615.49414007831</v>
      </c>
      <c r="I56" s="156">
        <f t="shared" si="0"/>
        <v>0</v>
      </c>
      <c r="J56" s="156"/>
      <c r="K56" s="334"/>
      <c r="L56" s="158">
        <f t="shared" si="1"/>
        <v>0</v>
      </c>
      <c r="M56" s="334"/>
      <c r="N56" s="158">
        <f t="shared" si="2"/>
        <v>0</v>
      </c>
      <c r="O56" s="158">
        <f t="shared" si="3"/>
        <v>0</v>
      </c>
      <c r="P56" s="4"/>
    </row>
    <row r="57" spans="2:16">
      <c r="B57" s="9" t="str">
        <f t="shared" si="4"/>
        <v/>
      </c>
      <c r="C57" s="153">
        <f>IF(D11="","-",+C56+1)</f>
        <v>2056</v>
      </c>
      <c r="D57" s="159">
        <f>IF(F56+SUM(E$17:E56)=D$10,F56,D$10-SUM(E$17:E56))</f>
        <v>1477426.4004537794</v>
      </c>
      <c r="E57" s="160">
        <f>IF(+I14&lt;F56,I14,D57)</f>
        <v>373916.5581395349</v>
      </c>
      <c r="F57" s="159">
        <f t="shared" si="5"/>
        <v>1103509.8423142445</v>
      </c>
      <c r="G57" s="161">
        <f t="shared" si="8"/>
        <v>502389.97975091531</v>
      </c>
      <c r="H57" s="142">
        <f t="shared" si="9"/>
        <v>502389.97975091531</v>
      </c>
      <c r="I57" s="156">
        <f t="shared" si="0"/>
        <v>0</v>
      </c>
      <c r="J57" s="156"/>
      <c r="K57" s="334"/>
      <c r="L57" s="158">
        <f t="shared" si="1"/>
        <v>0</v>
      </c>
      <c r="M57" s="334"/>
      <c r="N57" s="158">
        <f t="shared" si="2"/>
        <v>0</v>
      </c>
      <c r="O57" s="158">
        <f t="shared" si="3"/>
        <v>0</v>
      </c>
      <c r="P57" s="4"/>
    </row>
    <row r="58" spans="2:16">
      <c r="B58" s="9" t="str">
        <f t="shared" si="4"/>
        <v/>
      </c>
      <c r="C58" s="153">
        <f>IF(D11="","-",+C57+1)</f>
        <v>2057</v>
      </c>
      <c r="D58" s="159">
        <f>IF(F57+SUM(E$17:E57)=D$10,F57,D$10-SUM(E$17:E57))</f>
        <v>1103509.8423142445</v>
      </c>
      <c r="E58" s="160">
        <f>IF(+I14&lt;F57,I14,D58)</f>
        <v>373916.5581395349</v>
      </c>
      <c r="F58" s="159">
        <f t="shared" si="5"/>
        <v>729593.28417470958</v>
      </c>
      <c r="G58" s="161">
        <f t="shared" si="8"/>
        <v>465164.46536175226</v>
      </c>
      <c r="H58" s="142">
        <f t="shared" si="9"/>
        <v>465164.46536175226</v>
      </c>
      <c r="I58" s="156">
        <f t="shared" si="0"/>
        <v>0</v>
      </c>
      <c r="J58" s="156"/>
      <c r="K58" s="334"/>
      <c r="L58" s="158">
        <f t="shared" si="1"/>
        <v>0</v>
      </c>
      <c r="M58" s="334"/>
      <c r="N58" s="158">
        <f t="shared" si="2"/>
        <v>0</v>
      </c>
      <c r="O58" s="158">
        <f t="shared" si="3"/>
        <v>0</v>
      </c>
      <c r="P58" s="4"/>
    </row>
    <row r="59" spans="2:16">
      <c r="B59" s="9" t="str">
        <f t="shared" si="4"/>
        <v/>
      </c>
      <c r="C59" s="153">
        <f>IF(D11="","-",+C58+1)</f>
        <v>2058</v>
      </c>
      <c r="D59" s="159">
        <f>IF(F58+SUM(E$17:E58)=D$10,F58,D$10-SUM(E$17:E58))</f>
        <v>729593.28417470958</v>
      </c>
      <c r="E59" s="160">
        <f>IF(+I14&lt;F58,I14,D59)</f>
        <v>373916.5581395349</v>
      </c>
      <c r="F59" s="159">
        <f t="shared" si="5"/>
        <v>355676.72603517468</v>
      </c>
      <c r="G59" s="161">
        <f t="shared" si="8"/>
        <v>427938.95097258926</v>
      </c>
      <c r="H59" s="142">
        <f t="shared" si="9"/>
        <v>427938.95097258926</v>
      </c>
      <c r="I59" s="156">
        <f t="shared" si="0"/>
        <v>0</v>
      </c>
      <c r="J59" s="156"/>
      <c r="K59" s="334"/>
      <c r="L59" s="158">
        <f t="shared" si="1"/>
        <v>0</v>
      </c>
      <c r="M59" s="334"/>
      <c r="N59" s="158">
        <f t="shared" si="2"/>
        <v>0</v>
      </c>
      <c r="O59" s="158">
        <f t="shared" si="3"/>
        <v>0</v>
      </c>
      <c r="P59" s="4"/>
    </row>
    <row r="60" spans="2:16">
      <c r="B60" s="9" t="str">
        <f t="shared" si="4"/>
        <v/>
      </c>
      <c r="C60" s="153">
        <f>IF(D11="","-",+C59+1)</f>
        <v>2059</v>
      </c>
      <c r="D60" s="159">
        <f>IF(F59+SUM(E$17:E59)=D$10,F59,D$10-SUM(E$17:E59))</f>
        <v>355676.72603517468</v>
      </c>
      <c r="E60" s="160">
        <f>IF(+I14&lt;F59,I14,D60)</f>
        <v>355676.72603517468</v>
      </c>
      <c r="F60" s="159">
        <f t="shared" si="5"/>
        <v>0</v>
      </c>
      <c r="G60" s="161">
        <f t="shared" si="8"/>
        <v>373381.54385441111</v>
      </c>
      <c r="H60" s="142">
        <f t="shared" si="9"/>
        <v>373381.54385441111</v>
      </c>
      <c r="I60" s="156">
        <f t="shared" si="0"/>
        <v>0</v>
      </c>
      <c r="J60" s="156"/>
      <c r="K60" s="334"/>
      <c r="L60" s="158">
        <f t="shared" si="1"/>
        <v>0</v>
      </c>
      <c r="M60" s="334"/>
      <c r="N60" s="158">
        <f t="shared" si="2"/>
        <v>0</v>
      </c>
      <c r="O60" s="158">
        <f t="shared" si="3"/>
        <v>0</v>
      </c>
      <c r="P60" s="4"/>
    </row>
    <row r="61" spans="2:16">
      <c r="B61" s="9" t="str">
        <f t="shared" si="4"/>
        <v/>
      </c>
      <c r="C61" s="153">
        <f>IF(D11="","-",+C60+1)</f>
        <v>2060</v>
      </c>
      <c r="D61" s="159">
        <f>IF(F60+SUM(E$17:E60)=D$10,F60,D$10-SUM(E$17:E60))</f>
        <v>0</v>
      </c>
      <c r="E61" s="160">
        <f>IF(+I14&lt;F60,I14,D61)</f>
        <v>0</v>
      </c>
      <c r="F61" s="159">
        <f t="shared" si="5"/>
        <v>0</v>
      </c>
      <c r="G61" s="163">
        <f t="shared" si="8"/>
        <v>0</v>
      </c>
      <c r="H61" s="142">
        <f t="shared" si="9"/>
        <v>0</v>
      </c>
      <c r="I61" s="156">
        <f t="shared" si="0"/>
        <v>0</v>
      </c>
      <c r="J61" s="156"/>
      <c r="K61" s="334"/>
      <c r="L61" s="158">
        <f t="shared" si="1"/>
        <v>0</v>
      </c>
      <c r="M61" s="334"/>
      <c r="N61" s="158">
        <f t="shared" si="2"/>
        <v>0</v>
      </c>
      <c r="O61" s="158">
        <f t="shared" si="3"/>
        <v>0</v>
      </c>
      <c r="P61" s="4"/>
    </row>
    <row r="62" spans="2:16">
      <c r="B62" s="9" t="str">
        <f t="shared" si="4"/>
        <v/>
      </c>
      <c r="C62" s="153">
        <f>IF(D11="","-",+C61+1)</f>
        <v>2061</v>
      </c>
      <c r="D62" s="159">
        <f>IF(F61+SUM(E$17:E61)=D$10,F61,D$10-SUM(E$17:E61))</f>
        <v>0</v>
      </c>
      <c r="E62" s="160">
        <f>IF(+I14&lt;F61,I14,D62)</f>
        <v>0</v>
      </c>
      <c r="F62" s="159">
        <f t="shared" si="5"/>
        <v>0</v>
      </c>
      <c r="G62" s="163">
        <f t="shared" si="8"/>
        <v>0</v>
      </c>
      <c r="H62" s="142">
        <f t="shared" si="9"/>
        <v>0</v>
      </c>
      <c r="I62" s="156">
        <f t="shared" si="0"/>
        <v>0</v>
      </c>
      <c r="J62" s="156"/>
      <c r="K62" s="334"/>
      <c r="L62" s="158">
        <f t="shared" si="1"/>
        <v>0</v>
      </c>
      <c r="M62" s="334"/>
      <c r="N62" s="158">
        <f t="shared" si="2"/>
        <v>0</v>
      </c>
      <c r="O62" s="158">
        <f t="shared" si="3"/>
        <v>0</v>
      </c>
      <c r="P62" s="4"/>
    </row>
    <row r="63" spans="2:16">
      <c r="B63" s="9" t="str">
        <f t="shared" si="4"/>
        <v/>
      </c>
      <c r="C63" s="153">
        <f>IF(D11="","-",+C62+1)</f>
        <v>2062</v>
      </c>
      <c r="D63" s="159">
        <f>IF(F62+SUM(E$17:E62)=D$10,F62,D$10-SUM(E$17:E62))</f>
        <v>0</v>
      </c>
      <c r="E63" s="160">
        <f>IF(+I14&lt;F62,I14,D63)</f>
        <v>0</v>
      </c>
      <c r="F63" s="159">
        <f t="shared" si="5"/>
        <v>0</v>
      </c>
      <c r="G63" s="163">
        <f t="shared" si="8"/>
        <v>0</v>
      </c>
      <c r="H63" s="142">
        <f t="shared" si="9"/>
        <v>0</v>
      </c>
      <c r="I63" s="156">
        <f t="shared" si="0"/>
        <v>0</v>
      </c>
      <c r="J63" s="156"/>
      <c r="K63" s="334"/>
      <c r="L63" s="158">
        <f t="shared" si="1"/>
        <v>0</v>
      </c>
      <c r="M63" s="334"/>
      <c r="N63" s="158">
        <f t="shared" si="2"/>
        <v>0</v>
      </c>
      <c r="O63" s="158">
        <f t="shared" si="3"/>
        <v>0</v>
      </c>
      <c r="P63" s="4"/>
    </row>
    <row r="64" spans="2:16">
      <c r="B64" s="9" t="str">
        <f t="shared" si="4"/>
        <v/>
      </c>
      <c r="C64" s="153">
        <f>IF(D11="","-",+C63+1)</f>
        <v>2063</v>
      </c>
      <c r="D64" s="159">
        <f>IF(F63+SUM(E$17:E63)=D$10,F63,D$10-SUM(E$17:E63))</f>
        <v>0</v>
      </c>
      <c r="E64" s="160">
        <f>IF(+I14&lt;F63,I14,D64)</f>
        <v>0</v>
      </c>
      <c r="F64" s="159">
        <f t="shared" si="5"/>
        <v>0</v>
      </c>
      <c r="G64" s="163">
        <f t="shared" si="8"/>
        <v>0</v>
      </c>
      <c r="H64" s="142">
        <f t="shared" si="9"/>
        <v>0</v>
      </c>
      <c r="I64" s="156">
        <f t="shared" si="0"/>
        <v>0</v>
      </c>
      <c r="J64" s="156"/>
      <c r="K64" s="334"/>
      <c r="L64" s="158">
        <f t="shared" si="1"/>
        <v>0</v>
      </c>
      <c r="M64" s="334"/>
      <c r="N64" s="158">
        <f t="shared" si="2"/>
        <v>0</v>
      </c>
      <c r="O64" s="158">
        <f t="shared" si="3"/>
        <v>0</v>
      </c>
      <c r="P64" s="4"/>
    </row>
    <row r="65" spans="2:16">
      <c r="B65" s="9" t="str">
        <f t="shared" si="4"/>
        <v/>
      </c>
      <c r="C65" s="153">
        <f>IF(D11="","-",+C64+1)</f>
        <v>2064</v>
      </c>
      <c r="D65" s="159">
        <f>IF(F64+SUM(E$17:E64)=D$10,F64,D$10-SUM(E$17:E64))</f>
        <v>0</v>
      </c>
      <c r="E65" s="160">
        <f>IF(+I14&lt;F64,I14,D65)</f>
        <v>0</v>
      </c>
      <c r="F65" s="159">
        <f t="shared" si="5"/>
        <v>0</v>
      </c>
      <c r="G65" s="163">
        <f t="shared" si="8"/>
        <v>0</v>
      </c>
      <c r="H65" s="142">
        <f t="shared" si="9"/>
        <v>0</v>
      </c>
      <c r="I65" s="156">
        <f t="shared" si="0"/>
        <v>0</v>
      </c>
      <c r="J65" s="156"/>
      <c r="K65" s="334"/>
      <c r="L65" s="158">
        <f t="shared" si="1"/>
        <v>0</v>
      </c>
      <c r="M65" s="334"/>
      <c r="N65" s="158">
        <f t="shared" si="2"/>
        <v>0</v>
      </c>
      <c r="O65" s="158">
        <f t="shared" si="3"/>
        <v>0</v>
      </c>
      <c r="P65" s="4"/>
    </row>
    <row r="66" spans="2:16">
      <c r="B66" s="9" t="str">
        <f t="shared" si="4"/>
        <v/>
      </c>
      <c r="C66" s="153">
        <f>IF(D11="","-",+C65+1)</f>
        <v>2065</v>
      </c>
      <c r="D66" s="159">
        <f>IF(F65+SUM(E$17:E65)=D$10,F65,D$10-SUM(E$17:E65))</f>
        <v>0</v>
      </c>
      <c r="E66" s="160">
        <f>IF(+I14&lt;F65,I14,D66)</f>
        <v>0</v>
      </c>
      <c r="F66" s="159">
        <f t="shared" si="5"/>
        <v>0</v>
      </c>
      <c r="G66" s="163">
        <f t="shared" si="8"/>
        <v>0</v>
      </c>
      <c r="H66" s="142">
        <f t="shared" si="9"/>
        <v>0</v>
      </c>
      <c r="I66" s="156">
        <f t="shared" si="0"/>
        <v>0</v>
      </c>
      <c r="J66" s="156"/>
      <c r="K66" s="334"/>
      <c r="L66" s="158">
        <f t="shared" si="1"/>
        <v>0</v>
      </c>
      <c r="M66" s="334"/>
      <c r="N66" s="158">
        <f t="shared" si="2"/>
        <v>0</v>
      </c>
      <c r="O66" s="158">
        <f t="shared" si="3"/>
        <v>0</v>
      </c>
      <c r="P66" s="4"/>
    </row>
    <row r="67" spans="2:16">
      <c r="B67" s="9" t="str">
        <f t="shared" si="4"/>
        <v/>
      </c>
      <c r="C67" s="153">
        <f>IF(D11="","-",+C66+1)</f>
        <v>2066</v>
      </c>
      <c r="D67" s="159">
        <f>IF(F66+SUM(E$17:E66)=D$10,F66,D$10-SUM(E$17:E66))</f>
        <v>0</v>
      </c>
      <c r="E67" s="160">
        <f>IF(+I14&lt;F66,I14,D67)</f>
        <v>0</v>
      </c>
      <c r="F67" s="159">
        <f t="shared" si="5"/>
        <v>0</v>
      </c>
      <c r="G67" s="163">
        <f t="shared" si="8"/>
        <v>0</v>
      </c>
      <c r="H67" s="142">
        <f t="shared" si="9"/>
        <v>0</v>
      </c>
      <c r="I67" s="156">
        <f t="shared" si="0"/>
        <v>0</v>
      </c>
      <c r="J67" s="156"/>
      <c r="K67" s="334"/>
      <c r="L67" s="158">
        <f t="shared" si="1"/>
        <v>0</v>
      </c>
      <c r="M67" s="334"/>
      <c r="N67" s="158">
        <f t="shared" si="2"/>
        <v>0</v>
      </c>
      <c r="O67" s="158">
        <f t="shared" si="3"/>
        <v>0</v>
      </c>
      <c r="P67" s="4"/>
    </row>
    <row r="68" spans="2:16">
      <c r="B68" s="9" t="str">
        <f t="shared" si="4"/>
        <v/>
      </c>
      <c r="C68" s="153">
        <f>IF(D11="","-",+C67+1)</f>
        <v>2067</v>
      </c>
      <c r="D68" s="159">
        <f>IF(F67+SUM(E$17:E67)=D$10,F67,D$10-SUM(E$17:E67))</f>
        <v>0</v>
      </c>
      <c r="E68" s="160">
        <f>IF(+I14&lt;F67,I14,D68)</f>
        <v>0</v>
      </c>
      <c r="F68" s="159">
        <f t="shared" si="5"/>
        <v>0</v>
      </c>
      <c r="G68" s="163">
        <f t="shared" si="8"/>
        <v>0</v>
      </c>
      <c r="H68" s="142">
        <f t="shared" si="9"/>
        <v>0</v>
      </c>
      <c r="I68" s="156">
        <f t="shared" si="0"/>
        <v>0</v>
      </c>
      <c r="J68" s="156"/>
      <c r="K68" s="334"/>
      <c r="L68" s="158">
        <f t="shared" si="1"/>
        <v>0</v>
      </c>
      <c r="M68" s="334"/>
      <c r="N68" s="158">
        <f t="shared" si="2"/>
        <v>0</v>
      </c>
      <c r="O68" s="158">
        <f t="shared" si="3"/>
        <v>0</v>
      </c>
      <c r="P68" s="4"/>
    </row>
    <row r="69" spans="2:16">
      <c r="B69" s="9" t="str">
        <f t="shared" si="4"/>
        <v/>
      </c>
      <c r="C69" s="153">
        <f>IF(D11="","-",+C68+1)</f>
        <v>2068</v>
      </c>
      <c r="D69" s="159">
        <f>IF(F68+SUM(E$17:E68)=D$10,F68,D$10-SUM(E$17:E68))</f>
        <v>0</v>
      </c>
      <c r="E69" s="160">
        <f>IF(+I14&lt;F68,I14,D69)</f>
        <v>0</v>
      </c>
      <c r="F69" s="159">
        <f t="shared" si="5"/>
        <v>0</v>
      </c>
      <c r="G69" s="163">
        <f t="shared" si="8"/>
        <v>0</v>
      </c>
      <c r="H69" s="142">
        <f t="shared" si="9"/>
        <v>0</v>
      </c>
      <c r="I69" s="156">
        <f t="shared" si="0"/>
        <v>0</v>
      </c>
      <c r="J69" s="156"/>
      <c r="K69" s="334"/>
      <c r="L69" s="158">
        <f t="shared" si="1"/>
        <v>0</v>
      </c>
      <c r="M69" s="334"/>
      <c r="N69" s="158">
        <f t="shared" si="2"/>
        <v>0</v>
      </c>
      <c r="O69" s="158">
        <f t="shared" si="3"/>
        <v>0</v>
      </c>
      <c r="P69" s="4"/>
    </row>
    <row r="70" spans="2:16">
      <c r="B70" s="9" t="str">
        <f t="shared" si="4"/>
        <v/>
      </c>
      <c r="C70" s="153">
        <f>IF(D11="","-",+C69+1)</f>
        <v>2069</v>
      </c>
      <c r="D70" s="159">
        <f>IF(F69+SUM(E$17:E69)=D$10,F69,D$10-SUM(E$17:E69))</f>
        <v>0</v>
      </c>
      <c r="E70" s="160">
        <f>IF(+I14&lt;F69,I14,D70)</f>
        <v>0</v>
      </c>
      <c r="F70" s="159">
        <f t="shared" si="5"/>
        <v>0</v>
      </c>
      <c r="G70" s="163">
        <f t="shared" si="8"/>
        <v>0</v>
      </c>
      <c r="H70" s="142">
        <f t="shared" si="9"/>
        <v>0</v>
      </c>
      <c r="I70" s="156">
        <f t="shared" si="0"/>
        <v>0</v>
      </c>
      <c r="J70" s="156"/>
      <c r="K70" s="334"/>
      <c r="L70" s="158">
        <f t="shared" si="1"/>
        <v>0</v>
      </c>
      <c r="M70" s="334"/>
      <c r="N70" s="158">
        <f t="shared" si="2"/>
        <v>0</v>
      </c>
      <c r="O70" s="158">
        <f t="shared" si="3"/>
        <v>0</v>
      </c>
      <c r="P70" s="4"/>
    </row>
    <row r="71" spans="2:16">
      <c r="B71" s="9" t="str">
        <f t="shared" si="4"/>
        <v/>
      </c>
      <c r="C71" s="153">
        <f>IF(D11="","-",+C70+1)</f>
        <v>2070</v>
      </c>
      <c r="D71" s="159">
        <f>IF(F70+SUM(E$17:E70)=D$10,F70,D$10-SUM(E$17:E70))</f>
        <v>0</v>
      </c>
      <c r="E71" s="160">
        <f>IF(+I14&lt;F70,I14,D71)</f>
        <v>0</v>
      </c>
      <c r="F71" s="159">
        <f t="shared" si="5"/>
        <v>0</v>
      </c>
      <c r="G71" s="163">
        <f t="shared" si="8"/>
        <v>0</v>
      </c>
      <c r="H71" s="142">
        <f t="shared" si="9"/>
        <v>0</v>
      </c>
      <c r="I71" s="156">
        <f t="shared" si="0"/>
        <v>0</v>
      </c>
      <c r="J71" s="156"/>
      <c r="K71" s="334"/>
      <c r="L71" s="158">
        <f t="shared" si="1"/>
        <v>0</v>
      </c>
      <c r="M71" s="334"/>
      <c r="N71" s="158">
        <f t="shared" si="2"/>
        <v>0</v>
      </c>
      <c r="O71" s="158">
        <f t="shared" si="3"/>
        <v>0</v>
      </c>
      <c r="P71" s="4"/>
    </row>
    <row r="72" spans="2:16" ht="13.5" thickBot="1">
      <c r="B72" s="9" t="str">
        <f t="shared" si="4"/>
        <v/>
      </c>
      <c r="C72" s="164">
        <f>IF(D11="","-",+C71+1)</f>
        <v>2071</v>
      </c>
      <c r="D72" s="165">
        <f>IF(F71+SUM(E$17:E71)=D$10,F71,D$10-SUM(E$17:E71))</f>
        <v>0</v>
      </c>
      <c r="E72" s="166">
        <f>IF(+I14&lt;F71,I14,D72)</f>
        <v>0</v>
      </c>
      <c r="F72" s="165">
        <f t="shared" si="5"/>
        <v>0</v>
      </c>
      <c r="G72" s="167">
        <f t="shared" si="8"/>
        <v>0</v>
      </c>
      <c r="H72" s="124">
        <f t="shared" si="9"/>
        <v>0</v>
      </c>
      <c r="I72" s="168">
        <f t="shared" si="0"/>
        <v>0</v>
      </c>
      <c r="J72" s="156"/>
      <c r="K72" s="335"/>
      <c r="L72" s="169">
        <f t="shared" si="1"/>
        <v>0</v>
      </c>
      <c r="M72" s="335"/>
      <c r="N72" s="169">
        <f t="shared" si="2"/>
        <v>0</v>
      </c>
      <c r="O72" s="169">
        <f t="shared" si="3"/>
        <v>0</v>
      </c>
      <c r="P72" s="4"/>
    </row>
    <row r="73" spans="2:16">
      <c r="C73" s="154" t="s">
        <v>73</v>
      </c>
      <c r="D73" s="111"/>
      <c r="E73" s="111">
        <f>SUM(E17:E72)</f>
        <v>16078412</v>
      </c>
      <c r="F73" s="111"/>
      <c r="G73" s="111">
        <f>SUM(G17:G72)</f>
        <v>52250367.415382035</v>
      </c>
      <c r="H73" s="111">
        <f>SUM(H17:H72)</f>
        <v>52250367.415382035</v>
      </c>
      <c r="I73" s="111">
        <f>SUM(I17:I72)</f>
        <v>0</v>
      </c>
      <c r="J73" s="111"/>
      <c r="K73" s="111"/>
      <c r="L73" s="111"/>
      <c r="M73" s="111"/>
      <c r="N73" s="111"/>
      <c r="O73" s="4"/>
      <c r="P73" s="4"/>
    </row>
    <row r="74" spans="2:16">
      <c r="D74" s="2"/>
      <c r="E74" s="1"/>
      <c r="F74" s="1"/>
      <c r="G74" s="1"/>
      <c r="H74" s="3"/>
      <c r="I74" s="3"/>
      <c r="J74" s="111"/>
      <c r="K74" s="3"/>
      <c r="L74" s="3"/>
      <c r="M74" s="3"/>
      <c r="N74" s="3"/>
      <c r="O74" s="1"/>
      <c r="P74" s="1"/>
    </row>
    <row r="75" spans="2:16">
      <c r="C75" s="170" t="s">
        <v>91</v>
      </c>
      <c r="D75" s="2"/>
      <c r="E75" s="1"/>
      <c r="F75" s="1"/>
      <c r="G75" s="1"/>
      <c r="H75" s="3"/>
      <c r="I75" s="3"/>
      <c r="J75" s="111"/>
      <c r="K75" s="3"/>
      <c r="L75" s="3"/>
      <c r="M75" s="3"/>
      <c r="N75" s="3"/>
      <c r="O75" s="1"/>
      <c r="P75" s="1"/>
    </row>
    <row r="76" spans="2:16">
      <c r="C76" s="121" t="s">
        <v>74</v>
      </c>
      <c r="D76" s="2"/>
      <c r="E76" s="1"/>
      <c r="F76" s="1"/>
      <c r="G76" s="1"/>
      <c r="H76" s="3"/>
      <c r="I76" s="3"/>
      <c r="J76" s="111"/>
      <c r="K76" s="3"/>
      <c r="L76" s="3"/>
      <c r="M76" s="3"/>
      <c r="N76" s="3"/>
      <c r="O76" s="4"/>
      <c r="P76" s="4"/>
    </row>
    <row r="77" spans="2:16">
      <c r="C77" s="121" t="s">
        <v>75</v>
      </c>
      <c r="D77" s="154"/>
      <c r="E77" s="154"/>
      <c r="F77" s="154"/>
      <c r="G77" s="111"/>
      <c r="H77" s="111"/>
      <c r="I77" s="171"/>
      <c r="J77" s="171"/>
      <c r="K77" s="171"/>
      <c r="L77" s="171"/>
      <c r="M77" s="171"/>
      <c r="N77" s="171"/>
      <c r="O77" s="4"/>
      <c r="P77" s="4"/>
    </row>
    <row r="78" spans="2:16">
      <c r="C78" s="121"/>
      <c r="D78" s="154"/>
      <c r="E78" s="154"/>
      <c r="F78" s="154"/>
      <c r="G78" s="111"/>
      <c r="H78" s="111"/>
      <c r="I78" s="171"/>
      <c r="J78" s="171"/>
      <c r="K78" s="171"/>
      <c r="L78" s="171"/>
      <c r="M78" s="171"/>
      <c r="N78" s="171"/>
      <c r="O78" s="4"/>
      <c r="P78" s="1"/>
    </row>
    <row r="79" spans="2:16">
      <c r="B79" s="1"/>
      <c r="C79" s="21"/>
      <c r="D79" s="2"/>
      <c r="E79" s="1"/>
      <c r="F79" s="107"/>
      <c r="G79" s="1"/>
      <c r="H79" s="3"/>
      <c r="I79" s="1"/>
      <c r="J79" s="4"/>
      <c r="K79" s="1"/>
      <c r="L79" s="1"/>
      <c r="M79" s="1"/>
      <c r="N79" s="1"/>
      <c r="O79" s="1"/>
      <c r="P79" s="1"/>
    </row>
    <row r="80" spans="2:16" ht="18">
      <c r="B80" s="1"/>
      <c r="C80" s="242"/>
      <c r="D80" s="2"/>
      <c r="E80" s="1"/>
      <c r="F80" s="107"/>
      <c r="G80" s="1"/>
      <c r="H80" s="3"/>
      <c r="I80" s="1"/>
      <c r="J80" s="4"/>
      <c r="K80" s="1"/>
      <c r="L80" s="1"/>
      <c r="M80" s="1"/>
      <c r="N80" s="1"/>
      <c r="P80" s="244" t="s">
        <v>125</v>
      </c>
    </row>
    <row r="81" spans="1:16">
      <c r="B81" s="1"/>
      <c r="C81" s="21"/>
      <c r="D81" s="2"/>
      <c r="E81" s="1"/>
      <c r="F81" s="107"/>
      <c r="G81" s="1"/>
      <c r="H81" s="3"/>
      <c r="I81" s="1"/>
      <c r="J81" s="4"/>
      <c r="K81" s="1"/>
      <c r="L81" s="1"/>
      <c r="M81" s="1"/>
      <c r="N81" s="1"/>
      <c r="O81" s="1"/>
      <c r="P81" s="1"/>
    </row>
    <row r="82" spans="1:16">
      <c r="B82" s="1"/>
      <c r="C82" s="21"/>
      <c r="D82" s="2"/>
      <c r="E82" s="1"/>
      <c r="F82" s="107"/>
      <c r="G82" s="1"/>
      <c r="H82" s="3"/>
      <c r="I82" s="1"/>
      <c r="J82" s="4"/>
      <c r="K82" s="1"/>
      <c r="L82" s="1"/>
      <c r="M82" s="1"/>
      <c r="N82" s="1"/>
      <c r="O82" s="1"/>
      <c r="P82" s="1"/>
    </row>
    <row r="83" spans="1:16" ht="20.25">
      <c r="A83" s="243" t="s">
        <v>129</v>
      </c>
      <c r="B83" s="1"/>
      <c r="C83" s="21"/>
      <c r="D83" s="2"/>
      <c r="E83" s="1"/>
      <c r="F83" s="99"/>
      <c r="G83" s="99"/>
      <c r="H83" s="1"/>
      <c r="I83" s="3"/>
      <c r="K83" s="7"/>
      <c r="L83" s="109"/>
      <c r="M83" s="109"/>
      <c r="P83" s="109" t="str">
        <f ca="1">P1</f>
        <v>SWEPCO Project 59 of 73</v>
      </c>
    </row>
    <row r="84" spans="1:16" ht="18">
      <c r="B84" s="1"/>
      <c r="C84" s="1"/>
      <c r="D84" s="2"/>
      <c r="E84" s="1"/>
      <c r="F84" s="1"/>
      <c r="G84" s="1"/>
      <c r="H84" s="1"/>
      <c r="I84" s="3"/>
      <c r="J84" s="1"/>
      <c r="K84" s="4"/>
      <c r="L84" s="1"/>
      <c r="M84" s="1"/>
      <c r="P84" s="244" t="s">
        <v>123</v>
      </c>
    </row>
    <row r="85" spans="1:16" ht="18.75" thickBot="1">
      <c r="B85" s="5" t="s">
        <v>40</v>
      </c>
      <c r="C85" s="197" t="s">
        <v>78</v>
      </c>
      <c r="D85" s="2"/>
      <c r="E85" s="1"/>
      <c r="F85" s="1"/>
      <c r="G85" s="1"/>
      <c r="H85" s="1"/>
      <c r="I85" s="3"/>
      <c r="J85" s="3"/>
      <c r="K85" s="111"/>
      <c r="L85" s="3"/>
      <c r="M85" s="3"/>
      <c r="N85" s="3"/>
      <c r="O85" s="111"/>
      <c r="P85" s="1"/>
    </row>
    <row r="86" spans="1:16" ht="15.75" thickBot="1">
      <c r="C86" s="67"/>
      <c r="D86" s="2"/>
      <c r="E86" s="1"/>
      <c r="F86" s="1"/>
      <c r="G86" s="1"/>
      <c r="H86" s="1"/>
      <c r="I86" s="3"/>
      <c r="J86" s="3"/>
      <c r="K86" s="111"/>
      <c r="L86" s="265">
        <f>+J92</f>
        <v>2017</v>
      </c>
      <c r="M86" s="266" t="s">
        <v>7</v>
      </c>
      <c r="N86" s="270" t="s">
        <v>154</v>
      </c>
      <c r="O86" s="267" t="s">
        <v>9</v>
      </c>
      <c r="P86" s="1"/>
    </row>
    <row r="87" spans="1:16" ht="15">
      <c r="C87" s="235" t="s">
        <v>42</v>
      </c>
      <c r="D87" s="2"/>
      <c r="E87" s="1"/>
      <c r="F87" s="1"/>
      <c r="G87" s="1"/>
      <c r="H87" s="113"/>
      <c r="I87" s="1" t="s">
        <v>43</v>
      </c>
      <c r="J87" s="1"/>
      <c r="K87" s="261"/>
      <c r="L87" s="259" t="s">
        <v>381</v>
      </c>
      <c r="M87" s="198">
        <f>IF(J92&lt;D11,0,VLOOKUP(J92,C17:O72,9))</f>
        <v>2342749.0224735853</v>
      </c>
      <c r="N87" s="198">
        <f>IF(J92&lt;D11,0,VLOOKUP(J92,C17:O72,11))</f>
        <v>2342749.0224735853</v>
      </c>
      <c r="O87" s="199">
        <f>+N87-M87</f>
        <v>0</v>
      </c>
      <c r="P87" s="1"/>
    </row>
    <row r="88" spans="1:16" ht="15.75">
      <c r="C88" s="8"/>
      <c r="D88" s="2"/>
      <c r="E88" s="1"/>
      <c r="F88" s="1"/>
      <c r="G88" s="1"/>
      <c r="H88" s="1"/>
      <c r="I88" s="117"/>
      <c r="J88" s="117"/>
      <c r="K88" s="263"/>
      <c r="L88" s="264" t="s">
        <v>382</v>
      </c>
      <c r="M88" s="200">
        <f>IF(J92&lt;D11,0,VLOOKUP(J92,C99:P154,6))</f>
        <v>1232723.2117521171</v>
      </c>
      <c r="N88" s="200">
        <f>IF(J92&lt;D11,0,VLOOKUP(J92,C99:P154,7))</f>
        <v>1232723.2117521171</v>
      </c>
      <c r="O88" s="201">
        <f>+N88-M88</f>
        <v>0</v>
      </c>
      <c r="P88" s="1"/>
    </row>
    <row r="89" spans="1:16" ht="13.5" thickBot="1">
      <c r="C89" s="121" t="s">
        <v>79</v>
      </c>
      <c r="D89" s="246" t="str">
        <f>+D7</f>
        <v>Brownlee-North Mrket 69 kv Rebuild</v>
      </c>
      <c r="E89" s="1"/>
      <c r="F89" s="1"/>
      <c r="G89" s="1"/>
      <c r="H89" s="1"/>
      <c r="I89" s="3"/>
      <c r="J89" s="3"/>
      <c r="K89" s="262"/>
      <c r="L89" s="260" t="s">
        <v>151</v>
      </c>
      <c r="M89" s="203">
        <f>+M88-M87</f>
        <v>-1110025.8107214682</v>
      </c>
      <c r="N89" s="203">
        <f>+N88-N87</f>
        <v>-1110025.8107214682</v>
      </c>
      <c r="O89" s="204">
        <f>+O88-O87</f>
        <v>0</v>
      </c>
      <c r="P89" s="1"/>
    </row>
    <row r="90" spans="1:16" ht="13.5" thickBot="1">
      <c r="C90" s="170"/>
      <c r="D90" s="173" t="str">
        <f>D8</f>
        <v/>
      </c>
      <c r="E90" s="107"/>
      <c r="F90" s="107"/>
      <c r="G90" s="107"/>
      <c r="H90" s="126"/>
      <c r="I90" s="3"/>
      <c r="J90" s="3"/>
      <c r="K90" s="111"/>
      <c r="L90" s="3"/>
      <c r="M90" s="3"/>
      <c r="N90" s="3"/>
      <c r="O90" s="111"/>
      <c r="P90" s="1"/>
    </row>
    <row r="91" spans="1:16" ht="13.5" thickBot="1">
      <c r="A91" s="103"/>
      <c r="C91" s="205" t="s">
        <v>80</v>
      </c>
      <c r="D91" s="224" t="str">
        <f>+D9</f>
        <v>TP______</v>
      </c>
      <c r="E91" s="206"/>
      <c r="F91" s="206"/>
      <c r="G91" s="206"/>
      <c r="H91" s="206"/>
      <c r="I91" s="206"/>
      <c r="J91" s="206"/>
      <c r="K91" s="207"/>
      <c r="P91" s="131"/>
    </row>
    <row r="92" spans="1:16">
      <c r="C92" s="136" t="s">
        <v>47</v>
      </c>
      <c r="D92" s="133">
        <v>17140809</v>
      </c>
      <c r="E92" s="21" t="s">
        <v>81</v>
      </c>
      <c r="H92" s="134"/>
      <c r="I92" s="134"/>
      <c r="J92" s="135">
        <f>+'SWE.WS.G.BPU.ATRR.True-up'!M15</f>
        <v>2017</v>
      </c>
      <c r="K92" s="130"/>
      <c r="L92" s="111" t="s">
        <v>82</v>
      </c>
      <c r="P92" s="4"/>
    </row>
    <row r="93" spans="1:16">
      <c r="C93" s="136" t="s">
        <v>49</v>
      </c>
      <c r="D93" s="219">
        <v>2017</v>
      </c>
      <c r="E93" s="136" t="s">
        <v>50</v>
      </c>
      <c r="F93" s="134"/>
      <c r="G93" s="134"/>
      <c r="J93" s="138">
        <f>IF(H87="",0,'SWE.WS.G.BPU.ATRR.True-up'!$F$12)</f>
        <v>0</v>
      </c>
      <c r="K93" s="139"/>
      <c r="L93" t="str">
        <f>"          INPUT TRUE-UP ARR (WITH &amp; WITHOUT INCENTIVES) FROM EACH PRIOR YEAR"</f>
        <v xml:space="preserve">          INPUT TRUE-UP ARR (WITH &amp; WITHOUT INCENTIVES) FROM EACH PRIOR YEAR</v>
      </c>
      <c r="P93" s="4"/>
    </row>
    <row r="94" spans="1:16">
      <c r="C94" s="136" t="s">
        <v>51</v>
      </c>
      <c r="D94" s="218">
        <v>6</v>
      </c>
      <c r="E94" s="136" t="s">
        <v>52</v>
      </c>
      <c r="F94" s="134"/>
      <c r="G94" s="134"/>
      <c r="J94" s="140">
        <f>'SWE.WS.G.BPU.ATRR.True-up'!$F$80</f>
        <v>0.12147145768398206</v>
      </c>
      <c r="K94" s="141"/>
      <c r="L94" t="s">
        <v>83</v>
      </c>
      <c r="P94" s="4"/>
    </row>
    <row r="95" spans="1:16">
      <c r="C95" s="136" t="s">
        <v>54</v>
      </c>
      <c r="D95" s="138">
        <f>'SWE.WS.G.BPU.ATRR.True-up'!F$92</f>
        <v>42</v>
      </c>
      <c r="E95" s="136" t="s">
        <v>55</v>
      </c>
      <c r="F95" s="134"/>
      <c r="G95" s="134"/>
      <c r="J95" s="140">
        <f>IF(H87="",J94,'SWE.WS.G.BPU.ATRR.True-up'!$F$79)</f>
        <v>0.12147145768398206</v>
      </c>
      <c r="K95" s="58"/>
      <c r="L95" s="111" t="s">
        <v>56</v>
      </c>
      <c r="M95" s="58"/>
      <c r="N95" s="58"/>
      <c r="O95" s="58"/>
      <c r="P95" s="4"/>
    </row>
    <row r="96" spans="1:16" ht="13.5" thickBot="1">
      <c r="C96" s="136" t="s">
        <v>57</v>
      </c>
      <c r="D96" s="220" t="str">
        <f>+D14</f>
        <v>No</v>
      </c>
      <c r="E96" s="202" t="s">
        <v>59</v>
      </c>
      <c r="F96" s="208"/>
      <c r="G96" s="208"/>
      <c r="H96" s="209"/>
      <c r="I96" s="209"/>
      <c r="J96" s="124">
        <f>IF(D92=0,0,D92/D95)</f>
        <v>408114.5</v>
      </c>
      <c r="K96" s="111"/>
      <c r="L96" s="111"/>
      <c r="M96" s="111"/>
      <c r="N96" s="111"/>
      <c r="O96" s="111"/>
      <c r="P96" s="4"/>
    </row>
    <row r="97" spans="1:16" ht="38.25">
      <c r="A97" s="6"/>
      <c r="B97" s="6"/>
      <c r="C97" s="210" t="s">
        <v>47</v>
      </c>
      <c r="D97" s="211" t="s">
        <v>60</v>
      </c>
      <c r="E97" s="146" t="s">
        <v>61</v>
      </c>
      <c r="F97" s="146" t="s">
        <v>62</v>
      </c>
      <c r="G97" s="144" t="s">
        <v>84</v>
      </c>
      <c r="H97" s="434" t="s">
        <v>378</v>
      </c>
      <c r="I97" s="435" t="s">
        <v>379</v>
      </c>
      <c r="J97" s="210" t="s">
        <v>85</v>
      </c>
      <c r="K97" s="212"/>
      <c r="L97" s="271" t="s">
        <v>220</v>
      </c>
      <c r="M97" s="146" t="s">
        <v>86</v>
      </c>
      <c r="N97" s="271" t="s">
        <v>220</v>
      </c>
      <c r="O97" s="146" t="s">
        <v>86</v>
      </c>
      <c r="P97" s="146" t="s">
        <v>65</v>
      </c>
    </row>
    <row r="98" spans="1:16" ht="13.5" thickBot="1">
      <c r="C98" s="147" t="s">
        <v>66</v>
      </c>
      <c r="D98" s="213" t="s">
        <v>67</v>
      </c>
      <c r="E98" s="147" t="s">
        <v>68</v>
      </c>
      <c r="F98" s="147" t="s">
        <v>67</v>
      </c>
      <c r="G98" s="147" t="s">
        <v>67</v>
      </c>
      <c r="H98" s="407" t="s">
        <v>69</v>
      </c>
      <c r="I98" s="148" t="s">
        <v>70</v>
      </c>
      <c r="J98" s="149" t="s">
        <v>89</v>
      </c>
      <c r="K98" s="150"/>
      <c r="L98" s="151" t="s">
        <v>72</v>
      </c>
      <c r="M98" s="151" t="s">
        <v>72</v>
      </c>
      <c r="N98" s="151" t="s">
        <v>90</v>
      </c>
      <c r="O98" s="151" t="s">
        <v>90</v>
      </c>
      <c r="P98" s="151" t="s">
        <v>90</v>
      </c>
    </row>
    <row r="99" spans="1:16">
      <c r="C99" s="153">
        <f>IF(D93= "","-",D93)</f>
        <v>2017</v>
      </c>
      <c r="D99" s="350">
        <f>IF(D93=C99,0,D92)</f>
        <v>0</v>
      </c>
      <c r="E99" s="163">
        <f>IF(D11=I10,0,J96/12*(12-D94))</f>
        <v>204057.25</v>
      </c>
      <c r="F99" s="162">
        <f>IF(D93=C99,+D92-E99,+D99-E99)</f>
        <v>16936751.75</v>
      </c>
      <c r="G99" s="419">
        <f t="shared" ref="G99:G154" si="10">+(F99+D99)/2</f>
        <v>8468375.875</v>
      </c>
      <c r="H99" s="251">
        <f>+J94*G99+E99</f>
        <v>1232723.2117521171</v>
      </c>
      <c r="I99" s="252">
        <f>+J95*G99+E99</f>
        <v>1232723.2117521171</v>
      </c>
      <c r="J99" s="158">
        <f t="shared" ref="J99:J130" si="11">+I99-H99</f>
        <v>0</v>
      </c>
      <c r="K99" s="158"/>
      <c r="L99" s="333"/>
      <c r="M99" s="157">
        <f t="shared" ref="M99:M130" si="12">IF(L99&lt;&gt;0,+H99-L99,0)</f>
        <v>0</v>
      </c>
      <c r="N99" s="333"/>
      <c r="O99" s="157">
        <f t="shared" ref="O99:O130" si="13">IF(N99&lt;&gt;0,+I99-N99,0)</f>
        <v>0</v>
      </c>
      <c r="P99" s="157">
        <f t="shared" ref="P99:P130" si="14">+O99-M99</f>
        <v>0</v>
      </c>
    </row>
    <row r="100" spans="1:16">
      <c r="B100" s="9" t="str">
        <f>IF(D100=F99,"","IU")</f>
        <v/>
      </c>
      <c r="C100" s="153">
        <f>IF(D93="","-",+C99+1)</f>
        <v>2018</v>
      </c>
      <c r="D100" s="154">
        <f>IF(F99+SUM(E$99:E99)=D$92,F99,D$92-SUM(E$99:E99))</f>
        <v>16936751.75</v>
      </c>
      <c r="E100" s="160">
        <f>IF(+J96&lt;F99,J96,D100)</f>
        <v>408114.5</v>
      </c>
      <c r="F100" s="159">
        <f t="shared" ref="F100:F154" si="15">+D100-E100</f>
        <v>16528637.25</v>
      </c>
      <c r="G100" s="159">
        <f t="shared" si="10"/>
        <v>16732694.5</v>
      </c>
      <c r="H100" s="163">
        <f t="shared" ref="H100:H154" si="16">+J$94*G100+E100</f>
        <v>2440659.291895749</v>
      </c>
      <c r="I100" s="253">
        <f t="shared" ref="I100:I154" si="17">+J$95*G100+E100</f>
        <v>2440659.291895749</v>
      </c>
      <c r="J100" s="158">
        <f t="shared" si="11"/>
        <v>0</v>
      </c>
      <c r="K100" s="158"/>
      <c r="L100" s="334"/>
      <c r="M100" s="158">
        <f t="shared" si="12"/>
        <v>0</v>
      </c>
      <c r="N100" s="334"/>
      <c r="O100" s="158">
        <f t="shared" si="13"/>
        <v>0</v>
      </c>
      <c r="P100" s="158">
        <f t="shared" si="14"/>
        <v>0</v>
      </c>
    </row>
    <row r="101" spans="1:16">
      <c r="B101" s="9" t="str">
        <f t="shared" ref="B101:B154" si="18">IF(D101=F100,"","IU")</f>
        <v/>
      </c>
      <c r="C101" s="153">
        <f>IF(D93="","-",+C100+1)</f>
        <v>2019</v>
      </c>
      <c r="D101" s="154">
        <f>IF(F100+SUM(E$99:E100)=D$92,F100,D$92-SUM(E$99:E100))</f>
        <v>16528637.25</v>
      </c>
      <c r="E101" s="160">
        <f>IF(+J96&lt;F100,J96,D101)</f>
        <v>408114.5</v>
      </c>
      <c r="F101" s="159">
        <f t="shared" si="15"/>
        <v>16120522.75</v>
      </c>
      <c r="G101" s="159">
        <f t="shared" si="10"/>
        <v>16324580</v>
      </c>
      <c r="H101" s="163">
        <f t="shared" si="16"/>
        <v>2391085.0286787795</v>
      </c>
      <c r="I101" s="253">
        <f t="shared" si="17"/>
        <v>2391085.0286787795</v>
      </c>
      <c r="J101" s="158">
        <f t="shared" si="11"/>
        <v>0</v>
      </c>
      <c r="K101" s="158"/>
      <c r="L101" s="334"/>
      <c r="M101" s="158">
        <f t="shared" si="12"/>
        <v>0</v>
      </c>
      <c r="N101" s="334"/>
      <c r="O101" s="158">
        <f t="shared" si="13"/>
        <v>0</v>
      </c>
      <c r="P101" s="158">
        <f t="shared" si="14"/>
        <v>0</v>
      </c>
    </row>
    <row r="102" spans="1:16">
      <c r="B102" s="9" t="str">
        <f t="shared" si="18"/>
        <v/>
      </c>
      <c r="C102" s="153">
        <f>IF(D93="","-",+C101+1)</f>
        <v>2020</v>
      </c>
      <c r="D102" s="154">
        <f>IF(F101+SUM(E$99:E101)=D$92,F101,D$92-SUM(E$99:E101))</f>
        <v>16120522.75</v>
      </c>
      <c r="E102" s="160">
        <f>IF(+J96&lt;F101,J96,D102)</f>
        <v>408114.5</v>
      </c>
      <c r="F102" s="159">
        <f t="shared" si="15"/>
        <v>15712408.25</v>
      </c>
      <c r="G102" s="159">
        <f t="shared" si="10"/>
        <v>15916465.5</v>
      </c>
      <c r="H102" s="163">
        <f t="shared" si="16"/>
        <v>2341510.7654618104</v>
      </c>
      <c r="I102" s="253">
        <f t="shared" si="17"/>
        <v>2341510.7654618104</v>
      </c>
      <c r="J102" s="158">
        <f t="shared" si="11"/>
        <v>0</v>
      </c>
      <c r="K102" s="158"/>
      <c r="L102" s="334"/>
      <c r="M102" s="158">
        <f t="shared" si="12"/>
        <v>0</v>
      </c>
      <c r="N102" s="334"/>
      <c r="O102" s="158">
        <f t="shared" si="13"/>
        <v>0</v>
      </c>
      <c r="P102" s="158">
        <f t="shared" si="14"/>
        <v>0</v>
      </c>
    </row>
    <row r="103" spans="1:16">
      <c r="B103" s="9" t="str">
        <f t="shared" si="18"/>
        <v/>
      </c>
      <c r="C103" s="153">
        <f>IF(D93="","-",+C102+1)</f>
        <v>2021</v>
      </c>
      <c r="D103" s="154">
        <f>IF(F102+SUM(E$99:E102)=D$92,F102,D$92-SUM(E$99:E102))</f>
        <v>15712408.25</v>
      </c>
      <c r="E103" s="160">
        <f>IF(+J96&lt;F102,J96,D103)</f>
        <v>408114.5</v>
      </c>
      <c r="F103" s="159">
        <f t="shared" si="15"/>
        <v>15304293.75</v>
      </c>
      <c r="G103" s="159">
        <f t="shared" si="10"/>
        <v>15508351</v>
      </c>
      <c r="H103" s="163">
        <f t="shared" si="16"/>
        <v>2291936.5022448408</v>
      </c>
      <c r="I103" s="253">
        <f t="shared" si="17"/>
        <v>2291936.5022448408</v>
      </c>
      <c r="J103" s="158">
        <f t="shared" si="11"/>
        <v>0</v>
      </c>
      <c r="K103" s="158"/>
      <c r="L103" s="334"/>
      <c r="M103" s="158">
        <f t="shared" si="12"/>
        <v>0</v>
      </c>
      <c r="N103" s="334"/>
      <c r="O103" s="158">
        <f t="shared" si="13"/>
        <v>0</v>
      </c>
      <c r="P103" s="158">
        <f t="shared" si="14"/>
        <v>0</v>
      </c>
    </row>
    <row r="104" spans="1:16">
      <c r="B104" s="9" t="str">
        <f t="shared" si="18"/>
        <v/>
      </c>
      <c r="C104" s="153">
        <f>IF(D93="","-",+C103+1)</f>
        <v>2022</v>
      </c>
      <c r="D104" s="154">
        <f>IF(F103+SUM(E$99:E103)=D$92,F103,D$92-SUM(E$99:E103))</f>
        <v>15304293.75</v>
      </c>
      <c r="E104" s="160">
        <f>IF(+J96&lt;F103,J96,D104)</f>
        <v>408114.5</v>
      </c>
      <c r="F104" s="159">
        <f t="shared" si="15"/>
        <v>14896179.25</v>
      </c>
      <c r="G104" s="159">
        <f t="shared" si="10"/>
        <v>15100236.5</v>
      </c>
      <c r="H104" s="163">
        <f t="shared" si="16"/>
        <v>2242362.2390278713</v>
      </c>
      <c r="I104" s="253">
        <f t="shared" si="17"/>
        <v>2242362.2390278713</v>
      </c>
      <c r="J104" s="158">
        <f t="shared" si="11"/>
        <v>0</v>
      </c>
      <c r="K104" s="158"/>
      <c r="L104" s="334"/>
      <c r="M104" s="158">
        <f t="shared" si="12"/>
        <v>0</v>
      </c>
      <c r="N104" s="334"/>
      <c r="O104" s="158">
        <f t="shared" si="13"/>
        <v>0</v>
      </c>
      <c r="P104" s="158">
        <f t="shared" si="14"/>
        <v>0</v>
      </c>
    </row>
    <row r="105" spans="1:16">
      <c r="B105" s="9" t="str">
        <f t="shared" si="18"/>
        <v/>
      </c>
      <c r="C105" s="153">
        <f>IF(D93="","-",+C104+1)</f>
        <v>2023</v>
      </c>
      <c r="D105" s="154">
        <f>IF(F104+SUM(E$99:E104)=D$92,F104,D$92-SUM(E$99:E104))</f>
        <v>14896179.25</v>
      </c>
      <c r="E105" s="160">
        <f>IF(+J96&lt;F104,J96,D105)</f>
        <v>408114.5</v>
      </c>
      <c r="F105" s="159">
        <f t="shared" si="15"/>
        <v>14488064.75</v>
      </c>
      <c r="G105" s="159">
        <f t="shared" si="10"/>
        <v>14692122</v>
      </c>
      <c r="H105" s="163">
        <f t="shared" si="16"/>
        <v>2192787.9758109017</v>
      </c>
      <c r="I105" s="253">
        <f t="shared" si="17"/>
        <v>2192787.9758109017</v>
      </c>
      <c r="J105" s="158">
        <f t="shared" si="11"/>
        <v>0</v>
      </c>
      <c r="K105" s="158"/>
      <c r="L105" s="334"/>
      <c r="M105" s="158">
        <f t="shared" si="12"/>
        <v>0</v>
      </c>
      <c r="N105" s="334"/>
      <c r="O105" s="158">
        <f t="shared" si="13"/>
        <v>0</v>
      </c>
      <c r="P105" s="158">
        <f t="shared" si="14"/>
        <v>0</v>
      </c>
    </row>
    <row r="106" spans="1:16">
      <c r="B106" s="9" t="str">
        <f t="shared" si="18"/>
        <v/>
      </c>
      <c r="C106" s="153">
        <f>IF(D93="","-",+C105+1)</f>
        <v>2024</v>
      </c>
      <c r="D106" s="154">
        <f>IF(F105+SUM(E$99:E105)=D$92,F105,D$92-SUM(E$99:E105))</f>
        <v>14488064.75</v>
      </c>
      <c r="E106" s="160">
        <f>IF(+J96&lt;F105,J96,D106)</f>
        <v>408114.5</v>
      </c>
      <c r="F106" s="159">
        <f t="shared" si="15"/>
        <v>14079950.25</v>
      </c>
      <c r="G106" s="159">
        <f t="shared" si="10"/>
        <v>14284007.5</v>
      </c>
      <c r="H106" s="163">
        <f t="shared" si="16"/>
        <v>2143213.7125939326</v>
      </c>
      <c r="I106" s="253">
        <f t="shared" si="17"/>
        <v>2143213.7125939326</v>
      </c>
      <c r="J106" s="158">
        <f t="shared" si="11"/>
        <v>0</v>
      </c>
      <c r="K106" s="158"/>
      <c r="L106" s="334"/>
      <c r="M106" s="158">
        <f t="shared" si="12"/>
        <v>0</v>
      </c>
      <c r="N106" s="334"/>
      <c r="O106" s="158">
        <f t="shared" si="13"/>
        <v>0</v>
      </c>
      <c r="P106" s="158">
        <f t="shared" si="14"/>
        <v>0</v>
      </c>
    </row>
    <row r="107" spans="1:16">
      <c r="B107" s="9" t="str">
        <f t="shared" si="18"/>
        <v/>
      </c>
      <c r="C107" s="153">
        <f>IF(D93="","-",+C106+1)</f>
        <v>2025</v>
      </c>
      <c r="D107" s="154">
        <f>IF(F106+SUM(E$99:E106)=D$92,F106,D$92-SUM(E$99:E106))</f>
        <v>14079950.25</v>
      </c>
      <c r="E107" s="160">
        <f>IF(+J96&lt;F106,J96,D107)</f>
        <v>408114.5</v>
      </c>
      <c r="F107" s="159">
        <f t="shared" si="15"/>
        <v>13671835.75</v>
      </c>
      <c r="G107" s="159">
        <f t="shared" si="10"/>
        <v>13875893</v>
      </c>
      <c r="H107" s="163">
        <f t="shared" si="16"/>
        <v>2093639.4493769628</v>
      </c>
      <c r="I107" s="253">
        <f t="shared" si="17"/>
        <v>2093639.4493769628</v>
      </c>
      <c r="J107" s="158">
        <f t="shared" si="11"/>
        <v>0</v>
      </c>
      <c r="K107" s="158"/>
      <c r="L107" s="334"/>
      <c r="M107" s="158">
        <f t="shared" si="12"/>
        <v>0</v>
      </c>
      <c r="N107" s="334"/>
      <c r="O107" s="158">
        <f t="shared" si="13"/>
        <v>0</v>
      </c>
      <c r="P107" s="158">
        <f t="shared" si="14"/>
        <v>0</v>
      </c>
    </row>
    <row r="108" spans="1:16">
      <c r="B108" s="9" t="str">
        <f t="shared" si="18"/>
        <v/>
      </c>
      <c r="C108" s="153">
        <f>IF(D93="","-",+C107+1)</f>
        <v>2026</v>
      </c>
      <c r="D108" s="154">
        <f>IF(F107+SUM(E$99:E107)=D$92,F107,D$92-SUM(E$99:E107))</f>
        <v>13671835.75</v>
      </c>
      <c r="E108" s="160">
        <f>IF(+J96&lt;F107,J96,D108)</f>
        <v>408114.5</v>
      </c>
      <c r="F108" s="159">
        <f t="shared" si="15"/>
        <v>13263721.25</v>
      </c>
      <c r="G108" s="159">
        <f t="shared" si="10"/>
        <v>13467778.5</v>
      </c>
      <c r="H108" s="163">
        <f t="shared" si="16"/>
        <v>2044065.1861599933</v>
      </c>
      <c r="I108" s="253">
        <f t="shared" si="17"/>
        <v>2044065.1861599933</v>
      </c>
      <c r="J108" s="158">
        <f t="shared" si="11"/>
        <v>0</v>
      </c>
      <c r="K108" s="158"/>
      <c r="L108" s="334"/>
      <c r="M108" s="158">
        <f t="shared" si="12"/>
        <v>0</v>
      </c>
      <c r="N108" s="334"/>
      <c r="O108" s="158">
        <f t="shared" si="13"/>
        <v>0</v>
      </c>
      <c r="P108" s="158">
        <f t="shared" si="14"/>
        <v>0</v>
      </c>
    </row>
    <row r="109" spans="1:16">
      <c r="B109" s="9" t="str">
        <f t="shared" si="18"/>
        <v/>
      </c>
      <c r="C109" s="153">
        <f>IF(D93="","-",+C108+1)</f>
        <v>2027</v>
      </c>
      <c r="D109" s="154">
        <f>IF(F108+SUM(E$99:E108)=D$92,F108,D$92-SUM(E$99:E108))</f>
        <v>13263721.25</v>
      </c>
      <c r="E109" s="160">
        <f>IF(+J96&lt;F108,J96,D109)</f>
        <v>408114.5</v>
      </c>
      <c r="F109" s="159">
        <f t="shared" si="15"/>
        <v>12855606.75</v>
      </c>
      <c r="G109" s="159">
        <f t="shared" si="10"/>
        <v>13059664</v>
      </c>
      <c r="H109" s="163">
        <f t="shared" si="16"/>
        <v>1994490.9229430237</v>
      </c>
      <c r="I109" s="253">
        <f t="shared" si="17"/>
        <v>1994490.9229430237</v>
      </c>
      <c r="J109" s="158">
        <f t="shared" si="11"/>
        <v>0</v>
      </c>
      <c r="K109" s="158"/>
      <c r="L109" s="334"/>
      <c r="M109" s="158">
        <f t="shared" si="12"/>
        <v>0</v>
      </c>
      <c r="N109" s="334"/>
      <c r="O109" s="158">
        <f t="shared" si="13"/>
        <v>0</v>
      </c>
      <c r="P109" s="158">
        <f t="shared" si="14"/>
        <v>0</v>
      </c>
    </row>
    <row r="110" spans="1:16">
      <c r="B110" s="9" t="str">
        <f t="shared" si="18"/>
        <v/>
      </c>
      <c r="C110" s="153">
        <f>IF(D93="","-",+C109+1)</f>
        <v>2028</v>
      </c>
      <c r="D110" s="154">
        <f>IF(F109+SUM(E$99:E109)=D$92,F109,D$92-SUM(E$99:E109))</f>
        <v>12855606.75</v>
      </c>
      <c r="E110" s="160">
        <f>IF(+J96&lt;F109,J96,D110)</f>
        <v>408114.5</v>
      </c>
      <c r="F110" s="159">
        <f t="shared" si="15"/>
        <v>12447492.25</v>
      </c>
      <c r="G110" s="159">
        <f t="shared" si="10"/>
        <v>12651549.5</v>
      </c>
      <c r="H110" s="163">
        <f t="shared" si="16"/>
        <v>1944916.6597260544</v>
      </c>
      <c r="I110" s="253">
        <f t="shared" si="17"/>
        <v>1944916.6597260544</v>
      </c>
      <c r="J110" s="158">
        <f t="shared" si="11"/>
        <v>0</v>
      </c>
      <c r="K110" s="158"/>
      <c r="L110" s="334"/>
      <c r="M110" s="158">
        <f t="shared" si="12"/>
        <v>0</v>
      </c>
      <c r="N110" s="334"/>
      <c r="O110" s="158">
        <f t="shared" si="13"/>
        <v>0</v>
      </c>
      <c r="P110" s="158">
        <f t="shared" si="14"/>
        <v>0</v>
      </c>
    </row>
    <row r="111" spans="1:16">
      <c r="B111" s="9" t="str">
        <f t="shared" si="18"/>
        <v/>
      </c>
      <c r="C111" s="153">
        <f>IF(D93="","-",+C110+1)</f>
        <v>2029</v>
      </c>
      <c r="D111" s="154">
        <f>IF(F110+SUM(E$99:E110)=D$92,F110,D$92-SUM(E$99:E110))</f>
        <v>12447492.25</v>
      </c>
      <c r="E111" s="160">
        <f>IF(+J96&lt;F110,J96,D111)</f>
        <v>408114.5</v>
      </c>
      <c r="F111" s="159">
        <f t="shared" si="15"/>
        <v>12039377.75</v>
      </c>
      <c r="G111" s="159">
        <f t="shared" si="10"/>
        <v>12243435</v>
      </c>
      <c r="H111" s="163">
        <f t="shared" si="16"/>
        <v>1895342.3965090849</v>
      </c>
      <c r="I111" s="253">
        <f t="shared" si="17"/>
        <v>1895342.3965090849</v>
      </c>
      <c r="J111" s="158">
        <f t="shared" si="11"/>
        <v>0</v>
      </c>
      <c r="K111" s="158"/>
      <c r="L111" s="334"/>
      <c r="M111" s="158">
        <f t="shared" si="12"/>
        <v>0</v>
      </c>
      <c r="N111" s="334"/>
      <c r="O111" s="158">
        <f t="shared" si="13"/>
        <v>0</v>
      </c>
      <c r="P111" s="158">
        <f t="shared" si="14"/>
        <v>0</v>
      </c>
    </row>
    <row r="112" spans="1:16">
      <c r="B112" s="9" t="str">
        <f t="shared" si="18"/>
        <v/>
      </c>
      <c r="C112" s="153">
        <f>IF(D93="","-",+C111+1)</f>
        <v>2030</v>
      </c>
      <c r="D112" s="154">
        <f>IF(F111+SUM(E$99:E111)=D$92,F111,D$92-SUM(E$99:E111))</f>
        <v>12039377.75</v>
      </c>
      <c r="E112" s="160">
        <f>IF(+J96&lt;F111,J96,D112)</f>
        <v>408114.5</v>
      </c>
      <c r="F112" s="159">
        <f t="shared" si="15"/>
        <v>11631263.25</v>
      </c>
      <c r="G112" s="159">
        <f t="shared" si="10"/>
        <v>11835320.5</v>
      </c>
      <c r="H112" s="163">
        <f t="shared" si="16"/>
        <v>1845768.1332921153</v>
      </c>
      <c r="I112" s="253">
        <f t="shared" si="17"/>
        <v>1845768.1332921153</v>
      </c>
      <c r="J112" s="158">
        <f t="shared" si="11"/>
        <v>0</v>
      </c>
      <c r="K112" s="158"/>
      <c r="L112" s="334"/>
      <c r="M112" s="158">
        <f t="shared" si="12"/>
        <v>0</v>
      </c>
      <c r="N112" s="334"/>
      <c r="O112" s="158">
        <f t="shared" si="13"/>
        <v>0</v>
      </c>
      <c r="P112" s="158">
        <f t="shared" si="14"/>
        <v>0</v>
      </c>
    </row>
    <row r="113" spans="2:16">
      <c r="B113" s="9" t="str">
        <f t="shared" si="18"/>
        <v/>
      </c>
      <c r="C113" s="153">
        <f>IF(D93="","-",+C112+1)</f>
        <v>2031</v>
      </c>
      <c r="D113" s="154">
        <f>IF(F112+SUM(E$99:E112)=D$92,F112,D$92-SUM(E$99:E112))</f>
        <v>11631263.25</v>
      </c>
      <c r="E113" s="160">
        <f>IF(+J96&lt;F112,J96,D113)</f>
        <v>408114.5</v>
      </c>
      <c r="F113" s="159">
        <f t="shared" si="15"/>
        <v>11223148.75</v>
      </c>
      <c r="G113" s="159">
        <f t="shared" si="10"/>
        <v>11427206</v>
      </c>
      <c r="H113" s="163">
        <f t="shared" si="16"/>
        <v>1796193.870075146</v>
      </c>
      <c r="I113" s="253">
        <f t="shared" si="17"/>
        <v>1796193.870075146</v>
      </c>
      <c r="J113" s="158">
        <f t="shared" si="11"/>
        <v>0</v>
      </c>
      <c r="K113" s="158"/>
      <c r="L113" s="334"/>
      <c r="M113" s="158">
        <f t="shared" si="12"/>
        <v>0</v>
      </c>
      <c r="N113" s="334"/>
      <c r="O113" s="158">
        <f t="shared" si="13"/>
        <v>0</v>
      </c>
      <c r="P113" s="158">
        <f t="shared" si="14"/>
        <v>0</v>
      </c>
    </row>
    <row r="114" spans="2:16">
      <c r="B114" s="9" t="str">
        <f t="shared" si="18"/>
        <v/>
      </c>
      <c r="C114" s="153">
        <f>IF(D93="","-",+C113+1)</f>
        <v>2032</v>
      </c>
      <c r="D114" s="154">
        <f>IF(F113+SUM(E$99:E113)=D$92,F113,D$92-SUM(E$99:E113))</f>
        <v>11223148.75</v>
      </c>
      <c r="E114" s="160">
        <f>IF(+J96&lt;F113,J96,D114)</f>
        <v>408114.5</v>
      </c>
      <c r="F114" s="159">
        <f t="shared" si="15"/>
        <v>10815034.25</v>
      </c>
      <c r="G114" s="159">
        <f t="shared" si="10"/>
        <v>11019091.5</v>
      </c>
      <c r="H114" s="163">
        <f t="shared" si="16"/>
        <v>1746619.6068581764</v>
      </c>
      <c r="I114" s="253">
        <f t="shared" si="17"/>
        <v>1746619.6068581764</v>
      </c>
      <c r="J114" s="158">
        <f t="shared" si="11"/>
        <v>0</v>
      </c>
      <c r="K114" s="158"/>
      <c r="L114" s="334"/>
      <c r="M114" s="158">
        <f t="shared" si="12"/>
        <v>0</v>
      </c>
      <c r="N114" s="334"/>
      <c r="O114" s="158">
        <f t="shared" si="13"/>
        <v>0</v>
      </c>
      <c r="P114" s="158">
        <f t="shared" si="14"/>
        <v>0</v>
      </c>
    </row>
    <row r="115" spans="2:16">
      <c r="B115" s="9" t="str">
        <f t="shared" si="18"/>
        <v/>
      </c>
      <c r="C115" s="153">
        <f>IF(D93="","-",+C114+1)</f>
        <v>2033</v>
      </c>
      <c r="D115" s="154">
        <f>IF(F114+SUM(E$99:E114)=D$92,F114,D$92-SUM(E$99:E114))</f>
        <v>10815034.25</v>
      </c>
      <c r="E115" s="160">
        <f>IF(+J96&lt;F114,J96,D115)</f>
        <v>408114.5</v>
      </c>
      <c r="F115" s="159">
        <f t="shared" si="15"/>
        <v>10406919.75</v>
      </c>
      <c r="G115" s="159">
        <f t="shared" si="10"/>
        <v>10610977</v>
      </c>
      <c r="H115" s="163">
        <f t="shared" si="16"/>
        <v>1697045.3436412069</v>
      </c>
      <c r="I115" s="253">
        <f t="shared" si="17"/>
        <v>1697045.3436412069</v>
      </c>
      <c r="J115" s="158">
        <f t="shared" si="11"/>
        <v>0</v>
      </c>
      <c r="K115" s="158"/>
      <c r="L115" s="334"/>
      <c r="M115" s="158">
        <f t="shared" si="12"/>
        <v>0</v>
      </c>
      <c r="N115" s="334"/>
      <c r="O115" s="158">
        <f t="shared" si="13"/>
        <v>0</v>
      </c>
      <c r="P115" s="158">
        <f t="shared" si="14"/>
        <v>0</v>
      </c>
    </row>
    <row r="116" spans="2:16">
      <c r="B116" s="9" t="str">
        <f t="shared" si="18"/>
        <v/>
      </c>
      <c r="C116" s="153">
        <f>IF(D93="","-",+C115+1)</f>
        <v>2034</v>
      </c>
      <c r="D116" s="154">
        <f>IF(F115+SUM(E$99:E115)=D$92,F115,D$92-SUM(E$99:E115))</f>
        <v>10406919.75</v>
      </c>
      <c r="E116" s="160">
        <f>IF(+J96&lt;F115,J96,D116)</f>
        <v>408114.5</v>
      </c>
      <c r="F116" s="159">
        <f t="shared" si="15"/>
        <v>9998805.25</v>
      </c>
      <c r="G116" s="159">
        <f t="shared" si="10"/>
        <v>10202862.5</v>
      </c>
      <c r="H116" s="163">
        <f t="shared" si="16"/>
        <v>1647471.0804242373</v>
      </c>
      <c r="I116" s="253">
        <f t="shared" si="17"/>
        <v>1647471.0804242373</v>
      </c>
      <c r="J116" s="158">
        <f t="shared" si="11"/>
        <v>0</v>
      </c>
      <c r="K116" s="158"/>
      <c r="L116" s="334"/>
      <c r="M116" s="158">
        <f t="shared" si="12"/>
        <v>0</v>
      </c>
      <c r="N116" s="334"/>
      <c r="O116" s="158">
        <f t="shared" si="13"/>
        <v>0</v>
      </c>
      <c r="P116" s="158">
        <f t="shared" si="14"/>
        <v>0</v>
      </c>
    </row>
    <row r="117" spans="2:16">
      <c r="B117" s="9" t="str">
        <f t="shared" si="18"/>
        <v/>
      </c>
      <c r="C117" s="153">
        <f>IF(D93="","-",+C116+1)</f>
        <v>2035</v>
      </c>
      <c r="D117" s="154">
        <f>IF(F116+SUM(E$99:E116)=D$92,F116,D$92-SUM(E$99:E116))</f>
        <v>9998805.25</v>
      </c>
      <c r="E117" s="160">
        <f>IF(+J96&lt;F116,J96,D117)</f>
        <v>408114.5</v>
      </c>
      <c r="F117" s="159">
        <f t="shared" si="15"/>
        <v>9590690.75</v>
      </c>
      <c r="G117" s="159">
        <f t="shared" si="10"/>
        <v>9794748</v>
      </c>
      <c r="H117" s="163">
        <f t="shared" si="16"/>
        <v>1597896.817207268</v>
      </c>
      <c r="I117" s="253">
        <f t="shared" si="17"/>
        <v>1597896.817207268</v>
      </c>
      <c r="J117" s="158">
        <f t="shared" si="11"/>
        <v>0</v>
      </c>
      <c r="K117" s="158"/>
      <c r="L117" s="334"/>
      <c r="M117" s="158">
        <f t="shared" si="12"/>
        <v>0</v>
      </c>
      <c r="N117" s="334"/>
      <c r="O117" s="158">
        <f t="shared" si="13"/>
        <v>0</v>
      </c>
      <c r="P117" s="158">
        <f t="shared" si="14"/>
        <v>0</v>
      </c>
    </row>
    <row r="118" spans="2:16">
      <c r="B118" s="9" t="str">
        <f t="shared" si="18"/>
        <v/>
      </c>
      <c r="C118" s="153">
        <f>IF(D93="","-",+C117+1)</f>
        <v>2036</v>
      </c>
      <c r="D118" s="154">
        <f>IF(F117+SUM(E$99:E117)=D$92,F117,D$92-SUM(E$99:E117))</f>
        <v>9590690.75</v>
      </c>
      <c r="E118" s="160">
        <f>IF(+J96&lt;F117,J96,D118)</f>
        <v>408114.5</v>
      </c>
      <c r="F118" s="159">
        <f t="shared" si="15"/>
        <v>9182576.25</v>
      </c>
      <c r="G118" s="159">
        <f t="shared" si="10"/>
        <v>9386633.5</v>
      </c>
      <c r="H118" s="163">
        <f t="shared" si="16"/>
        <v>1548322.5539902984</v>
      </c>
      <c r="I118" s="253">
        <f t="shared" si="17"/>
        <v>1548322.5539902984</v>
      </c>
      <c r="J118" s="158">
        <f t="shared" si="11"/>
        <v>0</v>
      </c>
      <c r="K118" s="158"/>
      <c r="L118" s="334"/>
      <c r="M118" s="158">
        <f t="shared" si="12"/>
        <v>0</v>
      </c>
      <c r="N118" s="334"/>
      <c r="O118" s="158">
        <f t="shared" si="13"/>
        <v>0</v>
      </c>
      <c r="P118" s="158">
        <f t="shared" si="14"/>
        <v>0</v>
      </c>
    </row>
    <row r="119" spans="2:16">
      <c r="B119" s="9" t="str">
        <f t="shared" si="18"/>
        <v/>
      </c>
      <c r="C119" s="153">
        <f>IF(D93="","-",+C118+1)</f>
        <v>2037</v>
      </c>
      <c r="D119" s="154">
        <f>IF(F118+SUM(E$99:E118)=D$92,F118,D$92-SUM(E$99:E118))</f>
        <v>9182576.25</v>
      </c>
      <c r="E119" s="160">
        <f>IF(+J96&lt;F118,J96,D119)</f>
        <v>408114.5</v>
      </c>
      <c r="F119" s="159">
        <f t="shared" si="15"/>
        <v>8774461.75</v>
      </c>
      <c r="G119" s="159">
        <f t="shared" si="10"/>
        <v>8978519</v>
      </c>
      <c r="H119" s="163">
        <f t="shared" si="16"/>
        <v>1498748.2907733289</v>
      </c>
      <c r="I119" s="253">
        <f t="shared" si="17"/>
        <v>1498748.2907733289</v>
      </c>
      <c r="J119" s="158">
        <f t="shared" si="11"/>
        <v>0</v>
      </c>
      <c r="K119" s="158"/>
      <c r="L119" s="334"/>
      <c r="M119" s="158">
        <f t="shared" si="12"/>
        <v>0</v>
      </c>
      <c r="N119" s="334"/>
      <c r="O119" s="158">
        <f t="shared" si="13"/>
        <v>0</v>
      </c>
      <c r="P119" s="158">
        <f t="shared" si="14"/>
        <v>0</v>
      </c>
    </row>
    <row r="120" spans="2:16">
      <c r="B120" s="9" t="str">
        <f t="shared" si="18"/>
        <v/>
      </c>
      <c r="C120" s="153">
        <f>IF(D93="","-",+C119+1)</f>
        <v>2038</v>
      </c>
      <c r="D120" s="154">
        <f>IF(F119+SUM(E$99:E119)=D$92,F119,D$92-SUM(E$99:E119))</f>
        <v>8774461.75</v>
      </c>
      <c r="E120" s="160">
        <f>IF(+J96&lt;F119,J96,D120)</f>
        <v>408114.5</v>
      </c>
      <c r="F120" s="159">
        <f t="shared" si="15"/>
        <v>8366347.25</v>
      </c>
      <c r="G120" s="159">
        <f t="shared" si="10"/>
        <v>8570404.5</v>
      </c>
      <c r="H120" s="163">
        <f t="shared" si="16"/>
        <v>1449174.0275563593</v>
      </c>
      <c r="I120" s="253">
        <f t="shared" si="17"/>
        <v>1449174.0275563593</v>
      </c>
      <c r="J120" s="158">
        <f t="shared" si="11"/>
        <v>0</v>
      </c>
      <c r="K120" s="158"/>
      <c r="L120" s="334"/>
      <c r="M120" s="158">
        <f t="shared" si="12"/>
        <v>0</v>
      </c>
      <c r="N120" s="334"/>
      <c r="O120" s="158">
        <f t="shared" si="13"/>
        <v>0</v>
      </c>
      <c r="P120" s="158">
        <f t="shared" si="14"/>
        <v>0</v>
      </c>
    </row>
    <row r="121" spans="2:16">
      <c r="B121" s="9" t="str">
        <f t="shared" si="18"/>
        <v/>
      </c>
      <c r="C121" s="153">
        <f>IF(D93="","-",+C120+1)</f>
        <v>2039</v>
      </c>
      <c r="D121" s="154">
        <f>IF(F120+SUM(E$99:E120)=D$92,F120,D$92-SUM(E$99:E120))</f>
        <v>8366347.25</v>
      </c>
      <c r="E121" s="160">
        <f>IF(+J96&lt;F120,J96,D121)</f>
        <v>408114.5</v>
      </c>
      <c r="F121" s="159">
        <f t="shared" si="15"/>
        <v>7958232.75</v>
      </c>
      <c r="G121" s="159">
        <f t="shared" si="10"/>
        <v>8162290</v>
      </c>
      <c r="H121" s="163">
        <f t="shared" si="16"/>
        <v>1399599.7643393897</v>
      </c>
      <c r="I121" s="253">
        <f t="shared" si="17"/>
        <v>1399599.7643393897</v>
      </c>
      <c r="J121" s="158">
        <f t="shared" si="11"/>
        <v>0</v>
      </c>
      <c r="K121" s="158"/>
      <c r="L121" s="334"/>
      <c r="M121" s="158">
        <f t="shared" si="12"/>
        <v>0</v>
      </c>
      <c r="N121" s="334"/>
      <c r="O121" s="158">
        <f t="shared" si="13"/>
        <v>0</v>
      </c>
      <c r="P121" s="158">
        <f t="shared" si="14"/>
        <v>0</v>
      </c>
    </row>
    <row r="122" spans="2:16">
      <c r="B122" s="9" t="str">
        <f t="shared" si="18"/>
        <v/>
      </c>
      <c r="C122" s="153">
        <f>IF(D93="","-",+C121+1)</f>
        <v>2040</v>
      </c>
      <c r="D122" s="154">
        <f>IF(F121+SUM(E$99:E121)=D$92,F121,D$92-SUM(E$99:E121))</f>
        <v>7958232.75</v>
      </c>
      <c r="E122" s="160">
        <f>IF(+J96&lt;F121,J96,D122)</f>
        <v>408114.5</v>
      </c>
      <c r="F122" s="159">
        <f t="shared" si="15"/>
        <v>7550118.25</v>
      </c>
      <c r="G122" s="159">
        <f t="shared" si="10"/>
        <v>7754175.5</v>
      </c>
      <c r="H122" s="163">
        <f t="shared" si="16"/>
        <v>1350025.5011224204</v>
      </c>
      <c r="I122" s="253">
        <f t="shared" si="17"/>
        <v>1350025.5011224204</v>
      </c>
      <c r="J122" s="158">
        <f t="shared" si="11"/>
        <v>0</v>
      </c>
      <c r="K122" s="158"/>
      <c r="L122" s="334"/>
      <c r="M122" s="158">
        <f t="shared" si="12"/>
        <v>0</v>
      </c>
      <c r="N122" s="334"/>
      <c r="O122" s="158">
        <f t="shared" si="13"/>
        <v>0</v>
      </c>
      <c r="P122" s="158">
        <f t="shared" si="14"/>
        <v>0</v>
      </c>
    </row>
    <row r="123" spans="2:16">
      <c r="B123" s="9" t="str">
        <f t="shared" si="18"/>
        <v/>
      </c>
      <c r="C123" s="153">
        <f>IF(D93="","-",+C122+1)</f>
        <v>2041</v>
      </c>
      <c r="D123" s="154">
        <f>IF(F122+SUM(E$99:E122)=D$92,F122,D$92-SUM(E$99:E122))</f>
        <v>7550118.25</v>
      </c>
      <c r="E123" s="160">
        <f>IF(+J96&lt;F122,J96,D123)</f>
        <v>408114.5</v>
      </c>
      <c r="F123" s="159">
        <f t="shared" si="15"/>
        <v>7142003.75</v>
      </c>
      <c r="G123" s="159">
        <f t="shared" si="10"/>
        <v>7346061</v>
      </c>
      <c r="H123" s="163">
        <f t="shared" si="16"/>
        <v>1300451.2379054509</v>
      </c>
      <c r="I123" s="253">
        <f t="shared" si="17"/>
        <v>1300451.2379054509</v>
      </c>
      <c r="J123" s="158">
        <f t="shared" si="11"/>
        <v>0</v>
      </c>
      <c r="K123" s="158"/>
      <c r="L123" s="334"/>
      <c r="M123" s="158">
        <f t="shared" si="12"/>
        <v>0</v>
      </c>
      <c r="N123" s="334"/>
      <c r="O123" s="158">
        <f t="shared" si="13"/>
        <v>0</v>
      </c>
      <c r="P123" s="158">
        <f t="shared" si="14"/>
        <v>0</v>
      </c>
    </row>
    <row r="124" spans="2:16">
      <c r="B124" s="9" t="str">
        <f t="shared" si="18"/>
        <v/>
      </c>
      <c r="C124" s="153">
        <f>IF(D93="","-",+C123+1)</f>
        <v>2042</v>
      </c>
      <c r="D124" s="154">
        <f>IF(F123+SUM(E$99:E123)=D$92,F123,D$92-SUM(E$99:E123))</f>
        <v>7142003.75</v>
      </c>
      <c r="E124" s="160">
        <f>IF(+J96&lt;F123,J96,D124)</f>
        <v>408114.5</v>
      </c>
      <c r="F124" s="159">
        <f t="shared" si="15"/>
        <v>6733889.25</v>
      </c>
      <c r="G124" s="159">
        <f t="shared" si="10"/>
        <v>6937946.5</v>
      </c>
      <c r="H124" s="163">
        <f t="shared" si="16"/>
        <v>1250876.9746884815</v>
      </c>
      <c r="I124" s="253">
        <f t="shared" si="17"/>
        <v>1250876.9746884815</v>
      </c>
      <c r="J124" s="158">
        <f t="shared" si="11"/>
        <v>0</v>
      </c>
      <c r="K124" s="158"/>
      <c r="L124" s="334"/>
      <c r="M124" s="158">
        <f t="shared" si="12"/>
        <v>0</v>
      </c>
      <c r="N124" s="334"/>
      <c r="O124" s="158">
        <f t="shared" si="13"/>
        <v>0</v>
      </c>
      <c r="P124" s="158">
        <f t="shared" si="14"/>
        <v>0</v>
      </c>
    </row>
    <row r="125" spans="2:16">
      <c r="B125" s="9" t="str">
        <f t="shared" si="18"/>
        <v/>
      </c>
      <c r="C125" s="153">
        <f>IF(D93="","-",+C124+1)</f>
        <v>2043</v>
      </c>
      <c r="D125" s="154">
        <f>IF(F124+SUM(E$99:E124)=D$92,F124,D$92-SUM(E$99:E124))</f>
        <v>6733889.25</v>
      </c>
      <c r="E125" s="160">
        <f>IF(+J96&lt;F124,J96,D125)</f>
        <v>408114.5</v>
      </c>
      <c r="F125" s="159">
        <f t="shared" si="15"/>
        <v>6325774.75</v>
      </c>
      <c r="G125" s="159">
        <f t="shared" si="10"/>
        <v>6529832</v>
      </c>
      <c r="H125" s="163">
        <f t="shared" si="16"/>
        <v>1201302.711471512</v>
      </c>
      <c r="I125" s="253">
        <f t="shared" si="17"/>
        <v>1201302.711471512</v>
      </c>
      <c r="J125" s="158">
        <f t="shared" si="11"/>
        <v>0</v>
      </c>
      <c r="K125" s="158"/>
      <c r="L125" s="334"/>
      <c r="M125" s="158">
        <f t="shared" si="12"/>
        <v>0</v>
      </c>
      <c r="N125" s="334"/>
      <c r="O125" s="158">
        <f t="shared" si="13"/>
        <v>0</v>
      </c>
      <c r="P125" s="158">
        <f t="shared" si="14"/>
        <v>0</v>
      </c>
    </row>
    <row r="126" spans="2:16">
      <c r="B126" s="9" t="str">
        <f t="shared" si="18"/>
        <v/>
      </c>
      <c r="C126" s="153">
        <f>IF(D93="","-",+C125+1)</f>
        <v>2044</v>
      </c>
      <c r="D126" s="154">
        <f>IF(F125+SUM(E$99:E125)=D$92,F125,D$92-SUM(E$99:E125))</f>
        <v>6325774.75</v>
      </c>
      <c r="E126" s="160">
        <f>IF(+J96&lt;F125,J96,D126)</f>
        <v>408114.5</v>
      </c>
      <c r="F126" s="159">
        <f t="shared" si="15"/>
        <v>5917660.25</v>
      </c>
      <c r="G126" s="159">
        <f t="shared" si="10"/>
        <v>6121717.5</v>
      </c>
      <c r="H126" s="163">
        <f t="shared" si="16"/>
        <v>1151728.4482545424</v>
      </c>
      <c r="I126" s="253">
        <f t="shared" si="17"/>
        <v>1151728.4482545424</v>
      </c>
      <c r="J126" s="158">
        <f t="shared" si="11"/>
        <v>0</v>
      </c>
      <c r="K126" s="158"/>
      <c r="L126" s="334"/>
      <c r="M126" s="158">
        <f t="shared" si="12"/>
        <v>0</v>
      </c>
      <c r="N126" s="334"/>
      <c r="O126" s="158">
        <f t="shared" si="13"/>
        <v>0</v>
      </c>
      <c r="P126" s="158">
        <f t="shared" si="14"/>
        <v>0</v>
      </c>
    </row>
    <row r="127" spans="2:16">
      <c r="B127" s="9" t="str">
        <f t="shared" si="18"/>
        <v/>
      </c>
      <c r="C127" s="153">
        <f>IF(D93="","-",+C126+1)</f>
        <v>2045</v>
      </c>
      <c r="D127" s="154">
        <f>IF(F126+SUM(E$99:E126)=D$92,F126,D$92-SUM(E$99:E126))</f>
        <v>5917660.25</v>
      </c>
      <c r="E127" s="160">
        <f>IF(+J96&lt;F126,J96,D127)</f>
        <v>408114.5</v>
      </c>
      <c r="F127" s="159">
        <f t="shared" si="15"/>
        <v>5509545.75</v>
      </c>
      <c r="G127" s="159">
        <f t="shared" si="10"/>
        <v>5713603</v>
      </c>
      <c r="H127" s="163">
        <f t="shared" si="16"/>
        <v>1102154.1850375729</v>
      </c>
      <c r="I127" s="253">
        <f t="shared" si="17"/>
        <v>1102154.1850375729</v>
      </c>
      <c r="J127" s="158">
        <f t="shared" si="11"/>
        <v>0</v>
      </c>
      <c r="K127" s="158"/>
      <c r="L127" s="334"/>
      <c r="M127" s="158">
        <f t="shared" si="12"/>
        <v>0</v>
      </c>
      <c r="N127" s="334"/>
      <c r="O127" s="158">
        <f t="shared" si="13"/>
        <v>0</v>
      </c>
      <c r="P127" s="158">
        <f t="shared" si="14"/>
        <v>0</v>
      </c>
    </row>
    <row r="128" spans="2:16">
      <c r="B128" s="9" t="str">
        <f t="shared" si="18"/>
        <v/>
      </c>
      <c r="C128" s="153">
        <f>IF(D93="","-",+C127+1)</f>
        <v>2046</v>
      </c>
      <c r="D128" s="154">
        <f>IF(F127+SUM(E$99:E127)=D$92,F127,D$92-SUM(E$99:E127))</f>
        <v>5509545.75</v>
      </c>
      <c r="E128" s="160">
        <f>IF(+J96&lt;F127,J96,D128)</f>
        <v>408114.5</v>
      </c>
      <c r="F128" s="159">
        <f t="shared" si="15"/>
        <v>5101431.25</v>
      </c>
      <c r="G128" s="159">
        <f t="shared" si="10"/>
        <v>5305488.5</v>
      </c>
      <c r="H128" s="163">
        <f t="shared" si="16"/>
        <v>1052579.9218206033</v>
      </c>
      <c r="I128" s="253">
        <f t="shared" si="17"/>
        <v>1052579.9218206033</v>
      </c>
      <c r="J128" s="158">
        <f t="shared" si="11"/>
        <v>0</v>
      </c>
      <c r="K128" s="158"/>
      <c r="L128" s="334"/>
      <c r="M128" s="158">
        <f t="shared" si="12"/>
        <v>0</v>
      </c>
      <c r="N128" s="334"/>
      <c r="O128" s="158">
        <f t="shared" si="13"/>
        <v>0</v>
      </c>
      <c r="P128" s="158">
        <f t="shared" si="14"/>
        <v>0</v>
      </c>
    </row>
    <row r="129" spans="2:16">
      <c r="B129" s="9" t="str">
        <f t="shared" si="18"/>
        <v/>
      </c>
      <c r="C129" s="153">
        <f>IF(D93="","-",+C128+1)</f>
        <v>2047</v>
      </c>
      <c r="D129" s="154">
        <f>IF(F128+SUM(E$99:E128)=D$92,F128,D$92-SUM(E$99:E128))</f>
        <v>5101431.25</v>
      </c>
      <c r="E129" s="160">
        <f>IF(+J96&lt;F128,J96,D129)</f>
        <v>408114.5</v>
      </c>
      <c r="F129" s="159">
        <f t="shared" si="15"/>
        <v>4693316.75</v>
      </c>
      <c r="G129" s="159">
        <f t="shared" si="10"/>
        <v>4897374</v>
      </c>
      <c r="H129" s="163">
        <f t="shared" si="16"/>
        <v>1003005.658603634</v>
      </c>
      <c r="I129" s="253">
        <f t="shared" si="17"/>
        <v>1003005.658603634</v>
      </c>
      <c r="J129" s="158">
        <f t="shared" si="11"/>
        <v>0</v>
      </c>
      <c r="K129" s="158"/>
      <c r="L129" s="334"/>
      <c r="M129" s="158">
        <f t="shared" si="12"/>
        <v>0</v>
      </c>
      <c r="N129" s="334"/>
      <c r="O129" s="158">
        <f t="shared" si="13"/>
        <v>0</v>
      </c>
      <c r="P129" s="158">
        <f t="shared" si="14"/>
        <v>0</v>
      </c>
    </row>
    <row r="130" spans="2:16">
      <c r="B130" s="9" t="str">
        <f t="shared" si="18"/>
        <v/>
      </c>
      <c r="C130" s="153">
        <f>IF(D93="","-",+C129+1)</f>
        <v>2048</v>
      </c>
      <c r="D130" s="154">
        <f>IF(F129+SUM(E$99:E129)=D$92,F129,D$92-SUM(E$99:E129))</f>
        <v>4693316.75</v>
      </c>
      <c r="E130" s="160">
        <f>IF(+J96&lt;F129,J96,D130)</f>
        <v>408114.5</v>
      </c>
      <c r="F130" s="159">
        <f t="shared" si="15"/>
        <v>4285202.25</v>
      </c>
      <c r="G130" s="159">
        <f t="shared" si="10"/>
        <v>4489259.5</v>
      </c>
      <c r="H130" s="163">
        <f t="shared" si="16"/>
        <v>953431.39538666443</v>
      </c>
      <c r="I130" s="253">
        <f t="shared" si="17"/>
        <v>953431.39538666443</v>
      </c>
      <c r="J130" s="158">
        <f t="shared" si="11"/>
        <v>0</v>
      </c>
      <c r="K130" s="158"/>
      <c r="L130" s="334"/>
      <c r="M130" s="158">
        <f t="shared" si="12"/>
        <v>0</v>
      </c>
      <c r="N130" s="334"/>
      <c r="O130" s="158">
        <f t="shared" si="13"/>
        <v>0</v>
      </c>
      <c r="P130" s="158">
        <f t="shared" si="14"/>
        <v>0</v>
      </c>
    </row>
    <row r="131" spans="2:16">
      <c r="B131" s="9" t="str">
        <f t="shared" si="18"/>
        <v/>
      </c>
      <c r="C131" s="153">
        <f>IF(D93="","-",+C130+1)</f>
        <v>2049</v>
      </c>
      <c r="D131" s="154">
        <f>IF(F130+SUM(E$99:E130)=D$92,F130,D$92-SUM(E$99:E130))</f>
        <v>4285202.25</v>
      </c>
      <c r="E131" s="160">
        <f>IF(+J96&lt;F130,J96,D131)</f>
        <v>408114.5</v>
      </c>
      <c r="F131" s="159">
        <f t="shared" si="15"/>
        <v>3877087.75</v>
      </c>
      <c r="G131" s="159">
        <f t="shared" si="10"/>
        <v>4081145</v>
      </c>
      <c r="H131" s="163">
        <f t="shared" si="16"/>
        <v>903857.13216969487</v>
      </c>
      <c r="I131" s="253">
        <f t="shared" si="17"/>
        <v>903857.13216969487</v>
      </c>
      <c r="J131" s="158">
        <f t="shared" ref="J131:J154" si="19">+I541-H541</f>
        <v>0</v>
      </c>
      <c r="K131" s="158"/>
      <c r="L131" s="334"/>
      <c r="M131" s="158">
        <f t="shared" ref="M131:M154" si="20">IF(L541&lt;&gt;0,+H541-L541,0)</f>
        <v>0</v>
      </c>
      <c r="N131" s="334"/>
      <c r="O131" s="158">
        <f t="shared" ref="O131:O154" si="21">IF(N541&lt;&gt;0,+I541-N541,0)</f>
        <v>0</v>
      </c>
      <c r="P131" s="158">
        <f t="shared" ref="P131:P154" si="22">+O541-M541</f>
        <v>0</v>
      </c>
    </row>
    <row r="132" spans="2:16">
      <c r="B132" s="9" t="str">
        <f t="shared" si="18"/>
        <v/>
      </c>
      <c r="C132" s="153">
        <f>IF(D93="","-",+C131+1)</f>
        <v>2050</v>
      </c>
      <c r="D132" s="154">
        <f>IF(F131+SUM(E$99:E131)=D$92,F131,D$92-SUM(E$99:E131))</f>
        <v>3877087.75</v>
      </c>
      <c r="E132" s="160">
        <f>IF(+J96&lt;F131,J96,D132)</f>
        <v>408114.5</v>
      </c>
      <c r="F132" s="159">
        <f t="shared" si="15"/>
        <v>3468973.25</v>
      </c>
      <c r="G132" s="159">
        <f t="shared" si="10"/>
        <v>3673030.5</v>
      </c>
      <c r="H132" s="163">
        <f t="shared" si="16"/>
        <v>854282.86895272543</v>
      </c>
      <c r="I132" s="253">
        <f t="shared" si="17"/>
        <v>854282.86895272543</v>
      </c>
      <c r="J132" s="158">
        <f t="shared" si="19"/>
        <v>0</v>
      </c>
      <c r="K132" s="158"/>
      <c r="L132" s="334"/>
      <c r="M132" s="158">
        <f t="shared" si="20"/>
        <v>0</v>
      </c>
      <c r="N132" s="334"/>
      <c r="O132" s="158">
        <f t="shared" si="21"/>
        <v>0</v>
      </c>
      <c r="P132" s="158">
        <f t="shared" si="22"/>
        <v>0</v>
      </c>
    </row>
    <row r="133" spans="2:16">
      <c r="B133" s="9" t="str">
        <f t="shared" si="18"/>
        <v/>
      </c>
      <c r="C133" s="153">
        <f>IF(D93="","-",+C132+1)</f>
        <v>2051</v>
      </c>
      <c r="D133" s="154">
        <f>IF(F132+SUM(E$99:E132)=D$92,F132,D$92-SUM(E$99:E132))</f>
        <v>3468973.25</v>
      </c>
      <c r="E133" s="160">
        <f>IF(+J96&lt;F132,J96,D133)</f>
        <v>408114.5</v>
      </c>
      <c r="F133" s="159">
        <f t="shared" si="15"/>
        <v>3060858.75</v>
      </c>
      <c r="G133" s="159">
        <f t="shared" si="10"/>
        <v>3264916</v>
      </c>
      <c r="H133" s="163">
        <f t="shared" si="16"/>
        <v>804708.60573575599</v>
      </c>
      <c r="I133" s="253">
        <f t="shared" si="17"/>
        <v>804708.60573575599</v>
      </c>
      <c r="J133" s="158">
        <f t="shared" si="19"/>
        <v>0</v>
      </c>
      <c r="K133" s="158"/>
      <c r="L133" s="334"/>
      <c r="M133" s="158">
        <f t="shared" si="20"/>
        <v>0</v>
      </c>
      <c r="N133" s="334"/>
      <c r="O133" s="158">
        <f t="shared" si="21"/>
        <v>0</v>
      </c>
      <c r="P133" s="158">
        <f t="shared" si="22"/>
        <v>0</v>
      </c>
    </row>
    <row r="134" spans="2:16">
      <c r="B134" s="9" t="str">
        <f t="shared" si="18"/>
        <v/>
      </c>
      <c r="C134" s="153">
        <f>IF(D93="","-",+C133+1)</f>
        <v>2052</v>
      </c>
      <c r="D134" s="154">
        <f>IF(F133+SUM(E$99:E133)=D$92,F133,D$92-SUM(E$99:E133))</f>
        <v>3060858.75</v>
      </c>
      <c r="E134" s="160">
        <f>IF(+J96&lt;F133,J96,D134)</f>
        <v>408114.5</v>
      </c>
      <c r="F134" s="159">
        <f t="shared" si="15"/>
        <v>2652744.25</v>
      </c>
      <c r="G134" s="159">
        <f t="shared" si="10"/>
        <v>2856801.5</v>
      </c>
      <c r="H134" s="163">
        <f t="shared" si="16"/>
        <v>755134.34251878643</v>
      </c>
      <c r="I134" s="253">
        <f t="shared" si="17"/>
        <v>755134.34251878643</v>
      </c>
      <c r="J134" s="158">
        <f t="shared" si="19"/>
        <v>0</v>
      </c>
      <c r="K134" s="158"/>
      <c r="L134" s="334"/>
      <c r="M134" s="158">
        <f t="shared" si="20"/>
        <v>0</v>
      </c>
      <c r="N134" s="334"/>
      <c r="O134" s="158">
        <f t="shared" si="21"/>
        <v>0</v>
      </c>
      <c r="P134" s="158">
        <f t="shared" si="22"/>
        <v>0</v>
      </c>
    </row>
    <row r="135" spans="2:16">
      <c r="B135" s="9" t="str">
        <f t="shared" si="18"/>
        <v/>
      </c>
      <c r="C135" s="153">
        <f>IF(D93="","-",+C134+1)</f>
        <v>2053</v>
      </c>
      <c r="D135" s="154">
        <f>IF(F134+SUM(E$99:E134)=D$92,F134,D$92-SUM(E$99:E134))</f>
        <v>2652744.25</v>
      </c>
      <c r="E135" s="160">
        <f>IF(+J96&lt;F134,J96,D135)</f>
        <v>408114.5</v>
      </c>
      <c r="F135" s="159">
        <f t="shared" si="15"/>
        <v>2244629.75</v>
      </c>
      <c r="G135" s="159">
        <f t="shared" si="10"/>
        <v>2448687</v>
      </c>
      <c r="H135" s="163">
        <f t="shared" si="16"/>
        <v>705560.07930181699</v>
      </c>
      <c r="I135" s="253">
        <f t="shared" si="17"/>
        <v>705560.07930181699</v>
      </c>
      <c r="J135" s="158">
        <f t="shared" si="19"/>
        <v>0</v>
      </c>
      <c r="K135" s="158"/>
      <c r="L135" s="334"/>
      <c r="M135" s="158">
        <f t="shared" si="20"/>
        <v>0</v>
      </c>
      <c r="N135" s="334"/>
      <c r="O135" s="158">
        <f t="shared" si="21"/>
        <v>0</v>
      </c>
      <c r="P135" s="158">
        <f t="shared" si="22"/>
        <v>0</v>
      </c>
    </row>
    <row r="136" spans="2:16">
      <c r="B136" s="9" t="str">
        <f t="shared" si="18"/>
        <v/>
      </c>
      <c r="C136" s="153">
        <f>IF(D93="","-",+C135+1)</f>
        <v>2054</v>
      </c>
      <c r="D136" s="154">
        <f>IF(F135+SUM(E$99:E135)=D$92,F135,D$92-SUM(E$99:E135))</f>
        <v>2244629.75</v>
      </c>
      <c r="E136" s="160">
        <f>IF(+J96&lt;F135,J96,D136)</f>
        <v>408114.5</v>
      </c>
      <c r="F136" s="159">
        <f t="shared" si="15"/>
        <v>1836515.25</v>
      </c>
      <c r="G136" s="159">
        <f t="shared" si="10"/>
        <v>2040572.5</v>
      </c>
      <c r="H136" s="163">
        <f t="shared" si="16"/>
        <v>655985.81608484744</v>
      </c>
      <c r="I136" s="253">
        <f t="shared" si="17"/>
        <v>655985.81608484744</v>
      </c>
      <c r="J136" s="158">
        <f t="shared" si="19"/>
        <v>0</v>
      </c>
      <c r="K136" s="158"/>
      <c r="L136" s="334"/>
      <c r="M136" s="158">
        <f t="shared" si="20"/>
        <v>0</v>
      </c>
      <c r="N136" s="334"/>
      <c r="O136" s="158">
        <f t="shared" si="21"/>
        <v>0</v>
      </c>
      <c r="P136" s="158">
        <f t="shared" si="22"/>
        <v>0</v>
      </c>
    </row>
    <row r="137" spans="2:16">
      <c r="B137" s="9" t="str">
        <f t="shared" si="18"/>
        <v/>
      </c>
      <c r="C137" s="153">
        <f>IF(D93="","-",+C136+1)</f>
        <v>2055</v>
      </c>
      <c r="D137" s="154">
        <f>IF(F136+SUM(E$99:E136)=D$92,F136,D$92-SUM(E$99:E136))</f>
        <v>1836515.25</v>
      </c>
      <c r="E137" s="160">
        <f>IF(+J96&lt;F136,J96,D137)</f>
        <v>408114.5</v>
      </c>
      <c r="F137" s="159">
        <f t="shared" si="15"/>
        <v>1428400.75</v>
      </c>
      <c r="G137" s="159">
        <f t="shared" si="10"/>
        <v>1632458</v>
      </c>
      <c r="H137" s="163">
        <f t="shared" si="16"/>
        <v>606411.552867878</v>
      </c>
      <c r="I137" s="253">
        <f t="shared" si="17"/>
        <v>606411.552867878</v>
      </c>
      <c r="J137" s="158">
        <f t="shared" si="19"/>
        <v>0</v>
      </c>
      <c r="K137" s="158"/>
      <c r="L137" s="334"/>
      <c r="M137" s="158">
        <f t="shared" si="20"/>
        <v>0</v>
      </c>
      <c r="N137" s="334"/>
      <c r="O137" s="158">
        <f t="shared" si="21"/>
        <v>0</v>
      </c>
      <c r="P137" s="158">
        <f t="shared" si="22"/>
        <v>0</v>
      </c>
    </row>
    <row r="138" spans="2:16">
      <c r="B138" s="9" t="str">
        <f t="shared" si="18"/>
        <v/>
      </c>
      <c r="C138" s="153">
        <f>IF(D93="","-",+C137+1)</f>
        <v>2056</v>
      </c>
      <c r="D138" s="154">
        <f>IF(F137+SUM(E$99:E137)=D$92,F137,D$92-SUM(E$99:E137))</f>
        <v>1428400.75</v>
      </c>
      <c r="E138" s="160">
        <f>IF(+J96&lt;F137,J96,D138)</f>
        <v>408114.5</v>
      </c>
      <c r="F138" s="159">
        <f t="shared" si="15"/>
        <v>1020286.25</v>
      </c>
      <c r="G138" s="159">
        <f t="shared" si="10"/>
        <v>1224343.5</v>
      </c>
      <c r="H138" s="163">
        <f t="shared" si="16"/>
        <v>556837.28965090844</v>
      </c>
      <c r="I138" s="253">
        <f t="shared" si="17"/>
        <v>556837.28965090844</v>
      </c>
      <c r="J138" s="158">
        <f t="shared" si="19"/>
        <v>0</v>
      </c>
      <c r="K138" s="158"/>
      <c r="L138" s="334"/>
      <c r="M138" s="158">
        <f t="shared" si="20"/>
        <v>0</v>
      </c>
      <c r="N138" s="334"/>
      <c r="O138" s="158">
        <f t="shared" si="21"/>
        <v>0</v>
      </c>
      <c r="P138" s="158">
        <f t="shared" si="22"/>
        <v>0</v>
      </c>
    </row>
    <row r="139" spans="2:16">
      <c r="B139" s="9" t="str">
        <f t="shared" si="18"/>
        <v/>
      </c>
      <c r="C139" s="153">
        <f>IF(D93="","-",+C138+1)</f>
        <v>2057</v>
      </c>
      <c r="D139" s="154">
        <f>IF(F138+SUM(E$99:E138)=D$92,F138,D$92-SUM(E$99:E138))</f>
        <v>1020286.25</v>
      </c>
      <c r="E139" s="160">
        <f>IF(+J96&lt;F138,J96,D139)</f>
        <v>408114.5</v>
      </c>
      <c r="F139" s="159">
        <f t="shared" si="15"/>
        <v>612171.75</v>
      </c>
      <c r="G139" s="159">
        <f t="shared" si="10"/>
        <v>816229</v>
      </c>
      <c r="H139" s="163">
        <f t="shared" si="16"/>
        <v>507263.026433939</v>
      </c>
      <c r="I139" s="253">
        <f t="shared" si="17"/>
        <v>507263.026433939</v>
      </c>
      <c r="J139" s="158">
        <f t="shared" si="19"/>
        <v>0</v>
      </c>
      <c r="K139" s="158"/>
      <c r="L139" s="334"/>
      <c r="M139" s="158">
        <f t="shared" si="20"/>
        <v>0</v>
      </c>
      <c r="N139" s="334"/>
      <c r="O139" s="158">
        <f t="shared" si="21"/>
        <v>0</v>
      </c>
      <c r="P139" s="158">
        <f t="shared" si="22"/>
        <v>0</v>
      </c>
    </row>
    <row r="140" spans="2:16">
      <c r="B140" s="9" t="str">
        <f t="shared" si="18"/>
        <v/>
      </c>
      <c r="C140" s="153">
        <f>IF(D93="","-",+C139+1)</f>
        <v>2058</v>
      </c>
      <c r="D140" s="154">
        <f>IF(F139+SUM(E$99:E139)=D$92,F139,D$92-SUM(E$99:E139))</f>
        <v>612171.75</v>
      </c>
      <c r="E140" s="160">
        <f>IF(+J96&lt;F139,J96,D140)</f>
        <v>408114.5</v>
      </c>
      <c r="F140" s="159">
        <f t="shared" si="15"/>
        <v>204057.25</v>
      </c>
      <c r="G140" s="159">
        <f t="shared" si="10"/>
        <v>408114.5</v>
      </c>
      <c r="H140" s="163">
        <f t="shared" si="16"/>
        <v>457688.7632169695</v>
      </c>
      <c r="I140" s="253">
        <f t="shared" si="17"/>
        <v>457688.7632169695</v>
      </c>
      <c r="J140" s="158">
        <f t="shared" si="19"/>
        <v>0</v>
      </c>
      <c r="K140" s="158"/>
      <c r="L140" s="334"/>
      <c r="M140" s="158">
        <f t="shared" si="20"/>
        <v>0</v>
      </c>
      <c r="N140" s="334"/>
      <c r="O140" s="158">
        <f t="shared" si="21"/>
        <v>0</v>
      </c>
      <c r="P140" s="158">
        <f t="shared" si="22"/>
        <v>0</v>
      </c>
    </row>
    <row r="141" spans="2:16">
      <c r="B141" s="9" t="str">
        <f t="shared" si="18"/>
        <v/>
      </c>
      <c r="C141" s="153">
        <f>IF(D93="","-",+C140+1)</f>
        <v>2059</v>
      </c>
      <c r="D141" s="154">
        <f>IF(F140+SUM(E$99:E140)=D$92,F140,D$92-SUM(E$99:E140))</f>
        <v>204057.25</v>
      </c>
      <c r="E141" s="160">
        <f>IF(+J96&lt;F140,J96,D141)</f>
        <v>204057.25</v>
      </c>
      <c r="F141" s="159">
        <f t="shared" si="15"/>
        <v>0</v>
      </c>
      <c r="G141" s="159">
        <f t="shared" si="10"/>
        <v>102028.625</v>
      </c>
      <c r="H141" s="163">
        <f t="shared" si="16"/>
        <v>216450.81580424236</v>
      </c>
      <c r="I141" s="253">
        <f t="shared" si="17"/>
        <v>216450.81580424236</v>
      </c>
      <c r="J141" s="158">
        <f t="shared" si="19"/>
        <v>0</v>
      </c>
      <c r="K141" s="158"/>
      <c r="L141" s="334"/>
      <c r="M141" s="158">
        <f t="shared" si="20"/>
        <v>0</v>
      </c>
      <c r="N141" s="334"/>
      <c r="O141" s="158">
        <f t="shared" si="21"/>
        <v>0</v>
      </c>
      <c r="P141" s="158">
        <f t="shared" si="22"/>
        <v>0</v>
      </c>
    </row>
    <row r="142" spans="2:16">
      <c r="B142" s="9" t="str">
        <f t="shared" si="18"/>
        <v/>
      </c>
      <c r="C142" s="153">
        <f>IF(D93="","-",+C141+1)</f>
        <v>2060</v>
      </c>
      <c r="D142" s="154">
        <f>IF(F141+SUM(E$99:E141)=D$92,F141,D$92-SUM(E$99:E141))</f>
        <v>0</v>
      </c>
      <c r="E142" s="160">
        <f>IF(+J96&lt;F141,J96,D142)</f>
        <v>0</v>
      </c>
      <c r="F142" s="159">
        <f t="shared" si="15"/>
        <v>0</v>
      </c>
      <c r="G142" s="159">
        <f t="shared" si="10"/>
        <v>0</v>
      </c>
      <c r="H142" s="163">
        <f t="shared" si="16"/>
        <v>0</v>
      </c>
      <c r="I142" s="253">
        <f t="shared" si="17"/>
        <v>0</v>
      </c>
      <c r="J142" s="158">
        <f t="shared" si="19"/>
        <v>0</v>
      </c>
      <c r="K142" s="158"/>
      <c r="L142" s="334"/>
      <c r="M142" s="158">
        <f t="shared" si="20"/>
        <v>0</v>
      </c>
      <c r="N142" s="334"/>
      <c r="O142" s="158">
        <f t="shared" si="21"/>
        <v>0</v>
      </c>
      <c r="P142" s="158">
        <f t="shared" si="22"/>
        <v>0</v>
      </c>
    </row>
    <row r="143" spans="2:16">
      <c r="B143" s="9" t="str">
        <f t="shared" si="18"/>
        <v/>
      </c>
      <c r="C143" s="153">
        <f>IF(D93="","-",+C142+1)</f>
        <v>2061</v>
      </c>
      <c r="D143" s="154">
        <f>IF(F142+SUM(E$99:E142)=D$92,F142,D$92-SUM(E$99:E142))</f>
        <v>0</v>
      </c>
      <c r="E143" s="160">
        <f>IF(+J96&lt;F142,J96,D143)</f>
        <v>0</v>
      </c>
      <c r="F143" s="159">
        <f t="shared" si="15"/>
        <v>0</v>
      </c>
      <c r="G143" s="159">
        <f t="shared" si="10"/>
        <v>0</v>
      </c>
      <c r="H143" s="163">
        <f t="shared" si="16"/>
        <v>0</v>
      </c>
      <c r="I143" s="253">
        <f t="shared" si="17"/>
        <v>0</v>
      </c>
      <c r="J143" s="158">
        <f t="shared" si="19"/>
        <v>0</v>
      </c>
      <c r="K143" s="158"/>
      <c r="L143" s="334"/>
      <c r="M143" s="158">
        <f t="shared" si="20"/>
        <v>0</v>
      </c>
      <c r="N143" s="334"/>
      <c r="O143" s="158">
        <f t="shared" si="21"/>
        <v>0</v>
      </c>
      <c r="P143" s="158">
        <f t="shared" si="22"/>
        <v>0</v>
      </c>
    </row>
    <row r="144" spans="2:16">
      <c r="B144" s="9" t="str">
        <f t="shared" si="18"/>
        <v/>
      </c>
      <c r="C144" s="153">
        <f>IF(D93="","-",+C143+1)</f>
        <v>2062</v>
      </c>
      <c r="D144" s="154">
        <f>IF(F143+SUM(E$99:E143)=D$92,F143,D$92-SUM(E$99:E143))</f>
        <v>0</v>
      </c>
      <c r="E144" s="160">
        <f>IF(+J96&lt;F143,J96,D144)</f>
        <v>0</v>
      </c>
      <c r="F144" s="159">
        <f t="shared" si="15"/>
        <v>0</v>
      </c>
      <c r="G144" s="159">
        <f t="shared" si="10"/>
        <v>0</v>
      </c>
      <c r="H144" s="163">
        <f t="shared" si="16"/>
        <v>0</v>
      </c>
      <c r="I144" s="253">
        <f t="shared" si="17"/>
        <v>0</v>
      </c>
      <c r="J144" s="158">
        <f t="shared" si="19"/>
        <v>0</v>
      </c>
      <c r="K144" s="158"/>
      <c r="L144" s="334"/>
      <c r="M144" s="158">
        <f t="shared" si="20"/>
        <v>0</v>
      </c>
      <c r="N144" s="334"/>
      <c r="O144" s="158">
        <f t="shared" si="21"/>
        <v>0</v>
      </c>
      <c r="P144" s="158">
        <f t="shared" si="22"/>
        <v>0</v>
      </c>
    </row>
    <row r="145" spans="2:16">
      <c r="B145" s="9" t="str">
        <f t="shared" si="18"/>
        <v/>
      </c>
      <c r="C145" s="153">
        <f>IF(D93="","-",+C144+1)</f>
        <v>2063</v>
      </c>
      <c r="D145" s="154">
        <f>IF(F144+SUM(E$99:E144)=D$92,F144,D$92-SUM(E$99:E144))</f>
        <v>0</v>
      </c>
      <c r="E145" s="160">
        <f>IF(+J96&lt;F144,J96,D145)</f>
        <v>0</v>
      </c>
      <c r="F145" s="159">
        <f t="shared" si="15"/>
        <v>0</v>
      </c>
      <c r="G145" s="159">
        <f t="shared" si="10"/>
        <v>0</v>
      </c>
      <c r="H145" s="163">
        <f t="shared" si="16"/>
        <v>0</v>
      </c>
      <c r="I145" s="253">
        <f t="shared" si="17"/>
        <v>0</v>
      </c>
      <c r="J145" s="158">
        <f t="shared" si="19"/>
        <v>0</v>
      </c>
      <c r="K145" s="158"/>
      <c r="L145" s="334"/>
      <c r="M145" s="158">
        <f t="shared" si="20"/>
        <v>0</v>
      </c>
      <c r="N145" s="334"/>
      <c r="O145" s="158">
        <f t="shared" si="21"/>
        <v>0</v>
      </c>
      <c r="P145" s="158">
        <f t="shared" si="22"/>
        <v>0</v>
      </c>
    </row>
    <row r="146" spans="2:16">
      <c r="B146" s="9" t="str">
        <f t="shared" si="18"/>
        <v/>
      </c>
      <c r="C146" s="153">
        <f>IF(D93="","-",+C145+1)</f>
        <v>2064</v>
      </c>
      <c r="D146" s="154">
        <f>IF(F145+SUM(E$99:E145)=D$92,F145,D$92-SUM(E$99:E145))</f>
        <v>0</v>
      </c>
      <c r="E146" s="160">
        <f>IF(+J96&lt;F145,J96,D146)</f>
        <v>0</v>
      </c>
      <c r="F146" s="159">
        <f t="shared" si="15"/>
        <v>0</v>
      </c>
      <c r="G146" s="159">
        <f t="shared" si="10"/>
        <v>0</v>
      </c>
      <c r="H146" s="163">
        <f t="shared" si="16"/>
        <v>0</v>
      </c>
      <c r="I146" s="253">
        <f t="shared" si="17"/>
        <v>0</v>
      </c>
      <c r="J146" s="158">
        <f t="shared" si="19"/>
        <v>0</v>
      </c>
      <c r="K146" s="158"/>
      <c r="L146" s="334"/>
      <c r="M146" s="158">
        <f t="shared" si="20"/>
        <v>0</v>
      </c>
      <c r="N146" s="334"/>
      <c r="O146" s="158">
        <f t="shared" si="21"/>
        <v>0</v>
      </c>
      <c r="P146" s="158">
        <f t="shared" si="22"/>
        <v>0</v>
      </c>
    </row>
    <row r="147" spans="2:16">
      <c r="B147" s="9" t="str">
        <f t="shared" si="18"/>
        <v/>
      </c>
      <c r="C147" s="153">
        <f>IF(D93="","-",+C146+1)</f>
        <v>2065</v>
      </c>
      <c r="D147" s="154">
        <f>IF(F146+SUM(E$99:E146)=D$92,F146,D$92-SUM(E$99:E146))</f>
        <v>0</v>
      </c>
      <c r="E147" s="160">
        <f>IF(+J96&lt;F146,J96,D147)</f>
        <v>0</v>
      </c>
      <c r="F147" s="159">
        <f t="shared" si="15"/>
        <v>0</v>
      </c>
      <c r="G147" s="159">
        <f t="shared" si="10"/>
        <v>0</v>
      </c>
      <c r="H147" s="163">
        <f t="shared" si="16"/>
        <v>0</v>
      </c>
      <c r="I147" s="253">
        <f t="shared" si="17"/>
        <v>0</v>
      </c>
      <c r="J147" s="158">
        <f t="shared" si="19"/>
        <v>0</v>
      </c>
      <c r="K147" s="158"/>
      <c r="L147" s="334"/>
      <c r="M147" s="158">
        <f t="shared" si="20"/>
        <v>0</v>
      </c>
      <c r="N147" s="334"/>
      <c r="O147" s="158">
        <f t="shared" si="21"/>
        <v>0</v>
      </c>
      <c r="P147" s="158">
        <f t="shared" si="22"/>
        <v>0</v>
      </c>
    </row>
    <row r="148" spans="2:16">
      <c r="B148" s="9" t="str">
        <f t="shared" si="18"/>
        <v/>
      </c>
      <c r="C148" s="153">
        <f>IF(D93="","-",+C147+1)</f>
        <v>2066</v>
      </c>
      <c r="D148" s="154">
        <f>IF(F147+SUM(E$99:E147)=D$92,F147,D$92-SUM(E$99:E147))</f>
        <v>0</v>
      </c>
      <c r="E148" s="160">
        <f>IF(+J96&lt;F147,J96,D148)</f>
        <v>0</v>
      </c>
      <c r="F148" s="159">
        <f t="shared" si="15"/>
        <v>0</v>
      </c>
      <c r="G148" s="159">
        <f t="shared" si="10"/>
        <v>0</v>
      </c>
      <c r="H148" s="163">
        <f t="shared" si="16"/>
        <v>0</v>
      </c>
      <c r="I148" s="253">
        <f t="shared" si="17"/>
        <v>0</v>
      </c>
      <c r="J148" s="158">
        <f t="shared" si="19"/>
        <v>0</v>
      </c>
      <c r="K148" s="158"/>
      <c r="L148" s="334"/>
      <c r="M148" s="158">
        <f t="shared" si="20"/>
        <v>0</v>
      </c>
      <c r="N148" s="334"/>
      <c r="O148" s="158">
        <f t="shared" si="21"/>
        <v>0</v>
      </c>
      <c r="P148" s="158">
        <f t="shared" si="22"/>
        <v>0</v>
      </c>
    </row>
    <row r="149" spans="2:16">
      <c r="B149" s="9" t="str">
        <f t="shared" si="18"/>
        <v/>
      </c>
      <c r="C149" s="153">
        <f>IF(D93="","-",+C148+1)</f>
        <v>2067</v>
      </c>
      <c r="D149" s="154">
        <f>IF(F148+SUM(E$99:E148)=D$92,F148,D$92-SUM(E$99:E148))</f>
        <v>0</v>
      </c>
      <c r="E149" s="160">
        <f>IF(+J96&lt;F148,J96,D149)</f>
        <v>0</v>
      </c>
      <c r="F149" s="159">
        <f t="shared" si="15"/>
        <v>0</v>
      </c>
      <c r="G149" s="159">
        <f t="shared" si="10"/>
        <v>0</v>
      </c>
      <c r="H149" s="163">
        <f t="shared" si="16"/>
        <v>0</v>
      </c>
      <c r="I149" s="253">
        <f t="shared" si="17"/>
        <v>0</v>
      </c>
      <c r="J149" s="158">
        <f t="shared" si="19"/>
        <v>0</v>
      </c>
      <c r="K149" s="158"/>
      <c r="L149" s="334"/>
      <c r="M149" s="158">
        <f t="shared" si="20"/>
        <v>0</v>
      </c>
      <c r="N149" s="334"/>
      <c r="O149" s="158">
        <f t="shared" si="21"/>
        <v>0</v>
      </c>
      <c r="P149" s="158">
        <f t="shared" si="22"/>
        <v>0</v>
      </c>
    </row>
    <row r="150" spans="2:16">
      <c r="B150" s="9" t="str">
        <f t="shared" si="18"/>
        <v/>
      </c>
      <c r="C150" s="153">
        <f>IF(D93="","-",+C149+1)</f>
        <v>2068</v>
      </c>
      <c r="D150" s="154">
        <f>IF(F149+SUM(E$99:E149)=D$92,F149,D$92-SUM(E$99:E149))</f>
        <v>0</v>
      </c>
      <c r="E150" s="160">
        <f>IF(+J96&lt;F149,J96,D150)</f>
        <v>0</v>
      </c>
      <c r="F150" s="159">
        <f t="shared" si="15"/>
        <v>0</v>
      </c>
      <c r="G150" s="159">
        <f t="shared" si="10"/>
        <v>0</v>
      </c>
      <c r="H150" s="163">
        <f t="shared" si="16"/>
        <v>0</v>
      </c>
      <c r="I150" s="253">
        <f t="shared" si="17"/>
        <v>0</v>
      </c>
      <c r="J150" s="158">
        <f t="shared" si="19"/>
        <v>0</v>
      </c>
      <c r="K150" s="158"/>
      <c r="L150" s="334"/>
      <c r="M150" s="158">
        <f t="shared" si="20"/>
        <v>0</v>
      </c>
      <c r="N150" s="334"/>
      <c r="O150" s="158">
        <f t="shared" si="21"/>
        <v>0</v>
      </c>
      <c r="P150" s="158">
        <f t="shared" si="22"/>
        <v>0</v>
      </c>
    </row>
    <row r="151" spans="2:16">
      <c r="B151" s="9" t="str">
        <f t="shared" si="18"/>
        <v/>
      </c>
      <c r="C151" s="153">
        <f>IF(D93="","-",+C150+1)</f>
        <v>2069</v>
      </c>
      <c r="D151" s="154">
        <f>IF(F150+SUM(E$99:E150)=D$92,F150,D$92-SUM(E$99:E150))</f>
        <v>0</v>
      </c>
      <c r="E151" s="160">
        <f>IF(+J96&lt;F150,J96,D151)</f>
        <v>0</v>
      </c>
      <c r="F151" s="159">
        <f t="shared" si="15"/>
        <v>0</v>
      </c>
      <c r="G151" s="159">
        <f t="shared" si="10"/>
        <v>0</v>
      </c>
      <c r="H151" s="163">
        <f t="shared" si="16"/>
        <v>0</v>
      </c>
      <c r="I151" s="253">
        <f t="shared" si="17"/>
        <v>0</v>
      </c>
      <c r="J151" s="158">
        <f t="shared" si="19"/>
        <v>0</v>
      </c>
      <c r="K151" s="158"/>
      <c r="L151" s="334"/>
      <c r="M151" s="158">
        <f t="shared" si="20"/>
        <v>0</v>
      </c>
      <c r="N151" s="334"/>
      <c r="O151" s="158">
        <f t="shared" si="21"/>
        <v>0</v>
      </c>
      <c r="P151" s="158">
        <f t="shared" si="22"/>
        <v>0</v>
      </c>
    </row>
    <row r="152" spans="2:16">
      <c r="B152" s="9" t="str">
        <f t="shared" si="18"/>
        <v/>
      </c>
      <c r="C152" s="153">
        <f>IF(D93="","-",+C151+1)</f>
        <v>2070</v>
      </c>
      <c r="D152" s="154">
        <f>IF(F151+SUM(E$99:E151)=D$92,F151,D$92-SUM(E$99:E151))</f>
        <v>0</v>
      </c>
      <c r="E152" s="160">
        <f>IF(+J96&lt;F151,J96,D152)</f>
        <v>0</v>
      </c>
      <c r="F152" s="159">
        <f t="shared" si="15"/>
        <v>0</v>
      </c>
      <c r="G152" s="159">
        <f t="shared" si="10"/>
        <v>0</v>
      </c>
      <c r="H152" s="163">
        <f t="shared" si="16"/>
        <v>0</v>
      </c>
      <c r="I152" s="253">
        <f t="shared" si="17"/>
        <v>0</v>
      </c>
      <c r="J152" s="158">
        <f t="shared" si="19"/>
        <v>0</v>
      </c>
      <c r="K152" s="158"/>
      <c r="L152" s="334"/>
      <c r="M152" s="158">
        <f t="shared" si="20"/>
        <v>0</v>
      </c>
      <c r="N152" s="334"/>
      <c r="O152" s="158">
        <f t="shared" si="21"/>
        <v>0</v>
      </c>
      <c r="P152" s="158">
        <f t="shared" si="22"/>
        <v>0</v>
      </c>
    </row>
    <row r="153" spans="2:16">
      <c r="B153" s="9" t="str">
        <f t="shared" si="18"/>
        <v/>
      </c>
      <c r="C153" s="153">
        <f>IF(D93="","-",+C152+1)</f>
        <v>2071</v>
      </c>
      <c r="D153" s="154">
        <f>IF(F152+SUM(E$99:E152)=D$92,F152,D$92-SUM(E$99:E152))</f>
        <v>0</v>
      </c>
      <c r="E153" s="160">
        <f>IF(+J96&lt;F152,J96,D153)</f>
        <v>0</v>
      </c>
      <c r="F153" s="159">
        <f t="shared" si="15"/>
        <v>0</v>
      </c>
      <c r="G153" s="159">
        <f t="shared" si="10"/>
        <v>0</v>
      </c>
      <c r="H153" s="163">
        <f t="shared" si="16"/>
        <v>0</v>
      </c>
      <c r="I153" s="253">
        <f t="shared" si="17"/>
        <v>0</v>
      </c>
      <c r="J153" s="158">
        <f t="shared" si="19"/>
        <v>0</v>
      </c>
      <c r="K153" s="158"/>
      <c r="L153" s="334"/>
      <c r="M153" s="158">
        <f t="shared" si="20"/>
        <v>0</v>
      </c>
      <c r="N153" s="334"/>
      <c r="O153" s="158">
        <f t="shared" si="21"/>
        <v>0</v>
      </c>
      <c r="P153" s="158">
        <f t="shared" si="22"/>
        <v>0</v>
      </c>
    </row>
    <row r="154" spans="2:16" ht="13.5" thickBot="1">
      <c r="B154" s="9" t="str">
        <f t="shared" si="18"/>
        <v/>
      </c>
      <c r="C154" s="164">
        <f>IF(D93="","-",+C153+1)</f>
        <v>2072</v>
      </c>
      <c r="D154" s="215">
        <f>IF(F153+SUM(E$99:E153)=D$92,F153,D$92-SUM(E$99:E153))</f>
        <v>0</v>
      </c>
      <c r="E154" s="166">
        <f>IF(+J96&lt;F153,J96,D154)</f>
        <v>0</v>
      </c>
      <c r="F154" s="165">
        <f t="shared" si="15"/>
        <v>0</v>
      </c>
      <c r="G154" s="165">
        <f t="shared" si="10"/>
        <v>0</v>
      </c>
      <c r="H154" s="167">
        <f t="shared" si="16"/>
        <v>0</v>
      </c>
      <c r="I154" s="254">
        <f t="shared" si="17"/>
        <v>0</v>
      </c>
      <c r="J154" s="169">
        <f t="shared" si="19"/>
        <v>0</v>
      </c>
      <c r="K154" s="158"/>
      <c r="L154" s="335"/>
      <c r="M154" s="169">
        <f t="shared" si="20"/>
        <v>0</v>
      </c>
      <c r="N154" s="335"/>
      <c r="O154" s="169">
        <f t="shared" si="21"/>
        <v>0</v>
      </c>
      <c r="P154" s="169">
        <f t="shared" si="22"/>
        <v>0</v>
      </c>
    </row>
    <row r="155" spans="2:16">
      <c r="C155" s="154" t="s">
        <v>73</v>
      </c>
      <c r="D155" s="111"/>
      <c r="E155" s="111">
        <f>SUM(E99:E154)</f>
        <v>17140809</v>
      </c>
      <c r="F155" s="111"/>
      <c r="G155" s="111"/>
      <c r="H155" s="111">
        <f>SUM(H99:H154)</f>
        <v>60865309.157367095</v>
      </c>
      <c r="I155" s="111">
        <f>SUM(I99:I154)</f>
        <v>60865309.157367095</v>
      </c>
      <c r="J155" s="111">
        <f>SUM(J99:J154)</f>
        <v>0</v>
      </c>
      <c r="K155" s="111"/>
      <c r="L155" s="111"/>
      <c r="M155" s="111"/>
      <c r="N155" s="111"/>
      <c r="O155" s="111"/>
      <c r="P155" s="1"/>
    </row>
    <row r="156" spans="2:16">
      <c r="C156" t="s">
        <v>87</v>
      </c>
      <c r="D156" s="2"/>
      <c r="E156" s="1"/>
      <c r="F156" s="1"/>
      <c r="G156" s="1"/>
      <c r="H156" s="1"/>
      <c r="I156" s="3"/>
      <c r="J156" s="3"/>
      <c r="K156" s="111"/>
      <c r="L156" s="3"/>
      <c r="M156" s="3"/>
      <c r="N156" s="3"/>
      <c r="O156" s="3"/>
      <c r="P156" s="1"/>
    </row>
    <row r="157" spans="2:16">
      <c r="C157" s="216"/>
      <c r="D157" s="2"/>
      <c r="E157" s="1"/>
      <c r="F157" s="1"/>
      <c r="G157" s="1"/>
      <c r="H157" s="1"/>
      <c r="I157" s="3"/>
      <c r="J157" s="3"/>
      <c r="K157" s="111"/>
      <c r="L157" s="3"/>
      <c r="M157" s="3"/>
      <c r="N157" s="3"/>
      <c r="O157" s="3"/>
      <c r="P157" s="1"/>
    </row>
    <row r="158" spans="2:16">
      <c r="C158" s="248" t="s">
        <v>127</v>
      </c>
      <c r="D158" s="2"/>
      <c r="E158" s="1"/>
      <c r="F158" s="1"/>
      <c r="G158" s="1"/>
      <c r="H158" s="1"/>
      <c r="I158" s="3"/>
      <c r="J158" s="3"/>
      <c r="K158" s="111"/>
      <c r="L158" s="3"/>
      <c r="M158" s="3"/>
      <c r="N158" s="3"/>
      <c r="O158" s="3"/>
      <c r="P158" s="1"/>
    </row>
    <row r="159" spans="2:16">
      <c r="C159" s="121" t="s">
        <v>74</v>
      </c>
      <c r="D159" s="154"/>
      <c r="E159" s="154"/>
      <c r="F159" s="154"/>
      <c r="G159" s="154"/>
      <c r="H159" s="111"/>
      <c r="I159" s="111"/>
      <c r="J159" s="171"/>
      <c r="K159" s="171"/>
      <c r="L159" s="171"/>
      <c r="M159" s="171"/>
      <c r="N159" s="171"/>
      <c r="O159" s="171"/>
      <c r="P159" s="1"/>
    </row>
    <row r="160" spans="2:16">
      <c r="C160" s="217" t="s">
        <v>75</v>
      </c>
      <c r="D160" s="154"/>
      <c r="E160" s="154"/>
      <c r="F160" s="154"/>
      <c r="G160" s="154"/>
      <c r="H160" s="111"/>
      <c r="I160" s="111"/>
      <c r="J160" s="171"/>
      <c r="K160" s="171"/>
      <c r="L160" s="171"/>
      <c r="M160" s="171"/>
      <c r="N160" s="171"/>
      <c r="O160" s="171"/>
      <c r="P160" s="1"/>
    </row>
    <row r="161" spans="3:16">
      <c r="C161" s="217"/>
      <c r="D161" s="154"/>
      <c r="E161" s="154"/>
      <c r="F161" s="154"/>
      <c r="G161" s="154"/>
      <c r="H161" s="111"/>
      <c r="I161" s="111"/>
      <c r="J161" s="171"/>
      <c r="K161" s="171"/>
      <c r="L161" s="171"/>
      <c r="M161" s="171"/>
      <c r="N161" s="171"/>
      <c r="O161" s="171"/>
      <c r="P161" s="1"/>
    </row>
    <row r="162" spans="3:16" ht="18">
      <c r="C162" s="217"/>
      <c r="D162" s="154"/>
      <c r="E162" s="154"/>
      <c r="F162" s="154"/>
      <c r="G162" s="154"/>
      <c r="H162" s="111"/>
      <c r="I162" s="111"/>
      <c r="J162" s="171"/>
      <c r="K162" s="171"/>
      <c r="L162" s="171"/>
      <c r="M162" s="171"/>
      <c r="N162" s="171"/>
      <c r="P162" s="245" t="s">
        <v>126</v>
      </c>
    </row>
  </sheetData>
  <conditionalFormatting sqref="C17:C72">
    <cfRule type="cellIs" dxfId="45" priority="1" stopIfTrue="1" operator="equal">
      <formula>$I$10</formula>
    </cfRule>
  </conditionalFormatting>
  <conditionalFormatting sqref="C99:C154">
    <cfRule type="cellIs" dxfId="44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  <legacyDrawing r:id="rId3"/>
</worksheet>
</file>

<file path=xl/worksheets/sheet6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09"/>
  <dimension ref="A1:P162"/>
  <sheetViews>
    <sheetView view="pageBreakPreview" topLeftCell="A55" zoomScale="80" zoomScaleNormal="100" zoomScaleSheetLayoutView="80" workbookViewId="0">
      <selection activeCell="C19" sqref="C19"/>
    </sheetView>
  </sheetViews>
  <sheetFormatPr defaultRowHeight="12.75" customHeight="1"/>
  <cols>
    <col min="1" max="1" width="4.7109375" customWidth="1"/>
    <col min="2" max="2" width="6.7109375" customWidth="1"/>
    <col min="3" max="3" width="23.28515625" customWidth="1"/>
    <col min="4" max="8" width="17.7109375" customWidth="1"/>
    <col min="9" max="9" width="20.42578125" customWidth="1"/>
    <col min="10" max="10" width="16.42578125" customWidth="1"/>
    <col min="11" max="11" width="17.7109375" customWidth="1"/>
    <col min="12" max="12" width="16.140625" customWidth="1"/>
    <col min="13" max="13" width="17.7109375" customWidth="1"/>
    <col min="14" max="14" width="16.7109375" customWidth="1"/>
    <col min="15" max="15" width="16.85546875" customWidth="1"/>
    <col min="16" max="16" width="24.42578125" customWidth="1"/>
    <col min="17" max="17" width="9.140625" customWidth="1"/>
    <col min="23" max="23" width="9.140625" customWidth="1"/>
  </cols>
  <sheetData>
    <row r="1" spans="1:16" ht="20.25">
      <c r="A1" s="243" t="s">
        <v>128</v>
      </c>
      <c r="B1" s="1"/>
      <c r="C1" s="21"/>
      <c r="D1" s="2"/>
      <c r="E1" s="1"/>
      <c r="F1" s="99"/>
      <c r="G1" s="1"/>
      <c r="H1" s="3"/>
      <c r="J1" s="7"/>
      <c r="K1" s="109"/>
      <c r="L1" s="109"/>
      <c r="M1" s="109"/>
      <c r="P1" s="249" t="str">
        <f ca="1">"SWEPCO Project "&amp;RIGHT(MID(CELL("filename",$A$1),FIND("]",CELL("filename",$A$1))+1,256),2)&amp;" of "&amp;COUNT('S.001:S.xyz - blank'!$P$3)-1</f>
        <v>SWEPCO Project 60 of 73</v>
      </c>
    </row>
    <row r="2" spans="1:16" ht="18">
      <c r="B2" s="1"/>
      <c r="C2" s="1"/>
      <c r="D2" s="2"/>
      <c r="E2" s="1"/>
      <c r="F2" s="1"/>
      <c r="G2" s="1"/>
      <c r="H2" s="3"/>
      <c r="I2" s="1"/>
      <c r="J2" s="4"/>
      <c r="K2" s="1"/>
      <c r="L2" s="1"/>
      <c r="M2" s="1"/>
      <c r="N2" s="1"/>
      <c r="P2" s="244" t="s">
        <v>124</v>
      </c>
    </row>
    <row r="3" spans="1:16" ht="18.75">
      <c r="B3" s="5" t="s">
        <v>40</v>
      </c>
      <c r="C3" s="68" t="s">
        <v>41</v>
      </c>
      <c r="D3" s="2"/>
      <c r="E3" s="1"/>
      <c r="F3" s="1"/>
      <c r="G3" s="1"/>
      <c r="H3" s="3"/>
      <c r="I3" s="3"/>
      <c r="J3" s="111"/>
      <c r="K3" s="3"/>
      <c r="L3" s="3"/>
      <c r="M3" s="3"/>
      <c r="N3" s="3"/>
      <c r="O3" s="1"/>
      <c r="P3" s="240">
        <v>1</v>
      </c>
    </row>
    <row r="4" spans="1:16" ht="15.75" thickBot="1">
      <c r="C4" s="67"/>
      <c r="D4" s="2"/>
      <c r="E4" s="1"/>
      <c r="F4" s="1"/>
      <c r="G4" s="1"/>
      <c r="H4" s="3"/>
      <c r="I4" s="3"/>
      <c r="J4" s="111"/>
      <c r="K4" s="3"/>
      <c r="L4" s="3"/>
      <c r="M4" s="3"/>
      <c r="N4" s="3"/>
      <c r="O4" s="1"/>
      <c r="P4" s="1"/>
    </row>
    <row r="5" spans="1:16" ht="15">
      <c r="C5" s="112" t="s">
        <v>42</v>
      </c>
      <c r="D5" s="2"/>
      <c r="E5" s="1"/>
      <c r="F5" s="1"/>
      <c r="G5" s="113"/>
      <c r="H5" s="1" t="s">
        <v>43</v>
      </c>
      <c r="I5" s="1"/>
      <c r="J5" s="4"/>
      <c r="K5" s="268" t="s">
        <v>152</v>
      </c>
      <c r="L5" s="114"/>
      <c r="M5" s="115"/>
      <c r="N5" s="116">
        <f>VLOOKUP(I10,C17:I72,5)</f>
        <v>11685982.932063362</v>
      </c>
      <c r="P5" s="1"/>
    </row>
    <row r="6" spans="1:16" ht="15.75">
      <c r="C6" s="8"/>
      <c r="D6" s="2"/>
      <c r="E6" s="1"/>
      <c r="F6" s="1"/>
      <c r="G6" s="1"/>
      <c r="H6" s="117"/>
      <c r="I6" s="117"/>
      <c r="J6" s="118"/>
      <c r="K6" s="269" t="s">
        <v>153</v>
      </c>
      <c r="L6" s="119"/>
      <c r="M6" s="4"/>
      <c r="N6" s="120">
        <f>VLOOKUP(I10,C17:I72,6)</f>
        <v>11685982.932063362</v>
      </c>
      <c r="O6" s="1"/>
      <c r="P6" s="1"/>
    </row>
    <row r="7" spans="1:16" ht="13.5" thickBot="1">
      <c r="C7" s="121" t="s">
        <v>44</v>
      </c>
      <c r="D7" s="223" t="s">
        <v>369</v>
      </c>
      <c r="E7" s="1"/>
      <c r="F7" s="1"/>
      <c r="G7" s="1"/>
      <c r="H7" s="3"/>
      <c r="I7" s="3"/>
      <c r="J7" s="111"/>
      <c r="K7" s="122" t="s">
        <v>45</v>
      </c>
      <c r="L7" s="123"/>
      <c r="M7" s="123"/>
      <c r="N7" s="124">
        <f>+N6-N5</f>
        <v>0</v>
      </c>
      <c r="O7" s="1"/>
      <c r="P7" s="1"/>
    </row>
    <row r="8" spans="1:16" ht="13.5" thickBot="1">
      <c r="C8" s="125"/>
      <c r="D8" s="352" t="str">
        <f>IF(D10&lt;100000,"DOES NOT MEET SPP $100,000 MINIMUM INVESTMENT FOR REGIONAL BPU SHARING.","")</f>
        <v/>
      </c>
      <c r="E8" s="126"/>
      <c r="F8" s="126"/>
      <c r="G8" s="126"/>
      <c r="H8" s="126"/>
      <c r="I8" s="126"/>
      <c r="J8" s="101"/>
      <c r="K8" s="126"/>
      <c r="L8" s="126"/>
      <c r="M8" s="126"/>
      <c r="N8" s="126"/>
      <c r="O8" s="101"/>
      <c r="P8" s="21"/>
    </row>
    <row r="9" spans="1:16" ht="13.5" thickBot="1">
      <c r="C9" s="127" t="s">
        <v>46</v>
      </c>
      <c r="D9" s="225" t="s">
        <v>252</v>
      </c>
      <c r="E9" s="401" t="s">
        <v>447</v>
      </c>
      <c r="F9" s="128"/>
      <c r="G9" s="128"/>
      <c r="H9" s="128"/>
      <c r="I9" s="129"/>
      <c r="J9" s="130"/>
      <c r="O9" s="131"/>
      <c r="P9" s="4"/>
    </row>
    <row r="10" spans="1:16">
      <c r="C10" s="132" t="s">
        <v>47</v>
      </c>
      <c r="D10" s="133">
        <v>99956721</v>
      </c>
      <c r="E10" s="61" t="s">
        <v>459</v>
      </c>
      <c r="F10" s="131"/>
      <c r="G10" s="134"/>
      <c r="H10" s="134"/>
      <c r="I10" s="135">
        <f>+SWE.WS.F.BPU.ATRR.Projected!K17</f>
        <v>2019</v>
      </c>
      <c r="J10" s="130"/>
      <c r="K10" s="111" t="s">
        <v>48</v>
      </c>
      <c r="O10" s="4"/>
      <c r="P10" s="4"/>
    </row>
    <row r="11" spans="1:16">
      <c r="C11" s="136" t="s">
        <v>49</v>
      </c>
      <c r="D11" s="137">
        <v>2016</v>
      </c>
      <c r="E11" s="136" t="s">
        <v>50</v>
      </c>
      <c r="F11" s="134"/>
      <c r="G11" s="7"/>
      <c r="H11" s="7"/>
      <c r="I11" s="138">
        <f>IF(G5="",0,SWE.WS.F.BPU.ATRR.Projected!F$11)</f>
        <v>0</v>
      </c>
      <c r="J11" s="139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4"/>
      <c r="P11" s="4"/>
    </row>
    <row r="12" spans="1:16">
      <c r="C12" s="136" t="s">
        <v>51</v>
      </c>
      <c r="D12" s="133">
        <v>12</v>
      </c>
      <c r="E12" s="136" t="s">
        <v>52</v>
      </c>
      <c r="F12" s="134"/>
      <c r="G12" s="7"/>
      <c r="H12" s="7"/>
      <c r="I12" s="140">
        <f>SWE.WS.F.BPU.ATRR.Projected!$F$76</f>
        <v>9.9555672459071778E-2</v>
      </c>
      <c r="J12" s="141"/>
      <c r="K12" t="s">
        <v>53</v>
      </c>
      <c r="O12" s="4"/>
      <c r="P12" s="4"/>
    </row>
    <row r="13" spans="1:16">
      <c r="C13" s="136" t="s">
        <v>54</v>
      </c>
      <c r="D13" s="138">
        <f>+SWE.WS.F.BPU.ATRR.Projected!F$87</f>
        <v>43</v>
      </c>
      <c r="E13" s="136" t="s">
        <v>55</v>
      </c>
      <c r="F13" s="134"/>
      <c r="G13" s="7"/>
      <c r="H13" s="7"/>
      <c r="I13" s="140">
        <f>IF(G5="",I12,SWE.WS.F.BPU.ATRR.Projected!$F$75)</f>
        <v>9.9555672459071778E-2</v>
      </c>
      <c r="J13" s="141"/>
      <c r="K13" s="111" t="s">
        <v>56</v>
      </c>
      <c r="L13" s="58"/>
      <c r="M13" s="58"/>
      <c r="N13" s="58"/>
      <c r="O13" s="4"/>
      <c r="P13" s="4"/>
    </row>
    <row r="14" spans="1:16" ht="13.5" thickBot="1">
      <c r="C14" s="136" t="s">
        <v>57</v>
      </c>
      <c r="D14" s="137" t="s">
        <v>58</v>
      </c>
      <c r="E14" s="4" t="s">
        <v>59</v>
      </c>
      <c r="F14" s="134"/>
      <c r="G14" s="7"/>
      <c r="H14" s="7"/>
      <c r="I14" s="142">
        <f>IF(D10=0,0,D10/D13)</f>
        <v>2324574.9069767441</v>
      </c>
      <c r="J14" s="111"/>
      <c r="K14" s="111"/>
      <c r="L14" s="111"/>
      <c r="M14" s="111"/>
      <c r="N14" s="111"/>
      <c r="O14" s="4"/>
      <c r="P14" s="4"/>
    </row>
    <row r="15" spans="1:16" ht="38.25">
      <c r="C15" s="143" t="s">
        <v>47</v>
      </c>
      <c r="D15" s="144" t="s">
        <v>60</v>
      </c>
      <c r="E15" s="144" t="s">
        <v>61</v>
      </c>
      <c r="F15" s="144" t="s">
        <v>62</v>
      </c>
      <c r="G15" s="434" t="s">
        <v>378</v>
      </c>
      <c r="H15" s="435" t="s">
        <v>379</v>
      </c>
      <c r="I15" s="143" t="s">
        <v>63</v>
      </c>
      <c r="J15" s="145"/>
      <c r="K15" s="271" t="s">
        <v>219</v>
      </c>
      <c r="L15" s="146" t="s">
        <v>64</v>
      </c>
      <c r="M15" s="271" t="s">
        <v>219</v>
      </c>
      <c r="N15" s="146" t="s">
        <v>64</v>
      </c>
      <c r="O15" s="146" t="s">
        <v>65</v>
      </c>
      <c r="P15" s="4"/>
    </row>
    <row r="16" spans="1:16" ht="13.5" thickBot="1">
      <c r="C16" s="147" t="s">
        <v>66</v>
      </c>
      <c r="D16" s="147" t="s">
        <v>67</v>
      </c>
      <c r="E16" s="147" t="s">
        <v>68</v>
      </c>
      <c r="F16" s="147" t="s">
        <v>67</v>
      </c>
      <c r="G16" s="408" t="s">
        <v>69</v>
      </c>
      <c r="H16" s="148" t="s">
        <v>70</v>
      </c>
      <c r="I16" s="149" t="s">
        <v>89</v>
      </c>
      <c r="J16" s="150" t="s">
        <v>71</v>
      </c>
      <c r="K16" s="151" t="s">
        <v>72</v>
      </c>
      <c r="L16" s="151" t="s">
        <v>72</v>
      </c>
      <c r="M16" s="151" t="s">
        <v>90</v>
      </c>
      <c r="N16" s="152" t="s">
        <v>90</v>
      </c>
      <c r="O16" s="151" t="s">
        <v>90</v>
      </c>
      <c r="P16" s="4"/>
    </row>
    <row r="17" spans="2:16">
      <c r="C17" s="153">
        <f>IF(D11= "","-",D11)</f>
        <v>2016</v>
      </c>
      <c r="D17" s="360">
        <v>0</v>
      </c>
      <c r="E17" s="360">
        <v>0</v>
      </c>
      <c r="F17" s="360">
        <f>+D10</f>
        <v>99956721</v>
      </c>
      <c r="G17" s="360">
        <v>0</v>
      </c>
      <c r="H17" s="360">
        <v>0</v>
      </c>
      <c r="I17" s="360">
        <v>0</v>
      </c>
      <c r="J17" s="156"/>
      <c r="K17" s="258">
        <f>+G17</f>
        <v>0</v>
      </c>
      <c r="L17" s="257">
        <f t="shared" ref="L17:L72" si="0">IF(K17&lt;&gt;0,+G17-K17,0)</f>
        <v>0</v>
      </c>
      <c r="M17" s="258">
        <f>+H17</f>
        <v>0</v>
      </c>
      <c r="N17" s="158">
        <f t="shared" ref="N17:N72" si="1">IF(M17&lt;&gt;0,+H17-M17,0)</f>
        <v>0</v>
      </c>
      <c r="O17" s="158">
        <f t="shared" ref="O17:O72" si="2">+N17-L17</f>
        <v>0</v>
      </c>
      <c r="P17" s="4"/>
    </row>
    <row r="18" spans="2:16">
      <c r="B18" s="9" t="str">
        <f>IF(D18=F17,"","IU")</f>
        <v/>
      </c>
      <c r="C18" s="153">
        <f>IF(D11="","-",+C17+1)</f>
        <v>2017</v>
      </c>
      <c r="D18" s="360">
        <v>99956721</v>
      </c>
      <c r="E18" s="360">
        <v>2324574.9069767441</v>
      </c>
      <c r="F18" s="360">
        <v>97632146.093023255</v>
      </c>
      <c r="G18" s="360">
        <v>14564467.586252602</v>
      </c>
      <c r="H18" s="360">
        <v>14564467.586252602</v>
      </c>
      <c r="I18" s="156">
        <v>0</v>
      </c>
      <c r="J18" s="156"/>
      <c r="K18" s="258">
        <f>+G18</f>
        <v>14564467.586252602</v>
      </c>
      <c r="L18" s="257">
        <f>IF(K18&lt;&gt;0,+G18-K18,0)</f>
        <v>0</v>
      </c>
      <c r="M18" s="258">
        <f>+H18</f>
        <v>14564467.586252602</v>
      </c>
      <c r="N18" s="158">
        <f>IF(M18&lt;&gt;0,+H18-M18,0)</f>
        <v>0</v>
      </c>
      <c r="O18" s="158">
        <f>+N18-L18</f>
        <v>0</v>
      </c>
      <c r="P18" s="4"/>
    </row>
    <row r="19" spans="2:16">
      <c r="B19" s="9" t="str">
        <f>IF(D19=F18,"","IU")</f>
        <v/>
      </c>
      <c r="C19" s="153">
        <f>IF(D11="","-",+C18+1)</f>
        <v>2018</v>
      </c>
      <c r="D19" s="360">
        <v>97632146.093023255</v>
      </c>
      <c r="E19" s="360">
        <v>2437968.8048780486</v>
      </c>
      <c r="F19" s="360">
        <v>95194177.288145214</v>
      </c>
      <c r="G19" s="360">
        <v>13225079.237961181</v>
      </c>
      <c r="H19" s="360">
        <v>13225079.237961181</v>
      </c>
      <c r="I19" s="156">
        <f t="shared" ref="I19:I72" si="3">H19-G19</f>
        <v>0</v>
      </c>
      <c r="J19" s="156"/>
      <c r="K19" s="258">
        <f>+G19</f>
        <v>13225079.237961181</v>
      </c>
      <c r="L19" s="257">
        <f>IF(K19&lt;&gt;0,+G19-K19,0)</f>
        <v>0</v>
      </c>
      <c r="M19" s="258">
        <f>+H19</f>
        <v>13225079.237961181</v>
      </c>
      <c r="N19" s="158">
        <f>IF(M19&lt;&gt;0,+H19-M19,0)</f>
        <v>0</v>
      </c>
      <c r="O19" s="158">
        <f>+N19-L19</f>
        <v>0</v>
      </c>
      <c r="P19" s="4"/>
    </row>
    <row r="20" spans="2:16">
      <c r="B20" s="9" t="str">
        <f t="shared" ref="B20:B72" si="4">IF(D20=F19,"","IU")</f>
        <v/>
      </c>
      <c r="C20" s="153">
        <f>IF(D11="","-",+C19+1)</f>
        <v>2019</v>
      </c>
      <c r="D20" s="159">
        <f>IF(F19+SUM(E$17:E19)=D$10,F19,D$10-SUM(E$17:E19))</f>
        <v>95194177.288145214</v>
      </c>
      <c r="E20" s="160">
        <f>IF(+I14&lt;F19,I14,D20)</f>
        <v>2324574.9069767441</v>
      </c>
      <c r="F20" s="159">
        <f t="shared" ref="F20:F72" si="5">+D20-E20</f>
        <v>92869602.38116847</v>
      </c>
      <c r="G20" s="161">
        <f t="shared" ref="G20:G49" si="6">+I$12*((D20+F20)/2)+E20</f>
        <v>11685982.932063362</v>
      </c>
      <c r="H20" s="142">
        <f t="shared" ref="H20:H49" si="7">+I$13*((D20+F20)/2)+E20</f>
        <v>11685982.932063362</v>
      </c>
      <c r="I20" s="156">
        <f t="shared" si="3"/>
        <v>0</v>
      </c>
      <c r="J20" s="156"/>
      <c r="K20" s="334"/>
      <c r="L20" s="158">
        <f t="shared" si="0"/>
        <v>0</v>
      </c>
      <c r="M20" s="334"/>
      <c r="N20" s="158">
        <f t="shared" si="1"/>
        <v>0</v>
      </c>
      <c r="O20" s="158">
        <f t="shared" si="2"/>
        <v>0</v>
      </c>
      <c r="P20" s="4"/>
    </row>
    <row r="21" spans="2:16">
      <c r="B21" s="9" t="str">
        <f t="shared" si="4"/>
        <v/>
      </c>
      <c r="C21" s="153">
        <f>IF(D11="","-",+C20+1)</f>
        <v>2020</v>
      </c>
      <c r="D21" s="159">
        <f>IF(F20+SUM(E$17:E20)=D$10,F20,D$10-SUM(E$17:E20))</f>
        <v>92869602.38116847</v>
      </c>
      <c r="E21" s="160">
        <f>IF(+I14&lt;F20,I14,D21)</f>
        <v>2324574.9069767441</v>
      </c>
      <c r="F21" s="159">
        <f t="shared" si="5"/>
        <v>90545027.474191725</v>
      </c>
      <c r="G21" s="161">
        <f t="shared" si="6"/>
        <v>11454558.314017808</v>
      </c>
      <c r="H21" s="142">
        <f t="shared" si="7"/>
        <v>11454558.314017808</v>
      </c>
      <c r="I21" s="156">
        <f t="shared" si="3"/>
        <v>0</v>
      </c>
      <c r="J21" s="156"/>
      <c r="K21" s="334"/>
      <c r="L21" s="158">
        <f t="shared" si="0"/>
        <v>0</v>
      </c>
      <c r="M21" s="334"/>
      <c r="N21" s="158">
        <f t="shared" si="1"/>
        <v>0</v>
      </c>
      <c r="O21" s="158">
        <f t="shared" si="2"/>
        <v>0</v>
      </c>
      <c r="P21" s="4"/>
    </row>
    <row r="22" spans="2:16">
      <c r="B22" s="9" t="str">
        <f t="shared" si="4"/>
        <v/>
      </c>
      <c r="C22" s="153">
        <f>IF(D11="","-",+C21+1)</f>
        <v>2021</v>
      </c>
      <c r="D22" s="159">
        <f>IF(F21+SUM(E$17:E21)=D$10,F21,D$10-SUM(E$17:E21))</f>
        <v>90545027.474191725</v>
      </c>
      <c r="E22" s="160">
        <f>IF(+I14&lt;F21,I14,D22)</f>
        <v>2324574.9069767441</v>
      </c>
      <c r="F22" s="159">
        <f t="shared" si="5"/>
        <v>88220452.567214981</v>
      </c>
      <c r="G22" s="161">
        <f t="shared" si="6"/>
        <v>11223133.695972253</v>
      </c>
      <c r="H22" s="142">
        <f t="shared" si="7"/>
        <v>11223133.695972253</v>
      </c>
      <c r="I22" s="156">
        <f t="shared" si="3"/>
        <v>0</v>
      </c>
      <c r="J22" s="156"/>
      <c r="K22" s="334"/>
      <c r="L22" s="158">
        <f t="shared" si="0"/>
        <v>0</v>
      </c>
      <c r="M22" s="334"/>
      <c r="N22" s="158">
        <f t="shared" si="1"/>
        <v>0</v>
      </c>
      <c r="O22" s="158">
        <f t="shared" si="2"/>
        <v>0</v>
      </c>
      <c r="P22" s="4"/>
    </row>
    <row r="23" spans="2:16">
      <c r="B23" s="9" t="str">
        <f t="shared" si="4"/>
        <v/>
      </c>
      <c r="C23" s="153">
        <f>IF(D11="","-",+C22+1)</f>
        <v>2022</v>
      </c>
      <c r="D23" s="159">
        <f>IF(F22+SUM(E$17:E22)=D$10,F22,D$10-SUM(E$17:E22))</f>
        <v>88220452.567214981</v>
      </c>
      <c r="E23" s="160">
        <f>IF(+I14&lt;F22,I14,D23)</f>
        <v>2324574.9069767441</v>
      </c>
      <c r="F23" s="159">
        <f t="shared" si="5"/>
        <v>85895877.660238236</v>
      </c>
      <c r="G23" s="161">
        <f t="shared" si="6"/>
        <v>10991709.077926701</v>
      </c>
      <c r="H23" s="142">
        <f t="shared" si="7"/>
        <v>10991709.077926701</v>
      </c>
      <c r="I23" s="156">
        <f t="shared" si="3"/>
        <v>0</v>
      </c>
      <c r="J23" s="156"/>
      <c r="K23" s="334"/>
      <c r="L23" s="158">
        <f t="shared" si="0"/>
        <v>0</v>
      </c>
      <c r="M23" s="334"/>
      <c r="N23" s="158">
        <f t="shared" si="1"/>
        <v>0</v>
      </c>
      <c r="O23" s="158">
        <f t="shared" si="2"/>
        <v>0</v>
      </c>
      <c r="P23" s="4"/>
    </row>
    <row r="24" spans="2:16">
      <c r="B24" s="9" t="str">
        <f t="shared" si="4"/>
        <v/>
      </c>
      <c r="C24" s="153">
        <f>IF(D11="","-",+C23+1)</f>
        <v>2023</v>
      </c>
      <c r="D24" s="159">
        <f>IF(F23+SUM(E$17:E23)=D$10,F23,D$10-SUM(E$17:E23))</f>
        <v>85895877.660238236</v>
      </c>
      <c r="E24" s="160">
        <f>IF(+I14&lt;F23,I14,D24)</f>
        <v>2324574.9069767441</v>
      </c>
      <c r="F24" s="159">
        <f t="shared" si="5"/>
        <v>83571302.753261492</v>
      </c>
      <c r="G24" s="161">
        <f t="shared" si="6"/>
        <v>10760284.459881146</v>
      </c>
      <c r="H24" s="142">
        <f t="shared" si="7"/>
        <v>10760284.459881146</v>
      </c>
      <c r="I24" s="156">
        <f t="shared" si="3"/>
        <v>0</v>
      </c>
      <c r="J24" s="156"/>
      <c r="K24" s="334"/>
      <c r="L24" s="158">
        <f t="shared" si="0"/>
        <v>0</v>
      </c>
      <c r="M24" s="334"/>
      <c r="N24" s="158">
        <f t="shared" si="1"/>
        <v>0</v>
      </c>
      <c r="O24" s="158">
        <f t="shared" si="2"/>
        <v>0</v>
      </c>
      <c r="P24" s="4"/>
    </row>
    <row r="25" spans="2:16">
      <c r="B25" s="9" t="str">
        <f t="shared" si="4"/>
        <v/>
      </c>
      <c r="C25" s="153">
        <f>IF(D11="","-",+C24+1)</f>
        <v>2024</v>
      </c>
      <c r="D25" s="159">
        <f>IF(F24+SUM(E$17:E24)=D$10,F24,D$10-SUM(E$17:E24))</f>
        <v>83571302.753261492</v>
      </c>
      <c r="E25" s="160">
        <f>IF(+I14&lt;F24,I14,D25)</f>
        <v>2324574.9069767441</v>
      </c>
      <c r="F25" s="159">
        <f t="shared" si="5"/>
        <v>81246727.846284747</v>
      </c>
      <c r="G25" s="161">
        <f t="shared" si="6"/>
        <v>10528859.841835592</v>
      </c>
      <c r="H25" s="142">
        <f t="shared" si="7"/>
        <v>10528859.841835592</v>
      </c>
      <c r="I25" s="156">
        <f t="shared" si="3"/>
        <v>0</v>
      </c>
      <c r="J25" s="156"/>
      <c r="K25" s="334"/>
      <c r="L25" s="158">
        <f t="shared" si="0"/>
        <v>0</v>
      </c>
      <c r="M25" s="334"/>
      <c r="N25" s="158">
        <f t="shared" si="1"/>
        <v>0</v>
      </c>
      <c r="O25" s="158">
        <f t="shared" si="2"/>
        <v>0</v>
      </c>
      <c r="P25" s="4"/>
    </row>
    <row r="26" spans="2:16">
      <c r="B26" s="9" t="str">
        <f t="shared" si="4"/>
        <v/>
      </c>
      <c r="C26" s="153">
        <f>IF(D11="","-",+C25+1)</f>
        <v>2025</v>
      </c>
      <c r="D26" s="159">
        <f>IF(F25+SUM(E$17:E25)=D$10,F25,D$10-SUM(E$17:E25))</f>
        <v>81246727.846284747</v>
      </c>
      <c r="E26" s="160">
        <f>IF(+I14&lt;F25,I14,D26)</f>
        <v>2324574.9069767441</v>
      </c>
      <c r="F26" s="159">
        <f t="shared" si="5"/>
        <v>78922152.939308003</v>
      </c>
      <c r="G26" s="161">
        <f t="shared" si="6"/>
        <v>10297435.223790037</v>
      </c>
      <c r="H26" s="142">
        <f t="shared" si="7"/>
        <v>10297435.223790037</v>
      </c>
      <c r="I26" s="156">
        <f t="shared" si="3"/>
        <v>0</v>
      </c>
      <c r="J26" s="156"/>
      <c r="K26" s="334"/>
      <c r="L26" s="158">
        <f t="shared" si="0"/>
        <v>0</v>
      </c>
      <c r="M26" s="334"/>
      <c r="N26" s="158">
        <f t="shared" si="1"/>
        <v>0</v>
      </c>
      <c r="O26" s="158">
        <f t="shared" si="2"/>
        <v>0</v>
      </c>
      <c r="P26" s="4"/>
    </row>
    <row r="27" spans="2:16">
      <c r="B27" s="9" t="str">
        <f t="shared" si="4"/>
        <v/>
      </c>
      <c r="C27" s="153">
        <f>IF(D11="","-",+C26+1)</f>
        <v>2026</v>
      </c>
      <c r="D27" s="159">
        <f>IF(F26+SUM(E$17:E26)=D$10,F26,D$10-SUM(E$17:E26))</f>
        <v>78922152.939308003</v>
      </c>
      <c r="E27" s="160">
        <f>IF(+I14&lt;F26,I14,D27)</f>
        <v>2324574.9069767441</v>
      </c>
      <c r="F27" s="159">
        <f t="shared" si="5"/>
        <v>76597578.032331258</v>
      </c>
      <c r="G27" s="161">
        <f t="shared" si="6"/>
        <v>10066010.605744485</v>
      </c>
      <c r="H27" s="142">
        <f t="shared" si="7"/>
        <v>10066010.605744485</v>
      </c>
      <c r="I27" s="156">
        <f t="shared" si="3"/>
        <v>0</v>
      </c>
      <c r="J27" s="156"/>
      <c r="K27" s="334"/>
      <c r="L27" s="158">
        <f t="shared" si="0"/>
        <v>0</v>
      </c>
      <c r="M27" s="334"/>
      <c r="N27" s="158">
        <f t="shared" si="1"/>
        <v>0</v>
      </c>
      <c r="O27" s="158">
        <f t="shared" si="2"/>
        <v>0</v>
      </c>
      <c r="P27" s="4"/>
    </row>
    <row r="28" spans="2:16">
      <c r="B28" s="9" t="str">
        <f t="shared" si="4"/>
        <v/>
      </c>
      <c r="C28" s="153">
        <f>IF(D11="","-",+C27+1)</f>
        <v>2027</v>
      </c>
      <c r="D28" s="159">
        <f>IF(F27+SUM(E$17:E27)=D$10,F27,D$10-SUM(E$17:E27))</f>
        <v>76597578.032331258</v>
      </c>
      <c r="E28" s="160">
        <f>IF(+I14&lt;F27,I14,D28)</f>
        <v>2324574.9069767441</v>
      </c>
      <c r="F28" s="159">
        <f t="shared" si="5"/>
        <v>74273003.125354514</v>
      </c>
      <c r="G28" s="161">
        <f t="shared" si="6"/>
        <v>9834585.9876989294</v>
      </c>
      <c r="H28" s="142">
        <f t="shared" si="7"/>
        <v>9834585.9876989294</v>
      </c>
      <c r="I28" s="156">
        <f t="shared" si="3"/>
        <v>0</v>
      </c>
      <c r="J28" s="156"/>
      <c r="K28" s="334"/>
      <c r="L28" s="158">
        <f t="shared" si="0"/>
        <v>0</v>
      </c>
      <c r="M28" s="334"/>
      <c r="N28" s="158">
        <f t="shared" si="1"/>
        <v>0</v>
      </c>
      <c r="O28" s="158">
        <f t="shared" si="2"/>
        <v>0</v>
      </c>
      <c r="P28" s="4"/>
    </row>
    <row r="29" spans="2:16">
      <c r="B29" s="9" t="str">
        <f t="shared" si="4"/>
        <v/>
      </c>
      <c r="C29" s="153">
        <f>IF(D11="","-",+C28+1)</f>
        <v>2028</v>
      </c>
      <c r="D29" s="159">
        <f>IF(F28+SUM(E$17:E28)=D$10,F28,D$10-SUM(E$17:E28))</f>
        <v>74273003.125354514</v>
      </c>
      <c r="E29" s="160">
        <f>IF(+I14&lt;F28,I14,D29)</f>
        <v>2324574.9069767441</v>
      </c>
      <c r="F29" s="159">
        <f t="shared" si="5"/>
        <v>71948428.218377769</v>
      </c>
      <c r="G29" s="161">
        <f t="shared" si="6"/>
        <v>9603161.3696533758</v>
      </c>
      <c r="H29" s="142">
        <f t="shared" si="7"/>
        <v>9603161.3696533758</v>
      </c>
      <c r="I29" s="156">
        <f t="shared" si="3"/>
        <v>0</v>
      </c>
      <c r="J29" s="156"/>
      <c r="K29" s="334"/>
      <c r="L29" s="158">
        <f t="shared" si="0"/>
        <v>0</v>
      </c>
      <c r="M29" s="334"/>
      <c r="N29" s="158">
        <f t="shared" si="1"/>
        <v>0</v>
      </c>
      <c r="O29" s="158">
        <f t="shared" si="2"/>
        <v>0</v>
      </c>
      <c r="P29" s="4"/>
    </row>
    <row r="30" spans="2:16">
      <c r="B30" s="9" t="str">
        <f t="shared" si="4"/>
        <v/>
      </c>
      <c r="C30" s="153">
        <f>IF(D11="","-",+C29+1)</f>
        <v>2029</v>
      </c>
      <c r="D30" s="159">
        <f>IF(F29+SUM(E$17:E29)=D$10,F29,D$10-SUM(E$17:E29))</f>
        <v>71948428.218377769</v>
      </c>
      <c r="E30" s="160">
        <f>IF(+I14&lt;F29,I14,D30)</f>
        <v>2324574.9069767441</v>
      </c>
      <c r="F30" s="159">
        <f t="shared" si="5"/>
        <v>69623853.311401024</v>
      </c>
      <c r="G30" s="161">
        <f t="shared" si="6"/>
        <v>9371736.7516078204</v>
      </c>
      <c r="H30" s="142">
        <f t="shared" si="7"/>
        <v>9371736.7516078204</v>
      </c>
      <c r="I30" s="156">
        <f t="shared" si="3"/>
        <v>0</v>
      </c>
      <c r="J30" s="156"/>
      <c r="K30" s="334"/>
      <c r="L30" s="158">
        <f t="shared" si="0"/>
        <v>0</v>
      </c>
      <c r="M30" s="334"/>
      <c r="N30" s="158">
        <f t="shared" si="1"/>
        <v>0</v>
      </c>
      <c r="O30" s="158">
        <f t="shared" si="2"/>
        <v>0</v>
      </c>
      <c r="P30" s="4"/>
    </row>
    <row r="31" spans="2:16">
      <c r="B31" s="9" t="str">
        <f t="shared" si="4"/>
        <v/>
      </c>
      <c r="C31" s="153">
        <f>IF(D11="","-",+C30+1)</f>
        <v>2030</v>
      </c>
      <c r="D31" s="159">
        <f>IF(F30+SUM(E$17:E30)=D$10,F30,D$10-SUM(E$17:E30))</f>
        <v>69623853.311401024</v>
      </c>
      <c r="E31" s="160">
        <f>IF(+I14&lt;F30,I14,D31)</f>
        <v>2324574.9069767441</v>
      </c>
      <c r="F31" s="159">
        <f t="shared" si="5"/>
        <v>67299278.40442428</v>
      </c>
      <c r="G31" s="161">
        <f t="shared" si="6"/>
        <v>9140312.1335622687</v>
      </c>
      <c r="H31" s="142">
        <f t="shared" si="7"/>
        <v>9140312.1335622687</v>
      </c>
      <c r="I31" s="156">
        <f t="shared" si="3"/>
        <v>0</v>
      </c>
      <c r="J31" s="156"/>
      <c r="K31" s="334"/>
      <c r="L31" s="158">
        <f t="shared" si="0"/>
        <v>0</v>
      </c>
      <c r="M31" s="334"/>
      <c r="N31" s="158">
        <f t="shared" si="1"/>
        <v>0</v>
      </c>
      <c r="O31" s="158">
        <f t="shared" si="2"/>
        <v>0</v>
      </c>
      <c r="P31" s="4"/>
    </row>
    <row r="32" spans="2:16">
      <c r="B32" s="9" t="str">
        <f t="shared" si="4"/>
        <v/>
      </c>
      <c r="C32" s="153">
        <f>IF(D11="","-",+C31+1)</f>
        <v>2031</v>
      </c>
      <c r="D32" s="159">
        <f>IF(F31+SUM(E$17:E31)=D$10,F31,D$10-SUM(E$17:E31))</f>
        <v>67299278.40442428</v>
      </c>
      <c r="E32" s="160">
        <f>IF(+I14&lt;F31,I14,D32)</f>
        <v>2324574.9069767441</v>
      </c>
      <c r="F32" s="159">
        <f t="shared" si="5"/>
        <v>64974703.497447535</v>
      </c>
      <c r="G32" s="161">
        <f t="shared" si="6"/>
        <v>8908887.5155167133</v>
      </c>
      <c r="H32" s="142">
        <f t="shared" si="7"/>
        <v>8908887.5155167133</v>
      </c>
      <c r="I32" s="156">
        <f t="shared" si="3"/>
        <v>0</v>
      </c>
      <c r="J32" s="156"/>
      <c r="K32" s="334"/>
      <c r="L32" s="158">
        <f t="shared" si="0"/>
        <v>0</v>
      </c>
      <c r="M32" s="334"/>
      <c r="N32" s="158">
        <f t="shared" si="1"/>
        <v>0</v>
      </c>
      <c r="O32" s="158">
        <f t="shared" si="2"/>
        <v>0</v>
      </c>
      <c r="P32" s="4"/>
    </row>
    <row r="33" spans="2:16">
      <c r="B33" s="9" t="str">
        <f t="shared" si="4"/>
        <v/>
      </c>
      <c r="C33" s="153">
        <f>IF(D11="","-",+C32+1)</f>
        <v>2032</v>
      </c>
      <c r="D33" s="159">
        <f>IF(F32+SUM(E$17:E32)=D$10,F32,D$10-SUM(E$17:E32))</f>
        <v>64974703.497447535</v>
      </c>
      <c r="E33" s="160">
        <f>IF(+I14&lt;F32,I14,D33)</f>
        <v>2324574.9069767441</v>
      </c>
      <c r="F33" s="159">
        <f t="shared" si="5"/>
        <v>62650128.590470791</v>
      </c>
      <c r="G33" s="161">
        <f t="shared" si="6"/>
        <v>8677462.8974711597</v>
      </c>
      <c r="H33" s="142">
        <f t="shared" si="7"/>
        <v>8677462.8974711597</v>
      </c>
      <c r="I33" s="156">
        <f t="shared" si="3"/>
        <v>0</v>
      </c>
      <c r="J33" s="156"/>
      <c r="K33" s="334"/>
      <c r="L33" s="158">
        <f t="shared" si="0"/>
        <v>0</v>
      </c>
      <c r="M33" s="334"/>
      <c r="N33" s="158">
        <f t="shared" si="1"/>
        <v>0</v>
      </c>
      <c r="O33" s="158">
        <f t="shared" si="2"/>
        <v>0</v>
      </c>
      <c r="P33" s="4"/>
    </row>
    <row r="34" spans="2:16">
      <c r="B34" s="9" t="str">
        <f t="shared" si="4"/>
        <v/>
      </c>
      <c r="C34" s="153">
        <f>IF(D11="","-",+C33+1)</f>
        <v>2033</v>
      </c>
      <c r="D34" s="159">
        <f>IF(F33+SUM(E$17:E33)=D$10,F33,D$10-SUM(E$17:E33))</f>
        <v>62650128.590470791</v>
      </c>
      <c r="E34" s="160">
        <f>IF(+I14&lt;F33,I14,D34)</f>
        <v>2324574.9069767441</v>
      </c>
      <c r="F34" s="159">
        <f t="shared" si="5"/>
        <v>60325553.683494046</v>
      </c>
      <c r="G34" s="161">
        <f t="shared" si="6"/>
        <v>8446038.2794256061</v>
      </c>
      <c r="H34" s="142">
        <f t="shared" si="7"/>
        <v>8446038.2794256061</v>
      </c>
      <c r="I34" s="156">
        <f t="shared" si="3"/>
        <v>0</v>
      </c>
      <c r="J34" s="156"/>
      <c r="K34" s="334"/>
      <c r="L34" s="158">
        <f t="shared" si="0"/>
        <v>0</v>
      </c>
      <c r="M34" s="334"/>
      <c r="N34" s="158">
        <f t="shared" si="1"/>
        <v>0</v>
      </c>
      <c r="O34" s="158">
        <f t="shared" si="2"/>
        <v>0</v>
      </c>
      <c r="P34" s="4"/>
    </row>
    <row r="35" spans="2:16">
      <c r="B35" s="9" t="str">
        <f t="shared" si="4"/>
        <v/>
      </c>
      <c r="C35" s="153">
        <f>IF(D11="","-",+C34+1)</f>
        <v>2034</v>
      </c>
      <c r="D35" s="159">
        <f>IF(F34+SUM(E$17:E34)=D$10,F34,D$10-SUM(E$17:E34))</f>
        <v>60325553.683494046</v>
      </c>
      <c r="E35" s="160">
        <f>IF(+I14&lt;F34,I14,D35)</f>
        <v>2324574.9069767441</v>
      </c>
      <c r="F35" s="159">
        <f t="shared" si="5"/>
        <v>58000978.776517302</v>
      </c>
      <c r="G35" s="161">
        <f t="shared" si="6"/>
        <v>8214613.6613800507</v>
      </c>
      <c r="H35" s="142">
        <f t="shared" si="7"/>
        <v>8214613.6613800507</v>
      </c>
      <c r="I35" s="156">
        <f t="shared" si="3"/>
        <v>0</v>
      </c>
      <c r="J35" s="156"/>
      <c r="K35" s="334"/>
      <c r="L35" s="158">
        <f t="shared" si="0"/>
        <v>0</v>
      </c>
      <c r="M35" s="334"/>
      <c r="N35" s="158">
        <f t="shared" si="1"/>
        <v>0</v>
      </c>
      <c r="O35" s="158">
        <f t="shared" si="2"/>
        <v>0</v>
      </c>
      <c r="P35" s="4"/>
    </row>
    <row r="36" spans="2:16">
      <c r="B36" s="9" t="str">
        <f t="shared" si="4"/>
        <v/>
      </c>
      <c r="C36" s="153">
        <f>IF(D11="","-",+C35+1)</f>
        <v>2035</v>
      </c>
      <c r="D36" s="159">
        <f>IF(F35+SUM(E$17:E35)=D$10,F35,D$10-SUM(E$17:E35))</f>
        <v>58000978.776517302</v>
      </c>
      <c r="E36" s="160">
        <f>IF(+I14&lt;F35,I14,D36)</f>
        <v>2324574.9069767441</v>
      </c>
      <c r="F36" s="159">
        <f t="shared" si="5"/>
        <v>55676403.869540557</v>
      </c>
      <c r="G36" s="161">
        <f t="shared" si="6"/>
        <v>7983189.0433344971</v>
      </c>
      <c r="H36" s="142">
        <f t="shared" si="7"/>
        <v>7983189.0433344971</v>
      </c>
      <c r="I36" s="156">
        <f t="shared" si="3"/>
        <v>0</v>
      </c>
      <c r="J36" s="156"/>
      <c r="K36" s="334"/>
      <c r="L36" s="158">
        <f t="shared" si="0"/>
        <v>0</v>
      </c>
      <c r="M36" s="334"/>
      <c r="N36" s="158">
        <f t="shared" si="1"/>
        <v>0</v>
      </c>
      <c r="O36" s="158">
        <f t="shared" si="2"/>
        <v>0</v>
      </c>
      <c r="P36" s="4"/>
    </row>
    <row r="37" spans="2:16">
      <c r="B37" s="9" t="str">
        <f t="shared" si="4"/>
        <v/>
      </c>
      <c r="C37" s="153">
        <f>IF(D11="","-",+C36+1)</f>
        <v>2036</v>
      </c>
      <c r="D37" s="159">
        <f>IF(F36+SUM(E$17:E36)=D$10,F36,D$10-SUM(E$17:E36))</f>
        <v>55676403.869540557</v>
      </c>
      <c r="E37" s="160">
        <f>IF(+I14&lt;F36,I14,D37)</f>
        <v>2324574.9069767441</v>
      </c>
      <c r="F37" s="159">
        <f t="shared" si="5"/>
        <v>53351828.962563813</v>
      </c>
      <c r="G37" s="161">
        <f t="shared" si="6"/>
        <v>7751764.4252889436</v>
      </c>
      <c r="H37" s="142">
        <f t="shared" si="7"/>
        <v>7751764.4252889436</v>
      </c>
      <c r="I37" s="156">
        <f t="shared" si="3"/>
        <v>0</v>
      </c>
      <c r="J37" s="156"/>
      <c r="K37" s="334"/>
      <c r="L37" s="158">
        <f t="shared" si="0"/>
        <v>0</v>
      </c>
      <c r="M37" s="334"/>
      <c r="N37" s="158">
        <f t="shared" si="1"/>
        <v>0</v>
      </c>
      <c r="O37" s="158">
        <f t="shared" si="2"/>
        <v>0</v>
      </c>
      <c r="P37" s="4"/>
    </row>
    <row r="38" spans="2:16">
      <c r="B38" s="9" t="str">
        <f t="shared" si="4"/>
        <v/>
      </c>
      <c r="C38" s="153">
        <f>IF(D11="","-",+C37+1)</f>
        <v>2037</v>
      </c>
      <c r="D38" s="159">
        <f>IF(F37+SUM(E$17:E37)=D$10,F37,D$10-SUM(E$17:E37))</f>
        <v>53351828.962563813</v>
      </c>
      <c r="E38" s="160">
        <f>IF(+I14&lt;F37,I14,D38)</f>
        <v>2324574.9069767441</v>
      </c>
      <c r="F38" s="159">
        <f t="shared" si="5"/>
        <v>51027254.055587068</v>
      </c>
      <c r="G38" s="161">
        <f t="shared" si="6"/>
        <v>7520339.80724339</v>
      </c>
      <c r="H38" s="142">
        <f t="shared" si="7"/>
        <v>7520339.80724339</v>
      </c>
      <c r="I38" s="156">
        <f t="shared" si="3"/>
        <v>0</v>
      </c>
      <c r="J38" s="156"/>
      <c r="K38" s="334"/>
      <c r="L38" s="158">
        <f t="shared" si="0"/>
        <v>0</v>
      </c>
      <c r="M38" s="334"/>
      <c r="N38" s="158">
        <f t="shared" si="1"/>
        <v>0</v>
      </c>
      <c r="O38" s="158">
        <f t="shared" si="2"/>
        <v>0</v>
      </c>
      <c r="P38" s="4"/>
    </row>
    <row r="39" spans="2:16">
      <c r="B39" s="9" t="str">
        <f t="shared" si="4"/>
        <v/>
      </c>
      <c r="C39" s="153">
        <f>IF(D11="","-",+C38+1)</f>
        <v>2038</v>
      </c>
      <c r="D39" s="159">
        <f>IF(F38+SUM(E$17:E38)=D$10,F38,D$10-SUM(E$17:E38))</f>
        <v>51027254.055587068</v>
      </c>
      <c r="E39" s="160">
        <f>IF(+I14&lt;F38,I14,D39)</f>
        <v>2324574.9069767441</v>
      </c>
      <c r="F39" s="159">
        <f t="shared" si="5"/>
        <v>48702679.148610324</v>
      </c>
      <c r="G39" s="161">
        <f t="shared" si="6"/>
        <v>7288915.1891978346</v>
      </c>
      <c r="H39" s="142">
        <f t="shared" si="7"/>
        <v>7288915.1891978346</v>
      </c>
      <c r="I39" s="156">
        <f t="shared" si="3"/>
        <v>0</v>
      </c>
      <c r="J39" s="156"/>
      <c r="K39" s="334"/>
      <c r="L39" s="158">
        <f t="shared" si="0"/>
        <v>0</v>
      </c>
      <c r="M39" s="334"/>
      <c r="N39" s="158">
        <f t="shared" si="1"/>
        <v>0</v>
      </c>
      <c r="O39" s="158">
        <f t="shared" si="2"/>
        <v>0</v>
      </c>
      <c r="P39" s="4"/>
    </row>
    <row r="40" spans="2:16">
      <c r="B40" s="9" t="str">
        <f t="shared" si="4"/>
        <v/>
      </c>
      <c r="C40" s="153">
        <f>IF(D11="","-",+C39+1)</f>
        <v>2039</v>
      </c>
      <c r="D40" s="159">
        <f>IF(F39+SUM(E$17:E39)=D$10,F39,D$10-SUM(E$17:E39))</f>
        <v>48702679.148610324</v>
      </c>
      <c r="E40" s="160">
        <f>IF(+I14&lt;F39,I14,D40)</f>
        <v>2324574.9069767441</v>
      </c>
      <c r="F40" s="159">
        <f t="shared" si="5"/>
        <v>46378104.241633579</v>
      </c>
      <c r="G40" s="161">
        <f t="shared" si="6"/>
        <v>7057490.571152281</v>
      </c>
      <c r="H40" s="142">
        <f t="shared" si="7"/>
        <v>7057490.571152281</v>
      </c>
      <c r="I40" s="156">
        <f t="shared" si="3"/>
        <v>0</v>
      </c>
      <c r="J40" s="156"/>
      <c r="K40" s="334"/>
      <c r="L40" s="158">
        <f t="shared" si="0"/>
        <v>0</v>
      </c>
      <c r="M40" s="334"/>
      <c r="N40" s="158">
        <f t="shared" si="1"/>
        <v>0</v>
      </c>
      <c r="O40" s="158">
        <f t="shared" si="2"/>
        <v>0</v>
      </c>
      <c r="P40" s="4"/>
    </row>
    <row r="41" spans="2:16">
      <c r="B41" s="9" t="str">
        <f t="shared" si="4"/>
        <v/>
      </c>
      <c r="C41" s="153">
        <f>IF(D11="","-",+C40+1)</f>
        <v>2040</v>
      </c>
      <c r="D41" s="159">
        <f>IF(F40+SUM(E$17:E40)=D$10,F40,D$10-SUM(E$17:E40))</f>
        <v>46378104.241633579</v>
      </c>
      <c r="E41" s="160">
        <f>IF(+I14&lt;F40,I14,D41)</f>
        <v>2324574.9069767441</v>
      </c>
      <c r="F41" s="159">
        <f t="shared" si="5"/>
        <v>44053529.334656835</v>
      </c>
      <c r="G41" s="161">
        <f t="shared" si="6"/>
        <v>6826065.9531067275</v>
      </c>
      <c r="H41" s="142">
        <f t="shared" si="7"/>
        <v>6826065.9531067275</v>
      </c>
      <c r="I41" s="156">
        <f t="shared" si="3"/>
        <v>0</v>
      </c>
      <c r="J41" s="156"/>
      <c r="K41" s="334"/>
      <c r="L41" s="158">
        <f t="shared" si="0"/>
        <v>0</v>
      </c>
      <c r="M41" s="334"/>
      <c r="N41" s="158">
        <f t="shared" si="1"/>
        <v>0</v>
      </c>
      <c r="O41" s="158">
        <f t="shared" si="2"/>
        <v>0</v>
      </c>
      <c r="P41" s="4"/>
    </row>
    <row r="42" spans="2:16">
      <c r="B42" s="9" t="str">
        <f t="shared" si="4"/>
        <v/>
      </c>
      <c r="C42" s="153">
        <f>IF(D11="","-",+C41+1)</f>
        <v>2041</v>
      </c>
      <c r="D42" s="159">
        <f>IF(F41+SUM(E$17:E41)=D$10,F41,D$10-SUM(E$17:E41))</f>
        <v>44053529.334656835</v>
      </c>
      <c r="E42" s="160">
        <f>IF(+I14&lt;F41,I14,D42)</f>
        <v>2324574.9069767441</v>
      </c>
      <c r="F42" s="159">
        <f t="shared" si="5"/>
        <v>41728954.42768009</v>
      </c>
      <c r="G42" s="161">
        <f t="shared" si="6"/>
        <v>6594641.3350611739</v>
      </c>
      <c r="H42" s="142">
        <f t="shared" si="7"/>
        <v>6594641.3350611739</v>
      </c>
      <c r="I42" s="156">
        <f t="shared" si="3"/>
        <v>0</v>
      </c>
      <c r="J42" s="156"/>
      <c r="K42" s="334"/>
      <c r="L42" s="158">
        <f t="shared" si="0"/>
        <v>0</v>
      </c>
      <c r="M42" s="334"/>
      <c r="N42" s="158">
        <f t="shared" si="1"/>
        <v>0</v>
      </c>
      <c r="O42" s="158">
        <f t="shared" si="2"/>
        <v>0</v>
      </c>
      <c r="P42" s="4"/>
    </row>
    <row r="43" spans="2:16">
      <c r="B43" s="9" t="str">
        <f t="shared" si="4"/>
        <v/>
      </c>
      <c r="C43" s="153">
        <f>IF(D11="","-",+C42+1)</f>
        <v>2042</v>
      </c>
      <c r="D43" s="159">
        <f>IF(F42+SUM(E$17:E42)=D$10,F42,D$10-SUM(E$17:E42))</f>
        <v>41728954.42768009</v>
      </c>
      <c r="E43" s="160">
        <f>IF(+I14&lt;F42,I14,D43)</f>
        <v>2324574.9069767441</v>
      </c>
      <c r="F43" s="159">
        <f t="shared" si="5"/>
        <v>39404379.520703346</v>
      </c>
      <c r="G43" s="161">
        <f t="shared" si="6"/>
        <v>6363216.7170156185</v>
      </c>
      <c r="H43" s="142">
        <f t="shared" si="7"/>
        <v>6363216.7170156185</v>
      </c>
      <c r="I43" s="156">
        <f t="shared" si="3"/>
        <v>0</v>
      </c>
      <c r="J43" s="156"/>
      <c r="K43" s="334"/>
      <c r="L43" s="158">
        <f t="shared" si="0"/>
        <v>0</v>
      </c>
      <c r="M43" s="334"/>
      <c r="N43" s="158">
        <f t="shared" si="1"/>
        <v>0</v>
      </c>
      <c r="O43" s="158">
        <f t="shared" si="2"/>
        <v>0</v>
      </c>
      <c r="P43" s="4"/>
    </row>
    <row r="44" spans="2:16">
      <c r="B44" s="9" t="str">
        <f t="shared" si="4"/>
        <v/>
      </c>
      <c r="C44" s="153">
        <f>IF(D11="","-",+C43+1)</f>
        <v>2043</v>
      </c>
      <c r="D44" s="159">
        <f>IF(F43+SUM(E$17:E43)=D$10,F43,D$10-SUM(E$17:E43))</f>
        <v>39404379.520703346</v>
      </c>
      <c r="E44" s="160">
        <f>IF(+I14&lt;F43,I14,D44)</f>
        <v>2324574.9069767441</v>
      </c>
      <c r="F44" s="159">
        <f t="shared" si="5"/>
        <v>37079804.613726601</v>
      </c>
      <c r="G44" s="161">
        <f t="shared" si="6"/>
        <v>6131792.0989700649</v>
      </c>
      <c r="H44" s="142">
        <f t="shared" si="7"/>
        <v>6131792.0989700649</v>
      </c>
      <c r="I44" s="156">
        <f t="shared" si="3"/>
        <v>0</v>
      </c>
      <c r="J44" s="156"/>
      <c r="K44" s="334"/>
      <c r="L44" s="158">
        <f t="shared" si="0"/>
        <v>0</v>
      </c>
      <c r="M44" s="334"/>
      <c r="N44" s="158">
        <f t="shared" si="1"/>
        <v>0</v>
      </c>
      <c r="O44" s="158">
        <f t="shared" si="2"/>
        <v>0</v>
      </c>
      <c r="P44" s="4"/>
    </row>
    <row r="45" spans="2:16">
      <c r="B45" s="9" t="str">
        <f t="shared" si="4"/>
        <v/>
      </c>
      <c r="C45" s="153">
        <f>IF(D11="","-",+C44+1)</f>
        <v>2044</v>
      </c>
      <c r="D45" s="159">
        <f>IF(F44+SUM(E$17:E44)=D$10,F44,D$10-SUM(E$17:E44))</f>
        <v>37079804.613726601</v>
      </c>
      <c r="E45" s="160">
        <f>IF(+I14&lt;F44,I14,D45)</f>
        <v>2324574.9069767441</v>
      </c>
      <c r="F45" s="159">
        <f t="shared" si="5"/>
        <v>34755229.706749856</v>
      </c>
      <c r="G45" s="161">
        <f t="shared" si="6"/>
        <v>5900367.4809245113</v>
      </c>
      <c r="H45" s="142">
        <f t="shared" si="7"/>
        <v>5900367.4809245113</v>
      </c>
      <c r="I45" s="156">
        <f t="shared" si="3"/>
        <v>0</v>
      </c>
      <c r="J45" s="156"/>
      <c r="K45" s="334"/>
      <c r="L45" s="158">
        <f t="shared" si="0"/>
        <v>0</v>
      </c>
      <c r="M45" s="334"/>
      <c r="N45" s="158">
        <f t="shared" si="1"/>
        <v>0</v>
      </c>
      <c r="O45" s="158">
        <f t="shared" si="2"/>
        <v>0</v>
      </c>
      <c r="P45" s="4"/>
    </row>
    <row r="46" spans="2:16">
      <c r="B46" s="9" t="str">
        <f t="shared" si="4"/>
        <v/>
      </c>
      <c r="C46" s="153">
        <f>IF(D11="","-",+C45+1)</f>
        <v>2045</v>
      </c>
      <c r="D46" s="159">
        <f>IF(F45+SUM(E$17:E45)=D$10,F45,D$10-SUM(E$17:E45))</f>
        <v>34755229.706749856</v>
      </c>
      <c r="E46" s="160">
        <f>IF(+I14&lt;F45,I14,D46)</f>
        <v>2324574.9069767441</v>
      </c>
      <c r="F46" s="159">
        <f t="shared" si="5"/>
        <v>32430654.799773112</v>
      </c>
      <c r="G46" s="161">
        <f t="shared" si="6"/>
        <v>5668942.8628789568</v>
      </c>
      <c r="H46" s="142">
        <f t="shared" si="7"/>
        <v>5668942.8628789568</v>
      </c>
      <c r="I46" s="156">
        <f t="shared" si="3"/>
        <v>0</v>
      </c>
      <c r="J46" s="156"/>
      <c r="K46" s="334"/>
      <c r="L46" s="158">
        <f t="shared" si="0"/>
        <v>0</v>
      </c>
      <c r="M46" s="334"/>
      <c r="N46" s="158">
        <f t="shared" si="1"/>
        <v>0</v>
      </c>
      <c r="O46" s="158">
        <f t="shared" si="2"/>
        <v>0</v>
      </c>
      <c r="P46" s="4"/>
    </row>
    <row r="47" spans="2:16">
      <c r="B47" s="9" t="str">
        <f t="shared" si="4"/>
        <v/>
      </c>
      <c r="C47" s="153">
        <f>IF(D11="","-",+C46+1)</f>
        <v>2046</v>
      </c>
      <c r="D47" s="159">
        <f>IF(F46+SUM(E$17:E46)=D$10,F46,D$10-SUM(E$17:E46))</f>
        <v>32430654.799773112</v>
      </c>
      <c r="E47" s="160">
        <f>IF(+I14&lt;F46,I14,D47)</f>
        <v>2324574.9069767441</v>
      </c>
      <c r="F47" s="159">
        <f t="shared" si="5"/>
        <v>30106079.892796367</v>
      </c>
      <c r="G47" s="161">
        <f t="shared" si="6"/>
        <v>5437518.2448334033</v>
      </c>
      <c r="H47" s="142">
        <f t="shared" si="7"/>
        <v>5437518.2448334033</v>
      </c>
      <c r="I47" s="156">
        <f t="shared" si="3"/>
        <v>0</v>
      </c>
      <c r="J47" s="156"/>
      <c r="K47" s="334"/>
      <c r="L47" s="158">
        <f t="shared" si="0"/>
        <v>0</v>
      </c>
      <c r="M47" s="334"/>
      <c r="N47" s="158">
        <f t="shared" si="1"/>
        <v>0</v>
      </c>
      <c r="O47" s="158">
        <f t="shared" si="2"/>
        <v>0</v>
      </c>
      <c r="P47" s="4"/>
    </row>
    <row r="48" spans="2:16">
      <c r="B48" s="9" t="str">
        <f t="shared" si="4"/>
        <v/>
      </c>
      <c r="C48" s="153">
        <f>IF(D11="","-",+C47+1)</f>
        <v>2047</v>
      </c>
      <c r="D48" s="159">
        <f>IF(F47+SUM(E$17:E47)=D$10,F47,D$10-SUM(E$17:E47))</f>
        <v>30106079.892796367</v>
      </c>
      <c r="E48" s="160">
        <f>IF(+I14&lt;F47,I14,D48)</f>
        <v>2324574.9069767441</v>
      </c>
      <c r="F48" s="159">
        <f t="shared" si="5"/>
        <v>27781504.985819623</v>
      </c>
      <c r="G48" s="161">
        <f t="shared" si="6"/>
        <v>5206093.6267878488</v>
      </c>
      <c r="H48" s="142">
        <f t="shared" si="7"/>
        <v>5206093.6267878488</v>
      </c>
      <c r="I48" s="156">
        <f t="shared" si="3"/>
        <v>0</v>
      </c>
      <c r="J48" s="156"/>
      <c r="K48" s="334"/>
      <c r="L48" s="158">
        <f t="shared" si="0"/>
        <v>0</v>
      </c>
      <c r="M48" s="334"/>
      <c r="N48" s="158">
        <f t="shared" si="1"/>
        <v>0</v>
      </c>
      <c r="O48" s="158">
        <f t="shared" si="2"/>
        <v>0</v>
      </c>
      <c r="P48" s="4"/>
    </row>
    <row r="49" spans="2:16">
      <c r="B49" s="9" t="str">
        <f t="shared" si="4"/>
        <v/>
      </c>
      <c r="C49" s="153">
        <f>IF(D11="","-",+C48+1)</f>
        <v>2048</v>
      </c>
      <c r="D49" s="159">
        <f>IF(F48+SUM(E$17:E48)=D$10,F48,D$10-SUM(E$17:E48))</f>
        <v>27781504.985819623</v>
      </c>
      <c r="E49" s="160">
        <f>IF(+I14&lt;F48,I14,D49)</f>
        <v>2324574.9069767441</v>
      </c>
      <c r="F49" s="159">
        <f t="shared" si="5"/>
        <v>25456930.078842878</v>
      </c>
      <c r="G49" s="161">
        <f t="shared" si="6"/>
        <v>4974669.0087422952</v>
      </c>
      <c r="H49" s="142">
        <f t="shared" si="7"/>
        <v>4974669.0087422952</v>
      </c>
      <c r="I49" s="156">
        <f t="shared" si="3"/>
        <v>0</v>
      </c>
      <c r="J49" s="156"/>
      <c r="K49" s="334"/>
      <c r="L49" s="158">
        <f t="shared" si="0"/>
        <v>0</v>
      </c>
      <c r="M49" s="334"/>
      <c r="N49" s="158">
        <f t="shared" si="1"/>
        <v>0</v>
      </c>
      <c r="O49" s="158">
        <f t="shared" si="2"/>
        <v>0</v>
      </c>
      <c r="P49" s="4"/>
    </row>
    <row r="50" spans="2:16">
      <c r="B50" s="9" t="str">
        <f t="shared" si="4"/>
        <v/>
      </c>
      <c r="C50" s="153">
        <f>IF(D11="","-",+C49+1)</f>
        <v>2049</v>
      </c>
      <c r="D50" s="159">
        <f>IF(F49+SUM(E$17:E49)=D$10,F49,D$10-SUM(E$17:E49))</f>
        <v>25456930.078842878</v>
      </c>
      <c r="E50" s="160">
        <f>IF(+I14&lt;F49,I14,D50)</f>
        <v>2324574.9069767441</v>
      </c>
      <c r="F50" s="159">
        <f t="shared" si="5"/>
        <v>23132355.171866134</v>
      </c>
      <c r="G50" s="161">
        <f t="shared" ref="G50:G72" si="8">+I$12*((D50+F50)/2)+E50</f>
        <v>4743244.3906967416</v>
      </c>
      <c r="H50" s="142">
        <f t="shared" ref="H50:H72" si="9">+I$13*((D50+F50)/2)+E50</f>
        <v>4743244.3906967416</v>
      </c>
      <c r="I50" s="156">
        <f t="shared" si="3"/>
        <v>0</v>
      </c>
      <c r="J50" s="156"/>
      <c r="K50" s="334"/>
      <c r="L50" s="158">
        <f t="shared" si="0"/>
        <v>0</v>
      </c>
      <c r="M50" s="334"/>
      <c r="N50" s="158">
        <f t="shared" si="1"/>
        <v>0</v>
      </c>
      <c r="O50" s="158">
        <f t="shared" si="2"/>
        <v>0</v>
      </c>
      <c r="P50" s="4"/>
    </row>
    <row r="51" spans="2:16">
      <c r="B51" s="9" t="str">
        <f t="shared" si="4"/>
        <v/>
      </c>
      <c r="C51" s="153">
        <f>IF(D11="","-",+C50+1)</f>
        <v>2050</v>
      </c>
      <c r="D51" s="159">
        <f>IF(F50+SUM(E$17:E50)=D$10,F50,D$10-SUM(E$17:E50))</f>
        <v>23132355.171866134</v>
      </c>
      <c r="E51" s="160">
        <f>IF(+I14&lt;F50,I14,D51)</f>
        <v>2324574.9069767441</v>
      </c>
      <c r="F51" s="159">
        <f t="shared" si="5"/>
        <v>20807780.264889389</v>
      </c>
      <c r="G51" s="161">
        <f t="shared" si="8"/>
        <v>4511819.7726511871</v>
      </c>
      <c r="H51" s="142">
        <f t="shared" si="9"/>
        <v>4511819.7726511871</v>
      </c>
      <c r="I51" s="156">
        <f t="shared" si="3"/>
        <v>0</v>
      </c>
      <c r="J51" s="156"/>
      <c r="K51" s="334"/>
      <c r="L51" s="158">
        <f t="shared" si="0"/>
        <v>0</v>
      </c>
      <c r="M51" s="334"/>
      <c r="N51" s="158">
        <f t="shared" si="1"/>
        <v>0</v>
      </c>
      <c r="O51" s="158">
        <f t="shared" si="2"/>
        <v>0</v>
      </c>
      <c r="P51" s="4"/>
    </row>
    <row r="52" spans="2:16">
      <c r="B52" s="9" t="str">
        <f t="shared" si="4"/>
        <v/>
      </c>
      <c r="C52" s="153">
        <f>IF(D11="","-",+C51+1)</f>
        <v>2051</v>
      </c>
      <c r="D52" s="159">
        <f>IF(F51+SUM(E$17:E51)=D$10,F51,D$10-SUM(E$17:E51))</f>
        <v>20807780.264889389</v>
      </c>
      <c r="E52" s="160">
        <f>IF(+I14&lt;F51,I14,D52)</f>
        <v>2324574.9069767441</v>
      </c>
      <c r="F52" s="159">
        <f t="shared" si="5"/>
        <v>18483205.357912645</v>
      </c>
      <c r="G52" s="161">
        <f t="shared" si="8"/>
        <v>4280395.1546056326</v>
      </c>
      <c r="H52" s="142">
        <f t="shared" si="9"/>
        <v>4280395.1546056326</v>
      </c>
      <c r="I52" s="156">
        <f t="shared" si="3"/>
        <v>0</v>
      </c>
      <c r="J52" s="156"/>
      <c r="K52" s="334"/>
      <c r="L52" s="158">
        <f t="shared" si="0"/>
        <v>0</v>
      </c>
      <c r="M52" s="334"/>
      <c r="N52" s="158">
        <f t="shared" si="1"/>
        <v>0</v>
      </c>
      <c r="O52" s="158">
        <f t="shared" si="2"/>
        <v>0</v>
      </c>
      <c r="P52" s="4"/>
    </row>
    <row r="53" spans="2:16">
      <c r="B53" s="9" t="str">
        <f t="shared" si="4"/>
        <v/>
      </c>
      <c r="C53" s="153">
        <f>IF(D11="","-",+C52+1)</f>
        <v>2052</v>
      </c>
      <c r="D53" s="159">
        <f>IF(F52+SUM(E$17:E52)=D$10,F52,D$10-SUM(E$17:E52))</f>
        <v>18483205.357912645</v>
      </c>
      <c r="E53" s="160">
        <f>IF(+I14&lt;F52,I14,D53)</f>
        <v>2324574.9069767441</v>
      </c>
      <c r="F53" s="159">
        <f t="shared" si="5"/>
        <v>16158630.4509359</v>
      </c>
      <c r="G53" s="161">
        <f t="shared" si="8"/>
        <v>4048970.5365600791</v>
      </c>
      <c r="H53" s="142">
        <f t="shared" si="9"/>
        <v>4048970.5365600791</v>
      </c>
      <c r="I53" s="156">
        <f t="shared" si="3"/>
        <v>0</v>
      </c>
      <c r="J53" s="156"/>
      <c r="K53" s="334"/>
      <c r="L53" s="158">
        <f t="shared" si="0"/>
        <v>0</v>
      </c>
      <c r="M53" s="334"/>
      <c r="N53" s="158">
        <f t="shared" si="1"/>
        <v>0</v>
      </c>
      <c r="O53" s="158">
        <f t="shared" si="2"/>
        <v>0</v>
      </c>
      <c r="P53" s="4"/>
    </row>
    <row r="54" spans="2:16">
      <c r="B54" s="9" t="str">
        <f t="shared" si="4"/>
        <v/>
      </c>
      <c r="C54" s="153">
        <f>IF(D11="","-",+C53+1)</f>
        <v>2053</v>
      </c>
      <c r="D54" s="159">
        <f>IF(F53+SUM(E$17:E53)=D$10,F53,D$10-SUM(E$17:E53))</f>
        <v>16158630.4509359</v>
      </c>
      <c r="E54" s="160">
        <f>IF(+I14&lt;F53,I14,D54)</f>
        <v>2324574.9069767441</v>
      </c>
      <c r="F54" s="159">
        <f t="shared" si="5"/>
        <v>13834055.543959156</v>
      </c>
      <c r="G54" s="161">
        <f t="shared" si="8"/>
        <v>3817545.9185145246</v>
      </c>
      <c r="H54" s="142">
        <f t="shared" si="9"/>
        <v>3817545.9185145246</v>
      </c>
      <c r="I54" s="156">
        <f t="shared" si="3"/>
        <v>0</v>
      </c>
      <c r="J54" s="156"/>
      <c r="K54" s="334"/>
      <c r="L54" s="158">
        <f t="shared" si="0"/>
        <v>0</v>
      </c>
      <c r="M54" s="334"/>
      <c r="N54" s="158">
        <f t="shared" si="1"/>
        <v>0</v>
      </c>
      <c r="O54" s="158">
        <f t="shared" si="2"/>
        <v>0</v>
      </c>
      <c r="P54" s="4"/>
    </row>
    <row r="55" spans="2:16">
      <c r="B55" s="9" t="str">
        <f t="shared" si="4"/>
        <v/>
      </c>
      <c r="C55" s="153">
        <f>IF(D11="","-",+C54+1)</f>
        <v>2054</v>
      </c>
      <c r="D55" s="159">
        <f>IF(F54+SUM(E$17:E54)=D$10,F54,D$10-SUM(E$17:E54))</f>
        <v>13834055.543959156</v>
      </c>
      <c r="E55" s="160">
        <f>IF(+I14&lt;F54,I14,D55)</f>
        <v>2324574.9069767441</v>
      </c>
      <c r="F55" s="159">
        <f t="shared" si="5"/>
        <v>11509480.636982411</v>
      </c>
      <c r="G55" s="161">
        <f t="shared" si="8"/>
        <v>3586121.300468971</v>
      </c>
      <c r="H55" s="142">
        <f t="shared" si="9"/>
        <v>3586121.300468971</v>
      </c>
      <c r="I55" s="156">
        <f t="shared" si="3"/>
        <v>0</v>
      </c>
      <c r="J55" s="156"/>
      <c r="K55" s="334"/>
      <c r="L55" s="158">
        <f t="shared" si="0"/>
        <v>0</v>
      </c>
      <c r="M55" s="334"/>
      <c r="N55" s="158">
        <f t="shared" si="1"/>
        <v>0</v>
      </c>
      <c r="O55" s="158">
        <f t="shared" si="2"/>
        <v>0</v>
      </c>
      <c r="P55" s="4"/>
    </row>
    <row r="56" spans="2:16">
      <c r="B56" s="9" t="str">
        <f t="shared" si="4"/>
        <v/>
      </c>
      <c r="C56" s="153">
        <f>IF(D11="","-",+C55+1)</f>
        <v>2055</v>
      </c>
      <c r="D56" s="159">
        <f>IF(F55+SUM(E$17:E55)=D$10,F55,D$10-SUM(E$17:E55))</f>
        <v>11509480.636982411</v>
      </c>
      <c r="E56" s="160">
        <f>IF(+I14&lt;F55,I14,D56)</f>
        <v>2324574.9069767441</v>
      </c>
      <c r="F56" s="159">
        <f t="shared" si="5"/>
        <v>9184905.7300056666</v>
      </c>
      <c r="G56" s="161">
        <f t="shared" si="8"/>
        <v>3354696.6824234165</v>
      </c>
      <c r="H56" s="142">
        <f t="shared" si="9"/>
        <v>3354696.6824234165</v>
      </c>
      <c r="I56" s="156">
        <f t="shared" si="3"/>
        <v>0</v>
      </c>
      <c r="J56" s="156"/>
      <c r="K56" s="334"/>
      <c r="L56" s="158">
        <f t="shared" si="0"/>
        <v>0</v>
      </c>
      <c r="M56" s="334"/>
      <c r="N56" s="158">
        <f t="shared" si="1"/>
        <v>0</v>
      </c>
      <c r="O56" s="158">
        <f t="shared" si="2"/>
        <v>0</v>
      </c>
      <c r="P56" s="4"/>
    </row>
    <row r="57" spans="2:16">
      <c r="B57" s="9" t="str">
        <f t="shared" si="4"/>
        <v/>
      </c>
      <c r="C57" s="153">
        <f>IF(D11="","-",+C56+1)</f>
        <v>2056</v>
      </c>
      <c r="D57" s="159">
        <f>IF(F56+SUM(E$17:E56)=D$10,F56,D$10-SUM(E$17:E56))</f>
        <v>9184905.7300056666</v>
      </c>
      <c r="E57" s="160">
        <f>IF(+I14&lt;F56,I14,D57)</f>
        <v>2324574.9069767441</v>
      </c>
      <c r="F57" s="159">
        <f t="shared" si="5"/>
        <v>6860330.8230289221</v>
      </c>
      <c r="G57" s="161">
        <f t="shared" si="8"/>
        <v>3123272.064377863</v>
      </c>
      <c r="H57" s="142">
        <f t="shared" si="9"/>
        <v>3123272.064377863</v>
      </c>
      <c r="I57" s="156">
        <f t="shared" si="3"/>
        <v>0</v>
      </c>
      <c r="J57" s="156"/>
      <c r="K57" s="334"/>
      <c r="L57" s="158">
        <f t="shared" si="0"/>
        <v>0</v>
      </c>
      <c r="M57" s="334"/>
      <c r="N57" s="158">
        <f t="shared" si="1"/>
        <v>0</v>
      </c>
      <c r="O57" s="158">
        <f t="shared" si="2"/>
        <v>0</v>
      </c>
      <c r="P57" s="4"/>
    </row>
    <row r="58" spans="2:16">
      <c r="B58" s="9" t="str">
        <f t="shared" si="4"/>
        <v/>
      </c>
      <c r="C58" s="153">
        <f>IF(D11="","-",+C57+1)</f>
        <v>2057</v>
      </c>
      <c r="D58" s="159">
        <f>IF(F57+SUM(E$17:E57)=D$10,F57,D$10-SUM(E$17:E57))</f>
        <v>6860330.8230289221</v>
      </c>
      <c r="E58" s="160">
        <f>IF(+I14&lt;F57,I14,D58)</f>
        <v>2324574.9069767441</v>
      </c>
      <c r="F58" s="159">
        <f t="shared" si="5"/>
        <v>4535755.9160521775</v>
      </c>
      <c r="G58" s="161">
        <f t="shared" si="8"/>
        <v>2891847.4463323085</v>
      </c>
      <c r="H58" s="142">
        <f t="shared" si="9"/>
        <v>2891847.4463323085</v>
      </c>
      <c r="I58" s="156">
        <f t="shared" si="3"/>
        <v>0</v>
      </c>
      <c r="J58" s="156"/>
      <c r="K58" s="334"/>
      <c r="L58" s="158">
        <f t="shared" si="0"/>
        <v>0</v>
      </c>
      <c r="M58" s="334"/>
      <c r="N58" s="158">
        <f t="shared" si="1"/>
        <v>0</v>
      </c>
      <c r="O58" s="158">
        <f t="shared" si="2"/>
        <v>0</v>
      </c>
      <c r="P58" s="4"/>
    </row>
    <row r="59" spans="2:16">
      <c r="B59" s="9" t="str">
        <f t="shared" si="4"/>
        <v/>
      </c>
      <c r="C59" s="153">
        <f>IF(D11="","-",+C58+1)</f>
        <v>2058</v>
      </c>
      <c r="D59" s="159">
        <f>IF(F58+SUM(E$17:E58)=D$10,F58,D$10-SUM(E$17:E58))</f>
        <v>4535755.9160521775</v>
      </c>
      <c r="E59" s="160">
        <f>IF(+I14&lt;F58,I14,D59)</f>
        <v>2324574.9069767441</v>
      </c>
      <c r="F59" s="159">
        <f t="shared" si="5"/>
        <v>2211181.0090754335</v>
      </c>
      <c r="G59" s="161">
        <f t="shared" si="8"/>
        <v>2660422.8282867549</v>
      </c>
      <c r="H59" s="142">
        <f t="shared" si="9"/>
        <v>2660422.8282867549</v>
      </c>
      <c r="I59" s="156">
        <f t="shared" si="3"/>
        <v>0</v>
      </c>
      <c r="J59" s="156"/>
      <c r="K59" s="334"/>
      <c r="L59" s="158">
        <f t="shared" si="0"/>
        <v>0</v>
      </c>
      <c r="M59" s="334"/>
      <c r="N59" s="158">
        <f t="shared" si="1"/>
        <v>0</v>
      </c>
      <c r="O59" s="158">
        <f t="shared" si="2"/>
        <v>0</v>
      </c>
      <c r="P59" s="4"/>
    </row>
    <row r="60" spans="2:16">
      <c r="B60" s="9" t="str">
        <f t="shared" si="4"/>
        <v/>
      </c>
      <c r="C60" s="153">
        <f>IF(D11="","-",+C59+1)</f>
        <v>2059</v>
      </c>
      <c r="D60" s="159">
        <f>IF(F59+SUM(E$17:E59)=D$10,F59,D$10-SUM(E$17:E59))</f>
        <v>2211181.0090754335</v>
      </c>
      <c r="E60" s="160">
        <f>IF(+I14&lt;F59,I14,D60)</f>
        <v>2211181.0090754335</v>
      </c>
      <c r="F60" s="159">
        <f t="shared" si="5"/>
        <v>0</v>
      </c>
      <c r="G60" s="161">
        <f t="shared" si="8"/>
        <v>2321248.8152190503</v>
      </c>
      <c r="H60" s="142">
        <f t="shared" si="9"/>
        <v>2321248.8152190503</v>
      </c>
      <c r="I60" s="156">
        <f t="shared" si="3"/>
        <v>0</v>
      </c>
      <c r="J60" s="156"/>
      <c r="K60" s="334"/>
      <c r="L60" s="158">
        <f t="shared" si="0"/>
        <v>0</v>
      </c>
      <c r="M60" s="334"/>
      <c r="N60" s="158">
        <f t="shared" si="1"/>
        <v>0</v>
      </c>
      <c r="O60" s="158">
        <f t="shared" si="2"/>
        <v>0</v>
      </c>
      <c r="P60" s="4"/>
    </row>
    <row r="61" spans="2:16">
      <c r="B61" s="9" t="str">
        <f t="shared" si="4"/>
        <v/>
      </c>
      <c r="C61" s="153">
        <f>IF(D11="","-",+C60+1)</f>
        <v>2060</v>
      </c>
      <c r="D61" s="159">
        <f>IF(F60+SUM(E$17:E60)=D$10,F60,D$10-SUM(E$17:E60))</f>
        <v>0</v>
      </c>
      <c r="E61" s="160">
        <f>IF(+I14&lt;F60,I14,D61)</f>
        <v>0</v>
      </c>
      <c r="F61" s="159">
        <f t="shared" si="5"/>
        <v>0</v>
      </c>
      <c r="G61" s="163">
        <f t="shared" si="8"/>
        <v>0</v>
      </c>
      <c r="H61" s="142">
        <f t="shared" si="9"/>
        <v>0</v>
      </c>
      <c r="I61" s="156">
        <f t="shared" si="3"/>
        <v>0</v>
      </c>
      <c r="J61" s="156"/>
      <c r="K61" s="334"/>
      <c r="L61" s="158">
        <f t="shared" si="0"/>
        <v>0</v>
      </c>
      <c r="M61" s="334"/>
      <c r="N61" s="158">
        <f t="shared" si="1"/>
        <v>0</v>
      </c>
      <c r="O61" s="158">
        <f t="shared" si="2"/>
        <v>0</v>
      </c>
      <c r="P61" s="4"/>
    </row>
    <row r="62" spans="2:16">
      <c r="B62" s="9" t="str">
        <f t="shared" si="4"/>
        <v/>
      </c>
      <c r="C62" s="153">
        <f>IF(D11="","-",+C61+1)</f>
        <v>2061</v>
      </c>
      <c r="D62" s="159">
        <f>IF(F61+SUM(E$17:E61)=D$10,F61,D$10-SUM(E$17:E61))</f>
        <v>0</v>
      </c>
      <c r="E62" s="160">
        <f>IF(+I14&lt;F61,I14,D62)</f>
        <v>0</v>
      </c>
      <c r="F62" s="159">
        <f t="shared" si="5"/>
        <v>0</v>
      </c>
      <c r="G62" s="163">
        <f t="shared" si="8"/>
        <v>0</v>
      </c>
      <c r="H62" s="142">
        <f t="shared" si="9"/>
        <v>0</v>
      </c>
      <c r="I62" s="156">
        <f t="shared" si="3"/>
        <v>0</v>
      </c>
      <c r="J62" s="156"/>
      <c r="K62" s="334"/>
      <c r="L62" s="158">
        <f t="shared" si="0"/>
        <v>0</v>
      </c>
      <c r="M62" s="334"/>
      <c r="N62" s="158">
        <f t="shared" si="1"/>
        <v>0</v>
      </c>
      <c r="O62" s="158">
        <f t="shared" si="2"/>
        <v>0</v>
      </c>
      <c r="P62" s="4"/>
    </row>
    <row r="63" spans="2:16">
      <c r="B63" s="9" t="str">
        <f t="shared" si="4"/>
        <v/>
      </c>
      <c r="C63" s="153">
        <f>IF(D11="","-",+C62+1)</f>
        <v>2062</v>
      </c>
      <c r="D63" s="159">
        <f>IF(F62+SUM(E$17:E62)=D$10,F62,D$10-SUM(E$17:E62))</f>
        <v>0</v>
      </c>
      <c r="E63" s="160">
        <f>IF(+I14&lt;F62,I14,D63)</f>
        <v>0</v>
      </c>
      <c r="F63" s="159">
        <f t="shared" si="5"/>
        <v>0</v>
      </c>
      <c r="G63" s="163">
        <f t="shared" si="8"/>
        <v>0</v>
      </c>
      <c r="H63" s="142">
        <f t="shared" si="9"/>
        <v>0</v>
      </c>
      <c r="I63" s="156">
        <f t="shared" si="3"/>
        <v>0</v>
      </c>
      <c r="J63" s="156"/>
      <c r="K63" s="334"/>
      <c r="L63" s="158">
        <f t="shared" si="0"/>
        <v>0</v>
      </c>
      <c r="M63" s="334"/>
      <c r="N63" s="158">
        <f t="shared" si="1"/>
        <v>0</v>
      </c>
      <c r="O63" s="158">
        <f t="shared" si="2"/>
        <v>0</v>
      </c>
      <c r="P63" s="4"/>
    </row>
    <row r="64" spans="2:16">
      <c r="B64" s="9" t="str">
        <f t="shared" si="4"/>
        <v/>
      </c>
      <c r="C64" s="153">
        <f>IF(D11="","-",+C63+1)</f>
        <v>2063</v>
      </c>
      <c r="D64" s="159">
        <f>IF(F63+SUM(E$17:E63)=D$10,F63,D$10-SUM(E$17:E63))</f>
        <v>0</v>
      </c>
      <c r="E64" s="160">
        <f>IF(+I14&lt;F63,I14,D64)</f>
        <v>0</v>
      </c>
      <c r="F64" s="159">
        <f t="shared" si="5"/>
        <v>0</v>
      </c>
      <c r="G64" s="163">
        <f t="shared" si="8"/>
        <v>0</v>
      </c>
      <c r="H64" s="142">
        <f t="shared" si="9"/>
        <v>0</v>
      </c>
      <c r="I64" s="156">
        <f t="shared" si="3"/>
        <v>0</v>
      </c>
      <c r="J64" s="156"/>
      <c r="K64" s="334"/>
      <c r="L64" s="158">
        <f t="shared" si="0"/>
        <v>0</v>
      </c>
      <c r="M64" s="334"/>
      <c r="N64" s="158">
        <f t="shared" si="1"/>
        <v>0</v>
      </c>
      <c r="O64" s="158">
        <f t="shared" si="2"/>
        <v>0</v>
      </c>
      <c r="P64" s="4"/>
    </row>
    <row r="65" spans="2:16">
      <c r="B65" s="9" t="str">
        <f t="shared" si="4"/>
        <v/>
      </c>
      <c r="C65" s="153">
        <f>IF(D11="","-",+C64+1)</f>
        <v>2064</v>
      </c>
      <c r="D65" s="159">
        <f>IF(F64+SUM(E$17:E64)=D$10,F64,D$10-SUM(E$17:E64))</f>
        <v>0</v>
      </c>
      <c r="E65" s="160">
        <f>IF(+I14&lt;F64,I14,D65)</f>
        <v>0</v>
      </c>
      <c r="F65" s="159">
        <f t="shared" si="5"/>
        <v>0</v>
      </c>
      <c r="G65" s="163">
        <f t="shared" si="8"/>
        <v>0</v>
      </c>
      <c r="H65" s="142">
        <f t="shared" si="9"/>
        <v>0</v>
      </c>
      <c r="I65" s="156">
        <f t="shared" si="3"/>
        <v>0</v>
      </c>
      <c r="J65" s="156"/>
      <c r="K65" s="334"/>
      <c r="L65" s="158">
        <f t="shared" si="0"/>
        <v>0</v>
      </c>
      <c r="M65" s="334"/>
      <c r="N65" s="158">
        <f t="shared" si="1"/>
        <v>0</v>
      </c>
      <c r="O65" s="158">
        <f t="shared" si="2"/>
        <v>0</v>
      </c>
      <c r="P65" s="4"/>
    </row>
    <row r="66" spans="2:16">
      <c r="B66" s="9" t="str">
        <f t="shared" si="4"/>
        <v/>
      </c>
      <c r="C66" s="153">
        <f>IF(D11="","-",+C65+1)</f>
        <v>2065</v>
      </c>
      <c r="D66" s="159">
        <f>IF(F65+SUM(E$17:E65)=D$10,F65,D$10-SUM(E$17:E65))</f>
        <v>0</v>
      </c>
      <c r="E66" s="160">
        <f>IF(+I14&lt;F65,I14,D66)</f>
        <v>0</v>
      </c>
      <c r="F66" s="159">
        <f t="shared" si="5"/>
        <v>0</v>
      </c>
      <c r="G66" s="163">
        <f t="shared" si="8"/>
        <v>0</v>
      </c>
      <c r="H66" s="142">
        <f t="shared" si="9"/>
        <v>0</v>
      </c>
      <c r="I66" s="156">
        <f t="shared" si="3"/>
        <v>0</v>
      </c>
      <c r="J66" s="156"/>
      <c r="K66" s="334"/>
      <c r="L66" s="158">
        <f t="shared" si="0"/>
        <v>0</v>
      </c>
      <c r="M66" s="334"/>
      <c r="N66" s="158">
        <f t="shared" si="1"/>
        <v>0</v>
      </c>
      <c r="O66" s="158">
        <f t="shared" si="2"/>
        <v>0</v>
      </c>
      <c r="P66" s="4"/>
    </row>
    <row r="67" spans="2:16">
      <c r="B67" s="9" t="str">
        <f t="shared" si="4"/>
        <v/>
      </c>
      <c r="C67" s="153">
        <f>IF(D11="","-",+C66+1)</f>
        <v>2066</v>
      </c>
      <c r="D67" s="159">
        <f>IF(F66+SUM(E$17:E66)=D$10,F66,D$10-SUM(E$17:E66))</f>
        <v>0</v>
      </c>
      <c r="E67" s="160">
        <f>IF(+I14&lt;F66,I14,D67)</f>
        <v>0</v>
      </c>
      <c r="F67" s="159">
        <f t="shared" si="5"/>
        <v>0</v>
      </c>
      <c r="G67" s="163">
        <f t="shared" si="8"/>
        <v>0</v>
      </c>
      <c r="H67" s="142">
        <f t="shared" si="9"/>
        <v>0</v>
      </c>
      <c r="I67" s="156">
        <f t="shared" si="3"/>
        <v>0</v>
      </c>
      <c r="J67" s="156"/>
      <c r="K67" s="334"/>
      <c r="L67" s="158">
        <f t="shared" si="0"/>
        <v>0</v>
      </c>
      <c r="M67" s="334"/>
      <c r="N67" s="158">
        <f t="shared" si="1"/>
        <v>0</v>
      </c>
      <c r="O67" s="158">
        <f t="shared" si="2"/>
        <v>0</v>
      </c>
      <c r="P67" s="4"/>
    </row>
    <row r="68" spans="2:16">
      <c r="B68" s="9" t="str">
        <f t="shared" si="4"/>
        <v/>
      </c>
      <c r="C68" s="153">
        <f>IF(D11="","-",+C67+1)</f>
        <v>2067</v>
      </c>
      <c r="D68" s="159">
        <f>IF(F67+SUM(E$17:E67)=D$10,F67,D$10-SUM(E$17:E67))</f>
        <v>0</v>
      </c>
      <c r="E68" s="160">
        <f>IF(+I14&lt;F67,I14,D68)</f>
        <v>0</v>
      </c>
      <c r="F68" s="159">
        <f t="shared" si="5"/>
        <v>0</v>
      </c>
      <c r="G68" s="163">
        <f t="shared" si="8"/>
        <v>0</v>
      </c>
      <c r="H68" s="142">
        <f t="shared" si="9"/>
        <v>0</v>
      </c>
      <c r="I68" s="156">
        <f t="shared" si="3"/>
        <v>0</v>
      </c>
      <c r="J68" s="156"/>
      <c r="K68" s="334"/>
      <c r="L68" s="158">
        <f t="shared" si="0"/>
        <v>0</v>
      </c>
      <c r="M68" s="334"/>
      <c r="N68" s="158">
        <f t="shared" si="1"/>
        <v>0</v>
      </c>
      <c r="O68" s="158">
        <f t="shared" si="2"/>
        <v>0</v>
      </c>
      <c r="P68" s="4"/>
    </row>
    <row r="69" spans="2:16">
      <c r="B69" s="9" t="str">
        <f t="shared" si="4"/>
        <v/>
      </c>
      <c r="C69" s="153">
        <f>IF(D11="","-",+C68+1)</f>
        <v>2068</v>
      </c>
      <c r="D69" s="159">
        <f>IF(F68+SUM(E$17:E68)=D$10,F68,D$10-SUM(E$17:E68))</f>
        <v>0</v>
      </c>
      <c r="E69" s="160">
        <f>IF(+I14&lt;F68,I14,D69)</f>
        <v>0</v>
      </c>
      <c r="F69" s="159">
        <f t="shared" si="5"/>
        <v>0</v>
      </c>
      <c r="G69" s="163">
        <f t="shared" si="8"/>
        <v>0</v>
      </c>
      <c r="H69" s="142">
        <f t="shared" si="9"/>
        <v>0</v>
      </c>
      <c r="I69" s="156">
        <f t="shared" si="3"/>
        <v>0</v>
      </c>
      <c r="J69" s="156"/>
      <c r="K69" s="334"/>
      <c r="L69" s="158">
        <f t="shared" si="0"/>
        <v>0</v>
      </c>
      <c r="M69" s="334"/>
      <c r="N69" s="158">
        <f t="shared" si="1"/>
        <v>0</v>
      </c>
      <c r="O69" s="158">
        <f t="shared" si="2"/>
        <v>0</v>
      </c>
      <c r="P69" s="4"/>
    </row>
    <row r="70" spans="2:16">
      <c r="B70" s="9" t="str">
        <f t="shared" si="4"/>
        <v/>
      </c>
      <c r="C70" s="153">
        <f>IF(D11="","-",+C69+1)</f>
        <v>2069</v>
      </c>
      <c r="D70" s="159">
        <f>IF(F69+SUM(E$17:E69)=D$10,F69,D$10-SUM(E$17:E69))</f>
        <v>0</v>
      </c>
      <c r="E70" s="160">
        <f>IF(+I14&lt;F69,I14,D70)</f>
        <v>0</v>
      </c>
      <c r="F70" s="159">
        <f t="shared" si="5"/>
        <v>0</v>
      </c>
      <c r="G70" s="163">
        <f t="shared" si="8"/>
        <v>0</v>
      </c>
      <c r="H70" s="142">
        <f t="shared" si="9"/>
        <v>0</v>
      </c>
      <c r="I70" s="156">
        <f t="shared" si="3"/>
        <v>0</v>
      </c>
      <c r="J70" s="156"/>
      <c r="K70" s="334"/>
      <c r="L70" s="158">
        <f t="shared" si="0"/>
        <v>0</v>
      </c>
      <c r="M70" s="334"/>
      <c r="N70" s="158">
        <f t="shared" si="1"/>
        <v>0</v>
      </c>
      <c r="O70" s="158">
        <f t="shared" si="2"/>
        <v>0</v>
      </c>
      <c r="P70" s="4"/>
    </row>
    <row r="71" spans="2:16">
      <c r="B71" s="9" t="str">
        <f t="shared" si="4"/>
        <v/>
      </c>
      <c r="C71" s="153">
        <f>IF(D11="","-",+C70+1)</f>
        <v>2070</v>
      </c>
      <c r="D71" s="159">
        <f>IF(F70+SUM(E$17:E70)=D$10,F70,D$10-SUM(E$17:E70))</f>
        <v>0</v>
      </c>
      <c r="E71" s="160">
        <f>IF(+I14&lt;F70,I14,D71)</f>
        <v>0</v>
      </c>
      <c r="F71" s="159">
        <f t="shared" si="5"/>
        <v>0</v>
      </c>
      <c r="G71" s="163">
        <f t="shared" si="8"/>
        <v>0</v>
      </c>
      <c r="H71" s="142">
        <f t="shared" si="9"/>
        <v>0</v>
      </c>
      <c r="I71" s="156">
        <f t="shared" si="3"/>
        <v>0</v>
      </c>
      <c r="J71" s="156"/>
      <c r="K71" s="334"/>
      <c r="L71" s="158">
        <f t="shared" si="0"/>
        <v>0</v>
      </c>
      <c r="M71" s="334"/>
      <c r="N71" s="158">
        <f t="shared" si="1"/>
        <v>0</v>
      </c>
      <c r="O71" s="158">
        <f t="shared" si="2"/>
        <v>0</v>
      </c>
      <c r="P71" s="4"/>
    </row>
    <row r="72" spans="2:16" ht="13.5" thickBot="1">
      <c r="B72" s="9" t="str">
        <f t="shared" si="4"/>
        <v/>
      </c>
      <c r="C72" s="164">
        <f>IF(D11="","-",+C71+1)</f>
        <v>2071</v>
      </c>
      <c r="D72" s="165">
        <f>IF(F71+SUM(E$17:E71)=D$10,F71,D$10-SUM(E$17:E71))</f>
        <v>0</v>
      </c>
      <c r="E72" s="166">
        <f>IF(+I14&lt;F71,I14,D72)</f>
        <v>0</v>
      </c>
      <c r="F72" s="165">
        <f t="shared" si="5"/>
        <v>0</v>
      </c>
      <c r="G72" s="167">
        <f t="shared" si="8"/>
        <v>0</v>
      </c>
      <c r="H72" s="124">
        <f t="shared" si="9"/>
        <v>0</v>
      </c>
      <c r="I72" s="168">
        <f t="shared" si="3"/>
        <v>0</v>
      </c>
      <c r="J72" s="156"/>
      <c r="K72" s="335"/>
      <c r="L72" s="169">
        <f t="shared" si="0"/>
        <v>0</v>
      </c>
      <c r="M72" s="335"/>
      <c r="N72" s="169">
        <f t="shared" si="1"/>
        <v>0</v>
      </c>
      <c r="O72" s="169">
        <f t="shared" si="2"/>
        <v>0</v>
      </c>
      <c r="P72" s="4"/>
    </row>
    <row r="73" spans="2:16">
      <c r="C73" s="154" t="s">
        <v>73</v>
      </c>
      <c r="D73" s="111"/>
      <c r="E73" s="111">
        <f>SUM(E17:E72)</f>
        <v>99956721</v>
      </c>
      <c r="F73" s="111"/>
      <c r="G73" s="111">
        <f>SUM(G17:G72)</f>
        <v>317038910.84643513</v>
      </c>
      <c r="H73" s="111">
        <f>SUM(H17:H72)</f>
        <v>317038910.84643513</v>
      </c>
      <c r="I73" s="111">
        <f>SUM(I17:I72)</f>
        <v>0</v>
      </c>
      <c r="J73" s="111"/>
      <c r="K73" s="111"/>
      <c r="L73" s="111"/>
      <c r="M73" s="111"/>
      <c r="N73" s="111"/>
      <c r="O73" s="4"/>
      <c r="P73" s="4"/>
    </row>
    <row r="74" spans="2:16">
      <c r="D74" s="2"/>
      <c r="E74" s="1"/>
      <c r="F74" s="1"/>
      <c r="G74" s="1"/>
      <c r="H74" s="3"/>
      <c r="I74" s="3"/>
      <c r="J74" s="111"/>
      <c r="K74" s="3"/>
      <c r="L74" s="3"/>
      <c r="M74" s="3"/>
      <c r="N74" s="3"/>
      <c r="O74" s="1"/>
      <c r="P74" s="1"/>
    </row>
    <row r="75" spans="2:16">
      <c r="C75" s="170" t="s">
        <v>91</v>
      </c>
      <c r="D75" s="2"/>
      <c r="E75" s="1"/>
      <c r="F75" s="1"/>
      <c r="G75" s="1"/>
      <c r="H75" s="3"/>
      <c r="I75" s="3"/>
      <c r="J75" s="111"/>
      <c r="K75" s="3"/>
      <c r="L75" s="3"/>
      <c r="M75" s="3"/>
      <c r="N75" s="3"/>
      <c r="O75" s="1"/>
      <c r="P75" s="1"/>
    </row>
    <row r="76" spans="2:16">
      <c r="C76" s="121" t="s">
        <v>74</v>
      </c>
      <c r="D76" s="2"/>
      <c r="E76" s="1"/>
      <c r="F76" s="1"/>
      <c r="G76" s="1"/>
      <c r="H76" s="3"/>
      <c r="I76" s="3"/>
      <c r="J76" s="111"/>
      <c r="K76" s="3"/>
      <c r="L76" s="3"/>
      <c r="M76" s="3"/>
      <c r="N76" s="3"/>
      <c r="O76" s="4"/>
      <c r="P76" s="4"/>
    </row>
    <row r="77" spans="2:16">
      <c r="C77" s="121" t="s">
        <v>75</v>
      </c>
      <c r="D77" s="154"/>
      <c r="E77" s="154"/>
      <c r="F77" s="154"/>
      <c r="G77" s="111"/>
      <c r="H77" s="111"/>
      <c r="I77" s="171"/>
      <c r="J77" s="171"/>
      <c r="K77" s="171"/>
      <c r="L77" s="171"/>
      <c r="M77" s="171"/>
      <c r="N77" s="171"/>
      <c r="O77" s="4"/>
      <c r="P77" s="4"/>
    </row>
    <row r="78" spans="2:16">
      <c r="C78" s="121"/>
      <c r="D78" s="154"/>
      <c r="E78" s="154"/>
      <c r="F78" s="154"/>
      <c r="G78" s="111"/>
      <c r="H78" s="111"/>
      <c r="I78" s="171"/>
      <c r="J78" s="171"/>
      <c r="K78" s="171"/>
      <c r="L78" s="171"/>
      <c r="M78" s="171"/>
      <c r="N78" s="171"/>
      <c r="O78" s="4"/>
      <c r="P78" s="1"/>
    </row>
    <row r="79" spans="2:16">
      <c r="B79" s="1"/>
      <c r="C79" s="21"/>
      <c r="D79" s="2"/>
      <c r="E79" s="1"/>
      <c r="F79" s="107"/>
      <c r="G79" s="1"/>
      <c r="H79" s="3"/>
      <c r="I79" s="1"/>
      <c r="J79" s="4"/>
      <c r="K79" s="1"/>
      <c r="L79" s="1"/>
      <c r="M79" s="1"/>
      <c r="N79" s="1"/>
      <c r="O79" s="1"/>
      <c r="P79" s="1"/>
    </row>
    <row r="80" spans="2:16" ht="18">
      <c r="B80" s="1"/>
      <c r="C80" s="242"/>
      <c r="D80" s="2"/>
      <c r="E80" s="1"/>
      <c r="F80" s="107"/>
      <c r="G80" s="1"/>
      <c r="H80" s="3"/>
      <c r="I80" s="1"/>
      <c r="J80" s="4"/>
      <c r="K80" s="1"/>
      <c r="L80" s="1"/>
      <c r="M80" s="1"/>
      <c r="N80" s="1"/>
      <c r="P80" s="244" t="s">
        <v>125</v>
      </c>
    </row>
    <row r="81" spans="1:16">
      <c r="B81" s="1"/>
      <c r="C81" s="21"/>
      <c r="D81" s="2"/>
      <c r="E81" s="1"/>
      <c r="F81" s="107"/>
      <c r="G81" s="1"/>
      <c r="H81" s="3"/>
      <c r="I81" s="1"/>
      <c r="J81" s="4"/>
      <c r="K81" s="1"/>
      <c r="L81" s="1"/>
      <c r="M81" s="1"/>
      <c r="N81" s="1"/>
      <c r="O81" s="1"/>
      <c r="P81" s="1"/>
    </row>
    <row r="82" spans="1:16">
      <c r="B82" s="1"/>
      <c r="C82" s="21"/>
      <c r="D82" s="2"/>
      <c r="E82" s="1"/>
      <c r="F82" s="107"/>
      <c r="G82" s="1"/>
      <c r="H82" s="3"/>
      <c r="I82" s="1"/>
      <c r="J82" s="4"/>
      <c r="K82" s="1"/>
      <c r="L82" s="1"/>
      <c r="M82" s="1"/>
      <c r="N82" s="1"/>
      <c r="O82" s="1"/>
      <c r="P82" s="1"/>
    </row>
    <row r="83" spans="1:16" ht="20.25">
      <c r="A83" s="243" t="s">
        <v>129</v>
      </c>
      <c r="B83" s="1"/>
      <c r="C83" s="21"/>
      <c r="D83" s="2"/>
      <c r="E83" s="1"/>
      <c r="F83" s="99"/>
      <c r="G83" s="99"/>
      <c r="H83" s="1"/>
      <c r="I83" s="3"/>
      <c r="K83" s="7"/>
      <c r="L83" s="109"/>
      <c r="M83" s="109"/>
      <c r="P83" s="109" t="str">
        <f ca="1">P1</f>
        <v>SWEPCO Project 60 of 73</v>
      </c>
    </row>
    <row r="84" spans="1:16" ht="18">
      <c r="B84" s="1"/>
      <c r="C84" s="1"/>
      <c r="D84" s="2"/>
      <c r="E84" s="1"/>
      <c r="F84" s="1"/>
      <c r="G84" s="1"/>
      <c r="H84" s="1"/>
      <c r="I84" s="3"/>
      <c r="J84" s="1"/>
      <c r="K84" s="4"/>
      <c r="L84" s="1"/>
      <c r="M84" s="1"/>
      <c r="P84" s="244" t="s">
        <v>123</v>
      </c>
    </row>
    <row r="85" spans="1:16" ht="18.75" thickBot="1">
      <c r="B85" s="5" t="s">
        <v>40</v>
      </c>
      <c r="C85" s="197" t="s">
        <v>78</v>
      </c>
      <c r="D85" s="2"/>
      <c r="E85" s="1"/>
      <c r="F85" s="1"/>
      <c r="G85" s="1"/>
      <c r="H85" s="1"/>
      <c r="I85" s="3"/>
      <c r="J85" s="3"/>
      <c r="K85" s="111"/>
      <c r="L85" s="3"/>
      <c r="M85" s="3"/>
      <c r="N85" s="3"/>
      <c r="O85" s="111"/>
      <c r="P85" s="1"/>
    </row>
    <row r="86" spans="1:16" ht="15.75" thickBot="1">
      <c r="C86" s="67"/>
      <c r="D86" s="2"/>
      <c r="E86" s="1"/>
      <c r="F86" s="1"/>
      <c r="G86" s="1"/>
      <c r="H86" s="1"/>
      <c r="I86" s="3"/>
      <c r="J86" s="3"/>
      <c r="K86" s="111"/>
      <c r="L86" s="265">
        <f>+J92</f>
        <v>2017</v>
      </c>
      <c r="M86" s="266" t="s">
        <v>7</v>
      </c>
      <c r="N86" s="270" t="s">
        <v>154</v>
      </c>
      <c r="O86" s="267" t="s">
        <v>9</v>
      </c>
      <c r="P86" s="1"/>
    </row>
    <row r="87" spans="1:16" ht="15">
      <c r="C87" s="235" t="s">
        <v>42</v>
      </c>
      <c r="D87" s="2"/>
      <c r="E87" s="1"/>
      <c r="F87" s="1"/>
      <c r="G87" s="1"/>
      <c r="H87" s="113"/>
      <c r="I87" s="1" t="s">
        <v>43</v>
      </c>
      <c r="J87" s="1"/>
      <c r="K87" s="261"/>
      <c r="L87" s="259" t="s">
        <v>381</v>
      </c>
      <c r="M87" s="198">
        <f>IF(J92&lt;D11,0,VLOOKUP(J92,C17:O72,9))</f>
        <v>14564467.586252602</v>
      </c>
      <c r="N87" s="198">
        <f>IF(J92&lt;D11,0,VLOOKUP(J92,C17:O72,11))</f>
        <v>14564467.586252602</v>
      </c>
      <c r="O87" s="199">
        <f>+N87-M87</f>
        <v>0</v>
      </c>
      <c r="P87" s="1"/>
    </row>
    <row r="88" spans="1:16" ht="15.75">
      <c r="C88" s="8"/>
      <c r="D88" s="2"/>
      <c r="E88" s="1"/>
      <c r="F88" s="1"/>
      <c r="G88" s="1"/>
      <c r="H88" s="1"/>
      <c r="I88" s="117"/>
      <c r="J88" s="117"/>
      <c r="K88" s="263"/>
      <c r="L88" s="264" t="s">
        <v>382</v>
      </c>
      <c r="M88" s="200">
        <f>IF(J92&lt;D11,0,VLOOKUP(J92,C99:P154,6))</f>
        <v>13987145.75171851</v>
      </c>
      <c r="N88" s="200">
        <f>IF(J92&lt;D11,0,VLOOKUP(J92,C99:P154,7))</f>
        <v>13987145.75171851</v>
      </c>
      <c r="O88" s="201">
        <f>+N88-M88</f>
        <v>0</v>
      </c>
      <c r="P88" s="1"/>
    </row>
    <row r="89" spans="1:16" ht="13.5" thickBot="1">
      <c r="C89" s="121" t="s">
        <v>79</v>
      </c>
      <c r="D89" s="246" t="str">
        <f>+D7</f>
        <v>Valliant-NW Texarkana 345 kV</v>
      </c>
      <c r="E89" s="1"/>
      <c r="F89" s="1"/>
      <c r="G89" s="1"/>
      <c r="H89" s="1"/>
      <c r="I89" s="3"/>
      <c r="J89" s="3"/>
      <c r="K89" s="262"/>
      <c r="L89" s="260" t="s">
        <v>151</v>
      </c>
      <c r="M89" s="203">
        <f>+M88-M87</f>
        <v>-577321.83453409187</v>
      </c>
      <c r="N89" s="203">
        <f>+N88-N87</f>
        <v>-577321.83453409187</v>
      </c>
      <c r="O89" s="204">
        <f>+O88-O87</f>
        <v>0</v>
      </c>
      <c r="P89" s="1"/>
    </row>
    <row r="90" spans="1:16" ht="13.5" thickBot="1">
      <c r="C90" s="170"/>
      <c r="D90" s="173" t="str">
        <f>D8</f>
        <v/>
      </c>
      <c r="E90" s="107"/>
      <c r="F90" s="107"/>
      <c r="G90" s="107"/>
      <c r="H90" s="126"/>
      <c r="I90" s="3"/>
      <c r="J90" s="3"/>
      <c r="K90" s="111"/>
      <c r="L90" s="3"/>
      <c r="M90" s="3"/>
      <c r="N90" s="3"/>
      <c r="O90" s="111"/>
      <c r="P90" s="1"/>
    </row>
    <row r="91" spans="1:16" ht="13.5" thickBot="1">
      <c r="A91" s="103"/>
      <c r="C91" s="205" t="s">
        <v>80</v>
      </c>
      <c r="D91" s="224" t="str">
        <f>+D9</f>
        <v>TP______</v>
      </c>
      <c r="E91" s="206"/>
      <c r="F91" s="206"/>
      <c r="G91" s="206"/>
      <c r="H91" s="206"/>
      <c r="I91" s="206"/>
      <c r="J91" s="206"/>
      <c r="K91" s="207"/>
      <c r="P91" s="131"/>
    </row>
    <row r="92" spans="1:16">
      <c r="C92" s="136" t="s">
        <v>47</v>
      </c>
      <c r="D92" s="133">
        <v>97244455</v>
      </c>
      <c r="E92" s="21" t="s">
        <v>81</v>
      </c>
      <c r="H92" s="134"/>
      <c r="I92" s="134"/>
      <c r="J92" s="135">
        <f>+'SWE.WS.G.BPU.ATRR.True-up'!M15</f>
        <v>2017</v>
      </c>
      <c r="K92" s="130"/>
      <c r="L92" s="111" t="s">
        <v>82</v>
      </c>
      <c r="P92" s="4"/>
    </row>
    <row r="93" spans="1:16">
      <c r="C93" s="136" t="s">
        <v>49</v>
      </c>
      <c r="D93" s="219">
        <f>IF(D11=I10,"",D11)</f>
        <v>2016</v>
      </c>
      <c r="E93" s="136" t="s">
        <v>50</v>
      </c>
      <c r="F93" s="134"/>
      <c r="G93" s="134"/>
      <c r="J93" s="138">
        <f>IF(H87="",0,'SWE.WS.G.BPU.ATRR.True-up'!$F$12)</f>
        <v>0</v>
      </c>
      <c r="K93" s="139"/>
      <c r="L93" t="str">
        <f>"          INPUT TRUE-UP ARR (WITH &amp; WITHOUT INCENTIVES) FROM EACH PRIOR YEAR"</f>
        <v xml:space="preserve">          INPUT TRUE-UP ARR (WITH &amp; WITHOUT INCENTIVES) FROM EACH PRIOR YEAR</v>
      </c>
      <c r="P93" s="4"/>
    </row>
    <row r="94" spans="1:16">
      <c r="C94" s="136" t="s">
        <v>51</v>
      </c>
      <c r="D94" s="218">
        <f>IF(D11=I10,"",D12)</f>
        <v>12</v>
      </c>
      <c r="E94" s="136" t="s">
        <v>52</v>
      </c>
      <c r="F94" s="134"/>
      <c r="G94" s="134"/>
      <c r="J94" s="140">
        <f>'SWE.WS.G.BPU.ATRR.True-up'!$F$80</f>
        <v>0.12147145768398206</v>
      </c>
      <c r="K94" s="141"/>
      <c r="L94" t="s">
        <v>83</v>
      </c>
      <c r="P94" s="4"/>
    </row>
    <row r="95" spans="1:16">
      <c r="C95" s="136" t="s">
        <v>54</v>
      </c>
      <c r="D95" s="138">
        <f>'SWE.WS.G.BPU.ATRR.True-up'!F$92</f>
        <v>42</v>
      </c>
      <c r="E95" s="136" t="s">
        <v>55</v>
      </c>
      <c r="F95" s="134"/>
      <c r="G95" s="134"/>
      <c r="J95" s="140">
        <f>IF(H87="",J94,'SWE.WS.G.BPU.ATRR.True-up'!$F$79)</f>
        <v>0.12147145768398206</v>
      </c>
      <c r="K95" s="58"/>
      <c r="L95" s="111" t="s">
        <v>56</v>
      </c>
      <c r="M95" s="58"/>
      <c r="N95" s="58"/>
      <c r="O95" s="58"/>
      <c r="P95" s="4"/>
    </row>
    <row r="96" spans="1:16" ht="13.5" thickBot="1">
      <c r="C96" s="136" t="s">
        <v>57</v>
      </c>
      <c r="D96" s="220" t="str">
        <f>+D14</f>
        <v>No</v>
      </c>
      <c r="E96" s="202" t="s">
        <v>59</v>
      </c>
      <c r="F96" s="208"/>
      <c r="G96" s="208"/>
      <c r="H96" s="209"/>
      <c r="I96" s="209"/>
      <c r="J96" s="124">
        <f>IF(D92=0,0,D92/D95)</f>
        <v>2315344.1666666665</v>
      </c>
      <c r="K96" s="111"/>
      <c r="L96" s="111"/>
      <c r="M96" s="111"/>
      <c r="N96" s="111"/>
      <c r="O96" s="111"/>
      <c r="P96" s="4"/>
    </row>
    <row r="97" spans="1:16" ht="38.25">
      <c r="A97" s="6"/>
      <c r="B97" s="6"/>
      <c r="C97" s="210" t="s">
        <v>47</v>
      </c>
      <c r="D97" s="211" t="s">
        <v>60</v>
      </c>
      <c r="E97" s="146" t="s">
        <v>61</v>
      </c>
      <c r="F97" s="146" t="s">
        <v>62</v>
      </c>
      <c r="G97" s="144" t="s">
        <v>84</v>
      </c>
      <c r="H97" s="434" t="s">
        <v>378</v>
      </c>
      <c r="I97" s="435" t="s">
        <v>379</v>
      </c>
      <c r="J97" s="210" t="s">
        <v>85</v>
      </c>
      <c r="K97" s="212"/>
      <c r="L97" s="271" t="s">
        <v>220</v>
      </c>
      <c r="M97" s="146" t="s">
        <v>86</v>
      </c>
      <c r="N97" s="271" t="s">
        <v>220</v>
      </c>
      <c r="O97" s="146" t="s">
        <v>86</v>
      </c>
      <c r="P97" s="146" t="s">
        <v>65</v>
      </c>
    </row>
    <row r="98" spans="1:16" ht="13.5" thickBot="1">
      <c r="C98" s="147" t="s">
        <v>66</v>
      </c>
      <c r="D98" s="213" t="s">
        <v>67</v>
      </c>
      <c r="E98" s="147" t="s">
        <v>68</v>
      </c>
      <c r="F98" s="147" t="s">
        <v>67</v>
      </c>
      <c r="G98" s="147" t="s">
        <v>67</v>
      </c>
      <c r="H98" s="407" t="s">
        <v>69</v>
      </c>
      <c r="I98" s="148" t="s">
        <v>70</v>
      </c>
      <c r="J98" s="149" t="s">
        <v>89</v>
      </c>
      <c r="K98" s="150"/>
      <c r="L98" s="151" t="s">
        <v>72</v>
      </c>
      <c r="M98" s="151" t="s">
        <v>72</v>
      </c>
      <c r="N98" s="151" t="s">
        <v>90</v>
      </c>
      <c r="O98" s="151" t="s">
        <v>90</v>
      </c>
      <c r="P98" s="151" t="s">
        <v>90</v>
      </c>
    </row>
    <row r="99" spans="1:16">
      <c r="C99" s="153">
        <f>IF(D93= "","-",D93)</f>
        <v>2016</v>
      </c>
      <c r="D99" s="387">
        <v>0</v>
      </c>
      <c r="E99" s="390">
        <v>0</v>
      </c>
      <c r="F99" s="389">
        <v>94208721</v>
      </c>
      <c r="G99" s="455">
        <v>47104360.5</v>
      </c>
      <c r="H99" s="456">
        <v>5979898.0138057787</v>
      </c>
      <c r="I99" s="457">
        <v>5979898.0138057787</v>
      </c>
      <c r="J99" s="458">
        <v>0</v>
      </c>
      <c r="K99" s="158"/>
      <c r="L99" s="256">
        <f>+H99</f>
        <v>5979898.0138057787</v>
      </c>
      <c r="M99" s="172">
        <f>IF(L99&lt;&gt;0,+H99-L99,0)</f>
        <v>0</v>
      </c>
      <c r="N99" s="256">
        <f>+I99</f>
        <v>5979898.0138057787</v>
      </c>
      <c r="O99" s="172">
        <f>IF(N99&lt;&gt;0,+I99-N99,0)</f>
        <v>0</v>
      </c>
      <c r="P99" s="172">
        <f>+O99-M99</f>
        <v>0</v>
      </c>
    </row>
    <row r="100" spans="1:16">
      <c r="B100" s="9" t="str">
        <f>IF(D100=F99,"","IU")</f>
        <v>IU</v>
      </c>
      <c r="C100" s="153">
        <f>IF(D93="","-",+C99+1)</f>
        <v>2017</v>
      </c>
      <c r="D100" s="154">
        <f>IF(F99+SUM(E$99:E99)=D$92,F99,D$92-SUM(E$99:E99))</f>
        <v>97244455</v>
      </c>
      <c r="E100" s="160">
        <f>IF(+J96&lt;F99,J96,D100)</f>
        <v>2315344.1666666665</v>
      </c>
      <c r="F100" s="159">
        <f t="shared" ref="F100:F130" si="10">+D100-E100</f>
        <v>94929110.833333328</v>
      </c>
      <c r="G100" s="159">
        <f t="shared" ref="G100:G130" si="11">+(F100+D100)/2</f>
        <v>96086782.916666657</v>
      </c>
      <c r="H100" s="163">
        <f t="shared" ref="H100:H154" si="12">+J$94*G100+E100</f>
        <v>13987145.75171851</v>
      </c>
      <c r="I100" s="253">
        <f t="shared" ref="I100:I154" si="13">+J$95*G100+E100</f>
        <v>13987145.75171851</v>
      </c>
      <c r="J100" s="158">
        <f t="shared" ref="J100:J130" si="14">+I100-H100</f>
        <v>0</v>
      </c>
      <c r="K100" s="158"/>
      <c r="L100" s="334"/>
      <c r="M100" s="158">
        <f t="shared" ref="M100:M130" si="15">IF(L100&lt;&gt;0,+H100-L100,0)</f>
        <v>0</v>
      </c>
      <c r="N100" s="334"/>
      <c r="O100" s="158">
        <f t="shared" ref="O100:O130" si="16">IF(N100&lt;&gt;0,+I100-N100,0)</f>
        <v>0</v>
      </c>
      <c r="P100" s="158">
        <f t="shared" ref="P100:P130" si="17">+O100-M100</f>
        <v>0</v>
      </c>
    </row>
    <row r="101" spans="1:16">
      <c r="B101" s="9" t="str">
        <f t="shared" ref="B101:B154" si="18">IF(D101=F100,"","IU")</f>
        <v/>
      </c>
      <c r="C101" s="153">
        <f>IF(D93="","-",+C100+1)</f>
        <v>2018</v>
      </c>
      <c r="D101" s="154">
        <f>IF(F100+SUM(E$99:E100)=D$92,F100,D$92-SUM(E$99:E100))</f>
        <v>94929110.833333328</v>
      </c>
      <c r="E101" s="160">
        <f>IF(+J96&lt;F100,J96,D101)</f>
        <v>2315344.1666666665</v>
      </c>
      <c r="F101" s="159">
        <f t="shared" si="10"/>
        <v>92613766.666666657</v>
      </c>
      <c r="G101" s="159">
        <f t="shared" si="11"/>
        <v>93771438.75</v>
      </c>
      <c r="H101" s="163">
        <f t="shared" si="12"/>
        <v>13705897.520753406</v>
      </c>
      <c r="I101" s="253">
        <f t="shared" si="13"/>
        <v>13705897.520753406</v>
      </c>
      <c r="J101" s="158">
        <f t="shared" si="14"/>
        <v>0</v>
      </c>
      <c r="K101" s="158"/>
      <c r="L101" s="334"/>
      <c r="M101" s="158">
        <f t="shared" si="15"/>
        <v>0</v>
      </c>
      <c r="N101" s="334"/>
      <c r="O101" s="158">
        <f t="shared" si="16"/>
        <v>0</v>
      </c>
      <c r="P101" s="158">
        <f t="shared" si="17"/>
        <v>0</v>
      </c>
    </row>
    <row r="102" spans="1:16">
      <c r="B102" s="9" t="str">
        <f t="shared" si="18"/>
        <v/>
      </c>
      <c r="C102" s="153">
        <f>IF(D93="","-",+C101+1)</f>
        <v>2019</v>
      </c>
      <c r="D102" s="154">
        <f>IF(F101+SUM(E$99:E101)=D$92,F101,D$92-SUM(E$99:E101))</f>
        <v>92613766.666666657</v>
      </c>
      <c r="E102" s="160">
        <f>IF(+J96&lt;F101,J96,D102)</f>
        <v>2315344.1666666665</v>
      </c>
      <c r="F102" s="159">
        <f t="shared" si="10"/>
        <v>90298422.499999985</v>
      </c>
      <c r="G102" s="159">
        <f t="shared" si="11"/>
        <v>91456094.583333313</v>
      </c>
      <c r="H102" s="163">
        <f t="shared" si="12"/>
        <v>13424649.289788298</v>
      </c>
      <c r="I102" s="253">
        <f t="shared" si="13"/>
        <v>13424649.289788298</v>
      </c>
      <c r="J102" s="158">
        <f t="shared" si="14"/>
        <v>0</v>
      </c>
      <c r="K102" s="158"/>
      <c r="L102" s="334"/>
      <c r="M102" s="158">
        <f t="shared" si="15"/>
        <v>0</v>
      </c>
      <c r="N102" s="334"/>
      <c r="O102" s="158">
        <f t="shared" si="16"/>
        <v>0</v>
      </c>
      <c r="P102" s="158">
        <f t="shared" si="17"/>
        <v>0</v>
      </c>
    </row>
    <row r="103" spans="1:16">
      <c r="B103" s="9" t="str">
        <f t="shared" si="18"/>
        <v/>
      </c>
      <c r="C103" s="153">
        <f>IF(D93="","-",+C102+1)</f>
        <v>2020</v>
      </c>
      <c r="D103" s="154">
        <f>IF(F102+SUM(E$99:E102)=D$92,F102,D$92-SUM(E$99:E102))</f>
        <v>90298422.499999985</v>
      </c>
      <c r="E103" s="160">
        <f>IF(+J96&lt;F102,J96,D103)</f>
        <v>2315344.1666666665</v>
      </c>
      <c r="F103" s="159">
        <f t="shared" si="10"/>
        <v>87983078.333333313</v>
      </c>
      <c r="G103" s="159">
        <f t="shared" si="11"/>
        <v>89140750.416666657</v>
      </c>
      <c r="H103" s="163">
        <f t="shared" si="12"/>
        <v>13143401.058823196</v>
      </c>
      <c r="I103" s="253">
        <f t="shared" si="13"/>
        <v>13143401.058823196</v>
      </c>
      <c r="J103" s="158">
        <f t="shared" si="14"/>
        <v>0</v>
      </c>
      <c r="K103" s="158"/>
      <c r="L103" s="334"/>
      <c r="M103" s="158">
        <f t="shared" si="15"/>
        <v>0</v>
      </c>
      <c r="N103" s="334"/>
      <c r="O103" s="158">
        <f t="shared" si="16"/>
        <v>0</v>
      </c>
      <c r="P103" s="158">
        <f t="shared" si="17"/>
        <v>0</v>
      </c>
    </row>
    <row r="104" spans="1:16">
      <c r="B104" s="9" t="str">
        <f t="shared" si="18"/>
        <v/>
      </c>
      <c r="C104" s="153">
        <f>IF(D93="","-",+C103+1)</f>
        <v>2021</v>
      </c>
      <c r="D104" s="154">
        <f>IF(F103+SUM(E$99:E103)=D$92,F103,D$92-SUM(E$99:E103))</f>
        <v>87983078.333333313</v>
      </c>
      <c r="E104" s="160">
        <f>IF(+J96&lt;F103,J96,D104)</f>
        <v>2315344.1666666665</v>
      </c>
      <c r="F104" s="159">
        <f t="shared" si="10"/>
        <v>85667734.166666642</v>
      </c>
      <c r="G104" s="159">
        <f t="shared" si="11"/>
        <v>86825406.24999997</v>
      </c>
      <c r="H104" s="163">
        <f t="shared" si="12"/>
        <v>12862152.827858089</v>
      </c>
      <c r="I104" s="253">
        <f t="shared" si="13"/>
        <v>12862152.827858089</v>
      </c>
      <c r="J104" s="158">
        <f t="shared" si="14"/>
        <v>0</v>
      </c>
      <c r="K104" s="158"/>
      <c r="L104" s="334"/>
      <c r="M104" s="158">
        <f t="shared" si="15"/>
        <v>0</v>
      </c>
      <c r="N104" s="334"/>
      <c r="O104" s="158">
        <f t="shared" si="16"/>
        <v>0</v>
      </c>
      <c r="P104" s="158">
        <f t="shared" si="17"/>
        <v>0</v>
      </c>
    </row>
    <row r="105" spans="1:16">
      <c r="B105" s="9" t="str">
        <f t="shared" si="18"/>
        <v/>
      </c>
      <c r="C105" s="153">
        <f>IF(D93="","-",+C104+1)</f>
        <v>2022</v>
      </c>
      <c r="D105" s="154">
        <f>IF(F104+SUM(E$99:E104)=D$92,F104,D$92-SUM(E$99:E104))</f>
        <v>85667734.166666642</v>
      </c>
      <c r="E105" s="160">
        <f>IF(+J96&lt;F104,J96,D105)</f>
        <v>2315344.1666666665</v>
      </c>
      <c r="F105" s="159">
        <f t="shared" si="10"/>
        <v>83352389.99999997</v>
      </c>
      <c r="G105" s="159">
        <f t="shared" si="11"/>
        <v>84510062.083333313</v>
      </c>
      <c r="H105" s="163">
        <f t="shared" si="12"/>
        <v>12580904.596892985</v>
      </c>
      <c r="I105" s="253">
        <f t="shared" si="13"/>
        <v>12580904.596892985</v>
      </c>
      <c r="J105" s="158">
        <f t="shared" si="14"/>
        <v>0</v>
      </c>
      <c r="K105" s="158"/>
      <c r="L105" s="334"/>
      <c r="M105" s="158">
        <f t="shared" si="15"/>
        <v>0</v>
      </c>
      <c r="N105" s="334"/>
      <c r="O105" s="158">
        <f t="shared" si="16"/>
        <v>0</v>
      </c>
      <c r="P105" s="158">
        <f t="shared" si="17"/>
        <v>0</v>
      </c>
    </row>
    <row r="106" spans="1:16">
      <c r="B106" s="9" t="str">
        <f t="shared" si="18"/>
        <v/>
      </c>
      <c r="C106" s="153">
        <f>IF(D93="","-",+C105+1)</f>
        <v>2023</v>
      </c>
      <c r="D106" s="154">
        <f>IF(F105+SUM(E$99:E105)=D$92,F105,D$92-SUM(E$99:E105))</f>
        <v>83352389.99999997</v>
      </c>
      <c r="E106" s="160">
        <f>IF(+J96&lt;F105,J96,D106)</f>
        <v>2315344.1666666665</v>
      </c>
      <c r="F106" s="159">
        <f t="shared" si="10"/>
        <v>81037045.833333299</v>
      </c>
      <c r="G106" s="159">
        <f t="shared" si="11"/>
        <v>82194717.916666627</v>
      </c>
      <c r="H106" s="163">
        <f t="shared" si="12"/>
        <v>12299656.365927879</v>
      </c>
      <c r="I106" s="253">
        <f t="shared" si="13"/>
        <v>12299656.365927879</v>
      </c>
      <c r="J106" s="158">
        <f t="shared" si="14"/>
        <v>0</v>
      </c>
      <c r="K106" s="158"/>
      <c r="L106" s="334"/>
      <c r="M106" s="158">
        <f t="shared" si="15"/>
        <v>0</v>
      </c>
      <c r="N106" s="334"/>
      <c r="O106" s="158">
        <f t="shared" si="16"/>
        <v>0</v>
      </c>
      <c r="P106" s="158">
        <f t="shared" si="17"/>
        <v>0</v>
      </c>
    </row>
    <row r="107" spans="1:16">
      <c r="B107" s="9" t="str">
        <f t="shared" si="18"/>
        <v/>
      </c>
      <c r="C107" s="153">
        <f>IF(D93="","-",+C106+1)</f>
        <v>2024</v>
      </c>
      <c r="D107" s="154">
        <f>IF(F106+SUM(E$99:E106)=D$92,F106,D$92-SUM(E$99:E106))</f>
        <v>81037045.833333299</v>
      </c>
      <c r="E107" s="160">
        <f>IF(+J96&lt;F106,J96,D107)</f>
        <v>2315344.1666666665</v>
      </c>
      <c r="F107" s="159">
        <f t="shared" si="10"/>
        <v>78721701.666666627</v>
      </c>
      <c r="G107" s="159">
        <f t="shared" si="11"/>
        <v>79879373.74999997</v>
      </c>
      <c r="H107" s="163">
        <f t="shared" si="12"/>
        <v>12018408.134962775</v>
      </c>
      <c r="I107" s="253">
        <f t="shared" si="13"/>
        <v>12018408.134962775</v>
      </c>
      <c r="J107" s="158">
        <f t="shared" si="14"/>
        <v>0</v>
      </c>
      <c r="K107" s="158"/>
      <c r="L107" s="334"/>
      <c r="M107" s="158">
        <f t="shared" si="15"/>
        <v>0</v>
      </c>
      <c r="N107" s="334"/>
      <c r="O107" s="158">
        <f t="shared" si="16"/>
        <v>0</v>
      </c>
      <c r="P107" s="158">
        <f t="shared" si="17"/>
        <v>0</v>
      </c>
    </row>
    <row r="108" spans="1:16">
      <c r="B108" s="9" t="str">
        <f t="shared" si="18"/>
        <v/>
      </c>
      <c r="C108" s="153">
        <f>IF(D93="","-",+C107+1)</f>
        <v>2025</v>
      </c>
      <c r="D108" s="154">
        <f>IF(F107+SUM(E$99:E107)=D$92,F107,D$92-SUM(E$99:E107))</f>
        <v>78721701.666666627</v>
      </c>
      <c r="E108" s="160">
        <f>IF(+J96&lt;F107,J96,D108)</f>
        <v>2315344.1666666665</v>
      </c>
      <c r="F108" s="159">
        <f t="shared" si="10"/>
        <v>76406357.499999955</v>
      </c>
      <c r="G108" s="159">
        <f t="shared" si="11"/>
        <v>77564029.583333284</v>
      </c>
      <c r="H108" s="163">
        <f t="shared" si="12"/>
        <v>11737159.903997667</v>
      </c>
      <c r="I108" s="253">
        <f t="shared" si="13"/>
        <v>11737159.903997667</v>
      </c>
      <c r="J108" s="158">
        <f t="shared" si="14"/>
        <v>0</v>
      </c>
      <c r="K108" s="158"/>
      <c r="L108" s="334"/>
      <c r="M108" s="158">
        <f t="shared" si="15"/>
        <v>0</v>
      </c>
      <c r="N108" s="334"/>
      <c r="O108" s="158">
        <f t="shared" si="16"/>
        <v>0</v>
      </c>
      <c r="P108" s="158">
        <f t="shared" si="17"/>
        <v>0</v>
      </c>
    </row>
    <row r="109" spans="1:16">
      <c r="B109" s="9" t="str">
        <f t="shared" si="18"/>
        <v/>
      </c>
      <c r="C109" s="153">
        <f>IF(D93="","-",+C108+1)</f>
        <v>2026</v>
      </c>
      <c r="D109" s="154">
        <f>IF(F108+SUM(E$99:E108)=D$92,F108,D$92-SUM(E$99:E108))</f>
        <v>76406357.499999955</v>
      </c>
      <c r="E109" s="160">
        <f>IF(+J96&lt;F108,J96,D109)</f>
        <v>2315344.1666666665</v>
      </c>
      <c r="F109" s="159">
        <f t="shared" si="10"/>
        <v>74091013.333333284</v>
      </c>
      <c r="G109" s="159">
        <f t="shared" si="11"/>
        <v>75248685.416666627</v>
      </c>
      <c r="H109" s="163">
        <f t="shared" si="12"/>
        <v>11455911.673032563</v>
      </c>
      <c r="I109" s="253">
        <f t="shared" si="13"/>
        <v>11455911.673032563</v>
      </c>
      <c r="J109" s="158">
        <f t="shared" si="14"/>
        <v>0</v>
      </c>
      <c r="K109" s="158"/>
      <c r="L109" s="334"/>
      <c r="M109" s="158">
        <f t="shared" si="15"/>
        <v>0</v>
      </c>
      <c r="N109" s="334"/>
      <c r="O109" s="158">
        <f t="shared" si="16"/>
        <v>0</v>
      </c>
      <c r="P109" s="158">
        <f t="shared" si="17"/>
        <v>0</v>
      </c>
    </row>
    <row r="110" spans="1:16">
      <c r="B110" s="9" t="str">
        <f t="shared" si="18"/>
        <v/>
      </c>
      <c r="C110" s="153">
        <f>IF(D93="","-",+C109+1)</f>
        <v>2027</v>
      </c>
      <c r="D110" s="154">
        <f>IF(F109+SUM(E$99:E109)=D$92,F109,D$92-SUM(E$99:E109))</f>
        <v>74091013.333333284</v>
      </c>
      <c r="E110" s="160">
        <f>IF(+J96&lt;F109,J96,D110)</f>
        <v>2315344.1666666665</v>
      </c>
      <c r="F110" s="159">
        <f t="shared" si="10"/>
        <v>71775669.166666612</v>
      </c>
      <c r="G110" s="159">
        <f t="shared" si="11"/>
        <v>72933341.24999994</v>
      </c>
      <c r="H110" s="163">
        <f t="shared" si="12"/>
        <v>11174663.442067457</v>
      </c>
      <c r="I110" s="253">
        <f t="shared" si="13"/>
        <v>11174663.442067457</v>
      </c>
      <c r="J110" s="158">
        <f t="shared" si="14"/>
        <v>0</v>
      </c>
      <c r="K110" s="158"/>
      <c r="L110" s="334"/>
      <c r="M110" s="158">
        <f t="shared" si="15"/>
        <v>0</v>
      </c>
      <c r="N110" s="334"/>
      <c r="O110" s="158">
        <f t="shared" si="16"/>
        <v>0</v>
      </c>
      <c r="P110" s="158">
        <f t="shared" si="17"/>
        <v>0</v>
      </c>
    </row>
    <row r="111" spans="1:16">
      <c r="B111" s="9" t="str">
        <f t="shared" si="18"/>
        <v>IU</v>
      </c>
      <c r="C111" s="153">
        <f>IF(D93="","-",+C110+1)</f>
        <v>2028</v>
      </c>
      <c r="D111" s="154">
        <f>IF(F110+SUM(E$99:E110)=D$92,F110,D$92-SUM(E$99:E110))</f>
        <v>71775669.166666657</v>
      </c>
      <c r="E111" s="160">
        <f>IF(+J96&lt;F110,J96,D111)</f>
        <v>2315344.1666666665</v>
      </c>
      <c r="F111" s="159">
        <f t="shared" si="10"/>
        <v>69460324.999999985</v>
      </c>
      <c r="G111" s="159">
        <f t="shared" si="11"/>
        <v>70617997.083333313</v>
      </c>
      <c r="H111" s="163">
        <f t="shared" si="12"/>
        <v>10893415.211102357</v>
      </c>
      <c r="I111" s="253">
        <f t="shared" si="13"/>
        <v>10893415.211102357</v>
      </c>
      <c r="J111" s="158">
        <f t="shared" si="14"/>
        <v>0</v>
      </c>
      <c r="K111" s="158"/>
      <c r="L111" s="334"/>
      <c r="M111" s="158">
        <f t="shared" si="15"/>
        <v>0</v>
      </c>
      <c r="N111" s="334"/>
      <c r="O111" s="158">
        <f t="shared" si="16"/>
        <v>0</v>
      </c>
      <c r="P111" s="158">
        <f t="shared" si="17"/>
        <v>0</v>
      </c>
    </row>
    <row r="112" spans="1:16">
      <c r="B112" s="9" t="str">
        <f t="shared" si="18"/>
        <v/>
      </c>
      <c r="C112" s="153">
        <f>IF(D93="","-",+C111+1)</f>
        <v>2029</v>
      </c>
      <c r="D112" s="154">
        <f>IF(F111+SUM(E$99:E111)=D$92,F111,D$92-SUM(E$99:E111))</f>
        <v>69460324.999999985</v>
      </c>
      <c r="E112" s="160">
        <f>IF(+J96&lt;F111,J96,D112)</f>
        <v>2315344.1666666665</v>
      </c>
      <c r="F112" s="159">
        <f t="shared" si="10"/>
        <v>67144980.833333313</v>
      </c>
      <c r="G112" s="159">
        <f t="shared" si="11"/>
        <v>68302652.916666657</v>
      </c>
      <c r="H112" s="163">
        <f t="shared" si="12"/>
        <v>10612166.980137253</v>
      </c>
      <c r="I112" s="253">
        <f t="shared" si="13"/>
        <v>10612166.980137253</v>
      </c>
      <c r="J112" s="158">
        <f t="shared" si="14"/>
        <v>0</v>
      </c>
      <c r="K112" s="158"/>
      <c r="L112" s="334"/>
      <c r="M112" s="158">
        <f t="shared" si="15"/>
        <v>0</v>
      </c>
      <c r="N112" s="334"/>
      <c r="O112" s="158">
        <f t="shared" si="16"/>
        <v>0</v>
      </c>
      <c r="P112" s="158">
        <f t="shared" si="17"/>
        <v>0</v>
      </c>
    </row>
    <row r="113" spans="2:16">
      <c r="B113" s="9" t="str">
        <f t="shared" si="18"/>
        <v/>
      </c>
      <c r="C113" s="153">
        <f>IF(D93="","-",+C112+1)</f>
        <v>2030</v>
      </c>
      <c r="D113" s="154">
        <f>IF(F112+SUM(E$99:E112)=D$92,F112,D$92-SUM(E$99:E112))</f>
        <v>67144980.833333313</v>
      </c>
      <c r="E113" s="160">
        <f>IF(+J96&lt;F112,J96,D113)</f>
        <v>2315344.1666666665</v>
      </c>
      <c r="F113" s="159">
        <f t="shared" si="10"/>
        <v>64829636.666666649</v>
      </c>
      <c r="G113" s="159">
        <f t="shared" si="11"/>
        <v>65987308.749999985</v>
      </c>
      <c r="H113" s="163">
        <f t="shared" si="12"/>
        <v>10330918.749172149</v>
      </c>
      <c r="I113" s="253">
        <f t="shared" si="13"/>
        <v>10330918.749172149</v>
      </c>
      <c r="J113" s="158">
        <f t="shared" si="14"/>
        <v>0</v>
      </c>
      <c r="K113" s="158"/>
      <c r="L113" s="334"/>
      <c r="M113" s="158">
        <f t="shared" si="15"/>
        <v>0</v>
      </c>
      <c r="N113" s="334"/>
      <c r="O113" s="158">
        <f t="shared" si="16"/>
        <v>0</v>
      </c>
      <c r="P113" s="158">
        <f t="shared" si="17"/>
        <v>0</v>
      </c>
    </row>
    <row r="114" spans="2:16">
      <c r="B114" s="9" t="str">
        <f t="shared" si="18"/>
        <v/>
      </c>
      <c r="C114" s="153">
        <f>IF(D93="","-",+C113+1)</f>
        <v>2031</v>
      </c>
      <c r="D114" s="154">
        <f>IF(F113+SUM(E$99:E113)=D$92,F113,D$92-SUM(E$99:E113))</f>
        <v>64829636.666666649</v>
      </c>
      <c r="E114" s="160">
        <f>IF(+J96&lt;F113,J96,D114)</f>
        <v>2315344.1666666665</v>
      </c>
      <c r="F114" s="159">
        <f t="shared" si="10"/>
        <v>62514292.499999985</v>
      </c>
      <c r="G114" s="159">
        <f t="shared" si="11"/>
        <v>63671964.583333313</v>
      </c>
      <c r="H114" s="163">
        <f t="shared" si="12"/>
        <v>10049670.518207043</v>
      </c>
      <c r="I114" s="253">
        <f t="shared" si="13"/>
        <v>10049670.518207043</v>
      </c>
      <c r="J114" s="158">
        <f t="shared" si="14"/>
        <v>0</v>
      </c>
      <c r="K114" s="158"/>
      <c r="L114" s="334"/>
      <c r="M114" s="158">
        <f t="shared" si="15"/>
        <v>0</v>
      </c>
      <c r="N114" s="334"/>
      <c r="O114" s="158">
        <f t="shared" si="16"/>
        <v>0</v>
      </c>
      <c r="P114" s="158">
        <f t="shared" si="17"/>
        <v>0</v>
      </c>
    </row>
    <row r="115" spans="2:16">
      <c r="B115" s="9" t="str">
        <f t="shared" si="18"/>
        <v/>
      </c>
      <c r="C115" s="153">
        <f>IF(D93="","-",+C114+1)</f>
        <v>2032</v>
      </c>
      <c r="D115" s="154">
        <f>IF(F114+SUM(E$99:E114)=D$92,F114,D$92-SUM(E$99:E114))</f>
        <v>62514292.499999985</v>
      </c>
      <c r="E115" s="160">
        <f>IF(+J96&lt;F114,J96,D115)</f>
        <v>2315344.1666666665</v>
      </c>
      <c r="F115" s="159">
        <f t="shared" si="10"/>
        <v>60198948.333333321</v>
      </c>
      <c r="G115" s="159">
        <f t="shared" si="11"/>
        <v>61356620.416666657</v>
      </c>
      <c r="H115" s="163">
        <f t="shared" si="12"/>
        <v>9768422.2872419395</v>
      </c>
      <c r="I115" s="253">
        <f t="shared" si="13"/>
        <v>9768422.2872419395</v>
      </c>
      <c r="J115" s="158">
        <f t="shared" si="14"/>
        <v>0</v>
      </c>
      <c r="K115" s="158"/>
      <c r="L115" s="334"/>
      <c r="M115" s="158">
        <f t="shared" si="15"/>
        <v>0</v>
      </c>
      <c r="N115" s="334"/>
      <c r="O115" s="158">
        <f t="shared" si="16"/>
        <v>0</v>
      </c>
      <c r="P115" s="158">
        <f t="shared" si="17"/>
        <v>0</v>
      </c>
    </row>
    <row r="116" spans="2:16">
      <c r="B116" s="9" t="str">
        <f t="shared" si="18"/>
        <v/>
      </c>
      <c r="C116" s="153">
        <f>IF(D93="","-",+C115+1)</f>
        <v>2033</v>
      </c>
      <c r="D116" s="154">
        <f>IF(F115+SUM(E$99:E115)=D$92,F115,D$92-SUM(E$99:E115))</f>
        <v>60198948.333333321</v>
      </c>
      <c r="E116" s="160">
        <f>IF(+J96&lt;F115,J96,D116)</f>
        <v>2315344.1666666665</v>
      </c>
      <c r="F116" s="159">
        <f t="shared" si="10"/>
        <v>57883604.166666657</v>
      </c>
      <c r="G116" s="159">
        <f t="shared" si="11"/>
        <v>59041276.249999985</v>
      </c>
      <c r="H116" s="163">
        <f t="shared" si="12"/>
        <v>9487174.0562768336</v>
      </c>
      <c r="I116" s="253">
        <f t="shared" si="13"/>
        <v>9487174.0562768336</v>
      </c>
      <c r="J116" s="158">
        <f t="shared" si="14"/>
        <v>0</v>
      </c>
      <c r="K116" s="158"/>
      <c r="L116" s="334"/>
      <c r="M116" s="158">
        <f t="shared" si="15"/>
        <v>0</v>
      </c>
      <c r="N116" s="334"/>
      <c r="O116" s="158">
        <f t="shared" si="16"/>
        <v>0</v>
      </c>
      <c r="P116" s="158">
        <f t="shared" si="17"/>
        <v>0</v>
      </c>
    </row>
    <row r="117" spans="2:16">
      <c r="B117" s="9" t="str">
        <f t="shared" si="18"/>
        <v/>
      </c>
      <c r="C117" s="153">
        <f>IF(D93="","-",+C116+1)</f>
        <v>2034</v>
      </c>
      <c r="D117" s="154">
        <f>IF(F116+SUM(E$99:E116)=D$92,F116,D$92-SUM(E$99:E116))</f>
        <v>57883604.166666657</v>
      </c>
      <c r="E117" s="160">
        <f>IF(+J96&lt;F116,J96,D117)</f>
        <v>2315344.1666666665</v>
      </c>
      <c r="F117" s="159">
        <f t="shared" si="10"/>
        <v>55568259.999999993</v>
      </c>
      <c r="G117" s="159">
        <f t="shared" si="11"/>
        <v>56725932.083333328</v>
      </c>
      <c r="H117" s="163">
        <f t="shared" si="12"/>
        <v>9205925.8253117315</v>
      </c>
      <c r="I117" s="253">
        <f t="shared" si="13"/>
        <v>9205925.8253117315</v>
      </c>
      <c r="J117" s="158">
        <f t="shared" si="14"/>
        <v>0</v>
      </c>
      <c r="K117" s="158"/>
      <c r="L117" s="334"/>
      <c r="M117" s="158">
        <f t="shared" si="15"/>
        <v>0</v>
      </c>
      <c r="N117" s="334"/>
      <c r="O117" s="158">
        <f t="shared" si="16"/>
        <v>0</v>
      </c>
      <c r="P117" s="158">
        <f t="shared" si="17"/>
        <v>0</v>
      </c>
    </row>
    <row r="118" spans="2:16">
      <c r="B118" s="9" t="str">
        <f t="shared" si="18"/>
        <v/>
      </c>
      <c r="C118" s="153">
        <f>IF(D93="","-",+C117+1)</f>
        <v>2035</v>
      </c>
      <c r="D118" s="154">
        <f>IF(F117+SUM(E$99:E117)=D$92,F117,D$92-SUM(E$99:E117))</f>
        <v>55568259.999999993</v>
      </c>
      <c r="E118" s="160">
        <f>IF(+J96&lt;F117,J96,D118)</f>
        <v>2315344.1666666665</v>
      </c>
      <c r="F118" s="159">
        <f t="shared" si="10"/>
        <v>53252915.833333328</v>
      </c>
      <c r="G118" s="159">
        <f t="shared" si="11"/>
        <v>54410587.916666657</v>
      </c>
      <c r="H118" s="163">
        <f t="shared" si="12"/>
        <v>8924677.5943466257</v>
      </c>
      <c r="I118" s="253">
        <f t="shared" si="13"/>
        <v>8924677.5943466257</v>
      </c>
      <c r="J118" s="158">
        <f t="shared" si="14"/>
        <v>0</v>
      </c>
      <c r="K118" s="158"/>
      <c r="L118" s="334"/>
      <c r="M118" s="158">
        <f t="shared" si="15"/>
        <v>0</v>
      </c>
      <c r="N118" s="334"/>
      <c r="O118" s="158">
        <f t="shared" si="16"/>
        <v>0</v>
      </c>
      <c r="P118" s="158">
        <f t="shared" si="17"/>
        <v>0</v>
      </c>
    </row>
    <row r="119" spans="2:16">
      <c r="B119" s="9" t="str">
        <f t="shared" si="18"/>
        <v/>
      </c>
      <c r="C119" s="153">
        <f>IF(D93="","-",+C118+1)</f>
        <v>2036</v>
      </c>
      <c r="D119" s="154">
        <f>IF(F118+SUM(E$99:E118)=D$92,F118,D$92-SUM(E$99:E118))</f>
        <v>53252915.833333328</v>
      </c>
      <c r="E119" s="160">
        <f>IF(+J96&lt;F118,J96,D119)</f>
        <v>2315344.1666666665</v>
      </c>
      <c r="F119" s="159">
        <f t="shared" si="10"/>
        <v>50937571.666666664</v>
      </c>
      <c r="G119" s="159">
        <f t="shared" si="11"/>
        <v>52095243.75</v>
      </c>
      <c r="H119" s="163">
        <f t="shared" si="12"/>
        <v>8643429.3633815218</v>
      </c>
      <c r="I119" s="253">
        <f t="shared" si="13"/>
        <v>8643429.3633815218</v>
      </c>
      <c r="J119" s="158">
        <f t="shared" si="14"/>
        <v>0</v>
      </c>
      <c r="K119" s="158"/>
      <c r="L119" s="334"/>
      <c r="M119" s="158">
        <f t="shared" si="15"/>
        <v>0</v>
      </c>
      <c r="N119" s="334"/>
      <c r="O119" s="158">
        <f t="shared" si="16"/>
        <v>0</v>
      </c>
      <c r="P119" s="158">
        <f t="shared" si="17"/>
        <v>0</v>
      </c>
    </row>
    <row r="120" spans="2:16">
      <c r="B120" s="9" t="str">
        <f t="shared" si="18"/>
        <v/>
      </c>
      <c r="C120" s="153">
        <f>IF(D93="","-",+C119+1)</f>
        <v>2037</v>
      </c>
      <c r="D120" s="154">
        <f>IF(F119+SUM(E$99:E119)=D$92,F119,D$92-SUM(E$99:E119))</f>
        <v>50937571.666666664</v>
      </c>
      <c r="E120" s="160">
        <f>IF(+J96&lt;F119,J96,D120)</f>
        <v>2315344.1666666665</v>
      </c>
      <c r="F120" s="159">
        <f t="shared" si="10"/>
        <v>48622227.5</v>
      </c>
      <c r="G120" s="159">
        <f t="shared" si="11"/>
        <v>49779899.583333328</v>
      </c>
      <c r="H120" s="163">
        <f t="shared" si="12"/>
        <v>8362181.1324164178</v>
      </c>
      <c r="I120" s="253">
        <f t="shared" si="13"/>
        <v>8362181.1324164178</v>
      </c>
      <c r="J120" s="158">
        <f t="shared" si="14"/>
        <v>0</v>
      </c>
      <c r="K120" s="158"/>
      <c r="L120" s="334"/>
      <c r="M120" s="158">
        <f t="shared" si="15"/>
        <v>0</v>
      </c>
      <c r="N120" s="334"/>
      <c r="O120" s="158">
        <f t="shared" si="16"/>
        <v>0</v>
      </c>
      <c r="P120" s="158">
        <f t="shared" si="17"/>
        <v>0</v>
      </c>
    </row>
    <row r="121" spans="2:16">
      <c r="B121" s="9" t="str">
        <f t="shared" si="18"/>
        <v/>
      </c>
      <c r="C121" s="153">
        <f>IF(D93="","-",+C120+1)</f>
        <v>2038</v>
      </c>
      <c r="D121" s="154">
        <f>IF(F120+SUM(E$99:E120)=D$92,F120,D$92-SUM(E$99:E120))</f>
        <v>48622227.5</v>
      </c>
      <c r="E121" s="160">
        <f>IF(+J96&lt;F120,J96,D121)</f>
        <v>2315344.1666666665</v>
      </c>
      <c r="F121" s="159">
        <f t="shared" si="10"/>
        <v>46306883.333333336</v>
      </c>
      <c r="G121" s="159">
        <f t="shared" si="11"/>
        <v>47464555.416666672</v>
      </c>
      <c r="H121" s="163">
        <f t="shared" si="12"/>
        <v>8080932.9014513139</v>
      </c>
      <c r="I121" s="253">
        <f t="shared" si="13"/>
        <v>8080932.9014513139</v>
      </c>
      <c r="J121" s="158">
        <f t="shared" si="14"/>
        <v>0</v>
      </c>
      <c r="K121" s="158"/>
      <c r="L121" s="334"/>
      <c r="M121" s="158">
        <f t="shared" si="15"/>
        <v>0</v>
      </c>
      <c r="N121" s="334"/>
      <c r="O121" s="158">
        <f t="shared" si="16"/>
        <v>0</v>
      </c>
      <c r="P121" s="158">
        <f t="shared" si="17"/>
        <v>0</v>
      </c>
    </row>
    <row r="122" spans="2:16">
      <c r="B122" s="9" t="str">
        <f t="shared" si="18"/>
        <v/>
      </c>
      <c r="C122" s="153">
        <f>IF(D93="","-",+C121+1)</f>
        <v>2039</v>
      </c>
      <c r="D122" s="154">
        <f>IF(F121+SUM(E$99:E121)=D$92,F121,D$92-SUM(E$99:E121))</f>
        <v>46306883.333333336</v>
      </c>
      <c r="E122" s="160">
        <f>IF(+J96&lt;F121,J96,D122)</f>
        <v>2315344.1666666665</v>
      </c>
      <c r="F122" s="159">
        <f t="shared" si="10"/>
        <v>43991539.166666672</v>
      </c>
      <c r="G122" s="159">
        <f t="shared" si="11"/>
        <v>45149211.25</v>
      </c>
      <c r="H122" s="163">
        <f t="shared" si="12"/>
        <v>7799684.6704862081</v>
      </c>
      <c r="I122" s="253">
        <f t="shared" si="13"/>
        <v>7799684.6704862081</v>
      </c>
      <c r="J122" s="158">
        <f t="shared" si="14"/>
        <v>0</v>
      </c>
      <c r="K122" s="158"/>
      <c r="L122" s="334"/>
      <c r="M122" s="158">
        <f t="shared" si="15"/>
        <v>0</v>
      </c>
      <c r="N122" s="334"/>
      <c r="O122" s="158">
        <f t="shared" si="16"/>
        <v>0</v>
      </c>
      <c r="P122" s="158">
        <f t="shared" si="17"/>
        <v>0</v>
      </c>
    </row>
    <row r="123" spans="2:16">
      <c r="B123" s="9" t="str">
        <f t="shared" si="18"/>
        <v/>
      </c>
      <c r="C123" s="153">
        <f>IF(D93="","-",+C122+1)</f>
        <v>2040</v>
      </c>
      <c r="D123" s="154">
        <f>IF(F122+SUM(E$99:E122)=D$92,F122,D$92-SUM(E$99:E122))</f>
        <v>43991539.166666672</v>
      </c>
      <c r="E123" s="160">
        <f>IF(+J96&lt;F122,J96,D123)</f>
        <v>2315344.1666666665</v>
      </c>
      <c r="F123" s="159">
        <f t="shared" si="10"/>
        <v>41676195.000000007</v>
      </c>
      <c r="G123" s="159">
        <f t="shared" si="11"/>
        <v>42833867.083333343</v>
      </c>
      <c r="H123" s="163">
        <f t="shared" si="12"/>
        <v>7518436.4395211041</v>
      </c>
      <c r="I123" s="253">
        <f t="shared" si="13"/>
        <v>7518436.4395211041</v>
      </c>
      <c r="J123" s="158">
        <f t="shared" si="14"/>
        <v>0</v>
      </c>
      <c r="K123" s="158"/>
      <c r="L123" s="334"/>
      <c r="M123" s="158">
        <f t="shared" si="15"/>
        <v>0</v>
      </c>
      <c r="N123" s="334"/>
      <c r="O123" s="158">
        <f t="shared" si="16"/>
        <v>0</v>
      </c>
      <c r="P123" s="158">
        <f t="shared" si="17"/>
        <v>0</v>
      </c>
    </row>
    <row r="124" spans="2:16">
      <c r="B124" s="9" t="str">
        <f t="shared" si="18"/>
        <v/>
      </c>
      <c r="C124" s="153">
        <f>IF(D93="","-",+C123+1)</f>
        <v>2041</v>
      </c>
      <c r="D124" s="154">
        <f>IF(F123+SUM(E$99:E123)=D$92,F123,D$92-SUM(E$99:E123))</f>
        <v>41676195.000000007</v>
      </c>
      <c r="E124" s="160">
        <f>IF(+J96&lt;F123,J96,D124)</f>
        <v>2315344.1666666665</v>
      </c>
      <c r="F124" s="159">
        <f t="shared" si="10"/>
        <v>39360850.833333343</v>
      </c>
      <c r="G124" s="159">
        <f t="shared" si="11"/>
        <v>40518522.916666672</v>
      </c>
      <c r="H124" s="163">
        <f t="shared" si="12"/>
        <v>7237188.2085560001</v>
      </c>
      <c r="I124" s="253">
        <f t="shared" si="13"/>
        <v>7237188.2085560001</v>
      </c>
      <c r="J124" s="158">
        <f t="shared" si="14"/>
        <v>0</v>
      </c>
      <c r="K124" s="158"/>
      <c r="L124" s="334"/>
      <c r="M124" s="158">
        <f t="shared" si="15"/>
        <v>0</v>
      </c>
      <c r="N124" s="334"/>
      <c r="O124" s="158">
        <f t="shared" si="16"/>
        <v>0</v>
      </c>
      <c r="P124" s="158">
        <f t="shared" si="17"/>
        <v>0</v>
      </c>
    </row>
    <row r="125" spans="2:16">
      <c r="B125" s="9" t="str">
        <f t="shared" si="18"/>
        <v/>
      </c>
      <c r="C125" s="153">
        <f>IF(D93="","-",+C124+1)</f>
        <v>2042</v>
      </c>
      <c r="D125" s="154">
        <f>IF(F124+SUM(E$99:E124)=D$92,F124,D$92-SUM(E$99:E124))</f>
        <v>39360850.833333343</v>
      </c>
      <c r="E125" s="160">
        <f>IF(+J96&lt;F124,J96,D125)</f>
        <v>2315344.1666666665</v>
      </c>
      <c r="F125" s="159">
        <f t="shared" si="10"/>
        <v>37045506.666666679</v>
      </c>
      <c r="G125" s="159">
        <f t="shared" si="11"/>
        <v>38203178.750000015</v>
      </c>
      <c r="H125" s="163">
        <f t="shared" si="12"/>
        <v>6955939.9775908962</v>
      </c>
      <c r="I125" s="253">
        <f t="shared" si="13"/>
        <v>6955939.9775908962</v>
      </c>
      <c r="J125" s="158">
        <f t="shared" si="14"/>
        <v>0</v>
      </c>
      <c r="K125" s="158"/>
      <c r="L125" s="334"/>
      <c r="M125" s="158">
        <f t="shared" si="15"/>
        <v>0</v>
      </c>
      <c r="N125" s="334"/>
      <c r="O125" s="158">
        <f t="shared" si="16"/>
        <v>0</v>
      </c>
      <c r="P125" s="158">
        <f t="shared" si="17"/>
        <v>0</v>
      </c>
    </row>
    <row r="126" spans="2:16">
      <c r="B126" s="9" t="str">
        <f t="shared" si="18"/>
        <v/>
      </c>
      <c r="C126" s="153">
        <f>IF(D93="","-",+C125+1)</f>
        <v>2043</v>
      </c>
      <c r="D126" s="154">
        <f>IF(F125+SUM(E$99:E125)=D$92,F125,D$92-SUM(E$99:E125))</f>
        <v>37045506.666666679</v>
      </c>
      <c r="E126" s="160">
        <f>IF(+J96&lt;F125,J96,D126)</f>
        <v>2315344.1666666665</v>
      </c>
      <c r="F126" s="159">
        <f t="shared" si="10"/>
        <v>34730162.500000015</v>
      </c>
      <c r="G126" s="159">
        <f t="shared" si="11"/>
        <v>35887834.583333343</v>
      </c>
      <c r="H126" s="163">
        <f t="shared" si="12"/>
        <v>6674691.7466257904</v>
      </c>
      <c r="I126" s="253">
        <f t="shared" si="13"/>
        <v>6674691.7466257904</v>
      </c>
      <c r="J126" s="158">
        <f t="shared" si="14"/>
        <v>0</v>
      </c>
      <c r="K126" s="158"/>
      <c r="L126" s="334"/>
      <c r="M126" s="158">
        <f t="shared" si="15"/>
        <v>0</v>
      </c>
      <c r="N126" s="334"/>
      <c r="O126" s="158">
        <f t="shared" si="16"/>
        <v>0</v>
      </c>
      <c r="P126" s="158">
        <f t="shared" si="17"/>
        <v>0</v>
      </c>
    </row>
    <row r="127" spans="2:16">
      <c r="B127" s="9" t="str">
        <f t="shared" si="18"/>
        <v/>
      </c>
      <c r="C127" s="153">
        <f>IF(D93="","-",+C126+1)</f>
        <v>2044</v>
      </c>
      <c r="D127" s="154">
        <f>IF(F126+SUM(E$99:E126)=D$92,F126,D$92-SUM(E$99:E126))</f>
        <v>34730162.500000015</v>
      </c>
      <c r="E127" s="160">
        <f>IF(+J96&lt;F126,J96,D127)</f>
        <v>2315344.1666666665</v>
      </c>
      <c r="F127" s="159">
        <f t="shared" si="10"/>
        <v>32414818.333333347</v>
      </c>
      <c r="G127" s="159">
        <f t="shared" si="11"/>
        <v>33572490.416666679</v>
      </c>
      <c r="H127" s="163">
        <f t="shared" si="12"/>
        <v>6393443.5156606864</v>
      </c>
      <c r="I127" s="253">
        <f t="shared" si="13"/>
        <v>6393443.5156606864</v>
      </c>
      <c r="J127" s="158">
        <f t="shared" si="14"/>
        <v>0</v>
      </c>
      <c r="K127" s="158"/>
      <c r="L127" s="334"/>
      <c r="M127" s="158">
        <f t="shared" si="15"/>
        <v>0</v>
      </c>
      <c r="N127" s="334"/>
      <c r="O127" s="158">
        <f t="shared" si="16"/>
        <v>0</v>
      </c>
      <c r="P127" s="158">
        <f t="shared" si="17"/>
        <v>0</v>
      </c>
    </row>
    <row r="128" spans="2:16">
      <c r="B128" s="9" t="str">
        <f t="shared" si="18"/>
        <v/>
      </c>
      <c r="C128" s="153">
        <f>IF(D93="","-",+C127+1)</f>
        <v>2045</v>
      </c>
      <c r="D128" s="154">
        <f>IF(F127+SUM(E$99:E127)=D$92,F127,D$92-SUM(E$99:E127))</f>
        <v>32414818.333333347</v>
      </c>
      <c r="E128" s="160">
        <f>IF(+J96&lt;F127,J96,D128)</f>
        <v>2315344.1666666665</v>
      </c>
      <c r="F128" s="159">
        <f t="shared" si="10"/>
        <v>30099474.166666679</v>
      </c>
      <c r="G128" s="159">
        <f t="shared" si="11"/>
        <v>31257146.250000015</v>
      </c>
      <c r="H128" s="163">
        <f t="shared" si="12"/>
        <v>6112195.2846955815</v>
      </c>
      <c r="I128" s="253">
        <f t="shared" si="13"/>
        <v>6112195.2846955815</v>
      </c>
      <c r="J128" s="158">
        <f t="shared" si="14"/>
        <v>0</v>
      </c>
      <c r="K128" s="158"/>
      <c r="L128" s="334"/>
      <c r="M128" s="158">
        <f t="shared" si="15"/>
        <v>0</v>
      </c>
      <c r="N128" s="334"/>
      <c r="O128" s="158">
        <f t="shared" si="16"/>
        <v>0</v>
      </c>
      <c r="P128" s="158">
        <f t="shared" si="17"/>
        <v>0</v>
      </c>
    </row>
    <row r="129" spans="2:16">
      <c r="B129" s="9" t="str">
        <f t="shared" si="18"/>
        <v/>
      </c>
      <c r="C129" s="153">
        <f>IF(D93="","-",+C128+1)</f>
        <v>2046</v>
      </c>
      <c r="D129" s="154">
        <f>IF(F128+SUM(E$99:E128)=D$92,F128,D$92-SUM(E$99:E128))</f>
        <v>30099474.166666679</v>
      </c>
      <c r="E129" s="160">
        <f>IF(+J96&lt;F128,J96,D129)</f>
        <v>2315344.1666666665</v>
      </c>
      <c r="F129" s="159">
        <f t="shared" si="10"/>
        <v>27784130.000000011</v>
      </c>
      <c r="G129" s="159">
        <f t="shared" si="11"/>
        <v>28941802.083333343</v>
      </c>
      <c r="H129" s="163">
        <f t="shared" si="12"/>
        <v>5830947.0537304766</v>
      </c>
      <c r="I129" s="253">
        <f t="shared" si="13"/>
        <v>5830947.0537304766</v>
      </c>
      <c r="J129" s="158">
        <f t="shared" si="14"/>
        <v>0</v>
      </c>
      <c r="K129" s="158"/>
      <c r="L129" s="334"/>
      <c r="M129" s="158">
        <f t="shared" si="15"/>
        <v>0</v>
      </c>
      <c r="N129" s="334"/>
      <c r="O129" s="158">
        <f t="shared" si="16"/>
        <v>0</v>
      </c>
      <c r="P129" s="158">
        <f t="shared" si="17"/>
        <v>0</v>
      </c>
    </row>
    <row r="130" spans="2:16">
      <c r="B130" s="9" t="str">
        <f t="shared" si="18"/>
        <v/>
      </c>
      <c r="C130" s="153">
        <f>IF(D93="","-",+C129+1)</f>
        <v>2047</v>
      </c>
      <c r="D130" s="154">
        <f>IF(F129+SUM(E$99:E129)=D$92,F129,D$92-SUM(E$99:E129))</f>
        <v>27784130.000000011</v>
      </c>
      <c r="E130" s="160">
        <f>IF(+J96&lt;F129,J96,D130)</f>
        <v>2315344.1666666665</v>
      </c>
      <c r="F130" s="159">
        <f t="shared" si="10"/>
        <v>25468785.833333343</v>
      </c>
      <c r="G130" s="159">
        <f t="shared" si="11"/>
        <v>26626457.916666679</v>
      </c>
      <c r="H130" s="163">
        <f t="shared" si="12"/>
        <v>5549698.8227653727</v>
      </c>
      <c r="I130" s="253">
        <f t="shared" si="13"/>
        <v>5549698.8227653727</v>
      </c>
      <c r="J130" s="158">
        <f t="shared" si="14"/>
        <v>0</v>
      </c>
      <c r="K130" s="158"/>
      <c r="L130" s="334"/>
      <c r="M130" s="158">
        <f t="shared" si="15"/>
        <v>0</v>
      </c>
      <c r="N130" s="334"/>
      <c r="O130" s="158">
        <f t="shared" si="16"/>
        <v>0</v>
      </c>
      <c r="P130" s="158">
        <f t="shared" si="17"/>
        <v>0</v>
      </c>
    </row>
    <row r="131" spans="2:16">
      <c r="B131" s="9" t="str">
        <f t="shared" si="18"/>
        <v/>
      </c>
      <c r="C131" s="153">
        <f>IF(D93="","-",+C130+1)</f>
        <v>2048</v>
      </c>
      <c r="D131" s="154">
        <f>IF(F130+SUM(E$99:E130)=D$92,F130,D$92-SUM(E$99:E130))</f>
        <v>25468785.833333343</v>
      </c>
      <c r="E131" s="160">
        <f>IF(+J96&lt;F130,J96,D131)</f>
        <v>2315344.1666666665</v>
      </c>
      <c r="F131" s="159">
        <f t="shared" ref="F131:F154" si="19">+D131-E131</f>
        <v>23153441.666666675</v>
      </c>
      <c r="G131" s="159">
        <f t="shared" ref="G131:G154" si="20">+(F131+D131)/2</f>
        <v>24311113.750000007</v>
      </c>
      <c r="H131" s="163">
        <f t="shared" si="12"/>
        <v>5268450.5918002669</v>
      </c>
      <c r="I131" s="253">
        <f t="shared" si="13"/>
        <v>5268450.5918002669</v>
      </c>
      <c r="J131" s="158">
        <f t="shared" ref="J131:J154" si="21">+I541-H541</f>
        <v>0</v>
      </c>
      <c r="K131" s="158"/>
      <c r="L131" s="334"/>
      <c r="M131" s="158">
        <f t="shared" ref="M131:M154" si="22">IF(L541&lt;&gt;0,+H541-L541,0)</f>
        <v>0</v>
      </c>
      <c r="N131" s="334"/>
      <c r="O131" s="158">
        <f t="shared" ref="O131:O154" si="23">IF(N541&lt;&gt;0,+I541-N541,0)</f>
        <v>0</v>
      </c>
      <c r="P131" s="158">
        <f t="shared" ref="P131:P154" si="24">+O541-M541</f>
        <v>0</v>
      </c>
    </row>
    <row r="132" spans="2:16">
      <c r="B132" s="9" t="str">
        <f t="shared" si="18"/>
        <v/>
      </c>
      <c r="C132" s="153">
        <f>IF(D93="","-",+C131+1)</f>
        <v>2049</v>
      </c>
      <c r="D132" s="154">
        <f>IF(F131+SUM(E$99:E131)=D$92,F131,D$92-SUM(E$99:E131))</f>
        <v>23153441.666666675</v>
      </c>
      <c r="E132" s="160">
        <f>IF(+J96&lt;F131,J96,D132)</f>
        <v>2315344.1666666665</v>
      </c>
      <c r="F132" s="159">
        <f t="shared" si="19"/>
        <v>20838097.500000007</v>
      </c>
      <c r="G132" s="159">
        <f t="shared" si="20"/>
        <v>21995769.583333343</v>
      </c>
      <c r="H132" s="163">
        <f t="shared" si="12"/>
        <v>4987202.3608351629</v>
      </c>
      <c r="I132" s="253">
        <f t="shared" si="13"/>
        <v>4987202.3608351629</v>
      </c>
      <c r="J132" s="158">
        <f t="shared" si="21"/>
        <v>0</v>
      </c>
      <c r="K132" s="158"/>
      <c r="L132" s="334"/>
      <c r="M132" s="158">
        <f t="shared" si="22"/>
        <v>0</v>
      </c>
      <c r="N132" s="334"/>
      <c r="O132" s="158">
        <f t="shared" si="23"/>
        <v>0</v>
      </c>
      <c r="P132" s="158">
        <f t="shared" si="24"/>
        <v>0</v>
      </c>
    </row>
    <row r="133" spans="2:16">
      <c r="B133" s="9" t="str">
        <f t="shared" si="18"/>
        <v/>
      </c>
      <c r="C133" s="153">
        <f>IF(D93="","-",+C132+1)</f>
        <v>2050</v>
      </c>
      <c r="D133" s="154">
        <f>IF(F132+SUM(E$99:E132)=D$92,F132,D$92-SUM(E$99:E132))</f>
        <v>20838097.500000007</v>
      </c>
      <c r="E133" s="160">
        <f>IF(+J96&lt;F132,J96,D133)</f>
        <v>2315344.1666666665</v>
      </c>
      <c r="F133" s="159">
        <f t="shared" si="19"/>
        <v>18522753.33333334</v>
      </c>
      <c r="G133" s="159">
        <f t="shared" si="20"/>
        <v>19680425.416666672</v>
      </c>
      <c r="H133" s="163">
        <f t="shared" si="12"/>
        <v>4705954.1298700571</v>
      </c>
      <c r="I133" s="253">
        <f t="shared" si="13"/>
        <v>4705954.1298700571</v>
      </c>
      <c r="J133" s="158">
        <f t="shared" si="21"/>
        <v>0</v>
      </c>
      <c r="K133" s="158"/>
      <c r="L133" s="334"/>
      <c r="M133" s="158">
        <f t="shared" si="22"/>
        <v>0</v>
      </c>
      <c r="N133" s="334"/>
      <c r="O133" s="158">
        <f t="shared" si="23"/>
        <v>0</v>
      </c>
      <c r="P133" s="158">
        <f t="shared" si="24"/>
        <v>0</v>
      </c>
    </row>
    <row r="134" spans="2:16">
      <c r="B134" s="9" t="str">
        <f t="shared" si="18"/>
        <v/>
      </c>
      <c r="C134" s="153">
        <f>IF(D93="","-",+C133+1)</f>
        <v>2051</v>
      </c>
      <c r="D134" s="154">
        <f>IF(F133+SUM(E$99:E133)=D$92,F133,D$92-SUM(E$99:E133))</f>
        <v>18522753.33333334</v>
      </c>
      <c r="E134" s="160">
        <f>IF(+J96&lt;F133,J96,D134)</f>
        <v>2315344.1666666665</v>
      </c>
      <c r="F134" s="159">
        <f t="shared" si="19"/>
        <v>16207409.166666673</v>
      </c>
      <c r="G134" s="159">
        <f t="shared" si="20"/>
        <v>17365081.250000007</v>
      </c>
      <c r="H134" s="163">
        <f t="shared" si="12"/>
        <v>4424705.8989049532</v>
      </c>
      <c r="I134" s="253">
        <f t="shared" si="13"/>
        <v>4424705.8989049532</v>
      </c>
      <c r="J134" s="158">
        <f t="shared" si="21"/>
        <v>0</v>
      </c>
      <c r="K134" s="158"/>
      <c r="L134" s="334"/>
      <c r="M134" s="158">
        <f t="shared" si="22"/>
        <v>0</v>
      </c>
      <c r="N134" s="334"/>
      <c r="O134" s="158">
        <f t="shared" si="23"/>
        <v>0</v>
      </c>
      <c r="P134" s="158">
        <f t="shared" si="24"/>
        <v>0</v>
      </c>
    </row>
    <row r="135" spans="2:16">
      <c r="B135" s="9" t="str">
        <f t="shared" si="18"/>
        <v/>
      </c>
      <c r="C135" s="153">
        <f>IF(D93="","-",+C134+1)</f>
        <v>2052</v>
      </c>
      <c r="D135" s="154">
        <f>IF(F134+SUM(E$99:E134)=D$92,F134,D$92-SUM(E$99:E134))</f>
        <v>16207409.166666673</v>
      </c>
      <c r="E135" s="160">
        <f>IF(+J96&lt;F134,J96,D135)</f>
        <v>2315344.1666666665</v>
      </c>
      <c r="F135" s="159">
        <f t="shared" si="19"/>
        <v>13892065.000000007</v>
      </c>
      <c r="G135" s="159">
        <f t="shared" si="20"/>
        <v>15049737.08333334</v>
      </c>
      <c r="H135" s="163">
        <f t="shared" si="12"/>
        <v>4143457.6679398478</v>
      </c>
      <c r="I135" s="253">
        <f t="shared" si="13"/>
        <v>4143457.6679398478</v>
      </c>
      <c r="J135" s="158">
        <f t="shared" si="21"/>
        <v>0</v>
      </c>
      <c r="K135" s="158"/>
      <c r="L135" s="334"/>
      <c r="M135" s="158">
        <f t="shared" si="22"/>
        <v>0</v>
      </c>
      <c r="N135" s="334"/>
      <c r="O135" s="158">
        <f t="shared" si="23"/>
        <v>0</v>
      </c>
      <c r="P135" s="158">
        <f t="shared" si="24"/>
        <v>0</v>
      </c>
    </row>
    <row r="136" spans="2:16">
      <c r="B136" s="9" t="str">
        <f t="shared" si="18"/>
        <v/>
      </c>
      <c r="C136" s="153">
        <f>IF(D93="","-",+C135+1)</f>
        <v>2053</v>
      </c>
      <c r="D136" s="154">
        <f>IF(F135+SUM(E$99:E135)=D$92,F135,D$92-SUM(E$99:E135))</f>
        <v>13892065.000000007</v>
      </c>
      <c r="E136" s="160">
        <f>IF(+J96&lt;F135,J96,D136)</f>
        <v>2315344.1666666665</v>
      </c>
      <c r="F136" s="159">
        <f t="shared" si="19"/>
        <v>11576720.833333341</v>
      </c>
      <c r="G136" s="159">
        <f t="shared" si="20"/>
        <v>12734392.916666675</v>
      </c>
      <c r="H136" s="163">
        <f t="shared" si="12"/>
        <v>3862209.4369747434</v>
      </c>
      <c r="I136" s="253">
        <f t="shared" si="13"/>
        <v>3862209.4369747434</v>
      </c>
      <c r="J136" s="158">
        <f t="shared" si="21"/>
        <v>0</v>
      </c>
      <c r="K136" s="158"/>
      <c r="L136" s="334"/>
      <c r="M136" s="158">
        <f t="shared" si="22"/>
        <v>0</v>
      </c>
      <c r="N136" s="334"/>
      <c r="O136" s="158">
        <f t="shared" si="23"/>
        <v>0</v>
      </c>
      <c r="P136" s="158">
        <f t="shared" si="24"/>
        <v>0</v>
      </c>
    </row>
    <row r="137" spans="2:16">
      <c r="B137" s="9" t="str">
        <f t="shared" si="18"/>
        <v/>
      </c>
      <c r="C137" s="153">
        <f>IF(D93="","-",+C136+1)</f>
        <v>2054</v>
      </c>
      <c r="D137" s="154">
        <f>IF(F136+SUM(E$99:E136)=D$92,F136,D$92-SUM(E$99:E136))</f>
        <v>11576720.833333341</v>
      </c>
      <c r="E137" s="160">
        <f>IF(+J96&lt;F136,J96,D137)</f>
        <v>2315344.1666666665</v>
      </c>
      <c r="F137" s="159">
        <f t="shared" si="19"/>
        <v>9261376.6666666754</v>
      </c>
      <c r="G137" s="159">
        <f t="shared" si="20"/>
        <v>10419048.750000007</v>
      </c>
      <c r="H137" s="163">
        <f t="shared" si="12"/>
        <v>3580961.2060096385</v>
      </c>
      <c r="I137" s="253">
        <f t="shared" si="13"/>
        <v>3580961.2060096385</v>
      </c>
      <c r="J137" s="158">
        <f t="shared" si="21"/>
        <v>0</v>
      </c>
      <c r="K137" s="158"/>
      <c r="L137" s="334"/>
      <c r="M137" s="158">
        <f t="shared" si="22"/>
        <v>0</v>
      </c>
      <c r="N137" s="334"/>
      <c r="O137" s="158">
        <f t="shared" si="23"/>
        <v>0</v>
      </c>
      <c r="P137" s="158">
        <f t="shared" si="24"/>
        <v>0</v>
      </c>
    </row>
    <row r="138" spans="2:16">
      <c r="B138" s="9" t="str">
        <f t="shared" si="18"/>
        <v/>
      </c>
      <c r="C138" s="153">
        <f>IF(D93="","-",+C137+1)</f>
        <v>2055</v>
      </c>
      <c r="D138" s="154">
        <f>IF(F137+SUM(E$99:E137)=D$92,F137,D$92-SUM(E$99:E137))</f>
        <v>9261376.6666666754</v>
      </c>
      <c r="E138" s="160">
        <f>IF(+J96&lt;F137,J96,D138)</f>
        <v>2315344.1666666665</v>
      </c>
      <c r="F138" s="159">
        <f t="shared" si="19"/>
        <v>6946032.5000000093</v>
      </c>
      <c r="G138" s="159">
        <f t="shared" si="20"/>
        <v>8103704.5833333423</v>
      </c>
      <c r="H138" s="163">
        <f t="shared" si="12"/>
        <v>3299712.9750445341</v>
      </c>
      <c r="I138" s="253">
        <f t="shared" si="13"/>
        <v>3299712.9750445341</v>
      </c>
      <c r="J138" s="158">
        <f t="shared" si="21"/>
        <v>0</v>
      </c>
      <c r="K138" s="158"/>
      <c r="L138" s="334"/>
      <c r="M138" s="158">
        <f t="shared" si="22"/>
        <v>0</v>
      </c>
      <c r="N138" s="334"/>
      <c r="O138" s="158">
        <f t="shared" si="23"/>
        <v>0</v>
      </c>
      <c r="P138" s="158">
        <f t="shared" si="24"/>
        <v>0</v>
      </c>
    </row>
    <row r="139" spans="2:16">
      <c r="B139" s="9" t="str">
        <f t="shared" si="18"/>
        <v/>
      </c>
      <c r="C139" s="153">
        <f>IF(D93="","-",+C138+1)</f>
        <v>2056</v>
      </c>
      <c r="D139" s="154">
        <f>IF(F138+SUM(E$99:E138)=D$92,F138,D$92-SUM(E$99:E138))</f>
        <v>6946032.5000000093</v>
      </c>
      <c r="E139" s="160">
        <f>IF(+J96&lt;F138,J96,D139)</f>
        <v>2315344.1666666665</v>
      </c>
      <c r="F139" s="159">
        <f t="shared" si="19"/>
        <v>4630688.3333333433</v>
      </c>
      <c r="G139" s="159">
        <f t="shared" si="20"/>
        <v>5788360.4166666763</v>
      </c>
      <c r="H139" s="163">
        <f t="shared" si="12"/>
        <v>3018464.7440794297</v>
      </c>
      <c r="I139" s="253">
        <f t="shared" si="13"/>
        <v>3018464.7440794297</v>
      </c>
      <c r="J139" s="158">
        <f t="shared" si="21"/>
        <v>0</v>
      </c>
      <c r="K139" s="158"/>
      <c r="L139" s="334"/>
      <c r="M139" s="158">
        <f t="shared" si="22"/>
        <v>0</v>
      </c>
      <c r="N139" s="334"/>
      <c r="O139" s="158">
        <f t="shared" si="23"/>
        <v>0</v>
      </c>
      <c r="P139" s="158">
        <f t="shared" si="24"/>
        <v>0</v>
      </c>
    </row>
    <row r="140" spans="2:16">
      <c r="B140" s="9" t="str">
        <f t="shared" si="18"/>
        <v/>
      </c>
      <c r="C140" s="153">
        <f>IF(D93="","-",+C139+1)</f>
        <v>2057</v>
      </c>
      <c r="D140" s="154">
        <f>IF(F139+SUM(E$99:E139)=D$92,F139,D$92-SUM(E$99:E139))</f>
        <v>4630688.3333333433</v>
      </c>
      <c r="E140" s="160">
        <f>IF(+J96&lt;F139,J96,D140)</f>
        <v>2315344.1666666665</v>
      </c>
      <c r="F140" s="159">
        <f t="shared" si="19"/>
        <v>2315344.1666666768</v>
      </c>
      <c r="G140" s="159">
        <f t="shared" si="20"/>
        <v>3473016.2500000102</v>
      </c>
      <c r="H140" s="163">
        <f t="shared" si="12"/>
        <v>2737216.5131143248</v>
      </c>
      <c r="I140" s="253">
        <f t="shared" si="13"/>
        <v>2737216.5131143248</v>
      </c>
      <c r="J140" s="158">
        <f t="shared" si="21"/>
        <v>0</v>
      </c>
      <c r="K140" s="158"/>
      <c r="L140" s="334"/>
      <c r="M140" s="158">
        <f t="shared" si="22"/>
        <v>0</v>
      </c>
      <c r="N140" s="334"/>
      <c r="O140" s="158">
        <f t="shared" si="23"/>
        <v>0</v>
      </c>
      <c r="P140" s="158">
        <f t="shared" si="24"/>
        <v>0</v>
      </c>
    </row>
    <row r="141" spans="2:16">
      <c r="B141" s="9" t="str">
        <f t="shared" si="18"/>
        <v/>
      </c>
      <c r="C141" s="153">
        <f>IF(D93="","-",+C140+1)</f>
        <v>2058</v>
      </c>
      <c r="D141" s="154">
        <f>IF(F140+SUM(E$99:E140)=D$92,F140,D$92-SUM(E$99:E140))</f>
        <v>2315344.1666666768</v>
      </c>
      <c r="E141" s="160">
        <f>IF(+J96&lt;F140,J96,D141)</f>
        <v>2315344.1666666665</v>
      </c>
      <c r="F141" s="159">
        <f t="shared" si="19"/>
        <v>1.0244548320770264E-8</v>
      </c>
      <c r="G141" s="159">
        <f t="shared" si="20"/>
        <v>1157672.0833333435</v>
      </c>
      <c r="H141" s="163">
        <f t="shared" si="12"/>
        <v>2455968.2821492199</v>
      </c>
      <c r="I141" s="253">
        <f t="shared" si="13"/>
        <v>2455968.2821492199</v>
      </c>
      <c r="J141" s="158">
        <f t="shared" si="21"/>
        <v>0</v>
      </c>
      <c r="K141" s="158"/>
      <c r="L141" s="334"/>
      <c r="M141" s="158">
        <f t="shared" si="22"/>
        <v>0</v>
      </c>
      <c r="N141" s="334"/>
      <c r="O141" s="158">
        <f t="shared" si="23"/>
        <v>0</v>
      </c>
      <c r="P141" s="158">
        <f t="shared" si="24"/>
        <v>0</v>
      </c>
    </row>
    <row r="142" spans="2:16">
      <c r="B142" s="9" t="str">
        <f t="shared" si="18"/>
        <v>IU</v>
      </c>
      <c r="C142" s="153">
        <f>IF(D93="","-",+C141+1)</f>
        <v>2059</v>
      </c>
      <c r="D142" s="154">
        <f>IF(F141+SUM(E$99:E141)=D$92,F141,D$92-SUM(E$99:E141))</f>
        <v>-4.4703483581542969E-8</v>
      </c>
      <c r="E142" s="160">
        <f>IF(+J96&lt;F141,J96,D142)</f>
        <v>-4.4703483581542969E-8</v>
      </c>
      <c r="F142" s="159">
        <f t="shared" si="19"/>
        <v>0</v>
      </c>
      <c r="G142" s="159">
        <f t="shared" si="20"/>
        <v>-2.2351741790771484E-8</v>
      </c>
      <c r="H142" s="163">
        <f t="shared" si="12"/>
        <v>-4.7418582238643958E-8</v>
      </c>
      <c r="I142" s="253">
        <f t="shared" si="13"/>
        <v>-4.7418582238643958E-8</v>
      </c>
      <c r="J142" s="158">
        <f t="shared" si="21"/>
        <v>0</v>
      </c>
      <c r="K142" s="158"/>
      <c r="L142" s="334"/>
      <c r="M142" s="158">
        <f t="shared" si="22"/>
        <v>0</v>
      </c>
      <c r="N142" s="334"/>
      <c r="O142" s="158">
        <f t="shared" si="23"/>
        <v>0</v>
      </c>
      <c r="P142" s="158">
        <f t="shared" si="24"/>
        <v>0</v>
      </c>
    </row>
    <row r="143" spans="2:16">
      <c r="B143" s="9" t="str">
        <f t="shared" si="18"/>
        <v/>
      </c>
      <c r="C143" s="153">
        <f>IF(D93="","-",+C142+1)</f>
        <v>2060</v>
      </c>
      <c r="D143" s="154">
        <f>IF(F142+SUM(E$99:E142)=D$92,F142,D$92-SUM(E$99:E142))</f>
        <v>0</v>
      </c>
      <c r="E143" s="160">
        <f>IF(+J96&lt;F142,J96,D143)</f>
        <v>0</v>
      </c>
      <c r="F143" s="159">
        <f t="shared" si="19"/>
        <v>0</v>
      </c>
      <c r="G143" s="159">
        <f t="shared" si="20"/>
        <v>0</v>
      </c>
      <c r="H143" s="163">
        <f t="shared" si="12"/>
        <v>0</v>
      </c>
      <c r="I143" s="253">
        <f t="shared" si="13"/>
        <v>0</v>
      </c>
      <c r="J143" s="158">
        <f t="shared" si="21"/>
        <v>0</v>
      </c>
      <c r="K143" s="158"/>
      <c r="L143" s="334"/>
      <c r="M143" s="158">
        <f t="shared" si="22"/>
        <v>0</v>
      </c>
      <c r="N143" s="334"/>
      <c r="O143" s="158">
        <f t="shared" si="23"/>
        <v>0</v>
      </c>
      <c r="P143" s="158">
        <f t="shared" si="24"/>
        <v>0</v>
      </c>
    </row>
    <row r="144" spans="2:16">
      <c r="B144" s="9" t="str">
        <f t="shared" si="18"/>
        <v/>
      </c>
      <c r="C144" s="153">
        <f>IF(D93="","-",+C143+1)</f>
        <v>2061</v>
      </c>
      <c r="D144" s="154">
        <f>IF(F143+SUM(E$99:E143)=D$92,F143,D$92-SUM(E$99:E143))</f>
        <v>0</v>
      </c>
      <c r="E144" s="160">
        <f>IF(+J96&lt;F143,J96,D144)</f>
        <v>0</v>
      </c>
      <c r="F144" s="159">
        <f t="shared" si="19"/>
        <v>0</v>
      </c>
      <c r="G144" s="159">
        <f t="shared" si="20"/>
        <v>0</v>
      </c>
      <c r="H144" s="163">
        <f t="shared" si="12"/>
        <v>0</v>
      </c>
      <c r="I144" s="253">
        <f t="shared" si="13"/>
        <v>0</v>
      </c>
      <c r="J144" s="158">
        <f t="shared" si="21"/>
        <v>0</v>
      </c>
      <c r="K144" s="158"/>
      <c r="L144" s="334"/>
      <c r="M144" s="158">
        <f t="shared" si="22"/>
        <v>0</v>
      </c>
      <c r="N144" s="334"/>
      <c r="O144" s="158">
        <f t="shared" si="23"/>
        <v>0</v>
      </c>
      <c r="P144" s="158">
        <f t="shared" si="24"/>
        <v>0</v>
      </c>
    </row>
    <row r="145" spans="2:16">
      <c r="B145" s="9" t="str">
        <f t="shared" si="18"/>
        <v/>
      </c>
      <c r="C145" s="153">
        <f>IF(D93="","-",+C144+1)</f>
        <v>2062</v>
      </c>
      <c r="D145" s="154">
        <f>IF(F144+SUM(E$99:E144)=D$92,F144,D$92-SUM(E$99:E144))</f>
        <v>0</v>
      </c>
      <c r="E145" s="160">
        <f>IF(+J96&lt;F144,J96,D145)</f>
        <v>0</v>
      </c>
      <c r="F145" s="159">
        <f t="shared" si="19"/>
        <v>0</v>
      </c>
      <c r="G145" s="159">
        <f t="shared" si="20"/>
        <v>0</v>
      </c>
      <c r="H145" s="163">
        <f t="shared" si="12"/>
        <v>0</v>
      </c>
      <c r="I145" s="253">
        <f t="shared" si="13"/>
        <v>0</v>
      </c>
      <c r="J145" s="158">
        <f t="shared" si="21"/>
        <v>0</v>
      </c>
      <c r="K145" s="158"/>
      <c r="L145" s="334"/>
      <c r="M145" s="158">
        <f t="shared" si="22"/>
        <v>0</v>
      </c>
      <c r="N145" s="334"/>
      <c r="O145" s="158">
        <f t="shared" si="23"/>
        <v>0</v>
      </c>
      <c r="P145" s="158">
        <f t="shared" si="24"/>
        <v>0</v>
      </c>
    </row>
    <row r="146" spans="2:16">
      <c r="B146" s="9" t="str">
        <f t="shared" si="18"/>
        <v/>
      </c>
      <c r="C146" s="153">
        <f>IF(D93="","-",+C145+1)</f>
        <v>2063</v>
      </c>
      <c r="D146" s="154">
        <f>IF(F145+SUM(E$99:E145)=D$92,F145,D$92-SUM(E$99:E145))</f>
        <v>0</v>
      </c>
      <c r="E146" s="160">
        <f>IF(+J96&lt;F145,J96,D146)</f>
        <v>0</v>
      </c>
      <c r="F146" s="159">
        <f t="shared" si="19"/>
        <v>0</v>
      </c>
      <c r="G146" s="159">
        <f t="shared" si="20"/>
        <v>0</v>
      </c>
      <c r="H146" s="163">
        <f t="shared" si="12"/>
        <v>0</v>
      </c>
      <c r="I146" s="253">
        <f t="shared" si="13"/>
        <v>0</v>
      </c>
      <c r="J146" s="158">
        <f t="shared" si="21"/>
        <v>0</v>
      </c>
      <c r="K146" s="158"/>
      <c r="L146" s="334"/>
      <c r="M146" s="158">
        <f t="shared" si="22"/>
        <v>0</v>
      </c>
      <c r="N146" s="334"/>
      <c r="O146" s="158">
        <f t="shared" si="23"/>
        <v>0</v>
      </c>
      <c r="P146" s="158">
        <f t="shared" si="24"/>
        <v>0</v>
      </c>
    </row>
    <row r="147" spans="2:16">
      <c r="B147" s="9" t="str">
        <f t="shared" si="18"/>
        <v/>
      </c>
      <c r="C147" s="153">
        <f>IF(D93="","-",+C146+1)</f>
        <v>2064</v>
      </c>
      <c r="D147" s="154">
        <f>IF(F146+SUM(E$99:E146)=D$92,F146,D$92-SUM(E$99:E146))</f>
        <v>0</v>
      </c>
      <c r="E147" s="160">
        <f>IF(+J96&lt;F146,J96,D147)</f>
        <v>0</v>
      </c>
      <c r="F147" s="159">
        <f t="shared" si="19"/>
        <v>0</v>
      </c>
      <c r="G147" s="159">
        <f t="shared" si="20"/>
        <v>0</v>
      </c>
      <c r="H147" s="163">
        <f t="shared" si="12"/>
        <v>0</v>
      </c>
      <c r="I147" s="253">
        <f t="shared" si="13"/>
        <v>0</v>
      </c>
      <c r="J147" s="158">
        <f t="shared" si="21"/>
        <v>0</v>
      </c>
      <c r="K147" s="158"/>
      <c r="L147" s="334"/>
      <c r="M147" s="158">
        <f t="shared" si="22"/>
        <v>0</v>
      </c>
      <c r="N147" s="334"/>
      <c r="O147" s="158">
        <f t="shared" si="23"/>
        <v>0</v>
      </c>
      <c r="P147" s="158">
        <f t="shared" si="24"/>
        <v>0</v>
      </c>
    </row>
    <row r="148" spans="2:16">
      <c r="B148" s="9" t="str">
        <f t="shared" si="18"/>
        <v/>
      </c>
      <c r="C148" s="153">
        <f>IF(D93="","-",+C147+1)</f>
        <v>2065</v>
      </c>
      <c r="D148" s="154">
        <f>IF(F147+SUM(E$99:E147)=D$92,F147,D$92-SUM(E$99:E147))</f>
        <v>0</v>
      </c>
      <c r="E148" s="160">
        <f>IF(+J96&lt;F147,J96,D148)</f>
        <v>0</v>
      </c>
      <c r="F148" s="159">
        <f t="shared" si="19"/>
        <v>0</v>
      </c>
      <c r="G148" s="159">
        <f t="shared" si="20"/>
        <v>0</v>
      </c>
      <c r="H148" s="163">
        <f t="shared" si="12"/>
        <v>0</v>
      </c>
      <c r="I148" s="253">
        <f t="shared" si="13"/>
        <v>0</v>
      </c>
      <c r="J148" s="158">
        <f t="shared" si="21"/>
        <v>0</v>
      </c>
      <c r="K148" s="158"/>
      <c r="L148" s="334"/>
      <c r="M148" s="158">
        <f t="shared" si="22"/>
        <v>0</v>
      </c>
      <c r="N148" s="334"/>
      <c r="O148" s="158">
        <f t="shared" si="23"/>
        <v>0</v>
      </c>
      <c r="P148" s="158">
        <f t="shared" si="24"/>
        <v>0</v>
      </c>
    </row>
    <row r="149" spans="2:16">
      <c r="B149" s="9" t="str">
        <f t="shared" si="18"/>
        <v/>
      </c>
      <c r="C149" s="153">
        <f>IF(D93="","-",+C148+1)</f>
        <v>2066</v>
      </c>
      <c r="D149" s="154">
        <f>IF(F148+SUM(E$99:E148)=D$92,F148,D$92-SUM(E$99:E148))</f>
        <v>0</v>
      </c>
      <c r="E149" s="160">
        <f>IF(+J96&lt;F148,J96,D149)</f>
        <v>0</v>
      </c>
      <c r="F149" s="159">
        <f t="shared" si="19"/>
        <v>0</v>
      </c>
      <c r="G149" s="159">
        <f t="shared" si="20"/>
        <v>0</v>
      </c>
      <c r="H149" s="163">
        <f t="shared" si="12"/>
        <v>0</v>
      </c>
      <c r="I149" s="253">
        <f t="shared" si="13"/>
        <v>0</v>
      </c>
      <c r="J149" s="158">
        <f t="shared" si="21"/>
        <v>0</v>
      </c>
      <c r="K149" s="158"/>
      <c r="L149" s="334"/>
      <c r="M149" s="158">
        <f t="shared" si="22"/>
        <v>0</v>
      </c>
      <c r="N149" s="334"/>
      <c r="O149" s="158">
        <f t="shared" si="23"/>
        <v>0</v>
      </c>
      <c r="P149" s="158">
        <f t="shared" si="24"/>
        <v>0</v>
      </c>
    </row>
    <row r="150" spans="2:16">
      <c r="B150" s="9" t="str">
        <f t="shared" si="18"/>
        <v/>
      </c>
      <c r="C150" s="153">
        <f>IF(D93="","-",+C149+1)</f>
        <v>2067</v>
      </c>
      <c r="D150" s="154">
        <f>IF(F149+SUM(E$99:E149)=D$92,F149,D$92-SUM(E$99:E149))</f>
        <v>0</v>
      </c>
      <c r="E150" s="160">
        <f>IF(+J96&lt;F149,J96,D150)</f>
        <v>0</v>
      </c>
      <c r="F150" s="159">
        <f t="shared" si="19"/>
        <v>0</v>
      </c>
      <c r="G150" s="159">
        <f t="shared" si="20"/>
        <v>0</v>
      </c>
      <c r="H150" s="163">
        <f t="shared" si="12"/>
        <v>0</v>
      </c>
      <c r="I150" s="253">
        <f t="shared" si="13"/>
        <v>0</v>
      </c>
      <c r="J150" s="158">
        <f t="shared" si="21"/>
        <v>0</v>
      </c>
      <c r="K150" s="158"/>
      <c r="L150" s="334"/>
      <c r="M150" s="158">
        <f t="shared" si="22"/>
        <v>0</v>
      </c>
      <c r="N150" s="334"/>
      <c r="O150" s="158">
        <f t="shared" si="23"/>
        <v>0</v>
      </c>
      <c r="P150" s="158">
        <f t="shared" si="24"/>
        <v>0</v>
      </c>
    </row>
    <row r="151" spans="2:16">
      <c r="B151" s="9" t="str">
        <f t="shared" si="18"/>
        <v/>
      </c>
      <c r="C151" s="153">
        <f>IF(D93="","-",+C150+1)</f>
        <v>2068</v>
      </c>
      <c r="D151" s="154">
        <f>IF(F150+SUM(E$99:E150)=D$92,F150,D$92-SUM(E$99:E150))</f>
        <v>0</v>
      </c>
      <c r="E151" s="160">
        <f>IF(+J96&lt;F150,J96,D151)</f>
        <v>0</v>
      </c>
      <c r="F151" s="159">
        <f t="shared" si="19"/>
        <v>0</v>
      </c>
      <c r="G151" s="159">
        <f t="shared" si="20"/>
        <v>0</v>
      </c>
      <c r="H151" s="163">
        <f t="shared" si="12"/>
        <v>0</v>
      </c>
      <c r="I151" s="253">
        <f t="shared" si="13"/>
        <v>0</v>
      </c>
      <c r="J151" s="158">
        <f t="shared" si="21"/>
        <v>0</v>
      </c>
      <c r="K151" s="158"/>
      <c r="L151" s="334"/>
      <c r="M151" s="158">
        <f t="shared" si="22"/>
        <v>0</v>
      </c>
      <c r="N151" s="334"/>
      <c r="O151" s="158">
        <f t="shared" si="23"/>
        <v>0</v>
      </c>
      <c r="P151" s="158">
        <f t="shared" si="24"/>
        <v>0</v>
      </c>
    </row>
    <row r="152" spans="2:16">
      <c r="B152" s="9" t="str">
        <f t="shared" si="18"/>
        <v/>
      </c>
      <c r="C152" s="153">
        <f>IF(D93="","-",+C151+1)</f>
        <v>2069</v>
      </c>
      <c r="D152" s="154">
        <f>IF(F151+SUM(E$99:E151)=D$92,F151,D$92-SUM(E$99:E151))</f>
        <v>0</v>
      </c>
      <c r="E152" s="160">
        <f>IF(+J96&lt;F151,J96,D152)</f>
        <v>0</v>
      </c>
      <c r="F152" s="159">
        <f t="shared" si="19"/>
        <v>0</v>
      </c>
      <c r="G152" s="159">
        <f t="shared" si="20"/>
        <v>0</v>
      </c>
      <c r="H152" s="163">
        <f t="shared" si="12"/>
        <v>0</v>
      </c>
      <c r="I152" s="253">
        <f t="shared" si="13"/>
        <v>0</v>
      </c>
      <c r="J152" s="158">
        <f t="shared" si="21"/>
        <v>0</v>
      </c>
      <c r="K152" s="158"/>
      <c r="L152" s="334"/>
      <c r="M152" s="158">
        <f t="shared" si="22"/>
        <v>0</v>
      </c>
      <c r="N152" s="334"/>
      <c r="O152" s="158">
        <f t="shared" si="23"/>
        <v>0</v>
      </c>
      <c r="P152" s="158">
        <f t="shared" si="24"/>
        <v>0</v>
      </c>
    </row>
    <row r="153" spans="2:16">
      <c r="B153" s="9" t="str">
        <f t="shared" si="18"/>
        <v/>
      </c>
      <c r="C153" s="153">
        <f>IF(D93="","-",+C152+1)</f>
        <v>2070</v>
      </c>
      <c r="D153" s="154">
        <f>IF(F152+SUM(E$99:E152)=D$92,F152,D$92-SUM(E$99:E152))</f>
        <v>0</v>
      </c>
      <c r="E153" s="160">
        <f>IF(+J96&lt;F152,J96,D153)</f>
        <v>0</v>
      </c>
      <c r="F153" s="159">
        <f t="shared" si="19"/>
        <v>0</v>
      </c>
      <c r="G153" s="159">
        <f t="shared" si="20"/>
        <v>0</v>
      </c>
      <c r="H153" s="163">
        <f t="shared" si="12"/>
        <v>0</v>
      </c>
      <c r="I153" s="253">
        <f t="shared" si="13"/>
        <v>0</v>
      </c>
      <c r="J153" s="158">
        <f t="shared" si="21"/>
        <v>0</v>
      </c>
      <c r="K153" s="158"/>
      <c r="L153" s="334"/>
      <c r="M153" s="158">
        <f t="shared" si="22"/>
        <v>0</v>
      </c>
      <c r="N153" s="334"/>
      <c r="O153" s="158">
        <f t="shared" si="23"/>
        <v>0</v>
      </c>
      <c r="P153" s="158">
        <f t="shared" si="24"/>
        <v>0</v>
      </c>
    </row>
    <row r="154" spans="2:16" ht="13.5" thickBot="1">
      <c r="B154" s="9" t="str">
        <f t="shared" si="18"/>
        <v/>
      </c>
      <c r="C154" s="164">
        <f>IF(D93="","-",+C153+1)</f>
        <v>2071</v>
      </c>
      <c r="D154" s="215">
        <f>IF(F153+SUM(E$99:E153)=D$92,F153,D$92-SUM(E$99:E153))</f>
        <v>0</v>
      </c>
      <c r="E154" s="166">
        <f>IF(+J96&lt;F153,J96,D154)</f>
        <v>0</v>
      </c>
      <c r="F154" s="165">
        <f t="shared" si="19"/>
        <v>0</v>
      </c>
      <c r="G154" s="165">
        <f t="shared" si="20"/>
        <v>0</v>
      </c>
      <c r="H154" s="167">
        <f t="shared" si="12"/>
        <v>0</v>
      </c>
      <c r="I154" s="254">
        <f t="shared" si="13"/>
        <v>0</v>
      </c>
      <c r="J154" s="169">
        <f t="shared" si="21"/>
        <v>0</v>
      </c>
      <c r="K154" s="158"/>
      <c r="L154" s="335"/>
      <c r="M154" s="169">
        <f t="shared" si="22"/>
        <v>0</v>
      </c>
      <c r="N154" s="335"/>
      <c r="O154" s="169">
        <f t="shared" si="23"/>
        <v>0</v>
      </c>
      <c r="P154" s="169">
        <f t="shared" si="24"/>
        <v>0</v>
      </c>
    </row>
    <row r="155" spans="2:16">
      <c r="C155" s="154" t="s">
        <v>73</v>
      </c>
      <c r="D155" s="111"/>
      <c r="E155" s="111">
        <f>SUM(E99:E154)</f>
        <v>97244455</v>
      </c>
      <c r="F155" s="111"/>
      <c r="G155" s="111"/>
      <c r="H155" s="111">
        <f>SUM(H99:H154)</f>
        <v>351285292.72502804</v>
      </c>
      <c r="I155" s="111">
        <f>SUM(I99:I154)</f>
        <v>351285292.72502804</v>
      </c>
      <c r="J155" s="111">
        <f>SUM(J99:J154)</f>
        <v>0</v>
      </c>
      <c r="K155" s="111"/>
      <c r="L155" s="111"/>
      <c r="M155" s="111"/>
      <c r="N155" s="111"/>
      <c r="O155" s="111"/>
      <c r="P155" s="1"/>
    </row>
    <row r="156" spans="2:16">
      <c r="C156" t="s">
        <v>87</v>
      </c>
      <c r="D156" s="2"/>
      <c r="E156" s="1"/>
      <c r="F156" s="1"/>
      <c r="G156" s="1"/>
      <c r="H156" s="1"/>
      <c r="I156" s="3"/>
      <c r="J156" s="3"/>
      <c r="K156" s="111"/>
      <c r="L156" s="3"/>
      <c r="M156" s="3"/>
      <c r="N156" s="3"/>
      <c r="O156" s="3"/>
      <c r="P156" s="1"/>
    </row>
    <row r="157" spans="2:16">
      <c r="C157" s="216"/>
      <c r="D157" s="2"/>
      <c r="E157" s="1"/>
      <c r="F157" s="1"/>
      <c r="G157" s="1"/>
      <c r="H157" s="1"/>
      <c r="I157" s="3"/>
      <c r="J157" s="3"/>
      <c r="K157" s="111"/>
      <c r="L157" s="3"/>
      <c r="M157" s="3"/>
      <c r="N157" s="3"/>
      <c r="O157" s="3"/>
      <c r="P157" s="1"/>
    </row>
    <row r="158" spans="2:16">
      <c r="C158" s="248" t="s">
        <v>127</v>
      </c>
      <c r="D158" s="2"/>
      <c r="E158" s="1"/>
      <c r="F158" s="1"/>
      <c r="G158" s="1"/>
      <c r="H158" s="1"/>
      <c r="I158" s="3"/>
      <c r="J158" s="3"/>
      <c r="K158" s="111"/>
      <c r="L158" s="3"/>
      <c r="M158" s="3"/>
      <c r="N158" s="3"/>
      <c r="O158" s="3"/>
      <c r="P158" s="1"/>
    </row>
    <row r="159" spans="2:16">
      <c r="C159" s="121" t="s">
        <v>74</v>
      </c>
      <c r="D159" s="154"/>
      <c r="E159" s="154"/>
      <c r="F159" s="154"/>
      <c r="G159" s="154"/>
      <c r="H159" s="111"/>
      <c r="I159" s="111"/>
      <c r="J159" s="171"/>
      <c r="K159" s="171"/>
      <c r="L159" s="171"/>
      <c r="M159" s="171"/>
      <c r="N159" s="171"/>
      <c r="O159" s="171"/>
      <c r="P159" s="1"/>
    </row>
    <row r="160" spans="2:16">
      <c r="C160" s="217" t="s">
        <v>75</v>
      </c>
      <c r="D160" s="154"/>
      <c r="E160" s="154"/>
      <c r="F160" s="154"/>
      <c r="G160" s="154"/>
      <c r="H160" s="111"/>
      <c r="I160" s="111"/>
      <c r="J160" s="171"/>
      <c r="K160" s="171"/>
      <c r="L160" s="171"/>
      <c r="M160" s="171"/>
      <c r="N160" s="171"/>
      <c r="O160" s="171"/>
      <c r="P160" s="1"/>
    </row>
    <row r="161" spans="3:16">
      <c r="C161" s="217"/>
      <c r="D161" s="154"/>
      <c r="E161" s="154"/>
      <c r="F161" s="154"/>
      <c r="G161" s="154"/>
      <c r="H161" s="111"/>
      <c r="I161" s="111"/>
      <c r="J161" s="171"/>
      <c r="K161" s="171"/>
      <c r="L161" s="171"/>
      <c r="M161" s="171"/>
      <c r="N161" s="171"/>
      <c r="O161" s="171"/>
      <c r="P161" s="1"/>
    </row>
    <row r="162" spans="3:16" ht="18">
      <c r="C162" s="217"/>
      <c r="D162" s="154"/>
      <c r="E162" s="154"/>
      <c r="F162" s="154"/>
      <c r="G162" s="154"/>
      <c r="H162" s="111"/>
      <c r="I162" s="111"/>
      <c r="J162" s="171"/>
      <c r="K162" s="171"/>
      <c r="L162" s="171"/>
      <c r="M162" s="171"/>
      <c r="N162" s="171"/>
      <c r="P162" s="245" t="s">
        <v>126</v>
      </c>
    </row>
  </sheetData>
  <conditionalFormatting sqref="C18:C72">
    <cfRule type="cellIs" dxfId="43" priority="2" stopIfTrue="1" operator="equal">
      <formula>$I$10</formula>
    </cfRule>
  </conditionalFormatting>
  <conditionalFormatting sqref="C99:C154">
    <cfRule type="cellIs" dxfId="42" priority="3" stopIfTrue="1" operator="equal">
      <formula>$J$92</formula>
    </cfRule>
  </conditionalFormatting>
  <conditionalFormatting sqref="C17">
    <cfRule type="cellIs" dxfId="41" priority="1" stopIfTrue="1" operator="equal">
      <formula>$I$10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  <legacyDrawing r:id="rId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0"/>
  <dimension ref="A1:P162"/>
  <sheetViews>
    <sheetView view="pageBreakPreview" topLeftCell="A64" zoomScale="80" zoomScaleNormal="100" zoomScaleSheetLayoutView="80" workbookViewId="0">
      <selection activeCell="C19" sqref="C19"/>
    </sheetView>
  </sheetViews>
  <sheetFormatPr defaultRowHeight="12.75" customHeight="1"/>
  <cols>
    <col min="1" max="1" width="4.7109375" customWidth="1"/>
    <col min="2" max="2" width="6.7109375" customWidth="1"/>
    <col min="3" max="3" width="23.28515625" customWidth="1"/>
    <col min="4" max="8" width="17.7109375" customWidth="1"/>
    <col min="9" max="9" width="20.42578125" customWidth="1"/>
    <col min="10" max="10" width="16.42578125" customWidth="1"/>
    <col min="11" max="11" width="17.7109375" customWidth="1"/>
    <col min="12" max="12" width="16.140625" customWidth="1"/>
    <col min="13" max="13" width="17.7109375" customWidth="1"/>
    <col min="14" max="14" width="16.7109375" customWidth="1"/>
    <col min="15" max="15" width="16.85546875" customWidth="1"/>
    <col min="16" max="16" width="24.42578125" customWidth="1"/>
    <col min="17" max="17" width="9.140625" customWidth="1"/>
    <col min="23" max="23" width="9.140625" customWidth="1"/>
  </cols>
  <sheetData>
    <row r="1" spans="1:16" ht="20.25">
      <c r="A1" s="243" t="s">
        <v>128</v>
      </c>
      <c r="B1" s="1"/>
      <c r="C1" s="21"/>
      <c r="D1" s="2"/>
      <c r="E1" s="1"/>
      <c r="F1" s="99"/>
      <c r="G1" s="1"/>
      <c r="H1" s="3"/>
      <c r="J1" s="7"/>
      <c r="K1" s="109"/>
      <c r="L1" s="109"/>
      <c r="M1" s="109"/>
      <c r="P1" s="249" t="str">
        <f ca="1">"SWEPCO Project "&amp;RIGHT(MID(CELL("filename",$A$1),FIND("]",CELL("filename",$A$1))+1,256),2)&amp;" of "&amp;COUNT('S.001:S.xyz - blank'!$P$3)-1</f>
        <v>SWEPCO Project 61 of 73</v>
      </c>
    </row>
    <row r="2" spans="1:16" ht="18">
      <c r="B2" s="1"/>
      <c r="C2" s="1"/>
      <c r="D2" s="2"/>
      <c r="E2" s="1"/>
      <c r="F2" s="1"/>
      <c r="G2" s="1"/>
      <c r="H2" s="3"/>
      <c r="I2" s="1"/>
      <c r="J2" s="4"/>
      <c r="K2" s="1"/>
      <c r="L2" s="1"/>
      <c r="M2" s="1"/>
      <c r="N2" s="1"/>
      <c r="P2" s="244" t="s">
        <v>124</v>
      </c>
    </row>
    <row r="3" spans="1:16" ht="18.75">
      <c r="B3" s="5" t="s">
        <v>40</v>
      </c>
      <c r="C3" s="68" t="s">
        <v>41</v>
      </c>
      <c r="D3" s="2"/>
      <c r="E3" s="1"/>
      <c r="F3" s="1"/>
      <c r="G3" s="1"/>
      <c r="H3" s="3"/>
      <c r="I3" s="3"/>
      <c r="J3" s="111"/>
      <c r="K3" s="3"/>
      <c r="L3" s="3"/>
      <c r="M3" s="3"/>
      <c r="N3" s="3"/>
      <c r="O3" s="1"/>
      <c r="P3" s="240">
        <v>1</v>
      </c>
    </row>
    <row r="4" spans="1:16" ht="15.75" thickBot="1">
      <c r="C4" s="67"/>
      <c r="D4" s="2"/>
      <c r="E4" s="1"/>
      <c r="F4" s="1"/>
      <c r="G4" s="1"/>
      <c r="H4" s="3"/>
      <c r="I4" s="3"/>
      <c r="J4" s="111"/>
      <c r="K4" s="3"/>
      <c r="L4" s="3"/>
      <c r="M4" s="3"/>
      <c r="N4" s="3"/>
      <c r="O4" s="1"/>
      <c r="P4" s="1"/>
    </row>
    <row r="5" spans="1:16" ht="15">
      <c r="C5" s="112" t="s">
        <v>42</v>
      </c>
      <c r="D5" s="2"/>
      <c r="E5" s="1"/>
      <c r="F5" s="1"/>
      <c r="G5" s="113"/>
      <c r="H5" s="1" t="s">
        <v>43</v>
      </c>
      <c r="I5" s="1"/>
      <c r="J5" s="4"/>
      <c r="K5" s="268" t="s">
        <v>152</v>
      </c>
      <c r="L5" s="114"/>
      <c r="M5" s="115"/>
      <c r="N5" s="116">
        <f>VLOOKUP(I10,C17:I72,5)</f>
        <v>6861563.6128936736</v>
      </c>
      <c r="P5" s="1"/>
    </row>
    <row r="6" spans="1:16" ht="15.75">
      <c r="C6" s="8"/>
      <c r="D6" s="2"/>
      <c r="E6" s="1"/>
      <c r="F6" s="1"/>
      <c r="G6" s="1"/>
      <c r="H6" s="117"/>
      <c r="I6" s="117"/>
      <c r="J6" s="118"/>
      <c r="K6" s="269" t="s">
        <v>153</v>
      </c>
      <c r="L6" s="119"/>
      <c r="M6" s="4"/>
      <c r="N6" s="120">
        <f>VLOOKUP(I10,C17:I72,6)</f>
        <v>6861563.6128936736</v>
      </c>
      <c r="O6" s="1"/>
      <c r="P6" s="1"/>
    </row>
    <row r="7" spans="1:16" ht="13.5" thickBot="1">
      <c r="C7" s="121" t="s">
        <v>44</v>
      </c>
      <c r="D7" s="223" t="s">
        <v>370</v>
      </c>
      <c r="E7" s="1"/>
      <c r="F7" s="1"/>
      <c r="G7" s="1"/>
      <c r="H7" s="3"/>
      <c r="I7" s="3"/>
      <c r="J7" s="111"/>
      <c r="K7" s="122" t="s">
        <v>45</v>
      </c>
      <c r="L7" s="123"/>
      <c r="M7" s="123"/>
      <c r="N7" s="124">
        <f>+N6-N5</f>
        <v>0</v>
      </c>
      <c r="O7" s="1"/>
      <c r="P7" s="1"/>
    </row>
    <row r="8" spans="1:16" ht="13.5" thickBot="1">
      <c r="C8" s="125"/>
      <c r="D8" s="352" t="str">
        <f>IF(D10&lt;100000,"DOES NOT MEET SPP $100,000 MINIMUM INVESTMENT FOR REGIONAL BPU SHARING.","")</f>
        <v/>
      </c>
      <c r="E8" s="126"/>
      <c r="F8" s="126"/>
      <c r="G8" s="126"/>
      <c r="H8" s="126"/>
      <c r="I8" s="126"/>
      <c r="J8" s="101"/>
      <c r="K8" s="126"/>
      <c r="L8" s="126"/>
      <c r="M8" s="126"/>
      <c r="N8" s="126"/>
      <c r="O8" s="101"/>
      <c r="P8" s="21"/>
    </row>
    <row r="9" spans="1:16" ht="13.5" thickBot="1">
      <c r="C9" s="127" t="s">
        <v>46</v>
      </c>
      <c r="D9" s="225" t="s">
        <v>371</v>
      </c>
      <c r="E9" s="401" t="s">
        <v>448</v>
      </c>
      <c r="F9" s="128"/>
      <c r="G9" s="128"/>
      <c r="H9" s="128"/>
      <c r="I9" s="129"/>
      <c r="J9" s="130"/>
      <c r="O9" s="131"/>
      <c r="P9" s="4"/>
    </row>
    <row r="10" spans="1:16">
      <c r="C10" s="132" t="s">
        <v>47</v>
      </c>
      <c r="D10" s="133">
        <v>59534283</v>
      </c>
      <c r="E10" s="61" t="s">
        <v>459</v>
      </c>
      <c r="F10" s="131"/>
      <c r="G10" s="134"/>
      <c r="H10" s="134"/>
      <c r="I10" s="135">
        <f>+SWE.WS.F.BPU.ATRR.Projected!K17</f>
        <v>2019</v>
      </c>
      <c r="J10" s="130"/>
      <c r="K10" s="111" t="s">
        <v>48</v>
      </c>
      <c r="O10" s="4"/>
      <c r="P10" s="4"/>
    </row>
    <row r="11" spans="1:16">
      <c r="C11" s="136" t="s">
        <v>49</v>
      </c>
      <c r="D11" s="137">
        <v>2016</v>
      </c>
      <c r="E11" s="136" t="s">
        <v>50</v>
      </c>
      <c r="F11" s="134"/>
      <c r="G11" s="7"/>
      <c r="H11" s="7"/>
      <c r="I11" s="138">
        <f>IF(G5="",0,SWE.WS.F.BPU.ATRR.Projected!F$11)</f>
        <v>0</v>
      </c>
      <c r="J11" s="139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4"/>
      <c r="P11" s="4"/>
    </row>
    <row r="12" spans="1:16">
      <c r="C12" s="136" t="s">
        <v>51</v>
      </c>
      <c r="D12" s="133">
        <v>4</v>
      </c>
      <c r="E12" s="136" t="s">
        <v>52</v>
      </c>
      <c r="F12" s="134"/>
      <c r="G12" s="7"/>
      <c r="H12" s="7"/>
      <c r="I12" s="140">
        <f>SWE.WS.F.BPU.ATRR.Projected!$F$76</f>
        <v>9.9555672459071778E-2</v>
      </c>
      <c r="J12" s="141"/>
      <c r="K12" t="s">
        <v>53</v>
      </c>
      <c r="O12" s="4"/>
      <c r="P12" s="4"/>
    </row>
    <row r="13" spans="1:16">
      <c r="C13" s="136" t="s">
        <v>54</v>
      </c>
      <c r="D13" s="138">
        <f>+SWE.WS.F.BPU.ATRR.Projected!F$87</f>
        <v>43</v>
      </c>
      <c r="E13" s="136" t="s">
        <v>55</v>
      </c>
      <c r="F13" s="134"/>
      <c r="G13" s="7"/>
      <c r="H13" s="7"/>
      <c r="I13" s="140">
        <f>IF(G5="",I12,SWE.WS.F.BPU.ATRR.Projected!$F$75)</f>
        <v>9.9555672459071778E-2</v>
      </c>
      <c r="J13" s="141"/>
      <c r="K13" s="111" t="s">
        <v>56</v>
      </c>
      <c r="L13" s="58"/>
      <c r="M13" s="58"/>
      <c r="N13" s="58"/>
      <c r="O13" s="4"/>
      <c r="P13" s="4"/>
    </row>
    <row r="14" spans="1:16" ht="13.5" thickBot="1">
      <c r="C14" s="136" t="s">
        <v>57</v>
      </c>
      <c r="D14" s="137" t="s">
        <v>58</v>
      </c>
      <c r="E14" s="4" t="s">
        <v>59</v>
      </c>
      <c r="F14" s="134"/>
      <c r="G14" s="7"/>
      <c r="H14" s="7"/>
      <c r="I14" s="142">
        <f>IF(D10=0,0,D10/D13)</f>
        <v>1384518.2093023255</v>
      </c>
      <c r="J14" s="111"/>
      <c r="K14" s="111"/>
      <c r="L14" s="111"/>
      <c r="M14" s="111"/>
      <c r="N14" s="111"/>
      <c r="O14" s="4"/>
      <c r="P14" s="4"/>
    </row>
    <row r="15" spans="1:16" ht="38.25">
      <c r="C15" s="143" t="s">
        <v>47</v>
      </c>
      <c r="D15" s="144" t="s">
        <v>60</v>
      </c>
      <c r="E15" s="144" t="s">
        <v>61</v>
      </c>
      <c r="F15" s="144" t="s">
        <v>62</v>
      </c>
      <c r="G15" s="434" t="s">
        <v>378</v>
      </c>
      <c r="H15" s="435" t="s">
        <v>379</v>
      </c>
      <c r="I15" s="143" t="s">
        <v>63</v>
      </c>
      <c r="J15" s="145"/>
      <c r="K15" s="271" t="s">
        <v>219</v>
      </c>
      <c r="L15" s="146" t="s">
        <v>64</v>
      </c>
      <c r="M15" s="271" t="s">
        <v>219</v>
      </c>
      <c r="N15" s="146" t="s">
        <v>64</v>
      </c>
      <c r="O15" s="146" t="s">
        <v>65</v>
      </c>
      <c r="P15" s="4"/>
    </row>
    <row r="16" spans="1:16" ht="13.5" thickBot="1">
      <c r="C16" s="147" t="s">
        <v>66</v>
      </c>
      <c r="D16" s="147" t="s">
        <v>67</v>
      </c>
      <c r="E16" s="147" t="s">
        <v>68</v>
      </c>
      <c r="F16" s="147" t="s">
        <v>67</v>
      </c>
      <c r="G16" s="408" t="s">
        <v>69</v>
      </c>
      <c r="H16" s="148" t="s">
        <v>70</v>
      </c>
      <c r="I16" s="149" t="s">
        <v>89</v>
      </c>
      <c r="J16" s="150" t="s">
        <v>71</v>
      </c>
      <c r="K16" s="151" t="s">
        <v>72</v>
      </c>
      <c r="L16" s="151" t="s">
        <v>72</v>
      </c>
      <c r="M16" s="151" t="s">
        <v>90</v>
      </c>
      <c r="N16" s="152" t="s">
        <v>90</v>
      </c>
      <c r="O16" s="151" t="s">
        <v>90</v>
      </c>
      <c r="P16" s="4"/>
    </row>
    <row r="17" spans="2:16">
      <c r="C17" s="153">
        <f>IF(D11= "","-",D11)</f>
        <v>2016</v>
      </c>
      <c r="D17" s="360">
        <v>0</v>
      </c>
      <c r="E17" s="360">
        <v>923012.13953488367</v>
      </c>
      <c r="F17" s="360">
        <v>58611270.860465117</v>
      </c>
      <c r="G17" s="360">
        <v>4553761.5622253697</v>
      </c>
      <c r="H17" s="360">
        <v>4553761.5622253697</v>
      </c>
      <c r="I17" s="156">
        <v>0</v>
      </c>
      <c r="J17" s="156"/>
      <c r="K17" s="258">
        <f>+G17</f>
        <v>4553761.5622253697</v>
      </c>
      <c r="L17" s="257">
        <f>IF(K17&lt;&gt;0,+G17-K17,0)</f>
        <v>0</v>
      </c>
      <c r="M17" s="258">
        <f>+H17</f>
        <v>4553761.5622253697</v>
      </c>
      <c r="N17" s="158">
        <f>IF(M17&lt;&gt;0,+H17-M17,0)</f>
        <v>0</v>
      </c>
      <c r="O17" s="158">
        <f>+N17-L17</f>
        <v>0</v>
      </c>
      <c r="P17" s="4"/>
    </row>
    <row r="18" spans="2:16">
      <c r="B18" s="9" t="str">
        <f>IF(D18=F17,"","IU")</f>
        <v/>
      </c>
      <c r="C18" s="153">
        <f>IF(D11="","-",+C17+1)</f>
        <v>2017</v>
      </c>
      <c r="D18" s="360">
        <v>58611270.860465117</v>
      </c>
      <c r="E18" s="360">
        <v>1452055.6829268292</v>
      </c>
      <c r="F18" s="360">
        <v>57159215.177538291</v>
      </c>
      <c r="G18" s="360">
        <v>7928500.3710052036</v>
      </c>
      <c r="H18" s="360">
        <v>7928500.3710052036</v>
      </c>
      <c r="I18" s="156">
        <f t="shared" ref="I18:I72" si="0">H18-G18</f>
        <v>0</v>
      </c>
      <c r="J18" s="156"/>
      <c r="K18" s="258">
        <f>+G18</f>
        <v>7928500.3710052036</v>
      </c>
      <c r="L18" s="257">
        <f>IF(K18&lt;&gt;0,+G18-K18,0)</f>
        <v>0</v>
      </c>
      <c r="M18" s="258">
        <f>+H18</f>
        <v>7928500.3710052036</v>
      </c>
      <c r="N18" s="158">
        <f>IF(M18&lt;&gt;0,+H18-M18,0)</f>
        <v>0</v>
      </c>
      <c r="O18" s="158">
        <f>+N18-L18</f>
        <v>0</v>
      </c>
      <c r="P18" s="4"/>
    </row>
    <row r="19" spans="2:16">
      <c r="B19" s="9" t="str">
        <f>IF(D19=F18,"","IU")</f>
        <v/>
      </c>
      <c r="C19" s="153">
        <f>IF(D11="","-",+C18+1)</f>
        <v>2018</v>
      </c>
      <c r="D19" s="360">
        <v>57159215.177538291</v>
      </c>
      <c r="E19" s="360">
        <v>1452055.6829268292</v>
      </c>
      <c r="F19" s="360">
        <v>55707159.494611464</v>
      </c>
      <c r="G19" s="360">
        <v>7766038.2679887507</v>
      </c>
      <c r="H19" s="360">
        <v>7766038.2679887507</v>
      </c>
      <c r="I19" s="156">
        <f t="shared" si="0"/>
        <v>0</v>
      </c>
      <c r="J19" s="156"/>
      <c r="K19" s="258">
        <f>+G19</f>
        <v>7766038.2679887507</v>
      </c>
      <c r="L19" s="257">
        <f>IF(K19&lt;&gt;0,+G19-K19,0)</f>
        <v>0</v>
      </c>
      <c r="M19" s="258">
        <f>+H19</f>
        <v>7766038.2679887507</v>
      </c>
      <c r="N19" s="158">
        <f>IF(M19&lt;&gt;0,+H19-M19,0)</f>
        <v>0</v>
      </c>
      <c r="O19" s="158">
        <f>+N19-L19</f>
        <v>0</v>
      </c>
      <c r="P19" s="4"/>
    </row>
    <row r="20" spans="2:16">
      <c r="B20" s="9" t="str">
        <f t="shared" ref="B20:B72" si="1">IF(D20=F19,"","IU")</f>
        <v/>
      </c>
      <c r="C20" s="153">
        <f>IF(D11="","-",+C19+1)</f>
        <v>2019</v>
      </c>
      <c r="D20" s="159">
        <f>IF(F19+SUM(E$17:E19)=D$10,F19,D$10-SUM(E$17:E19))</f>
        <v>55707159.494611464</v>
      </c>
      <c r="E20" s="160">
        <f>IF(+I14&lt;F19,I14,D20)</f>
        <v>1384518.2093023255</v>
      </c>
      <c r="F20" s="159">
        <f t="shared" ref="F20:F72" si="2">+D20-E20</f>
        <v>54322641.285309136</v>
      </c>
      <c r="G20" s="161">
        <f t="shared" ref="G20:G48" si="3">+I$12*((D20+F20)/2)+E20</f>
        <v>6861563.6128936736</v>
      </c>
      <c r="H20" s="142">
        <f t="shared" ref="H20:H48" si="4">+I$13*((D20+F20)/2)+E20</f>
        <v>6861563.6128936736</v>
      </c>
      <c r="I20" s="156">
        <f t="shared" si="0"/>
        <v>0</v>
      </c>
      <c r="J20" s="156"/>
      <c r="K20" s="334"/>
      <c r="L20" s="158">
        <f t="shared" ref="L20:L72" si="5">IF(K20&lt;&gt;0,+G20-K20,0)</f>
        <v>0</v>
      </c>
      <c r="M20" s="334"/>
      <c r="N20" s="158">
        <f t="shared" ref="N20:N72" si="6">IF(M20&lt;&gt;0,+H20-M20,0)</f>
        <v>0</v>
      </c>
      <c r="O20" s="158">
        <f t="shared" ref="O20:O72" si="7">+N20-L20</f>
        <v>0</v>
      </c>
      <c r="P20" s="4"/>
    </row>
    <row r="21" spans="2:16">
      <c r="B21" s="9" t="str">
        <f t="shared" si="1"/>
        <v/>
      </c>
      <c r="C21" s="153">
        <f>IF(D11="","-",+C20+1)</f>
        <v>2020</v>
      </c>
      <c r="D21" s="159">
        <f>IF(F20+SUM(E$17:E20)=D$10,F20,D$10-SUM(E$17:E20))</f>
        <v>54322641.285309136</v>
      </c>
      <c r="E21" s="160">
        <f>IF(+I14&lt;F20,I14,D21)</f>
        <v>1384518.2093023255</v>
      </c>
      <c r="F21" s="159">
        <f t="shared" si="2"/>
        <v>52938123.076006807</v>
      </c>
      <c r="G21" s="161">
        <f t="shared" si="3"/>
        <v>6723726.9715347504</v>
      </c>
      <c r="H21" s="142">
        <f t="shared" si="4"/>
        <v>6723726.9715347504</v>
      </c>
      <c r="I21" s="156">
        <f t="shared" si="0"/>
        <v>0</v>
      </c>
      <c r="J21" s="156"/>
      <c r="K21" s="334"/>
      <c r="L21" s="158">
        <f t="shared" si="5"/>
        <v>0</v>
      </c>
      <c r="M21" s="334"/>
      <c r="N21" s="158">
        <f t="shared" si="6"/>
        <v>0</v>
      </c>
      <c r="O21" s="158">
        <f t="shared" si="7"/>
        <v>0</v>
      </c>
      <c r="P21" s="4"/>
    </row>
    <row r="22" spans="2:16">
      <c r="B22" s="9" t="str">
        <f t="shared" si="1"/>
        <v/>
      </c>
      <c r="C22" s="153">
        <f>IF(D11="","-",+C21+1)</f>
        <v>2021</v>
      </c>
      <c r="D22" s="159">
        <f>IF(F21+SUM(E$17:E21)=D$10,F21,D$10-SUM(E$17:E21))</f>
        <v>52938123.076006807</v>
      </c>
      <c r="E22" s="160">
        <f>IF(+I14&lt;F21,I14,D22)</f>
        <v>1384518.2093023255</v>
      </c>
      <c r="F22" s="159">
        <f t="shared" si="2"/>
        <v>51553604.866704479</v>
      </c>
      <c r="G22" s="161">
        <f t="shared" si="3"/>
        <v>6585890.3301758273</v>
      </c>
      <c r="H22" s="142">
        <f t="shared" si="4"/>
        <v>6585890.3301758273</v>
      </c>
      <c r="I22" s="156">
        <f t="shared" si="0"/>
        <v>0</v>
      </c>
      <c r="J22" s="156"/>
      <c r="K22" s="334"/>
      <c r="L22" s="158">
        <f t="shared" si="5"/>
        <v>0</v>
      </c>
      <c r="M22" s="334"/>
      <c r="N22" s="158">
        <f t="shared" si="6"/>
        <v>0</v>
      </c>
      <c r="O22" s="158">
        <f t="shared" si="7"/>
        <v>0</v>
      </c>
      <c r="P22" s="4"/>
    </row>
    <row r="23" spans="2:16">
      <c r="B23" s="9" t="str">
        <f t="shared" si="1"/>
        <v/>
      </c>
      <c r="C23" s="153">
        <f>IF(D11="","-",+C22+1)</f>
        <v>2022</v>
      </c>
      <c r="D23" s="159">
        <f>IF(F22+SUM(E$17:E22)=D$10,F22,D$10-SUM(E$17:E22))</f>
        <v>51553604.866704479</v>
      </c>
      <c r="E23" s="160">
        <f>IF(+I14&lt;F22,I14,D23)</f>
        <v>1384518.2093023255</v>
      </c>
      <c r="F23" s="159">
        <f t="shared" si="2"/>
        <v>50169086.65740215</v>
      </c>
      <c r="G23" s="161">
        <f t="shared" si="3"/>
        <v>6448053.6888169041</v>
      </c>
      <c r="H23" s="142">
        <f t="shared" si="4"/>
        <v>6448053.6888169041</v>
      </c>
      <c r="I23" s="156">
        <f t="shared" si="0"/>
        <v>0</v>
      </c>
      <c r="J23" s="156"/>
      <c r="K23" s="334"/>
      <c r="L23" s="158">
        <f t="shared" si="5"/>
        <v>0</v>
      </c>
      <c r="M23" s="334"/>
      <c r="N23" s="158">
        <f t="shared" si="6"/>
        <v>0</v>
      </c>
      <c r="O23" s="158">
        <f t="shared" si="7"/>
        <v>0</v>
      </c>
      <c r="P23" s="4"/>
    </row>
    <row r="24" spans="2:16">
      <c r="B24" s="9" t="str">
        <f t="shared" si="1"/>
        <v/>
      </c>
      <c r="C24" s="153">
        <f>IF(D11="","-",+C23+1)</f>
        <v>2023</v>
      </c>
      <c r="D24" s="159">
        <f>IF(F23+SUM(E$17:E23)=D$10,F23,D$10-SUM(E$17:E23))</f>
        <v>50169086.65740215</v>
      </c>
      <c r="E24" s="160">
        <f>IF(+I14&lt;F23,I14,D24)</f>
        <v>1384518.2093023255</v>
      </c>
      <c r="F24" s="159">
        <f t="shared" si="2"/>
        <v>48784568.448099822</v>
      </c>
      <c r="G24" s="161">
        <f t="shared" si="3"/>
        <v>6310217.0474579809</v>
      </c>
      <c r="H24" s="142">
        <f t="shared" si="4"/>
        <v>6310217.0474579809</v>
      </c>
      <c r="I24" s="156">
        <f t="shared" si="0"/>
        <v>0</v>
      </c>
      <c r="J24" s="156"/>
      <c r="K24" s="334"/>
      <c r="L24" s="158">
        <f t="shared" si="5"/>
        <v>0</v>
      </c>
      <c r="M24" s="334"/>
      <c r="N24" s="158">
        <f t="shared" si="6"/>
        <v>0</v>
      </c>
      <c r="O24" s="158">
        <f t="shared" si="7"/>
        <v>0</v>
      </c>
      <c r="P24" s="4"/>
    </row>
    <row r="25" spans="2:16">
      <c r="B25" s="9" t="str">
        <f t="shared" si="1"/>
        <v/>
      </c>
      <c r="C25" s="153">
        <f>IF(D11="","-",+C24+1)</f>
        <v>2024</v>
      </c>
      <c r="D25" s="159">
        <f>IF(F24+SUM(E$17:E24)=D$10,F24,D$10-SUM(E$17:E24))</f>
        <v>48784568.448099822</v>
      </c>
      <c r="E25" s="160">
        <f>IF(+I14&lt;F24,I14,D25)</f>
        <v>1384518.2093023255</v>
      </c>
      <c r="F25" s="159">
        <f t="shared" si="2"/>
        <v>47400050.238797493</v>
      </c>
      <c r="G25" s="161">
        <f t="shared" si="3"/>
        <v>6172380.4060990568</v>
      </c>
      <c r="H25" s="142">
        <f t="shared" si="4"/>
        <v>6172380.4060990568</v>
      </c>
      <c r="I25" s="156">
        <f t="shared" si="0"/>
        <v>0</v>
      </c>
      <c r="J25" s="156"/>
      <c r="K25" s="334"/>
      <c r="L25" s="158">
        <f t="shared" si="5"/>
        <v>0</v>
      </c>
      <c r="M25" s="334"/>
      <c r="N25" s="158">
        <f t="shared" si="6"/>
        <v>0</v>
      </c>
      <c r="O25" s="158">
        <f t="shared" si="7"/>
        <v>0</v>
      </c>
      <c r="P25" s="4"/>
    </row>
    <row r="26" spans="2:16">
      <c r="B26" s="9" t="str">
        <f t="shared" si="1"/>
        <v/>
      </c>
      <c r="C26" s="153">
        <f>IF(D11="","-",+C25+1)</f>
        <v>2025</v>
      </c>
      <c r="D26" s="159">
        <f>IF(F25+SUM(E$17:E25)=D$10,F25,D$10-SUM(E$17:E25))</f>
        <v>47400050.238797493</v>
      </c>
      <c r="E26" s="160">
        <f>IF(+I14&lt;F25,I14,D26)</f>
        <v>1384518.2093023255</v>
      </c>
      <c r="F26" s="159">
        <f t="shared" si="2"/>
        <v>46015532.029495165</v>
      </c>
      <c r="G26" s="161">
        <f t="shared" si="3"/>
        <v>6034543.7647401346</v>
      </c>
      <c r="H26" s="142">
        <f t="shared" si="4"/>
        <v>6034543.7647401346</v>
      </c>
      <c r="I26" s="156">
        <f t="shared" si="0"/>
        <v>0</v>
      </c>
      <c r="J26" s="156"/>
      <c r="K26" s="334"/>
      <c r="L26" s="158">
        <f t="shared" si="5"/>
        <v>0</v>
      </c>
      <c r="M26" s="334"/>
      <c r="N26" s="158">
        <f t="shared" si="6"/>
        <v>0</v>
      </c>
      <c r="O26" s="158">
        <f t="shared" si="7"/>
        <v>0</v>
      </c>
      <c r="P26" s="4"/>
    </row>
    <row r="27" spans="2:16">
      <c r="B27" s="9" t="str">
        <f t="shared" si="1"/>
        <v/>
      </c>
      <c r="C27" s="153">
        <f>IF(D11="","-",+C26+1)</f>
        <v>2026</v>
      </c>
      <c r="D27" s="159">
        <f>IF(F26+SUM(E$17:E26)=D$10,F26,D$10-SUM(E$17:E26))</f>
        <v>46015532.029495165</v>
      </c>
      <c r="E27" s="160">
        <f>IF(+I14&lt;F26,I14,D27)</f>
        <v>1384518.2093023255</v>
      </c>
      <c r="F27" s="159">
        <f t="shared" si="2"/>
        <v>44631013.820192836</v>
      </c>
      <c r="G27" s="161">
        <f t="shared" si="3"/>
        <v>5896707.1233812105</v>
      </c>
      <c r="H27" s="142">
        <f t="shared" si="4"/>
        <v>5896707.1233812105</v>
      </c>
      <c r="I27" s="156">
        <f t="shared" si="0"/>
        <v>0</v>
      </c>
      <c r="J27" s="156"/>
      <c r="K27" s="334"/>
      <c r="L27" s="158">
        <f t="shared" si="5"/>
        <v>0</v>
      </c>
      <c r="M27" s="334"/>
      <c r="N27" s="158">
        <f t="shared" si="6"/>
        <v>0</v>
      </c>
      <c r="O27" s="158">
        <f t="shared" si="7"/>
        <v>0</v>
      </c>
      <c r="P27" s="4"/>
    </row>
    <row r="28" spans="2:16">
      <c r="B28" s="9" t="str">
        <f t="shared" si="1"/>
        <v/>
      </c>
      <c r="C28" s="153">
        <f>IF(D11="","-",+C27+1)</f>
        <v>2027</v>
      </c>
      <c r="D28" s="159">
        <f>IF(F27+SUM(E$17:E27)=D$10,F27,D$10-SUM(E$17:E27))</f>
        <v>44631013.820192836</v>
      </c>
      <c r="E28" s="160">
        <f>IF(+I14&lt;F27,I14,D28)</f>
        <v>1384518.2093023255</v>
      </c>
      <c r="F28" s="159">
        <f t="shared" si="2"/>
        <v>43246495.610890508</v>
      </c>
      <c r="G28" s="161">
        <f t="shared" si="3"/>
        <v>5758870.4820222883</v>
      </c>
      <c r="H28" s="142">
        <f t="shared" si="4"/>
        <v>5758870.4820222883</v>
      </c>
      <c r="I28" s="156">
        <f t="shared" si="0"/>
        <v>0</v>
      </c>
      <c r="J28" s="156"/>
      <c r="K28" s="334"/>
      <c r="L28" s="158">
        <f t="shared" si="5"/>
        <v>0</v>
      </c>
      <c r="M28" s="334"/>
      <c r="N28" s="158">
        <f t="shared" si="6"/>
        <v>0</v>
      </c>
      <c r="O28" s="158">
        <f t="shared" si="7"/>
        <v>0</v>
      </c>
      <c r="P28" s="4"/>
    </row>
    <row r="29" spans="2:16">
      <c r="B29" s="9" t="str">
        <f t="shared" si="1"/>
        <v/>
      </c>
      <c r="C29" s="153">
        <f>IF(D11="","-",+C28+1)</f>
        <v>2028</v>
      </c>
      <c r="D29" s="159">
        <f>IF(F28+SUM(E$17:E28)=D$10,F28,D$10-SUM(E$17:E28))</f>
        <v>43246495.610890508</v>
      </c>
      <c r="E29" s="160">
        <f>IF(+I14&lt;F28,I14,D29)</f>
        <v>1384518.2093023255</v>
      </c>
      <c r="F29" s="159">
        <f t="shared" si="2"/>
        <v>41861977.401588179</v>
      </c>
      <c r="G29" s="161">
        <f t="shared" si="3"/>
        <v>5621033.8406633642</v>
      </c>
      <c r="H29" s="142">
        <f t="shared" si="4"/>
        <v>5621033.8406633642</v>
      </c>
      <c r="I29" s="156">
        <f t="shared" si="0"/>
        <v>0</v>
      </c>
      <c r="J29" s="156"/>
      <c r="K29" s="334"/>
      <c r="L29" s="158">
        <f t="shared" si="5"/>
        <v>0</v>
      </c>
      <c r="M29" s="334"/>
      <c r="N29" s="158">
        <f t="shared" si="6"/>
        <v>0</v>
      </c>
      <c r="O29" s="158">
        <f t="shared" si="7"/>
        <v>0</v>
      </c>
      <c r="P29" s="4"/>
    </row>
    <row r="30" spans="2:16">
      <c r="B30" s="9" t="str">
        <f t="shared" si="1"/>
        <v/>
      </c>
      <c r="C30" s="153">
        <f>IF(D11="","-",+C29+1)</f>
        <v>2029</v>
      </c>
      <c r="D30" s="159">
        <f>IF(F29+SUM(E$17:E29)=D$10,F29,D$10-SUM(E$17:E29))</f>
        <v>41861977.401588179</v>
      </c>
      <c r="E30" s="160">
        <f>IF(+I14&lt;F29,I14,D30)</f>
        <v>1384518.2093023255</v>
      </c>
      <c r="F30" s="159">
        <f t="shared" si="2"/>
        <v>40477459.192285851</v>
      </c>
      <c r="G30" s="161">
        <f t="shared" si="3"/>
        <v>5483197.1993044419</v>
      </c>
      <c r="H30" s="142">
        <f t="shared" si="4"/>
        <v>5483197.1993044419</v>
      </c>
      <c r="I30" s="156">
        <f t="shared" si="0"/>
        <v>0</v>
      </c>
      <c r="J30" s="156"/>
      <c r="K30" s="334"/>
      <c r="L30" s="158">
        <f t="shared" si="5"/>
        <v>0</v>
      </c>
      <c r="M30" s="334"/>
      <c r="N30" s="158">
        <f t="shared" si="6"/>
        <v>0</v>
      </c>
      <c r="O30" s="158">
        <f t="shared" si="7"/>
        <v>0</v>
      </c>
      <c r="P30" s="4"/>
    </row>
    <row r="31" spans="2:16">
      <c r="B31" s="9" t="str">
        <f t="shared" si="1"/>
        <v/>
      </c>
      <c r="C31" s="153">
        <f>IF(D11="","-",+C30+1)</f>
        <v>2030</v>
      </c>
      <c r="D31" s="159">
        <f>IF(F30+SUM(E$17:E30)=D$10,F30,D$10-SUM(E$17:E30))</f>
        <v>40477459.192285851</v>
      </c>
      <c r="E31" s="160">
        <f>IF(+I14&lt;F30,I14,D31)</f>
        <v>1384518.2093023255</v>
      </c>
      <c r="F31" s="159">
        <f t="shared" si="2"/>
        <v>39092940.982983522</v>
      </c>
      <c r="G31" s="161">
        <f t="shared" si="3"/>
        <v>5345360.5579455178</v>
      </c>
      <c r="H31" s="142">
        <f t="shared" si="4"/>
        <v>5345360.5579455178</v>
      </c>
      <c r="I31" s="156">
        <f t="shared" si="0"/>
        <v>0</v>
      </c>
      <c r="J31" s="156"/>
      <c r="K31" s="334"/>
      <c r="L31" s="158">
        <f t="shared" si="5"/>
        <v>0</v>
      </c>
      <c r="M31" s="334"/>
      <c r="N31" s="158">
        <f t="shared" si="6"/>
        <v>0</v>
      </c>
      <c r="O31" s="158">
        <f t="shared" si="7"/>
        <v>0</v>
      </c>
      <c r="P31" s="4"/>
    </row>
    <row r="32" spans="2:16">
      <c r="B32" s="9" t="str">
        <f t="shared" si="1"/>
        <v/>
      </c>
      <c r="C32" s="153">
        <f>IF(D11="","-",+C31+1)</f>
        <v>2031</v>
      </c>
      <c r="D32" s="159">
        <f>IF(F31+SUM(E$17:E31)=D$10,F31,D$10-SUM(E$17:E31))</f>
        <v>39092940.982983522</v>
      </c>
      <c r="E32" s="160">
        <f>IF(+I14&lt;F31,I14,D32)</f>
        <v>1384518.2093023255</v>
      </c>
      <c r="F32" s="159">
        <f t="shared" si="2"/>
        <v>37708422.773681194</v>
      </c>
      <c r="G32" s="161">
        <f t="shared" si="3"/>
        <v>5207523.9165865956</v>
      </c>
      <c r="H32" s="142">
        <f t="shared" si="4"/>
        <v>5207523.9165865956</v>
      </c>
      <c r="I32" s="156">
        <f t="shared" si="0"/>
        <v>0</v>
      </c>
      <c r="J32" s="156"/>
      <c r="K32" s="334"/>
      <c r="L32" s="158">
        <f t="shared" si="5"/>
        <v>0</v>
      </c>
      <c r="M32" s="334"/>
      <c r="N32" s="158">
        <f t="shared" si="6"/>
        <v>0</v>
      </c>
      <c r="O32" s="158">
        <f t="shared" si="7"/>
        <v>0</v>
      </c>
      <c r="P32" s="4"/>
    </row>
    <row r="33" spans="2:16">
      <c r="B33" s="9" t="str">
        <f t="shared" si="1"/>
        <v/>
      </c>
      <c r="C33" s="153">
        <f>IF(D11="","-",+C32+1)</f>
        <v>2032</v>
      </c>
      <c r="D33" s="159">
        <f>IF(F32+SUM(E$17:E32)=D$10,F32,D$10-SUM(E$17:E32))</f>
        <v>37708422.773681194</v>
      </c>
      <c r="E33" s="160">
        <f>IF(+I14&lt;F32,I14,D33)</f>
        <v>1384518.2093023255</v>
      </c>
      <c r="F33" s="159">
        <f t="shared" si="2"/>
        <v>36323904.564378865</v>
      </c>
      <c r="G33" s="161">
        <f t="shared" si="3"/>
        <v>5069687.2752276715</v>
      </c>
      <c r="H33" s="142">
        <f t="shared" si="4"/>
        <v>5069687.2752276715</v>
      </c>
      <c r="I33" s="156">
        <f t="shared" si="0"/>
        <v>0</v>
      </c>
      <c r="J33" s="156"/>
      <c r="K33" s="334"/>
      <c r="L33" s="158">
        <f t="shared" si="5"/>
        <v>0</v>
      </c>
      <c r="M33" s="334"/>
      <c r="N33" s="158">
        <f t="shared" si="6"/>
        <v>0</v>
      </c>
      <c r="O33" s="158">
        <f t="shared" si="7"/>
        <v>0</v>
      </c>
      <c r="P33" s="4"/>
    </row>
    <row r="34" spans="2:16">
      <c r="B34" s="9" t="str">
        <f t="shared" si="1"/>
        <v/>
      </c>
      <c r="C34" s="153">
        <f>IF(D11="","-",+C33+1)</f>
        <v>2033</v>
      </c>
      <c r="D34" s="159">
        <f>IF(F33+SUM(E$17:E33)=D$10,F33,D$10-SUM(E$17:E33))</f>
        <v>36323904.564378865</v>
      </c>
      <c r="E34" s="160">
        <f>IF(+I14&lt;F33,I14,D34)</f>
        <v>1384518.2093023255</v>
      </c>
      <c r="F34" s="159">
        <f t="shared" si="2"/>
        <v>34939386.355076537</v>
      </c>
      <c r="G34" s="161">
        <f t="shared" si="3"/>
        <v>4931850.6338687493</v>
      </c>
      <c r="H34" s="142">
        <f t="shared" si="4"/>
        <v>4931850.6338687493</v>
      </c>
      <c r="I34" s="156">
        <f t="shared" si="0"/>
        <v>0</v>
      </c>
      <c r="J34" s="156"/>
      <c r="K34" s="334"/>
      <c r="L34" s="158">
        <f t="shared" si="5"/>
        <v>0</v>
      </c>
      <c r="M34" s="334"/>
      <c r="N34" s="158">
        <f t="shared" si="6"/>
        <v>0</v>
      </c>
      <c r="O34" s="158">
        <f t="shared" si="7"/>
        <v>0</v>
      </c>
      <c r="P34" s="4"/>
    </row>
    <row r="35" spans="2:16">
      <c r="B35" s="9" t="str">
        <f t="shared" si="1"/>
        <v/>
      </c>
      <c r="C35" s="153">
        <f>IF(D11="","-",+C34+1)</f>
        <v>2034</v>
      </c>
      <c r="D35" s="159">
        <f>IF(F34+SUM(E$17:E34)=D$10,F34,D$10-SUM(E$17:E34))</f>
        <v>34939386.355076537</v>
      </c>
      <c r="E35" s="160">
        <f>IF(+I14&lt;F34,I14,D35)</f>
        <v>1384518.2093023255</v>
      </c>
      <c r="F35" s="159">
        <f t="shared" si="2"/>
        <v>33554868.145774208</v>
      </c>
      <c r="G35" s="161">
        <f t="shared" si="3"/>
        <v>4794013.9925098252</v>
      </c>
      <c r="H35" s="142">
        <f t="shared" si="4"/>
        <v>4794013.9925098252</v>
      </c>
      <c r="I35" s="156">
        <f t="shared" si="0"/>
        <v>0</v>
      </c>
      <c r="J35" s="156"/>
      <c r="K35" s="334"/>
      <c r="L35" s="158">
        <f t="shared" si="5"/>
        <v>0</v>
      </c>
      <c r="M35" s="334"/>
      <c r="N35" s="158">
        <f t="shared" si="6"/>
        <v>0</v>
      </c>
      <c r="O35" s="158">
        <f t="shared" si="7"/>
        <v>0</v>
      </c>
      <c r="P35" s="4"/>
    </row>
    <row r="36" spans="2:16">
      <c r="B36" s="9" t="str">
        <f t="shared" si="1"/>
        <v/>
      </c>
      <c r="C36" s="153">
        <f>IF(D11="","-",+C35+1)</f>
        <v>2035</v>
      </c>
      <c r="D36" s="159">
        <f>IF(F35+SUM(E$17:E35)=D$10,F35,D$10-SUM(E$17:E35))</f>
        <v>33554868.145774208</v>
      </c>
      <c r="E36" s="160">
        <f>IF(+I14&lt;F35,I14,D36)</f>
        <v>1384518.2093023255</v>
      </c>
      <c r="F36" s="159">
        <f t="shared" si="2"/>
        <v>32170349.936471883</v>
      </c>
      <c r="G36" s="161">
        <f t="shared" si="3"/>
        <v>4656177.3511509029</v>
      </c>
      <c r="H36" s="142">
        <f t="shared" si="4"/>
        <v>4656177.3511509029</v>
      </c>
      <c r="I36" s="156">
        <f t="shared" si="0"/>
        <v>0</v>
      </c>
      <c r="J36" s="156"/>
      <c r="K36" s="334"/>
      <c r="L36" s="158">
        <f t="shared" si="5"/>
        <v>0</v>
      </c>
      <c r="M36" s="334"/>
      <c r="N36" s="158">
        <f t="shared" si="6"/>
        <v>0</v>
      </c>
      <c r="O36" s="158">
        <f t="shared" si="7"/>
        <v>0</v>
      </c>
      <c r="P36" s="4"/>
    </row>
    <row r="37" spans="2:16">
      <c r="B37" s="9" t="str">
        <f t="shared" si="1"/>
        <v/>
      </c>
      <c r="C37" s="153">
        <f>IF(D11="","-",+C36+1)</f>
        <v>2036</v>
      </c>
      <c r="D37" s="159">
        <f>IF(F36+SUM(E$17:E36)=D$10,F36,D$10-SUM(E$17:E36))</f>
        <v>32170349.936471883</v>
      </c>
      <c r="E37" s="160">
        <f>IF(+I14&lt;F36,I14,D37)</f>
        <v>1384518.2093023255</v>
      </c>
      <c r="F37" s="159">
        <f t="shared" si="2"/>
        <v>30785831.727169558</v>
      </c>
      <c r="G37" s="161">
        <f t="shared" si="3"/>
        <v>4518340.7097919798</v>
      </c>
      <c r="H37" s="142">
        <f t="shared" si="4"/>
        <v>4518340.7097919798</v>
      </c>
      <c r="I37" s="156">
        <f t="shared" si="0"/>
        <v>0</v>
      </c>
      <c r="J37" s="156"/>
      <c r="K37" s="334"/>
      <c r="L37" s="158">
        <f t="shared" si="5"/>
        <v>0</v>
      </c>
      <c r="M37" s="334"/>
      <c r="N37" s="158">
        <f t="shared" si="6"/>
        <v>0</v>
      </c>
      <c r="O37" s="158">
        <f t="shared" si="7"/>
        <v>0</v>
      </c>
      <c r="P37" s="4"/>
    </row>
    <row r="38" spans="2:16">
      <c r="B38" s="9" t="str">
        <f t="shared" si="1"/>
        <v/>
      </c>
      <c r="C38" s="153">
        <f>IF(D11="","-",+C37+1)</f>
        <v>2037</v>
      </c>
      <c r="D38" s="159">
        <f>IF(F37+SUM(E$17:E37)=D$10,F37,D$10-SUM(E$17:E37))</f>
        <v>30785831.727169558</v>
      </c>
      <c r="E38" s="160">
        <f>IF(+I14&lt;F37,I14,D38)</f>
        <v>1384518.2093023255</v>
      </c>
      <c r="F38" s="159">
        <f t="shared" si="2"/>
        <v>29401313.517867234</v>
      </c>
      <c r="G38" s="161">
        <f t="shared" si="3"/>
        <v>4380504.0684330566</v>
      </c>
      <c r="H38" s="142">
        <f t="shared" si="4"/>
        <v>4380504.0684330566</v>
      </c>
      <c r="I38" s="156">
        <f t="shared" si="0"/>
        <v>0</v>
      </c>
      <c r="J38" s="156"/>
      <c r="K38" s="334"/>
      <c r="L38" s="158">
        <f t="shared" si="5"/>
        <v>0</v>
      </c>
      <c r="M38" s="334"/>
      <c r="N38" s="158">
        <f t="shared" si="6"/>
        <v>0</v>
      </c>
      <c r="O38" s="158">
        <f t="shared" si="7"/>
        <v>0</v>
      </c>
      <c r="P38" s="4"/>
    </row>
    <row r="39" spans="2:16">
      <c r="B39" s="9" t="str">
        <f t="shared" si="1"/>
        <v/>
      </c>
      <c r="C39" s="153">
        <f>IF(D11="","-",+C38+1)</f>
        <v>2038</v>
      </c>
      <c r="D39" s="159">
        <f>IF(F38+SUM(E$17:E38)=D$10,F38,D$10-SUM(E$17:E38))</f>
        <v>29401313.517867234</v>
      </c>
      <c r="E39" s="160">
        <f>IF(+I14&lt;F38,I14,D39)</f>
        <v>1384518.2093023255</v>
      </c>
      <c r="F39" s="159">
        <f t="shared" si="2"/>
        <v>28016795.308564909</v>
      </c>
      <c r="G39" s="161">
        <f t="shared" si="3"/>
        <v>4242667.4270741334</v>
      </c>
      <c r="H39" s="142">
        <f t="shared" si="4"/>
        <v>4242667.4270741334</v>
      </c>
      <c r="I39" s="156">
        <f t="shared" si="0"/>
        <v>0</v>
      </c>
      <c r="J39" s="156"/>
      <c r="K39" s="334"/>
      <c r="L39" s="158">
        <f t="shared" si="5"/>
        <v>0</v>
      </c>
      <c r="M39" s="334"/>
      <c r="N39" s="158">
        <f t="shared" si="6"/>
        <v>0</v>
      </c>
      <c r="O39" s="158">
        <f t="shared" si="7"/>
        <v>0</v>
      </c>
      <c r="P39" s="4"/>
    </row>
    <row r="40" spans="2:16">
      <c r="B40" s="9" t="str">
        <f t="shared" si="1"/>
        <v/>
      </c>
      <c r="C40" s="153">
        <f>IF(D11="","-",+C39+1)</f>
        <v>2039</v>
      </c>
      <c r="D40" s="159">
        <f>IF(F39+SUM(E$17:E39)=D$10,F39,D$10-SUM(E$17:E39))</f>
        <v>28016795.308564909</v>
      </c>
      <c r="E40" s="160">
        <f>IF(+I14&lt;F39,I14,D40)</f>
        <v>1384518.2093023255</v>
      </c>
      <c r="F40" s="159">
        <f t="shared" si="2"/>
        <v>26632277.099262584</v>
      </c>
      <c r="G40" s="161">
        <f t="shared" si="3"/>
        <v>4104830.7857152112</v>
      </c>
      <c r="H40" s="142">
        <f t="shared" si="4"/>
        <v>4104830.7857152112</v>
      </c>
      <c r="I40" s="156">
        <f t="shared" si="0"/>
        <v>0</v>
      </c>
      <c r="J40" s="156"/>
      <c r="K40" s="334"/>
      <c r="L40" s="158">
        <f t="shared" si="5"/>
        <v>0</v>
      </c>
      <c r="M40" s="334"/>
      <c r="N40" s="158">
        <f t="shared" si="6"/>
        <v>0</v>
      </c>
      <c r="O40" s="158">
        <f t="shared" si="7"/>
        <v>0</v>
      </c>
      <c r="P40" s="4"/>
    </row>
    <row r="41" spans="2:16">
      <c r="B41" s="9" t="str">
        <f t="shared" si="1"/>
        <v/>
      </c>
      <c r="C41" s="153">
        <f>IF(D11="","-",+C40+1)</f>
        <v>2040</v>
      </c>
      <c r="D41" s="159">
        <f>IF(F40+SUM(E$17:E40)=D$10,F40,D$10-SUM(E$17:E40))</f>
        <v>26632277.099262584</v>
      </c>
      <c r="E41" s="160">
        <f>IF(+I14&lt;F40,I14,D41)</f>
        <v>1384518.2093023255</v>
      </c>
      <c r="F41" s="159">
        <f t="shared" si="2"/>
        <v>25247758.889960259</v>
      </c>
      <c r="G41" s="161">
        <f t="shared" si="3"/>
        <v>3966994.144356288</v>
      </c>
      <c r="H41" s="142">
        <f t="shared" si="4"/>
        <v>3966994.144356288</v>
      </c>
      <c r="I41" s="156">
        <f t="shared" si="0"/>
        <v>0</v>
      </c>
      <c r="J41" s="156"/>
      <c r="K41" s="334"/>
      <c r="L41" s="158">
        <f t="shared" si="5"/>
        <v>0</v>
      </c>
      <c r="M41" s="334"/>
      <c r="N41" s="158">
        <f t="shared" si="6"/>
        <v>0</v>
      </c>
      <c r="O41" s="158">
        <f t="shared" si="7"/>
        <v>0</v>
      </c>
      <c r="P41" s="4"/>
    </row>
    <row r="42" spans="2:16">
      <c r="B42" s="9" t="str">
        <f t="shared" si="1"/>
        <v/>
      </c>
      <c r="C42" s="153">
        <f>IF(D11="","-",+C41+1)</f>
        <v>2041</v>
      </c>
      <c r="D42" s="159">
        <f>IF(F41+SUM(E$17:E41)=D$10,F41,D$10-SUM(E$17:E41))</f>
        <v>25247758.889960259</v>
      </c>
      <c r="E42" s="160">
        <f>IF(+I14&lt;F41,I14,D42)</f>
        <v>1384518.2093023255</v>
      </c>
      <c r="F42" s="159">
        <f t="shared" si="2"/>
        <v>23863240.680657934</v>
      </c>
      <c r="G42" s="161">
        <f t="shared" si="3"/>
        <v>3829157.5029973658</v>
      </c>
      <c r="H42" s="142">
        <f t="shared" si="4"/>
        <v>3829157.5029973658</v>
      </c>
      <c r="I42" s="156">
        <f t="shared" si="0"/>
        <v>0</v>
      </c>
      <c r="J42" s="156"/>
      <c r="K42" s="334"/>
      <c r="L42" s="158">
        <f t="shared" si="5"/>
        <v>0</v>
      </c>
      <c r="M42" s="334"/>
      <c r="N42" s="158">
        <f t="shared" si="6"/>
        <v>0</v>
      </c>
      <c r="O42" s="158">
        <f t="shared" si="7"/>
        <v>0</v>
      </c>
      <c r="P42" s="4"/>
    </row>
    <row r="43" spans="2:16">
      <c r="B43" s="9" t="str">
        <f t="shared" si="1"/>
        <v/>
      </c>
      <c r="C43" s="153">
        <f>IF(D11="","-",+C42+1)</f>
        <v>2042</v>
      </c>
      <c r="D43" s="159">
        <f>IF(F42+SUM(E$17:E42)=D$10,F42,D$10-SUM(E$17:E42))</f>
        <v>23863240.680657934</v>
      </c>
      <c r="E43" s="160">
        <f>IF(+I14&lt;F42,I14,D43)</f>
        <v>1384518.2093023255</v>
      </c>
      <c r="F43" s="159">
        <f t="shared" si="2"/>
        <v>22478722.47135561</v>
      </c>
      <c r="G43" s="161">
        <f t="shared" si="3"/>
        <v>3691320.8616384426</v>
      </c>
      <c r="H43" s="142">
        <f t="shared" si="4"/>
        <v>3691320.8616384426</v>
      </c>
      <c r="I43" s="156">
        <f t="shared" si="0"/>
        <v>0</v>
      </c>
      <c r="J43" s="156"/>
      <c r="K43" s="334"/>
      <c r="L43" s="158">
        <f t="shared" si="5"/>
        <v>0</v>
      </c>
      <c r="M43" s="334"/>
      <c r="N43" s="158">
        <f t="shared" si="6"/>
        <v>0</v>
      </c>
      <c r="O43" s="158">
        <f t="shared" si="7"/>
        <v>0</v>
      </c>
      <c r="P43" s="4"/>
    </row>
    <row r="44" spans="2:16">
      <c r="B44" s="9" t="str">
        <f t="shared" si="1"/>
        <v/>
      </c>
      <c r="C44" s="153">
        <f>IF(D11="","-",+C43+1)</f>
        <v>2043</v>
      </c>
      <c r="D44" s="159">
        <f>IF(F43+SUM(E$17:E43)=D$10,F43,D$10-SUM(E$17:E43))</f>
        <v>22478722.47135561</v>
      </c>
      <c r="E44" s="160">
        <f>IF(+I14&lt;F43,I14,D44)</f>
        <v>1384518.2093023255</v>
      </c>
      <c r="F44" s="159">
        <f t="shared" si="2"/>
        <v>21094204.262053285</v>
      </c>
      <c r="G44" s="161">
        <f t="shared" si="3"/>
        <v>3553484.2202795194</v>
      </c>
      <c r="H44" s="142">
        <f t="shared" si="4"/>
        <v>3553484.2202795194</v>
      </c>
      <c r="I44" s="156">
        <f t="shared" si="0"/>
        <v>0</v>
      </c>
      <c r="J44" s="156"/>
      <c r="K44" s="334"/>
      <c r="L44" s="158">
        <f t="shared" si="5"/>
        <v>0</v>
      </c>
      <c r="M44" s="334"/>
      <c r="N44" s="158">
        <f t="shared" si="6"/>
        <v>0</v>
      </c>
      <c r="O44" s="158">
        <f t="shared" si="7"/>
        <v>0</v>
      </c>
      <c r="P44" s="4"/>
    </row>
    <row r="45" spans="2:16">
      <c r="B45" s="9" t="str">
        <f t="shared" si="1"/>
        <v/>
      </c>
      <c r="C45" s="153">
        <f>IF(D11="","-",+C44+1)</f>
        <v>2044</v>
      </c>
      <c r="D45" s="159">
        <f>IF(F44+SUM(E$17:E44)=D$10,F44,D$10-SUM(E$17:E44))</f>
        <v>21094204.262053285</v>
      </c>
      <c r="E45" s="160">
        <f>IF(+I14&lt;F44,I14,D45)</f>
        <v>1384518.2093023255</v>
      </c>
      <c r="F45" s="159">
        <f t="shared" si="2"/>
        <v>19709686.05275096</v>
      </c>
      <c r="G45" s="161">
        <f t="shared" si="3"/>
        <v>3415647.5789205967</v>
      </c>
      <c r="H45" s="142">
        <f t="shared" si="4"/>
        <v>3415647.5789205967</v>
      </c>
      <c r="I45" s="156">
        <f t="shared" si="0"/>
        <v>0</v>
      </c>
      <c r="J45" s="156"/>
      <c r="K45" s="334"/>
      <c r="L45" s="158">
        <f t="shared" si="5"/>
        <v>0</v>
      </c>
      <c r="M45" s="334"/>
      <c r="N45" s="158">
        <f t="shared" si="6"/>
        <v>0</v>
      </c>
      <c r="O45" s="158">
        <f t="shared" si="7"/>
        <v>0</v>
      </c>
      <c r="P45" s="4"/>
    </row>
    <row r="46" spans="2:16">
      <c r="B46" s="9" t="str">
        <f t="shared" si="1"/>
        <v/>
      </c>
      <c r="C46" s="153">
        <f>IF(D11="","-",+C45+1)</f>
        <v>2045</v>
      </c>
      <c r="D46" s="159">
        <f>IF(F45+SUM(E$17:E45)=D$10,F45,D$10-SUM(E$17:E45))</f>
        <v>19709686.05275096</v>
      </c>
      <c r="E46" s="160">
        <f>IF(+I14&lt;F45,I14,D46)</f>
        <v>1384518.2093023255</v>
      </c>
      <c r="F46" s="159">
        <f t="shared" si="2"/>
        <v>18325167.843448635</v>
      </c>
      <c r="G46" s="161">
        <f t="shared" si="3"/>
        <v>3277810.937561674</v>
      </c>
      <c r="H46" s="142">
        <f t="shared" si="4"/>
        <v>3277810.937561674</v>
      </c>
      <c r="I46" s="156">
        <f t="shared" si="0"/>
        <v>0</v>
      </c>
      <c r="J46" s="156"/>
      <c r="K46" s="334"/>
      <c r="L46" s="158">
        <f t="shared" si="5"/>
        <v>0</v>
      </c>
      <c r="M46" s="334"/>
      <c r="N46" s="158">
        <f t="shared" si="6"/>
        <v>0</v>
      </c>
      <c r="O46" s="158">
        <f t="shared" si="7"/>
        <v>0</v>
      </c>
      <c r="P46" s="4"/>
    </row>
    <row r="47" spans="2:16">
      <c r="B47" s="9" t="str">
        <f t="shared" si="1"/>
        <v/>
      </c>
      <c r="C47" s="153">
        <f>IF(D11="","-",+C46+1)</f>
        <v>2046</v>
      </c>
      <c r="D47" s="159">
        <f>IF(F46+SUM(E$17:E46)=D$10,F46,D$10-SUM(E$17:E46))</f>
        <v>18325167.843448635</v>
      </c>
      <c r="E47" s="160">
        <f>IF(+I14&lt;F46,I14,D47)</f>
        <v>1384518.2093023255</v>
      </c>
      <c r="F47" s="159">
        <f t="shared" si="2"/>
        <v>16940649.63414631</v>
      </c>
      <c r="G47" s="161">
        <f t="shared" si="3"/>
        <v>3139974.2962027509</v>
      </c>
      <c r="H47" s="142">
        <f t="shared" si="4"/>
        <v>3139974.2962027509</v>
      </c>
      <c r="I47" s="156">
        <f t="shared" si="0"/>
        <v>0</v>
      </c>
      <c r="J47" s="156"/>
      <c r="K47" s="334"/>
      <c r="L47" s="158">
        <f t="shared" si="5"/>
        <v>0</v>
      </c>
      <c r="M47" s="334"/>
      <c r="N47" s="158">
        <f t="shared" si="6"/>
        <v>0</v>
      </c>
      <c r="O47" s="158">
        <f t="shared" si="7"/>
        <v>0</v>
      </c>
      <c r="P47" s="4"/>
    </row>
    <row r="48" spans="2:16">
      <c r="B48" s="9" t="str">
        <f t="shared" si="1"/>
        <v/>
      </c>
      <c r="C48" s="153">
        <f>IF(D11="","-",+C47+1)</f>
        <v>2047</v>
      </c>
      <c r="D48" s="159">
        <f>IF(F47+SUM(E$17:E47)=D$10,F47,D$10-SUM(E$17:E47))</f>
        <v>16940649.63414631</v>
      </c>
      <c r="E48" s="160">
        <f>IF(+I14&lt;F47,I14,D48)</f>
        <v>1384518.2093023255</v>
      </c>
      <c r="F48" s="159">
        <f t="shared" si="2"/>
        <v>15556131.424843986</v>
      </c>
      <c r="G48" s="161">
        <f t="shared" si="3"/>
        <v>3002137.6548438286</v>
      </c>
      <c r="H48" s="142">
        <f t="shared" si="4"/>
        <v>3002137.6548438286</v>
      </c>
      <c r="I48" s="156">
        <f t="shared" si="0"/>
        <v>0</v>
      </c>
      <c r="J48" s="156"/>
      <c r="K48" s="334"/>
      <c r="L48" s="158">
        <f t="shared" si="5"/>
        <v>0</v>
      </c>
      <c r="M48" s="334"/>
      <c r="N48" s="158">
        <f t="shared" si="6"/>
        <v>0</v>
      </c>
      <c r="O48" s="158">
        <f t="shared" si="7"/>
        <v>0</v>
      </c>
      <c r="P48" s="4"/>
    </row>
    <row r="49" spans="2:16">
      <c r="B49" s="9" t="str">
        <f t="shared" si="1"/>
        <v/>
      </c>
      <c r="C49" s="153">
        <f>IF(D11="","-",+C48+1)</f>
        <v>2048</v>
      </c>
      <c r="D49" s="159">
        <f>IF(F48+SUM(E$17:E48)=D$10,F48,D$10-SUM(E$17:E48))</f>
        <v>15556131.424843986</v>
      </c>
      <c r="E49" s="160">
        <f>IF(+I14&lt;F48,I14,D49)</f>
        <v>1384518.2093023255</v>
      </c>
      <c r="F49" s="159">
        <f t="shared" si="2"/>
        <v>14171613.215541661</v>
      </c>
      <c r="G49" s="161">
        <f t="shared" ref="G49:G72" si="8">+I$12*((D49+F49)/2)+E49</f>
        <v>2864301.0134849055</v>
      </c>
      <c r="H49" s="142">
        <f t="shared" ref="H49:H72" si="9">+I$13*((D49+F49)/2)+E49</f>
        <v>2864301.0134849055</v>
      </c>
      <c r="I49" s="156">
        <f t="shared" si="0"/>
        <v>0</v>
      </c>
      <c r="J49" s="156"/>
      <c r="K49" s="334"/>
      <c r="L49" s="158">
        <f t="shared" si="5"/>
        <v>0</v>
      </c>
      <c r="M49" s="334"/>
      <c r="N49" s="158">
        <f t="shared" si="6"/>
        <v>0</v>
      </c>
      <c r="O49" s="158">
        <f t="shared" si="7"/>
        <v>0</v>
      </c>
      <c r="P49" s="4"/>
    </row>
    <row r="50" spans="2:16">
      <c r="B50" s="9" t="str">
        <f t="shared" si="1"/>
        <v/>
      </c>
      <c r="C50" s="153">
        <f>IF(D11="","-",+C49+1)</f>
        <v>2049</v>
      </c>
      <c r="D50" s="159">
        <f>IF(F49+SUM(E$17:E49)=D$10,F49,D$10-SUM(E$17:E49))</f>
        <v>14171613.215541661</v>
      </c>
      <c r="E50" s="160">
        <f>IF(+I14&lt;F49,I14,D50)</f>
        <v>1384518.2093023255</v>
      </c>
      <c r="F50" s="159">
        <f t="shared" si="2"/>
        <v>12787095.006239336</v>
      </c>
      <c r="G50" s="161">
        <f t="shared" si="8"/>
        <v>2726464.3721259823</v>
      </c>
      <c r="H50" s="142">
        <f t="shared" si="9"/>
        <v>2726464.3721259823</v>
      </c>
      <c r="I50" s="156">
        <f t="shared" si="0"/>
        <v>0</v>
      </c>
      <c r="J50" s="156"/>
      <c r="K50" s="334"/>
      <c r="L50" s="158">
        <f t="shared" si="5"/>
        <v>0</v>
      </c>
      <c r="M50" s="334"/>
      <c r="N50" s="158">
        <f t="shared" si="6"/>
        <v>0</v>
      </c>
      <c r="O50" s="158">
        <f t="shared" si="7"/>
        <v>0</v>
      </c>
      <c r="P50" s="4"/>
    </row>
    <row r="51" spans="2:16">
      <c r="B51" s="9" t="str">
        <f t="shared" si="1"/>
        <v/>
      </c>
      <c r="C51" s="153">
        <f>IF(D11="","-",+C50+1)</f>
        <v>2050</v>
      </c>
      <c r="D51" s="159">
        <f>IF(F50+SUM(E$17:E50)=D$10,F50,D$10-SUM(E$17:E50))</f>
        <v>12787095.006239336</v>
      </c>
      <c r="E51" s="160">
        <f>IF(+I14&lt;F50,I14,D51)</f>
        <v>1384518.2093023255</v>
      </c>
      <c r="F51" s="159">
        <f t="shared" si="2"/>
        <v>11402576.796937011</v>
      </c>
      <c r="G51" s="161">
        <f t="shared" si="8"/>
        <v>2588627.7307670601</v>
      </c>
      <c r="H51" s="142">
        <f t="shared" si="9"/>
        <v>2588627.7307670601</v>
      </c>
      <c r="I51" s="156">
        <f t="shared" si="0"/>
        <v>0</v>
      </c>
      <c r="J51" s="156"/>
      <c r="K51" s="334"/>
      <c r="L51" s="158">
        <f t="shared" si="5"/>
        <v>0</v>
      </c>
      <c r="M51" s="334"/>
      <c r="N51" s="158">
        <f t="shared" si="6"/>
        <v>0</v>
      </c>
      <c r="O51" s="158">
        <f t="shared" si="7"/>
        <v>0</v>
      </c>
      <c r="P51" s="4"/>
    </row>
    <row r="52" spans="2:16">
      <c r="B52" s="9" t="str">
        <f t="shared" si="1"/>
        <v/>
      </c>
      <c r="C52" s="153">
        <f>IF(D11="","-",+C51+1)</f>
        <v>2051</v>
      </c>
      <c r="D52" s="159">
        <f>IF(F51+SUM(E$17:E51)=D$10,F51,D$10-SUM(E$17:E51))</f>
        <v>11402576.796937011</v>
      </c>
      <c r="E52" s="160">
        <f>IF(+I14&lt;F51,I14,D52)</f>
        <v>1384518.2093023255</v>
      </c>
      <c r="F52" s="159">
        <f t="shared" si="2"/>
        <v>10018058.587634686</v>
      </c>
      <c r="G52" s="161">
        <f t="shared" si="8"/>
        <v>2450791.0894081369</v>
      </c>
      <c r="H52" s="142">
        <f t="shared" si="9"/>
        <v>2450791.0894081369</v>
      </c>
      <c r="I52" s="156">
        <f t="shared" si="0"/>
        <v>0</v>
      </c>
      <c r="J52" s="156"/>
      <c r="K52" s="334"/>
      <c r="L52" s="158">
        <f t="shared" si="5"/>
        <v>0</v>
      </c>
      <c r="M52" s="334"/>
      <c r="N52" s="158">
        <f t="shared" si="6"/>
        <v>0</v>
      </c>
      <c r="O52" s="158">
        <f t="shared" si="7"/>
        <v>0</v>
      </c>
      <c r="P52" s="4"/>
    </row>
    <row r="53" spans="2:16">
      <c r="B53" s="9" t="str">
        <f t="shared" si="1"/>
        <v/>
      </c>
      <c r="C53" s="153">
        <f>IF(D11="","-",+C52+1)</f>
        <v>2052</v>
      </c>
      <c r="D53" s="159">
        <f>IF(F52+SUM(E$17:E52)=D$10,F52,D$10-SUM(E$17:E52))</f>
        <v>10018058.587634686</v>
      </c>
      <c r="E53" s="160">
        <f>IF(+I14&lt;F52,I14,D53)</f>
        <v>1384518.2093023255</v>
      </c>
      <c r="F53" s="159">
        <f t="shared" si="2"/>
        <v>8633540.3783323616</v>
      </c>
      <c r="G53" s="161">
        <f t="shared" si="8"/>
        <v>2312954.4480492142</v>
      </c>
      <c r="H53" s="142">
        <f t="shared" si="9"/>
        <v>2312954.4480492142</v>
      </c>
      <c r="I53" s="156">
        <f t="shared" si="0"/>
        <v>0</v>
      </c>
      <c r="J53" s="156"/>
      <c r="K53" s="334"/>
      <c r="L53" s="158">
        <f t="shared" si="5"/>
        <v>0</v>
      </c>
      <c r="M53" s="334"/>
      <c r="N53" s="158">
        <f t="shared" si="6"/>
        <v>0</v>
      </c>
      <c r="O53" s="158">
        <f t="shared" si="7"/>
        <v>0</v>
      </c>
      <c r="P53" s="4"/>
    </row>
    <row r="54" spans="2:16">
      <c r="B54" s="9" t="str">
        <f t="shared" si="1"/>
        <v/>
      </c>
      <c r="C54" s="153">
        <f>IF(D11="","-",+C53+1)</f>
        <v>2053</v>
      </c>
      <c r="D54" s="159">
        <f>IF(F53+SUM(E$17:E53)=D$10,F53,D$10-SUM(E$17:E53))</f>
        <v>8633540.3783323616</v>
      </c>
      <c r="E54" s="160">
        <f>IF(+I14&lt;F53,I14,D54)</f>
        <v>1384518.2093023255</v>
      </c>
      <c r="F54" s="159">
        <f t="shared" si="2"/>
        <v>7249022.1690300358</v>
      </c>
      <c r="G54" s="161">
        <f t="shared" si="8"/>
        <v>2175117.8066902915</v>
      </c>
      <c r="H54" s="142">
        <f t="shared" si="9"/>
        <v>2175117.8066902915</v>
      </c>
      <c r="I54" s="156">
        <f t="shared" si="0"/>
        <v>0</v>
      </c>
      <c r="J54" s="156"/>
      <c r="K54" s="334"/>
      <c r="L54" s="158">
        <f t="shared" si="5"/>
        <v>0</v>
      </c>
      <c r="M54" s="334"/>
      <c r="N54" s="158">
        <f t="shared" si="6"/>
        <v>0</v>
      </c>
      <c r="O54" s="158">
        <f t="shared" si="7"/>
        <v>0</v>
      </c>
      <c r="P54" s="4"/>
    </row>
    <row r="55" spans="2:16">
      <c r="B55" s="9" t="str">
        <f t="shared" si="1"/>
        <v/>
      </c>
      <c r="C55" s="153">
        <f>IF(D11="","-",+C54+1)</f>
        <v>2054</v>
      </c>
      <c r="D55" s="159">
        <f>IF(F54+SUM(E$17:E54)=D$10,F54,D$10-SUM(E$17:E54))</f>
        <v>7249022.1690300358</v>
      </c>
      <c r="E55" s="160">
        <f>IF(+I14&lt;F54,I14,D55)</f>
        <v>1384518.2093023255</v>
      </c>
      <c r="F55" s="159">
        <f t="shared" si="2"/>
        <v>5864503.9597277101</v>
      </c>
      <c r="G55" s="161">
        <f t="shared" si="8"/>
        <v>2037281.1653313683</v>
      </c>
      <c r="H55" s="142">
        <f t="shared" si="9"/>
        <v>2037281.1653313683</v>
      </c>
      <c r="I55" s="156">
        <f t="shared" si="0"/>
        <v>0</v>
      </c>
      <c r="J55" s="156"/>
      <c r="K55" s="334"/>
      <c r="L55" s="158">
        <f t="shared" si="5"/>
        <v>0</v>
      </c>
      <c r="M55" s="334"/>
      <c r="N55" s="158">
        <f t="shared" si="6"/>
        <v>0</v>
      </c>
      <c r="O55" s="158">
        <f t="shared" si="7"/>
        <v>0</v>
      </c>
      <c r="P55" s="4"/>
    </row>
    <row r="56" spans="2:16">
      <c r="B56" s="9" t="str">
        <f t="shared" si="1"/>
        <v/>
      </c>
      <c r="C56" s="153">
        <f>IF(D11="","-",+C55+1)</f>
        <v>2055</v>
      </c>
      <c r="D56" s="159">
        <f>IF(F55+SUM(E$17:E55)=D$10,F55,D$10-SUM(E$17:E55))</f>
        <v>5864503.9597277101</v>
      </c>
      <c r="E56" s="160">
        <f>IF(+I14&lt;F55,I14,D56)</f>
        <v>1384518.2093023255</v>
      </c>
      <c r="F56" s="159">
        <f t="shared" si="2"/>
        <v>4479985.7504253844</v>
      </c>
      <c r="G56" s="161">
        <f t="shared" si="8"/>
        <v>1899444.5239724454</v>
      </c>
      <c r="H56" s="142">
        <f t="shared" si="9"/>
        <v>1899444.5239724454</v>
      </c>
      <c r="I56" s="156">
        <f t="shared" si="0"/>
        <v>0</v>
      </c>
      <c r="J56" s="156"/>
      <c r="K56" s="334"/>
      <c r="L56" s="158">
        <f t="shared" si="5"/>
        <v>0</v>
      </c>
      <c r="M56" s="334"/>
      <c r="N56" s="158">
        <f t="shared" si="6"/>
        <v>0</v>
      </c>
      <c r="O56" s="158">
        <f t="shared" si="7"/>
        <v>0</v>
      </c>
      <c r="P56" s="4"/>
    </row>
    <row r="57" spans="2:16">
      <c r="B57" s="9" t="str">
        <f t="shared" si="1"/>
        <v/>
      </c>
      <c r="C57" s="153">
        <f>IF(D11="","-",+C56+1)</f>
        <v>2056</v>
      </c>
      <c r="D57" s="159">
        <f>IF(F56+SUM(E$17:E56)=D$10,F56,D$10-SUM(E$17:E56))</f>
        <v>4479985.7504253844</v>
      </c>
      <c r="E57" s="160">
        <f>IF(+I14&lt;F56,I14,D57)</f>
        <v>1384518.2093023255</v>
      </c>
      <c r="F57" s="159">
        <f t="shared" si="2"/>
        <v>3095467.5411230586</v>
      </c>
      <c r="G57" s="161">
        <f t="shared" si="8"/>
        <v>1761607.8826135225</v>
      </c>
      <c r="H57" s="142">
        <f t="shared" si="9"/>
        <v>1761607.8826135225</v>
      </c>
      <c r="I57" s="156">
        <f t="shared" si="0"/>
        <v>0</v>
      </c>
      <c r="J57" s="156"/>
      <c r="K57" s="334"/>
      <c r="L57" s="158">
        <f t="shared" si="5"/>
        <v>0</v>
      </c>
      <c r="M57" s="334"/>
      <c r="N57" s="158">
        <f t="shared" si="6"/>
        <v>0</v>
      </c>
      <c r="O57" s="158">
        <f t="shared" si="7"/>
        <v>0</v>
      </c>
      <c r="P57" s="4"/>
    </row>
    <row r="58" spans="2:16">
      <c r="B58" s="9" t="str">
        <f t="shared" si="1"/>
        <v/>
      </c>
      <c r="C58" s="153">
        <f>IF(D11="","-",+C57+1)</f>
        <v>2057</v>
      </c>
      <c r="D58" s="159">
        <f>IF(F57+SUM(E$17:E57)=D$10,F57,D$10-SUM(E$17:E57))</f>
        <v>3095467.5411230586</v>
      </c>
      <c r="E58" s="160">
        <f>IF(+I14&lt;F57,I14,D58)</f>
        <v>1384518.2093023255</v>
      </c>
      <c r="F58" s="159">
        <f t="shared" si="2"/>
        <v>1710949.3318207331</v>
      </c>
      <c r="G58" s="161">
        <f t="shared" si="8"/>
        <v>1623771.2412545995</v>
      </c>
      <c r="H58" s="142">
        <f t="shared" si="9"/>
        <v>1623771.2412545995</v>
      </c>
      <c r="I58" s="156">
        <f t="shared" si="0"/>
        <v>0</v>
      </c>
      <c r="J58" s="156"/>
      <c r="K58" s="334"/>
      <c r="L58" s="158">
        <f t="shared" si="5"/>
        <v>0</v>
      </c>
      <c r="M58" s="334"/>
      <c r="N58" s="158">
        <f t="shared" si="6"/>
        <v>0</v>
      </c>
      <c r="O58" s="158">
        <f t="shared" si="7"/>
        <v>0</v>
      </c>
      <c r="P58" s="4"/>
    </row>
    <row r="59" spans="2:16">
      <c r="B59" s="9" t="str">
        <f t="shared" si="1"/>
        <v/>
      </c>
      <c r="C59" s="153">
        <f>IF(D11="","-",+C58+1)</f>
        <v>2058</v>
      </c>
      <c r="D59" s="159">
        <f>IF(F58+SUM(E$17:E58)=D$10,F58,D$10-SUM(E$17:E58))</f>
        <v>1710949.3318207331</v>
      </c>
      <c r="E59" s="160">
        <f>IF(+I14&lt;F58,I14,D59)</f>
        <v>1384518.2093023255</v>
      </c>
      <c r="F59" s="159">
        <f t="shared" si="2"/>
        <v>326431.12251840765</v>
      </c>
      <c r="G59" s="161">
        <f t="shared" si="8"/>
        <v>1485934.5998956766</v>
      </c>
      <c r="H59" s="142">
        <f t="shared" si="9"/>
        <v>1485934.5998956766</v>
      </c>
      <c r="I59" s="156">
        <f t="shared" si="0"/>
        <v>0</v>
      </c>
      <c r="J59" s="156"/>
      <c r="K59" s="334"/>
      <c r="L59" s="158">
        <f t="shared" si="5"/>
        <v>0</v>
      </c>
      <c r="M59" s="334"/>
      <c r="N59" s="158">
        <f t="shared" si="6"/>
        <v>0</v>
      </c>
      <c r="O59" s="158">
        <f t="shared" si="7"/>
        <v>0</v>
      </c>
      <c r="P59" s="4"/>
    </row>
    <row r="60" spans="2:16">
      <c r="B60" s="9" t="str">
        <f t="shared" si="1"/>
        <v/>
      </c>
      <c r="C60" s="153">
        <f>IF(D11="","-",+C59+1)</f>
        <v>2059</v>
      </c>
      <c r="D60" s="159">
        <f>IF(F59+SUM(E$17:E59)=D$10,F59,D$10-SUM(E$17:E59))</f>
        <v>326431.12251840765</v>
      </c>
      <c r="E60" s="160">
        <f>IF(+I14&lt;F59,I14,D60)</f>
        <v>326431.12251840765</v>
      </c>
      <c r="F60" s="159">
        <f t="shared" si="2"/>
        <v>0</v>
      </c>
      <c r="G60" s="161">
        <f t="shared" si="8"/>
        <v>342680.15747535252</v>
      </c>
      <c r="H60" s="142">
        <f t="shared" si="9"/>
        <v>342680.15747535252</v>
      </c>
      <c r="I60" s="156">
        <f t="shared" si="0"/>
        <v>0</v>
      </c>
      <c r="J60" s="156"/>
      <c r="K60" s="334"/>
      <c r="L60" s="158">
        <f t="shared" si="5"/>
        <v>0</v>
      </c>
      <c r="M60" s="334"/>
      <c r="N60" s="158">
        <f t="shared" si="6"/>
        <v>0</v>
      </c>
      <c r="O60" s="158">
        <f t="shared" si="7"/>
        <v>0</v>
      </c>
      <c r="P60" s="4"/>
    </row>
    <row r="61" spans="2:16">
      <c r="B61" s="9" t="str">
        <f t="shared" si="1"/>
        <v/>
      </c>
      <c r="C61" s="153">
        <f>IF(D11="","-",+C60+1)</f>
        <v>2060</v>
      </c>
      <c r="D61" s="159">
        <f>IF(F60+SUM(E$17:E60)=D$10,F60,D$10-SUM(E$17:E60))</f>
        <v>0</v>
      </c>
      <c r="E61" s="160">
        <f>IF(+I14&lt;F60,I14,D61)</f>
        <v>0</v>
      </c>
      <c r="F61" s="159">
        <f t="shared" si="2"/>
        <v>0</v>
      </c>
      <c r="G61" s="163">
        <f t="shared" si="8"/>
        <v>0</v>
      </c>
      <c r="H61" s="142">
        <f t="shared" si="9"/>
        <v>0</v>
      </c>
      <c r="I61" s="156">
        <f t="shared" si="0"/>
        <v>0</v>
      </c>
      <c r="J61" s="156"/>
      <c r="K61" s="334"/>
      <c r="L61" s="158">
        <f t="shared" si="5"/>
        <v>0</v>
      </c>
      <c r="M61" s="334"/>
      <c r="N61" s="158">
        <f t="shared" si="6"/>
        <v>0</v>
      </c>
      <c r="O61" s="158">
        <f t="shared" si="7"/>
        <v>0</v>
      </c>
      <c r="P61" s="4"/>
    </row>
    <row r="62" spans="2:16">
      <c r="B62" s="9" t="str">
        <f t="shared" si="1"/>
        <v/>
      </c>
      <c r="C62" s="153">
        <f>IF(D11="","-",+C61+1)</f>
        <v>2061</v>
      </c>
      <c r="D62" s="159">
        <f>IF(F61+SUM(E$17:E61)=D$10,F61,D$10-SUM(E$17:E61))</f>
        <v>0</v>
      </c>
      <c r="E62" s="160">
        <f>IF(+I14&lt;F61,I14,D62)</f>
        <v>0</v>
      </c>
      <c r="F62" s="159">
        <f t="shared" si="2"/>
        <v>0</v>
      </c>
      <c r="G62" s="163">
        <f t="shared" si="8"/>
        <v>0</v>
      </c>
      <c r="H62" s="142">
        <f t="shared" si="9"/>
        <v>0</v>
      </c>
      <c r="I62" s="156">
        <f t="shared" si="0"/>
        <v>0</v>
      </c>
      <c r="J62" s="156"/>
      <c r="K62" s="334"/>
      <c r="L62" s="158">
        <f t="shared" si="5"/>
        <v>0</v>
      </c>
      <c r="M62" s="334"/>
      <c r="N62" s="158">
        <f t="shared" si="6"/>
        <v>0</v>
      </c>
      <c r="O62" s="158">
        <f t="shared" si="7"/>
        <v>0</v>
      </c>
      <c r="P62" s="4"/>
    </row>
    <row r="63" spans="2:16">
      <c r="B63" s="9" t="str">
        <f t="shared" si="1"/>
        <v/>
      </c>
      <c r="C63" s="153">
        <f>IF(D11="","-",+C62+1)</f>
        <v>2062</v>
      </c>
      <c r="D63" s="159">
        <f>IF(F62+SUM(E$17:E62)=D$10,F62,D$10-SUM(E$17:E62))</f>
        <v>0</v>
      </c>
      <c r="E63" s="160">
        <f>IF(+I14&lt;F62,I14,D63)</f>
        <v>0</v>
      </c>
      <c r="F63" s="159">
        <f t="shared" si="2"/>
        <v>0</v>
      </c>
      <c r="G63" s="163">
        <f t="shared" si="8"/>
        <v>0</v>
      </c>
      <c r="H63" s="142">
        <f t="shared" si="9"/>
        <v>0</v>
      </c>
      <c r="I63" s="156">
        <f t="shared" si="0"/>
        <v>0</v>
      </c>
      <c r="J63" s="156"/>
      <c r="K63" s="334"/>
      <c r="L63" s="158">
        <f t="shared" si="5"/>
        <v>0</v>
      </c>
      <c r="M63" s="334"/>
      <c r="N63" s="158">
        <f t="shared" si="6"/>
        <v>0</v>
      </c>
      <c r="O63" s="158">
        <f t="shared" si="7"/>
        <v>0</v>
      </c>
      <c r="P63" s="4"/>
    </row>
    <row r="64" spans="2:16">
      <c r="B64" s="9" t="str">
        <f t="shared" si="1"/>
        <v/>
      </c>
      <c r="C64" s="153">
        <f>IF(D11="","-",+C63+1)</f>
        <v>2063</v>
      </c>
      <c r="D64" s="159">
        <f>IF(F63+SUM(E$17:E63)=D$10,F63,D$10-SUM(E$17:E63))</f>
        <v>0</v>
      </c>
      <c r="E64" s="160">
        <f>IF(+I14&lt;F63,I14,D64)</f>
        <v>0</v>
      </c>
      <c r="F64" s="159">
        <f t="shared" si="2"/>
        <v>0</v>
      </c>
      <c r="G64" s="163">
        <f t="shared" si="8"/>
        <v>0</v>
      </c>
      <c r="H64" s="142">
        <f t="shared" si="9"/>
        <v>0</v>
      </c>
      <c r="I64" s="156">
        <f t="shared" si="0"/>
        <v>0</v>
      </c>
      <c r="J64" s="156"/>
      <c r="K64" s="334"/>
      <c r="L64" s="158">
        <f t="shared" si="5"/>
        <v>0</v>
      </c>
      <c r="M64" s="334"/>
      <c r="N64" s="158">
        <f t="shared" si="6"/>
        <v>0</v>
      </c>
      <c r="O64" s="158">
        <f t="shared" si="7"/>
        <v>0</v>
      </c>
      <c r="P64" s="4"/>
    </row>
    <row r="65" spans="2:16">
      <c r="B65" s="9" t="str">
        <f t="shared" si="1"/>
        <v/>
      </c>
      <c r="C65" s="153">
        <f>IF(D11="","-",+C64+1)</f>
        <v>2064</v>
      </c>
      <c r="D65" s="159">
        <f>IF(F64+SUM(E$17:E64)=D$10,F64,D$10-SUM(E$17:E64))</f>
        <v>0</v>
      </c>
      <c r="E65" s="160">
        <f>IF(+I14&lt;F64,I14,D65)</f>
        <v>0</v>
      </c>
      <c r="F65" s="159">
        <f t="shared" si="2"/>
        <v>0</v>
      </c>
      <c r="G65" s="163">
        <f t="shared" si="8"/>
        <v>0</v>
      </c>
      <c r="H65" s="142">
        <f t="shared" si="9"/>
        <v>0</v>
      </c>
      <c r="I65" s="156">
        <f t="shared" si="0"/>
        <v>0</v>
      </c>
      <c r="J65" s="156"/>
      <c r="K65" s="334"/>
      <c r="L65" s="158">
        <f t="shared" si="5"/>
        <v>0</v>
      </c>
      <c r="M65" s="334"/>
      <c r="N65" s="158">
        <f t="shared" si="6"/>
        <v>0</v>
      </c>
      <c r="O65" s="158">
        <f t="shared" si="7"/>
        <v>0</v>
      </c>
      <c r="P65" s="4"/>
    </row>
    <row r="66" spans="2:16">
      <c r="B66" s="9" t="str">
        <f t="shared" si="1"/>
        <v/>
      </c>
      <c r="C66" s="153">
        <f>IF(D11="","-",+C65+1)</f>
        <v>2065</v>
      </c>
      <c r="D66" s="159">
        <f>IF(F65+SUM(E$17:E65)=D$10,F65,D$10-SUM(E$17:E65))</f>
        <v>0</v>
      </c>
      <c r="E66" s="160">
        <f>IF(+I14&lt;F65,I14,D66)</f>
        <v>0</v>
      </c>
      <c r="F66" s="159">
        <f t="shared" si="2"/>
        <v>0</v>
      </c>
      <c r="G66" s="163">
        <f t="shared" si="8"/>
        <v>0</v>
      </c>
      <c r="H66" s="142">
        <f t="shared" si="9"/>
        <v>0</v>
      </c>
      <c r="I66" s="156">
        <f t="shared" si="0"/>
        <v>0</v>
      </c>
      <c r="J66" s="156"/>
      <c r="K66" s="334"/>
      <c r="L66" s="158">
        <f t="shared" si="5"/>
        <v>0</v>
      </c>
      <c r="M66" s="334"/>
      <c r="N66" s="158">
        <f t="shared" si="6"/>
        <v>0</v>
      </c>
      <c r="O66" s="158">
        <f t="shared" si="7"/>
        <v>0</v>
      </c>
      <c r="P66" s="4"/>
    </row>
    <row r="67" spans="2:16">
      <c r="B67" s="9" t="str">
        <f t="shared" si="1"/>
        <v/>
      </c>
      <c r="C67" s="153">
        <f>IF(D11="","-",+C66+1)</f>
        <v>2066</v>
      </c>
      <c r="D67" s="159">
        <f>IF(F66+SUM(E$17:E66)=D$10,F66,D$10-SUM(E$17:E66))</f>
        <v>0</v>
      </c>
      <c r="E67" s="160">
        <f>IF(+I14&lt;F66,I14,D67)</f>
        <v>0</v>
      </c>
      <c r="F67" s="159">
        <f t="shared" si="2"/>
        <v>0</v>
      </c>
      <c r="G67" s="163">
        <f t="shared" si="8"/>
        <v>0</v>
      </c>
      <c r="H67" s="142">
        <f t="shared" si="9"/>
        <v>0</v>
      </c>
      <c r="I67" s="156">
        <f t="shared" si="0"/>
        <v>0</v>
      </c>
      <c r="J67" s="156"/>
      <c r="K67" s="334"/>
      <c r="L67" s="158">
        <f t="shared" si="5"/>
        <v>0</v>
      </c>
      <c r="M67" s="334"/>
      <c r="N67" s="158">
        <f t="shared" si="6"/>
        <v>0</v>
      </c>
      <c r="O67" s="158">
        <f t="shared" si="7"/>
        <v>0</v>
      </c>
      <c r="P67" s="4"/>
    </row>
    <row r="68" spans="2:16">
      <c r="B68" s="9" t="str">
        <f t="shared" si="1"/>
        <v/>
      </c>
      <c r="C68" s="153">
        <f>IF(D11="","-",+C67+1)</f>
        <v>2067</v>
      </c>
      <c r="D68" s="159">
        <f>IF(F67+SUM(E$17:E67)=D$10,F67,D$10-SUM(E$17:E67))</f>
        <v>0</v>
      </c>
      <c r="E68" s="160">
        <f>IF(+I14&lt;F67,I14,D68)</f>
        <v>0</v>
      </c>
      <c r="F68" s="159">
        <f t="shared" si="2"/>
        <v>0</v>
      </c>
      <c r="G68" s="163">
        <f t="shared" si="8"/>
        <v>0</v>
      </c>
      <c r="H68" s="142">
        <f t="shared" si="9"/>
        <v>0</v>
      </c>
      <c r="I68" s="156">
        <f t="shared" si="0"/>
        <v>0</v>
      </c>
      <c r="J68" s="156"/>
      <c r="K68" s="334"/>
      <c r="L68" s="158">
        <f t="shared" si="5"/>
        <v>0</v>
      </c>
      <c r="M68" s="334"/>
      <c r="N68" s="158">
        <f t="shared" si="6"/>
        <v>0</v>
      </c>
      <c r="O68" s="158">
        <f t="shared" si="7"/>
        <v>0</v>
      </c>
      <c r="P68" s="4"/>
    </row>
    <row r="69" spans="2:16">
      <c r="B69" s="9" t="str">
        <f t="shared" si="1"/>
        <v/>
      </c>
      <c r="C69" s="153">
        <f>IF(D11="","-",+C68+1)</f>
        <v>2068</v>
      </c>
      <c r="D69" s="159">
        <f>IF(F68+SUM(E$17:E68)=D$10,F68,D$10-SUM(E$17:E68))</f>
        <v>0</v>
      </c>
      <c r="E69" s="160">
        <f>IF(+I14&lt;F68,I14,D69)</f>
        <v>0</v>
      </c>
      <c r="F69" s="159">
        <f t="shared" si="2"/>
        <v>0</v>
      </c>
      <c r="G69" s="163">
        <f t="shared" si="8"/>
        <v>0</v>
      </c>
      <c r="H69" s="142">
        <f t="shared" si="9"/>
        <v>0</v>
      </c>
      <c r="I69" s="156">
        <f t="shared" si="0"/>
        <v>0</v>
      </c>
      <c r="J69" s="156"/>
      <c r="K69" s="334"/>
      <c r="L69" s="158">
        <f t="shared" si="5"/>
        <v>0</v>
      </c>
      <c r="M69" s="334"/>
      <c r="N69" s="158">
        <f t="shared" si="6"/>
        <v>0</v>
      </c>
      <c r="O69" s="158">
        <f t="shared" si="7"/>
        <v>0</v>
      </c>
      <c r="P69" s="4"/>
    </row>
    <row r="70" spans="2:16">
      <c r="B70" s="9" t="str">
        <f t="shared" si="1"/>
        <v/>
      </c>
      <c r="C70" s="153">
        <f>IF(D11="","-",+C69+1)</f>
        <v>2069</v>
      </c>
      <c r="D70" s="159">
        <f>IF(F69+SUM(E$17:E69)=D$10,F69,D$10-SUM(E$17:E69))</f>
        <v>0</v>
      </c>
      <c r="E70" s="160">
        <f>IF(+I14&lt;F69,I14,D70)</f>
        <v>0</v>
      </c>
      <c r="F70" s="159">
        <f t="shared" si="2"/>
        <v>0</v>
      </c>
      <c r="G70" s="163">
        <f t="shared" si="8"/>
        <v>0</v>
      </c>
      <c r="H70" s="142">
        <f t="shared" si="9"/>
        <v>0</v>
      </c>
      <c r="I70" s="156">
        <f t="shared" si="0"/>
        <v>0</v>
      </c>
      <c r="J70" s="156"/>
      <c r="K70" s="334"/>
      <c r="L70" s="158">
        <f t="shared" si="5"/>
        <v>0</v>
      </c>
      <c r="M70" s="334"/>
      <c r="N70" s="158">
        <f t="shared" si="6"/>
        <v>0</v>
      </c>
      <c r="O70" s="158">
        <f t="shared" si="7"/>
        <v>0</v>
      </c>
      <c r="P70" s="4"/>
    </row>
    <row r="71" spans="2:16">
      <c r="B71" s="9" t="str">
        <f t="shared" si="1"/>
        <v/>
      </c>
      <c r="C71" s="153">
        <f>IF(D11="","-",+C70+1)</f>
        <v>2070</v>
      </c>
      <c r="D71" s="159">
        <f>IF(F70+SUM(E$17:E70)=D$10,F70,D$10-SUM(E$17:E70))</f>
        <v>0</v>
      </c>
      <c r="E71" s="160">
        <f>IF(+I14&lt;F70,I14,D71)</f>
        <v>0</v>
      </c>
      <c r="F71" s="159">
        <f t="shared" si="2"/>
        <v>0</v>
      </c>
      <c r="G71" s="163">
        <f t="shared" si="8"/>
        <v>0</v>
      </c>
      <c r="H71" s="142">
        <f t="shared" si="9"/>
        <v>0</v>
      </c>
      <c r="I71" s="156">
        <f t="shared" si="0"/>
        <v>0</v>
      </c>
      <c r="J71" s="156"/>
      <c r="K71" s="334"/>
      <c r="L71" s="158">
        <f t="shared" si="5"/>
        <v>0</v>
      </c>
      <c r="M71" s="334"/>
      <c r="N71" s="158">
        <f t="shared" si="6"/>
        <v>0</v>
      </c>
      <c r="O71" s="158">
        <f t="shared" si="7"/>
        <v>0</v>
      </c>
      <c r="P71" s="4"/>
    </row>
    <row r="72" spans="2:16" ht="13.5" thickBot="1">
      <c r="B72" s="9" t="str">
        <f t="shared" si="1"/>
        <v/>
      </c>
      <c r="C72" s="164">
        <f>IF(D11="","-",+C71+1)</f>
        <v>2071</v>
      </c>
      <c r="D72" s="165">
        <f>IF(F71+SUM(E$17:E71)=D$10,F71,D$10-SUM(E$17:E71))</f>
        <v>0</v>
      </c>
      <c r="E72" s="166">
        <f>IF(+I14&lt;F71,I14,D72)</f>
        <v>0</v>
      </c>
      <c r="F72" s="165">
        <f t="shared" si="2"/>
        <v>0</v>
      </c>
      <c r="G72" s="167">
        <f t="shared" si="8"/>
        <v>0</v>
      </c>
      <c r="H72" s="124">
        <f t="shared" si="9"/>
        <v>0</v>
      </c>
      <c r="I72" s="168">
        <f t="shared" si="0"/>
        <v>0</v>
      </c>
      <c r="J72" s="156"/>
      <c r="K72" s="335"/>
      <c r="L72" s="169">
        <f t="shared" si="5"/>
        <v>0</v>
      </c>
      <c r="M72" s="335"/>
      <c r="N72" s="169">
        <f t="shared" si="6"/>
        <v>0</v>
      </c>
      <c r="O72" s="169">
        <f t="shared" si="7"/>
        <v>0</v>
      </c>
      <c r="P72" s="4"/>
    </row>
    <row r="73" spans="2:16">
      <c r="C73" s="154" t="s">
        <v>73</v>
      </c>
      <c r="D73" s="111"/>
      <c r="E73" s="111">
        <f>SUM(E17:E72)</f>
        <v>59534283.000000015</v>
      </c>
      <c r="F73" s="111"/>
      <c r="G73" s="111">
        <f>SUM(G17:G72)</f>
        <v>187540944.61448163</v>
      </c>
      <c r="H73" s="111">
        <f>SUM(H17:H72)</f>
        <v>187540944.61448163</v>
      </c>
      <c r="I73" s="111">
        <f>SUM(I17:I72)</f>
        <v>0</v>
      </c>
      <c r="J73" s="111"/>
      <c r="K73" s="111"/>
      <c r="L73" s="111"/>
      <c r="M73" s="111"/>
      <c r="N73" s="111"/>
      <c r="O73" s="4"/>
      <c r="P73" s="4"/>
    </row>
    <row r="74" spans="2:16">
      <c r="D74" s="2"/>
      <c r="E74" s="1"/>
      <c r="F74" s="1"/>
      <c r="G74" s="1"/>
      <c r="H74" s="3"/>
      <c r="I74" s="3"/>
      <c r="J74" s="111"/>
      <c r="K74" s="3"/>
      <c r="L74" s="3"/>
      <c r="M74" s="3"/>
      <c r="N74" s="3"/>
      <c r="O74" s="1"/>
      <c r="P74" s="1"/>
    </row>
    <row r="75" spans="2:16">
      <c r="C75" s="170" t="s">
        <v>91</v>
      </c>
      <c r="D75" s="2"/>
      <c r="E75" s="1"/>
      <c r="F75" s="1"/>
      <c r="G75" s="1"/>
      <c r="H75" s="3"/>
      <c r="I75" s="3"/>
      <c r="J75" s="111"/>
      <c r="K75" s="3"/>
      <c r="L75" s="3"/>
      <c r="M75" s="3"/>
      <c r="N75" s="3"/>
      <c r="O75" s="1"/>
      <c r="P75" s="1"/>
    </row>
    <row r="76" spans="2:16">
      <c r="C76" s="121" t="s">
        <v>74</v>
      </c>
      <c r="D76" s="2"/>
      <c r="E76" s="1"/>
      <c r="F76" s="1"/>
      <c r="G76" s="1"/>
      <c r="H76" s="3"/>
      <c r="I76" s="3"/>
      <c r="J76" s="111"/>
      <c r="K76" s="3"/>
      <c r="L76" s="3"/>
      <c r="M76" s="3"/>
      <c r="N76" s="3"/>
      <c r="O76" s="4"/>
      <c r="P76" s="4"/>
    </row>
    <row r="77" spans="2:16">
      <c r="C77" s="121" t="s">
        <v>75</v>
      </c>
      <c r="D77" s="154"/>
      <c r="E77" s="154"/>
      <c r="F77" s="154"/>
      <c r="G77" s="111"/>
      <c r="H77" s="111"/>
      <c r="I77" s="171"/>
      <c r="J77" s="171"/>
      <c r="K77" s="171"/>
      <c r="L77" s="171"/>
      <c r="M77" s="171"/>
      <c r="N77" s="171"/>
      <c r="O77" s="4"/>
      <c r="P77" s="4"/>
    </row>
    <row r="78" spans="2:16">
      <c r="C78" s="121"/>
      <c r="D78" s="154"/>
      <c r="E78" s="154"/>
      <c r="F78" s="154"/>
      <c r="G78" s="111"/>
      <c r="H78" s="111"/>
      <c r="I78" s="171"/>
      <c r="J78" s="171"/>
      <c r="K78" s="171"/>
      <c r="L78" s="171"/>
      <c r="M78" s="171"/>
      <c r="N78" s="171"/>
      <c r="O78" s="4"/>
      <c r="P78" s="1"/>
    </row>
    <row r="79" spans="2:16">
      <c r="B79" s="1"/>
      <c r="C79" s="21"/>
      <c r="D79" s="2"/>
      <c r="E79" s="1"/>
      <c r="F79" s="107"/>
      <c r="G79" s="1"/>
      <c r="H79" s="3"/>
      <c r="I79" s="1"/>
      <c r="J79" s="4"/>
      <c r="K79" s="1"/>
      <c r="L79" s="1"/>
      <c r="M79" s="1"/>
      <c r="N79" s="1"/>
      <c r="O79" s="1"/>
      <c r="P79" s="1"/>
    </row>
    <row r="80" spans="2:16" ht="18">
      <c r="B80" s="1"/>
      <c r="C80" s="242"/>
      <c r="D80" s="2"/>
      <c r="E80" s="1"/>
      <c r="F80" s="107"/>
      <c r="G80" s="1"/>
      <c r="H80" s="3"/>
      <c r="I80" s="1"/>
      <c r="J80" s="4"/>
      <c r="K80" s="1"/>
      <c r="L80" s="1"/>
      <c r="M80" s="1"/>
      <c r="N80" s="1"/>
      <c r="P80" s="244" t="s">
        <v>125</v>
      </c>
    </row>
    <row r="81" spans="1:16">
      <c r="B81" s="1"/>
      <c r="C81" s="21"/>
      <c r="D81" s="2"/>
      <c r="E81" s="1"/>
      <c r="F81" s="107"/>
      <c r="G81" s="1"/>
      <c r="H81" s="3"/>
      <c r="I81" s="1"/>
      <c r="J81" s="4"/>
      <c r="K81" s="1"/>
      <c r="L81" s="1"/>
      <c r="M81" s="1"/>
      <c r="N81" s="1"/>
      <c r="O81" s="1"/>
      <c r="P81" s="1"/>
    </row>
    <row r="82" spans="1:16">
      <c r="B82" s="1"/>
      <c r="C82" s="21"/>
      <c r="D82" s="2"/>
      <c r="E82" s="1"/>
      <c r="F82" s="107"/>
      <c r="G82" s="1"/>
      <c r="H82" s="3"/>
      <c r="I82" s="1"/>
      <c r="J82" s="4"/>
      <c r="K82" s="1"/>
      <c r="L82" s="1"/>
      <c r="M82" s="1"/>
      <c r="N82" s="1"/>
      <c r="O82" s="1"/>
      <c r="P82" s="1"/>
    </row>
    <row r="83" spans="1:16" ht="20.25">
      <c r="A83" s="243" t="s">
        <v>129</v>
      </c>
      <c r="B83" s="1"/>
      <c r="C83" s="21"/>
      <c r="D83" s="2"/>
      <c r="E83" s="1"/>
      <c r="F83" s="99"/>
      <c r="G83" s="99"/>
      <c r="H83" s="1"/>
      <c r="I83" s="3"/>
      <c r="K83" s="7"/>
      <c r="L83" s="109"/>
      <c r="M83" s="109"/>
      <c r="P83" s="109" t="str">
        <f ca="1">P1</f>
        <v>SWEPCO Project 61 of 73</v>
      </c>
    </row>
    <row r="84" spans="1:16" ht="18">
      <c r="B84" s="1"/>
      <c r="C84" s="1"/>
      <c r="D84" s="2"/>
      <c r="E84" s="1"/>
      <c r="F84" s="1"/>
      <c r="G84" s="1"/>
      <c r="H84" s="1"/>
      <c r="I84" s="3"/>
      <c r="J84" s="1"/>
      <c r="K84" s="4"/>
      <c r="L84" s="1"/>
      <c r="M84" s="1"/>
      <c r="P84" s="244" t="s">
        <v>123</v>
      </c>
    </row>
    <row r="85" spans="1:16" ht="18.75" thickBot="1">
      <c r="B85" s="5" t="s">
        <v>40</v>
      </c>
      <c r="C85" s="197" t="s">
        <v>78</v>
      </c>
      <c r="D85" s="2"/>
      <c r="E85" s="1"/>
      <c r="F85" s="1"/>
      <c r="G85" s="1"/>
      <c r="H85" s="1"/>
      <c r="I85" s="3"/>
      <c r="J85" s="3"/>
      <c r="K85" s="111"/>
      <c r="L85" s="3"/>
      <c r="M85" s="3"/>
      <c r="N85" s="3"/>
      <c r="O85" s="111"/>
      <c r="P85" s="1"/>
    </row>
    <row r="86" spans="1:16" ht="15.75" thickBot="1">
      <c r="C86" s="67"/>
      <c r="D86" s="2"/>
      <c r="E86" s="1"/>
      <c r="F86" s="1"/>
      <c r="G86" s="1"/>
      <c r="H86" s="1"/>
      <c r="I86" s="3"/>
      <c r="J86" s="3"/>
      <c r="K86" s="111"/>
      <c r="L86" s="265">
        <f>+J92</f>
        <v>2017</v>
      </c>
      <c r="M86" s="266" t="s">
        <v>7</v>
      </c>
      <c r="N86" s="270" t="s">
        <v>154</v>
      </c>
      <c r="O86" s="267" t="s">
        <v>9</v>
      </c>
      <c r="P86" s="1"/>
    </row>
    <row r="87" spans="1:16" ht="15">
      <c r="C87" s="235" t="s">
        <v>42</v>
      </c>
      <c r="D87" s="2"/>
      <c r="E87" s="1"/>
      <c r="F87" s="1"/>
      <c r="G87" s="1"/>
      <c r="H87" s="113"/>
      <c r="I87" s="1" t="s">
        <v>43</v>
      </c>
      <c r="J87" s="1"/>
      <c r="K87" s="261"/>
      <c r="L87" s="259" t="s">
        <v>381</v>
      </c>
      <c r="M87" s="198">
        <f>IF(J92&lt;D11,0,VLOOKUP(J92,C17:O72,9))</f>
        <v>7928500.3710052036</v>
      </c>
      <c r="N87" s="198">
        <f>IF(J92&lt;D11,0,VLOOKUP(J92,C17:O72,11))</f>
        <v>7928500.3710052036</v>
      </c>
      <c r="O87" s="199">
        <f>+N87-M87</f>
        <v>0</v>
      </c>
      <c r="P87" s="1"/>
    </row>
    <row r="88" spans="1:16" ht="15.75">
      <c r="C88" s="8"/>
      <c r="D88" s="2"/>
      <c r="E88" s="1"/>
      <c r="F88" s="1"/>
      <c r="G88" s="1"/>
      <c r="H88" s="1"/>
      <c r="I88" s="117"/>
      <c r="J88" s="117"/>
      <c r="K88" s="263"/>
      <c r="L88" s="264" t="s">
        <v>382</v>
      </c>
      <c r="M88" s="200">
        <f>IF(J92&lt;D11,0,VLOOKUP(J92,C99:P154,6))</f>
        <v>8427453.935603546</v>
      </c>
      <c r="N88" s="200">
        <f>IF(J92&lt;D11,0,VLOOKUP(J92,C99:P154,7))</f>
        <v>8427453.935603546</v>
      </c>
      <c r="O88" s="201">
        <f>+N88-M88</f>
        <v>0</v>
      </c>
      <c r="P88" s="1"/>
    </row>
    <row r="89" spans="1:16" ht="13.5" thickBot="1">
      <c r="C89" s="121" t="s">
        <v>79</v>
      </c>
      <c r="D89" s="246" t="str">
        <f>+D7</f>
        <v>Messick 500/230 kV</v>
      </c>
      <c r="E89" s="1"/>
      <c r="F89" s="1"/>
      <c r="G89" s="1"/>
      <c r="H89" s="1"/>
      <c r="I89" s="3"/>
      <c r="J89" s="3"/>
      <c r="K89" s="262"/>
      <c r="L89" s="260" t="s">
        <v>151</v>
      </c>
      <c r="M89" s="203">
        <f>+M88-M87</f>
        <v>498953.5645983424</v>
      </c>
      <c r="N89" s="203">
        <f>+N88-N87</f>
        <v>498953.5645983424</v>
      </c>
      <c r="O89" s="204">
        <f>+O88-O87</f>
        <v>0</v>
      </c>
      <c r="P89" s="1"/>
    </row>
    <row r="90" spans="1:16" ht="13.5" thickBot="1">
      <c r="C90" s="170"/>
      <c r="D90" s="173" t="str">
        <f>D8</f>
        <v/>
      </c>
      <c r="E90" s="107"/>
      <c r="F90" s="107"/>
      <c r="G90" s="107"/>
      <c r="H90" s="126"/>
      <c r="I90" s="3"/>
      <c r="J90" s="3"/>
      <c r="K90" s="111"/>
      <c r="L90" s="3"/>
      <c r="M90" s="3"/>
      <c r="N90" s="3"/>
      <c r="O90" s="111"/>
      <c r="P90" s="1"/>
    </row>
    <row r="91" spans="1:16" ht="13.5" thickBot="1">
      <c r="A91" s="103"/>
      <c r="C91" s="205" t="s">
        <v>80</v>
      </c>
      <c r="D91" s="224" t="str">
        <f>+D9</f>
        <v>TP2011033</v>
      </c>
      <c r="E91" s="206"/>
      <c r="F91" s="206"/>
      <c r="G91" s="206"/>
      <c r="H91" s="206"/>
      <c r="I91" s="206"/>
      <c r="J91" s="206"/>
      <c r="K91" s="207"/>
      <c r="P91" s="131"/>
    </row>
    <row r="92" spans="1:16">
      <c r="C92" s="136" t="s">
        <v>47</v>
      </c>
      <c r="D92" s="133">
        <v>59387256</v>
      </c>
      <c r="E92" s="21" t="s">
        <v>81</v>
      </c>
      <c r="H92" s="134"/>
      <c r="I92" s="134"/>
      <c r="J92" s="135">
        <f>+'SWE.WS.G.BPU.ATRR.True-up'!M15</f>
        <v>2017</v>
      </c>
      <c r="K92" s="130"/>
      <c r="L92" s="111" t="s">
        <v>82</v>
      </c>
      <c r="P92" s="4"/>
    </row>
    <row r="93" spans="1:16">
      <c r="C93" s="136" t="s">
        <v>49</v>
      </c>
      <c r="D93" s="137">
        <v>2016</v>
      </c>
      <c r="E93" s="136" t="s">
        <v>50</v>
      </c>
      <c r="F93" s="134"/>
      <c r="G93" s="134"/>
      <c r="J93" s="138">
        <f>IF(H87="",0,'SWE.WS.G.BPU.ATRR.True-up'!$F$12)</f>
        <v>0</v>
      </c>
      <c r="K93" s="139"/>
      <c r="L93" t="str">
        <f>"          INPUT TRUE-UP ARR (WITH &amp; WITHOUT INCENTIVES) FROM EACH PRIOR YEAR"</f>
        <v xml:space="preserve">          INPUT TRUE-UP ARR (WITH &amp; WITHOUT INCENTIVES) FROM EACH PRIOR YEAR</v>
      </c>
      <c r="P93" s="4"/>
    </row>
    <row r="94" spans="1:16">
      <c r="C94" s="136" t="s">
        <v>51</v>
      </c>
      <c r="D94" s="133">
        <v>4</v>
      </c>
      <c r="E94" s="136" t="s">
        <v>52</v>
      </c>
      <c r="F94" s="134"/>
      <c r="G94" s="134"/>
      <c r="J94" s="140">
        <f>'SWE.WS.G.BPU.ATRR.True-up'!$F$80</f>
        <v>0.12147145768398206</v>
      </c>
      <c r="K94" s="141"/>
      <c r="L94" t="s">
        <v>83</v>
      </c>
      <c r="P94" s="4"/>
    </row>
    <row r="95" spans="1:16">
      <c r="C95" s="136" t="s">
        <v>54</v>
      </c>
      <c r="D95" s="138">
        <f>'SWE.WS.G.BPU.ATRR.True-up'!F$92</f>
        <v>42</v>
      </c>
      <c r="E95" s="136" t="s">
        <v>55</v>
      </c>
      <c r="F95" s="134"/>
      <c r="G95" s="134"/>
      <c r="J95" s="140">
        <f>IF(H87="",J94,'SWE.WS.G.BPU.ATRR.True-up'!$F$79)</f>
        <v>0.12147145768398206</v>
      </c>
      <c r="K95" s="58"/>
      <c r="L95" s="111" t="s">
        <v>56</v>
      </c>
      <c r="M95" s="58"/>
      <c r="N95" s="58"/>
      <c r="O95" s="58"/>
      <c r="P95" s="4"/>
    </row>
    <row r="96" spans="1:16" ht="13.5" thickBot="1">
      <c r="C96" s="136" t="s">
        <v>57</v>
      </c>
      <c r="D96" s="220" t="str">
        <f>+D14</f>
        <v>No</v>
      </c>
      <c r="E96" s="202" t="s">
        <v>59</v>
      </c>
      <c r="F96" s="208"/>
      <c r="G96" s="208"/>
      <c r="H96" s="209"/>
      <c r="I96" s="209"/>
      <c r="J96" s="124">
        <f>IF(D92=0,0,D92/D95)</f>
        <v>1413982.2857142857</v>
      </c>
      <c r="K96" s="111"/>
      <c r="L96" s="111"/>
      <c r="M96" s="111"/>
      <c r="N96" s="111"/>
      <c r="O96" s="111"/>
      <c r="P96" s="4"/>
    </row>
    <row r="97" spans="1:16" ht="38.25">
      <c r="A97" s="6"/>
      <c r="B97" s="6"/>
      <c r="C97" s="210" t="s">
        <v>47</v>
      </c>
      <c r="D97" s="211" t="s">
        <v>60</v>
      </c>
      <c r="E97" s="146" t="s">
        <v>61</v>
      </c>
      <c r="F97" s="146" t="s">
        <v>62</v>
      </c>
      <c r="G97" s="144" t="s">
        <v>84</v>
      </c>
      <c r="H97" s="434" t="s">
        <v>378</v>
      </c>
      <c r="I97" s="435" t="s">
        <v>379</v>
      </c>
      <c r="J97" s="210" t="s">
        <v>85</v>
      </c>
      <c r="K97" s="212"/>
      <c r="L97" s="271" t="s">
        <v>220</v>
      </c>
      <c r="M97" s="146" t="s">
        <v>86</v>
      </c>
      <c r="N97" s="271" t="s">
        <v>220</v>
      </c>
      <c r="O97" s="146" t="s">
        <v>86</v>
      </c>
      <c r="P97" s="146" t="s">
        <v>65</v>
      </c>
    </row>
    <row r="98" spans="1:16" ht="13.5" thickBot="1">
      <c r="C98" s="147" t="s">
        <v>66</v>
      </c>
      <c r="D98" s="213" t="s">
        <v>67</v>
      </c>
      <c r="E98" s="147" t="s">
        <v>68</v>
      </c>
      <c r="F98" s="147" t="s">
        <v>67</v>
      </c>
      <c r="G98" s="147" t="s">
        <v>67</v>
      </c>
      <c r="H98" s="407" t="s">
        <v>69</v>
      </c>
      <c r="I98" s="148" t="s">
        <v>70</v>
      </c>
      <c r="J98" s="149" t="s">
        <v>89</v>
      </c>
      <c r="K98" s="150"/>
      <c r="L98" s="151" t="s">
        <v>72</v>
      </c>
      <c r="M98" s="151" t="s">
        <v>72</v>
      </c>
      <c r="N98" s="151" t="s">
        <v>90</v>
      </c>
      <c r="O98" s="151" t="s">
        <v>90</v>
      </c>
      <c r="P98" s="151" t="s">
        <v>90</v>
      </c>
    </row>
    <row r="99" spans="1:16">
      <c r="C99" s="153">
        <f>IF(D93= "","-",D93)</f>
        <v>2016</v>
      </c>
      <c r="D99" s="360">
        <f>IF(D93=C99,0,D92)</f>
        <v>0</v>
      </c>
      <c r="E99" s="360">
        <f>IF(D11=I10,0,J96/12*(12-D94))</f>
        <v>942654.85714285716</v>
      </c>
      <c r="F99" s="360">
        <f>IF(D93=C99,+D92-E99,+D99-E99)</f>
        <v>58444601.142857142</v>
      </c>
      <c r="G99" s="360">
        <f t="shared" ref="G99:G130" si="10">+(F99+D99)/2</f>
        <v>29222300.571428571</v>
      </c>
      <c r="H99" s="360">
        <f>+J94*G99+E99</f>
        <v>4492330.3044337472</v>
      </c>
      <c r="I99" s="252">
        <f>+J95*G99+E99</f>
        <v>4492330.3044337472</v>
      </c>
      <c r="J99" s="158">
        <f t="shared" ref="J99:J130" si="11">+I99-H99</f>
        <v>0</v>
      </c>
      <c r="K99" s="158"/>
      <c r="L99" s="256">
        <f>+H99</f>
        <v>4492330.3044337472</v>
      </c>
      <c r="M99" s="157">
        <f t="shared" ref="M99:M130" si="12">IF(L99&lt;&gt;0,+H99-L99,0)</f>
        <v>0</v>
      </c>
      <c r="N99" s="256">
        <f>+I99</f>
        <v>4492330.3044337472</v>
      </c>
      <c r="O99" s="157">
        <f t="shared" ref="O99:O130" si="13">IF(N99&lt;&gt;0,+I99-N99,0)</f>
        <v>0</v>
      </c>
      <c r="P99" s="157">
        <f t="shared" ref="P99:P130" si="14">+O99-M99</f>
        <v>0</v>
      </c>
    </row>
    <row r="100" spans="1:16">
      <c r="B100" s="9" t="str">
        <f>IF(D100=F99,"","IU")</f>
        <v/>
      </c>
      <c r="C100" s="153">
        <f>IF(D93="","-",+C99+1)</f>
        <v>2017</v>
      </c>
      <c r="D100" s="154">
        <f>IF(F99+SUM(E$99:E99)=D$92,F99,D$92-SUM(E$99:E99))</f>
        <v>58444601.142857142</v>
      </c>
      <c r="E100" s="160">
        <f>IF(+J96&lt;F99,J96,D100)</f>
        <v>1413982.2857142857</v>
      </c>
      <c r="F100" s="159">
        <f t="shared" ref="F100:F130" si="15">+D100-E100</f>
        <v>57030618.857142858</v>
      </c>
      <c r="G100" s="159">
        <f t="shared" si="10"/>
        <v>57737610</v>
      </c>
      <c r="H100" s="163">
        <f t="shared" ref="H100:H154" si="16">+J$94*G100+E100</f>
        <v>8427453.935603546</v>
      </c>
      <c r="I100" s="253">
        <f t="shared" ref="I100:I154" si="17">+J$95*G100+E100</f>
        <v>8427453.935603546</v>
      </c>
      <c r="J100" s="158">
        <f t="shared" si="11"/>
        <v>0</v>
      </c>
      <c r="K100" s="158"/>
      <c r="L100" s="334"/>
      <c r="M100" s="158">
        <f t="shared" si="12"/>
        <v>0</v>
      </c>
      <c r="N100" s="334"/>
      <c r="O100" s="158">
        <f t="shared" si="13"/>
        <v>0</v>
      </c>
      <c r="P100" s="158">
        <f t="shared" si="14"/>
        <v>0</v>
      </c>
    </row>
    <row r="101" spans="1:16">
      <c r="B101" s="9" t="str">
        <f t="shared" ref="B101:B154" si="18">IF(D101=F100,"","IU")</f>
        <v/>
      </c>
      <c r="C101" s="153">
        <f>IF(D93="","-",+C100+1)</f>
        <v>2018</v>
      </c>
      <c r="D101" s="154">
        <f>IF(F100+SUM(E$99:E100)=D$92,F100,D$92-SUM(E$99:E100))</f>
        <v>57030618.857142858</v>
      </c>
      <c r="E101" s="160">
        <f>IF(+J96&lt;F100,J96,D101)</f>
        <v>1413982.2857142857</v>
      </c>
      <c r="F101" s="159">
        <f t="shared" si="15"/>
        <v>55616636.571428575</v>
      </c>
      <c r="G101" s="159">
        <f t="shared" si="10"/>
        <v>56323627.714285716</v>
      </c>
      <c r="H101" s="163">
        <f t="shared" si="16"/>
        <v>8255695.4462185018</v>
      </c>
      <c r="I101" s="253">
        <f t="shared" si="17"/>
        <v>8255695.4462185018</v>
      </c>
      <c r="J101" s="158">
        <f t="shared" si="11"/>
        <v>0</v>
      </c>
      <c r="K101" s="158"/>
      <c r="L101" s="334"/>
      <c r="M101" s="158">
        <f t="shared" si="12"/>
        <v>0</v>
      </c>
      <c r="N101" s="334"/>
      <c r="O101" s="158">
        <f t="shared" si="13"/>
        <v>0</v>
      </c>
      <c r="P101" s="158">
        <f t="shared" si="14"/>
        <v>0</v>
      </c>
    </row>
    <row r="102" spans="1:16">
      <c r="B102" s="9" t="str">
        <f t="shared" si="18"/>
        <v/>
      </c>
      <c r="C102" s="153">
        <f>IF(D93="","-",+C101+1)</f>
        <v>2019</v>
      </c>
      <c r="D102" s="154">
        <f>IF(F101+SUM(E$99:E101)=D$92,F101,D$92-SUM(E$99:E101))</f>
        <v>55616636.571428575</v>
      </c>
      <c r="E102" s="160">
        <f>IF(+J96&lt;F101,J96,D102)</f>
        <v>1413982.2857142857</v>
      </c>
      <c r="F102" s="159">
        <f t="shared" si="15"/>
        <v>54202654.285714291</v>
      </c>
      <c r="G102" s="159">
        <f t="shared" si="10"/>
        <v>54909645.428571433</v>
      </c>
      <c r="H102" s="163">
        <f t="shared" si="16"/>
        <v>8083936.9568334594</v>
      </c>
      <c r="I102" s="253">
        <f t="shared" si="17"/>
        <v>8083936.9568334594</v>
      </c>
      <c r="J102" s="158">
        <f t="shared" si="11"/>
        <v>0</v>
      </c>
      <c r="K102" s="158"/>
      <c r="L102" s="334"/>
      <c r="M102" s="158">
        <f t="shared" si="12"/>
        <v>0</v>
      </c>
      <c r="N102" s="334"/>
      <c r="O102" s="158">
        <f t="shared" si="13"/>
        <v>0</v>
      </c>
      <c r="P102" s="158">
        <f t="shared" si="14"/>
        <v>0</v>
      </c>
    </row>
    <row r="103" spans="1:16">
      <c r="B103" s="9" t="str">
        <f t="shared" si="18"/>
        <v/>
      </c>
      <c r="C103" s="153">
        <f>IF(D93="","-",+C102+1)</f>
        <v>2020</v>
      </c>
      <c r="D103" s="154">
        <f>IF(F102+SUM(E$99:E102)=D$92,F102,D$92-SUM(E$99:E102))</f>
        <v>54202654.285714291</v>
      </c>
      <c r="E103" s="160">
        <f>IF(+J96&lt;F102,J96,D103)</f>
        <v>1413982.2857142857</v>
      </c>
      <c r="F103" s="159">
        <f t="shared" si="15"/>
        <v>52788672.000000007</v>
      </c>
      <c r="G103" s="159">
        <f t="shared" si="10"/>
        <v>53495663.142857149</v>
      </c>
      <c r="H103" s="163">
        <f t="shared" si="16"/>
        <v>7912178.4674484162</v>
      </c>
      <c r="I103" s="253">
        <f t="shared" si="17"/>
        <v>7912178.4674484162</v>
      </c>
      <c r="J103" s="158">
        <f t="shared" si="11"/>
        <v>0</v>
      </c>
      <c r="K103" s="158"/>
      <c r="L103" s="334"/>
      <c r="M103" s="158">
        <f t="shared" si="12"/>
        <v>0</v>
      </c>
      <c r="N103" s="334"/>
      <c r="O103" s="158">
        <f t="shared" si="13"/>
        <v>0</v>
      </c>
      <c r="P103" s="158">
        <f t="shared" si="14"/>
        <v>0</v>
      </c>
    </row>
    <row r="104" spans="1:16">
      <c r="B104" s="9" t="str">
        <f t="shared" si="18"/>
        <v/>
      </c>
      <c r="C104" s="153">
        <f>IF(D93="","-",+C103+1)</f>
        <v>2021</v>
      </c>
      <c r="D104" s="154">
        <f>IF(F103+SUM(E$99:E103)=D$92,F103,D$92-SUM(E$99:E103))</f>
        <v>52788672.000000007</v>
      </c>
      <c r="E104" s="160">
        <f>IF(+J96&lt;F103,J96,D104)</f>
        <v>1413982.2857142857</v>
      </c>
      <c r="F104" s="159">
        <f t="shared" si="15"/>
        <v>51374689.714285724</v>
      </c>
      <c r="G104" s="159">
        <f t="shared" si="10"/>
        <v>52081680.857142866</v>
      </c>
      <c r="H104" s="163">
        <f t="shared" si="16"/>
        <v>7740419.9780633738</v>
      </c>
      <c r="I104" s="253">
        <f t="shared" si="17"/>
        <v>7740419.9780633738</v>
      </c>
      <c r="J104" s="158">
        <f t="shared" si="11"/>
        <v>0</v>
      </c>
      <c r="K104" s="158"/>
      <c r="L104" s="334"/>
      <c r="M104" s="158">
        <f t="shared" si="12"/>
        <v>0</v>
      </c>
      <c r="N104" s="334"/>
      <c r="O104" s="158">
        <f t="shared" si="13"/>
        <v>0</v>
      </c>
      <c r="P104" s="158">
        <f t="shared" si="14"/>
        <v>0</v>
      </c>
    </row>
    <row r="105" spans="1:16">
      <c r="B105" s="9" t="str">
        <f t="shared" si="18"/>
        <v/>
      </c>
      <c r="C105" s="153">
        <f>IF(D93="","-",+C104+1)</f>
        <v>2022</v>
      </c>
      <c r="D105" s="154">
        <f>IF(F104+SUM(E$99:E104)=D$92,F104,D$92-SUM(E$99:E104))</f>
        <v>51374689.714285724</v>
      </c>
      <c r="E105" s="160">
        <f>IF(+J96&lt;F104,J96,D105)</f>
        <v>1413982.2857142857</v>
      </c>
      <c r="F105" s="159">
        <f t="shared" si="15"/>
        <v>49960707.42857144</v>
      </c>
      <c r="G105" s="159">
        <f t="shared" si="10"/>
        <v>50667698.571428582</v>
      </c>
      <c r="H105" s="163">
        <f t="shared" si="16"/>
        <v>7568661.4886783306</v>
      </c>
      <c r="I105" s="253">
        <f t="shared" si="17"/>
        <v>7568661.4886783306</v>
      </c>
      <c r="J105" s="158">
        <f t="shared" si="11"/>
        <v>0</v>
      </c>
      <c r="K105" s="158"/>
      <c r="L105" s="334"/>
      <c r="M105" s="158">
        <f t="shared" si="12"/>
        <v>0</v>
      </c>
      <c r="N105" s="334"/>
      <c r="O105" s="158">
        <f t="shared" si="13"/>
        <v>0</v>
      </c>
      <c r="P105" s="158">
        <f t="shared" si="14"/>
        <v>0</v>
      </c>
    </row>
    <row r="106" spans="1:16">
      <c r="B106" s="9" t="str">
        <f t="shared" si="18"/>
        <v/>
      </c>
      <c r="C106" s="153">
        <f>IF(D93="","-",+C105+1)</f>
        <v>2023</v>
      </c>
      <c r="D106" s="154">
        <f>IF(F105+SUM(E$99:E105)=D$92,F105,D$92-SUM(E$99:E105))</f>
        <v>49960707.42857144</v>
      </c>
      <c r="E106" s="160">
        <f>IF(+J96&lt;F105,J96,D106)</f>
        <v>1413982.2857142857</v>
      </c>
      <c r="F106" s="159">
        <f t="shared" si="15"/>
        <v>48546725.142857157</v>
      </c>
      <c r="G106" s="159">
        <f t="shared" si="10"/>
        <v>49253716.285714298</v>
      </c>
      <c r="H106" s="163">
        <f t="shared" si="16"/>
        <v>7396902.9992932873</v>
      </c>
      <c r="I106" s="253">
        <f t="shared" si="17"/>
        <v>7396902.9992932873</v>
      </c>
      <c r="J106" s="158">
        <f t="shared" si="11"/>
        <v>0</v>
      </c>
      <c r="K106" s="158"/>
      <c r="L106" s="334"/>
      <c r="M106" s="158">
        <f t="shared" si="12"/>
        <v>0</v>
      </c>
      <c r="N106" s="334"/>
      <c r="O106" s="158">
        <f t="shared" si="13"/>
        <v>0</v>
      </c>
      <c r="P106" s="158">
        <f t="shared" si="14"/>
        <v>0</v>
      </c>
    </row>
    <row r="107" spans="1:16">
      <c r="B107" s="9" t="str">
        <f t="shared" si="18"/>
        <v/>
      </c>
      <c r="C107" s="153">
        <f>IF(D93="","-",+C106+1)</f>
        <v>2024</v>
      </c>
      <c r="D107" s="154">
        <f>IF(F106+SUM(E$99:E106)=D$92,F106,D$92-SUM(E$99:E106))</f>
        <v>48546725.142857157</v>
      </c>
      <c r="E107" s="160">
        <f>IF(+J96&lt;F106,J96,D107)</f>
        <v>1413982.2857142857</v>
      </c>
      <c r="F107" s="159">
        <f t="shared" si="15"/>
        <v>47132742.857142873</v>
      </c>
      <c r="G107" s="159">
        <f t="shared" si="10"/>
        <v>47839734.000000015</v>
      </c>
      <c r="H107" s="163">
        <f t="shared" si="16"/>
        <v>7225144.5099082449</v>
      </c>
      <c r="I107" s="253">
        <f t="shared" si="17"/>
        <v>7225144.5099082449</v>
      </c>
      <c r="J107" s="158">
        <f t="shared" si="11"/>
        <v>0</v>
      </c>
      <c r="K107" s="158"/>
      <c r="L107" s="334"/>
      <c r="M107" s="158">
        <f t="shared" si="12"/>
        <v>0</v>
      </c>
      <c r="N107" s="334"/>
      <c r="O107" s="158">
        <f t="shared" si="13"/>
        <v>0</v>
      </c>
      <c r="P107" s="158">
        <f t="shared" si="14"/>
        <v>0</v>
      </c>
    </row>
    <row r="108" spans="1:16">
      <c r="B108" s="9" t="str">
        <f t="shared" si="18"/>
        <v/>
      </c>
      <c r="C108" s="153">
        <f>IF(D93="","-",+C107+1)</f>
        <v>2025</v>
      </c>
      <c r="D108" s="154">
        <f>IF(F107+SUM(E$99:E107)=D$92,F107,D$92-SUM(E$99:E107))</f>
        <v>47132742.857142873</v>
      </c>
      <c r="E108" s="160">
        <f>IF(+J96&lt;F107,J96,D108)</f>
        <v>1413982.2857142857</v>
      </c>
      <c r="F108" s="159">
        <f t="shared" si="15"/>
        <v>45718760.57142859</v>
      </c>
      <c r="G108" s="159">
        <f t="shared" si="10"/>
        <v>46425751.714285731</v>
      </c>
      <c r="H108" s="163">
        <f t="shared" si="16"/>
        <v>7053386.0205232017</v>
      </c>
      <c r="I108" s="253">
        <f t="shared" si="17"/>
        <v>7053386.0205232017</v>
      </c>
      <c r="J108" s="158">
        <f t="shared" si="11"/>
        <v>0</v>
      </c>
      <c r="K108" s="158"/>
      <c r="L108" s="334"/>
      <c r="M108" s="158">
        <f t="shared" si="12"/>
        <v>0</v>
      </c>
      <c r="N108" s="334"/>
      <c r="O108" s="158">
        <f t="shared" si="13"/>
        <v>0</v>
      </c>
      <c r="P108" s="158">
        <f t="shared" si="14"/>
        <v>0</v>
      </c>
    </row>
    <row r="109" spans="1:16">
      <c r="B109" s="9" t="str">
        <f t="shared" si="18"/>
        <v/>
      </c>
      <c r="C109" s="153">
        <f>IF(D93="","-",+C108+1)</f>
        <v>2026</v>
      </c>
      <c r="D109" s="154">
        <f>IF(F108+SUM(E$99:E108)=D$92,F108,D$92-SUM(E$99:E108))</f>
        <v>45718760.57142859</v>
      </c>
      <c r="E109" s="160">
        <f>IF(+J96&lt;F108,J96,D109)</f>
        <v>1413982.2857142857</v>
      </c>
      <c r="F109" s="159">
        <f t="shared" si="15"/>
        <v>44304778.285714306</v>
      </c>
      <c r="G109" s="159">
        <f t="shared" si="10"/>
        <v>45011769.428571448</v>
      </c>
      <c r="H109" s="163">
        <f t="shared" si="16"/>
        <v>6881627.5311381593</v>
      </c>
      <c r="I109" s="253">
        <f t="shared" si="17"/>
        <v>6881627.5311381593</v>
      </c>
      <c r="J109" s="158">
        <f t="shared" si="11"/>
        <v>0</v>
      </c>
      <c r="K109" s="158"/>
      <c r="L109" s="334"/>
      <c r="M109" s="158">
        <f t="shared" si="12"/>
        <v>0</v>
      </c>
      <c r="N109" s="334"/>
      <c r="O109" s="158">
        <f t="shared" si="13"/>
        <v>0</v>
      </c>
      <c r="P109" s="158">
        <f t="shared" si="14"/>
        <v>0</v>
      </c>
    </row>
    <row r="110" spans="1:16">
      <c r="B110" s="9" t="str">
        <f t="shared" si="18"/>
        <v/>
      </c>
      <c r="C110" s="153">
        <f>IF(D93="","-",+C109+1)</f>
        <v>2027</v>
      </c>
      <c r="D110" s="154">
        <f>IF(F109+SUM(E$99:E109)=D$92,F109,D$92-SUM(E$99:E109))</f>
        <v>44304778.285714306</v>
      </c>
      <c r="E110" s="160">
        <f>IF(+J96&lt;F109,J96,D110)</f>
        <v>1413982.2857142857</v>
      </c>
      <c r="F110" s="159">
        <f t="shared" si="15"/>
        <v>42890796.000000022</v>
      </c>
      <c r="G110" s="159">
        <f t="shared" si="10"/>
        <v>43597787.142857164</v>
      </c>
      <c r="H110" s="163">
        <f t="shared" si="16"/>
        <v>6709869.0417531161</v>
      </c>
      <c r="I110" s="253">
        <f t="shared" si="17"/>
        <v>6709869.0417531161</v>
      </c>
      <c r="J110" s="158">
        <f t="shared" si="11"/>
        <v>0</v>
      </c>
      <c r="K110" s="158"/>
      <c r="L110" s="334"/>
      <c r="M110" s="158">
        <f t="shared" si="12"/>
        <v>0</v>
      </c>
      <c r="N110" s="334"/>
      <c r="O110" s="158">
        <f t="shared" si="13"/>
        <v>0</v>
      </c>
      <c r="P110" s="158">
        <f t="shared" si="14"/>
        <v>0</v>
      </c>
    </row>
    <row r="111" spans="1:16">
      <c r="B111" s="9" t="str">
        <f t="shared" si="18"/>
        <v/>
      </c>
      <c r="C111" s="153">
        <f>IF(D93="","-",+C110+1)</f>
        <v>2028</v>
      </c>
      <c r="D111" s="154">
        <f>IF(F110+SUM(E$99:E110)=D$92,F110,D$92-SUM(E$99:E110))</f>
        <v>42890796.000000022</v>
      </c>
      <c r="E111" s="160">
        <f>IF(+J96&lt;F110,J96,D111)</f>
        <v>1413982.2857142857</v>
      </c>
      <c r="F111" s="159">
        <f t="shared" si="15"/>
        <v>41476813.714285739</v>
      </c>
      <c r="G111" s="159">
        <f t="shared" si="10"/>
        <v>42183804.857142881</v>
      </c>
      <c r="H111" s="163">
        <f t="shared" si="16"/>
        <v>6538110.5523680737</v>
      </c>
      <c r="I111" s="253">
        <f t="shared" si="17"/>
        <v>6538110.5523680737</v>
      </c>
      <c r="J111" s="158">
        <f t="shared" si="11"/>
        <v>0</v>
      </c>
      <c r="K111" s="158"/>
      <c r="L111" s="334"/>
      <c r="M111" s="158">
        <f t="shared" si="12"/>
        <v>0</v>
      </c>
      <c r="N111" s="334"/>
      <c r="O111" s="158">
        <f t="shared" si="13"/>
        <v>0</v>
      </c>
      <c r="P111" s="158">
        <f t="shared" si="14"/>
        <v>0</v>
      </c>
    </row>
    <row r="112" spans="1:16">
      <c r="B112" s="9" t="str">
        <f t="shared" si="18"/>
        <v/>
      </c>
      <c r="C112" s="153">
        <f>IF(D93="","-",+C111+1)</f>
        <v>2029</v>
      </c>
      <c r="D112" s="154">
        <f>IF(F111+SUM(E$99:E111)=D$92,F111,D$92-SUM(E$99:E111))</f>
        <v>41476813.714285739</v>
      </c>
      <c r="E112" s="160">
        <f>IF(+J96&lt;F111,J96,D112)</f>
        <v>1413982.2857142857</v>
      </c>
      <c r="F112" s="159">
        <f t="shared" si="15"/>
        <v>40062831.428571455</v>
      </c>
      <c r="G112" s="159">
        <f t="shared" si="10"/>
        <v>40769822.571428597</v>
      </c>
      <c r="H112" s="163">
        <f t="shared" si="16"/>
        <v>6366352.0629830305</v>
      </c>
      <c r="I112" s="253">
        <f t="shared" si="17"/>
        <v>6366352.0629830305</v>
      </c>
      <c r="J112" s="158">
        <f t="shared" si="11"/>
        <v>0</v>
      </c>
      <c r="K112" s="158"/>
      <c r="L112" s="334"/>
      <c r="M112" s="158">
        <f t="shared" si="12"/>
        <v>0</v>
      </c>
      <c r="N112" s="334"/>
      <c r="O112" s="158">
        <f t="shared" si="13"/>
        <v>0</v>
      </c>
      <c r="P112" s="158">
        <f t="shared" si="14"/>
        <v>0</v>
      </c>
    </row>
    <row r="113" spans="2:16">
      <c r="B113" s="9" t="str">
        <f t="shared" si="18"/>
        <v/>
      </c>
      <c r="C113" s="153">
        <f>IF(D93="","-",+C112+1)</f>
        <v>2030</v>
      </c>
      <c r="D113" s="154">
        <f>IF(F112+SUM(E$99:E112)=D$92,F112,D$92-SUM(E$99:E112))</f>
        <v>40062831.428571455</v>
      </c>
      <c r="E113" s="160">
        <f>IF(+J96&lt;F112,J96,D113)</f>
        <v>1413982.2857142857</v>
      </c>
      <c r="F113" s="159">
        <f t="shared" si="15"/>
        <v>38648849.142857172</v>
      </c>
      <c r="G113" s="159">
        <f t="shared" si="10"/>
        <v>39355840.285714313</v>
      </c>
      <c r="H113" s="163">
        <f t="shared" si="16"/>
        <v>6194593.5735979881</v>
      </c>
      <c r="I113" s="253">
        <f t="shared" si="17"/>
        <v>6194593.5735979881</v>
      </c>
      <c r="J113" s="158">
        <f t="shared" si="11"/>
        <v>0</v>
      </c>
      <c r="K113" s="158"/>
      <c r="L113" s="334"/>
      <c r="M113" s="158">
        <f t="shared" si="12"/>
        <v>0</v>
      </c>
      <c r="N113" s="334"/>
      <c r="O113" s="158">
        <f t="shared" si="13"/>
        <v>0</v>
      </c>
      <c r="P113" s="158">
        <f t="shared" si="14"/>
        <v>0</v>
      </c>
    </row>
    <row r="114" spans="2:16">
      <c r="B114" s="9" t="str">
        <f t="shared" si="18"/>
        <v/>
      </c>
      <c r="C114" s="153">
        <f>IF(D93="","-",+C113+1)</f>
        <v>2031</v>
      </c>
      <c r="D114" s="154">
        <f>IF(F113+SUM(E$99:E113)=D$92,F113,D$92-SUM(E$99:E113))</f>
        <v>38648849.142857172</v>
      </c>
      <c r="E114" s="160">
        <f>IF(+J96&lt;F113,J96,D114)</f>
        <v>1413982.2857142857</v>
      </c>
      <c r="F114" s="159">
        <f t="shared" si="15"/>
        <v>37234866.857142888</v>
      </c>
      <c r="G114" s="159">
        <f t="shared" si="10"/>
        <v>37941858.00000003</v>
      </c>
      <c r="H114" s="163">
        <f t="shared" si="16"/>
        <v>6022835.0842129448</v>
      </c>
      <c r="I114" s="253">
        <f t="shared" si="17"/>
        <v>6022835.0842129448</v>
      </c>
      <c r="J114" s="158">
        <f t="shared" si="11"/>
        <v>0</v>
      </c>
      <c r="K114" s="158"/>
      <c r="L114" s="334"/>
      <c r="M114" s="158">
        <f t="shared" si="12"/>
        <v>0</v>
      </c>
      <c r="N114" s="334"/>
      <c r="O114" s="158">
        <f t="shared" si="13"/>
        <v>0</v>
      </c>
      <c r="P114" s="158">
        <f t="shared" si="14"/>
        <v>0</v>
      </c>
    </row>
    <row r="115" spans="2:16">
      <c r="B115" s="9" t="str">
        <f t="shared" si="18"/>
        <v/>
      </c>
      <c r="C115" s="153">
        <f>IF(D93="","-",+C114+1)</f>
        <v>2032</v>
      </c>
      <c r="D115" s="154">
        <f>IF(F114+SUM(E$99:E114)=D$92,F114,D$92-SUM(E$99:E114))</f>
        <v>37234866.857142888</v>
      </c>
      <c r="E115" s="160">
        <f>IF(+J96&lt;F114,J96,D115)</f>
        <v>1413982.2857142857</v>
      </c>
      <c r="F115" s="159">
        <f t="shared" si="15"/>
        <v>35820884.571428604</v>
      </c>
      <c r="G115" s="159">
        <f t="shared" si="10"/>
        <v>36527875.714285746</v>
      </c>
      <c r="H115" s="163">
        <f t="shared" si="16"/>
        <v>5851076.5948279025</v>
      </c>
      <c r="I115" s="253">
        <f t="shared" si="17"/>
        <v>5851076.5948279025</v>
      </c>
      <c r="J115" s="158">
        <f t="shared" si="11"/>
        <v>0</v>
      </c>
      <c r="K115" s="158"/>
      <c r="L115" s="334"/>
      <c r="M115" s="158">
        <f t="shared" si="12"/>
        <v>0</v>
      </c>
      <c r="N115" s="334"/>
      <c r="O115" s="158">
        <f t="shared" si="13"/>
        <v>0</v>
      </c>
      <c r="P115" s="158">
        <f t="shared" si="14"/>
        <v>0</v>
      </c>
    </row>
    <row r="116" spans="2:16">
      <c r="B116" s="9" t="str">
        <f t="shared" si="18"/>
        <v/>
      </c>
      <c r="C116" s="153">
        <f>IF(D93="","-",+C115+1)</f>
        <v>2033</v>
      </c>
      <c r="D116" s="154">
        <f>IF(F115+SUM(E$99:E115)=D$92,F115,D$92-SUM(E$99:E115))</f>
        <v>35820884.571428604</v>
      </c>
      <c r="E116" s="160">
        <f>IF(+J96&lt;F115,J96,D116)</f>
        <v>1413982.2857142857</v>
      </c>
      <c r="F116" s="159">
        <f t="shared" si="15"/>
        <v>34406902.285714321</v>
      </c>
      <c r="G116" s="159">
        <f t="shared" si="10"/>
        <v>35113893.428571463</v>
      </c>
      <c r="H116" s="163">
        <f t="shared" si="16"/>
        <v>5679318.1054428592</v>
      </c>
      <c r="I116" s="253">
        <f t="shared" si="17"/>
        <v>5679318.1054428592</v>
      </c>
      <c r="J116" s="158">
        <f t="shared" si="11"/>
        <v>0</v>
      </c>
      <c r="K116" s="158"/>
      <c r="L116" s="334"/>
      <c r="M116" s="158">
        <f t="shared" si="12"/>
        <v>0</v>
      </c>
      <c r="N116" s="334"/>
      <c r="O116" s="158">
        <f t="shared" si="13"/>
        <v>0</v>
      </c>
      <c r="P116" s="158">
        <f t="shared" si="14"/>
        <v>0</v>
      </c>
    </row>
    <row r="117" spans="2:16">
      <c r="B117" s="9" t="str">
        <f t="shared" si="18"/>
        <v/>
      </c>
      <c r="C117" s="153">
        <f>IF(D93="","-",+C116+1)</f>
        <v>2034</v>
      </c>
      <c r="D117" s="154">
        <f>IF(F116+SUM(E$99:E116)=D$92,F116,D$92-SUM(E$99:E116))</f>
        <v>34406902.285714321</v>
      </c>
      <c r="E117" s="160">
        <f>IF(+J96&lt;F116,J96,D117)</f>
        <v>1413982.2857142857</v>
      </c>
      <c r="F117" s="159">
        <f t="shared" si="15"/>
        <v>32992920.000000034</v>
      </c>
      <c r="G117" s="159">
        <f t="shared" si="10"/>
        <v>33699911.142857179</v>
      </c>
      <c r="H117" s="163">
        <f t="shared" si="16"/>
        <v>5507559.6160578169</v>
      </c>
      <c r="I117" s="253">
        <f t="shared" si="17"/>
        <v>5507559.6160578169</v>
      </c>
      <c r="J117" s="158">
        <f t="shared" si="11"/>
        <v>0</v>
      </c>
      <c r="K117" s="158"/>
      <c r="L117" s="334"/>
      <c r="M117" s="158">
        <f t="shared" si="12"/>
        <v>0</v>
      </c>
      <c r="N117" s="334"/>
      <c r="O117" s="158">
        <f t="shared" si="13"/>
        <v>0</v>
      </c>
      <c r="P117" s="158">
        <f t="shared" si="14"/>
        <v>0</v>
      </c>
    </row>
    <row r="118" spans="2:16">
      <c r="B118" s="9" t="str">
        <f t="shared" si="18"/>
        <v/>
      </c>
      <c r="C118" s="153">
        <f>IF(D93="","-",+C117+1)</f>
        <v>2035</v>
      </c>
      <c r="D118" s="154">
        <f>IF(F117+SUM(E$99:E117)=D$92,F117,D$92-SUM(E$99:E117))</f>
        <v>32992920.000000034</v>
      </c>
      <c r="E118" s="160">
        <f>IF(+J96&lt;F117,J96,D118)</f>
        <v>1413982.2857142857</v>
      </c>
      <c r="F118" s="159">
        <f t="shared" si="15"/>
        <v>31578937.714285746</v>
      </c>
      <c r="G118" s="159">
        <f t="shared" si="10"/>
        <v>32285928.857142888</v>
      </c>
      <c r="H118" s="163">
        <f t="shared" si="16"/>
        <v>5335801.1266727736</v>
      </c>
      <c r="I118" s="253">
        <f t="shared" si="17"/>
        <v>5335801.1266727736</v>
      </c>
      <c r="J118" s="158">
        <f t="shared" si="11"/>
        <v>0</v>
      </c>
      <c r="K118" s="158"/>
      <c r="L118" s="334"/>
      <c r="M118" s="158">
        <f t="shared" si="12"/>
        <v>0</v>
      </c>
      <c r="N118" s="334"/>
      <c r="O118" s="158">
        <f t="shared" si="13"/>
        <v>0</v>
      </c>
      <c r="P118" s="158">
        <f t="shared" si="14"/>
        <v>0</v>
      </c>
    </row>
    <row r="119" spans="2:16">
      <c r="B119" s="9" t="str">
        <f t="shared" si="18"/>
        <v/>
      </c>
      <c r="C119" s="153">
        <f>IF(D93="","-",+C118+1)</f>
        <v>2036</v>
      </c>
      <c r="D119" s="154">
        <f>IF(F118+SUM(E$99:E118)=D$92,F118,D$92-SUM(E$99:E118))</f>
        <v>31578937.714285746</v>
      </c>
      <c r="E119" s="160">
        <f>IF(+J96&lt;F118,J96,D119)</f>
        <v>1413982.2857142857</v>
      </c>
      <c r="F119" s="159">
        <f t="shared" si="15"/>
        <v>30164955.428571459</v>
      </c>
      <c r="G119" s="159">
        <f t="shared" si="10"/>
        <v>30871946.571428604</v>
      </c>
      <c r="H119" s="163">
        <f t="shared" si="16"/>
        <v>5164042.6372877304</v>
      </c>
      <c r="I119" s="253">
        <f t="shared" si="17"/>
        <v>5164042.6372877304</v>
      </c>
      <c r="J119" s="158">
        <f t="shared" si="11"/>
        <v>0</v>
      </c>
      <c r="K119" s="158"/>
      <c r="L119" s="334"/>
      <c r="M119" s="158">
        <f t="shared" si="12"/>
        <v>0</v>
      </c>
      <c r="N119" s="334"/>
      <c r="O119" s="158">
        <f t="shared" si="13"/>
        <v>0</v>
      </c>
      <c r="P119" s="158">
        <f t="shared" si="14"/>
        <v>0</v>
      </c>
    </row>
    <row r="120" spans="2:16">
      <c r="B120" s="9" t="str">
        <f t="shared" si="18"/>
        <v/>
      </c>
      <c r="C120" s="153">
        <f>IF(D93="","-",+C119+1)</f>
        <v>2037</v>
      </c>
      <c r="D120" s="154">
        <f>IF(F119+SUM(E$99:E119)=D$92,F119,D$92-SUM(E$99:E119))</f>
        <v>30164955.428571459</v>
      </c>
      <c r="E120" s="160">
        <f>IF(+J96&lt;F119,J96,D120)</f>
        <v>1413982.2857142857</v>
      </c>
      <c r="F120" s="159">
        <f t="shared" si="15"/>
        <v>28750973.142857172</v>
      </c>
      <c r="G120" s="159">
        <f t="shared" si="10"/>
        <v>29457964.285714313</v>
      </c>
      <c r="H120" s="163">
        <f t="shared" si="16"/>
        <v>4992284.1479026861</v>
      </c>
      <c r="I120" s="253">
        <f t="shared" si="17"/>
        <v>4992284.1479026861</v>
      </c>
      <c r="J120" s="158">
        <f t="shared" si="11"/>
        <v>0</v>
      </c>
      <c r="K120" s="158"/>
      <c r="L120" s="334"/>
      <c r="M120" s="158">
        <f t="shared" si="12"/>
        <v>0</v>
      </c>
      <c r="N120" s="334"/>
      <c r="O120" s="158">
        <f t="shared" si="13"/>
        <v>0</v>
      </c>
      <c r="P120" s="158">
        <f t="shared" si="14"/>
        <v>0</v>
      </c>
    </row>
    <row r="121" spans="2:16">
      <c r="B121" s="9" t="str">
        <f t="shared" si="18"/>
        <v/>
      </c>
      <c r="C121" s="153">
        <f>IF(D93="","-",+C120+1)</f>
        <v>2038</v>
      </c>
      <c r="D121" s="154">
        <f>IF(F120+SUM(E$99:E120)=D$92,F120,D$92-SUM(E$99:E120))</f>
        <v>28750973.142857172</v>
      </c>
      <c r="E121" s="160">
        <f>IF(+J96&lt;F120,J96,D121)</f>
        <v>1413982.2857142857</v>
      </c>
      <c r="F121" s="159">
        <f t="shared" si="15"/>
        <v>27336990.857142884</v>
      </c>
      <c r="G121" s="159">
        <f t="shared" si="10"/>
        <v>28043982.00000003</v>
      </c>
      <c r="H121" s="163">
        <f t="shared" si="16"/>
        <v>4820525.6585176438</v>
      </c>
      <c r="I121" s="253">
        <f t="shared" si="17"/>
        <v>4820525.6585176438</v>
      </c>
      <c r="J121" s="158">
        <f t="shared" si="11"/>
        <v>0</v>
      </c>
      <c r="K121" s="158"/>
      <c r="L121" s="334"/>
      <c r="M121" s="158">
        <f t="shared" si="12"/>
        <v>0</v>
      </c>
      <c r="N121" s="334"/>
      <c r="O121" s="158">
        <f t="shared" si="13"/>
        <v>0</v>
      </c>
      <c r="P121" s="158">
        <f t="shared" si="14"/>
        <v>0</v>
      </c>
    </row>
    <row r="122" spans="2:16">
      <c r="B122" s="9" t="str">
        <f t="shared" si="18"/>
        <v/>
      </c>
      <c r="C122" s="153">
        <f>IF(D93="","-",+C121+1)</f>
        <v>2039</v>
      </c>
      <c r="D122" s="154">
        <f>IF(F121+SUM(E$99:E121)=D$92,F121,D$92-SUM(E$99:E121))</f>
        <v>27336990.857142884</v>
      </c>
      <c r="E122" s="160">
        <f>IF(+J96&lt;F121,J96,D122)</f>
        <v>1413982.2857142857</v>
      </c>
      <c r="F122" s="159">
        <f t="shared" si="15"/>
        <v>25923008.571428597</v>
      </c>
      <c r="G122" s="159">
        <f t="shared" si="10"/>
        <v>26629999.714285739</v>
      </c>
      <c r="H122" s="163">
        <f t="shared" si="16"/>
        <v>4648767.1691325996</v>
      </c>
      <c r="I122" s="253">
        <f t="shared" si="17"/>
        <v>4648767.1691325996</v>
      </c>
      <c r="J122" s="158">
        <f t="shared" si="11"/>
        <v>0</v>
      </c>
      <c r="K122" s="158"/>
      <c r="L122" s="334"/>
      <c r="M122" s="158">
        <f t="shared" si="12"/>
        <v>0</v>
      </c>
      <c r="N122" s="334"/>
      <c r="O122" s="158">
        <f t="shared" si="13"/>
        <v>0</v>
      </c>
      <c r="P122" s="158">
        <f t="shared" si="14"/>
        <v>0</v>
      </c>
    </row>
    <row r="123" spans="2:16">
      <c r="B123" s="9" t="str">
        <f t="shared" si="18"/>
        <v/>
      </c>
      <c r="C123" s="153">
        <f>IF(D93="","-",+C122+1)</f>
        <v>2040</v>
      </c>
      <c r="D123" s="154">
        <f>IF(F122+SUM(E$99:E122)=D$92,F122,D$92-SUM(E$99:E122))</f>
        <v>25923008.571428597</v>
      </c>
      <c r="E123" s="160">
        <f>IF(+J96&lt;F122,J96,D123)</f>
        <v>1413982.2857142857</v>
      </c>
      <c r="F123" s="159">
        <f t="shared" si="15"/>
        <v>24509026.28571431</v>
      </c>
      <c r="G123" s="159">
        <f t="shared" si="10"/>
        <v>25216017.428571455</v>
      </c>
      <c r="H123" s="163">
        <f t="shared" si="16"/>
        <v>4477008.6797475573</v>
      </c>
      <c r="I123" s="253">
        <f t="shared" si="17"/>
        <v>4477008.6797475573</v>
      </c>
      <c r="J123" s="158">
        <f t="shared" si="11"/>
        <v>0</v>
      </c>
      <c r="K123" s="158"/>
      <c r="L123" s="334"/>
      <c r="M123" s="158">
        <f t="shared" si="12"/>
        <v>0</v>
      </c>
      <c r="N123" s="334"/>
      <c r="O123" s="158">
        <f t="shared" si="13"/>
        <v>0</v>
      </c>
      <c r="P123" s="158">
        <f t="shared" si="14"/>
        <v>0</v>
      </c>
    </row>
    <row r="124" spans="2:16">
      <c r="B124" s="9" t="str">
        <f t="shared" si="18"/>
        <v/>
      </c>
      <c r="C124" s="153">
        <f>IF(D93="","-",+C123+1)</f>
        <v>2041</v>
      </c>
      <c r="D124" s="154">
        <f>IF(F123+SUM(E$99:E123)=D$92,F123,D$92-SUM(E$99:E123))</f>
        <v>24509026.28571431</v>
      </c>
      <c r="E124" s="160">
        <f>IF(+J96&lt;F123,J96,D124)</f>
        <v>1413982.2857142857</v>
      </c>
      <c r="F124" s="159">
        <f t="shared" si="15"/>
        <v>23095044.000000022</v>
      </c>
      <c r="G124" s="159">
        <f t="shared" si="10"/>
        <v>23802035.142857164</v>
      </c>
      <c r="H124" s="163">
        <f t="shared" si="16"/>
        <v>4305250.1903625131</v>
      </c>
      <c r="I124" s="253">
        <f t="shared" si="17"/>
        <v>4305250.1903625131</v>
      </c>
      <c r="J124" s="158">
        <f t="shared" si="11"/>
        <v>0</v>
      </c>
      <c r="K124" s="158"/>
      <c r="L124" s="334"/>
      <c r="M124" s="158">
        <f t="shared" si="12"/>
        <v>0</v>
      </c>
      <c r="N124" s="334"/>
      <c r="O124" s="158">
        <f t="shared" si="13"/>
        <v>0</v>
      </c>
      <c r="P124" s="158">
        <f t="shared" si="14"/>
        <v>0</v>
      </c>
    </row>
    <row r="125" spans="2:16">
      <c r="B125" s="9" t="str">
        <f t="shared" si="18"/>
        <v/>
      </c>
      <c r="C125" s="153">
        <f>IF(D93="","-",+C124+1)</f>
        <v>2042</v>
      </c>
      <c r="D125" s="154">
        <f>IF(F124+SUM(E$99:E124)=D$92,F124,D$92-SUM(E$99:E124))</f>
        <v>23095044.000000022</v>
      </c>
      <c r="E125" s="160">
        <f>IF(+J96&lt;F124,J96,D125)</f>
        <v>1413982.2857142857</v>
      </c>
      <c r="F125" s="159">
        <f t="shared" si="15"/>
        <v>21681061.714285735</v>
      </c>
      <c r="G125" s="159">
        <f t="shared" si="10"/>
        <v>22388052.857142881</v>
      </c>
      <c r="H125" s="163">
        <f t="shared" si="16"/>
        <v>4133491.7009774707</v>
      </c>
      <c r="I125" s="253">
        <f t="shared" si="17"/>
        <v>4133491.7009774707</v>
      </c>
      <c r="J125" s="158">
        <f t="shared" si="11"/>
        <v>0</v>
      </c>
      <c r="K125" s="158"/>
      <c r="L125" s="334"/>
      <c r="M125" s="158">
        <f t="shared" si="12"/>
        <v>0</v>
      </c>
      <c r="N125" s="334"/>
      <c r="O125" s="158">
        <f t="shared" si="13"/>
        <v>0</v>
      </c>
      <c r="P125" s="158">
        <f t="shared" si="14"/>
        <v>0</v>
      </c>
    </row>
    <row r="126" spans="2:16">
      <c r="B126" s="9" t="str">
        <f t="shared" si="18"/>
        <v/>
      </c>
      <c r="C126" s="153">
        <f>IF(D93="","-",+C125+1)</f>
        <v>2043</v>
      </c>
      <c r="D126" s="154">
        <f>IF(F125+SUM(E$99:E125)=D$92,F125,D$92-SUM(E$99:E125))</f>
        <v>21681061.714285735</v>
      </c>
      <c r="E126" s="160">
        <f>IF(+J96&lt;F125,J96,D126)</f>
        <v>1413982.2857142857</v>
      </c>
      <c r="F126" s="159">
        <f t="shared" si="15"/>
        <v>20267079.428571448</v>
      </c>
      <c r="G126" s="159">
        <f t="shared" si="10"/>
        <v>20974070.57142859</v>
      </c>
      <c r="H126" s="163">
        <f t="shared" si="16"/>
        <v>3961733.2115924265</v>
      </c>
      <c r="I126" s="253">
        <f t="shared" si="17"/>
        <v>3961733.2115924265</v>
      </c>
      <c r="J126" s="158">
        <f t="shared" si="11"/>
        <v>0</v>
      </c>
      <c r="K126" s="158"/>
      <c r="L126" s="334"/>
      <c r="M126" s="158">
        <f t="shared" si="12"/>
        <v>0</v>
      </c>
      <c r="N126" s="334"/>
      <c r="O126" s="158">
        <f t="shared" si="13"/>
        <v>0</v>
      </c>
      <c r="P126" s="158">
        <f t="shared" si="14"/>
        <v>0</v>
      </c>
    </row>
    <row r="127" spans="2:16">
      <c r="B127" s="9" t="str">
        <f t="shared" si="18"/>
        <v/>
      </c>
      <c r="C127" s="153">
        <f>IF(D93="","-",+C126+1)</f>
        <v>2044</v>
      </c>
      <c r="D127" s="154">
        <f>IF(F126+SUM(E$99:E126)=D$92,F126,D$92-SUM(E$99:E126))</f>
        <v>20267079.428571448</v>
      </c>
      <c r="E127" s="160">
        <f>IF(+J96&lt;F126,J96,D127)</f>
        <v>1413982.2857142857</v>
      </c>
      <c r="F127" s="159">
        <f t="shared" si="15"/>
        <v>18853097.14285716</v>
      </c>
      <c r="G127" s="159">
        <f t="shared" si="10"/>
        <v>19560088.285714306</v>
      </c>
      <c r="H127" s="163">
        <f t="shared" si="16"/>
        <v>3789974.7222073842</v>
      </c>
      <c r="I127" s="253">
        <f t="shared" si="17"/>
        <v>3789974.7222073842</v>
      </c>
      <c r="J127" s="158">
        <f t="shared" si="11"/>
        <v>0</v>
      </c>
      <c r="K127" s="158"/>
      <c r="L127" s="334"/>
      <c r="M127" s="158">
        <f t="shared" si="12"/>
        <v>0</v>
      </c>
      <c r="N127" s="334"/>
      <c r="O127" s="158">
        <f t="shared" si="13"/>
        <v>0</v>
      </c>
      <c r="P127" s="158">
        <f t="shared" si="14"/>
        <v>0</v>
      </c>
    </row>
    <row r="128" spans="2:16">
      <c r="B128" s="9" t="str">
        <f t="shared" si="18"/>
        <v/>
      </c>
      <c r="C128" s="153">
        <f>IF(D93="","-",+C127+1)</f>
        <v>2045</v>
      </c>
      <c r="D128" s="154">
        <f>IF(F127+SUM(E$99:E127)=D$92,F127,D$92-SUM(E$99:E127))</f>
        <v>18853097.14285716</v>
      </c>
      <c r="E128" s="160">
        <f>IF(+J96&lt;F127,J96,D128)</f>
        <v>1413982.2857142857</v>
      </c>
      <c r="F128" s="159">
        <f t="shared" si="15"/>
        <v>17439114.857142873</v>
      </c>
      <c r="G128" s="159">
        <f t="shared" si="10"/>
        <v>18146106.000000015</v>
      </c>
      <c r="H128" s="163">
        <f t="shared" si="16"/>
        <v>3618216.23282234</v>
      </c>
      <c r="I128" s="253">
        <f t="shared" si="17"/>
        <v>3618216.23282234</v>
      </c>
      <c r="J128" s="158">
        <f t="shared" si="11"/>
        <v>0</v>
      </c>
      <c r="K128" s="158"/>
      <c r="L128" s="334"/>
      <c r="M128" s="158">
        <f t="shared" si="12"/>
        <v>0</v>
      </c>
      <c r="N128" s="334"/>
      <c r="O128" s="158">
        <f t="shared" si="13"/>
        <v>0</v>
      </c>
      <c r="P128" s="158">
        <f t="shared" si="14"/>
        <v>0</v>
      </c>
    </row>
    <row r="129" spans="2:16">
      <c r="B129" s="9" t="str">
        <f t="shared" si="18"/>
        <v/>
      </c>
      <c r="C129" s="153">
        <f>IF(D93="","-",+C128+1)</f>
        <v>2046</v>
      </c>
      <c r="D129" s="154">
        <f>IF(F128+SUM(E$99:E128)=D$92,F128,D$92-SUM(E$99:E128))</f>
        <v>17439114.857142873</v>
      </c>
      <c r="E129" s="160">
        <f>IF(+J96&lt;F128,J96,D129)</f>
        <v>1413982.2857142857</v>
      </c>
      <c r="F129" s="159">
        <f t="shared" si="15"/>
        <v>16025132.571428588</v>
      </c>
      <c r="G129" s="159">
        <f t="shared" si="10"/>
        <v>16732123.714285731</v>
      </c>
      <c r="H129" s="163">
        <f t="shared" si="16"/>
        <v>3446457.7434372976</v>
      </c>
      <c r="I129" s="253">
        <f t="shared" si="17"/>
        <v>3446457.7434372976</v>
      </c>
      <c r="J129" s="158">
        <f t="shared" si="11"/>
        <v>0</v>
      </c>
      <c r="K129" s="158"/>
      <c r="L129" s="334"/>
      <c r="M129" s="158">
        <f t="shared" si="12"/>
        <v>0</v>
      </c>
      <c r="N129" s="334"/>
      <c r="O129" s="158">
        <f t="shared" si="13"/>
        <v>0</v>
      </c>
      <c r="P129" s="158">
        <f t="shared" si="14"/>
        <v>0</v>
      </c>
    </row>
    <row r="130" spans="2:16">
      <c r="B130" s="9" t="str">
        <f t="shared" si="18"/>
        <v/>
      </c>
      <c r="C130" s="153">
        <f>IF(D93="","-",+C129+1)</f>
        <v>2047</v>
      </c>
      <c r="D130" s="154">
        <f>IF(F129+SUM(E$99:E129)=D$92,F129,D$92-SUM(E$99:E129))</f>
        <v>16025132.571428588</v>
      </c>
      <c r="E130" s="160">
        <f>IF(+J96&lt;F129,J96,D130)</f>
        <v>1413982.2857142857</v>
      </c>
      <c r="F130" s="159">
        <f t="shared" si="15"/>
        <v>14611150.285714302</v>
      </c>
      <c r="G130" s="159">
        <f t="shared" si="10"/>
        <v>15318141.428571444</v>
      </c>
      <c r="H130" s="163">
        <f t="shared" si="16"/>
        <v>3274699.2540522544</v>
      </c>
      <c r="I130" s="253">
        <f t="shared" si="17"/>
        <v>3274699.2540522544</v>
      </c>
      <c r="J130" s="158">
        <f t="shared" si="11"/>
        <v>0</v>
      </c>
      <c r="K130" s="158"/>
      <c r="L130" s="334"/>
      <c r="M130" s="158">
        <f t="shared" si="12"/>
        <v>0</v>
      </c>
      <c r="N130" s="334"/>
      <c r="O130" s="158">
        <f t="shared" si="13"/>
        <v>0</v>
      </c>
      <c r="P130" s="158">
        <f t="shared" si="14"/>
        <v>0</v>
      </c>
    </row>
    <row r="131" spans="2:16">
      <c r="B131" s="9" t="str">
        <f t="shared" si="18"/>
        <v/>
      </c>
      <c r="C131" s="153">
        <f>IF(D93="","-",+C130+1)</f>
        <v>2048</v>
      </c>
      <c r="D131" s="154">
        <f>IF(F130+SUM(E$99:E130)=D$92,F130,D$92-SUM(E$99:E130))</f>
        <v>14611150.285714302</v>
      </c>
      <c r="E131" s="160">
        <f>IF(+J96&lt;F130,J96,D131)</f>
        <v>1413982.2857142857</v>
      </c>
      <c r="F131" s="159">
        <f t="shared" ref="F131:F154" si="19">+D131-E131</f>
        <v>13197168.000000017</v>
      </c>
      <c r="G131" s="159">
        <f t="shared" ref="G131:G154" si="20">+(F131+D131)/2</f>
        <v>13904159.14285716</v>
      </c>
      <c r="H131" s="163">
        <f t="shared" si="16"/>
        <v>3102940.7646672116</v>
      </c>
      <c r="I131" s="253">
        <f t="shared" si="17"/>
        <v>3102940.7646672116</v>
      </c>
      <c r="J131" s="158">
        <f t="shared" ref="J131:J154" si="21">+I541-H541</f>
        <v>0</v>
      </c>
      <c r="K131" s="158"/>
      <c r="L131" s="334"/>
      <c r="M131" s="158">
        <f t="shared" ref="M131:M154" si="22">IF(L541&lt;&gt;0,+H541-L541,0)</f>
        <v>0</v>
      </c>
      <c r="N131" s="334"/>
      <c r="O131" s="158">
        <f t="shared" ref="O131:O154" si="23">IF(N541&lt;&gt;0,+I541-N541,0)</f>
        <v>0</v>
      </c>
      <c r="P131" s="158">
        <f t="shared" ref="P131:P154" si="24">+O541-M541</f>
        <v>0</v>
      </c>
    </row>
    <row r="132" spans="2:16">
      <c r="B132" s="9" t="str">
        <f t="shared" si="18"/>
        <v/>
      </c>
      <c r="C132" s="153">
        <f>IF(D93="","-",+C131+1)</f>
        <v>2049</v>
      </c>
      <c r="D132" s="154">
        <f>IF(F131+SUM(E$99:E131)=D$92,F131,D$92-SUM(E$99:E131))</f>
        <v>13197168.000000017</v>
      </c>
      <c r="E132" s="160">
        <f>IF(+J96&lt;F131,J96,D132)</f>
        <v>1413982.2857142857</v>
      </c>
      <c r="F132" s="159">
        <f t="shared" si="19"/>
        <v>11783185.714285731</v>
      </c>
      <c r="G132" s="159">
        <f t="shared" si="20"/>
        <v>12490176.857142873</v>
      </c>
      <c r="H132" s="163">
        <f t="shared" si="16"/>
        <v>2931182.2752821683</v>
      </c>
      <c r="I132" s="253">
        <f t="shared" si="17"/>
        <v>2931182.2752821683</v>
      </c>
      <c r="J132" s="158">
        <f t="shared" si="21"/>
        <v>0</v>
      </c>
      <c r="K132" s="158"/>
      <c r="L132" s="334"/>
      <c r="M132" s="158">
        <f t="shared" si="22"/>
        <v>0</v>
      </c>
      <c r="N132" s="334"/>
      <c r="O132" s="158">
        <f t="shared" si="23"/>
        <v>0</v>
      </c>
      <c r="P132" s="158">
        <f t="shared" si="24"/>
        <v>0</v>
      </c>
    </row>
    <row r="133" spans="2:16">
      <c r="B133" s="9" t="str">
        <f t="shared" si="18"/>
        <v/>
      </c>
      <c r="C133" s="153">
        <f>IF(D93="","-",+C132+1)</f>
        <v>2050</v>
      </c>
      <c r="D133" s="154">
        <f>IF(F132+SUM(E$99:E132)=D$92,F132,D$92-SUM(E$99:E132))</f>
        <v>11783185.714285731</v>
      </c>
      <c r="E133" s="160">
        <f>IF(+J96&lt;F132,J96,D133)</f>
        <v>1413982.2857142857</v>
      </c>
      <c r="F133" s="159">
        <f t="shared" si="19"/>
        <v>10369203.428571446</v>
      </c>
      <c r="G133" s="159">
        <f t="shared" si="20"/>
        <v>11076194.57142859</v>
      </c>
      <c r="H133" s="163">
        <f t="shared" si="16"/>
        <v>2759423.7858971255</v>
      </c>
      <c r="I133" s="253">
        <f t="shared" si="17"/>
        <v>2759423.7858971255</v>
      </c>
      <c r="J133" s="158">
        <f t="shared" si="21"/>
        <v>0</v>
      </c>
      <c r="K133" s="158"/>
      <c r="L133" s="334"/>
      <c r="M133" s="158">
        <f t="shared" si="22"/>
        <v>0</v>
      </c>
      <c r="N133" s="334"/>
      <c r="O133" s="158">
        <f t="shared" si="23"/>
        <v>0</v>
      </c>
      <c r="P133" s="158">
        <f t="shared" si="24"/>
        <v>0</v>
      </c>
    </row>
    <row r="134" spans="2:16">
      <c r="B134" s="9" t="str">
        <f t="shared" si="18"/>
        <v/>
      </c>
      <c r="C134" s="153">
        <f>IF(D93="","-",+C133+1)</f>
        <v>2051</v>
      </c>
      <c r="D134" s="154">
        <f>IF(F133+SUM(E$99:E133)=D$92,F133,D$92-SUM(E$99:E133))</f>
        <v>10369203.428571446</v>
      </c>
      <c r="E134" s="160">
        <f>IF(+J96&lt;F133,J96,D134)</f>
        <v>1413982.2857142857</v>
      </c>
      <c r="F134" s="159">
        <f t="shared" si="19"/>
        <v>8955221.1428571604</v>
      </c>
      <c r="G134" s="159">
        <f t="shared" si="20"/>
        <v>9662212.2857143022</v>
      </c>
      <c r="H134" s="163">
        <f t="shared" si="16"/>
        <v>2587665.2965120822</v>
      </c>
      <c r="I134" s="253">
        <f t="shared" si="17"/>
        <v>2587665.2965120822</v>
      </c>
      <c r="J134" s="158">
        <f t="shared" si="21"/>
        <v>0</v>
      </c>
      <c r="K134" s="158"/>
      <c r="L134" s="334"/>
      <c r="M134" s="158">
        <f t="shared" si="22"/>
        <v>0</v>
      </c>
      <c r="N134" s="334"/>
      <c r="O134" s="158">
        <f t="shared" si="23"/>
        <v>0</v>
      </c>
      <c r="P134" s="158">
        <f t="shared" si="24"/>
        <v>0</v>
      </c>
    </row>
    <row r="135" spans="2:16">
      <c r="B135" s="9" t="str">
        <f t="shared" si="18"/>
        <v/>
      </c>
      <c r="C135" s="153">
        <f>IF(D93="","-",+C134+1)</f>
        <v>2052</v>
      </c>
      <c r="D135" s="154">
        <f>IF(F134+SUM(E$99:E134)=D$92,F134,D$92-SUM(E$99:E134))</f>
        <v>8955221.1428571604</v>
      </c>
      <c r="E135" s="160">
        <f>IF(+J96&lt;F134,J96,D135)</f>
        <v>1413982.2857142857</v>
      </c>
      <c r="F135" s="159">
        <f t="shared" si="19"/>
        <v>7541238.857142875</v>
      </c>
      <c r="G135" s="159">
        <f t="shared" si="20"/>
        <v>8248230.0000000177</v>
      </c>
      <c r="H135" s="163">
        <f t="shared" si="16"/>
        <v>2415906.8071270389</v>
      </c>
      <c r="I135" s="253">
        <f t="shared" si="17"/>
        <v>2415906.8071270389</v>
      </c>
      <c r="J135" s="158">
        <f t="shared" si="21"/>
        <v>0</v>
      </c>
      <c r="K135" s="158"/>
      <c r="L135" s="334"/>
      <c r="M135" s="158">
        <f t="shared" si="22"/>
        <v>0</v>
      </c>
      <c r="N135" s="334"/>
      <c r="O135" s="158">
        <f t="shared" si="23"/>
        <v>0</v>
      </c>
      <c r="P135" s="158">
        <f t="shared" si="24"/>
        <v>0</v>
      </c>
    </row>
    <row r="136" spans="2:16">
      <c r="B136" s="9" t="str">
        <f t="shared" si="18"/>
        <v/>
      </c>
      <c r="C136" s="153">
        <f>IF(D93="","-",+C135+1)</f>
        <v>2053</v>
      </c>
      <c r="D136" s="154">
        <f>IF(F135+SUM(E$99:E135)=D$92,F135,D$92-SUM(E$99:E135))</f>
        <v>7541238.857142875</v>
      </c>
      <c r="E136" s="160">
        <f>IF(+J96&lt;F135,J96,D136)</f>
        <v>1413982.2857142857</v>
      </c>
      <c r="F136" s="159">
        <f t="shared" si="19"/>
        <v>6127256.5714285895</v>
      </c>
      <c r="G136" s="159">
        <f t="shared" si="20"/>
        <v>6834247.7142857322</v>
      </c>
      <c r="H136" s="163">
        <f t="shared" si="16"/>
        <v>2244148.3177419961</v>
      </c>
      <c r="I136" s="253">
        <f t="shared" si="17"/>
        <v>2244148.3177419961</v>
      </c>
      <c r="J136" s="158">
        <f t="shared" si="21"/>
        <v>0</v>
      </c>
      <c r="K136" s="158"/>
      <c r="L136" s="334"/>
      <c r="M136" s="158">
        <f t="shared" si="22"/>
        <v>0</v>
      </c>
      <c r="N136" s="334"/>
      <c r="O136" s="158">
        <f t="shared" si="23"/>
        <v>0</v>
      </c>
      <c r="P136" s="158">
        <f t="shared" si="24"/>
        <v>0</v>
      </c>
    </row>
    <row r="137" spans="2:16">
      <c r="B137" s="9" t="str">
        <f t="shared" si="18"/>
        <v/>
      </c>
      <c r="C137" s="153">
        <f>IF(D93="","-",+C136+1)</f>
        <v>2054</v>
      </c>
      <c r="D137" s="154">
        <f>IF(F136+SUM(E$99:E136)=D$92,F136,D$92-SUM(E$99:E136))</f>
        <v>6127256.5714285895</v>
      </c>
      <c r="E137" s="160">
        <f>IF(+J96&lt;F136,J96,D137)</f>
        <v>1413982.2857142857</v>
      </c>
      <c r="F137" s="159">
        <f t="shared" si="19"/>
        <v>4713274.2857143041</v>
      </c>
      <c r="G137" s="159">
        <f t="shared" si="20"/>
        <v>5420265.4285714468</v>
      </c>
      <c r="H137" s="163">
        <f t="shared" si="16"/>
        <v>2072389.8283569529</v>
      </c>
      <c r="I137" s="253">
        <f t="shared" si="17"/>
        <v>2072389.8283569529</v>
      </c>
      <c r="J137" s="158">
        <f t="shared" si="21"/>
        <v>0</v>
      </c>
      <c r="K137" s="158"/>
      <c r="L137" s="334"/>
      <c r="M137" s="158">
        <f t="shared" si="22"/>
        <v>0</v>
      </c>
      <c r="N137" s="334"/>
      <c r="O137" s="158">
        <f t="shared" si="23"/>
        <v>0</v>
      </c>
      <c r="P137" s="158">
        <f t="shared" si="24"/>
        <v>0</v>
      </c>
    </row>
    <row r="138" spans="2:16">
      <c r="B138" s="9" t="str">
        <f t="shared" si="18"/>
        <v/>
      </c>
      <c r="C138" s="153">
        <f>IF(D93="","-",+C137+1)</f>
        <v>2055</v>
      </c>
      <c r="D138" s="154">
        <f>IF(F137+SUM(E$99:E137)=D$92,F137,D$92-SUM(E$99:E137))</f>
        <v>4713274.2857143041</v>
      </c>
      <c r="E138" s="160">
        <f>IF(+J96&lt;F137,J96,D138)</f>
        <v>1413982.2857142857</v>
      </c>
      <c r="F138" s="159">
        <f t="shared" si="19"/>
        <v>3299292.0000000186</v>
      </c>
      <c r="G138" s="159">
        <f t="shared" si="20"/>
        <v>4006283.1428571614</v>
      </c>
      <c r="H138" s="163">
        <f t="shared" si="16"/>
        <v>1900631.3389719101</v>
      </c>
      <c r="I138" s="253">
        <f t="shared" si="17"/>
        <v>1900631.3389719101</v>
      </c>
      <c r="J138" s="158">
        <f t="shared" si="21"/>
        <v>0</v>
      </c>
      <c r="K138" s="158"/>
      <c r="L138" s="334"/>
      <c r="M138" s="158">
        <f t="shared" si="22"/>
        <v>0</v>
      </c>
      <c r="N138" s="334"/>
      <c r="O138" s="158">
        <f t="shared" si="23"/>
        <v>0</v>
      </c>
      <c r="P138" s="158">
        <f t="shared" si="24"/>
        <v>0</v>
      </c>
    </row>
    <row r="139" spans="2:16">
      <c r="B139" s="9" t="str">
        <f t="shared" si="18"/>
        <v/>
      </c>
      <c r="C139" s="153">
        <f>IF(D93="","-",+C138+1)</f>
        <v>2056</v>
      </c>
      <c r="D139" s="154">
        <f>IF(F138+SUM(E$99:E138)=D$92,F138,D$92-SUM(E$99:E138))</f>
        <v>3299292.0000000186</v>
      </c>
      <c r="E139" s="160">
        <f>IF(+J96&lt;F138,J96,D139)</f>
        <v>1413982.2857142857</v>
      </c>
      <c r="F139" s="159">
        <f t="shared" si="19"/>
        <v>1885309.7142857329</v>
      </c>
      <c r="G139" s="159">
        <f t="shared" si="20"/>
        <v>2592300.8571428759</v>
      </c>
      <c r="H139" s="163">
        <f t="shared" si="16"/>
        <v>1728872.849586867</v>
      </c>
      <c r="I139" s="253">
        <f t="shared" si="17"/>
        <v>1728872.849586867</v>
      </c>
      <c r="J139" s="158">
        <f t="shared" si="21"/>
        <v>0</v>
      </c>
      <c r="K139" s="158"/>
      <c r="L139" s="334"/>
      <c r="M139" s="158">
        <f t="shared" si="22"/>
        <v>0</v>
      </c>
      <c r="N139" s="334"/>
      <c r="O139" s="158">
        <f t="shared" si="23"/>
        <v>0</v>
      </c>
      <c r="P139" s="158">
        <f t="shared" si="24"/>
        <v>0</v>
      </c>
    </row>
    <row r="140" spans="2:16">
      <c r="B140" s="9" t="str">
        <f t="shared" si="18"/>
        <v/>
      </c>
      <c r="C140" s="153">
        <f>IF(D93="","-",+C139+1)</f>
        <v>2057</v>
      </c>
      <c r="D140" s="154">
        <f>IF(F139+SUM(E$99:E139)=D$92,F139,D$92-SUM(E$99:E139))</f>
        <v>1885309.7142857329</v>
      </c>
      <c r="E140" s="160">
        <f>IF(+J96&lt;F139,J96,D140)</f>
        <v>1413982.2857142857</v>
      </c>
      <c r="F140" s="159">
        <f t="shared" si="19"/>
        <v>471327.42857144726</v>
      </c>
      <c r="G140" s="159">
        <f t="shared" si="20"/>
        <v>1178318.57142859</v>
      </c>
      <c r="H140" s="163">
        <f t="shared" si="16"/>
        <v>1557114.3602018238</v>
      </c>
      <c r="I140" s="253">
        <f t="shared" si="17"/>
        <v>1557114.3602018238</v>
      </c>
      <c r="J140" s="158">
        <f t="shared" si="21"/>
        <v>0</v>
      </c>
      <c r="K140" s="158"/>
      <c r="L140" s="334"/>
      <c r="M140" s="158">
        <f t="shared" si="22"/>
        <v>0</v>
      </c>
      <c r="N140" s="334"/>
      <c r="O140" s="158">
        <f t="shared" si="23"/>
        <v>0</v>
      </c>
      <c r="P140" s="158">
        <f t="shared" si="24"/>
        <v>0</v>
      </c>
    </row>
    <row r="141" spans="2:16">
      <c r="B141" s="9" t="str">
        <f t="shared" si="18"/>
        <v/>
      </c>
      <c r="C141" s="153">
        <f>IF(D93="","-",+C140+1)</f>
        <v>2058</v>
      </c>
      <c r="D141" s="154">
        <f>IF(F140+SUM(E$99:E140)=D$92,F140,D$92-SUM(E$99:E140))</f>
        <v>471327.42857144726</v>
      </c>
      <c r="E141" s="160">
        <f>IF(+J96&lt;F140,J96,D141)</f>
        <v>471327.42857144726</v>
      </c>
      <c r="F141" s="159">
        <f t="shared" si="19"/>
        <v>0</v>
      </c>
      <c r="G141" s="159">
        <f t="shared" si="20"/>
        <v>235663.71428572363</v>
      </c>
      <c r="H141" s="163">
        <f t="shared" si="16"/>
        <v>499953.8434689556</v>
      </c>
      <c r="I141" s="253">
        <f t="shared" si="17"/>
        <v>499953.8434689556</v>
      </c>
      <c r="J141" s="158">
        <f t="shared" si="21"/>
        <v>0</v>
      </c>
      <c r="K141" s="158"/>
      <c r="L141" s="334"/>
      <c r="M141" s="158">
        <f t="shared" si="22"/>
        <v>0</v>
      </c>
      <c r="N141" s="334"/>
      <c r="O141" s="158">
        <f t="shared" si="23"/>
        <v>0</v>
      </c>
      <c r="P141" s="158">
        <f t="shared" si="24"/>
        <v>0</v>
      </c>
    </row>
    <row r="142" spans="2:16">
      <c r="B142" s="9" t="str">
        <f t="shared" si="18"/>
        <v/>
      </c>
      <c r="C142" s="153">
        <f>IF(D93="","-",+C141+1)</f>
        <v>2059</v>
      </c>
      <c r="D142" s="154">
        <f>IF(F141+SUM(E$99:E141)=D$92,F141,D$92-SUM(E$99:E141))</f>
        <v>0</v>
      </c>
      <c r="E142" s="160">
        <f>IF(+J96&lt;F141,J96,D142)</f>
        <v>0</v>
      </c>
      <c r="F142" s="159">
        <f t="shared" si="19"/>
        <v>0</v>
      </c>
      <c r="G142" s="159">
        <f t="shared" si="20"/>
        <v>0</v>
      </c>
      <c r="H142" s="163">
        <f t="shared" si="16"/>
        <v>0</v>
      </c>
      <c r="I142" s="253">
        <f t="shared" si="17"/>
        <v>0</v>
      </c>
      <c r="J142" s="158">
        <f t="shared" si="21"/>
        <v>0</v>
      </c>
      <c r="K142" s="158"/>
      <c r="L142" s="334"/>
      <c r="M142" s="158">
        <f t="shared" si="22"/>
        <v>0</v>
      </c>
      <c r="N142" s="334"/>
      <c r="O142" s="158">
        <f t="shared" si="23"/>
        <v>0</v>
      </c>
      <c r="P142" s="158">
        <f t="shared" si="24"/>
        <v>0</v>
      </c>
    </row>
    <row r="143" spans="2:16">
      <c r="B143" s="9" t="str">
        <f t="shared" si="18"/>
        <v/>
      </c>
      <c r="C143" s="153">
        <f>IF(D93="","-",+C142+1)</f>
        <v>2060</v>
      </c>
      <c r="D143" s="154">
        <f>IF(F142+SUM(E$99:E142)=D$92,F142,D$92-SUM(E$99:E142))</f>
        <v>0</v>
      </c>
      <c r="E143" s="160">
        <f>IF(+J96&lt;F142,J96,D143)</f>
        <v>0</v>
      </c>
      <c r="F143" s="159">
        <f t="shared" si="19"/>
        <v>0</v>
      </c>
      <c r="G143" s="159">
        <f t="shared" si="20"/>
        <v>0</v>
      </c>
      <c r="H143" s="163">
        <f t="shared" si="16"/>
        <v>0</v>
      </c>
      <c r="I143" s="253">
        <f t="shared" si="17"/>
        <v>0</v>
      </c>
      <c r="J143" s="158">
        <f t="shared" si="21"/>
        <v>0</v>
      </c>
      <c r="K143" s="158"/>
      <c r="L143" s="334"/>
      <c r="M143" s="158">
        <f t="shared" si="22"/>
        <v>0</v>
      </c>
      <c r="N143" s="334"/>
      <c r="O143" s="158">
        <f t="shared" si="23"/>
        <v>0</v>
      </c>
      <c r="P143" s="158">
        <f t="shared" si="24"/>
        <v>0</v>
      </c>
    </row>
    <row r="144" spans="2:16">
      <c r="B144" s="9" t="str">
        <f t="shared" si="18"/>
        <v/>
      </c>
      <c r="C144" s="153">
        <f>IF(D93="","-",+C143+1)</f>
        <v>2061</v>
      </c>
      <c r="D144" s="154">
        <f>IF(F143+SUM(E$99:E143)=D$92,F143,D$92-SUM(E$99:E143))</f>
        <v>0</v>
      </c>
      <c r="E144" s="160">
        <f>IF(+J96&lt;F143,J96,D144)</f>
        <v>0</v>
      </c>
      <c r="F144" s="159">
        <f t="shared" si="19"/>
        <v>0</v>
      </c>
      <c r="G144" s="159">
        <f t="shared" si="20"/>
        <v>0</v>
      </c>
      <c r="H144" s="163">
        <f t="shared" si="16"/>
        <v>0</v>
      </c>
      <c r="I144" s="253">
        <f t="shared" si="17"/>
        <v>0</v>
      </c>
      <c r="J144" s="158">
        <f t="shared" si="21"/>
        <v>0</v>
      </c>
      <c r="K144" s="158"/>
      <c r="L144" s="334"/>
      <c r="M144" s="158">
        <f t="shared" si="22"/>
        <v>0</v>
      </c>
      <c r="N144" s="334"/>
      <c r="O144" s="158">
        <f t="shared" si="23"/>
        <v>0</v>
      </c>
      <c r="P144" s="158">
        <f t="shared" si="24"/>
        <v>0</v>
      </c>
    </row>
    <row r="145" spans="2:16">
      <c r="B145" s="9" t="str">
        <f t="shared" si="18"/>
        <v/>
      </c>
      <c r="C145" s="153">
        <f>IF(D93="","-",+C144+1)</f>
        <v>2062</v>
      </c>
      <c r="D145" s="154">
        <f>IF(F144+SUM(E$99:E144)=D$92,F144,D$92-SUM(E$99:E144))</f>
        <v>0</v>
      </c>
      <c r="E145" s="160">
        <f>IF(+J96&lt;F144,J96,D145)</f>
        <v>0</v>
      </c>
      <c r="F145" s="159">
        <f t="shared" si="19"/>
        <v>0</v>
      </c>
      <c r="G145" s="159">
        <f t="shared" si="20"/>
        <v>0</v>
      </c>
      <c r="H145" s="163">
        <f t="shared" si="16"/>
        <v>0</v>
      </c>
      <c r="I145" s="253">
        <f t="shared" si="17"/>
        <v>0</v>
      </c>
      <c r="J145" s="158">
        <f t="shared" si="21"/>
        <v>0</v>
      </c>
      <c r="K145" s="158"/>
      <c r="L145" s="334"/>
      <c r="M145" s="158">
        <f t="shared" si="22"/>
        <v>0</v>
      </c>
      <c r="N145" s="334"/>
      <c r="O145" s="158">
        <f t="shared" si="23"/>
        <v>0</v>
      </c>
      <c r="P145" s="158">
        <f t="shared" si="24"/>
        <v>0</v>
      </c>
    </row>
    <row r="146" spans="2:16">
      <c r="B146" s="9" t="str">
        <f t="shared" si="18"/>
        <v/>
      </c>
      <c r="C146" s="153">
        <f>IF(D93="","-",+C145+1)</f>
        <v>2063</v>
      </c>
      <c r="D146" s="154">
        <f>IF(F145+SUM(E$99:E145)=D$92,F145,D$92-SUM(E$99:E145))</f>
        <v>0</v>
      </c>
      <c r="E146" s="160">
        <f>IF(+J96&lt;F145,J96,D146)</f>
        <v>0</v>
      </c>
      <c r="F146" s="159">
        <f t="shared" si="19"/>
        <v>0</v>
      </c>
      <c r="G146" s="159">
        <f t="shared" si="20"/>
        <v>0</v>
      </c>
      <c r="H146" s="163">
        <f t="shared" si="16"/>
        <v>0</v>
      </c>
      <c r="I146" s="253">
        <f t="shared" si="17"/>
        <v>0</v>
      </c>
      <c r="J146" s="158">
        <f t="shared" si="21"/>
        <v>0</v>
      </c>
      <c r="K146" s="158"/>
      <c r="L146" s="334"/>
      <c r="M146" s="158">
        <f t="shared" si="22"/>
        <v>0</v>
      </c>
      <c r="N146" s="334"/>
      <c r="O146" s="158">
        <f t="shared" si="23"/>
        <v>0</v>
      </c>
      <c r="P146" s="158">
        <f t="shared" si="24"/>
        <v>0</v>
      </c>
    </row>
    <row r="147" spans="2:16">
      <c r="B147" s="9" t="str">
        <f t="shared" si="18"/>
        <v/>
      </c>
      <c r="C147" s="153">
        <f>IF(D93="","-",+C146+1)</f>
        <v>2064</v>
      </c>
      <c r="D147" s="154">
        <f>IF(F146+SUM(E$99:E146)=D$92,F146,D$92-SUM(E$99:E146))</f>
        <v>0</v>
      </c>
      <c r="E147" s="160">
        <f>IF(+J96&lt;F146,J96,D147)</f>
        <v>0</v>
      </c>
      <c r="F147" s="159">
        <f t="shared" si="19"/>
        <v>0</v>
      </c>
      <c r="G147" s="159">
        <f t="shared" si="20"/>
        <v>0</v>
      </c>
      <c r="H147" s="163">
        <f t="shared" si="16"/>
        <v>0</v>
      </c>
      <c r="I147" s="253">
        <f t="shared" si="17"/>
        <v>0</v>
      </c>
      <c r="J147" s="158">
        <f t="shared" si="21"/>
        <v>0</v>
      </c>
      <c r="K147" s="158"/>
      <c r="L147" s="334"/>
      <c r="M147" s="158">
        <f t="shared" si="22"/>
        <v>0</v>
      </c>
      <c r="N147" s="334"/>
      <c r="O147" s="158">
        <f t="shared" si="23"/>
        <v>0</v>
      </c>
      <c r="P147" s="158">
        <f t="shared" si="24"/>
        <v>0</v>
      </c>
    </row>
    <row r="148" spans="2:16">
      <c r="B148" s="9" t="str">
        <f t="shared" si="18"/>
        <v/>
      </c>
      <c r="C148" s="153">
        <f>IF(D93="","-",+C147+1)</f>
        <v>2065</v>
      </c>
      <c r="D148" s="154">
        <f>IF(F147+SUM(E$99:E147)=D$92,F147,D$92-SUM(E$99:E147))</f>
        <v>0</v>
      </c>
      <c r="E148" s="160">
        <f>IF(+J96&lt;F147,J96,D148)</f>
        <v>0</v>
      </c>
      <c r="F148" s="159">
        <f t="shared" si="19"/>
        <v>0</v>
      </c>
      <c r="G148" s="159">
        <f t="shared" si="20"/>
        <v>0</v>
      </c>
      <c r="H148" s="163">
        <f t="shared" si="16"/>
        <v>0</v>
      </c>
      <c r="I148" s="253">
        <f t="shared" si="17"/>
        <v>0</v>
      </c>
      <c r="J148" s="158">
        <f t="shared" si="21"/>
        <v>0</v>
      </c>
      <c r="K148" s="158"/>
      <c r="L148" s="334"/>
      <c r="M148" s="158">
        <f t="shared" si="22"/>
        <v>0</v>
      </c>
      <c r="N148" s="334"/>
      <c r="O148" s="158">
        <f t="shared" si="23"/>
        <v>0</v>
      </c>
      <c r="P148" s="158">
        <f t="shared" si="24"/>
        <v>0</v>
      </c>
    </row>
    <row r="149" spans="2:16">
      <c r="B149" s="9" t="str">
        <f t="shared" si="18"/>
        <v/>
      </c>
      <c r="C149" s="153">
        <f>IF(D93="","-",+C148+1)</f>
        <v>2066</v>
      </c>
      <c r="D149" s="154">
        <f>IF(F148+SUM(E$99:E148)=D$92,F148,D$92-SUM(E$99:E148))</f>
        <v>0</v>
      </c>
      <c r="E149" s="160">
        <f>IF(+J96&lt;F148,J96,D149)</f>
        <v>0</v>
      </c>
      <c r="F149" s="159">
        <f t="shared" si="19"/>
        <v>0</v>
      </c>
      <c r="G149" s="159">
        <f t="shared" si="20"/>
        <v>0</v>
      </c>
      <c r="H149" s="163">
        <f t="shared" si="16"/>
        <v>0</v>
      </c>
      <c r="I149" s="253">
        <f t="shared" si="17"/>
        <v>0</v>
      </c>
      <c r="J149" s="158">
        <f t="shared" si="21"/>
        <v>0</v>
      </c>
      <c r="K149" s="158"/>
      <c r="L149" s="334"/>
      <c r="M149" s="158">
        <f t="shared" si="22"/>
        <v>0</v>
      </c>
      <c r="N149" s="334"/>
      <c r="O149" s="158">
        <f t="shared" si="23"/>
        <v>0</v>
      </c>
      <c r="P149" s="158">
        <f t="shared" si="24"/>
        <v>0</v>
      </c>
    </row>
    <row r="150" spans="2:16">
      <c r="B150" s="9" t="str">
        <f t="shared" si="18"/>
        <v/>
      </c>
      <c r="C150" s="153">
        <f>IF(D93="","-",+C149+1)</f>
        <v>2067</v>
      </c>
      <c r="D150" s="154">
        <f>IF(F149+SUM(E$99:E149)=D$92,F149,D$92-SUM(E$99:E149))</f>
        <v>0</v>
      </c>
      <c r="E150" s="160">
        <f>IF(+J96&lt;F149,J96,D150)</f>
        <v>0</v>
      </c>
      <c r="F150" s="159">
        <f t="shared" si="19"/>
        <v>0</v>
      </c>
      <c r="G150" s="159">
        <f t="shared" si="20"/>
        <v>0</v>
      </c>
      <c r="H150" s="163">
        <f t="shared" si="16"/>
        <v>0</v>
      </c>
      <c r="I150" s="253">
        <f t="shared" si="17"/>
        <v>0</v>
      </c>
      <c r="J150" s="158">
        <f t="shared" si="21"/>
        <v>0</v>
      </c>
      <c r="K150" s="158"/>
      <c r="L150" s="334"/>
      <c r="M150" s="158">
        <f t="shared" si="22"/>
        <v>0</v>
      </c>
      <c r="N150" s="334"/>
      <c r="O150" s="158">
        <f t="shared" si="23"/>
        <v>0</v>
      </c>
      <c r="P150" s="158">
        <f t="shared" si="24"/>
        <v>0</v>
      </c>
    </row>
    <row r="151" spans="2:16">
      <c r="B151" s="9" t="str">
        <f t="shared" si="18"/>
        <v/>
      </c>
      <c r="C151" s="153">
        <f>IF(D93="","-",+C150+1)</f>
        <v>2068</v>
      </c>
      <c r="D151" s="154">
        <f>IF(F150+SUM(E$99:E150)=D$92,F150,D$92-SUM(E$99:E150))</f>
        <v>0</v>
      </c>
      <c r="E151" s="160">
        <f>IF(+J96&lt;F150,J96,D151)</f>
        <v>0</v>
      </c>
      <c r="F151" s="159">
        <f t="shared" si="19"/>
        <v>0</v>
      </c>
      <c r="G151" s="159">
        <f t="shared" si="20"/>
        <v>0</v>
      </c>
      <c r="H151" s="163">
        <f t="shared" si="16"/>
        <v>0</v>
      </c>
      <c r="I151" s="253">
        <f t="shared" si="17"/>
        <v>0</v>
      </c>
      <c r="J151" s="158">
        <f t="shared" si="21"/>
        <v>0</v>
      </c>
      <c r="K151" s="158"/>
      <c r="L151" s="334"/>
      <c r="M151" s="158">
        <f t="shared" si="22"/>
        <v>0</v>
      </c>
      <c r="N151" s="334"/>
      <c r="O151" s="158">
        <f t="shared" si="23"/>
        <v>0</v>
      </c>
      <c r="P151" s="158">
        <f t="shared" si="24"/>
        <v>0</v>
      </c>
    </row>
    <row r="152" spans="2:16">
      <c r="B152" s="9" t="str">
        <f t="shared" si="18"/>
        <v/>
      </c>
      <c r="C152" s="153">
        <f>IF(D93="","-",+C151+1)</f>
        <v>2069</v>
      </c>
      <c r="D152" s="154">
        <f>IF(F151+SUM(E$99:E151)=D$92,F151,D$92-SUM(E$99:E151))</f>
        <v>0</v>
      </c>
      <c r="E152" s="160">
        <f>IF(+J96&lt;F151,J96,D152)</f>
        <v>0</v>
      </c>
      <c r="F152" s="159">
        <f t="shared" si="19"/>
        <v>0</v>
      </c>
      <c r="G152" s="159">
        <f t="shared" si="20"/>
        <v>0</v>
      </c>
      <c r="H152" s="163">
        <f t="shared" si="16"/>
        <v>0</v>
      </c>
      <c r="I152" s="253">
        <f t="shared" si="17"/>
        <v>0</v>
      </c>
      <c r="J152" s="158">
        <f t="shared" si="21"/>
        <v>0</v>
      </c>
      <c r="K152" s="158"/>
      <c r="L152" s="334"/>
      <c r="M152" s="158">
        <f t="shared" si="22"/>
        <v>0</v>
      </c>
      <c r="N152" s="334"/>
      <c r="O152" s="158">
        <f t="shared" si="23"/>
        <v>0</v>
      </c>
      <c r="P152" s="158">
        <f t="shared" si="24"/>
        <v>0</v>
      </c>
    </row>
    <row r="153" spans="2:16">
      <c r="B153" s="9" t="str">
        <f t="shared" si="18"/>
        <v/>
      </c>
      <c r="C153" s="153">
        <f>IF(D93="","-",+C152+1)</f>
        <v>2070</v>
      </c>
      <c r="D153" s="154">
        <f>IF(F152+SUM(E$99:E152)=D$92,F152,D$92-SUM(E$99:E152))</f>
        <v>0</v>
      </c>
      <c r="E153" s="160">
        <f>IF(+J96&lt;F152,J96,D153)</f>
        <v>0</v>
      </c>
      <c r="F153" s="159">
        <f t="shared" si="19"/>
        <v>0</v>
      </c>
      <c r="G153" s="159">
        <f t="shared" si="20"/>
        <v>0</v>
      </c>
      <c r="H153" s="163">
        <f t="shared" si="16"/>
        <v>0</v>
      </c>
      <c r="I153" s="253">
        <f t="shared" si="17"/>
        <v>0</v>
      </c>
      <c r="J153" s="158">
        <f t="shared" si="21"/>
        <v>0</v>
      </c>
      <c r="K153" s="158"/>
      <c r="L153" s="334"/>
      <c r="M153" s="158">
        <f t="shared" si="22"/>
        <v>0</v>
      </c>
      <c r="N153" s="334"/>
      <c r="O153" s="158">
        <f t="shared" si="23"/>
        <v>0</v>
      </c>
      <c r="P153" s="158">
        <f t="shared" si="24"/>
        <v>0</v>
      </c>
    </row>
    <row r="154" spans="2:16" ht="13.5" thickBot="1">
      <c r="B154" s="9" t="str">
        <f t="shared" si="18"/>
        <v/>
      </c>
      <c r="C154" s="164">
        <f>IF(D93="","-",+C153+1)</f>
        <v>2071</v>
      </c>
      <c r="D154" s="215">
        <f>IF(F153+SUM(E$99:E153)=D$92,F153,D$92-SUM(E$99:E153))</f>
        <v>0</v>
      </c>
      <c r="E154" s="166">
        <f>IF(+J96&lt;F153,J96,D154)</f>
        <v>0</v>
      </c>
      <c r="F154" s="165">
        <f t="shared" si="19"/>
        <v>0</v>
      </c>
      <c r="G154" s="165">
        <f t="shared" si="20"/>
        <v>0</v>
      </c>
      <c r="H154" s="167">
        <f t="shared" si="16"/>
        <v>0</v>
      </c>
      <c r="I154" s="254">
        <f t="shared" si="17"/>
        <v>0</v>
      </c>
      <c r="J154" s="169">
        <f t="shared" si="21"/>
        <v>0</v>
      </c>
      <c r="K154" s="158"/>
      <c r="L154" s="335"/>
      <c r="M154" s="169">
        <f t="shared" si="22"/>
        <v>0</v>
      </c>
      <c r="N154" s="335"/>
      <c r="O154" s="169">
        <f t="shared" si="23"/>
        <v>0</v>
      </c>
      <c r="P154" s="169">
        <f t="shared" si="24"/>
        <v>0</v>
      </c>
    </row>
    <row r="155" spans="2:16">
      <c r="C155" s="154" t="s">
        <v>73</v>
      </c>
      <c r="D155" s="111"/>
      <c r="E155" s="111">
        <f>SUM(E99:E154)</f>
        <v>59387256</v>
      </c>
      <c r="F155" s="111"/>
      <c r="G155" s="111"/>
      <c r="H155" s="111">
        <f>SUM(H99:H154)</f>
        <v>209675934.21191284</v>
      </c>
      <c r="I155" s="111">
        <f>SUM(I99:I154)</f>
        <v>209675934.21191284</v>
      </c>
      <c r="J155" s="111">
        <f>SUM(J99:J154)</f>
        <v>0</v>
      </c>
      <c r="K155" s="111"/>
      <c r="L155" s="111"/>
      <c r="M155" s="111"/>
      <c r="N155" s="111"/>
      <c r="O155" s="111"/>
      <c r="P155" s="1"/>
    </row>
    <row r="156" spans="2:16">
      <c r="C156" t="s">
        <v>87</v>
      </c>
      <c r="D156" s="2"/>
      <c r="E156" s="1"/>
      <c r="F156" s="1"/>
      <c r="G156" s="1"/>
      <c r="H156" s="1"/>
      <c r="I156" s="3"/>
      <c r="J156" s="3"/>
      <c r="K156" s="111"/>
      <c r="L156" s="3"/>
      <c r="M156" s="3"/>
      <c r="N156" s="3"/>
      <c r="O156" s="3"/>
      <c r="P156" s="1"/>
    </row>
    <row r="157" spans="2:16">
      <c r="C157" s="216"/>
      <c r="D157" s="2"/>
      <c r="E157" s="1"/>
      <c r="F157" s="1"/>
      <c r="G157" s="1"/>
      <c r="H157" s="1"/>
      <c r="I157" s="3"/>
      <c r="J157" s="3"/>
      <c r="K157" s="111"/>
      <c r="L157" s="3"/>
      <c r="M157" s="3"/>
      <c r="N157" s="3"/>
      <c r="O157" s="3"/>
      <c r="P157" s="1"/>
    </row>
    <row r="158" spans="2:16">
      <c r="C158" s="248" t="s">
        <v>127</v>
      </c>
      <c r="D158" s="2"/>
      <c r="E158" s="1"/>
      <c r="F158" s="1"/>
      <c r="G158" s="1"/>
      <c r="H158" s="1"/>
      <c r="I158" s="3"/>
      <c r="J158" s="3"/>
      <c r="K158" s="111"/>
      <c r="L158" s="3"/>
      <c r="M158" s="3"/>
      <c r="N158" s="3"/>
      <c r="O158" s="3"/>
      <c r="P158" s="1"/>
    </row>
    <row r="159" spans="2:16">
      <c r="C159" s="121" t="s">
        <v>74</v>
      </c>
      <c r="D159" s="154"/>
      <c r="E159" s="154"/>
      <c r="F159" s="154"/>
      <c r="G159" s="154"/>
      <c r="H159" s="111"/>
      <c r="I159" s="111"/>
      <c r="J159" s="171"/>
      <c r="K159" s="171"/>
      <c r="L159" s="171"/>
      <c r="M159" s="171"/>
      <c r="N159" s="171"/>
      <c r="O159" s="171"/>
      <c r="P159" s="1"/>
    </row>
    <row r="160" spans="2:16">
      <c r="C160" s="217" t="s">
        <v>75</v>
      </c>
      <c r="D160" s="154"/>
      <c r="E160" s="154"/>
      <c r="F160" s="154"/>
      <c r="G160" s="154"/>
      <c r="H160" s="111"/>
      <c r="I160" s="111"/>
      <c r="J160" s="171"/>
      <c r="K160" s="171"/>
      <c r="L160" s="171"/>
      <c r="M160" s="171"/>
      <c r="N160" s="171"/>
      <c r="O160" s="171"/>
      <c r="P160" s="1"/>
    </row>
    <row r="161" spans="3:16">
      <c r="C161" s="217"/>
      <c r="D161" s="154"/>
      <c r="E161" s="154"/>
      <c r="F161" s="154"/>
      <c r="G161" s="154"/>
      <c r="H161" s="111"/>
      <c r="I161" s="111"/>
      <c r="J161" s="171"/>
      <c r="K161" s="171"/>
      <c r="L161" s="171"/>
      <c r="M161" s="171"/>
      <c r="N161" s="171"/>
      <c r="O161" s="171"/>
      <c r="P161" s="1"/>
    </row>
    <row r="162" spans="3:16" ht="18">
      <c r="C162" s="217"/>
      <c r="D162" s="154"/>
      <c r="E162" s="154"/>
      <c r="F162" s="154"/>
      <c r="G162" s="154"/>
      <c r="H162" s="111"/>
      <c r="I162" s="111"/>
      <c r="J162" s="171"/>
      <c r="K162" s="171"/>
      <c r="L162" s="171"/>
      <c r="M162" s="171"/>
      <c r="N162" s="171"/>
      <c r="P162" s="245" t="s">
        <v>126</v>
      </c>
    </row>
  </sheetData>
  <conditionalFormatting sqref="C18:C72">
    <cfRule type="cellIs" dxfId="40" priority="2" stopIfTrue="1" operator="equal">
      <formula>$I$10</formula>
    </cfRule>
  </conditionalFormatting>
  <conditionalFormatting sqref="C99:C154">
    <cfRule type="cellIs" dxfId="39" priority="3" stopIfTrue="1" operator="equal">
      <formula>$J$92</formula>
    </cfRule>
  </conditionalFormatting>
  <conditionalFormatting sqref="C17">
    <cfRule type="cellIs" dxfId="38" priority="1" stopIfTrue="1" operator="equal">
      <formula>$I$10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1"/>
  <dimension ref="A1:P162"/>
  <sheetViews>
    <sheetView view="pageBreakPreview" topLeftCell="A52" zoomScale="80" zoomScaleNormal="100" zoomScaleSheetLayoutView="80" workbookViewId="0">
      <selection activeCell="C19" sqref="C19"/>
    </sheetView>
  </sheetViews>
  <sheetFormatPr defaultRowHeight="12.75" customHeight="1"/>
  <cols>
    <col min="1" max="1" width="4.7109375" customWidth="1"/>
    <col min="2" max="2" width="6.7109375" customWidth="1"/>
    <col min="3" max="3" width="23.28515625" customWidth="1"/>
    <col min="4" max="8" width="17.7109375" customWidth="1"/>
    <col min="9" max="9" width="20.42578125" customWidth="1"/>
    <col min="10" max="10" width="16.42578125" customWidth="1"/>
    <col min="11" max="11" width="17.7109375" customWidth="1"/>
    <col min="12" max="12" width="16.140625" customWidth="1"/>
    <col min="13" max="13" width="17.7109375" customWidth="1"/>
    <col min="14" max="14" width="16.7109375" customWidth="1"/>
    <col min="15" max="15" width="16.85546875" customWidth="1"/>
    <col min="16" max="16" width="24.42578125" customWidth="1"/>
    <col min="17" max="17" width="9.140625" customWidth="1"/>
    <col min="23" max="23" width="9.140625" customWidth="1"/>
  </cols>
  <sheetData>
    <row r="1" spans="1:16" ht="20.25">
      <c r="A1" s="243" t="s">
        <v>128</v>
      </c>
      <c r="B1" s="1"/>
      <c r="C1" s="21"/>
      <c r="D1" s="2"/>
      <c r="E1" s="1"/>
      <c r="F1" s="99"/>
      <c r="G1" s="1"/>
      <c r="H1" s="3"/>
      <c r="J1" s="7"/>
      <c r="K1" s="109"/>
      <c r="L1" s="109"/>
      <c r="M1" s="109"/>
      <c r="P1" s="249" t="str">
        <f ca="1">"SWEPCO Project "&amp;RIGHT(MID(CELL("filename",$A$1),FIND("]",CELL("filename",$A$1))+1,256),2)&amp;" of "&amp;COUNT('S.001:S.xyz - blank'!$P$3)-1</f>
        <v>SWEPCO Project 62 of 73</v>
      </c>
    </row>
    <row r="2" spans="1:16" ht="18">
      <c r="B2" s="1"/>
      <c r="C2" s="1"/>
      <c r="D2" s="2"/>
      <c r="E2" s="1"/>
      <c r="F2" s="1"/>
      <c r="G2" s="1"/>
      <c r="H2" s="3"/>
      <c r="I2" s="1"/>
      <c r="J2" s="4"/>
      <c r="K2" s="1"/>
      <c r="L2" s="1"/>
      <c r="M2" s="1"/>
      <c r="N2" s="1"/>
      <c r="P2" s="244" t="s">
        <v>124</v>
      </c>
    </row>
    <row r="3" spans="1:16" ht="18.75">
      <c r="B3" s="5" t="s">
        <v>40</v>
      </c>
      <c r="C3" s="68" t="s">
        <v>41</v>
      </c>
      <c r="D3" s="2"/>
      <c r="E3" s="1"/>
      <c r="F3" s="1"/>
      <c r="G3" s="1"/>
      <c r="H3" s="3"/>
      <c r="I3" s="3"/>
      <c r="J3" s="111"/>
      <c r="K3" s="3"/>
      <c r="L3" s="3"/>
      <c r="M3" s="3"/>
      <c r="N3" s="3"/>
      <c r="O3" s="1"/>
      <c r="P3" s="240">
        <v>1</v>
      </c>
    </row>
    <row r="4" spans="1:16" ht="15.75" thickBot="1">
      <c r="C4" s="67"/>
      <c r="D4" s="2"/>
      <c r="E4" s="1"/>
      <c r="F4" s="1"/>
      <c r="G4" s="1"/>
      <c r="H4" s="3"/>
      <c r="I4" s="3"/>
      <c r="J4" s="111"/>
      <c r="K4" s="3"/>
      <c r="L4" s="3"/>
      <c r="M4" s="3"/>
      <c r="N4" s="3"/>
      <c r="O4" s="1"/>
      <c r="P4" s="1"/>
    </row>
    <row r="5" spans="1:16" ht="15">
      <c r="C5" s="112" t="s">
        <v>42</v>
      </c>
      <c r="D5" s="2"/>
      <c r="E5" s="1"/>
      <c r="F5" s="1"/>
      <c r="G5" s="113"/>
      <c r="H5" s="1" t="s">
        <v>43</v>
      </c>
      <c r="I5" s="1"/>
      <c r="J5" s="4"/>
      <c r="K5" s="268" t="s">
        <v>152</v>
      </c>
      <c r="L5" s="114"/>
      <c r="M5" s="115"/>
      <c r="N5" s="116">
        <f>VLOOKUP(I10,C17:I72,5)</f>
        <v>139910.64053298702</v>
      </c>
      <c r="P5" s="1"/>
    </row>
    <row r="6" spans="1:16" ht="15.75">
      <c r="C6" s="8"/>
      <c r="D6" s="2"/>
      <c r="E6" s="1"/>
      <c r="F6" s="1"/>
      <c r="G6" s="1"/>
      <c r="H6" s="117"/>
      <c r="I6" s="117"/>
      <c r="J6" s="118"/>
      <c r="K6" s="269" t="s">
        <v>153</v>
      </c>
      <c r="L6" s="119"/>
      <c r="M6" s="4"/>
      <c r="N6" s="120">
        <f>VLOOKUP(I10,C17:I72,6)</f>
        <v>139910.64053298702</v>
      </c>
      <c r="O6" s="1"/>
      <c r="P6" s="1"/>
    </row>
    <row r="7" spans="1:16" ht="13.5" thickBot="1">
      <c r="C7" s="121" t="s">
        <v>44</v>
      </c>
      <c r="D7" s="223" t="s">
        <v>372</v>
      </c>
      <c r="E7" s="1"/>
      <c r="F7" s="1"/>
      <c r="G7" s="1"/>
      <c r="H7" s="3"/>
      <c r="I7" s="3"/>
      <c r="J7" s="111"/>
      <c r="K7" s="122" t="s">
        <v>45</v>
      </c>
      <c r="L7" s="123"/>
      <c r="M7" s="123"/>
      <c r="N7" s="124">
        <f>+N6-N5</f>
        <v>0</v>
      </c>
      <c r="O7" s="1"/>
      <c r="P7" s="1"/>
    </row>
    <row r="8" spans="1:16" ht="13.5" thickBot="1">
      <c r="C8" s="125"/>
      <c r="D8" s="352" t="str">
        <f>IF(D10&lt;100000,"DOES NOT MEET SPP $100,000 MINIMUM INVESTMENT FOR REGIONAL BPU SHARING.","")</f>
        <v/>
      </c>
      <c r="E8" s="126"/>
      <c r="F8" s="126"/>
      <c r="G8" s="126"/>
      <c r="H8" s="126"/>
      <c r="I8" s="126"/>
      <c r="J8" s="101"/>
      <c r="K8" s="126"/>
      <c r="L8" s="126"/>
      <c r="M8" s="126"/>
      <c r="N8" s="126"/>
      <c r="O8" s="101"/>
      <c r="P8" s="21"/>
    </row>
    <row r="9" spans="1:16" ht="13.5" thickBot="1">
      <c r="C9" s="127" t="s">
        <v>46</v>
      </c>
      <c r="D9" s="225" t="s">
        <v>252</v>
      </c>
      <c r="E9" s="401" t="s">
        <v>449</v>
      </c>
      <c r="F9" s="128"/>
      <c r="G9" s="128"/>
      <c r="H9" s="128"/>
      <c r="I9" s="129"/>
      <c r="J9" s="130"/>
      <c r="O9" s="131"/>
      <c r="P9" s="4"/>
    </row>
    <row r="10" spans="1:16">
      <c r="C10" s="132" t="s">
        <v>47</v>
      </c>
      <c r="D10" s="133">
        <v>1185000</v>
      </c>
      <c r="E10" s="61" t="s">
        <v>459</v>
      </c>
      <c r="F10" s="131"/>
      <c r="G10" s="134"/>
      <c r="H10" s="134"/>
      <c r="I10" s="135">
        <f>+SWE.WS.F.BPU.ATRR.Projected!K17</f>
        <v>2019</v>
      </c>
      <c r="J10" s="130"/>
      <c r="K10" s="111" t="s">
        <v>48</v>
      </c>
      <c r="O10" s="4"/>
      <c r="P10" s="4"/>
    </row>
    <row r="11" spans="1:16">
      <c r="C11" s="136" t="s">
        <v>49</v>
      </c>
      <c r="D11" s="137">
        <v>2017</v>
      </c>
      <c r="E11" s="136" t="s">
        <v>50</v>
      </c>
      <c r="F11" s="134"/>
      <c r="G11" s="7"/>
      <c r="H11" s="7"/>
      <c r="I11" s="138">
        <f>IF(G5="",0,SWE.WS.F.BPU.ATRR.Projected!F$11)</f>
        <v>0</v>
      </c>
      <c r="J11" s="139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4"/>
      <c r="P11" s="4"/>
    </row>
    <row r="12" spans="1:16">
      <c r="C12" s="136" t="s">
        <v>51</v>
      </c>
      <c r="D12" s="133">
        <v>6</v>
      </c>
      <c r="E12" s="136" t="s">
        <v>52</v>
      </c>
      <c r="F12" s="134"/>
      <c r="G12" s="7"/>
      <c r="H12" s="7"/>
      <c r="I12" s="140">
        <f>SWE.WS.F.BPU.ATRR.Projected!$F$76</f>
        <v>9.9555672459071778E-2</v>
      </c>
      <c r="J12" s="141"/>
      <c r="K12" t="s">
        <v>53</v>
      </c>
      <c r="O12" s="4"/>
      <c r="P12" s="4"/>
    </row>
    <row r="13" spans="1:16">
      <c r="C13" s="136" t="s">
        <v>54</v>
      </c>
      <c r="D13" s="138">
        <f>+SWE.WS.F.BPU.ATRR.Projected!F$87</f>
        <v>43</v>
      </c>
      <c r="E13" s="136" t="s">
        <v>55</v>
      </c>
      <c r="F13" s="134"/>
      <c r="G13" s="7"/>
      <c r="H13" s="7"/>
      <c r="I13" s="140">
        <f>IF(G5="",I12,SWE.WS.F.BPU.ATRR.Projected!$F$75)</f>
        <v>9.9555672459071778E-2</v>
      </c>
      <c r="J13" s="141"/>
      <c r="K13" s="111" t="s">
        <v>56</v>
      </c>
      <c r="L13" s="58"/>
      <c r="M13" s="58"/>
      <c r="N13" s="58"/>
      <c r="O13" s="4"/>
      <c r="P13" s="4"/>
    </row>
    <row r="14" spans="1:16" ht="13.5" thickBot="1">
      <c r="C14" s="136" t="s">
        <v>57</v>
      </c>
      <c r="D14" s="137" t="s">
        <v>58</v>
      </c>
      <c r="E14" s="4" t="s">
        <v>59</v>
      </c>
      <c r="F14" s="134"/>
      <c r="G14" s="7"/>
      <c r="H14" s="7"/>
      <c r="I14" s="142">
        <f>IF(D10=0,0,D10/D13)</f>
        <v>27558.139534883721</v>
      </c>
      <c r="J14" s="111"/>
      <c r="K14" s="111"/>
      <c r="L14" s="111"/>
      <c r="M14" s="111"/>
      <c r="N14" s="111"/>
      <c r="O14" s="4"/>
      <c r="P14" s="4"/>
    </row>
    <row r="15" spans="1:16" ht="38.25">
      <c r="C15" s="143" t="s">
        <v>47</v>
      </c>
      <c r="D15" s="144" t="s">
        <v>60</v>
      </c>
      <c r="E15" s="144" t="s">
        <v>61</v>
      </c>
      <c r="F15" s="144" t="s">
        <v>62</v>
      </c>
      <c r="G15" s="434" t="s">
        <v>378</v>
      </c>
      <c r="H15" s="435" t="s">
        <v>379</v>
      </c>
      <c r="I15" s="143" t="s">
        <v>63</v>
      </c>
      <c r="J15" s="145"/>
      <c r="K15" s="271" t="s">
        <v>219</v>
      </c>
      <c r="L15" s="146" t="s">
        <v>64</v>
      </c>
      <c r="M15" s="271" t="s">
        <v>219</v>
      </c>
      <c r="N15" s="146" t="s">
        <v>64</v>
      </c>
      <c r="O15" s="146" t="s">
        <v>65</v>
      </c>
      <c r="P15" s="4"/>
    </row>
    <row r="16" spans="1:16" ht="13.5" thickBot="1">
      <c r="C16" s="147" t="s">
        <v>66</v>
      </c>
      <c r="D16" s="147" t="s">
        <v>67</v>
      </c>
      <c r="E16" s="147" t="s">
        <v>68</v>
      </c>
      <c r="F16" s="147" t="s">
        <v>67</v>
      </c>
      <c r="G16" s="408" t="s">
        <v>69</v>
      </c>
      <c r="H16" s="148" t="s">
        <v>70</v>
      </c>
      <c r="I16" s="149" t="s">
        <v>89</v>
      </c>
      <c r="J16" s="150" t="s">
        <v>71</v>
      </c>
      <c r="K16" s="151" t="s">
        <v>72</v>
      </c>
      <c r="L16" s="151" t="s">
        <v>72</v>
      </c>
      <c r="M16" s="151" t="s">
        <v>90</v>
      </c>
      <c r="N16" s="152" t="s">
        <v>90</v>
      </c>
      <c r="O16" s="151" t="s">
        <v>90</v>
      </c>
      <c r="P16" s="4"/>
    </row>
    <row r="17" spans="2:16">
      <c r="C17" s="153">
        <f>IF(D11= "","-",D11)</f>
        <v>2017</v>
      </c>
      <c r="D17" s="360">
        <v>0</v>
      </c>
      <c r="E17" s="360">
        <v>13779.069767441859</v>
      </c>
      <c r="F17" s="360">
        <v>1171220.9302325582</v>
      </c>
      <c r="G17" s="360">
        <v>86331.834002984833</v>
      </c>
      <c r="H17" s="360">
        <v>86331.834002984833</v>
      </c>
      <c r="I17" s="156">
        <v>0</v>
      </c>
      <c r="J17" s="156"/>
      <c r="K17" s="258">
        <f>+G17</f>
        <v>86331.834002984833</v>
      </c>
      <c r="L17" s="257">
        <f>IF(K17&lt;&gt;0,+G17-K17,0)</f>
        <v>0</v>
      </c>
      <c r="M17" s="258">
        <f>+H17</f>
        <v>86331.834002984833</v>
      </c>
      <c r="N17" s="158">
        <f>IF(M17&lt;&gt;0,+H17-M17,0)</f>
        <v>0</v>
      </c>
      <c r="O17" s="158">
        <f>+N17-L17</f>
        <v>0</v>
      </c>
      <c r="P17" s="4"/>
    </row>
    <row r="18" spans="2:16">
      <c r="B18" s="9" t="str">
        <f>IF(D18=F17,"","IU")</f>
        <v/>
      </c>
      <c r="C18" s="153">
        <f>IF(D11="","-",+C17+1)</f>
        <v>2018</v>
      </c>
      <c r="D18" s="360">
        <v>1171220.9302325582</v>
      </c>
      <c r="E18" s="360">
        <v>28902.439024390245</v>
      </c>
      <c r="F18" s="360">
        <v>1142318.491208168</v>
      </c>
      <c r="G18" s="360">
        <v>158326.70430501748</v>
      </c>
      <c r="H18" s="360">
        <v>158326.70430501748</v>
      </c>
      <c r="I18" s="156">
        <f t="shared" ref="I18:I72" si="0">H18-G18</f>
        <v>0</v>
      </c>
      <c r="J18" s="156"/>
      <c r="K18" s="258">
        <f>+G18</f>
        <v>158326.70430501748</v>
      </c>
      <c r="L18" s="257">
        <f>IF(K18&lt;&gt;0,+G18-K18,0)</f>
        <v>0</v>
      </c>
      <c r="M18" s="258">
        <f>+H18</f>
        <v>158326.70430501748</v>
      </c>
      <c r="N18" s="158">
        <f>IF(M18&lt;&gt;0,+H18-M18,0)</f>
        <v>0</v>
      </c>
      <c r="O18" s="158">
        <f>+N18-L18</f>
        <v>0</v>
      </c>
      <c r="P18" s="4"/>
    </row>
    <row r="19" spans="2:16">
      <c r="B19" s="9" t="str">
        <f>IF(D19=F18,"","IU")</f>
        <v/>
      </c>
      <c r="C19" s="153">
        <f>IF(D11="","-",+C18+1)</f>
        <v>2019</v>
      </c>
      <c r="D19" s="159">
        <f>IF(F18+SUM(E$17:E18)=D$10,F18,D$10-SUM(E$17:E18))</f>
        <v>1142318.491208168</v>
      </c>
      <c r="E19" s="160">
        <f>IF(+I14&lt;F18,I14,D19)</f>
        <v>27558.139534883721</v>
      </c>
      <c r="F19" s="159">
        <f t="shared" ref="F19:F72" si="1">+D19-E19</f>
        <v>1114760.3516732843</v>
      </c>
      <c r="G19" s="161">
        <f t="shared" ref="G19:G48" si="2">+I$12*((D19+F19)/2)+E19</f>
        <v>139910.64053298702</v>
      </c>
      <c r="H19" s="142">
        <f t="shared" ref="H19:H48" si="3">+I$13*((D19+F19)/2)+E19</f>
        <v>139910.64053298702</v>
      </c>
      <c r="I19" s="156">
        <f t="shared" si="0"/>
        <v>0</v>
      </c>
      <c r="J19" s="156"/>
      <c r="K19" s="334"/>
      <c r="L19" s="158">
        <f t="shared" ref="L19:L72" si="4">IF(K19&lt;&gt;0,+G19-K19,0)</f>
        <v>0</v>
      </c>
      <c r="M19" s="334"/>
      <c r="N19" s="158">
        <f t="shared" ref="N19:N72" si="5">IF(M19&lt;&gt;0,+H19-M19,0)</f>
        <v>0</v>
      </c>
      <c r="O19" s="158">
        <f t="shared" ref="O19:O72" si="6">+N19-L19</f>
        <v>0</v>
      </c>
      <c r="P19" s="4"/>
    </row>
    <row r="20" spans="2:16">
      <c r="B20" s="9" t="str">
        <f t="shared" ref="B20:B72" si="7">IF(D20=F19,"","IU")</f>
        <v/>
      </c>
      <c r="C20" s="153">
        <f>IF(D11="","-",+C19+1)</f>
        <v>2020</v>
      </c>
      <c r="D20" s="159">
        <f>IF(F19+SUM(E$17:E19)=D$10,F19,D$10-SUM(E$17:E19))</f>
        <v>1114760.3516732843</v>
      </c>
      <c r="E20" s="160">
        <f>IF(+I14&lt;F19,I14,D20)</f>
        <v>27558.139534883721</v>
      </c>
      <c r="F20" s="159">
        <f t="shared" si="1"/>
        <v>1087202.2121384006</v>
      </c>
      <c r="G20" s="161">
        <f t="shared" si="2"/>
        <v>137167.07141987074</v>
      </c>
      <c r="H20" s="142">
        <f t="shared" si="3"/>
        <v>137167.07141987074</v>
      </c>
      <c r="I20" s="156">
        <f t="shared" si="0"/>
        <v>0</v>
      </c>
      <c r="J20" s="156"/>
      <c r="K20" s="334"/>
      <c r="L20" s="158">
        <f t="shared" si="4"/>
        <v>0</v>
      </c>
      <c r="M20" s="334"/>
      <c r="N20" s="158">
        <f t="shared" si="5"/>
        <v>0</v>
      </c>
      <c r="O20" s="158">
        <f t="shared" si="6"/>
        <v>0</v>
      </c>
      <c r="P20" s="4"/>
    </row>
    <row r="21" spans="2:16">
      <c r="B21" s="9" t="str">
        <f t="shared" si="7"/>
        <v/>
      </c>
      <c r="C21" s="153">
        <f>IF(D11="","-",+C20+1)</f>
        <v>2021</v>
      </c>
      <c r="D21" s="159">
        <f>IF(F20+SUM(E$17:E20)=D$10,F20,D$10-SUM(E$17:E20))</f>
        <v>1087202.2121384006</v>
      </c>
      <c r="E21" s="160">
        <f>IF(+I14&lt;F20,I14,D21)</f>
        <v>27558.139534883721</v>
      </c>
      <c r="F21" s="159">
        <f t="shared" si="1"/>
        <v>1059644.072603517</v>
      </c>
      <c r="G21" s="161">
        <f t="shared" si="2"/>
        <v>134423.50230675447</v>
      </c>
      <c r="H21" s="142">
        <f t="shared" si="3"/>
        <v>134423.50230675447</v>
      </c>
      <c r="I21" s="156">
        <f t="shared" si="0"/>
        <v>0</v>
      </c>
      <c r="J21" s="156"/>
      <c r="K21" s="334"/>
      <c r="L21" s="158">
        <f t="shared" si="4"/>
        <v>0</v>
      </c>
      <c r="M21" s="334"/>
      <c r="N21" s="158">
        <f t="shared" si="5"/>
        <v>0</v>
      </c>
      <c r="O21" s="158">
        <f t="shared" si="6"/>
        <v>0</v>
      </c>
      <c r="P21" s="4"/>
    </row>
    <row r="22" spans="2:16">
      <c r="B22" s="9" t="str">
        <f t="shared" si="7"/>
        <v/>
      </c>
      <c r="C22" s="153">
        <f>IF(D11="","-",+C21+1)</f>
        <v>2022</v>
      </c>
      <c r="D22" s="159">
        <f>IF(F21+SUM(E$17:E21)=D$10,F21,D$10-SUM(E$17:E21))</f>
        <v>1059644.072603517</v>
      </c>
      <c r="E22" s="160">
        <f>IF(+I14&lt;F21,I14,D22)</f>
        <v>27558.139534883721</v>
      </c>
      <c r="F22" s="159">
        <f t="shared" si="1"/>
        <v>1032085.9330686333</v>
      </c>
      <c r="G22" s="161">
        <f t="shared" si="2"/>
        <v>131679.93319363819</v>
      </c>
      <c r="H22" s="142">
        <f t="shared" si="3"/>
        <v>131679.93319363819</v>
      </c>
      <c r="I22" s="156">
        <f t="shared" si="0"/>
        <v>0</v>
      </c>
      <c r="J22" s="156"/>
      <c r="K22" s="334"/>
      <c r="L22" s="158">
        <f t="shared" si="4"/>
        <v>0</v>
      </c>
      <c r="M22" s="334"/>
      <c r="N22" s="158">
        <f t="shared" si="5"/>
        <v>0</v>
      </c>
      <c r="O22" s="158">
        <f t="shared" si="6"/>
        <v>0</v>
      </c>
      <c r="P22" s="4"/>
    </row>
    <row r="23" spans="2:16">
      <c r="B23" s="9" t="str">
        <f t="shared" si="7"/>
        <v/>
      </c>
      <c r="C23" s="153">
        <f>IF(D11="","-",+C22+1)</f>
        <v>2023</v>
      </c>
      <c r="D23" s="159">
        <f>IF(F22+SUM(E$17:E22)=D$10,F22,D$10-SUM(E$17:E22))</f>
        <v>1032085.9330686333</v>
      </c>
      <c r="E23" s="160">
        <f>IF(+I14&lt;F22,I14,D23)</f>
        <v>27558.139534883721</v>
      </c>
      <c r="F23" s="159">
        <f t="shared" si="1"/>
        <v>1004527.7935337496</v>
      </c>
      <c r="G23" s="161">
        <f t="shared" si="2"/>
        <v>128936.36408052192</v>
      </c>
      <c r="H23" s="142">
        <f t="shared" si="3"/>
        <v>128936.36408052192</v>
      </c>
      <c r="I23" s="156">
        <f t="shared" si="0"/>
        <v>0</v>
      </c>
      <c r="J23" s="156"/>
      <c r="K23" s="334"/>
      <c r="L23" s="158">
        <f t="shared" si="4"/>
        <v>0</v>
      </c>
      <c r="M23" s="334"/>
      <c r="N23" s="158">
        <f t="shared" si="5"/>
        <v>0</v>
      </c>
      <c r="O23" s="158">
        <f t="shared" si="6"/>
        <v>0</v>
      </c>
      <c r="P23" s="4"/>
    </row>
    <row r="24" spans="2:16">
      <c r="B24" s="9" t="str">
        <f t="shared" si="7"/>
        <v/>
      </c>
      <c r="C24" s="153">
        <f>IF(D11="","-",+C23+1)</f>
        <v>2024</v>
      </c>
      <c r="D24" s="159">
        <f>IF(F23+SUM(E$17:E23)=D$10,F23,D$10-SUM(E$17:E23))</f>
        <v>1004527.7935337496</v>
      </c>
      <c r="E24" s="160">
        <f>IF(+I14&lt;F23,I14,D24)</f>
        <v>27558.139534883721</v>
      </c>
      <c r="F24" s="159">
        <f t="shared" si="1"/>
        <v>976969.65399886598</v>
      </c>
      <c r="G24" s="161">
        <f t="shared" si="2"/>
        <v>126192.79496740564</v>
      </c>
      <c r="H24" s="142">
        <f t="shared" si="3"/>
        <v>126192.79496740564</v>
      </c>
      <c r="I24" s="156">
        <f t="shared" si="0"/>
        <v>0</v>
      </c>
      <c r="J24" s="156"/>
      <c r="K24" s="334"/>
      <c r="L24" s="158">
        <f t="shared" si="4"/>
        <v>0</v>
      </c>
      <c r="M24" s="334"/>
      <c r="N24" s="158">
        <f t="shared" si="5"/>
        <v>0</v>
      </c>
      <c r="O24" s="158">
        <f t="shared" si="6"/>
        <v>0</v>
      </c>
      <c r="P24" s="4"/>
    </row>
    <row r="25" spans="2:16">
      <c r="B25" s="9" t="str">
        <f t="shared" si="7"/>
        <v/>
      </c>
      <c r="C25" s="153">
        <f>IF(D11="","-",+C24+1)</f>
        <v>2025</v>
      </c>
      <c r="D25" s="159">
        <f>IF(F24+SUM(E$17:E24)=D$10,F24,D$10-SUM(E$17:E24))</f>
        <v>976969.65399886598</v>
      </c>
      <c r="E25" s="160">
        <f>IF(+I14&lt;F24,I14,D25)</f>
        <v>27558.139534883721</v>
      </c>
      <c r="F25" s="159">
        <f t="shared" si="1"/>
        <v>949411.51446398231</v>
      </c>
      <c r="G25" s="161">
        <f t="shared" si="2"/>
        <v>123449.22585428937</v>
      </c>
      <c r="H25" s="142">
        <f t="shared" si="3"/>
        <v>123449.22585428937</v>
      </c>
      <c r="I25" s="156">
        <f t="shared" si="0"/>
        <v>0</v>
      </c>
      <c r="J25" s="156"/>
      <c r="K25" s="334"/>
      <c r="L25" s="158">
        <f t="shared" si="4"/>
        <v>0</v>
      </c>
      <c r="M25" s="334"/>
      <c r="N25" s="158">
        <f t="shared" si="5"/>
        <v>0</v>
      </c>
      <c r="O25" s="158">
        <f t="shared" si="6"/>
        <v>0</v>
      </c>
      <c r="P25" s="4"/>
    </row>
    <row r="26" spans="2:16">
      <c r="B26" s="9" t="str">
        <f t="shared" si="7"/>
        <v/>
      </c>
      <c r="C26" s="153">
        <f>IF(D11="","-",+C25+1)</f>
        <v>2026</v>
      </c>
      <c r="D26" s="159">
        <f>IF(F25+SUM(E$17:E25)=D$10,F25,D$10-SUM(E$17:E25))</f>
        <v>949411.51446398231</v>
      </c>
      <c r="E26" s="160">
        <f>IF(+I14&lt;F25,I14,D26)</f>
        <v>27558.139534883721</v>
      </c>
      <c r="F26" s="159">
        <f t="shared" si="1"/>
        <v>921853.37492909865</v>
      </c>
      <c r="G26" s="161">
        <f t="shared" si="2"/>
        <v>120705.65674117309</v>
      </c>
      <c r="H26" s="142">
        <f t="shared" si="3"/>
        <v>120705.65674117309</v>
      </c>
      <c r="I26" s="156">
        <f t="shared" si="0"/>
        <v>0</v>
      </c>
      <c r="J26" s="156"/>
      <c r="K26" s="334"/>
      <c r="L26" s="158">
        <f t="shared" si="4"/>
        <v>0</v>
      </c>
      <c r="M26" s="334"/>
      <c r="N26" s="158">
        <f t="shared" si="5"/>
        <v>0</v>
      </c>
      <c r="O26" s="158">
        <f t="shared" si="6"/>
        <v>0</v>
      </c>
      <c r="P26" s="4"/>
    </row>
    <row r="27" spans="2:16">
      <c r="B27" s="9" t="str">
        <f t="shared" si="7"/>
        <v/>
      </c>
      <c r="C27" s="153">
        <f>IF(D11="","-",+C26+1)</f>
        <v>2027</v>
      </c>
      <c r="D27" s="159">
        <f>IF(F26+SUM(E$17:E26)=D$10,F26,D$10-SUM(E$17:E26))</f>
        <v>921853.37492909865</v>
      </c>
      <c r="E27" s="160">
        <f>IF(+I14&lt;F26,I14,D27)</f>
        <v>27558.139534883721</v>
      </c>
      <c r="F27" s="159">
        <f t="shared" si="1"/>
        <v>894295.23539421498</v>
      </c>
      <c r="G27" s="161">
        <f t="shared" si="2"/>
        <v>117962.08762805682</v>
      </c>
      <c r="H27" s="142">
        <f t="shared" si="3"/>
        <v>117962.08762805682</v>
      </c>
      <c r="I27" s="156">
        <f t="shared" si="0"/>
        <v>0</v>
      </c>
      <c r="J27" s="156"/>
      <c r="K27" s="334"/>
      <c r="L27" s="158">
        <f t="shared" si="4"/>
        <v>0</v>
      </c>
      <c r="M27" s="334"/>
      <c r="N27" s="158">
        <f t="shared" si="5"/>
        <v>0</v>
      </c>
      <c r="O27" s="158">
        <f t="shared" si="6"/>
        <v>0</v>
      </c>
      <c r="P27" s="4"/>
    </row>
    <row r="28" spans="2:16">
      <c r="B28" s="9" t="str">
        <f t="shared" si="7"/>
        <v/>
      </c>
      <c r="C28" s="153">
        <f>IF(D11="","-",+C27+1)</f>
        <v>2028</v>
      </c>
      <c r="D28" s="159">
        <f>IF(F27+SUM(E$17:E27)=D$10,F27,D$10-SUM(E$17:E27))</f>
        <v>894295.23539421498</v>
      </c>
      <c r="E28" s="160">
        <f>IF(+I14&lt;F27,I14,D28)</f>
        <v>27558.139534883721</v>
      </c>
      <c r="F28" s="159">
        <f t="shared" si="1"/>
        <v>866737.09585933131</v>
      </c>
      <c r="G28" s="161">
        <f t="shared" si="2"/>
        <v>115218.51851494054</v>
      </c>
      <c r="H28" s="142">
        <f t="shared" si="3"/>
        <v>115218.51851494054</v>
      </c>
      <c r="I28" s="156">
        <f t="shared" si="0"/>
        <v>0</v>
      </c>
      <c r="J28" s="156"/>
      <c r="K28" s="334"/>
      <c r="L28" s="158">
        <f t="shared" si="4"/>
        <v>0</v>
      </c>
      <c r="M28" s="334"/>
      <c r="N28" s="158">
        <f t="shared" si="5"/>
        <v>0</v>
      </c>
      <c r="O28" s="158">
        <f t="shared" si="6"/>
        <v>0</v>
      </c>
      <c r="P28" s="4"/>
    </row>
    <row r="29" spans="2:16">
      <c r="B29" s="9" t="str">
        <f t="shared" si="7"/>
        <v/>
      </c>
      <c r="C29" s="153">
        <f>IF(D11="","-",+C28+1)</f>
        <v>2029</v>
      </c>
      <c r="D29" s="159">
        <f>IF(F28+SUM(E$17:E28)=D$10,F28,D$10-SUM(E$17:E28))</f>
        <v>866737.09585933131</v>
      </c>
      <c r="E29" s="160">
        <f>IF(+I14&lt;F28,I14,D29)</f>
        <v>27558.139534883721</v>
      </c>
      <c r="F29" s="159">
        <f t="shared" si="1"/>
        <v>839178.95632444764</v>
      </c>
      <c r="G29" s="161">
        <f t="shared" si="2"/>
        <v>112474.94940182427</v>
      </c>
      <c r="H29" s="142">
        <f t="shared" si="3"/>
        <v>112474.94940182427</v>
      </c>
      <c r="I29" s="156">
        <f t="shared" si="0"/>
        <v>0</v>
      </c>
      <c r="J29" s="156"/>
      <c r="K29" s="334"/>
      <c r="L29" s="158">
        <f t="shared" si="4"/>
        <v>0</v>
      </c>
      <c r="M29" s="334"/>
      <c r="N29" s="158">
        <f t="shared" si="5"/>
        <v>0</v>
      </c>
      <c r="O29" s="158">
        <f t="shared" si="6"/>
        <v>0</v>
      </c>
      <c r="P29" s="4"/>
    </row>
    <row r="30" spans="2:16">
      <c r="B30" s="9" t="str">
        <f t="shared" si="7"/>
        <v/>
      </c>
      <c r="C30" s="153">
        <f>IF(D11="","-",+C29+1)</f>
        <v>2030</v>
      </c>
      <c r="D30" s="159">
        <f>IF(F29+SUM(E$17:E29)=D$10,F29,D$10-SUM(E$17:E29))</f>
        <v>839178.95632444764</v>
      </c>
      <c r="E30" s="160">
        <f>IF(+I14&lt;F29,I14,D30)</f>
        <v>27558.139534883721</v>
      </c>
      <c r="F30" s="159">
        <f t="shared" si="1"/>
        <v>811620.81678956398</v>
      </c>
      <c r="G30" s="161">
        <f t="shared" si="2"/>
        <v>109731.38028870799</v>
      </c>
      <c r="H30" s="142">
        <f t="shared" si="3"/>
        <v>109731.38028870799</v>
      </c>
      <c r="I30" s="156">
        <f t="shared" si="0"/>
        <v>0</v>
      </c>
      <c r="J30" s="156"/>
      <c r="K30" s="334"/>
      <c r="L30" s="158">
        <f t="shared" si="4"/>
        <v>0</v>
      </c>
      <c r="M30" s="334"/>
      <c r="N30" s="158">
        <f t="shared" si="5"/>
        <v>0</v>
      </c>
      <c r="O30" s="158">
        <f t="shared" si="6"/>
        <v>0</v>
      </c>
      <c r="P30" s="4"/>
    </row>
    <row r="31" spans="2:16">
      <c r="B31" s="9" t="str">
        <f t="shared" si="7"/>
        <v/>
      </c>
      <c r="C31" s="153">
        <f>IF(D11="","-",+C30+1)</f>
        <v>2031</v>
      </c>
      <c r="D31" s="159">
        <f>IF(F30+SUM(E$17:E30)=D$10,F30,D$10-SUM(E$17:E30))</f>
        <v>811620.81678956398</v>
      </c>
      <c r="E31" s="160">
        <f>IF(+I14&lt;F30,I14,D31)</f>
        <v>27558.139534883721</v>
      </c>
      <c r="F31" s="159">
        <f t="shared" si="1"/>
        <v>784062.67725468031</v>
      </c>
      <c r="G31" s="161">
        <f t="shared" si="2"/>
        <v>106987.81117559172</v>
      </c>
      <c r="H31" s="142">
        <f t="shared" si="3"/>
        <v>106987.81117559172</v>
      </c>
      <c r="I31" s="156">
        <f t="shared" si="0"/>
        <v>0</v>
      </c>
      <c r="J31" s="156"/>
      <c r="K31" s="334"/>
      <c r="L31" s="158">
        <f t="shared" si="4"/>
        <v>0</v>
      </c>
      <c r="M31" s="334"/>
      <c r="N31" s="158">
        <f t="shared" si="5"/>
        <v>0</v>
      </c>
      <c r="O31" s="158">
        <f t="shared" si="6"/>
        <v>0</v>
      </c>
      <c r="P31" s="4"/>
    </row>
    <row r="32" spans="2:16">
      <c r="B32" s="9" t="str">
        <f t="shared" si="7"/>
        <v/>
      </c>
      <c r="C32" s="153">
        <f>IF(D11="","-",+C31+1)</f>
        <v>2032</v>
      </c>
      <c r="D32" s="159">
        <f>IF(F31+SUM(E$17:E31)=D$10,F31,D$10-SUM(E$17:E31))</f>
        <v>784062.67725468031</v>
      </c>
      <c r="E32" s="160">
        <f>IF(+I14&lt;F31,I14,D32)</f>
        <v>27558.139534883721</v>
      </c>
      <c r="F32" s="159">
        <f t="shared" si="1"/>
        <v>756504.53771979664</v>
      </c>
      <c r="G32" s="161">
        <f t="shared" si="2"/>
        <v>104244.24206247544</v>
      </c>
      <c r="H32" s="142">
        <f t="shared" si="3"/>
        <v>104244.24206247544</v>
      </c>
      <c r="I32" s="156">
        <f t="shared" si="0"/>
        <v>0</v>
      </c>
      <c r="J32" s="156"/>
      <c r="K32" s="334"/>
      <c r="L32" s="158">
        <f t="shared" si="4"/>
        <v>0</v>
      </c>
      <c r="M32" s="334"/>
      <c r="N32" s="158">
        <f t="shared" si="5"/>
        <v>0</v>
      </c>
      <c r="O32" s="158">
        <f t="shared" si="6"/>
        <v>0</v>
      </c>
      <c r="P32" s="4"/>
    </row>
    <row r="33" spans="2:16">
      <c r="B33" s="9" t="str">
        <f t="shared" si="7"/>
        <v/>
      </c>
      <c r="C33" s="153">
        <f>IF(D11="","-",+C32+1)</f>
        <v>2033</v>
      </c>
      <c r="D33" s="159">
        <f>IF(F32+SUM(E$17:E32)=D$10,F32,D$10-SUM(E$17:E32))</f>
        <v>756504.53771979664</v>
      </c>
      <c r="E33" s="160">
        <f>IF(+I14&lt;F32,I14,D33)</f>
        <v>27558.139534883721</v>
      </c>
      <c r="F33" s="159">
        <f t="shared" si="1"/>
        <v>728946.39818491298</v>
      </c>
      <c r="G33" s="161">
        <f t="shared" si="2"/>
        <v>101500.67294935917</v>
      </c>
      <c r="H33" s="142">
        <f t="shared" si="3"/>
        <v>101500.67294935917</v>
      </c>
      <c r="I33" s="156">
        <f t="shared" si="0"/>
        <v>0</v>
      </c>
      <c r="J33" s="156"/>
      <c r="K33" s="334"/>
      <c r="L33" s="158">
        <f t="shared" si="4"/>
        <v>0</v>
      </c>
      <c r="M33" s="334"/>
      <c r="N33" s="158">
        <f t="shared" si="5"/>
        <v>0</v>
      </c>
      <c r="O33" s="158">
        <f t="shared" si="6"/>
        <v>0</v>
      </c>
      <c r="P33" s="4"/>
    </row>
    <row r="34" spans="2:16">
      <c r="B34" s="9" t="str">
        <f t="shared" si="7"/>
        <v/>
      </c>
      <c r="C34" s="153">
        <f>IF(D11="","-",+C33+1)</f>
        <v>2034</v>
      </c>
      <c r="D34" s="159">
        <f>IF(F33+SUM(E$17:E33)=D$10,F33,D$10-SUM(E$17:E33))</f>
        <v>728946.39818491298</v>
      </c>
      <c r="E34" s="160">
        <f>IF(+I14&lt;F33,I14,D34)</f>
        <v>27558.139534883721</v>
      </c>
      <c r="F34" s="159">
        <f t="shared" si="1"/>
        <v>701388.25865002931</v>
      </c>
      <c r="G34" s="161">
        <f t="shared" si="2"/>
        <v>98757.103836242895</v>
      </c>
      <c r="H34" s="142">
        <f t="shared" si="3"/>
        <v>98757.103836242895</v>
      </c>
      <c r="I34" s="156">
        <f t="shared" si="0"/>
        <v>0</v>
      </c>
      <c r="J34" s="156"/>
      <c r="K34" s="334"/>
      <c r="L34" s="158">
        <f t="shared" si="4"/>
        <v>0</v>
      </c>
      <c r="M34" s="334"/>
      <c r="N34" s="158">
        <f t="shared" si="5"/>
        <v>0</v>
      </c>
      <c r="O34" s="158">
        <f t="shared" si="6"/>
        <v>0</v>
      </c>
      <c r="P34" s="4"/>
    </row>
    <row r="35" spans="2:16">
      <c r="B35" s="9" t="str">
        <f t="shared" si="7"/>
        <v/>
      </c>
      <c r="C35" s="153">
        <f>IF(D11="","-",+C34+1)</f>
        <v>2035</v>
      </c>
      <c r="D35" s="159">
        <f>IF(F34+SUM(E$17:E34)=D$10,F34,D$10-SUM(E$17:E34))</f>
        <v>701388.25865002931</v>
      </c>
      <c r="E35" s="160">
        <f>IF(+I14&lt;F34,I14,D35)</f>
        <v>27558.139534883721</v>
      </c>
      <c r="F35" s="159">
        <f t="shared" si="1"/>
        <v>673830.11911514564</v>
      </c>
      <c r="G35" s="161">
        <f t="shared" si="2"/>
        <v>96013.534723126621</v>
      </c>
      <c r="H35" s="142">
        <f t="shared" si="3"/>
        <v>96013.534723126621</v>
      </c>
      <c r="I35" s="156">
        <f t="shared" si="0"/>
        <v>0</v>
      </c>
      <c r="J35" s="156"/>
      <c r="K35" s="334"/>
      <c r="L35" s="158">
        <f t="shared" si="4"/>
        <v>0</v>
      </c>
      <c r="M35" s="334"/>
      <c r="N35" s="158">
        <f t="shared" si="5"/>
        <v>0</v>
      </c>
      <c r="O35" s="158">
        <f t="shared" si="6"/>
        <v>0</v>
      </c>
      <c r="P35" s="4"/>
    </row>
    <row r="36" spans="2:16">
      <c r="B36" s="9" t="str">
        <f t="shared" si="7"/>
        <v/>
      </c>
      <c r="C36" s="153">
        <f>IF(D11="","-",+C35+1)</f>
        <v>2036</v>
      </c>
      <c r="D36" s="159">
        <f>IF(F35+SUM(E$17:E35)=D$10,F35,D$10-SUM(E$17:E35))</f>
        <v>673830.11911514564</v>
      </c>
      <c r="E36" s="160">
        <f>IF(+I14&lt;F35,I14,D36)</f>
        <v>27558.139534883721</v>
      </c>
      <c r="F36" s="159">
        <f t="shared" si="1"/>
        <v>646271.97958026198</v>
      </c>
      <c r="G36" s="161">
        <f t="shared" si="2"/>
        <v>93269.965610010346</v>
      </c>
      <c r="H36" s="142">
        <f t="shared" si="3"/>
        <v>93269.965610010346</v>
      </c>
      <c r="I36" s="156">
        <f t="shared" si="0"/>
        <v>0</v>
      </c>
      <c r="J36" s="156"/>
      <c r="K36" s="334"/>
      <c r="L36" s="158">
        <f t="shared" si="4"/>
        <v>0</v>
      </c>
      <c r="M36" s="334"/>
      <c r="N36" s="158">
        <f t="shared" si="5"/>
        <v>0</v>
      </c>
      <c r="O36" s="158">
        <f t="shared" si="6"/>
        <v>0</v>
      </c>
      <c r="P36" s="4"/>
    </row>
    <row r="37" spans="2:16">
      <c r="B37" s="9" t="str">
        <f t="shared" si="7"/>
        <v/>
      </c>
      <c r="C37" s="153">
        <f>IF(D11="","-",+C36+1)</f>
        <v>2037</v>
      </c>
      <c r="D37" s="159">
        <f>IF(F36+SUM(E$17:E36)=D$10,F36,D$10-SUM(E$17:E36))</f>
        <v>646271.97958026198</v>
      </c>
      <c r="E37" s="160">
        <f>IF(+I14&lt;F36,I14,D37)</f>
        <v>27558.139534883721</v>
      </c>
      <c r="F37" s="159">
        <f t="shared" si="1"/>
        <v>618713.84004537831</v>
      </c>
      <c r="G37" s="161">
        <f t="shared" si="2"/>
        <v>90526.396496894071</v>
      </c>
      <c r="H37" s="142">
        <f t="shared" si="3"/>
        <v>90526.396496894071</v>
      </c>
      <c r="I37" s="156">
        <f t="shared" si="0"/>
        <v>0</v>
      </c>
      <c r="J37" s="156"/>
      <c r="K37" s="334"/>
      <c r="L37" s="158">
        <f t="shared" si="4"/>
        <v>0</v>
      </c>
      <c r="M37" s="334"/>
      <c r="N37" s="158">
        <f t="shared" si="5"/>
        <v>0</v>
      </c>
      <c r="O37" s="158">
        <f t="shared" si="6"/>
        <v>0</v>
      </c>
      <c r="P37" s="4"/>
    </row>
    <row r="38" spans="2:16">
      <c r="B38" s="9" t="str">
        <f t="shared" si="7"/>
        <v/>
      </c>
      <c r="C38" s="153">
        <f>IF(D11="","-",+C37+1)</f>
        <v>2038</v>
      </c>
      <c r="D38" s="159">
        <f>IF(F37+SUM(E$17:E37)=D$10,F37,D$10-SUM(E$17:E37))</f>
        <v>618713.84004537831</v>
      </c>
      <c r="E38" s="160">
        <f>IF(+I14&lt;F37,I14,D38)</f>
        <v>27558.139534883721</v>
      </c>
      <c r="F38" s="159">
        <f t="shared" si="1"/>
        <v>591155.70051049464</v>
      </c>
      <c r="G38" s="161">
        <f t="shared" si="2"/>
        <v>87782.827383777796</v>
      </c>
      <c r="H38" s="142">
        <f t="shared" si="3"/>
        <v>87782.827383777796</v>
      </c>
      <c r="I38" s="156">
        <f t="shared" si="0"/>
        <v>0</v>
      </c>
      <c r="J38" s="156"/>
      <c r="K38" s="334"/>
      <c r="L38" s="158">
        <f t="shared" si="4"/>
        <v>0</v>
      </c>
      <c r="M38" s="334"/>
      <c r="N38" s="158">
        <f t="shared" si="5"/>
        <v>0</v>
      </c>
      <c r="O38" s="158">
        <f t="shared" si="6"/>
        <v>0</v>
      </c>
      <c r="P38" s="4"/>
    </row>
    <row r="39" spans="2:16">
      <c r="B39" s="9" t="str">
        <f t="shared" si="7"/>
        <v/>
      </c>
      <c r="C39" s="153">
        <f>IF(D11="","-",+C38+1)</f>
        <v>2039</v>
      </c>
      <c r="D39" s="159">
        <f>IF(F38+SUM(E$17:E38)=D$10,F38,D$10-SUM(E$17:E38))</f>
        <v>591155.70051049464</v>
      </c>
      <c r="E39" s="160">
        <f>IF(+I14&lt;F38,I14,D39)</f>
        <v>27558.139534883721</v>
      </c>
      <c r="F39" s="159">
        <f t="shared" si="1"/>
        <v>563597.56097561098</v>
      </c>
      <c r="G39" s="161">
        <f t="shared" si="2"/>
        <v>85039.258270661521</v>
      </c>
      <c r="H39" s="142">
        <f t="shared" si="3"/>
        <v>85039.258270661521</v>
      </c>
      <c r="I39" s="156">
        <f t="shared" si="0"/>
        <v>0</v>
      </c>
      <c r="J39" s="156"/>
      <c r="K39" s="334"/>
      <c r="L39" s="158">
        <f t="shared" si="4"/>
        <v>0</v>
      </c>
      <c r="M39" s="334"/>
      <c r="N39" s="158">
        <f t="shared" si="5"/>
        <v>0</v>
      </c>
      <c r="O39" s="158">
        <f t="shared" si="6"/>
        <v>0</v>
      </c>
      <c r="P39" s="4"/>
    </row>
    <row r="40" spans="2:16">
      <c r="B40" s="9" t="str">
        <f t="shared" si="7"/>
        <v/>
      </c>
      <c r="C40" s="153">
        <f>IF(D11="","-",+C39+1)</f>
        <v>2040</v>
      </c>
      <c r="D40" s="159">
        <f>IF(F39+SUM(E$17:E39)=D$10,F39,D$10-SUM(E$17:E39))</f>
        <v>563597.56097561098</v>
      </c>
      <c r="E40" s="160">
        <f>IF(+I14&lt;F39,I14,D40)</f>
        <v>27558.139534883721</v>
      </c>
      <c r="F40" s="159">
        <f t="shared" si="1"/>
        <v>536039.42144072731</v>
      </c>
      <c r="G40" s="161">
        <f t="shared" si="2"/>
        <v>82295.689157545246</v>
      </c>
      <c r="H40" s="142">
        <f t="shared" si="3"/>
        <v>82295.689157545246</v>
      </c>
      <c r="I40" s="156">
        <f t="shared" si="0"/>
        <v>0</v>
      </c>
      <c r="J40" s="156"/>
      <c r="K40" s="334"/>
      <c r="L40" s="158">
        <f t="shared" si="4"/>
        <v>0</v>
      </c>
      <c r="M40" s="334"/>
      <c r="N40" s="158">
        <f t="shared" si="5"/>
        <v>0</v>
      </c>
      <c r="O40" s="158">
        <f t="shared" si="6"/>
        <v>0</v>
      </c>
      <c r="P40" s="4"/>
    </row>
    <row r="41" spans="2:16">
      <c r="B41" s="9" t="str">
        <f t="shared" si="7"/>
        <v/>
      </c>
      <c r="C41" s="153">
        <f>IF(D11="","-",+C40+1)</f>
        <v>2041</v>
      </c>
      <c r="D41" s="159">
        <f>IF(F40+SUM(E$17:E40)=D$10,F40,D$10-SUM(E$17:E40))</f>
        <v>536039.42144072731</v>
      </c>
      <c r="E41" s="160">
        <f>IF(+I14&lt;F40,I14,D41)</f>
        <v>27558.139534883721</v>
      </c>
      <c r="F41" s="159">
        <f t="shared" si="1"/>
        <v>508481.28190584359</v>
      </c>
      <c r="G41" s="161">
        <f t="shared" si="2"/>
        <v>79552.120044428972</v>
      </c>
      <c r="H41" s="142">
        <f t="shared" si="3"/>
        <v>79552.120044428972</v>
      </c>
      <c r="I41" s="156">
        <f t="shared" si="0"/>
        <v>0</v>
      </c>
      <c r="J41" s="156"/>
      <c r="K41" s="334"/>
      <c r="L41" s="158">
        <f t="shared" si="4"/>
        <v>0</v>
      </c>
      <c r="M41" s="334"/>
      <c r="N41" s="158">
        <f t="shared" si="5"/>
        <v>0</v>
      </c>
      <c r="O41" s="158">
        <f t="shared" si="6"/>
        <v>0</v>
      </c>
      <c r="P41" s="4"/>
    </row>
    <row r="42" spans="2:16">
      <c r="B42" s="9" t="str">
        <f t="shared" si="7"/>
        <v/>
      </c>
      <c r="C42" s="153">
        <f>IF(D11="","-",+C41+1)</f>
        <v>2042</v>
      </c>
      <c r="D42" s="159">
        <f>IF(F41+SUM(E$17:E41)=D$10,F41,D$10-SUM(E$17:E41))</f>
        <v>508481.28190584359</v>
      </c>
      <c r="E42" s="160">
        <f>IF(+I14&lt;F41,I14,D42)</f>
        <v>27558.139534883721</v>
      </c>
      <c r="F42" s="159">
        <f t="shared" si="1"/>
        <v>480923.14237095986</v>
      </c>
      <c r="G42" s="161">
        <f t="shared" si="2"/>
        <v>76808.550931312682</v>
      </c>
      <c r="H42" s="142">
        <f t="shared" si="3"/>
        <v>76808.550931312682</v>
      </c>
      <c r="I42" s="156">
        <f t="shared" si="0"/>
        <v>0</v>
      </c>
      <c r="J42" s="156"/>
      <c r="K42" s="334"/>
      <c r="L42" s="158">
        <f t="shared" si="4"/>
        <v>0</v>
      </c>
      <c r="M42" s="334"/>
      <c r="N42" s="158">
        <f t="shared" si="5"/>
        <v>0</v>
      </c>
      <c r="O42" s="158">
        <f t="shared" si="6"/>
        <v>0</v>
      </c>
      <c r="P42" s="4"/>
    </row>
    <row r="43" spans="2:16">
      <c r="B43" s="9" t="str">
        <f t="shared" si="7"/>
        <v/>
      </c>
      <c r="C43" s="153">
        <f>IF(D11="","-",+C42+1)</f>
        <v>2043</v>
      </c>
      <c r="D43" s="159">
        <f>IF(F42+SUM(E$17:E42)=D$10,F42,D$10-SUM(E$17:E42))</f>
        <v>480923.14237095986</v>
      </c>
      <c r="E43" s="160">
        <f>IF(+I14&lt;F42,I14,D43)</f>
        <v>27558.139534883721</v>
      </c>
      <c r="F43" s="159">
        <f t="shared" si="1"/>
        <v>453365.00283607614</v>
      </c>
      <c r="G43" s="161">
        <f t="shared" si="2"/>
        <v>74064.981818196407</v>
      </c>
      <c r="H43" s="142">
        <f t="shared" si="3"/>
        <v>74064.981818196407</v>
      </c>
      <c r="I43" s="156">
        <f t="shared" si="0"/>
        <v>0</v>
      </c>
      <c r="J43" s="156"/>
      <c r="K43" s="334"/>
      <c r="L43" s="158">
        <f t="shared" si="4"/>
        <v>0</v>
      </c>
      <c r="M43" s="334"/>
      <c r="N43" s="158">
        <f t="shared" si="5"/>
        <v>0</v>
      </c>
      <c r="O43" s="158">
        <f t="shared" si="6"/>
        <v>0</v>
      </c>
      <c r="P43" s="4"/>
    </row>
    <row r="44" spans="2:16">
      <c r="B44" s="9" t="str">
        <f t="shared" si="7"/>
        <v/>
      </c>
      <c r="C44" s="153">
        <f>IF(D11="","-",+C43+1)</f>
        <v>2044</v>
      </c>
      <c r="D44" s="159">
        <f>IF(F43+SUM(E$17:E43)=D$10,F43,D$10-SUM(E$17:E43))</f>
        <v>453365.00283607614</v>
      </c>
      <c r="E44" s="160">
        <f>IF(+I14&lt;F43,I14,D44)</f>
        <v>27558.139534883721</v>
      </c>
      <c r="F44" s="159">
        <f t="shared" si="1"/>
        <v>425806.86330119241</v>
      </c>
      <c r="G44" s="161">
        <f t="shared" si="2"/>
        <v>71321.412705080118</v>
      </c>
      <c r="H44" s="142">
        <f t="shared" si="3"/>
        <v>71321.412705080118</v>
      </c>
      <c r="I44" s="156">
        <f t="shared" si="0"/>
        <v>0</v>
      </c>
      <c r="J44" s="156"/>
      <c r="K44" s="334"/>
      <c r="L44" s="158">
        <f t="shared" si="4"/>
        <v>0</v>
      </c>
      <c r="M44" s="334"/>
      <c r="N44" s="158">
        <f t="shared" si="5"/>
        <v>0</v>
      </c>
      <c r="O44" s="158">
        <f t="shared" si="6"/>
        <v>0</v>
      </c>
      <c r="P44" s="4"/>
    </row>
    <row r="45" spans="2:16">
      <c r="B45" s="9" t="str">
        <f t="shared" si="7"/>
        <v/>
      </c>
      <c r="C45" s="153">
        <f>IF(D11="","-",+C44+1)</f>
        <v>2045</v>
      </c>
      <c r="D45" s="159">
        <f>IF(F44+SUM(E$17:E44)=D$10,F44,D$10-SUM(E$17:E44))</f>
        <v>425806.86330119241</v>
      </c>
      <c r="E45" s="160">
        <f>IF(+I14&lt;F44,I14,D45)</f>
        <v>27558.139534883721</v>
      </c>
      <c r="F45" s="159">
        <f t="shared" si="1"/>
        <v>398248.72376630869</v>
      </c>
      <c r="G45" s="161">
        <f t="shared" si="2"/>
        <v>68577.843591963843</v>
      </c>
      <c r="H45" s="142">
        <f t="shared" si="3"/>
        <v>68577.843591963843</v>
      </c>
      <c r="I45" s="156">
        <f t="shared" si="0"/>
        <v>0</v>
      </c>
      <c r="J45" s="156"/>
      <c r="K45" s="334"/>
      <c r="L45" s="158">
        <f t="shared" si="4"/>
        <v>0</v>
      </c>
      <c r="M45" s="334"/>
      <c r="N45" s="158">
        <f t="shared" si="5"/>
        <v>0</v>
      </c>
      <c r="O45" s="158">
        <f t="shared" si="6"/>
        <v>0</v>
      </c>
      <c r="P45" s="4"/>
    </row>
    <row r="46" spans="2:16">
      <c r="B46" s="9" t="str">
        <f t="shared" si="7"/>
        <v/>
      </c>
      <c r="C46" s="153">
        <f>IF(D11="","-",+C45+1)</f>
        <v>2046</v>
      </c>
      <c r="D46" s="159">
        <f>IF(F45+SUM(E$17:E45)=D$10,F45,D$10-SUM(E$17:E45))</f>
        <v>398248.72376630869</v>
      </c>
      <c r="E46" s="160">
        <f>IF(+I14&lt;F45,I14,D46)</f>
        <v>27558.139534883721</v>
      </c>
      <c r="F46" s="159">
        <f t="shared" si="1"/>
        <v>370690.58423142496</v>
      </c>
      <c r="G46" s="161">
        <f t="shared" si="2"/>
        <v>65834.274478847554</v>
      </c>
      <c r="H46" s="142">
        <f t="shared" si="3"/>
        <v>65834.274478847554</v>
      </c>
      <c r="I46" s="156">
        <f t="shared" si="0"/>
        <v>0</v>
      </c>
      <c r="J46" s="156"/>
      <c r="K46" s="334"/>
      <c r="L46" s="158">
        <f t="shared" si="4"/>
        <v>0</v>
      </c>
      <c r="M46" s="334"/>
      <c r="N46" s="158">
        <f t="shared" si="5"/>
        <v>0</v>
      </c>
      <c r="O46" s="158">
        <f t="shared" si="6"/>
        <v>0</v>
      </c>
      <c r="P46" s="4"/>
    </row>
    <row r="47" spans="2:16">
      <c r="B47" s="9" t="str">
        <f t="shared" si="7"/>
        <v/>
      </c>
      <c r="C47" s="153">
        <f>IF(D11="","-",+C46+1)</f>
        <v>2047</v>
      </c>
      <c r="D47" s="159">
        <f>IF(F46+SUM(E$17:E46)=D$10,F46,D$10-SUM(E$17:E46))</f>
        <v>370690.58423142496</v>
      </c>
      <c r="E47" s="160">
        <f>IF(+I14&lt;F46,I14,D47)</f>
        <v>27558.139534883721</v>
      </c>
      <c r="F47" s="159">
        <f t="shared" si="1"/>
        <v>343132.44469654124</v>
      </c>
      <c r="G47" s="161">
        <f t="shared" si="2"/>
        <v>63090.705365731279</v>
      </c>
      <c r="H47" s="142">
        <f t="shared" si="3"/>
        <v>63090.705365731279</v>
      </c>
      <c r="I47" s="156">
        <f t="shared" si="0"/>
        <v>0</v>
      </c>
      <c r="J47" s="156"/>
      <c r="K47" s="334"/>
      <c r="L47" s="158">
        <f t="shared" si="4"/>
        <v>0</v>
      </c>
      <c r="M47" s="334"/>
      <c r="N47" s="158">
        <f t="shared" si="5"/>
        <v>0</v>
      </c>
      <c r="O47" s="158">
        <f t="shared" si="6"/>
        <v>0</v>
      </c>
      <c r="P47" s="4"/>
    </row>
    <row r="48" spans="2:16">
      <c r="B48" s="9" t="str">
        <f t="shared" si="7"/>
        <v/>
      </c>
      <c r="C48" s="153">
        <f>IF(D11="","-",+C47+1)</f>
        <v>2048</v>
      </c>
      <c r="D48" s="159">
        <f>IF(F47+SUM(E$17:E47)=D$10,F47,D$10-SUM(E$17:E47))</f>
        <v>343132.44469654124</v>
      </c>
      <c r="E48" s="160">
        <f>IF(+I14&lt;F47,I14,D48)</f>
        <v>27558.139534883721</v>
      </c>
      <c r="F48" s="159">
        <f t="shared" si="1"/>
        <v>315574.30516165751</v>
      </c>
      <c r="G48" s="161">
        <f t="shared" si="2"/>
        <v>60347.136252615004</v>
      </c>
      <c r="H48" s="142">
        <f t="shared" si="3"/>
        <v>60347.136252615004</v>
      </c>
      <c r="I48" s="156">
        <f t="shared" si="0"/>
        <v>0</v>
      </c>
      <c r="J48" s="156"/>
      <c r="K48" s="334"/>
      <c r="L48" s="158">
        <f t="shared" si="4"/>
        <v>0</v>
      </c>
      <c r="M48" s="334"/>
      <c r="N48" s="158">
        <f t="shared" si="5"/>
        <v>0</v>
      </c>
      <c r="O48" s="158">
        <f t="shared" si="6"/>
        <v>0</v>
      </c>
      <c r="P48" s="4"/>
    </row>
    <row r="49" spans="2:16">
      <c r="B49" s="9" t="str">
        <f t="shared" si="7"/>
        <v/>
      </c>
      <c r="C49" s="153">
        <f>IF(D11="","-",+C48+1)</f>
        <v>2049</v>
      </c>
      <c r="D49" s="159">
        <f>IF(F48+SUM(E$17:E48)=D$10,F48,D$10-SUM(E$17:E48))</f>
        <v>315574.30516165751</v>
      </c>
      <c r="E49" s="160">
        <f>IF(+I14&lt;F48,I14,D49)</f>
        <v>27558.139534883721</v>
      </c>
      <c r="F49" s="159">
        <f t="shared" si="1"/>
        <v>288016.16562677379</v>
      </c>
      <c r="G49" s="161">
        <f t="shared" ref="G49:G72" si="8">+I$12*((D49+F49)/2)+E49</f>
        <v>57603.567139498722</v>
      </c>
      <c r="H49" s="142">
        <f t="shared" ref="H49:H72" si="9">+I$13*((D49+F49)/2)+E49</f>
        <v>57603.567139498722</v>
      </c>
      <c r="I49" s="156">
        <f t="shared" si="0"/>
        <v>0</v>
      </c>
      <c r="J49" s="156"/>
      <c r="K49" s="334"/>
      <c r="L49" s="158">
        <f t="shared" si="4"/>
        <v>0</v>
      </c>
      <c r="M49" s="334"/>
      <c r="N49" s="158">
        <f t="shared" si="5"/>
        <v>0</v>
      </c>
      <c r="O49" s="158">
        <f t="shared" si="6"/>
        <v>0</v>
      </c>
      <c r="P49" s="4"/>
    </row>
    <row r="50" spans="2:16">
      <c r="B50" s="9" t="str">
        <f t="shared" si="7"/>
        <v/>
      </c>
      <c r="C50" s="153">
        <f>IF(D11="","-",+C49+1)</f>
        <v>2050</v>
      </c>
      <c r="D50" s="159">
        <f>IF(F49+SUM(E$17:E49)=D$10,F49,D$10-SUM(E$17:E49))</f>
        <v>288016.16562677379</v>
      </c>
      <c r="E50" s="160">
        <f>IF(+I14&lt;F49,I14,D50)</f>
        <v>27558.139534883721</v>
      </c>
      <c r="F50" s="159">
        <f t="shared" si="1"/>
        <v>260458.02609189006</v>
      </c>
      <c r="G50" s="161">
        <f t="shared" si="8"/>
        <v>54859.99802638244</v>
      </c>
      <c r="H50" s="142">
        <f t="shared" si="9"/>
        <v>54859.99802638244</v>
      </c>
      <c r="I50" s="156">
        <f t="shared" si="0"/>
        <v>0</v>
      </c>
      <c r="J50" s="156"/>
      <c r="K50" s="334"/>
      <c r="L50" s="158">
        <f t="shared" si="4"/>
        <v>0</v>
      </c>
      <c r="M50" s="334"/>
      <c r="N50" s="158">
        <f t="shared" si="5"/>
        <v>0</v>
      </c>
      <c r="O50" s="158">
        <f t="shared" si="6"/>
        <v>0</v>
      </c>
      <c r="P50" s="4"/>
    </row>
    <row r="51" spans="2:16">
      <c r="B51" s="9" t="str">
        <f t="shared" si="7"/>
        <v/>
      </c>
      <c r="C51" s="153">
        <f>IF(D11="","-",+C50+1)</f>
        <v>2051</v>
      </c>
      <c r="D51" s="159">
        <f>IF(F50+SUM(E$17:E50)=D$10,F50,D$10-SUM(E$17:E50))</f>
        <v>260458.02609189006</v>
      </c>
      <c r="E51" s="160">
        <f>IF(+I14&lt;F50,I14,D51)</f>
        <v>27558.139534883721</v>
      </c>
      <c r="F51" s="159">
        <f t="shared" si="1"/>
        <v>232899.88655700634</v>
      </c>
      <c r="G51" s="161">
        <f t="shared" si="8"/>
        <v>52116.428913266158</v>
      </c>
      <c r="H51" s="142">
        <f t="shared" si="9"/>
        <v>52116.428913266158</v>
      </c>
      <c r="I51" s="156">
        <f t="shared" si="0"/>
        <v>0</v>
      </c>
      <c r="J51" s="156"/>
      <c r="K51" s="334"/>
      <c r="L51" s="158">
        <f t="shared" si="4"/>
        <v>0</v>
      </c>
      <c r="M51" s="334"/>
      <c r="N51" s="158">
        <f t="shared" si="5"/>
        <v>0</v>
      </c>
      <c r="O51" s="158">
        <f t="shared" si="6"/>
        <v>0</v>
      </c>
      <c r="P51" s="4"/>
    </row>
    <row r="52" spans="2:16">
      <c r="B52" s="9" t="str">
        <f t="shared" si="7"/>
        <v/>
      </c>
      <c r="C52" s="153">
        <f>IF(D11="","-",+C51+1)</f>
        <v>2052</v>
      </c>
      <c r="D52" s="159">
        <f>IF(F51+SUM(E$17:E51)=D$10,F51,D$10-SUM(E$17:E51))</f>
        <v>232899.88655700634</v>
      </c>
      <c r="E52" s="160">
        <f>IF(+I14&lt;F51,I14,D52)</f>
        <v>27558.139534883721</v>
      </c>
      <c r="F52" s="159">
        <f t="shared" si="1"/>
        <v>205341.74702212261</v>
      </c>
      <c r="G52" s="161">
        <f t="shared" si="8"/>
        <v>49372.859800149876</v>
      </c>
      <c r="H52" s="142">
        <f t="shared" si="9"/>
        <v>49372.859800149876</v>
      </c>
      <c r="I52" s="156">
        <f t="shared" si="0"/>
        <v>0</v>
      </c>
      <c r="J52" s="156"/>
      <c r="K52" s="334"/>
      <c r="L52" s="158">
        <f t="shared" si="4"/>
        <v>0</v>
      </c>
      <c r="M52" s="334"/>
      <c r="N52" s="158">
        <f t="shared" si="5"/>
        <v>0</v>
      </c>
      <c r="O52" s="158">
        <f t="shared" si="6"/>
        <v>0</v>
      </c>
      <c r="P52" s="4"/>
    </row>
    <row r="53" spans="2:16">
      <c r="B53" s="9" t="str">
        <f t="shared" si="7"/>
        <v/>
      </c>
      <c r="C53" s="153">
        <f>IF(D11="","-",+C52+1)</f>
        <v>2053</v>
      </c>
      <c r="D53" s="159">
        <f>IF(F52+SUM(E$17:E52)=D$10,F52,D$10-SUM(E$17:E52))</f>
        <v>205341.74702212261</v>
      </c>
      <c r="E53" s="160">
        <f>IF(+I14&lt;F52,I14,D53)</f>
        <v>27558.139534883721</v>
      </c>
      <c r="F53" s="159">
        <f t="shared" si="1"/>
        <v>177783.60748723889</v>
      </c>
      <c r="G53" s="161">
        <f t="shared" si="8"/>
        <v>46629.290687033601</v>
      </c>
      <c r="H53" s="142">
        <f t="shared" si="9"/>
        <v>46629.290687033601</v>
      </c>
      <c r="I53" s="156">
        <f t="shared" si="0"/>
        <v>0</v>
      </c>
      <c r="J53" s="156"/>
      <c r="K53" s="334"/>
      <c r="L53" s="158">
        <f t="shared" si="4"/>
        <v>0</v>
      </c>
      <c r="M53" s="334"/>
      <c r="N53" s="158">
        <f t="shared" si="5"/>
        <v>0</v>
      </c>
      <c r="O53" s="158">
        <f t="shared" si="6"/>
        <v>0</v>
      </c>
      <c r="P53" s="4"/>
    </row>
    <row r="54" spans="2:16">
      <c r="B54" s="9" t="str">
        <f t="shared" si="7"/>
        <v/>
      </c>
      <c r="C54" s="153">
        <f>IF(D11="","-",+C53+1)</f>
        <v>2054</v>
      </c>
      <c r="D54" s="159">
        <f>IF(F53+SUM(E$17:E53)=D$10,F53,D$10-SUM(E$17:E53))</f>
        <v>177783.60748723889</v>
      </c>
      <c r="E54" s="160">
        <f>IF(+I14&lt;F53,I14,D54)</f>
        <v>27558.139534883721</v>
      </c>
      <c r="F54" s="159">
        <f t="shared" si="1"/>
        <v>150225.46795235516</v>
      </c>
      <c r="G54" s="161">
        <f t="shared" si="8"/>
        <v>43885.721573917319</v>
      </c>
      <c r="H54" s="142">
        <f t="shared" si="9"/>
        <v>43885.721573917319</v>
      </c>
      <c r="I54" s="156">
        <f t="shared" si="0"/>
        <v>0</v>
      </c>
      <c r="J54" s="156"/>
      <c r="K54" s="334"/>
      <c r="L54" s="158">
        <f t="shared" si="4"/>
        <v>0</v>
      </c>
      <c r="M54" s="334"/>
      <c r="N54" s="158">
        <f t="shared" si="5"/>
        <v>0</v>
      </c>
      <c r="O54" s="158">
        <f t="shared" si="6"/>
        <v>0</v>
      </c>
      <c r="P54" s="4"/>
    </row>
    <row r="55" spans="2:16">
      <c r="B55" s="9" t="str">
        <f t="shared" si="7"/>
        <v/>
      </c>
      <c r="C55" s="153">
        <f>IF(D11="","-",+C54+1)</f>
        <v>2055</v>
      </c>
      <c r="D55" s="159">
        <f>IF(F54+SUM(E$17:E54)=D$10,F54,D$10-SUM(E$17:E54))</f>
        <v>150225.46795235516</v>
      </c>
      <c r="E55" s="160">
        <f>IF(+I14&lt;F54,I14,D55)</f>
        <v>27558.139534883721</v>
      </c>
      <c r="F55" s="159">
        <f t="shared" si="1"/>
        <v>122667.32841747144</v>
      </c>
      <c r="G55" s="161">
        <f t="shared" si="8"/>
        <v>41142.152460801037</v>
      </c>
      <c r="H55" s="142">
        <f t="shared" si="9"/>
        <v>41142.152460801037</v>
      </c>
      <c r="I55" s="156">
        <f t="shared" si="0"/>
        <v>0</v>
      </c>
      <c r="J55" s="156"/>
      <c r="K55" s="334"/>
      <c r="L55" s="158">
        <f t="shared" si="4"/>
        <v>0</v>
      </c>
      <c r="M55" s="334"/>
      <c r="N55" s="158">
        <f t="shared" si="5"/>
        <v>0</v>
      </c>
      <c r="O55" s="158">
        <f t="shared" si="6"/>
        <v>0</v>
      </c>
      <c r="P55" s="4"/>
    </row>
    <row r="56" spans="2:16">
      <c r="B56" s="9" t="str">
        <f t="shared" si="7"/>
        <v/>
      </c>
      <c r="C56" s="153">
        <f>IF(D11="","-",+C55+1)</f>
        <v>2056</v>
      </c>
      <c r="D56" s="159">
        <f>IF(F55+SUM(E$17:E55)=D$10,F55,D$10-SUM(E$17:E55))</f>
        <v>122667.32841747144</v>
      </c>
      <c r="E56" s="160">
        <f>IF(+I14&lt;F55,I14,D56)</f>
        <v>27558.139534883721</v>
      </c>
      <c r="F56" s="159">
        <f t="shared" si="1"/>
        <v>95109.18888258771</v>
      </c>
      <c r="G56" s="161">
        <f t="shared" si="8"/>
        <v>38398.583347684755</v>
      </c>
      <c r="H56" s="142">
        <f t="shared" si="9"/>
        <v>38398.583347684755</v>
      </c>
      <c r="I56" s="156">
        <f t="shared" si="0"/>
        <v>0</v>
      </c>
      <c r="J56" s="156"/>
      <c r="K56" s="334"/>
      <c r="L56" s="158">
        <f t="shared" si="4"/>
        <v>0</v>
      </c>
      <c r="M56" s="334"/>
      <c r="N56" s="158">
        <f t="shared" si="5"/>
        <v>0</v>
      </c>
      <c r="O56" s="158">
        <f t="shared" si="6"/>
        <v>0</v>
      </c>
      <c r="P56" s="4"/>
    </row>
    <row r="57" spans="2:16">
      <c r="B57" s="9" t="str">
        <f t="shared" si="7"/>
        <v/>
      </c>
      <c r="C57" s="153">
        <f>IF(D11="","-",+C56+1)</f>
        <v>2057</v>
      </c>
      <c r="D57" s="159">
        <f>IF(F56+SUM(E$17:E56)=D$10,F56,D$10-SUM(E$17:E56))</f>
        <v>95109.18888258771</v>
      </c>
      <c r="E57" s="160">
        <f>IF(+I14&lt;F56,I14,D57)</f>
        <v>27558.139534883721</v>
      </c>
      <c r="F57" s="159">
        <f t="shared" si="1"/>
        <v>67551.049347703985</v>
      </c>
      <c r="G57" s="161">
        <f t="shared" si="8"/>
        <v>35655.014234568473</v>
      </c>
      <c r="H57" s="142">
        <f t="shared" si="9"/>
        <v>35655.014234568473</v>
      </c>
      <c r="I57" s="156">
        <f t="shared" si="0"/>
        <v>0</v>
      </c>
      <c r="J57" s="156"/>
      <c r="K57" s="334"/>
      <c r="L57" s="158">
        <f t="shared" si="4"/>
        <v>0</v>
      </c>
      <c r="M57" s="334"/>
      <c r="N57" s="158">
        <f t="shared" si="5"/>
        <v>0</v>
      </c>
      <c r="O57" s="158">
        <f t="shared" si="6"/>
        <v>0</v>
      </c>
      <c r="P57" s="4"/>
    </row>
    <row r="58" spans="2:16">
      <c r="B58" s="9" t="str">
        <f t="shared" si="7"/>
        <v/>
      </c>
      <c r="C58" s="153">
        <f>IF(D11="","-",+C57+1)</f>
        <v>2058</v>
      </c>
      <c r="D58" s="159">
        <f>IF(F57+SUM(E$17:E57)=D$10,F57,D$10-SUM(E$17:E57))</f>
        <v>67551.049347703985</v>
      </c>
      <c r="E58" s="160">
        <f>IF(+I14&lt;F57,I14,D58)</f>
        <v>27558.139534883721</v>
      </c>
      <c r="F58" s="159">
        <f t="shared" si="1"/>
        <v>39992.90981282026</v>
      </c>
      <c r="G58" s="161">
        <f t="shared" si="8"/>
        <v>32911.445121452191</v>
      </c>
      <c r="H58" s="142">
        <f t="shared" si="9"/>
        <v>32911.445121452191</v>
      </c>
      <c r="I58" s="156">
        <f t="shared" si="0"/>
        <v>0</v>
      </c>
      <c r="J58" s="156"/>
      <c r="K58" s="334"/>
      <c r="L58" s="158">
        <f t="shared" si="4"/>
        <v>0</v>
      </c>
      <c r="M58" s="334"/>
      <c r="N58" s="158">
        <f t="shared" si="5"/>
        <v>0</v>
      </c>
      <c r="O58" s="158">
        <f t="shared" si="6"/>
        <v>0</v>
      </c>
      <c r="P58" s="4"/>
    </row>
    <row r="59" spans="2:16">
      <c r="B59" s="9" t="str">
        <f t="shared" si="7"/>
        <v/>
      </c>
      <c r="C59" s="153">
        <f>IF(D11="","-",+C58+1)</f>
        <v>2059</v>
      </c>
      <c r="D59" s="159">
        <f>IF(F58+SUM(E$17:E58)=D$10,F58,D$10-SUM(E$17:E58))</f>
        <v>39992.90981282026</v>
      </c>
      <c r="E59" s="160">
        <f>IF(+I14&lt;F58,I14,D59)</f>
        <v>27558.139534883721</v>
      </c>
      <c r="F59" s="159">
        <f t="shared" si="1"/>
        <v>12434.770277936539</v>
      </c>
      <c r="G59" s="161">
        <f t="shared" si="8"/>
        <v>30167.876008335912</v>
      </c>
      <c r="H59" s="142">
        <f t="shared" si="9"/>
        <v>30167.876008335912</v>
      </c>
      <c r="I59" s="156">
        <f t="shared" si="0"/>
        <v>0</v>
      </c>
      <c r="J59" s="156"/>
      <c r="K59" s="334"/>
      <c r="L59" s="158">
        <f t="shared" si="4"/>
        <v>0</v>
      </c>
      <c r="M59" s="334"/>
      <c r="N59" s="158">
        <f t="shared" si="5"/>
        <v>0</v>
      </c>
      <c r="O59" s="158">
        <f t="shared" si="6"/>
        <v>0</v>
      </c>
      <c r="P59" s="4"/>
    </row>
    <row r="60" spans="2:16">
      <c r="B60" s="9" t="str">
        <f t="shared" si="7"/>
        <v/>
      </c>
      <c r="C60" s="153">
        <f>IF(D11="","-",+C59+1)</f>
        <v>2060</v>
      </c>
      <c r="D60" s="159">
        <f>IF(F59+SUM(E$17:E59)=D$10,F59,D$10-SUM(E$17:E59))</f>
        <v>12434.770277936539</v>
      </c>
      <c r="E60" s="160">
        <f>IF(+I14&lt;F59,I14,D60)</f>
        <v>12434.770277936539</v>
      </c>
      <c r="F60" s="159">
        <f t="shared" si="1"/>
        <v>0</v>
      </c>
      <c r="G60" s="161">
        <f t="shared" si="8"/>
        <v>13053.746236383564</v>
      </c>
      <c r="H60" s="142">
        <f t="shared" si="9"/>
        <v>13053.746236383564</v>
      </c>
      <c r="I60" s="156">
        <f t="shared" si="0"/>
        <v>0</v>
      </c>
      <c r="J60" s="156"/>
      <c r="K60" s="334"/>
      <c r="L60" s="158">
        <f t="shared" si="4"/>
        <v>0</v>
      </c>
      <c r="M60" s="334"/>
      <c r="N60" s="158">
        <f t="shared" si="5"/>
        <v>0</v>
      </c>
      <c r="O60" s="158">
        <f t="shared" si="6"/>
        <v>0</v>
      </c>
      <c r="P60" s="4"/>
    </row>
    <row r="61" spans="2:16">
      <c r="B61" s="9" t="str">
        <f t="shared" si="7"/>
        <v/>
      </c>
      <c r="C61" s="153">
        <f>IF(D11="","-",+C60+1)</f>
        <v>2061</v>
      </c>
      <c r="D61" s="159">
        <f>IF(F60+SUM(E$17:E60)=D$10,F60,D$10-SUM(E$17:E60))</f>
        <v>0</v>
      </c>
      <c r="E61" s="160">
        <f>IF(+I14&lt;F60,I14,D61)</f>
        <v>0</v>
      </c>
      <c r="F61" s="159">
        <f t="shared" si="1"/>
        <v>0</v>
      </c>
      <c r="G61" s="163">
        <f t="shared" si="8"/>
        <v>0</v>
      </c>
      <c r="H61" s="142">
        <f t="shared" si="9"/>
        <v>0</v>
      </c>
      <c r="I61" s="156">
        <f t="shared" si="0"/>
        <v>0</v>
      </c>
      <c r="J61" s="156"/>
      <c r="K61" s="334"/>
      <c r="L61" s="158">
        <f t="shared" si="4"/>
        <v>0</v>
      </c>
      <c r="M61" s="334"/>
      <c r="N61" s="158">
        <f t="shared" si="5"/>
        <v>0</v>
      </c>
      <c r="O61" s="158">
        <f t="shared" si="6"/>
        <v>0</v>
      </c>
      <c r="P61" s="4"/>
    </row>
    <row r="62" spans="2:16">
      <c r="B62" s="9" t="str">
        <f t="shared" si="7"/>
        <v/>
      </c>
      <c r="C62" s="153">
        <f>IF(D11="","-",+C61+1)</f>
        <v>2062</v>
      </c>
      <c r="D62" s="159">
        <f>IF(F61+SUM(E$17:E61)=D$10,F61,D$10-SUM(E$17:E61))</f>
        <v>0</v>
      </c>
      <c r="E62" s="160">
        <f>IF(+I14&lt;F61,I14,D62)</f>
        <v>0</v>
      </c>
      <c r="F62" s="159">
        <f t="shared" si="1"/>
        <v>0</v>
      </c>
      <c r="G62" s="163">
        <f t="shared" si="8"/>
        <v>0</v>
      </c>
      <c r="H62" s="142">
        <f t="shared" si="9"/>
        <v>0</v>
      </c>
      <c r="I62" s="156">
        <f t="shared" si="0"/>
        <v>0</v>
      </c>
      <c r="J62" s="156"/>
      <c r="K62" s="334"/>
      <c r="L62" s="158">
        <f t="shared" si="4"/>
        <v>0</v>
      </c>
      <c r="M62" s="334"/>
      <c r="N62" s="158">
        <f t="shared" si="5"/>
        <v>0</v>
      </c>
      <c r="O62" s="158">
        <f t="shared" si="6"/>
        <v>0</v>
      </c>
      <c r="P62" s="4"/>
    </row>
    <row r="63" spans="2:16">
      <c r="B63" s="9" t="str">
        <f t="shared" si="7"/>
        <v/>
      </c>
      <c r="C63" s="153">
        <f>IF(D11="","-",+C62+1)</f>
        <v>2063</v>
      </c>
      <c r="D63" s="159">
        <f>IF(F62+SUM(E$17:E62)=D$10,F62,D$10-SUM(E$17:E62))</f>
        <v>0</v>
      </c>
      <c r="E63" s="160">
        <f>IF(+I14&lt;F62,I14,D63)</f>
        <v>0</v>
      </c>
      <c r="F63" s="159">
        <f t="shared" si="1"/>
        <v>0</v>
      </c>
      <c r="G63" s="163">
        <f t="shared" si="8"/>
        <v>0</v>
      </c>
      <c r="H63" s="142">
        <f t="shared" si="9"/>
        <v>0</v>
      </c>
      <c r="I63" s="156">
        <f t="shared" si="0"/>
        <v>0</v>
      </c>
      <c r="J63" s="156"/>
      <c r="K63" s="334"/>
      <c r="L63" s="158">
        <f t="shared" si="4"/>
        <v>0</v>
      </c>
      <c r="M63" s="334"/>
      <c r="N63" s="158">
        <f t="shared" si="5"/>
        <v>0</v>
      </c>
      <c r="O63" s="158">
        <f t="shared" si="6"/>
        <v>0</v>
      </c>
      <c r="P63" s="4"/>
    </row>
    <row r="64" spans="2:16">
      <c r="B64" s="9" t="str">
        <f t="shared" si="7"/>
        <v/>
      </c>
      <c r="C64" s="153">
        <f>IF(D11="","-",+C63+1)</f>
        <v>2064</v>
      </c>
      <c r="D64" s="159">
        <f>IF(F63+SUM(E$17:E63)=D$10,F63,D$10-SUM(E$17:E63))</f>
        <v>0</v>
      </c>
      <c r="E64" s="160">
        <f>IF(+I14&lt;F63,I14,D64)</f>
        <v>0</v>
      </c>
      <c r="F64" s="159">
        <f t="shared" si="1"/>
        <v>0</v>
      </c>
      <c r="G64" s="163">
        <f t="shared" si="8"/>
        <v>0</v>
      </c>
      <c r="H64" s="142">
        <f t="shared" si="9"/>
        <v>0</v>
      </c>
      <c r="I64" s="156">
        <f t="shared" si="0"/>
        <v>0</v>
      </c>
      <c r="J64" s="156"/>
      <c r="K64" s="334"/>
      <c r="L64" s="158">
        <f t="shared" si="4"/>
        <v>0</v>
      </c>
      <c r="M64" s="334"/>
      <c r="N64" s="158">
        <f t="shared" si="5"/>
        <v>0</v>
      </c>
      <c r="O64" s="158">
        <f t="shared" si="6"/>
        <v>0</v>
      </c>
      <c r="P64" s="4"/>
    </row>
    <row r="65" spans="2:16">
      <c r="B65" s="9" t="str">
        <f t="shared" si="7"/>
        <v/>
      </c>
      <c r="C65" s="153">
        <f>IF(D11="","-",+C64+1)</f>
        <v>2065</v>
      </c>
      <c r="D65" s="159">
        <f>IF(F64+SUM(E$17:E64)=D$10,F64,D$10-SUM(E$17:E64))</f>
        <v>0</v>
      </c>
      <c r="E65" s="160">
        <f>IF(+I14&lt;F64,I14,D65)</f>
        <v>0</v>
      </c>
      <c r="F65" s="159">
        <f t="shared" si="1"/>
        <v>0</v>
      </c>
      <c r="G65" s="163">
        <f t="shared" si="8"/>
        <v>0</v>
      </c>
      <c r="H65" s="142">
        <f t="shared" si="9"/>
        <v>0</v>
      </c>
      <c r="I65" s="156">
        <f t="shared" si="0"/>
        <v>0</v>
      </c>
      <c r="J65" s="156"/>
      <c r="K65" s="334"/>
      <c r="L65" s="158">
        <f t="shared" si="4"/>
        <v>0</v>
      </c>
      <c r="M65" s="334"/>
      <c r="N65" s="158">
        <f t="shared" si="5"/>
        <v>0</v>
      </c>
      <c r="O65" s="158">
        <f t="shared" si="6"/>
        <v>0</v>
      </c>
      <c r="P65" s="4"/>
    </row>
    <row r="66" spans="2:16">
      <c r="B66" s="9" t="str">
        <f t="shared" si="7"/>
        <v/>
      </c>
      <c r="C66" s="153">
        <f>IF(D11="","-",+C65+1)</f>
        <v>2066</v>
      </c>
      <c r="D66" s="159">
        <f>IF(F65+SUM(E$17:E65)=D$10,F65,D$10-SUM(E$17:E65))</f>
        <v>0</v>
      </c>
      <c r="E66" s="160">
        <f>IF(+I14&lt;F65,I14,D66)</f>
        <v>0</v>
      </c>
      <c r="F66" s="159">
        <f t="shared" si="1"/>
        <v>0</v>
      </c>
      <c r="G66" s="163">
        <f t="shared" si="8"/>
        <v>0</v>
      </c>
      <c r="H66" s="142">
        <f t="shared" si="9"/>
        <v>0</v>
      </c>
      <c r="I66" s="156">
        <f t="shared" si="0"/>
        <v>0</v>
      </c>
      <c r="J66" s="156"/>
      <c r="K66" s="334"/>
      <c r="L66" s="158">
        <f t="shared" si="4"/>
        <v>0</v>
      </c>
      <c r="M66" s="334"/>
      <c r="N66" s="158">
        <f t="shared" si="5"/>
        <v>0</v>
      </c>
      <c r="O66" s="158">
        <f t="shared" si="6"/>
        <v>0</v>
      </c>
      <c r="P66" s="4"/>
    </row>
    <row r="67" spans="2:16">
      <c r="B67" s="9" t="str">
        <f t="shared" si="7"/>
        <v/>
      </c>
      <c r="C67" s="153">
        <f>IF(D11="","-",+C66+1)</f>
        <v>2067</v>
      </c>
      <c r="D67" s="159">
        <f>IF(F66+SUM(E$17:E66)=D$10,F66,D$10-SUM(E$17:E66))</f>
        <v>0</v>
      </c>
      <c r="E67" s="160">
        <f>IF(+I14&lt;F66,I14,D67)</f>
        <v>0</v>
      </c>
      <c r="F67" s="159">
        <f t="shared" si="1"/>
        <v>0</v>
      </c>
      <c r="G67" s="163">
        <f t="shared" si="8"/>
        <v>0</v>
      </c>
      <c r="H67" s="142">
        <f t="shared" si="9"/>
        <v>0</v>
      </c>
      <c r="I67" s="156">
        <f t="shared" si="0"/>
        <v>0</v>
      </c>
      <c r="J67" s="156"/>
      <c r="K67" s="334"/>
      <c r="L67" s="158">
        <f t="shared" si="4"/>
        <v>0</v>
      </c>
      <c r="M67" s="334"/>
      <c r="N67" s="158">
        <f t="shared" si="5"/>
        <v>0</v>
      </c>
      <c r="O67" s="158">
        <f t="shared" si="6"/>
        <v>0</v>
      </c>
      <c r="P67" s="4"/>
    </row>
    <row r="68" spans="2:16">
      <c r="B68" s="9" t="str">
        <f t="shared" si="7"/>
        <v/>
      </c>
      <c r="C68" s="153">
        <f>IF(D11="","-",+C67+1)</f>
        <v>2068</v>
      </c>
      <c r="D68" s="159">
        <f>IF(F67+SUM(E$17:E67)=D$10,F67,D$10-SUM(E$17:E67))</f>
        <v>0</v>
      </c>
      <c r="E68" s="160">
        <f>IF(+I14&lt;F67,I14,D68)</f>
        <v>0</v>
      </c>
      <c r="F68" s="159">
        <f t="shared" si="1"/>
        <v>0</v>
      </c>
      <c r="G68" s="163">
        <f t="shared" si="8"/>
        <v>0</v>
      </c>
      <c r="H68" s="142">
        <f t="shared" si="9"/>
        <v>0</v>
      </c>
      <c r="I68" s="156">
        <f t="shared" si="0"/>
        <v>0</v>
      </c>
      <c r="J68" s="156"/>
      <c r="K68" s="334"/>
      <c r="L68" s="158">
        <f t="shared" si="4"/>
        <v>0</v>
      </c>
      <c r="M68" s="334"/>
      <c r="N68" s="158">
        <f t="shared" si="5"/>
        <v>0</v>
      </c>
      <c r="O68" s="158">
        <f t="shared" si="6"/>
        <v>0</v>
      </c>
      <c r="P68" s="4"/>
    </row>
    <row r="69" spans="2:16">
      <c r="B69" s="9" t="str">
        <f t="shared" si="7"/>
        <v/>
      </c>
      <c r="C69" s="153">
        <f>IF(D11="","-",+C68+1)</f>
        <v>2069</v>
      </c>
      <c r="D69" s="159">
        <f>IF(F68+SUM(E$17:E68)=D$10,F68,D$10-SUM(E$17:E68))</f>
        <v>0</v>
      </c>
      <c r="E69" s="160">
        <f>IF(+I14&lt;F68,I14,D69)</f>
        <v>0</v>
      </c>
      <c r="F69" s="159">
        <f t="shared" si="1"/>
        <v>0</v>
      </c>
      <c r="G69" s="163">
        <f t="shared" si="8"/>
        <v>0</v>
      </c>
      <c r="H69" s="142">
        <f t="shared" si="9"/>
        <v>0</v>
      </c>
      <c r="I69" s="156">
        <f t="shared" si="0"/>
        <v>0</v>
      </c>
      <c r="J69" s="156"/>
      <c r="K69" s="334"/>
      <c r="L69" s="158">
        <f t="shared" si="4"/>
        <v>0</v>
      </c>
      <c r="M69" s="334"/>
      <c r="N69" s="158">
        <f t="shared" si="5"/>
        <v>0</v>
      </c>
      <c r="O69" s="158">
        <f t="shared" si="6"/>
        <v>0</v>
      </c>
      <c r="P69" s="4"/>
    </row>
    <row r="70" spans="2:16">
      <c r="B70" s="9" t="str">
        <f t="shared" si="7"/>
        <v/>
      </c>
      <c r="C70" s="153">
        <f>IF(D11="","-",+C69+1)</f>
        <v>2070</v>
      </c>
      <c r="D70" s="159">
        <f>IF(F69+SUM(E$17:E69)=D$10,F69,D$10-SUM(E$17:E69))</f>
        <v>0</v>
      </c>
      <c r="E70" s="160">
        <f>IF(+I14&lt;F69,I14,D70)</f>
        <v>0</v>
      </c>
      <c r="F70" s="159">
        <f t="shared" si="1"/>
        <v>0</v>
      </c>
      <c r="G70" s="163">
        <f t="shared" si="8"/>
        <v>0</v>
      </c>
      <c r="H70" s="142">
        <f t="shared" si="9"/>
        <v>0</v>
      </c>
      <c r="I70" s="156">
        <f t="shared" si="0"/>
        <v>0</v>
      </c>
      <c r="J70" s="156"/>
      <c r="K70" s="334"/>
      <c r="L70" s="158">
        <f t="shared" si="4"/>
        <v>0</v>
      </c>
      <c r="M70" s="334"/>
      <c r="N70" s="158">
        <f t="shared" si="5"/>
        <v>0</v>
      </c>
      <c r="O70" s="158">
        <f t="shared" si="6"/>
        <v>0</v>
      </c>
      <c r="P70" s="4"/>
    </row>
    <row r="71" spans="2:16">
      <c r="B71" s="9" t="str">
        <f t="shared" si="7"/>
        <v/>
      </c>
      <c r="C71" s="153">
        <f>IF(D11="","-",+C70+1)</f>
        <v>2071</v>
      </c>
      <c r="D71" s="159">
        <f>IF(F70+SUM(E$17:E70)=D$10,F70,D$10-SUM(E$17:E70))</f>
        <v>0</v>
      </c>
      <c r="E71" s="160">
        <f>IF(+I14&lt;F70,I14,D71)</f>
        <v>0</v>
      </c>
      <c r="F71" s="159">
        <f t="shared" si="1"/>
        <v>0</v>
      </c>
      <c r="G71" s="163">
        <f t="shared" si="8"/>
        <v>0</v>
      </c>
      <c r="H71" s="142">
        <f t="shared" si="9"/>
        <v>0</v>
      </c>
      <c r="I71" s="156">
        <f t="shared" si="0"/>
        <v>0</v>
      </c>
      <c r="J71" s="156"/>
      <c r="K71" s="334"/>
      <c r="L71" s="158">
        <f t="shared" si="4"/>
        <v>0</v>
      </c>
      <c r="M71" s="334"/>
      <c r="N71" s="158">
        <f t="shared" si="5"/>
        <v>0</v>
      </c>
      <c r="O71" s="158">
        <f t="shared" si="6"/>
        <v>0</v>
      </c>
      <c r="P71" s="4"/>
    </row>
    <row r="72" spans="2:16" ht="13.5" thickBot="1">
      <c r="B72" s="9" t="str">
        <f t="shared" si="7"/>
        <v/>
      </c>
      <c r="C72" s="164">
        <f>IF(D11="","-",+C71+1)</f>
        <v>2072</v>
      </c>
      <c r="D72" s="165">
        <f>IF(F71+SUM(E$17:E71)=D$10,F71,D$10-SUM(E$17:E71))</f>
        <v>0</v>
      </c>
      <c r="E72" s="166">
        <f>IF(+I14&lt;F71,I14,D72)</f>
        <v>0</v>
      </c>
      <c r="F72" s="165">
        <f t="shared" si="1"/>
        <v>0</v>
      </c>
      <c r="G72" s="167">
        <f t="shared" si="8"/>
        <v>0</v>
      </c>
      <c r="H72" s="124">
        <f t="shared" si="9"/>
        <v>0</v>
      </c>
      <c r="I72" s="168">
        <f t="shared" si="0"/>
        <v>0</v>
      </c>
      <c r="J72" s="156"/>
      <c r="K72" s="335"/>
      <c r="L72" s="169">
        <f t="shared" si="4"/>
        <v>0</v>
      </c>
      <c r="M72" s="335"/>
      <c r="N72" s="169">
        <f t="shared" si="5"/>
        <v>0</v>
      </c>
      <c r="O72" s="169">
        <f t="shared" si="6"/>
        <v>0</v>
      </c>
      <c r="P72" s="4"/>
    </row>
    <row r="73" spans="2:16">
      <c r="C73" s="154" t="s">
        <v>73</v>
      </c>
      <c r="D73" s="111"/>
      <c r="E73" s="111">
        <f>SUM(E17:E72)</f>
        <v>1185000</v>
      </c>
      <c r="F73" s="111"/>
      <c r="G73" s="111">
        <f>SUM(G17:G72)</f>
        <v>3744321.8736415063</v>
      </c>
      <c r="H73" s="111">
        <f>SUM(H17:H72)</f>
        <v>3744321.8736415063</v>
      </c>
      <c r="I73" s="111">
        <f>SUM(I17:I72)</f>
        <v>0</v>
      </c>
      <c r="J73" s="111"/>
      <c r="K73" s="111"/>
      <c r="L73" s="111"/>
      <c r="M73" s="111"/>
      <c r="N73" s="111"/>
      <c r="O73" s="4"/>
      <c r="P73" s="4"/>
    </row>
    <row r="74" spans="2:16">
      <c r="D74" s="2"/>
      <c r="E74" s="1"/>
      <c r="F74" s="1"/>
      <c r="G74" s="1"/>
      <c r="H74" s="3"/>
      <c r="I74" s="3"/>
      <c r="J74" s="111"/>
      <c r="K74" s="3"/>
      <c r="L74" s="3"/>
      <c r="M74" s="3"/>
      <c r="N74" s="3"/>
      <c r="O74" s="1"/>
      <c r="P74" s="1"/>
    </row>
    <row r="75" spans="2:16">
      <c r="C75" s="170" t="s">
        <v>91</v>
      </c>
      <c r="D75" s="2"/>
      <c r="E75" s="1"/>
      <c r="F75" s="1"/>
      <c r="G75" s="1"/>
      <c r="H75" s="3"/>
      <c r="I75" s="3"/>
      <c r="J75" s="111"/>
      <c r="K75" s="3"/>
      <c r="L75" s="3"/>
      <c r="M75" s="3"/>
      <c r="N75" s="3"/>
      <c r="O75" s="1"/>
      <c r="P75" s="1"/>
    </row>
    <row r="76" spans="2:16">
      <c r="C76" s="121" t="s">
        <v>74</v>
      </c>
      <c r="D76" s="2"/>
      <c r="E76" s="1"/>
      <c r="F76" s="1"/>
      <c r="G76" s="1"/>
      <c r="H76" s="3"/>
      <c r="I76" s="3"/>
      <c r="J76" s="111"/>
      <c r="K76" s="3"/>
      <c r="L76" s="3"/>
      <c r="M76" s="3"/>
      <c r="N76" s="3"/>
      <c r="O76" s="4"/>
      <c r="P76" s="4"/>
    </row>
    <row r="77" spans="2:16">
      <c r="C77" s="121" t="s">
        <v>75</v>
      </c>
      <c r="D77" s="154"/>
      <c r="E77" s="154"/>
      <c r="F77" s="154"/>
      <c r="G77" s="111"/>
      <c r="H77" s="111"/>
      <c r="I77" s="171"/>
      <c r="J77" s="171"/>
      <c r="K77" s="171"/>
      <c r="L77" s="171"/>
      <c r="M77" s="171"/>
      <c r="N77" s="171"/>
      <c r="O77" s="4"/>
      <c r="P77" s="4"/>
    </row>
    <row r="78" spans="2:16">
      <c r="C78" s="121"/>
      <c r="D78" s="154"/>
      <c r="E78" s="154"/>
      <c r="F78" s="154"/>
      <c r="G78" s="111"/>
      <c r="H78" s="111"/>
      <c r="I78" s="171"/>
      <c r="J78" s="171"/>
      <c r="K78" s="171"/>
      <c r="L78" s="171"/>
      <c r="M78" s="171"/>
      <c r="N78" s="171"/>
      <c r="O78" s="4"/>
      <c r="P78" s="1"/>
    </row>
    <row r="79" spans="2:16">
      <c r="B79" s="1"/>
      <c r="C79" s="21"/>
      <c r="D79" s="2"/>
      <c r="E79" s="1"/>
      <c r="F79" s="107"/>
      <c r="G79" s="1"/>
      <c r="H79" s="3"/>
      <c r="I79" s="1"/>
      <c r="J79" s="4"/>
      <c r="K79" s="1"/>
      <c r="L79" s="1"/>
      <c r="M79" s="1"/>
      <c r="N79" s="1"/>
      <c r="O79" s="1"/>
      <c r="P79" s="1"/>
    </row>
    <row r="80" spans="2:16" ht="18">
      <c r="B80" s="1"/>
      <c r="C80" s="242"/>
      <c r="D80" s="2"/>
      <c r="E80" s="1"/>
      <c r="F80" s="107"/>
      <c r="G80" s="1"/>
      <c r="H80" s="3"/>
      <c r="I80" s="1"/>
      <c r="J80" s="4"/>
      <c r="K80" s="1"/>
      <c r="L80" s="1"/>
      <c r="M80" s="1"/>
      <c r="N80" s="1"/>
      <c r="P80" s="244" t="s">
        <v>125</v>
      </c>
    </row>
    <row r="81" spans="1:16">
      <c r="B81" s="1"/>
      <c r="C81" s="21"/>
      <c r="D81" s="2"/>
      <c r="E81" s="1"/>
      <c r="F81" s="107"/>
      <c r="G81" s="1"/>
      <c r="H81" s="3"/>
      <c r="I81" s="1"/>
      <c r="J81" s="4"/>
      <c r="K81" s="1"/>
      <c r="L81" s="1"/>
      <c r="M81" s="1"/>
      <c r="N81" s="1"/>
      <c r="O81" s="1"/>
      <c r="P81" s="1"/>
    </row>
    <row r="82" spans="1:16">
      <c r="B82" s="1"/>
      <c r="C82" s="21"/>
      <c r="D82" s="2"/>
      <c r="E82" s="1"/>
      <c r="F82" s="107"/>
      <c r="G82" s="1"/>
      <c r="H82" s="3"/>
      <c r="I82" s="1"/>
      <c r="J82" s="4"/>
      <c r="K82" s="1"/>
      <c r="L82" s="1"/>
      <c r="M82" s="1"/>
      <c r="N82" s="1"/>
      <c r="O82" s="1"/>
      <c r="P82" s="1"/>
    </row>
    <row r="83" spans="1:16" ht="20.25">
      <c r="A83" s="243" t="s">
        <v>129</v>
      </c>
      <c r="B83" s="1"/>
      <c r="C83" s="21"/>
      <c r="D83" s="2"/>
      <c r="E83" s="1"/>
      <c r="F83" s="99"/>
      <c r="G83" s="99"/>
      <c r="H83" s="1"/>
      <c r="I83" s="3"/>
      <c r="K83" s="7"/>
      <c r="L83" s="109"/>
      <c r="M83" s="109"/>
      <c r="P83" s="109" t="str">
        <f ca="1">P1</f>
        <v>SWEPCO Project 62 of 73</v>
      </c>
    </row>
    <row r="84" spans="1:16" ht="18">
      <c r="B84" s="1"/>
      <c r="C84" s="1"/>
      <c r="D84" s="2"/>
      <c r="E84" s="1"/>
      <c r="F84" s="1"/>
      <c r="G84" s="1"/>
      <c r="H84" s="1"/>
      <c r="I84" s="3"/>
      <c r="J84" s="1"/>
      <c r="K84" s="4"/>
      <c r="L84" s="1"/>
      <c r="M84" s="1"/>
      <c r="P84" s="244" t="s">
        <v>123</v>
      </c>
    </row>
    <row r="85" spans="1:16" ht="18.75" thickBot="1">
      <c r="B85" s="5" t="s">
        <v>40</v>
      </c>
      <c r="C85" s="197" t="s">
        <v>78</v>
      </c>
      <c r="D85" s="2"/>
      <c r="E85" s="1"/>
      <c r="F85" s="1"/>
      <c r="G85" s="1"/>
      <c r="H85" s="1"/>
      <c r="I85" s="3"/>
      <c r="J85" s="3"/>
      <c r="K85" s="111"/>
      <c r="L85" s="3"/>
      <c r="M85" s="3"/>
      <c r="N85" s="3"/>
      <c r="O85" s="111"/>
      <c r="P85" s="1"/>
    </row>
    <row r="86" spans="1:16" ht="15.75" thickBot="1">
      <c r="C86" s="67"/>
      <c r="D86" s="2"/>
      <c r="E86" s="1"/>
      <c r="F86" s="1"/>
      <c r="G86" s="1"/>
      <c r="H86" s="1"/>
      <c r="I86" s="3"/>
      <c r="J86" s="3"/>
      <c r="K86" s="111"/>
      <c r="L86" s="265">
        <f>+J92</f>
        <v>2017</v>
      </c>
      <c r="M86" s="266" t="s">
        <v>7</v>
      </c>
      <c r="N86" s="270" t="s">
        <v>154</v>
      </c>
      <c r="O86" s="267" t="s">
        <v>9</v>
      </c>
      <c r="P86" s="1"/>
    </row>
    <row r="87" spans="1:16" ht="15">
      <c r="C87" s="235" t="s">
        <v>42</v>
      </c>
      <c r="D87" s="2"/>
      <c r="E87" s="1"/>
      <c r="F87" s="1"/>
      <c r="G87" s="1"/>
      <c r="H87" s="113"/>
      <c r="I87" s="1" t="s">
        <v>43</v>
      </c>
      <c r="J87" s="1"/>
      <c r="K87" s="261"/>
      <c r="L87" s="259" t="s">
        <v>381</v>
      </c>
      <c r="M87" s="198">
        <f>IF(J92&lt;D11,0,VLOOKUP(J92,C17:O72,9))</f>
        <v>86331.834002984833</v>
      </c>
      <c r="N87" s="198">
        <f>IF(J92&lt;D11,0,VLOOKUP(J92,C17:O72,11))</f>
        <v>86331.834002984833</v>
      </c>
      <c r="O87" s="199">
        <f>+N87-M87</f>
        <v>0</v>
      </c>
      <c r="P87" s="1"/>
    </row>
    <row r="88" spans="1:16" ht="15.75">
      <c r="C88" s="8"/>
      <c r="D88" s="2"/>
      <c r="E88" s="1"/>
      <c r="F88" s="1"/>
      <c r="G88" s="1"/>
      <c r="H88" s="1"/>
      <c r="I88" s="117"/>
      <c r="J88" s="117"/>
      <c r="K88" s="263"/>
      <c r="L88" s="264" t="s">
        <v>382</v>
      </c>
      <c r="M88" s="200">
        <f>IF(J92&lt;D11,0,VLOOKUP(J92,C99:P154,6))</f>
        <v>89476.594305664243</v>
      </c>
      <c r="N88" s="200">
        <f>IF(J92&lt;D11,0,VLOOKUP(J92,C99:P154,7))</f>
        <v>89476.594305664243</v>
      </c>
      <c r="O88" s="201">
        <f>+N88-M88</f>
        <v>0</v>
      </c>
      <c r="P88" s="1"/>
    </row>
    <row r="89" spans="1:16" ht="13.5" thickBot="1">
      <c r="C89" s="121" t="s">
        <v>79</v>
      </c>
      <c r="D89" s="246" t="str">
        <f>+D7</f>
        <v>Letourneau 69 kV Capacitor Bank Addition</v>
      </c>
      <c r="E89" s="1"/>
      <c r="F89" s="1"/>
      <c r="G89" s="1"/>
      <c r="H89" s="1"/>
      <c r="I89" s="3"/>
      <c r="J89" s="3"/>
      <c r="K89" s="262"/>
      <c r="L89" s="260" t="s">
        <v>151</v>
      </c>
      <c r="M89" s="203">
        <f>+M88-M87</f>
        <v>3144.7603026794095</v>
      </c>
      <c r="N89" s="203">
        <f>+N88-N87</f>
        <v>3144.7603026794095</v>
      </c>
      <c r="O89" s="204">
        <f>+O88-O87</f>
        <v>0</v>
      </c>
      <c r="P89" s="1"/>
    </row>
    <row r="90" spans="1:16" ht="13.5" thickBot="1">
      <c r="C90" s="170"/>
      <c r="D90" s="173" t="str">
        <f>D8</f>
        <v/>
      </c>
      <c r="E90" s="107"/>
      <c r="F90" s="107"/>
      <c r="G90" s="107"/>
      <c r="H90" s="126"/>
      <c r="I90" s="3"/>
      <c r="J90" s="3"/>
      <c r="K90" s="111"/>
      <c r="L90" s="3"/>
      <c r="M90" s="3"/>
      <c r="N90" s="3"/>
      <c r="O90" s="111"/>
      <c r="P90" s="1"/>
    </row>
    <row r="91" spans="1:16" ht="13.5" thickBot="1">
      <c r="A91" s="103"/>
      <c r="C91" s="205" t="s">
        <v>80</v>
      </c>
      <c r="D91" s="224" t="str">
        <f>+D9</f>
        <v>TP______</v>
      </c>
      <c r="E91" s="206"/>
      <c r="F91" s="206"/>
      <c r="G91" s="206"/>
      <c r="H91" s="206"/>
      <c r="I91" s="206"/>
      <c r="J91" s="206"/>
      <c r="K91" s="207"/>
      <c r="P91" s="131"/>
    </row>
    <row r="92" spans="1:16">
      <c r="C92" s="136" t="s">
        <v>47</v>
      </c>
      <c r="D92" s="218">
        <v>1244157</v>
      </c>
      <c r="E92" s="21" t="s">
        <v>81</v>
      </c>
      <c r="H92" s="134"/>
      <c r="I92" s="134"/>
      <c r="J92" s="135">
        <f>+'SWE.WS.G.BPU.ATRR.True-up'!M15</f>
        <v>2017</v>
      </c>
      <c r="K92" s="130"/>
      <c r="L92" s="111" t="s">
        <v>82</v>
      </c>
      <c r="P92" s="4"/>
    </row>
    <row r="93" spans="1:16">
      <c r="C93" s="136" t="s">
        <v>49</v>
      </c>
      <c r="D93" s="219">
        <f>IF(D11=I10,"",D11)</f>
        <v>2017</v>
      </c>
      <c r="E93" s="136" t="s">
        <v>50</v>
      </c>
      <c r="F93" s="134"/>
      <c r="G93" s="134"/>
      <c r="J93" s="138">
        <f>IF(H87="",0,'SWE.WS.G.BPU.ATRR.True-up'!$F$12)</f>
        <v>0</v>
      </c>
      <c r="K93" s="139"/>
      <c r="L93" t="str">
        <f>"          INPUT TRUE-UP ARR (WITH &amp; WITHOUT INCENTIVES) FROM EACH PRIOR YEAR"</f>
        <v xml:space="preserve">          INPUT TRUE-UP ARR (WITH &amp; WITHOUT INCENTIVES) FROM EACH PRIOR YEAR</v>
      </c>
      <c r="P93" s="4"/>
    </row>
    <row r="94" spans="1:16">
      <c r="C94" s="136" t="s">
        <v>51</v>
      </c>
      <c r="D94" s="218">
        <f>IF(D11=I10,"",D12)</f>
        <v>6</v>
      </c>
      <c r="E94" s="136" t="s">
        <v>52</v>
      </c>
      <c r="F94" s="134"/>
      <c r="G94" s="134"/>
      <c r="J94" s="140">
        <f>'SWE.WS.G.BPU.ATRR.True-up'!$F$80</f>
        <v>0.12147145768398206</v>
      </c>
      <c r="K94" s="141"/>
      <c r="L94" t="s">
        <v>83</v>
      </c>
      <c r="P94" s="4"/>
    </row>
    <row r="95" spans="1:16">
      <c r="C95" s="136" t="s">
        <v>54</v>
      </c>
      <c r="D95" s="138">
        <f>'SWE.WS.G.BPU.ATRR.True-up'!F$92</f>
        <v>42</v>
      </c>
      <c r="E95" s="136" t="s">
        <v>55</v>
      </c>
      <c r="F95" s="134"/>
      <c r="G95" s="134"/>
      <c r="J95" s="140">
        <f>IF(H87="",J94,'SWE.WS.G.BPU.ATRR.True-up'!$F$79)</f>
        <v>0.12147145768398206</v>
      </c>
      <c r="K95" s="58"/>
      <c r="L95" s="111" t="s">
        <v>56</v>
      </c>
      <c r="M95" s="58"/>
      <c r="N95" s="58"/>
      <c r="O95" s="58"/>
      <c r="P95" s="4"/>
    </row>
    <row r="96" spans="1:16" ht="13.5" thickBot="1">
      <c r="C96" s="136" t="s">
        <v>57</v>
      </c>
      <c r="D96" s="220" t="str">
        <f>+D14</f>
        <v>No</v>
      </c>
      <c r="E96" s="202" t="s">
        <v>59</v>
      </c>
      <c r="F96" s="208"/>
      <c r="G96" s="208"/>
      <c r="H96" s="209"/>
      <c r="I96" s="209"/>
      <c r="J96" s="124">
        <f>IF(D92=0,0,D92/D95)</f>
        <v>29622.785714285714</v>
      </c>
      <c r="K96" s="111"/>
      <c r="L96" s="111"/>
      <c r="M96" s="111"/>
      <c r="N96" s="111"/>
      <c r="O96" s="111"/>
      <c r="P96" s="4"/>
    </row>
    <row r="97" spans="1:16" ht="38.25">
      <c r="A97" s="6"/>
      <c r="B97" s="6"/>
      <c r="C97" s="210" t="s">
        <v>47</v>
      </c>
      <c r="D97" s="211" t="s">
        <v>60</v>
      </c>
      <c r="E97" s="146" t="s">
        <v>61</v>
      </c>
      <c r="F97" s="146" t="s">
        <v>62</v>
      </c>
      <c r="G97" s="144" t="s">
        <v>84</v>
      </c>
      <c r="H97" s="434" t="s">
        <v>378</v>
      </c>
      <c r="I97" s="435" t="s">
        <v>379</v>
      </c>
      <c r="J97" s="210" t="s">
        <v>85</v>
      </c>
      <c r="K97" s="212"/>
      <c r="L97" s="271" t="s">
        <v>220</v>
      </c>
      <c r="M97" s="146" t="s">
        <v>86</v>
      </c>
      <c r="N97" s="271" t="s">
        <v>220</v>
      </c>
      <c r="O97" s="146" t="s">
        <v>86</v>
      </c>
      <c r="P97" s="146" t="s">
        <v>65</v>
      </c>
    </row>
    <row r="98" spans="1:16" ht="13.5" thickBot="1">
      <c r="C98" s="147" t="s">
        <v>66</v>
      </c>
      <c r="D98" s="213" t="s">
        <v>67</v>
      </c>
      <c r="E98" s="147" t="s">
        <v>68</v>
      </c>
      <c r="F98" s="147" t="s">
        <v>67</v>
      </c>
      <c r="G98" s="147" t="s">
        <v>67</v>
      </c>
      <c r="H98" s="255" t="s">
        <v>69</v>
      </c>
      <c r="I98" s="148" t="s">
        <v>70</v>
      </c>
      <c r="J98" s="149" t="s">
        <v>89</v>
      </c>
      <c r="K98" s="150"/>
      <c r="L98" s="151" t="s">
        <v>72</v>
      </c>
      <c r="M98" s="151" t="s">
        <v>72</v>
      </c>
      <c r="N98" s="151" t="s">
        <v>90</v>
      </c>
      <c r="O98" s="151" t="s">
        <v>90</v>
      </c>
      <c r="P98" s="151" t="s">
        <v>90</v>
      </c>
    </row>
    <row r="99" spans="1:16">
      <c r="C99" s="153">
        <f>IF(D93= "","-",D93)</f>
        <v>2017</v>
      </c>
      <c r="D99" s="154">
        <f>IF(D93=C99,0,D92)</f>
        <v>0</v>
      </c>
      <c r="E99" s="161">
        <f>IF(D11=I10,0,J96/12*(12-D94))</f>
        <v>14811.392857142857</v>
      </c>
      <c r="F99" s="159">
        <f>IF(D93=C99,+D92-E99,+D99-E99)</f>
        <v>1229345.607142857</v>
      </c>
      <c r="G99" s="214">
        <f t="shared" ref="G99:G130" si="10">+(F99+D99)/2</f>
        <v>614672.80357142852</v>
      </c>
      <c r="H99" s="251">
        <f>+J94*G99+E99</f>
        <v>89476.594305664243</v>
      </c>
      <c r="I99" s="252">
        <f>+J95*G99+E99</f>
        <v>89476.594305664243</v>
      </c>
      <c r="J99" s="158">
        <f t="shared" ref="J99:J130" si="11">+I99-H99</f>
        <v>0</v>
      </c>
      <c r="K99" s="158"/>
      <c r="L99" s="333"/>
      <c r="M99" s="157">
        <f t="shared" ref="M99:M130" si="12">IF(L99&lt;&gt;0,+H99-L99,0)</f>
        <v>0</v>
      </c>
      <c r="N99" s="333"/>
      <c r="O99" s="157">
        <f t="shared" ref="O99:O130" si="13">IF(N99&lt;&gt;0,+I99-N99,0)</f>
        <v>0</v>
      </c>
      <c r="P99" s="157">
        <f t="shared" ref="P99:P130" si="14">+O99-M99</f>
        <v>0</v>
      </c>
    </row>
    <row r="100" spans="1:16">
      <c r="B100" s="9" t="str">
        <f>IF(D100=F99,"","IU")</f>
        <v/>
      </c>
      <c r="C100" s="153">
        <f>IF(D93="","-",+C99+1)</f>
        <v>2018</v>
      </c>
      <c r="D100" s="154">
        <f>IF(F99+SUM(E$99:E99)=D$92,F99,D$92-SUM(E$99:E99))</f>
        <v>1229345.607142857</v>
      </c>
      <c r="E100" s="160">
        <f>IF(+J96&lt;F99,J96,D100)</f>
        <v>29622.785714285714</v>
      </c>
      <c r="F100" s="159">
        <f t="shared" ref="F100:F130" si="15">+D100-E100</f>
        <v>1199722.8214285714</v>
      </c>
      <c r="G100" s="159">
        <f t="shared" si="10"/>
        <v>1214534.2142857141</v>
      </c>
      <c r="H100" s="163">
        <f t="shared" ref="H100:H154" si="16">+J$94*G100+E100</f>
        <v>177154.02713064122</v>
      </c>
      <c r="I100" s="253">
        <f t="shared" ref="I100:I154" si="17">+J$95*G100+E100</f>
        <v>177154.02713064122</v>
      </c>
      <c r="J100" s="158">
        <f t="shared" si="11"/>
        <v>0</v>
      </c>
      <c r="K100" s="158"/>
      <c r="L100" s="334"/>
      <c r="M100" s="158">
        <f t="shared" si="12"/>
        <v>0</v>
      </c>
      <c r="N100" s="334"/>
      <c r="O100" s="158">
        <f t="shared" si="13"/>
        <v>0</v>
      </c>
      <c r="P100" s="158">
        <f t="shared" si="14"/>
        <v>0</v>
      </c>
    </row>
    <row r="101" spans="1:16">
      <c r="B101" s="9" t="str">
        <f t="shared" ref="B101:B154" si="18">IF(D101=F100,"","IU")</f>
        <v/>
      </c>
      <c r="C101" s="153">
        <f>IF(D93="","-",+C100+1)</f>
        <v>2019</v>
      </c>
      <c r="D101" s="154">
        <f>IF(F100+SUM(E$99:E100)=D$92,F100,D$92-SUM(E$99:E100))</f>
        <v>1199722.8214285714</v>
      </c>
      <c r="E101" s="160">
        <f>IF(+J96&lt;F100,J96,D101)</f>
        <v>29622.785714285714</v>
      </c>
      <c r="F101" s="159">
        <f t="shared" si="15"/>
        <v>1170100.0357142857</v>
      </c>
      <c r="G101" s="159">
        <f t="shared" si="10"/>
        <v>1184911.4285714286</v>
      </c>
      <c r="H101" s="163">
        <f t="shared" si="16"/>
        <v>173555.70416926674</v>
      </c>
      <c r="I101" s="253">
        <f t="shared" si="17"/>
        <v>173555.70416926674</v>
      </c>
      <c r="J101" s="158">
        <f t="shared" si="11"/>
        <v>0</v>
      </c>
      <c r="K101" s="158"/>
      <c r="L101" s="334"/>
      <c r="M101" s="158">
        <f t="shared" si="12"/>
        <v>0</v>
      </c>
      <c r="N101" s="334"/>
      <c r="O101" s="158">
        <f t="shared" si="13"/>
        <v>0</v>
      </c>
      <c r="P101" s="158">
        <f t="shared" si="14"/>
        <v>0</v>
      </c>
    </row>
    <row r="102" spans="1:16">
      <c r="B102" s="9" t="str">
        <f t="shared" si="18"/>
        <v/>
      </c>
      <c r="C102" s="153">
        <f>IF(D93="","-",+C101+1)</f>
        <v>2020</v>
      </c>
      <c r="D102" s="154">
        <f>IF(F101+SUM(E$99:E101)=D$92,F101,D$92-SUM(E$99:E101))</f>
        <v>1170100.0357142857</v>
      </c>
      <c r="E102" s="160">
        <f>IF(+J96&lt;F101,J96,D102)</f>
        <v>29622.785714285714</v>
      </c>
      <c r="F102" s="159">
        <f t="shared" si="15"/>
        <v>1140477.25</v>
      </c>
      <c r="G102" s="159">
        <f t="shared" si="10"/>
        <v>1155288.6428571427</v>
      </c>
      <c r="H102" s="163">
        <f t="shared" si="16"/>
        <v>169957.38120789218</v>
      </c>
      <c r="I102" s="253">
        <f t="shared" si="17"/>
        <v>169957.38120789218</v>
      </c>
      <c r="J102" s="158">
        <f t="shared" si="11"/>
        <v>0</v>
      </c>
      <c r="K102" s="158"/>
      <c r="L102" s="334"/>
      <c r="M102" s="158">
        <f t="shared" si="12"/>
        <v>0</v>
      </c>
      <c r="N102" s="334"/>
      <c r="O102" s="158">
        <f t="shared" si="13"/>
        <v>0</v>
      </c>
      <c r="P102" s="158">
        <f t="shared" si="14"/>
        <v>0</v>
      </c>
    </row>
    <row r="103" spans="1:16">
      <c r="B103" s="9" t="str">
        <f t="shared" si="18"/>
        <v/>
      </c>
      <c r="C103" s="153">
        <f>IF(D93="","-",+C102+1)</f>
        <v>2021</v>
      </c>
      <c r="D103" s="154">
        <f>IF(F102+SUM(E$99:E102)=D$92,F102,D$92-SUM(E$99:E102))</f>
        <v>1140477.25</v>
      </c>
      <c r="E103" s="160">
        <f>IF(+J96&lt;F102,J96,D103)</f>
        <v>29622.785714285714</v>
      </c>
      <c r="F103" s="159">
        <f t="shared" si="15"/>
        <v>1110854.4642857143</v>
      </c>
      <c r="G103" s="159">
        <f t="shared" si="10"/>
        <v>1125665.8571428573</v>
      </c>
      <c r="H103" s="163">
        <f t="shared" si="16"/>
        <v>166359.0582465177</v>
      </c>
      <c r="I103" s="253">
        <f t="shared" si="17"/>
        <v>166359.0582465177</v>
      </c>
      <c r="J103" s="158">
        <f t="shared" si="11"/>
        <v>0</v>
      </c>
      <c r="K103" s="158"/>
      <c r="L103" s="334"/>
      <c r="M103" s="158">
        <f t="shared" si="12"/>
        <v>0</v>
      </c>
      <c r="N103" s="334"/>
      <c r="O103" s="158">
        <f t="shared" si="13"/>
        <v>0</v>
      </c>
      <c r="P103" s="158">
        <f t="shared" si="14"/>
        <v>0</v>
      </c>
    </row>
    <row r="104" spans="1:16">
      <c r="B104" s="9" t="str">
        <f t="shared" si="18"/>
        <v/>
      </c>
      <c r="C104" s="153">
        <f>IF(D93="","-",+C103+1)</f>
        <v>2022</v>
      </c>
      <c r="D104" s="154">
        <f>IF(F103+SUM(E$99:E103)=D$92,F103,D$92-SUM(E$99:E103))</f>
        <v>1110854.4642857143</v>
      </c>
      <c r="E104" s="160">
        <f>IF(+J96&lt;F103,J96,D104)</f>
        <v>29622.785714285714</v>
      </c>
      <c r="F104" s="159">
        <f t="shared" si="15"/>
        <v>1081231.6785714286</v>
      </c>
      <c r="G104" s="159">
        <f t="shared" si="10"/>
        <v>1096043.0714285714</v>
      </c>
      <c r="H104" s="163">
        <f t="shared" si="16"/>
        <v>162760.73528514314</v>
      </c>
      <c r="I104" s="253">
        <f t="shared" si="17"/>
        <v>162760.73528514314</v>
      </c>
      <c r="J104" s="158">
        <f t="shared" si="11"/>
        <v>0</v>
      </c>
      <c r="K104" s="158"/>
      <c r="L104" s="334"/>
      <c r="M104" s="158">
        <f t="shared" si="12"/>
        <v>0</v>
      </c>
      <c r="N104" s="334"/>
      <c r="O104" s="158">
        <f t="shared" si="13"/>
        <v>0</v>
      </c>
      <c r="P104" s="158">
        <f t="shared" si="14"/>
        <v>0</v>
      </c>
    </row>
    <row r="105" spans="1:16">
      <c r="B105" s="9" t="str">
        <f t="shared" si="18"/>
        <v/>
      </c>
      <c r="C105" s="153">
        <f>IF(D93="","-",+C104+1)</f>
        <v>2023</v>
      </c>
      <c r="D105" s="154">
        <f>IF(F104+SUM(E$99:E104)=D$92,F104,D$92-SUM(E$99:E104))</f>
        <v>1081231.6785714286</v>
      </c>
      <c r="E105" s="160">
        <f>IF(+J96&lt;F104,J96,D105)</f>
        <v>29622.785714285714</v>
      </c>
      <c r="F105" s="159">
        <f t="shared" si="15"/>
        <v>1051608.892857143</v>
      </c>
      <c r="G105" s="159">
        <f t="shared" si="10"/>
        <v>1066420.2857142859</v>
      </c>
      <c r="H105" s="163">
        <f t="shared" si="16"/>
        <v>159162.41232376866</v>
      </c>
      <c r="I105" s="253">
        <f t="shared" si="17"/>
        <v>159162.41232376866</v>
      </c>
      <c r="J105" s="158">
        <f t="shared" si="11"/>
        <v>0</v>
      </c>
      <c r="K105" s="158"/>
      <c r="L105" s="334"/>
      <c r="M105" s="158">
        <f t="shared" si="12"/>
        <v>0</v>
      </c>
      <c r="N105" s="334"/>
      <c r="O105" s="158">
        <f t="shared" si="13"/>
        <v>0</v>
      </c>
      <c r="P105" s="158">
        <f t="shared" si="14"/>
        <v>0</v>
      </c>
    </row>
    <row r="106" spans="1:16">
      <c r="B106" s="9" t="str">
        <f t="shared" si="18"/>
        <v/>
      </c>
      <c r="C106" s="153">
        <f>IF(D93="","-",+C105+1)</f>
        <v>2024</v>
      </c>
      <c r="D106" s="154">
        <f>IF(F105+SUM(E$99:E105)=D$92,F105,D$92-SUM(E$99:E105))</f>
        <v>1051608.892857143</v>
      </c>
      <c r="E106" s="160">
        <f>IF(+J96&lt;F105,J96,D106)</f>
        <v>29622.785714285714</v>
      </c>
      <c r="F106" s="159">
        <f t="shared" si="15"/>
        <v>1021986.1071428573</v>
      </c>
      <c r="G106" s="159">
        <f t="shared" si="10"/>
        <v>1036797.5000000001</v>
      </c>
      <c r="H106" s="163">
        <f t="shared" si="16"/>
        <v>155564.08936239412</v>
      </c>
      <c r="I106" s="253">
        <f t="shared" si="17"/>
        <v>155564.08936239412</v>
      </c>
      <c r="J106" s="158">
        <f t="shared" si="11"/>
        <v>0</v>
      </c>
      <c r="K106" s="158"/>
      <c r="L106" s="334"/>
      <c r="M106" s="158">
        <f t="shared" si="12"/>
        <v>0</v>
      </c>
      <c r="N106" s="334"/>
      <c r="O106" s="158">
        <f t="shared" si="13"/>
        <v>0</v>
      </c>
      <c r="P106" s="158">
        <f t="shared" si="14"/>
        <v>0</v>
      </c>
    </row>
    <row r="107" spans="1:16">
      <c r="B107" s="9" t="str">
        <f t="shared" si="18"/>
        <v/>
      </c>
      <c r="C107" s="153">
        <f>IF(D93="","-",+C106+1)</f>
        <v>2025</v>
      </c>
      <c r="D107" s="154">
        <f>IF(F106+SUM(E$99:E106)=D$92,F106,D$92-SUM(E$99:E106))</f>
        <v>1021986.1071428573</v>
      </c>
      <c r="E107" s="160">
        <f>IF(+J96&lt;F106,J96,D107)</f>
        <v>29622.785714285714</v>
      </c>
      <c r="F107" s="159">
        <f t="shared" si="15"/>
        <v>992363.32142857159</v>
      </c>
      <c r="G107" s="159">
        <f t="shared" si="10"/>
        <v>1007174.7142857144</v>
      </c>
      <c r="H107" s="163">
        <f t="shared" si="16"/>
        <v>151965.76640101959</v>
      </c>
      <c r="I107" s="253">
        <f t="shared" si="17"/>
        <v>151965.76640101959</v>
      </c>
      <c r="J107" s="158">
        <f t="shared" si="11"/>
        <v>0</v>
      </c>
      <c r="K107" s="158"/>
      <c r="L107" s="334"/>
      <c r="M107" s="158">
        <f t="shared" si="12"/>
        <v>0</v>
      </c>
      <c r="N107" s="334"/>
      <c r="O107" s="158">
        <f t="shared" si="13"/>
        <v>0</v>
      </c>
      <c r="P107" s="158">
        <f t="shared" si="14"/>
        <v>0</v>
      </c>
    </row>
    <row r="108" spans="1:16">
      <c r="B108" s="9" t="str">
        <f t="shared" si="18"/>
        <v/>
      </c>
      <c r="C108" s="153">
        <f>IF(D93="","-",+C107+1)</f>
        <v>2026</v>
      </c>
      <c r="D108" s="154">
        <f>IF(F107+SUM(E$99:E107)=D$92,F107,D$92-SUM(E$99:E107))</f>
        <v>992363.32142857159</v>
      </c>
      <c r="E108" s="160">
        <f>IF(+J96&lt;F107,J96,D108)</f>
        <v>29622.785714285714</v>
      </c>
      <c r="F108" s="159">
        <f t="shared" si="15"/>
        <v>962740.53571428591</v>
      </c>
      <c r="G108" s="159">
        <f t="shared" si="10"/>
        <v>977551.92857142875</v>
      </c>
      <c r="H108" s="163">
        <f t="shared" si="16"/>
        <v>148367.44343964508</v>
      </c>
      <c r="I108" s="253">
        <f t="shared" si="17"/>
        <v>148367.44343964508</v>
      </c>
      <c r="J108" s="158">
        <f t="shared" si="11"/>
        <v>0</v>
      </c>
      <c r="K108" s="158"/>
      <c r="L108" s="334"/>
      <c r="M108" s="158">
        <f t="shared" si="12"/>
        <v>0</v>
      </c>
      <c r="N108" s="334"/>
      <c r="O108" s="158">
        <f t="shared" si="13"/>
        <v>0</v>
      </c>
      <c r="P108" s="158">
        <f t="shared" si="14"/>
        <v>0</v>
      </c>
    </row>
    <row r="109" spans="1:16">
      <c r="B109" s="9" t="str">
        <f t="shared" si="18"/>
        <v/>
      </c>
      <c r="C109" s="153">
        <f>IF(D93="","-",+C108+1)</f>
        <v>2027</v>
      </c>
      <c r="D109" s="154">
        <f>IF(F108+SUM(E$99:E108)=D$92,F108,D$92-SUM(E$99:E108))</f>
        <v>962740.53571428591</v>
      </c>
      <c r="E109" s="160">
        <f>IF(+J96&lt;F108,J96,D109)</f>
        <v>29622.785714285714</v>
      </c>
      <c r="F109" s="159">
        <f t="shared" si="15"/>
        <v>933117.75000000023</v>
      </c>
      <c r="G109" s="159">
        <f t="shared" si="10"/>
        <v>947929.14285714307</v>
      </c>
      <c r="H109" s="163">
        <f t="shared" si="16"/>
        <v>144769.12047827055</v>
      </c>
      <c r="I109" s="253">
        <f t="shared" si="17"/>
        <v>144769.12047827055</v>
      </c>
      <c r="J109" s="158">
        <f t="shared" si="11"/>
        <v>0</v>
      </c>
      <c r="K109" s="158"/>
      <c r="L109" s="334"/>
      <c r="M109" s="158">
        <f t="shared" si="12"/>
        <v>0</v>
      </c>
      <c r="N109" s="334"/>
      <c r="O109" s="158">
        <f t="shared" si="13"/>
        <v>0</v>
      </c>
      <c r="P109" s="158">
        <f t="shared" si="14"/>
        <v>0</v>
      </c>
    </row>
    <row r="110" spans="1:16">
      <c r="B110" s="9" t="str">
        <f t="shared" si="18"/>
        <v/>
      </c>
      <c r="C110" s="153">
        <f>IF(D93="","-",+C109+1)</f>
        <v>2028</v>
      </c>
      <c r="D110" s="154">
        <f>IF(F109+SUM(E$99:E109)=D$92,F109,D$92-SUM(E$99:E109))</f>
        <v>933117.75000000023</v>
      </c>
      <c r="E110" s="160">
        <f>IF(+J96&lt;F109,J96,D110)</f>
        <v>29622.785714285714</v>
      </c>
      <c r="F110" s="159">
        <f t="shared" si="15"/>
        <v>903494.96428571455</v>
      </c>
      <c r="G110" s="159">
        <f t="shared" si="10"/>
        <v>918306.35714285739</v>
      </c>
      <c r="H110" s="163">
        <f t="shared" si="16"/>
        <v>141170.79751689604</v>
      </c>
      <c r="I110" s="253">
        <f t="shared" si="17"/>
        <v>141170.79751689604</v>
      </c>
      <c r="J110" s="158">
        <f t="shared" si="11"/>
        <v>0</v>
      </c>
      <c r="K110" s="158"/>
      <c r="L110" s="334"/>
      <c r="M110" s="158">
        <f t="shared" si="12"/>
        <v>0</v>
      </c>
      <c r="N110" s="334"/>
      <c r="O110" s="158">
        <f t="shared" si="13"/>
        <v>0</v>
      </c>
      <c r="P110" s="158">
        <f t="shared" si="14"/>
        <v>0</v>
      </c>
    </row>
    <row r="111" spans="1:16">
      <c r="B111" s="9" t="str">
        <f t="shared" si="18"/>
        <v/>
      </c>
      <c r="C111" s="153">
        <f>IF(D93="","-",+C110+1)</f>
        <v>2029</v>
      </c>
      <c r="D111" s="154">
        <f>IF(F110+SUM(E$99:E110)=D$92,F110,D$92-SUM(E$99:E110))</f>
        <v>903494.96428571455</v>
      </c>
      <c r="E111" s="160">
        <f>IF(+J96&lt;F110,J96,D111)</f>
        <v>29622.785714285714</v>
      </c>
      <c r="F111" s="159">
        <f t="shared" si="15"/>
        <v>873872.17857142887</v>
      </c>
      <c r="G111" s="159">
        <f t="shared" si="10"/>
        <v>888683.57142857171</v>
      </c>
      <c r="H111" s="163">
        <f t="shared" si="16"/>
        <v>137572.4745555215</v>
      </c>
      <c r="I111" s="253">
        <f t="shared" si="17"/>
        <v>137572.4745555215</v>
      </c>
      <c r="J111" s="158">
        <f t="shared" si="11"/>
        <v>0</v>
      </c>
      <c r="K111" s="158"/>
      <c r="L111" s="334"/>
      <c r="M111" s="158">
        <f t="shared" si="12"/>
        <v>0</v>
      </c>
      <c r="N111" s="334"/>
      <c r="O111" s="158">
        <f t="shared" si="13"/>
        <v>0</v>
      </c>
      <c r="P111" s="158">
        <f t="shared" si="14"/>
        <v>0</v>
      </c>
    </row>
    <row r="112" spans="1:16">
      <c r="B112" s="9" t="str">
        <f t="shared" si="18"/>
        <v/>
      </c>
      <c r="C112" s="153">
        <f>IF(D93="","-",+C111+1)</f>
        <v>2030</v>
      </c>
      <c r="D112" s="154">
        <f>IF(F111+SUM(E$99:E111)=D$92,F111,D$92-SUM(E$99:E111))</f>
        <v>873872.17857142887</v>
      </c>
      <c r="E112" s="160">
        <f>IF(+J96&lt;F111,J96,D112)</f>
        <v>29622.785714285714</v>
      </c>
      <c r="F112" s="159">
        <f t="shared" si="15"/>
        <v>844249.39285714319</v>
      </c>
      <c r="G112" s="159">
        <f t="shared" si="10"/>
        <v>859060.78571428603</v>
      </c>
      <c r="H112" s="163">
        <f t="shared" si="16"/>
        <v>133974.151594147</v>
      </c>
      <c r="I112" s="253">
        <f t="shared" si="17"/>
        <v>133974.151594147</v>
      </c>
      <c r="J112" s="158">
        <f t="shared" si="11"/>
        <v>0</v>
      </c>
      <c r="K112" s="158"/>
      <c r="L112" s="334"/>
      <c r="M112" s="158">
        <f t="shared" si="12"/>
        <v>0</v>
      </c>
      <c r="N112" s="334"/>
      <c r="O112" s="158">
        <f t="shared" si="13"/>
        <v>0</v>
      </c>
      <c r="P112" s="158">
        <f t="shared" si="14"/>
        <v>0</v>
      </c>
    </row>
    <row r="113" spans="2:16">
      <c r="B113" s="9" t="str">
        <f t="shared" si="18"/>
        <v/>
      </c>
      <c r="C113" s="153">
        <f>IF(D93="","-",+C112+1)</f>
        <v>2031</v>
      </c>
      <c r="D113" s="154">
        <f>IF(F112+SUM(E$99:E112)=D$92,F112,D$92-SUM(E$99:E112))</f>
        <v>844249.39285714319</v>
      </c>
      <c r="E113" s="160">
        <f>IF(+J96&lt;F112,J96,D113)</f>
        <v>29622.785714285714</v>
      </c>
      <c r="F113" s="159">
        <f t="shared" si="15"/>
        <v>814626.60714285751</v>
      </c>
      <c r="G113" s="159">
        <f t="shared" si="10"/>
        <v>829438.00000000035</v>
      </c>
      <c r="H113" s="163">
        <f t="shared" si="16"/>
        <v>130375.82863277246</v>
      </c>
      <c r="I113" s="253">
        <f t="shared" si="17"/>
        <v>130375.82863277246</v>
      </c>
      <c r="J113" s="158">
        <f t="shared" si="11"/>
        <v>0</v>
      </c>
      <c r="K113" s="158"/>
      <c r="L113" s="334"/>
      <c r="M113" s="158">
        <f t="shared" si="12"/>
        <v>0</v>
      </c>
      <c r="N113" s="334"/>
      <c r="O113" s="158">
        <f t="shared" si="13"/>
        <v>0</v>
      </c>
      <c r="P113" s="158">
        <f t="shared" si="14"/>
        <v>0</v>
      </c>
    </row>
    <row r="114" spans="2:16">
      <c r="B114" s="9" t="str">
        <f t="shared" si="18"/>
        <v/>
      </c>
      <c r="C114" s="153">
        <f>IF(D93="","-",+C113+1)</f>
        <v>2032</v>
      </c>
      <c r="D114" s="154">
        <f>IF(F113+SUM(E$99:E113)=D$92,F113,D$92-SUM(E$99:E113))</f>
        <v>814626.60714285751</v>
      </c>
      <c r="E114" s="160">
        <f>IF(+J96&lt;F113,J96,D114)</f>
        <v>29622.785714285714</v>
      </c>
      <c r="F114" s="159">
        <f t="shared" si="15"/>
        <v>785003.82142857183</v>
      </c>
      <c r="G114" s="159">
        <f t="shared" si="10"/>
        <v>799815.21428571467</v>
      </c>
      <c r="H114" s="163">
        <f t="shared" si="16"/>
        <v>126777.50567139794</v>
      </c>
      <c r="I114" s="253">
        <f t="shared" si="17"/>
        <v>126777.50567139794</v>
      </c>
      <c r="J114" s="158">
        <f t="shared" si="11"/>
        <v>0</v>
      </c>
      <c r="K114" s="158"/>
      <c r="L114" s="334"/>
      <c r="M114" s="158">
        <f t="shared" si="12"/>
        <v>0</v>
      </c>
      <c r="N114" s="334"/>
      <c r="O114" s="158">
        <f t="shared" si="13"/>
        <v>0</v>
      </c>
      <c r="P114" s="158">
        <f t="shared" si="14"/>
        <v>0</v>
      </c>
    </row>
    <row r="115" spans="2:16">
      <c r="B115" s="9" t="str">
        <f t="shared" si="18"/>
        <v/>
      </c>
      <c r="C115" s="153">
        <f>IF(D93="","-",+C114+1)</f>
        <v>2033</v>
      </c>
      <c r="D115" s="154">
        <f>IF(F114+SUM(E$99:E114)=D$92,F114,D$92-SUM(E$99:E114))</f>
        <v>785003.82142857183</v>
      </c>
      <c r="E115" s="160">
        <f>IF(+J96&lt;F114,J96,D115)</f>
        <v>29622.785714285714</v>
      </c>
      <c r="F115" s="159">
        <f t="shared" si="15"/>
        <v>755381.03571428615</v>
      </c>
      <c r="G115" s="159">
        <f t="shared" si="10"/>
        <v>770192.42857142899</v>
      </c>
      <c r="H115" s="163">
        <f t="shared" si="16"/>
        <v>123179.18271002342</v>
      </c>
      <c r="I115" s="253">
        <f t="shared" si="17"/>
        <v>123179.18271002342</v>
      </c>
      <c r="J115" s="158">
        <f t="shared" si="11"/>
        <v>0</v>
      </c>
      <c r="K115" s="158"/>
      <c r="L115" s="334"/>
      <c r="M115" s="158">
        <f t="shared" si="12"/>
        <v>0</v>
      </c>
      <c r="N115" s="334"/>
      <c r="O115" s="158">
        <f t="shared" si="13"/>
        <v>0</v>
      </c>
      <c r="P115" s="158">
        <f t="shared" si="14"/>
        <v>0</v>
      </c>
    </row>
    <row r="116" spans="2:16">
      <c r="B116" s="9" t="str">
        <f t="shared" si="18"/>
        <v/>
      </c>
      <c r="C116" s="153">
        <f>IF(D93="","-",+C115+1)</f>
        <v>2034</v>
      </c>
      <c r="D116" s="154">
        <f>IF(F115+SUM(E$99:E115)=D$92,F115,D$92-SUM(E$99:E115))</f>
        <v>755381.03571428615</v>
      </c>
      <c r="E116" s="160">
        <f>IF(+J96&lt;F115,J96,D116)</f>
        <v>29622.785714285714</v>
      </c>
      <c r="F116" s="159">
        <f t="shared" si="15"/>
        <v>725758.25000000047</v>
      </c>
      <c r="G116" s="159">
        <f t="shared" si="10"/>
        <v>740569.64285714331</v>
      </c>
      <c r="H116" s="163">
        <f t="shared" si="16"/>
        <v>119580.8597486489</v>
      </c>
      <c r="I116" s="253">
        <f t="shared" si="17"/>
        <v>119580.8597486489</v>
      </c>
      <c r="J116" s="158">
        <f t="shared" si="11"/>
        <v>0</v>
      </c>
      <c r="K116" s="158"/>
      <c r="L116" s="334"/>
      <c r="M116" s="158">
        <f t="shared" si="12"/>
        <v>0</v>
      </c>
      <c r="N116" s="334"/>
      <c r="O116" s="158">
        <f t="shared" si="13"/>
        <v>0</v>
      </c>
      <c r="P116" s="158">
        <f t="shared" si="14"/>
        <v>0</v>
      </c>
    </row>
    <row r="117" spans="2:16">
      <c r="B117" s="9" t="str">
        <f t="shared" si="18"/>
        <v/>
      </c>
      <c r="C117" s="153">
        <f>IF(D93="","-",+C116+1)</f>
        <v>2035</v>
      </c>
      <c r="D117" s="154">
        <f>IF(F116+SUM(E$99:E116)=D$92,F116,D$92-SUM(E$99:E116))</f>
        <v>725758.25000000047</v>
      </c>
      <c r="E117" s="160">
        <f>IF(+J96&lt;F116,J96,D117)</f>
        <v>29622.785714285714</v>
      </c>
      <c r="F117" s="159">
        <f t="shared" si="15"/>
        <v>696135.46428571478</v>
      </c>
      <c r="G117" s="159">
        <f t="shared" si="10"/>
        <v>710946.85714285763</v>
      </c>
      <c r="H117" s="163">
        <f t="shared" si="16"/>
        <v>115982.53678727438</v>
      </c>
      <c r="I117" s="253">
        <f t="shared" si="17"/>
        <v>115982.53678727438</v>
      </c>
      <c r="J117" s="158">
        <f t="shared" si="11"/>
        <v>0</v>
      </c>
      <c r="K117" s="158"/>
      <c r="L117" s="334"/>
      <c r="M117" s="158">
        <f t="shared" si="12"/>
        <v>0</v>
      </c>
      <c r="N117" s="334"/>
      <c r="O117" s="158">
        <f t="shared" si="13"/>
        <v>0</v>
      </c>
      <c r="P117" s="158">
        <f t="shared" si="14"/>
        <v>0</v>
      </c>
    </row>
    <row r="118" spans="2:16">
      <c r="B118" s="9" t="str">
        <f t="shared" si="18"/>
        <v/>
      </c>
      <c r="C118" s="153">
        <f>IF(D93="","-",+C117+1)</f>
        <v>2036</v>
      </c>
      <c r="D118" s="154">
        <f>IF(F117+SUM(E$99:E117)=D$92,F117,D$92-SUM(E$99:E117))</f>
        <v>696135.46428571478</v>
      </c>
      <c r="E118" s="160">
        <f>IF(+J96&lt;F117,J96,D118)</f>
        <v>29622.785714285714</v>
      </c>
      <c r="F118" s="159">
        <f t="shared" si="15"/>
        <v>666512.6785714291</v>
      </c>
      <c r="G118" s="159">
        <f t="shared" si="10"/>
        <v>681324.07142857194</v>
      </c>
      <c r="H118" s="163">
        <f t="shared" si="16"/>
        <v>112384.21382589986</v>
      </c>
      <c r="I118" s="253">
        <f t="shared" si="17"/>
        <v>112384.21382589986</v>
      </c>
      <c r="J118" s="158">
        <f t="shared" si="11"/>
        <v>0</v>
      </c>
      <c r="K118" s="158"/>
      <c r="L118" s="334"/>
      <c r="M118" s="158">
        <f t="shared" si="12"/>
        <v>0</v>
      </c>
      <c r="N118" s="334"/>
      <c r="O118" s="158">
        <f t="shared" si="13"/>
        <v>0</v>
      </c>
      <c r="P118" s="158">
        <f t="shared" si="14"/>
        <v>0</v>
      </c>
    </row>
    <row r="119" spans="2:16">
      <c r="B119" s="9" t="str">
        <f t="shared" si="18"/>
        <v/>
      </c>
      <c r="C119" s="153">
        <f>IF(D93="","-",+C118+1)</f>
        <v>2037</v>
      </c>
      <c r="D119" s="154">
        <f>IF(F118+SUM(E$99:E118)=D$92,F118,D$92-SUM(E$99:E118))</f>
        <v>666512.6785714291</v>
      </c>
      <c r="E119" s="160">
        <f>IF(+J96&lt;F118,J96,D119)</f>
        <v>29622.785714285714</v>
      </c>
      <c r="F119" s="159">
        <f t="shared" si="15"/>
        <v>636889.89285714342</v>
      </c>
      <c r="G119" s="159">
        <f t="shared" si="10"/>
        <v>651701.28571428626</v>
      </c>
      <c r="H119" s="163">
        <f t="shared" si="16"/>
        <v>108785.89086452534</v>
      </c>
      <c r="I119" s="253">
        <f t="shared" si="17"/>
        <v>108785.89086452534</v>
      </c>
      <c r="J119" s="158">
        <f t="shared" si="11"/>
        <v>0</v>
      </c>
      <c r="K119" s="158"/>
      <c r="L119" s="334"/>
      <c r="M119" s="158">
        <f t="shared" si="12"/>
        <v>0</v>
      </c>
      <c r="N119" s="334"/>
      <c r="O119" s="158">
        <f t="shared" si="13"/>
        <v>0</v>
      </c>
      <c r="P119" s="158">
        <f t="shared" si="14"/>
        <v>0</v>
      </c>
    </row>
    <row r="120" spans="2:16">
      <c r="B120" s="9" t="str">
        <f t="shared" si="18"/>
        <v/>
      </c>
      <c r="C120" s="153">
        <f>IF(D93="","-",+C119+1)</f>
        <v>2038</v>
      </c>
      <c r="D120" s="154">
        <f>IF(F119+SUM(E$99:E119)=D$92,F119,D$92-SUM(E$99:E119))</f>
        <v>636889.89285714342</v>
      </c>
      <c r="E120" s="160">
        <f>IF(+J96&lt;F119,J96,D120)</f>
        <v>29622.785714285714</v>
      </c>
      <c r="F120" s="159">
        <f t="shared" si="15"/>
        <v>607267.10714285774</v>
      </c>
      <c r="G120" s="159">
        <f t="shared" si="10"/>
        <v>622078.50000000058</v>
      </c>
      <c r="H120" s="163">
        <f t="shared" si="16"/>
        <v>105187.56790315082</v>
      </c>
      <c r="I120" s="253">
        <f t="shared" si="17"/>
        <v>105187.56790315082</v>
      </c>
      <c r="J120" s="158">
        <f t="shared" si="11"/>
        <v>0</v>
      </c>
      <c r="K120" s="158"/>
      <c r="L120" s="334"/>
      <c r="M120" s="158">
        <f t="shared" si="12"/>
        <v>0</v>
      </c>
      <c r="N120" s="334"/>
      <c r="O120" s="158">
        <f t="shared" si="13"/>
        <v>0</v>
      </c>
      <c r="P120" s="158">
        <f t="shared" si="14"/>
        <v>0</v>
      </c>
    </row>
    <row r="121" spans="2:16">
      <c r="B121" s="9" t="str">
        <f t="shared" si="18"/>
        <v/>
      </c>
      <c r="C121" s="153">
        <f>IF(D93="","-",+C120+1)</f>
        <v>2039</v>
      </c>
      <c r="D121" s="154">
        <f>IF(F120+SUM(E$99:E120)=D$92,F120,D$92-SUM(E$99:E120))</f>
        <v>607267.10714285774</v>
      </c>
      <c r="E121" s="160">
        <f>IF(+J96&lt;F120,J96,D121)</f>
        <v>29622.785714285714</v>
      </c>
      <c r="F121" s="159">
        <f t="shared" si="15"/>
        <v>577644.32142857206</v>
      </c>
      <c r="G121" s="159">
        <f t="shared" si="10"/>
        <v>592455.7142857149</v>
      </c>
      <c r="H121" s="163">
        <f t="shared" si="16"/>
        <v>101589.2449417763</v>
      </c>
      <c r="I121" s="253">
        <f t="shared" si="17"/>
        <v>101589.2449417763</v>
      </c>
      <c r="J121" s="158">
        <f t="shared" si="11"/>
        <v>0</v>
      </c>
      <c r="K121" s="158"/>
      <c r="L121" s="334"/>
      <c r="M121" s="158">
        <f t="shared" si="12"/>
        <v>0</v>
      </c>
      <c r="N121" s="334"/>
      <c r="O121" s="158">
        <f t="shared" si="13"/>
        <v>0</v>
      </c>
      <c r="P121" s="158">
        <f t="shared" si="14"/>
        <v>0</v>
      </c>
    </row>
    <row r="122" spans="2:16">
      <c r="B122" s="9" t="str">
        <f t="shared" si="18"/>
        <v/>
      </c>
      <c r="C122" s="153">
        <f>IF(D93="","-",+C121+1)</f>
        <v>2040</v>
      </c>
      <c r="D122" s="154">
        <f>IF(F121+SUM(E$99:E121)=D$92,F121,D$92-SUM(E$99:E121))</f>
        <v>577644.32142857206</v>
      </c>
      <c r="E122" s="160">
        <f>IF(+J96&lt;F121,J96,D122)</f>
        <v>29622.785714285714</v>
      </c>
      <c r="F122" s="159">
        <f t="shared" si="15"/>
        <v>548021.53571428638</v>
      </c>
      <c r="G122" s="159">
        <f t="shared" si="10"/>
        <v>562832.92857142922</v>
      </c>
      <c r="H122" s="163">
        <f t="shared" si="16"/>
        <v>97990.921980401763</v>
      </c>
      <c r="I122" s="253">
        <f t="shared" si="17"/>
        <v>97990.921980401763</v>
      </c>
      <c r="J122" s="158">
        <f t="shared" si="11"/>
        <v>0</v>
      </c>
      <c r="K122" s="158"/>
      <c r="L122" s="334"/>
      <c r="M122" s="158">
        <f t="shared" si="12"/>
        <v>0</v>
      </c>
      <c r="N122" s="334"/>
      <c r="O122" s="158">
        <f t="shared" si="13"/>
        <v>0</v>
      </c>
      <c r="P122" s="158">
        <f t="shared" si="14"/>
        <v>0</v>
      </c>
    </row>
    <row r="123" spans="2:16">
      <c r="B123" s="9" t="str">
        <f t="shared" si="18"/>
        <v/>
      </c>
      <c r="C123" s="153">
        <f>IF(D93="","-",+C122+1)</f>
        <v>2041</v>
      </c>
      <c r="D123" s="154">
        <f>IF(F122+SUM(E$99:E122)=D$92,F122,D$92-SUM(E$99:E122))</f>
        <v>548021.53571428638</v>
      </c>
      <c r="E123" s="160">
        <f>IF(+J96&lt;F122,J96,D123)</f>
        <v>29622.785714285714</v>
      </c>
      <c r="F123" s="159">
        <f t="shared" si="15"/>
        <v>518398.75000000064</v>
      </c>
      <c r="G123" s="159">
        <f t="shared" si="10"/>
        <v>533210.14285714354</v>
      </c>
      <c r="H123" s="163">
        <f t="shared" si="16"/>
        <v>94392.599019027257</v>
      </c>
      <c r="I123" s="253">
        <f t="shared" si="17"/>
        <v>94392.599019027257</v>
      </c>
      <c r="J123" s="158">
        <f t="shared" si="11"/>
        <v>0</v>
      </c>
      <c r="K123" s="158"/>
      <c r="L123" s="334"/>
      <c r="M123" s="158">
        <f t="shared" si="12"/>
        <v>0</v>
      </c>
      <c r="N123" s="334"/>
      <c r="O123" s="158">
        <f t="shared" si="13"/>
        <v>0</v>
      </c>
      <c r="P123" s="158">
        <f t="shared" si="14"/>
        <v>0</v>
      </c>
    </row>
    <row r="124" spans="2:16">
      <c r="B124" s="9" t="str">
        <f t="shared" si="18"/>
        <v/>
      </c>
      <c r="C124" s="153">
        <f>IF(D93="","-",+C123+1)</f>
        <v>2042</v>
      </c>
      <c r="D124" s="154">
        <f>IF(F123+SUM(E$99:E123)=D$92,F123,D$92-SUM(E$99:E123))</f>
        <v>518398.75000000064</v>
      </c>
      <c r="E124" s="160">
        <f>IF(+J96&lt;F123,J96,D124)</f>
        <v>29622.785714285714</v>
      </c>
      <c r="F124" s="159">
        <f t="shared" si="15"/>
        <v>488775.9642857149</v>
      </c>
      <c r="G124" s="159">
        <f t="shared" si="10"/>
        <v>503587.35714285774</v>
      </c>
      <c r="H124" s="163">
        <f t="shared" si="16"/>
        <v>90794.276057652722</v>
      </c>
      <c r="I124" s="253">
        <f t="shared" si="17"/>
        <v>90794.276057652722</v>
      </c>
      <c r="J124" s="158">
        <f t="shared" si="11"/>
        <v>0</v>
      </c>
      <c r="K124" s="158"/>
      <c r="L124" s="334"/>
      <c r="M124" s="158">
        <f t="shared" si="12"/>
        <v>0</v>
      </c>
      <c r="N124" s="334"/>
      <c r="O124" s="158">
        <f t="shared" si="13"/>
        <v>0</v>
      </c>
      <c r="P124" s="158">
        <f t="shared" si="14"/>
        <v>0</v>
      </c>
    </row>
    <row r="125" spans="2:16">
      <c r="B125" s="9" t="str">
        <f t="shared" si="18"/>
        <v/>
      </c>
      <c r="C125" s="153">
        <f>IF(D93="","-",+C124+1)</f>
        <v>2043</v>
      </c>
      <c r="D125" s="154">
        <f>IF(F124+SUM(E$99:E124)=D$92,F124,D$92-SUM(E$99:E124))</f>
        <v>488775.9642857149</v>
      </c>
      <c r="E125" s="160">
        <f>IF(+J96&lt;F124,J96,D125)</f>
        <v>29622.785714285714</v>
      </c>
      <c r="F125" s="159">
        <f t="shared" si="15"/>
        <v>459153.17857142916</v>
      </c>
      <c r="G125" s="159">
        <f t="shared" si="10"/>
        <v>473964.57142857206</v>
      </c>
      <c r="H125" s="163">
        <f t="shared" si="16"/>
        <v>87195.953096278201</v>
      </c>
      <c r="I125" s="253">
        <f t="shared" si="17"/>
        <v>87195.953096278201</v>
      </c>
      <c r="J125" s="158">
        <f t="shared" si="11"/>
        <v>0</v>
      </c>
      <c r="K125" s="158"/>
      <c r="L125" s="334"/>
      <c r="M125" s="158">
        <f t="shared" si="12"/>
        <v>0</v>
      </c>
      <c r="N125" s="334"/>
      <c r="O125" s="158">
        <f t="shared" si="13"/>
        <v>0</v>
      </c>
      <c r="P125" s="158">
        <f t="shared" si="14"/>
        <v>0</v>
      </c>
    </row>
    <row r="126" spans="2:16">
      <c r="B126" s="9" t="str">
        <f t="shared" si="18"/>
        <v/>
      </c>
      <c r="C126" s="153">
        <f>IF(D93="","-",+C125+1)</f>
        <v>2044</v>
      </c>
      <c r="D126" s="154">
        <f>IF(F125+SUM(E$99:E125)=D$92,F125,D$92-SUM(E$99:E125))</f>
        <v>459153.17857142916</v>
      </c>
      <c r="E126" s="160">
        <f>IF(+J96&lt;F125,J96,D126)</f>
        <v>29622.785714285714</v>
      </c>
      <c r="F126" s="159">
        <f t="shared" si="15"/>
        <v>429530.39285714342</v>
      </c>
      <c r="G126" s="159">
        <f t="shared" si="10"/>
        <v>444341.78571428626</v>
      </c>
      <c r="H126" s="163">
        <f t="shared" si="16"/>
        <v>83597.630134903666</v>
      </c>
      <c r="I126" s="253">
        <f t="shared" si="17"/>
        <v>83597.630134903666</v>
      </c>
      <c r="J126" s="158">
        <f t="shared" si="11"/>
        <v>0</v>
      </c>
      <c r="K126" s="158"/>
      <c r="L126" s="334"/>
      <c r="M126" s="158">
        <f t="shared" si="12"/>
        <v>0</v>
      </c>
      <c r="N126" s="334"/>
      <c r="O126" s="158">
        <f t="shared" si="13"/>
        <v>0</v>
      </c>
      <c r="P126" s="158">
        <f t="shared" si="14"/>
        <v>0</v>
      </c>
    </row>
    <row r="127" spans="2:16">
      <c r="B127" s="9" t="str">
        <f t="shared" si="18"/>
        <v/>
      </c>
      <c r="C127" s="153">
        <f>IF(D93="","-",+C126+1)</f>
        <v>2045</v>
      </c>
      <c r="D127" s="154">
        <f>IF(F126+SUM(E$99:E126)=D$92,F126,D$92-SUM(E$99:E126))</f>
        <v>429530.39285714342</v>
      </c>
      <c r="E127" s="160">
        <f>IF(+J96&lt;F126,J96,D127)</f>
        <v>29622.785714285714</v>
      </c>
      <c r="F127" s="159">
        <f t="shared" si="15"/>
        <v>399907.60714285768</v>
      </c>
      <c r="G127" s="159">
        <f t="shared" si="10"/>
        <v>414719.00000000058</v>
      </c>
      <c r="H127" s="163">
        <f t="shared" si="16"/>
        <v>79999.307173529145</v>
      </c>
      <c r="I127" s="253">
        <f t="shared" si="17"/>
        <v>79999.307173529145</v>
      </c>
      <c r="J127" s="158">
        <f t="shared" si="11"/>
        <v>0</v>
      </c>
      <c r="K127" s="158"/>
      <c r="L127" s="334"/>
      <c r="M127" s="158">
        <f t="shared" si="12"/>
        <v>0</v>
      </c>
      <c r="N127" s="334"/>
      <c r="O127" s="158">
        <f t="shared" si="13"/>
        <v>0</v>
      </c>
      <c r="P127" s="158">
        <f t="shared" si="14"/>
        <v>0</v>
      </c>
    </row>
    <row r="128" spans="2:16">
      <c r="B128" s="9" t="str">
        <f t="shared" si="18"/>
        <v/>
      </c>
      <c r="C128" s="153">
        <f>IF(D93="","-",+C127+1)</f>
        <v>2046</v>
      </c>
      <c r="D128" s="154">
        <f>IF(F127+SUM(E$99:E127)=D$92,F127,D$92-SUM(E$99:E127))</f>
        <v>399907.60714285768</v>
      </c>
      <c r="E128" s="160">
        <f>IF(+J96&lt;F127,J96,D128)</f>
        <v>29622.785714285714</v>
      </c>
      <c r="F128" s="159">
        <f t="shared" si="15"/>
        <v>370284.82142857194</v>
      </c>
      <c r="G128" s="159">
        <f t="shared" si="10"/>
        <v>385096.21428571478</v>
      </c>
      <c r="H128" s="163">
        <f t="shared" si="16"/>
        <v>76400.98421215461</v>
      </c>
      <c r="I128" s="253">
        <f t="shared" si="17"/>
        <v>76400.98421215461</v>
      </c>
      <c r="J128" s="158">
        <f t="shared" si="11"/>
        <v>0</v>
      </c>
      <c r="K128" s="158"/>
      <c r="L128" s="334"/>
      <c r="M128" s="158">
        <f t="shared" si="12"/>
        <v>0</v>
      </c>
      <c r="N128" s="334"/>
      <c r="O128" s="158">
        <f t="shared" si="13"/>
        <v>0</v>
      </c>
      <c r="P128" s="158">
        <f t="shared" si="14"/>
        <v>0</v>
      </c>
    </row>
    <row r="129" spans="2:16">
      <c r="B129" s="9" t="str">
        <f t="shared" si="18"/>
        <v/>
      </c>
      <c r="C129" s="153">
        <f>IF(D93="","-",+C128+1)</f>
        <v>2047</v>
      </c>
      <c r="D129" s="154">
        <f>IF(F128+SUM(E$99:E128)=D$92,F128,D$92-SUM(E$99:E128))</f>
        <v>370284.82142857194</v>
      </c>
      <c r="E129" s="160">
        <f>IF(+J96&lt;F128,J96,D129)</f>
        <v>29622.785714285714</v>
      </c>
      <c r="F129" s="159">
        <f t="shared" si="15"/>
        <v>340662.0357142862</v>
      </c>
      <c r="G129" s="159">
        <f t="shared" si="10"/>
        <v>355473.4285714291</v>
      </c>
      <c r="H129" s="163">
        <f t="shared" si="16"/>
        <v>72802.661250780089</v>
      </c>
      <c r="I129" s="253">
        <f t="shared" si="17"/>
        <v>72802.661250780089</v>
      </c>
      <c r="J129" s="158">
        <f t="shared" si="11"/>
        <v>0</v>
      </c>
      <c r="K129" s="158"/>
      <c r="L129" s="334"/>
      <c r="M129" s="158">
        <f t="shared" si="12"/>
        <v>0</v>
      </c>
      <c r="N129" s="334"/>
      <c r="O129" s="158">
        <f t="shared" si="13"/>
        <v>0</v>
      </c>
      <c r="P129" s="158">
        <f t="shared" si="14"/>
        <v>0</v>
      </c>
    </row>
    <row r="130" spans="2:16">
      <c r="B130" s="9" t="str">
        <f t="shared" si="18"/>
        <v/>
      </c>
      <c r="C130" s="153">
        <f>IF(D93="","-",+C129+1)</f>
        <v>2048</v>
      </c>
      <c r="D130" s="154">
        <f>IF(F129+SUM(E$99:E129)=D$92,F129,D$92-SUM(E$99:E129))</f>
        <v>340662.0357142862</v>
      </c>
      <c r="E130" s="160">
        <f>IF(+J96&lt;F129,J96,D130)</f>
        <v>29622.785714285714</v>
      </c>
      <c r="F130" s="159">
        <f t="shared" si="15"/>
        <v>311039.25000000047</v>
      </c>
      <c r="G130" s="159">
        <f t="shared" si="10"/>
        <v>325850.64285714331</v>
      </c>
      <c r="H130" s="163">
        <f t="shared" si="16"/>
        <v>69204.338289405554</v>
      </c>
      <c r="I130" s="253">
        <f t="shared" si="17"/>
        <v>69204.338289405554</v>
      </c>
      <c r="J130" s="158">
        <f t="shared" si="11"/>
        <v>0</v>
      </c>
      <c r="K130" s="158"/>
      <c r="L130" s="334"/>
      <c r="M130" s="158">
        <f t="shared" si="12"/>
        <v>0</v>
      </c>
      <c r="N130" s="334"/>
      <c r="O130" s="158">
        <f t="shared" si="13"/>
        <v>0</v>
      </c>
      <c r="P130" s="158">
        <f t="shared" si="14"/>
        <v>0</v>
      </c>
    </row>
    <row r="131" spans="2:16">
      <c r="B131" s="9" t="str">
        <f t="shared" si="18"/>
        <v/>
      </c>
      <c r="C131" s="153">
        <f>IF(D93="","-",+C130+1)</f>
        <v>2049</v>
      </c>
      <c r="D131" s="154">
        <f>IF(F130+SUM(E$99:E130)=D$92,F130,D$92-SUM(E$99:E130))</f>
        <v>311039.25000000047</v>
      </c>
      <c r="E131" s="160">
        <f>IF(+J96&lt;F130,J96,D131)</f>
        <v>29622.785714285714</v>
      </c>
      <c r="F131" s="159">
        <f t="shared" ref="F131:F154" si="19">+D131-E131</f>
        <v>281416.46428571473</v>
      </c>
      <c r="G131" s="159">
        <f t="shared" ref="G131:G154" si="20">+(F131+D131)/2</f>
        <v>296227.85714285763</v>
      </c>
      <c r="H131" s="163">
        <f t="shared" si="16"/>
        <v>65606.015328031019</v>
      </c>
      <c r="I131" s="253">
        <f t="shared" si="17"/>
        <v>65606.015328031019</v>
      </c>
      <c r="J131" s="158">
        <f t="shared" ref="J131:J154" si="21">+I541-H541</f>
        <v>0</v>
      </c>
      <c r="K131" s="158"/>
      <c r="L131" s="334"/>
      <c r="M131" s="158">
        <f t="shared" ref="M131:M154" si="22">IF(L541&lt;&gt;0,+H541-L541,0)</f>
        <v>0</v>
      </c>
      <c r="N131" s="334"/>
      <c r="O131" s="158">
        <f t="shared" ref="O131:O154" si="23">IF(N541&lt;&gt;0,+I541-N541,0)</f>
        <v>0</v>
      </c>
      <c r="P131" s="158">
        <f t="shared" ref="P131:P154" si="24">+O541-M541</f>
        <v>0</v>
      </c>
    </row>
    <row r="132" spans="2:16">
      <c r="B132" s="9" t="str">
        <f t="shared" si="18"/>
        <v/>
      </c>
      <c r="C132" s="153">
        <f>IF(D93="","-",+C131+1)</f>
        <v>2050</v>
      </c>
      <c r="D132" s="154">
        <f>IF(F131+SUM(E$99:E131)=D$92,F131,D$92-SUM(E$99:E131))</f>
        <v>281416.46428571473</v>
      </c>
      <c r="E132" s="160">
        <f>IF(+J96&lt;F131,J96,D132)</f>
        <v>29622.785714285714</v>
      </c>
      <c r="F132" s="159">
        <f t="shared" si="19"/>
        <v>251793.67857142902</v>
      </c>
      <c r="G132" s="159">
        <f t="shared" si="20"/>
        <v>266605.07142857189</v>
      </c>
      <c r="H132" s="163">
        <f t="shared" si="16"/>
        <v>62007.692366656498</v>
      </c>
      <c r="I132" s="253">
        <f t="shared" si="17"/>
        <v>62007.692366656498</v>
      </c>
      <c r="J132" s="158">
        <f t="shared" si="21"/>
        <v>0</v>
      </c>
      <c r="K132" s="158"/>
      <c r="L132" s="334"/>
      <c r="M132" s="158">
        <f t="shared" si="22"/>
        <v>0</v>
      </c>
      <c r="N132" s="334"/>
      <c r="O132" s="158">
        <f t="shared" si="23"/>
        <v>0</v>
      </c>
      <c r="P132" s="158">
        <f t="shared" si="24"/>
        <v>0</v>
      </c>
    </row>
    <row r="133" spans="2:16">
      <c r="B133" s="9" t="str">
        <f t="shared" si="18"/>
        <v/>
      </c>
      <c r="C133" s="153">
        <f>IF(D93="","-",+C132+1)</f>
        <v>2051</v>
      </c>
      <c r="D133" s="154">
        <f>IF(F132+SUM(E$99:E132)=D$92,F132,D$92-SUM(E$99:E132))</f>
        <v>251793.67857142902</v>
      </c>
      <c r="E133" s="160">
        <f>IF(+J96&lt;F132,J96,D133)</f>
        <v>29622.785714285714</v>
      </c>
      <c r="F133" s="159">
        <f t="shared" si="19"/>
        <v>222170.89285714331</v>
      </c>
      <c r="G133" s="159">
        <f t="shared" si="20"/>
        <v>236982.28571428615</v>
      </c>
      <c r="H133" s="163">
        <f t="shared" si="16"/>
        <v>58409.36940528197</v>
      </c>
      <c r="I133" s="253">
        <f t="shared" si="17"/>
        <v>58409.36940528197</v>
      </c>
      <c r="J133" s="158">
        <f t="shared" si="21"/>
        <v>0</v>
      </c>
      <c r="K133" s="158"/>
      <c r="L133" s="334"/>
      <c r="M133" s="158">
        <f t="shared" si="22"/>
        <v>0</v>
      </c>
      <c r="N133" s="334"/>
      <c r="O133" s="158">
        <f t="shared" si="23"/>
        <v>0</v>
      </c>
      <c r="P133" s="158">
        <f t="shared" si="24"/>
        <v>0</v>
      </c>
    </row>
    <row r="134" spans="2:16">
      <c r="B134" s="9" t="str">
        <f t="shared" si="18"/>
        <v/>
      </c>
      <c r="C134" s="153">
        <f>IF(D93="","-",+C133+1)</f>
        <v>2052</v>
      </c>
      <c r="D134" s="154">
        <f>IF(F133+SUM(E$99:E133)=D$92,F133,D$92-SUM(E$99:E133))</f>
        <v>222170.89285714331</v>
      </c>
      <c r="E134" s="160">
        <f>IF(+J96&lt;F133,J96,D134)</f>
        <v>29622.785714285714</v>
      </c>
      <c r="F134" s="159">
        <f t="shared" si="19"/>
        <v>192548.1071428576</v>
      </c>
      <c r="G134" s="159">
        <f t="shared" si="20"/>
        <v>207359.50000000047</v>
      </c>
      <c r="H134" s="163">
        <f t="shared" si="16"/>
        <v>54811.046443907442</v>
      </c>
      <c r="I134" s="253">
        <f t="shared" si="17"/>
        <v>54811.046443907442</v>
      </c>
      <c r="J134" s="158">
        <f t="shared" si="21"/>
        <v>0</v>
      </c>
      <c r="K134" s="158"/>
      <c r="L134" s="334"/>
      <c r="M134" s="158">
        <f t="shared" si="22"/>
        <v>0</v>
      </c>
      <c r="N134" s="334"/>
      <c r="O134" s="158">
        <f t="shared" si="23"/>
        <v>0</v>
      </c>
      <c r="P134" s="158">
        <f t="shared" si="24"/>
        <v>0</v>
      </c>
    </row>
    <row r="135" spans="2:16">
      <c r="B135" s="9" t="str">
        <f t="shared" si="18"/>
        <v/>
      </c>
      <c r="C135" s="153">
        <f>IF(D93="","-",+C134+1)</f>
        <v>2053</v>
      </c>
      <c r="D135" s="154">
        <f>IF(F134+SUM(E$99:E134)=D$92,F134,D$92-SUM(E$99:E134))</f>
        <v>192548.1071428576</v>
      </c>
      <c r="E135" s="160">
        <f>IF(+J96&lt;F134,J96,D135)</f>
        <v>29622.785714285714</v>
      </c>
      <c r="F135" s="159">
        <f t="shared" si="19"/>
        <v>162925.32142857189</v>
      </c>
      <c r="G135" s="159">
        <f t="shared" si="20"/>
        <v>177736.71428571473</v>
      </c>
      <c r="H135" s="163">
        <f t="shared" si="16"/>
        <v>51212.723482532921</v>
      </c>
      <c r="I135" s="253">
        <f t="shared" si="17"/>
        <v>51212.723482532921</v>
      </c>
      <c r="J135" s="158">
        <f t="shared" si="21"/>
        <v>0</v>
      </c>
      <c r="K135" s="158"/>
      <c r="L135" s="334"/>
      <c r="M135" s="158">
        <f t="shared" si="22"/>
        <v>0</v>
      </c>
      <c r="N135" s="334"/>
      <c r="O135" s="158">
        <f t="shared" si="23"/>
        <v>0</v>
      </c>
      <c r="P135" s="158">
        <f t="shared" si="24"/>
        <v>0</v>
      </c>
    </row>
    <row r="136" spans="2:16">
      <c r="B136" s="9" t="str">
        <f t="shared" si="18"/>
        <v/>
      </c>
      <c r="C136" s="153">
        <f>IF(D93="","-",+C135+1)</f>
        <v>2054</v>
      </c>
      <c r="D136" s="154">
        <f>IF(F135+SUM(E$99:E135)=D$92,F135,D$92-SUM(E$99:E135))</f>
        <v>162925.32142857189</v>
      </c>
      <c r="E136" s="160">
        <f>IF(+J96&lt;F135,J96,D136)</f>
        <v>29622.785714285714</v>
      </c>
      <c r="F136" s="159">
        <f t="shared" si="19"/>
        <v>133302.53571428618</v>
      </c>
      <c r="G136" s="159">
        <f t="shared" si="20"/>
        <v>148113.92857142905</v>
      </c>
      <c r="H136" s="163">
        <f t="shared" si="16"/>
        <v>47614.400521158401</v>
      </c>
      <c r="I136" s="253">
        <f t="shared" si="17"/>
        <v>47614.400521158401</v>
      </c>
      <c r="J136" s="158">
        <f t="shared" si="21"/>
        <v>0</v>
      </c>
      <c r="K136" s="158"/>
      <c r="L136" s="334"/>
      <c r="M136" s="158">
        <f t="shared" si="22"/>
        <v>0</v>
      </c>
      <c r="N136" s="334"/>
      <c r="O136" s="158">
        <f t="shared" si="23"/>
        <v>0</v>
      </c>
      <c r="P136" s="158">
        <f t="shared" si="24"/>
        <v>0</v>
      </c>
    </row>
    <row r="137" spans="2:16">
      <c r="B137" s="9" t="str">
        <f t="shared" si="18"/>
        <v/>
      </c>
      <c r="C137" s="153">
        <f>IF(D93="","-",+C136+1)</f>
        <v>2055</v>
      </c>
      <c r="D137" s="154">
        <f>IF(F136+SUM(E$99:E136)=D$92,F136,D$92-SUM(E$99:E136))</f>
        <v>133302.53571428618</v>
      </c>
      <c r="E137" s="160">
        <f>IF(+J96&lt;F136,J96,D137)</f>
        <v>29622.785714285714</v>
      </c>
      <c r="F137" s="159">
        <f t="shared" si="19"/>
        <v>103679.75000000047</v>
      </c>
      <c r="G137" s="159">
        <f t="shared" si="20"/>
        <v>118491.14285714332</v>
      </c>
      <c r="H137" s="163">
        <f t="shared" si="16"/>
        <v>44016.077559783873</v>
      </c>
      <c r="I137" s="253">
        <f t="shared" si="17"/>
        <v>44016.077559783873</v>
      </c>
      <c r="J137" s="158">
        <f t="shared" si="21"/>
        <v>0</v>
      </c>
      <c r="K137" s="158"/>
      <c r="L137" s="334"/>
      <c r="M137" s="158">
        <f t="shared" si="22"/>
        <v>0</v>
      </c>
      <c r="N137" s="334"/>
      <c r="O137" s="158">
        <f t="shared" si="23"/>
        <v>0</v>
      </c>
      <c r="P137" s="158">
        <f t="shared" si="24"/>
        <v>0</v>
      </c>
    </row>
    <row r="138" spans="2:16">
      <c r="B138" s="9" t="str">
        <f t="shared" si="18"/>
        <v/>
      </c>
      <c r="C138" s="153">
        <f>IF(D93="","-",+C137+1)</f>
        <v>2056</v>
      </c>
      <c r="D138" s="154">
        <f>IF(F137+SUM(E$99:E137)=D$92,F137,D$92-SUM(E$99:E137))</f>
        <v>103679.75000000047</v>
      </c>
      <c r="E138" s="160">
        <f>IF(+J96&lt;F137,J96,D138)</f>
        <v>29622.785714285714</v>
      </c>
      <c r="F138" s="159">
        <f t="shared" si="19"/>
        <v>74056.964285714756</v>
      </c>
      <c r="G138" s="159">
        <f t="shared" si="20"/>
        <v>88868.357142857611</v>
      </c>
      <c r="H138" s="163">
        <f t="shared" si="16"/>
        <v>40417.754598409345</v>
      </c>
      <c r="I138" s="253">
        <f t="shared" si="17"/>
        <v>40417.754598409345</v>
      </c>
      <c r="J138" s="158">
        <f t="shared" si="21"/>
        <v>0</v>
      </c>
      <c r="K138" s="158"/>
      <c r="L138" s="334"/>
      <c r="M138" s="158">
        <f t="shared" si="22"/>
        <v>0</v>
      </c>
      <c r="N138" s="334"/>
      <c r="O138" s="158">
        <f t="shared" si="23"/>
        <v>0</v>
      </c>
      <c r="P138" s="158">
        <f t="shared" si="24"/>
        <v>0</v>
      </c>
    </row>
    <row r="139" spans="2:16">
      <c r="B139" s="9" t="str">
        <f t="shared" si="18"/>
        <v/>
      </c>
      <c r="C139" s="153">
        <f>IF(D93="","-",+C138+1)</f>
        <v>2057</v>
      </c>
      <c r="D139" s="154">
        <f>IF(F138+SUM(E$99:E138)=D$92,F138,D$92-SUM(E$99:E138))</f>
        <v>74056.964285714756</v>
      </c>
      <c r="E139" s="160">
        <f>IF(+J96&lt;F138,J96,D139)</f>
        <v>29622.785714285714</v>
      </c>
      <c r="F139" s="159">
        <f t="shared" si="19"/>
        <v>44434.178571429045</v>
      </c>
      <c r="G139" s="159">
        <f t="shared" si="20"/>
        <v>59245.5714285719</v>
      </c>
      <c r="H139" s="163">
        <f t="shared" si="16"/>
        <v>36819.431637034824</v>
      </c>
      <c r="I139" s="253">
        <f t="shared" si="17"/>
        <v>36819.431637034824</v>
      </c>
      <c r="J139" s="158">
        <f t="shared" si="21"/>
        <v>0</v>
      </c>
      <c r="K139" s="158"/>
      <c r="L139" s="334"/>
      <c r="M139" s="158">
        <f t="shared" si="22"/>
        <v>0</v>
      </c>
      <c r="N139" s="334"/>
      <c r="O139" s="158">
        <f t="shared" si="23"/>
        <v>0</v>
      </c>
      <c r="P139" s="158">
        <f t="shared" si="24"/>
        <v>0</v>
      </c>
    </row>
    <row r="140" spans="2:16">
      <c r="B140" s="9" t="str">
        <f t="shared" si="18"/>
        <v/>
      </c>
      <c r="C140" s="153">
        <f>IF(D93="","-",+C139+1)</f>
        <v>2058</v>
      </c>
      <c r="D140" s="154">
        <f>IF(F139+SUM(E$99:E139)=D$92,F139,D$92-SUM(E$99:E139))</f>
        <v>44434.178571429045</v>
      </c>
      <c r="E140" s="160">
        <f>IF(+J96&lt;F139,J96,D140)</f>
        <v>29622.785714285714</v>
      </c>
      <c r="F140" s="159">
        <f t="shared" si="19"/>
        <v>14811.392857143332</v>
      </c>
      <c r="G140" s="159">
        <f t="shared" si="20"/>
        <v>29622.78571428619</v>
      </c>
      <c r="H140" s="163">
        <f t="shared" si="16"/>
        <v>33221.108675660296</v>
      </c>
      <c r="I140" s="253">
        <f t="shared" si="17"/>
        <v>33221.108675660296</v>
      </c>
      <c r="J140" s="158">
        <f t="shared" si="21"/>
        <v>0</v>
      </c>
      <c r="K140" s="158"/>
      <c r="L140" s="334"/>
      <c r="M140" s="158">
        <f t="shared" si="22"/>
        <v>0</v>
      </c>
      <c r="N140" s="334"/>
      <c r="O140" s="158">
        <f t="shared" si="23"/>
        <v>0</v>
      </c>
      <c r="P140" s="158">
        <f t="shared" si="24"/>
        <v>0</v>
      </c>
    </row>
    <row r="141" spans="2:16">
      <c r="B141" s="9" t="str">
        <f t="shared" si="18"/>
        <v/>
      </c>
      <c r="C141" s="153">
        <f>IF(D93="","-",+C140+1)</f>
        <v>2059</v>
      </c>
      <c r="D141" s="154">
        <f>IF(F140+SUM(E$99:E140)=D$92,F140,D$92-SUM(E$99:E140))</f>
        <v>14811.392857143332</v>
      </c>
      <c r="E141" s="160">
        <f>IF(+J96&lt;F140,J96,D141)</f>
        <v>14811.392857143332</v>
      </c>
      <c r="F141" s="159">
        <f t="shared" si="19"/>
        <v>0</v>
      </c>
      <c r="G141" s="159">
        <f t="shared" si="20"/>
        <v>7405.6964285716658</v>
      </c>
      <c r="H141" s="163">
        <f t="shared" si="16"/>
        <v>15710.973597486991</v>
      </c>
      <c r="I141" s="253">
        <f t="shared" si="17"/>
        <v>15710.973597486991</v>
      </c>
      <c r="J141" s="158">
        <f t="shared" si="21"/>
        <v>0</v>
      </c>
      <c r="K141" s="158"/>
      <c r="L141" s="334"/>
      <c r="M141" s="158">
        <f t="shared" si="22"/>
        <v>0</v>
      </c>
      <c r="N141" s="334"/>
      <c r="O141" s="158">
        <f t="shared" si="23"/>
        <v>0</v>
      </c>
      <c r="P141" s="158">
        <f t="shared" si="24"/>
        <v>0</v>
      </c>
    </row>
    <row r="142" spans="2:16">
      <c r="B142" s="9" t="str">
        <f t="shared" si="18"/>
        <v/>
      </c>
      <c r="C142" s="153">
        <f>IF(D93="","-",+C141+1)</f>
        <v>2060</v>
      </c>
      <c r="D142" s="154">
        <f>IF(F141+SUM(E$99:E141)=D$92,F141,D$92-SUM(E$99:E141))</f>
        <v>0</v>
      </c>
      <c r="E142" s="160">
        <f>IF(+J96&lt;F141,J96,D142)</f>
        <v>0</v>
      </c>
      <c r="F142" s="159">
        <f t="shared" si="19"/>
        <v>0</v>
      </c>
      <c r="G142" s="159">
        <f t="shared" si="20"/>
        <v>0</v>
      </c>
      <c r="H142" s="163">
        <f t="shared" si="16"/>
        <v>0</v>
      </c>
      <c r="I142" s="253">
        <f t="shared" si="17"/>
        <v>0</v>
      </c>
      <c r="J142" s="158">
        <f t="shared" si="21"/>
        <v>0</v>
      </c>
      <c r="K142" s="158"/>
      <c r="L142" s="334"/>
      <c r="M142" s="158">
        <f t="shared" si="22"/>
        <v>0</v>
      </c>
      <c r="N142" s="334"/>
      <c r="O142" s="158">
        <f t="shared" si="23"/>
        <v>0</v>
      </c>
      <c r="P142" s="158">
        <f t="shared" si="24"/>
        <v>0</v>
      </c>
    </row>
    <row r="143" spans="2:16">
      <c r="B143" s="9" t="str">
        <f t="shared" si="18"/>
        <v/>
      </c>
      <c r="C143" s="153">
        <f>IF(D93="","-",+C142+1)</f>
        <v>2061</v>
      </c>
      <c r="D143" s="154">
        <f>IF(F142+SUM(E$99:E142)=D$92,F142,D$92-SUM(E$99:E142))</f>
        <v>0</v>
      </c>
      <c r="E143" s="160">
        <f>IF(+J96&lt;F142,J96,D143)</f>
        <v>0</v>
      </c>
      <c r="F143" s="159">
        <f t="shared" si="19"/>
        <v>0</v>
      </c>
      <c r="G143" s="159">
        <f t="shared" si="20"/>
        <v>0</v>
      </c>
      <c r="H143" s="163">
        <f t="shared" si="16"/>
        <v>0</v>
      </c>
      <c r="I143" s="253">
        <f t="shared" si="17"/>
        <v>0</v>
      </c>
      <c r="J143" s="158">
        <f t="shared" si="21"/>
        <v>0</v>
      </c>
      <c r="K143" s="158"/>
      <c r="L143" s="334"/>
      <c r="M143" s="158">
        <f t="shared" si="22"/>
        <v>0</v>
      </c>
      <c r="N143" s="334"/>
      <c r="O143" s="158">
        <f t="shared" si="23"/>
        <v>0</v>
      </c>
      <c r="P143" s="158">
        <f t="shared" si="24"/>
        <v>0</v>
      </c>
    </row>
    <row r="144" spans="2:16">
      <c r="B144" s="9" t="str">
        <f t="shared" si="18"/>
        <v/>
      </c>
      <c r="C144" s="153">
        <f>IF(D93="","-",+C143+1)</f>
        <v>2062</v>
      </c>
      <c r="D144" s="154">
        <f>IF(F143+SUM(E$99:E143)=D$92,F143,D$92-SUM(E$99:E143))</f>
        <v>0</v>
      </c>
      <c r="E144" s="160">
        <f>IF(+J96&lt;F143,J96,D144)</f>
        <v>0</v>
      </c>
      <c r="F144" s="159">
        <f t="shared" si="19"/>
        <v>0</v>
      </c>
      <c r="G144" s="159">
        <f t="shared" si="20"/>
        <v>0</v>
      </c>
      <c r="H144" s="163">
        <f t="shared" si="16"/>
        <v>0</v>
      </c>
      <c r="I144" s="253">
        <f t="shared" si="17"/>
        <v>0</v>
      </c>
      <c r="J144" s="158">
        <f t="shared" si="21"/>
        <v>0</v>
      </c>
      <c r="K144" s="158"/>
      <c r="L144" s="334"/>
      <c r="M144" s="158">
        <f t="shared" si="22"/>
        <v>0</v>
      </c>
      <c r="N144" s="334"/>
      <c r="O144" s="158">
        <f t="shared" si="23"/>
        <v>0</v>
      </c>
      <c r="P144" s="158">
        <f t="shared" si="24"/>
        <v>0</v>
      </c>
    </row>
    <row r="145" spans="2:16">
      <c r="B145" s="9" t="str">
        <f t="shared" si="18"/>
        <v/>
      </c>
      <c r="C145" s="153">
        <f>IF(D93="","-",+C144+1)</f>
        <v>2063</v>
      </c>
      <c r="D145" s="154">
        <f>IF(F144+SUM(E$99:E144)=D$92,F144,D$92-SUM(E$99:E144))</f>
        <v>0</v>
      </c>
      <c r="E145" s="160">
        <f>IF(+J96&lt;F144,J96,D145)</f>
        <v>0</v>
      </c>
      <c r="F145" s="159">
        <f t="shared" si="19"/>
        <v>0</v>
      </c>
      <c r="G145" s="159">
        <f t="shared" si="20"/>
        <v>0</v>
      </c>
      <c r="H145" s="163">
        <f t="shared" si="16"/>
        <v>0</v>
      </c>
      <c r="I145" s="253">
        <f t="shared" si="17"/>
        <v>0</v>
      </c>
      <c r="J145" s="158">
        <f t="shared" si="21"/>
        <v>0</v>
      </c>
      <c r="K145" s="158"/>
      <c r="L145" s="334"/>
      <c r="M145" s="158">
        <f t="shared" si="22"/>
        <v>0</v>
      </c>
      <c r="N145" s="334"/>
      <c r="O145" s="158">
        <f t="shared" si="23"/>
        <v>0</v>
      </c>
      <c r="P145" s="158">
        <f t="shared" si="24"/>
        <v>0</v>
      </c>
    </row>
    <row r="146" spans="2:16">
      <c r="B146" s="9" t="str">
        <f t="shared" si="18"/>
        <v/>
      </c>
      <c r="C146" s="153">
        <f>IF(D93="","-",+C145+1)</f>
        <v>2064</v>
      </c>
      <c r="D146" s="154">
        <f>IF(F145+SUM(E$99:E145)=D$92,F145,D$92-SUM(E$99:E145))</f>
        <v>0</v>
      </c>
      <c r="E146" s="160">
        <f>IF(+J96&lt;F145,J96,D146)</f>
        <v>0</v>
      </c>
      <c r="F146" s="159">
        <f t="shared" si="19"/>
        <v>0</v>
      </c>
      <c r="G146" s="159">
        <f t="shared" si="20"/>
        <v>0</v>
      </c>
      <c r="H146" s="163">
        <f t="shared" si="16"/>
        <v>0</v>
      </c>
      <c r="I146" s="253">
        <f t="shared" si="17"/>
        <v>0</v>
      </c>
      <c r="J146" s="158">
        <f t="shared" si="21"/>
        <v>0</v>
      </c>
      <c r="K146" s="158"/>
      <c r="L146" s="334"/>
      <c r="M146" s="158">
        <f t="shared" si="22"/>
        <v>0</v>
      </c>
      <c r="N146" s="334"/>
      <c r="O146" s="158">
        <f t="shared" si="23"/>
        <v>0</v>
      </c>
      <c r="P146" s="158">
        <f t="shared" si="24"/>
        <v>0</v>
      </c>
    </row>
    <row r="147" spans="2:16">
      <c r="B147" s="9" t="str">
        <f t="shared" si="18"/>
        <v/>
      </c>
      <c r="C147" s="153">
        <f>IF(D93="","-",+C146+1)</f>
        <v>2065</v>
      </c>
      <c r="D147" s="154">
        <f>IF(F146+SUM(E$99:E146)=D$92,F146,D$92-SUM(E$99:E146))</f>
        <v>0</v>
      </c>
      <c r="E147" s="160">
        <f>IF(+J96&lt;F146,J96,D147)</f>
        <v>0</v>
      </c>
      <c r="F147" s="159">
        <f t="shared" si="19"/>
        <v>0</v>
      </c>
      <c r="G147" s="159">
        <f t="shared" si="20"/>
        <v>0</v>
      </c>
      <c r="H147" s="163">
        <f t="shared" si="16"/>
        <v>0</v>
      </c>
      <c r="I147" s="253">
        <f t="shared" si="17"/>
        <v>0</v>
      </c>
      <c r="J147" s="158">
        <f t="shared" si="21"/>
        <v>0</v>
      </c>
      <c r="K147" s="158"/>
      <c r="L147" s="334"/>
      <c r="M147" s="158">
        <f t="shared" si="22"/>
        <v>0</v>
      </c>
      <c r="N147" s="334"/>
      <c r="O147" s="158">
        <f t="shared" si="23"/>
        <v>0</v>
      </c>
      <c r="P147" s="158">
        <f t="shared" si="24"/>
        <v>0</v>
      </c>
    </row>
    <row r="148" spans="2:16">
      <c r="B148" s="9" t="str">
        <f t="shared" si="18"/>
        <v/>
      </c>
      <c r="C148" s="153">
        <f>IF(D93="","-",+C147+1)</f>
        <v>2066</v>
      </c>
      <c r="D148" s="154">
        <f>IF(F147+SUM(E$99:E147)=D$92,F147,D$92-SUM(E$99:E147))</f>
        <v>0</v>
      </c>
      <c r="E148" s="160">
        <f>IF(+J96&lt;F147,J96,D148)</f>
        <v>0</v>
      </c>
      <c r="F148" s="159">
        <f t="shared" si="19"/>
        <v>0</v>
      </c>
      <c r="G148" s="159">
        <f t="shared" si="20"/>
        <v>0</v>
      </c>
      <c r="H148" s="163">
        <f t="shared" si="16"/>
        <v>0</v>
      </c>
      <c r="I148" s="253">
        <f t="shared" si="17"/>
        <v>0</v>
      </c>
      <c r="J148" s="158">
        <f t="shared" si="21"/>
        <v>0</v>
      </c>
      <c r="K148" s="158"/>
      <c r="L148" s="334"/>
      <c r="M148" s="158">
        <f t="shared" si="22"/>
        <v>0</v>
      </c>
      <c r="N148" s="334"/>
      <c r="O148" s="158">
        <f t="shared" si="23"/>
        <v>0</v>
      </c>
      <c r="P148" s="158">
        <f t="shared" si="24"/>
        <v>0</v>
      </c>
    </row>
    <row r="149" spans="2:16">
      <c r="B149" s="9" t="str">
        <f t="shared" si="18"/>
        <v/>
      </c>
      <c r="C149" s="153">
        <f>IF(D93="","-",+C148+1)</f>
        <v>2067</v>
      </c>
      <c r="D149" s="154">
        <f>IF(F148+SUM(E$99:E148)=D$92,F148,D$92-SUM(E$99:E148))</f>
        <v>0</v>
      </c>
      <c r="E149" s="160">
        <f>IF(+J96&lt;F148,J96,D149)</f>
        <v>0</v>
      </c>
      <c r="F149" s="159">
        <f t="shared" si="19"/>
        <v>0</v>
      </c>
      <c r="G149" s="159">
        <f t="shared" si="20"/>
        <v>0</v>
      </c>
      <c r="H149" s="163">
        <f t="shared" si="16"/>
        <v>0</v>
      </c>
      <c r="I149" s="253">
        <f t="shared" si="17"/>
        <v>0</v>
      </c>
      <c r="J149" s="158">
        <f t="shared" si="21"/>
        <v>0</v>
      </c>
      <c r="K149" s="158"/>
      <c r="L149" s="334"/>
      <c r="M149" s="158">
        <f t="shared" si="22"/>
        <v>0</v>
      </c>
      <c r="N149" s="334"/>
      <c r="O149" s="158">
        <f t="shared" si="23"/>
        <v>0</v>
      </c>
      <c r="P149" s="158">
        <f t="shared" si="24"/>
        <v>0</v>
      </c>
    </row>
    <row r="150" spans="2:16">
      <c r="B150" s="9" t="str">
        <f t="shared" si="18"/>
        <v/>
      </c>
      <c r="C150" s="153">
        <f>IF(D93="","-",+C149+1)</f>
        <v>2068</v>
      </c>
      <c r="D150" s="154">
        <f>IF(F149+SUM(E$99:E149)=D$92,F149,D$92-SUM(E$99:E149))</f>
        <v>0</v>
      </c>
      <c r="E150" s="160">
        <f>IF(+J96&lt;F149,J96,D150)</f>
        <v>0</v>
      </c>
      <c r="F150" s="159">
        <f t="shared" si="19"/>
        <v>0</v>
      </c>
      <c r="G150" s="159">
        <f t="shared" si="20"/>
        <v>0</v>
      </c>
      <c r="H150" s="163">
        <f t="shared" si="16"/>
        <v>0</v>
      </c>
      <c r="I150" s="253">
        <f t="shared" si="17"/>
        <v>0</v>
      </c>
      <c r="J150" s="158">
        <f t="shared" si="21"/>
        <v>0</v>
      </c>
      <c r="K150" s="158"/>
      <c r="L150" s="334"/>
      <c r="M150" s="158">
        <f t="shared" si="22"/>
        <v>0</v>
      </c>
      <c r="N150" s="334"/>
      <c r="O150" s="158">
        <f t="shared" si="23"/>
        <v>0</v>
      </c>
      <c r="P150" s="158">
        <f t="shared" si="24"/>
        <v>0</v>
      </c>
    </row>
    <row r="151" spans="2:16">
      <c r="B151" s="9" t="str">
        <f t="shared" si="18"/>
        <v/>
      </c>
      <c r="C151" s="153">
        <f>IF(D93="","-",+C150+1)</f>
        <v>2069</v>
      </c>
      <c r="D151" s="154">
        <f>IF(F150+SUM(E$99:E150)=D$92,F150,D$92-SUM(E$99:E150))</f>
        <v>0</v>
      </c>
      <c r="E151" s="160">
        <f>IF(+J96&lt;F150,J96,D151)</f>
        <v>0</v>
      </c>
      <c r="F151" s="159">
        <f t="shared" si="19"/>
        <v>0</v>
      </c>
      <c r="G151" s="159">
        <f t="shared" si="20"/>
        <v>0</v>
      </c>
      <c r="H151" s="163">
        <f t="shared" si="16"/>
        <v>0</v>
      </c>
      <c r="I151" s="253">
        <f t="shared" si="17"/>
        <v>0</v>
      </c>
      <c r="J151" s="158">
        <f t="shared" si="21"/>
        <v>0</v>
      </c>
      <c r="K151" s="158"/>
      <c r="L151" s="334"/>
      <c r="M151" s="158">
        <f t="shared" si="22"/>
        <v>0</v>
      </c>
      <c r="N151" s="334"/>
      <c r="O151" s="158">
        <f t="shared" si="23"/>
        <v>0</v>
      </c>
      <c r="P151" s="158">
        <f t="shared" si="24"/>
        <v>0</v>
      </c>
    </row>
    <row r="152" spans="2:16">
      <c r="B152" s="9" t="str">
        <f t="shared" si="18"/>
        <v/>
      </c>
      <c r="C152" s="153">
        <f>IF(D93="","-",+C151+1)</f>
        <v>2070</v>
      </c>
      <c r="D152" s="154">
        <f>IF(F151+SUM(E$99:E151)=D$92,F151,D$92-SUM(E$99:E151))</f>
        <v>0</v>
      </c>
      <c r="E152" s="160">
        <f>IF(+J96&lt;F151,J96,D152)</f>
        <v>0</v>
      </c>
      <c r="F152" s="159">
        <f t="shared" si="19"/>
        <v>0</v>
      </c>
      <c r="G152" s="159">
        <f t="shared" si="20"/>
        <v>0</v>
      </c>
      <c r="H152" s="163">
        <f t="shared" si="16"/>
        <v>0</v>
      </c>
      <c r="I152" s="253">
        <f t="shared" si="17"/>
        <v>0</v>
      </c>
      <c r="J152" s="158">
        <f t="shared" si="21"/>
        <v>0</v>
      </c>
      <c r="K152" s="158"/>
      <c r="L152" s="334"/>
      <c r="M152" s="158">
        <f t="shared" si="22"/>
        <v>0</v>
      </c>
      <c r="N152" s="334"/>
      <c r="O152" s="158">
        <f t="shared" si="23"/>
        <v>0</v>
      </c>
      <c r="P152" s="158">
        <f t="shared" si="24"/>
        <v>0</v>
      </c>
    </row>
    <row r="153" spans="2:16">
      <c r="B153" s="9" t="str">
        <f t="shared" si="18"/>
        <v/>
      </c>
      <c r="C153" s="153">
        <f>IF(D93="","-",+C152+1)</f>
        <v>2071</v>
      </c>
      <c r="D153" s="154">
        <f>IF(F152+SUM(E$99:E152)=D$92,F152,D$92-SUM(E$99:E152))</f>
        <v>0</v>
      </c>
      <c r="E153" s="160">
        <f>IF(+J96&lt;F152,J96,D153)</f>
        <v>0</v>
      </c>
      <c r="F153" s="159">
        <f t="shared" si="19"/>
        <v>0</v>
      </c>
      <c r="G153" s="159">
        <f t="shared" si="20"/>
        <v>0</v>
      </c>
      <c r="H153" s="163">
        <f t="shared" si="16"/>
        <v>0</v>
      </c>
      <c r="I153" s="253">
        <f t="shared" si="17"/>
        <v>0</v>
      </c>
      <c r="J153" s="158">
        <f t="shared" si="21"/>
        <v>0</v>
      </c>
      <c r="K153" s="158"/>
      <c r="L153" s="334"/>
      <c r="M153" s="158">
        <f t="shared" si="22"/>
        <v>0</v>
      </c>
      <c r="N153" s="334"/>
      <c r="O153" s="158">
        <f t="shared" si="23"/>
        <v>0</v>
      </c>
      <c r="P153" s="158">
        <f t="shared" si="24"/>
        <v>0</v>
      </c>
    </row>
    <row r="154" spans="2:16" ht="13.5" thickBot="1">
      <c r="B154" s="9" t="str">
        <f t="shared" si="18"/>
        <v/>
      </c>
      <c r="C154" s="164">
        <f>IF(D93="","-",+C153+1)</f>
        <v>2072</v>
      </c>
      <c r="D154" s="215">
        <f>IF(F153+SUM(E$99:E153)=D$92,F153,D$92-SUM(E$99:E153))</f>
        <v>0</v>
      </c>
      <c r="E154" s="166">
        <f>IF(+J96&lt;F153,J96,D154)</f>
        <v>0</v>
      </c>
      <c r="F154" s="165">
        <f t="shared" si="19"/>
        <v>0</v>
      </c>
      <c r="G154" s="165">
        <f t="shared" si="20"/>
        <v>0</v>
      </c>
      <c r="H154" s="167">
        <f t="shared" si="16"/>
        <v>0</v>
      </c>
      <c r="I154" s="254">
        <f t="shared" si="17"/>
        <v>0</v>
      </c>
      <c r="J154" s="169">
        <f t="shared" si="21"/>
        <v>0</v>
      </c>
      <c r="K154" s="158"/>
      <c r="L154" s="335"/>
      <c r="M154" s="169">
        <f t="shared" si="22"/>
        <v>0</v>
      </c>
      <c r="N154" s="335"/>
      <c r="O154" s="169">
        <f t="shared" si="23"/>
        <v>0</v>
      </c>
      <c r="P154" s="169">
        <f t="shared" si="24"/>
        <v>0</v>
      </c>
    </row>
    <row r="155" spans="2:16">
      <c r="C155" s="154" t="s">
        <v>73</v>
      </c>
      <c r="D155" s="111"/>
      <c r="E155" s="111">
        <f>SUM(E99:E154)</f>
        <v>1244157</v>
      </c>
      <c r="F155" s="111"/>
      <c r="G155" s="111"/>
      <c r="H155" s="111">
        <f>SUM(H99:H154)</f>
        <v>4417877.8519323338</v>
      </c>
      <c r="I155" s="111">
        <f>SUM(I99:I154)</f>
        <v>4417877.8519323338</v>
      </c>
      <c r="J155" s="111">
        <f>SUM(J99:J154)</f>
        <v>0</v>
      </c>
      <c r="K155" s="111"/>
      <c r="L155" s="111"/>
      <c r="M155" s="111"/>
      <c r="N155" s="111"/>
      <c r="O155" s="111"/>
      <c r="P155" s="1"/>
    </row>
    <row r="156" spans="2:16">
      <c r="C156" t="s">
        <v>87</v>
      </c>
      <c r="D156" s="2"/>
      <c r="E156" s="1"/>
      <c r="F156" s="1"/>
      <c r="G156" s="1"/>
      <c r="H156" s="1"/>
      <c r="I156" s="3"/>
      <c r="J156" s="3"/>
      <c r="K156" s="111"/>
      <c r="L156" s="3"/>
      <c r="M156" s="3"/>
      <c r="N156" s="3"/>
      <c r="O156" s="3"/>
      <c r="P156" s="1"/>
    </row>
    <row r="157" spans="2:16">
      <c r="C157" s="216"/>
      <c r="D157" s="2"/>
      <c r="E157" s="1"/>
      <c r="F157" s="1"/>
      <c r="G157" s="1"/>
      <c r="H157" s="1"/>
      <c r="I157" s="3"/>
      <c r="J157" s="3"/>
      <c r="K157" s="111"/>
      <c r="L157" s="3"/>
      <c r="M157" s="3"/>
      <c r="N157" s="3"/>
      <c r="O157" s="3"/>
      <c r="P157" s="1"/>
    </row>
    <row r="158" spans="2:16">
      <c r="C158" s="248" t="s">
        <v>127</v>
      </c>
      <c r="D158" s="2"/>
      <c r="E158" s="1"/>
      <c r="F158" s="1"/>
      <c r="G158" s="1"/>
      <c r="H158" s="1"/>
      <c r="I158" s="3"/>
      <c r="J158" s="3"/>
      <c r="K158" s="111"/>
      <c r="L158" s="3"/>
      <c r="M158" s="3"/>
      <c r="N158" s="3"/>
      <c r="O158" s="3"/>
      <c r="P158" s="1"/>
    </row>
    <row r="159" spans="2:16">
      <c r="C159" s="121" t="s">
        <v>74</v>
      </c>
      <c r="D159" s="154"/>
      <c r="E159" s="154"/>
      <c r="F159" s="154"/>
      <c r="G159" s="154"/>
      <c r="H159" s="111"/>
      <c r="I159" s="111"/>
      <c r="J159" s="171"/>
      <c r="K159" s="171"/>
      <c r="L159" s="171"/>
      <c r="M159" s="171"/>
      <c r="N159" s="171"/>
      <c r="O159" s="171"/>
      <c r="P159" s="1"/>
    </row>
    <row r="160" spans="2:16">
      <c r="C160" s="217" t="s">
        <v>75</v>
      </c>
      <c r="D160" s="154"/>
      <c r="E160" s="154"/>
      <c r="F160" s="154"/>
      <c r="G160" s="154"/>
      <c r="H160" s="111"/>
      <c r="I160" s="111"/>
      <c r="J160" s="171"/>
      <c r="K160" s="171"/>
      <c r="L160" s="171"/>
      <c r="M160" s="171"/>
      <c r="N160" s="171"/>
      <c r="O160" s="171"/>
      <c r="P160" s="1"/>
    </row>
    <row r="161" spans="3:16">
      <c r="C161" s="217"/>
      <c r="D161" s="154"/>
      <c r="E161" s="154"/>
      <c r="F161" s="154"/>
      <c r="G161" s="154"/>
      <c r="H161" s="111"/>
      <c r="I161" s="111"/>
      <c r="J161" s="171"/>
      <c r="K161" s="171"/>
      <c r="L161" s="171"/>
      <c r="M161" s="171"/>
      <c r="N161" s="171"/>
      <c r="O161" s="171"/>
      <c r="P161" s="1"/>
    </row>
    <row r="162" spans="3:16" ht="18">
      <c r="C162" s="217"/>
      <c r="D162" s="154"/>
      <c r="E162" s="154"/>
      <c r="F162" s="154"/>
      <c r="G162" s="154"/>
      <c r="H162" s="111"/>
      <c r="I162" s="111"/>
      <c r="J162" s="171"/>
      <c r="K162" s="171"/>
      <c r="L162" s="171"/>
      <c r="M162" s="171"/>
      <c r="N162" s="171"/>
      <c r="P162" s="245" t="s">
        <v>126</v>
      </c>
    </row>
  </sheetData>
  <conditionalFormatting sqref="C18:C72">
    <cfRule type="cellIs" dxfId="37" priority="2" stopIfTrue="1" operator="equal">
      <formula>$I$10</formula>
    </cfRule>
  </conditionalFormatting>
  <conditionalFormatting sqref="C99:C154">
    <cfRule type="cellIs" dxfId="36" priority="3" stopIfTrue="1" operator="equal">
      <formula>$J$92</formula>
    </cfRule>
  </conditionalFormatting>
  <conditionalFormatting sqref="C17">
    <cfRule type="cellIs" dxfId="35" priority="1" stopIfTrue="1" operator="equal">
      <formula>$I$10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2"/>
  <dimension ref="A1:P162"/>
  <sheetViews>
    <sheetView view="pageBreakPreview" topLeftCell="A49" zoomScale="80" zoomScaleNormal="100" zoomScaleSheetLayoutView="80" workbookViewId="0">
      <selection activeCell="C19" sqref="C19"/>
    </sheetView>
  </sheetViews>
  <sheetFormatPr defaultRowHeight="12.75" customHeight="1"/>
  <cols>
    <col min="1" max="1" width="4.7109375" customWidth="1"/>
    <col min="2" max="2" width="6.7109375" customWidth="1"/>
    <col min="3" max="3" width="23.28515625" customWidth="1"/>
    <col min="4" max="8" width="17.7109375" customWidth="1"/>
    <col min="9" max="9" width="20.42578125" customWidth="1"/>
    <col min="10" max="10" width="16.42578125" customWidth="1"/>
    <col min="11" max="11" width="17.7109375" customWidth="1"/>
    <col min="12" max="12" width="16.140625" customWidth="1"/>
    <col min="13" max="13" width="17.7109375" customWidth="1"/>
    <col min="14" max="14" width="16.7109375" customWidth="1"/>
    <col min="15" max="15" width="16.85546875" customWidth="1"/>
    <col min="16" max="16" width="24.42578125" customWidth="1"/>
    <col min="17" max="17" width="9.140625" customWidth="1"/>
    <col min="23" max="23" width="9.140625" customWidth="1"/>
  </cols>
  <sheetData>
    <row r="1" spans="1:16" ht="20.25">
      <c r="A1" s="243" t="s">
        <v>128</v>
      </c>
      <c r="B1" s="1"/>
      <c r="C1" s="21"/>
      <c r="D1" s="2"/>
      <c r="E1" s="1"/>
      <c r="F1" s="99"/>
      <c r="G1" s="1"/>
      <c r="H1" s="3"/>
      <c r="J1" s="7"/>
      <c r="K1" s="109"/>
      <c r="L1" s="109"/>
      <c r="M1" s="109"/>
      <c r="P1" s="249" t="str">
        <f ca="1">"SWEPCO Project "&amp;RIGHT(MID(CELL("filename",$A$1),FIND("]",CELL("filename",$A$1))+1,256),2)&amp;" of "&amp;COUNT('S.001:S.xyz - blank'!$P$3)-1</f>
        <v>SWEPCO Project 63 of 73</v>
      </c>
    </row>
    <row r="2" spans="1:16" ht="18">
      <c r="B2" s="1"/>
      <c r="C2" s="1"/>
      <c r="D2" s="2"/>
      <c r="E2" s="1"/>
      <c r="F2" s="1"/>
      <c r="G2" s="1"/>
      <c r="H2" s="3"/>
      <c r="I2" s="1"/>
      <c r="J2" s="4"/>
      <c r="K2" s="1"/>
      <c r="L2" s="1"/>
      <c r="M2" s="1"/>
      <c r="N2" s="1"/>
      <c r="P2" s="244" t="s">
        <v>124</v>
      </c>
    </row>
    <row r="3" spans="1:16" ht="18.75">
      <c r="B3" s="5" t="s">
        <v>40</v>
      </c>
      <c r="C3" s="68" t="s">
        <v>41</v>
      </c>
      <c r="D3" s="2"/>
      <c r="E3" s="1"/>
      <c r="F3" s="1"/>
      <c r="G3" s="1"/>
      <c r="H3" s="3"/>
      <c r="I3" s="3"/>
      <c r="J3" s="111"/>
      <c r="K3" s="3"/>
      <c r="L3" s="3"/>
      <c r="M3" s="3"/>
      <c r="N3" s="3"/>
      <c r="O3" s="1"/>
      <c r="P3" s="240">
        <v>1</v>
      </c>
    </row>
    <row r="4" spans="1:16" ht="15.75" thickBot="1">
      <c r="C4" s="67"/>
      <c r="D4" s="2"/>
      <c r="E4" s="1"/>
      <c r="F4" s="1"/>
      <c r="G4" s="1"/>
      <c r="H4" s="3"/>
      <c r="I4" s="3"/>
      <c r="J4" s="111"/>
      <c r="K4" s="3"/>
      <c r="L4" s="3"/>
      <c r="M4" s="3"/>
      <c r="N4" s="3"/>
      <c r="O4" s="1"/>
      <c r="P4" s="1"/>
    </row>
    <row r="5" spans="1:16" ht="15">
      <c r="C5" s="112" t="s">
        <v>42</v>
      </c>
      <c r="D5" s="2"/>
      <c r="E5" s="1"/>
      <c r="F5" s="1"/>
      <c r="G5" s="113"/>
      <c r="H5" s="1" t="s">
        <v>43</v>
      </c>
      <c r="I5" s="1"/>
      <c r="J5" s="4"/>
      <c r="K5" s="268" t="s">
        <v>152</v>
      </c>
      <c r="L5" s="114"/>
      <c r="M5" s="115"/>
      <c r="N5" s="116">
        <f>VLOOKUP(I10,C17:I72,5)</f>
        <v>656695.01889722759</v>
      </c>
      <c r="P5" s="1"/>
    </row>
    <row r="6" spans="1:16" ht="15.75">
      <c r="C6" s="8"/>
      <c r="D6" s="2"/>
      <c r="E6" s="1"/>
      <c r="F6" s="1"/>
      <c r="G6" s="1"/>
      <c r="H6" s="117"/>
      <c r="I6" s="117"/>
      <c r="J6" s="118"/>
      <c r="K6" s="269" t="s">
        <v>153</v>
      </c>
      <c r="L6" s="119"/>
      <c r="M6" s="4"/>
      <c r="N6" s="120">
        <f>VLOOKUP(I10,C17:I72,6)</f>
        <v>656695.01889722759</v>
      </c>
      <c r="O6" s="1"/>
      <c r="P6" s="1"/>
    </row>
    <row r="7" spans="1:16" ht="13.5" thickBot="1">
      <c r="C7" s="121" t="s">
        <v>44</v>
      </c>
      <c r="D7" s="223" t="s">
        <v>373</v>
      </c>
      <c r="E7" s="1"/>
      <c r="F7" s="1"/>
      <c r="G7" s="1"/>
      <c r="H7" s="3"/>
      <c r="I7" s="3"/>
      <c r="J7" s="111"/>
      <c r="K7" s="122" t="s">
        <v>45</v>
      </c>
      <c r="L7" s="123"/>
      <c r="M7" s="123"/>
      <c r="N7" s="124">
        <f>+N6-N5</f>
        <v>0</v>
      </c>
      <c r="O7" s="1"/>
      <c r="P7" s="1"/>
    </row>
    <row r="8" spans="1:16" ht="13.5" thickBot="1">
      <c r="C8" s="125"/>
      <c r="D8" s="352" t="str">
        <f>IF(D10&lt;100000,"DOES NOT MEET SPP $100,000 MINIMUM INVESTMENT FOR REGIONAL BPU SHARING.","")</f>
        <v/>
      </c>
      <c r="E8" s="126"/>
      <c r="F8" s="126"/>
      <c r="G8" s="126"/>
      <c r="H8" s="126"/>
      <c r="I8" s="126"/>
      <c r="J8" s="101"/>
      <c r="K8" s="126"/>
      <c r="L8" s="126"/>
      <c r="M8" s="126"/>
      <c r="N8" s="126"/>
      <c r="O8" s="101"/>
      <c r="P8" s="21"/>
    </row>
    <row r="9" spans="1:16" ht="13.5" thickBot="1">
      <c r="C9" s="127" t="s">
        <v>46</v>
      </c>
      <c r="D9" s="225" t="s">
        <v>252</v>
      </c>
      <c r="E9" s="401" t="s">
        <v>450</v>
      </c>
      <c r="F9" s="128"/>
      <c r="G9" s="128"/>
      <c r="H9" s="128"/>
      <c r="I9" s="129"/>
      <c r="J9" s="130"/>
      <c r="O9" s="131"/>
      <c r="P9" s="4"/>
    </row>
    <row r="10" spans="1:16">
      <c r="C10" s="132" t="s">
        <v>47</v>
      </c>
      <c r="D10" s="133">
        <v>5508000</v>
      </c>
      <c r="E10" s="61" t="s">
        <v>459</v>
      </c>
      <c r="F10" s="131"/>
      <c r="G10" s="134"/>
      <c r="H10" s="134"/>
      <c r="I10" s="135">
        <f>+SWE.WS.F.BPU.ATRR.Projected!K17</f>
        <v>2019</v>
      </c>
      <c r="J10" s="130"/>
      <c r="K10" s="111" t="s">
        <v>48</v>
      </c>
      <c r="O10" s="4"/>
      <c r="P10" s="4"/>
    </row>
    <row r="11" spans="1:16">
      <c r="C11" s="136" t="s">
        <v>49</v>
      </c>
      <c r="D11" s="137">
        <v>2017</v>
      </c>
      <c r="E11" s="136" t="s">
        <v>50</v>
      </c>
      <c r="F11" s="134"/>
      <c r="G11" s="7"/>
      <c r="H11" s="7"/>
      <c r="I11" s="138">
        <f>IF(G5="",0,SWE.WS.F.BPU.ATRR.Projected!F$11)</f>
        <v>0</v>
      </c>
      <c r="J11" s="139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4"/>
      <c r="P11" s="4"/>
    </row>
    <row r="12" spans="1:16">
      <c r="C12" s="136" t="s">
        <v>51</v>
      </c>
      <c r="D12" s="133">
        <v>12</v>
      </c>
      <c r="E12" s="136" t="s">
        <v>52</v>
      </c>
      <c r="F12" s="134"/>
      <c r="G12" s="7"/>
      <c r="H12" s="7"/>
      <c r="I12" s="140">
        <f>SWE.WS.F.BPU.ATRR.Projected!$F$76</f>
        <v>9.9555672459071778E-2</v>
      </c>
      <c r="J12" s="141"/>
      <c r="K12" t="s">
        <v>53</v>
      </c>
      <c r="O12" s="4"/>
      <c r="P12" s="4"/>
    </row>
    <row r="13" spans="1:16">
      <c r="C13" s="136" t="s">
        <v>54</v>
      </c>
      <c r="D13" s="138">
        <f>+SWE.WS.F.BPU.ATRR.Projected!F$87</f>
        <v>43</v>
      </c>
      <c r="E13" s="136" t="s">
        <v>55</v>
      </c>
      <c r="F13" s="134"/>
      <c r="G13" s="7"/>
      <c r="H13" s="7"/>
      <c r="I13" s="140">
        <f>IF(G5="",I12,SWE.WS.F.BPU.ATRR.Projected!$F$75)</f>
        <v>9.9555672459071778E-2</v>
      </c>
      <c r="J13" s="141"/>
      <c r="K13" s="111" t="s">
        <v>56</v>
      </c>
      <c r="L13" s="58"/>
      <c r="M13" s="58"/>
      <c r="N13" s="58"/>
      <c r="O13" s="4"/>
      <c r="P13" s="4"/>
    </row>
    <row r="14" spans="1:16" ht="13.5" thickBot="1">
      <c r="C14" s="136" t="s">
        <v>57</v>
      </c>
      <c r="D14" s="137" t="s">
        <v>58</v>
      </c>
      <c r="E14" s="4" t="s">
        <v>59</v>
      </c>
      <c r="F14" s="134"/>
      <c r="G14" s="7"/>
      <c r="H14" s="7"/>
      <c r="I14" s="142">
        <f>IF(D10=0,0,D10/D13)</f>
        <v>128093.02325581395</v>
      </c>
      <c r="J14" s="111"/>
      <c r="K14" s="111"/>
      <c r="L14" s="111"/>
      <c r="M14" s="111"/>
      <c r="N14" s="111"/>
      <c r="O14" s="4"/>
      <c r="P14" s="4"/>
    </row>
    <row r="15" spans="1:16" ht="38.25">
      <c r="C15" s="143" t="s">
        <v>47</v>
      </c>
      <c r="D15" s="144" t="s">
        <v>60</v>
      </c>
      <c r="E15" s="144" t="s">
        <v>61</v>
      </c>
      <c r="F15" s="144" t="s">
        <v>62</v>
      </c>
      <c r="G15" s="434" t="s">
        <v>378</v>
      </c>
      <c r="H15" s="435" t="s">
        <v>379</v>
      </c>
      <c r="I15" s="143" t="s">
        <v>63</v>
      </c>
      <c r="J15" s="145"/>
      <c r="K15" s="271" t="s">
        <v>219</v>
      </c>
      <c r="L15" s="146" t="s">
        <v>64</v>
      </c>
      <c r="M15" s="271" t="s">
        <v>219</v>
      </c>
      <c r="N15" s="146" t="s">
        <v>64</v>
      </c>
      <c r="O15" s="146" t="s">
        <v>65</v>
      </c>
      <c r="P15" s="4"/>
    </row>
    <row r="16" spans="1:16" ht="13.5" thickBot="1">
      <c r="C16" s="147" t="s">
        <v>66</v>
      </c>
      <c r="D16" s="147" t="s">
        <v>67</v>
      </c>
      <c r="E16" s="147" t="s">
        <v>68</v>
      </c>
      <c r="F16" s="147" t="s">
        <v>67</v>
      </c>
      <c r="G16" s="408" t="s">
        <v>69</v>
      </c>
      <c r="H16" s="148" t="s">
        <v>70</v>
      </c>
      <c r="I16" s="149" t="s">
        <v>89</v>
      </c>
      <c r="J16" s="150" t="s">
        <v>71</v>
      </c>
      <c r="K16" s="151" t="s">
        <v>72</v>
      </c>
      <c r="L16" s="151" t="s">
        <v>72</v>
      </c>
      <c r="M16" s="151" t="s">
        <v>90</v>
      </c>
      <c r="N16" s="152" t="s">
        <v>90</v>
      </c>
      <c r="O16" s="151" t="s">
        <v>90</v>
      </c>
      <c r="P16" s="4"/>
    </row>
    <row r="17" spans="2:16">
      <c r="C17" s="153">
        <f>IF(D11= "","-",D11)</f>
        <v>2017</v>
      </c>
      <c r="D17" s="360">
        <v>0</v>
      </c>
      <c r="E17" s="360">
        <v>0</v>
      </c>
      <c r="F17" s="360">
        <v>5508000</v>
      </c>
      <c r="G17" s="360">
        <v>341200.03757960664</v>
      </c>
      <c r="H17" s="360">
        <v>341200.03757960664</v>
      </c>
      <c r="I17" s="156">
        <v>0</v>
      </c>
      <c r="J17" s="156"/>
      <c r="K17" s="258">
        <f>+G17</f>
        <v>341200.03757960664</v>
      </c>
      <c r="L17" s="257">
        <f>IF(K17&lt;&gt;0,+G17-K17,0)</f>
        <v>0</v>
      </c>
      <c r="M17" s="258">
        <f>+H17</f>
        <v>341200.03757960664</v>
      </c>
      <c r="N17" s="158">
        <f>IF(M17&lt;&gt;0,+H17-M17,0)</f>
        <v>0</v>
      </c>
      <c r="O17" s="158">
        <f>+N17-L17</f>
        <v>0</v>
      </c>
      <c r="P17" s="4"/>
    </row>
    <row r="18" spans="2:16">
      <c r="B18" s="9" t="str">
        <f>IF(D18=F17,"","IU")</f>
        <v/>
      </c>
      <c r="C18" s="153">
        <f>IF(D11="","-",+C17+1)</f>
        <v>2018</v>
      </c>
      <c r="D18" s="360">
        <v>5508000</v>
      </c>
      <c r="E18" s="360">
        <v>134341.46341463414</v>
      </c>
      <c r="F18" s="360">
        <v>5373658.5365853654</v>
      </c>
      <c r="G18" s="360">
        <v>743084.34805292333</v>
      </c>
      <c r="H18" s="360">
        <v>743084.34805292333</v>
      </c>
      <c r="I18" s="156">
        <f t="shared" ref="I18:I72" si="0">H18-G18</f>
        <v>0</v>
      </c>
      <c r="J18" s="156"/>
      <c r="K18" s="258">
        <f>+G18</f>
        <v>743084.34805292333</v>
      </c>
      <c r="L18" s="257">
        <f>IF(K18&lt;&gt;0,+G18-K18,0)</f>
        <v>0</v>
      </c>
      <c r="M18" s="258">
        <f>+H18</f>
        <v>743084.34805292333</v>
      </c>
      <c r="N18" s="158">
        <f>IF(M18&lt;&gt;0,+H18-M18,0)</f>
        <v>0</v>
      </c>
      <c r="O18" s="158">
        <f>+N18-L18</f>
        <v>0</v>
      </c>
      <c r="P18" s="4"/>
    </row>
    <row r="19" spans="2:16">
      <c r="B19" s="9" t="str">
        <f>IF(D19=F18,"","IU")</f>
        <v/>
      </c>
      <c r="C19" s="153">
        <f>IF(D11="","-",+C18+1)</f>
        <v>2019</v>
      </c>
      <c r="D19" s="159">
        <f>IF(F18+SUM(E$17:E18)=D$10,F18,D$10-SUM(E$17:E18))</f>
        <v>5373658.5365853654</v>
      </c>
      <c r="E19" s="160">
        <f>IF(+I14&lt;F18,I14,D19)</f>
        <v>128093.02325581395</v>
      </c>
      <c r="F19" s="159">
        <f t="shared" ref="F19:F72" si="1">+D19-E19</f>
        <v>5245565.5133295516</v>
      </c>
      <c r="G19" s="161">
        <f t="shared" ref="G19:G48" si="2">+I$12*((D19+F19)/2)+E19</f>
        <v>656695.01889722759</v>
      </c>
      <c r="H19" s="142">
        <f t="shared" ref="H19:H48" si="3">+I$13*((D19+F19)/2)+E19</f>
        <v>656695.01889722759</v>
      </c>
      <c r="I19" s="156">
        <f t="shared" si="0"/>
        <v>0</v>
      </c>
      <c r="J19" s="156"/>
      <c r="K19" s="334"/>
      <c r="L19" s="158">
        <f t="shared" ref="L19:L72" si="4">IF(K19&lt;&gt;0,+G19-K19,0)</f>
        <v>0</v>
      </c>
      <c r="M19" s="334"/>
      <c r="N19" s="158">
        <f t="shared" ref="N19:N72" si="5">IF(M19&lt;&gt;0,+H19-M19,0)</f>
        <v>0</v>
      </c>
      <c r="O19" s="158">
        <f t="shared" ref="O19:O72" si="6">+N19-L19</f>
        <v>0</v>
      </c>
      <c r="P19" s="4"/>
    </row>
    <row r="20" spans="2:16">
      <c r="B20" s="9" t="str">
        <f t="shared" ref="B20:B72" si="7">IF(D20=F19,"","IU")</f>
        <v/>
      </c>
      <c r="C20" s="153">
        <f>IF(D11="","-",+C19+1)</f>
        <v>2020</v>
      </c>
      <c r="D20" s="159">
        <f>IF(F19+SUM(E$17:E19)=D$10,F19,D$10-SUM(E$17:E19))</f>
        <v>5245565.5133295516</v>
      </c>
      <c r="E20" s="160">
        <f>IF(+I14&lt;F19,I14,D20)</f>
        <v>128093.02325581395</v>
      </c>
      <c r="F20" s="159">
        <f t="shared" si="1"/>
        <v>5117472.4900737377</v>
      </c>
      <c r="G20" s="161">
        <f t="shared" si="2"/>
        <v>643942.63182967948</v>
      </c>
      <c r="H20" s="142">
        <f t="shared" si="3"/>
        <v>643942.63182967948</v>
      </c>
      <c r="I20" s="156">
        <f t="shared" si="0"/>
        <v>0</v>
      </c>
      <c r="J20" s="156"/>
      <c r="K20" s="334"/>
      <c r="L20" s="158">
        <f t="shared" si="4"/>
        <v>0</v>
      </c>
      <c r="M20" s="334"/>
      <c r="N20" s="158">
        <f t="shared" si="5"/>
        <v>0</v>
      </c>
      <c r="O20" s="158">
        <f t="shared" si="6"/>
        <v>0</v>
      </c>
      <c r="P20" s="4"/>
    </row>
    <row r="21" spans="2:16">
      <c r="B21" s="9" t="str">
        <f t="shared" si="7"/>
        <v/>
      </c>
      <c r="C21" s="153">
        <f>IF(D11="","-",+C20+1)</f>
        <v>2021</v>
      </c>
      <c r="D21" s="159">
        <f>IF(F20+SUM(E$17:E20)=D$10,F20,D$10-SUM(E$17:E20))</f>
        <v>5117472.4900737377</v>
      </c>
      <c r="E21" s="160">
        <f>IF(+I14&lt;F20,I14,D21)</f>
        <v>128093.02325581395</v>
      </c>
      <c r="F21" s="159">
        <f t="shared" si="1"/>
        <v>4989379.4668179238</v>
      </c>
      <c r="G21" s="161">
        <f t="shared" si="2"/>
        <v>631190.24476213136</v>
      </c>
      <c r="H21" s="142">
        <f t="shared" si="3"/>
        <v>631190.24476213136</v>
      </c>
      <c r="I21" s="156">
        <f t="shared" si="0"/>
        <v>0</v>
      </c>
      <c r="J21" s="156"/>
      <c r="K21" s="334"/>
      <c r="L21" s="158">
        <f t="shared" si="4"/>
        <v>0</v>
      </c>
      <c r="M21" s="334"/>
      <c r="N21" s="158">
        <f t="shared" si="5"/>
        <v>0</v>
      </c>
      <c r="O21" s="158">
        <f t="shared" si="6"/>
        <v>0</v>
      </c>
      <c r="P21" s="4"/>
    </row>
    <row r="22" spans="2:16">
      <c r="B22" s="9" t="str">
        <f t="shared" si="7"/>
        <v/>
      </c>
      <c r="C22" s="153">
        <f>IF(D11="","-",+C21+1)</f>
        <v>2022</v>
      </c>
      <c r="D22" s="159">
        <f>IF(F21+SUM(E$17:E21)=D$10,F21,D$10-SUM(E$17:E21))</f>
        <v>4989379.4668179238</v>
      </c>
      <c r="E22" s="160">
        <f>IF(+I14&lt;F21,I14,D22)</f>
        <v>128093.02325581395</v>
      </c>
      <c r="F22" s="159">
        <f t="shared" si="1"/>
        <v>4861286.44356211</v>
      </c>
      <c r="G22" s="161">
        <f t="shared" si="2"/>
        <v>618437.85769458336</v>
      </c>
      <c r="H22" s="142">
        <f t="shared" si="3"/>
        <v>618437.85769458336</v>
      </c>
      <c r="I22" s="156">
        <f t="shared" si="0"/>
        <v>0</v>
      </c>
      <c r="J22" s="156"/>
      <c r="K22" s="334"/>
      <c r="L22" s="158">
        <f t="shared" si="4"/>
        <v>0</v>
      </c>
      <c r="M22" s="334"/>
      <c r="N22" s="158">
        <f t="shared" si="5"/>
        <v>0</v>
      </c>
      <c r="O22" s="158">
        <f t="shared" si="6"/>
        <v>0</v>
      </c>
      <c r="P22" s="4"/>
    </row>
    <row r="23" spans="2:16">
      <c r="B23" s="9" t="str">
        <f t="shared" si="7"/>
        <v/>
      </c>
      <c r="C23" s="153">
        <f>IF(D11="","-",+C22+1)</f>
        <v>2023</v>
      </c>
      <c r="D23" s="159">
        <f>IF(F22+SUM(E$17:E22)=D$10,F22,D$10-SUM(E$17:E22))</f>
        <v>4861286.44356211</v>
      </c>
      <c r="E23" s="160">
        <f>IF(+I14&lt;F22,I14,D23)</f>
        <v>128093.02325581395</v>
      </c>
      <c r="F23" s="159">
        <f t="shared" si="1"/>
        <v>4733193.4203062961</v>
      </c>
      <c r="G23" s="161">
        <f t="shared" si="2"/>
        <v>605685.47062703525</v>
      </c>
      <c r="H23" s="142">
        <f t="shared" si="3"/>
        <v>605685.47062703525</v>
      </c>
      <c r="I23" s="156">
        <f t="shared" si="0"/>
        <v>0</v>
      </c>
      <c r="J23" s="156"/>
      <c r="K23" s="334"/>
      <c r="L23" s="158">
        <f t="shared" si="4"/>
        <v>0</v>
      </c>
      <c r="M23" s="334"/>
      <c r="N23" s="158">
        <f t="shared" si="5"/>
        <v>0</v>
      </c>
      <c r="O23" s="158">
        <f t="shared" si="6"/>
        <v>0</v>
      </c>
      <c r="P23" s="4"/>
    </row>
    <row r="24" spans="2:16">
      <c r="B24" s="9" t="str">
        <f t="shared" si="7"/>
        <v/>
      </c>
      <c r="C24" s="153">
        <f>IF(D11="","-",+C23+1)</f>
        <v>2024</v>
      </c>
      <c r="D24" s="159">
        <f>IF(F23+SUM(E$17:E23)=D$10,F23,D$10-SUM(E$17:E23))</f>
        <v>4733193.4203062961</v>
      </c>
      <c r="E24" s="160">
        <f>IF(+I14&lt;F23,I14,D24)</f>
        <v>128093.02325581395</v>
      </c>
      <c r="F24" s="159">
        <f t="shared" si="1"/>
        <v>4605100.3970504822</v>
      </c>
      <c r="G24" s="161">
        <f t="shared" si="2"/>
        <v>592933.08355948725</v>
      </c>
      <c r="H24" s="142">
        <f t="shared" si="3"/>
        <v>592933.08355948725</v>
      </c>
      <c r="I24" s="156">
        <f t="shared" si="0"/>
        <v>0</v>
      </c>
      <c r="J24" s="156"/>
      <c r="K24" s="334"/>
      <c r="L24" s="158">
        <f t="shared" si="4"/>
        <v>0</v>
      </c>
      <c r="M24" s="334"/>
      <c r="N24" s="158">
        <f t="shared" si="5"/>
        <v>0</v>
      </c>
      <c r="O24" s="158">
        <f t="shared" si="6"/>
        <v>0</v>
      </c>
      <c r="P24" s="4"/>
    </row>
    <row r="25" spans="2:16">
      <c r="B25" s="9" t="str">
        <f t="shared" si="7"/>
        <v/>
      </c>
      <c r="C25" s="153">
        <f>IF(D11="","-",+C24+1)</f>
        <v>2025</v>
      </c>
      <c r="D25" s="159">
        <f>IF(F24+SUM(E$17:E24)=D$10,F24,D$10-SUM(E$17:E24))</f>
        <v>4605100.3970504822</v>
      </c>
      <c r="E25" s="160">
        <f>IF(+I14&lt;F24,I14,D25)</f>
        <v>128093.02325581395</v>
      </c>
      <c r="F25" s="159">
        <f t="shared" si="1"/>
        <v>4477007.3737946684</v>
      </c>
      <c r="G25" s="161">
        <f t="shared" si="2"/>
        <v>580180.69649193913</v>
      </c>
      <c r="H25" s="142">
        <f t="shared" si="3"/>
        <v>580180.69649193913</v>
      </c>
      <c r="I25" s="156">
        <f t="shared" si="0"/>
        <v>0</v>
      </c>
      <c r="J25" s="156"/>
      <c r="K25" s="334"/>
      <c r="L25" s="158">
        <f t="shared" si="4"/>
        <v>0</v>
      </c>
      <c r="M25" s="334"/>
      <c r="N25" s="158">
        <f t="shared" si="5"/>
        <v>0</v>
      </c>
      <c r="O25" s="158">
        <f t="shared" si="6"/>
        <v>0</v>
      </c>
      <c r="P25" s="4"/>
    </row>
    <row r="26" spans="2:16">
      <c r="B26" s="9" t="str">
        <f t="shared" si="7"/>
        <v/>
      </c>
      <c r="C26" s="153">
        <f>IF(D11="","-",+C25+1)</f>
        <v>2026</v>
      </c>
      <c r="D26" s="159">
        <f>IF(F25+SUM(E$17:E25)=D$10,F25,D$10-SUM(E$17:E25))</f>
        <v>4477007.3737946684</v>
      </c>
      <c r="E26" s="160">
        <f>IF(+I14&lt;F25,I14,D26)</f>
        <v>128093.02325581395</v>
      </c>
      <c r="F26" s="159">
        <f t="shared" si="1"/>
        <v>4348914.3505388545</v>
      </c>
      <c r="G26" s="161">
        <f t="shared" si="2"/>
        <v>567428.30942439102</v>
      </c>
      <c r="H26" s="142">
        <f t="shared" si="3"/>
        <v>567428.30942439102</v>
      </c>
      <c r="I26" s="156">
        <f t="shared" si="0"/>
        <v>0</v>
      </c>
      <c r="J26" s="156"/>
      <c r="K26" s="334"/>
      <c r="L26" s="158">
        <f t="shared" si="4"/>
        <v>0</v>
      </c>
      <c r="M26" s="334"/>
      <c r="N26" s="158">
        <f t="shared" si="5"/>
        <v>0</v>
      </c>
      <c r="O26" s="158">
        <f t="shared" si="6"/>
        <v>0</v>
      </c>
      <c r="P26" s="4"/>
    </row>
    <row r="27" spans="2:16">
      <c r="B27" s="9" t="str">
        <f t="shared" si="7"/>
        <v/>
      </c>
      <c r="C27" s="153">
        <f>IF(D11="","-",+C26+1)</f>
        <v>2027</v>
      </c>
      <c r="D27" s="159">
        <f>IF(F26+SUM(E$17:E26)=D$10,F26,D$10-SUM(E$17:E26))</f>
        <v>4348914.3505388545</v>
      </c>
      <c r="E27" s="160">
        <f>IF(+I14&lt;F26,I14,D27)</f>
        <v>128093.02325581395</v>
      </c>
      <c r="F27" s="159">
        <f t="shared" si="1"/>
        <v>4220821.3272830406</v>
      </c>
      <c r="G27" s="161">
        <f t="shared" si="2"/>
        <v>554675.92235684302</v>
      </c>
      <c r="H27" s="142">
        <f t="shared" si="3"/>
        <v>554675.92235684302</v>
      </c>
      <c r="I27" s="156">
        <f t="shared" si="0"/>
        <v>0</v>
      </c>
      <c r="J27" s="156"/>
      <c r="K27" s="334"/>
      <c r="L27" s="158">
        <f t="shared" si="4"/>
        <v>0</v>
      </c>
      <c r="M27" s="334"/>
      <c r="N27" s="158">
        <f t="shared" si="5"/>
        <v>0</v>
      </c>
      <c r="O27" s="158">
        <f t="shared" si="6"/>
        <v>0</v>
      </c>
      <c r="P27" s="4"/>
    </row>
    <row r="28" spans="2:16">
      <c r="B28" s="9" t="str">
        <f t="shared" si="7"/>
        <v/>
      </c>
      <c r="C28" s="153">
        <f>IF(D11="","-",+C27+1)</f>
        <v>2028</v>
      </c>
      <c r="D28" s="159">
        <f>IF(F27+SUM(E$17:E27)=D$10,F27,D$10-SUM(E$17:E27))</f>
        <v>4220821.3272830406</v>
      </c>
      <c r="E28" s="160">
        <f>IF(+I14&lt;F27,I14,D28)</f>
        <v>128093.02325581395</v>
      </c>
      <c r="F28" s="159">
        <f t="shared" si="1"/>
        <v>4092728.3040272268</v>
      </c>
      <c r="G28" s="161">
        <f t="shared" si="2"/>
        <v>541923.5352892949</v>
      </c>
      <c r="H28" s="142">
        <f t="shared" si="3"/>
        <v>541923.5352892949</v>
      </c>
      <c r="I28" s="156">
        <f t="shared" si="0"/>
        <v>0</v>
      </c>
      <c r="J28" s="156"/>
      <c r="K28" s="334"/>
      <c r="L28" s="158">
        <f t="shared" si="4"/>
        <v>0</v>
      </c>
      <c r="M28" s="334"/>
      <c r="N28" s="158">
        <f t="shared" si="5"/>
        <v>0</v>
      </c>
      <c r="O28" s="158">
        <f t="shared" si="6"/>
        <v>0</v>
      </c>
      <c r="P28" s="4"/>
    </row>
    <row r="29" spans="2:16">
      <c r="B29" s="9" t="str">
        <f t="shared" si="7"/>
        <v/>
      </c>
      <c r="C29" s="153">
        <f>IF(D11="","-",+C28+1)</f>
        <v>2029</v>
      </c>
      <c r="D29" s="159">
        <f>IF(F28+SUM(E$17:E28)=D$10,F28,D$10-SUM(E$17:E28))</f>
        <v>4092728.3040272268</v>
      </c>
      <c r="E29" s="160">
        <f>IF(+I14&lt;F28,I14,D29)</f>
        <v>128093.02325581395</v>
      </c>
      <c r="F29" s="159">
        <f t="shared" si="1"/>
        <v>3964635.2807714129</v>
      </c>
      <c r="G29" s="161">
        <f t="shared" si="2"/>
        <v>529171.1482217469</v>
      </c>
      <c r="H29" s="142">
        <f t="shared" si="3"/>
        <v>529171.1482217469</v>
      </c>
      <c r="I29" s="156">
        <f t="shared" si="0"/>
        <v>0</v>
      </c>
      <c r="J29" s="156"/>
      <c r="K29" s="334"/>
      <c r="L29" s="158">
        <f t="shared" si="4"/>
        <v>0</v>
      </c>
      <c r="M29" s="334"/>
      <c r="N29" s="158">
        <f t="shared" si="5"/>
        <v>0</v>
      </c>
      <c r="O29" s="158">
        <f t="shared" si="6"/>
        <v>0</v>
      </c>
      <c r="P29" s="4"/>
    </row>
    <row r="30" spans="2:16">
      <c r="B30" s="9" t="str">
        <f t="shared" si="7"/>
        <v/>
      </c>
      <c r="C30" s="153">
        <f>IF(D11="","-",+C29+1)</f>
        <v>2030</v>
      </c>
      <c r="D30" s="159">
        <f>IF(F29+SUM(E$17:E29)=D$10,F29,D$10-SUM(E$17:E29))</f>
        <v>3964635.2807714129</v>
      </c>
      <c r="E30" s="160">
        <f>IF(+I14&lt;F29,I14,D30)</f>
        <v>128093.02325581395</v>
      </c>
      <c r="F30" s="159">
        <f t="shared" si="1"/>
        <v>3836542.257515599</v>
      </c>
      <c r="G30" s="161">
        <f t="shared" si="2"/>
        <v>516418.76115419879</v>
      </c>
      <c r="H30" s="142">
        <f t="shared" si="3"/>
        <v>516418.76115419879</v>
      </c>
      <c r="I30" s="156">
        <f t="shared" si="0"/>
        <v>0</v>
      </c>
      <c r="J30" s="156"/>
      <c r="K30" s="334"/>
      <c r="L30" s="158">
        <f t="shared" si="4"/>
        <v>0</v>
      </c>
      <c r="M30" s="334"/>
      <c r="N30" s="158">
        <f t="shared" si="5"/>
        <v>0</v>
      </c>
      <c r="O30" s="158">
        <f t="shared" si="6"/>
        <v>0</v>
      </c>
      <c r="P30" s="4"/>
    </row>
    <row r="31" spans="2:16">
      <c r="B31" s="9" t="str">
        <f t="shared" si="7"/>
        <v/>
      </c>
      <c r="C31" s="153">
        <f>IF(D11="","-",+C30+1)</f>
        <v>2031</v>
      </c>
      <c r="D31" s="159">
        <f>IF(F30+SUM(E$17:E30)=D$10,F30,D$10-SUM(E$17:E30))</f>
        <v>3836542.257515599</v>
      </c>
      <c r="E31" s="160">
        <f>IF(+I14&lt;F30,I14,D31)</f>
        <v>128093.02325581395</v>
      </c>
      <c r="F31" s="159">
        <f t="shared" si="1"/>
        <v>3708449.2342597852</v>
      </c>
      <c r="G31" s="161">
        <f t="shared" si="2"/>
        <v>503666.37408665067</v>
      </c>
      <c r="H31" s="142">
        <f t="shared" si="3"/>
        <v>503666.37408665067</v>
      </c>
      <c r="I31" s="156">
        <f t="shared" si="0"/>
        <v>0</v>
      </c>
      <c r="J31" s="156"/>
      <c r="K31" s="334"/>
      <c r="L31" s="158">
        <f t="shared" si="4"/>
        <v>0</v>
      </c>
      <c r="M31" s="334"/>
      <c r="N31" s="158">
        <f t="shared" si="5"/>
        <v>0</v>
      </c>
      <c r="O31" s="158">
        <f t="shared" si="6"/>
        <v>0</v>
      </c>
      <c r="P31" s="4"/>
    </row>
    <row r="32" spans="2:16">
      <c r="B32" s="9" t="str">
        <f t="shared" si="7"/>
        <v/>
      </c>
      <c r="C32" s="153">
        <f>IF(D11="","-",+C31+1)</f>
        <v>2032</v>
      </c>
      <c r="D32" s="159">
        <f>IF(F31+SUM(E$17:E31)=D$10,F31,D$10-SUM(E$17:E31))</f>
        <v>3708449.2342597852</v>
      </c>
      <c r="E32" s="160">
        <f>IF(+I14&lt;F31,I14,D32)</f>
        <v>128093.02325581395</v>
      </c>
      <c r="F32" s="159">
        <f t="shared" si="1"/>
        <v>3580356.2110039713</v>
      </c>
      <c r="G32" s="161">
        <f t="shared" si="2"/>
        <v>490913.98701910267</v>
      </c>
      <c r="H32" s="142">
        <f t="shared" si="3"/>
        <v>490913.98701910267</v>
      </c>
      <c r="I32" s="156">
        <f t="shared" si="0"/>
        <v>0</v>
      </c>
      <c r="J32" s="156"/>
      <c r="K32" s="334"/>
      <c r="L32" s="158">
        <f t="shared" si="4"/>
        <v>0</v>
      </c>
      <c r="M32" s="334"/>
      <c r="N32" s="158">
        <f t="shared" si="5"/>
        <v>0</v>
      </c>
      <c r="O32" s="158">
        <f t="shared" si="6"/>
        <v>0</v>
      </c>
      <c r="P32" s="4"/>
    </row>
    <row r="33" spans="2:16">
      <c r="B33" s="9" t="str">
        <f t="shared" si="7"/>
        <v/>
      </c>
      <c r="C33" s="153">
        <f>IF(D11="","-",+C32+1)</f>
        <v>2033</v>
      </c>
      <c r="D33" s="159">
        <f>IF(F32+SUM(E$17:E32)=D$10,F32,D$10-SUM(E$17:E32))</f>
        <v>3580356.2110039713</v>
      </c>
      <c r="E33" s="160">
        <f>IF(+I14&lt;F32,I14,D33)</f>
        <v>128093.02325581395</v>
      </c>
      <c r="F33" s="159">
        <f t="shared" si="1"/>
        <v>3452263.1877481574</v>
      </c>
      <c r="G33" s="161">
        <f t="shared" si="2"/>
        <v>478161.59995155456</v>
      </c>
      <c r="H33" s="142">
        <f t="shared" si="3"/>
        <v>478161.59995155456</v>
      </c>
      <c r="I33" s="156">
        <f t="shared" si="0"/>
        <v>0</v>
      </c>
      <c r="J33" s="156"/>
      <c r="K33" s="334"/>
      <c r="L33" s="158">
        <f t="shared" si="4"/>
        <v>0</v>
      </c>
      <c r="M33" s="334"/>
      <c r="N33" s="158">
        <f t="shared" si="5"/>
        <v>0</v>
      </c>
      <c r="O33" s="158">
        <f t="shared" si="6"/>
        <v>0</v>
      </c>
      <c r="P33" s="4"/>
    </row>
    <row r="34" spans="2:16">
      <c r="B34" s="9" t="str">
        <f t="shared" si="7"/>
        <v/>
      </c>
      <c r="C34" s="153">
        <f>IF(D11="","-",+C33+1)</f>
        <v>2034</v>
      </c>
      <c r="D34" s="159">
        <f>IF(F33+SUM(E$17:E33)=D$10,F33,D$10-SUM(E$17:E33))</f>
        <v>3452263.1877481574</v>
      </c>
      <c r="E34" s="160">
        <f>IF(+I14&lt;F33,I14,D34)</f>
        <v>128093.02325581395</v>
      </c>
      <c r="F34" s="159">
        <f t="shared" si="1"/>
        <v>3324170.1644923436</v>
      </c>
      <c r="G34" s="161">
        <f t="shared" si="2"/>
        <v>465409.21288400656</v>
      </c>
      <c r="H34" s="142">
        <f t="shared" si="3"/>
        <v>465409.21288400656</v>
      </c>
      <c r="I34" s="156">
        <f t="shared" si="0"/>
        <v>0</v>
      </c>
      <c r="J34" s="156"/>
      <c r="K34" s="334"/>
      <c r="L34" s="158">
        <f t="shared" si="4"/>
        <v>0</v>
      </c>
      <c r="M34" s="334"/>
      <c r="N34" s="158">
        <f t="shared" si="5"/>
        <v>0</v>
      </c>
      <c r="O34" s="158">
        <f t="shared" si="6"/>
        <v>0</v>
      </c>
      <c r="P34" s="4"/>
    </row>
    <row r="35" spans="2:16">
      <c r="B35" s="9" t="str">
        <f t="shared" si="7"/>
        <v/>
      </c>
      <c r="C35" s="153">
        <f>IF(D11="","-",+C34+1)</f>
        <v>2035</v>
      </c>
      <c r="D35" s="159">
        <f>IF(F34+SUM(E$17:E34)=D$10,F34,D$10-SUM(E$17:E34))</f>
        <v>3324170.1644923436</v>
      </c>
      <c r="E35" s="160">
        <f>IF(+I14&lt;F34,I14,D35)</f>
        <v>128093.02325581395</v>
      </c>
      <c r="F35" s="159">
        <f t="shared" si="1"/>
        <v>3196077.1412365297</v>
      </c>
      <c r="G35" s="161">
        <f t="shared" si="2"/>
        <v>452656.82581645844</v>
      </c>
      <c r="H35" s="142">
        <f t="shared" si="3"/>
        <v>452656.82581645844</v>
      </c>
      <c r="I35" s="156">
        <f t="shared" si="0"/>
        <v>0</v>
      </c>
      <c r="J35" s="156"/>
      <c r="K35" s="334"/>
      <c r="L35" s="158">
        <f t="shared" si="4"/>
        <v>0</v>
      </c>
      <c r="M35" s="334"/>
      <c r="N35" s="158">
        <f t="shared" si="5"/>
        <v>0</v>
      </c>
      <c r="O35" s="158">
        <f t="shared" si="6"/>
        <v>0</v>
      </c>
      <c r="P35" s="4"/>
    </row>
    <row r="36" spans="2:16">
      <c r="B36" s="9" t="str">
        <f t="shared" si="7"/>
        <v/>
      </c>
      <c r="C36" s="153">
        <f>IF(D11="","-",+C35+1)</f>
        <v>2036</v>
      </c>
      <c r="D36" s="159">
        <f>IF(F35+SUM(E$17:E35)=D$10,F35,D$10-SUM(E$17:E35))</f>
        <v>3196077.1412365297</v>
      </c>
      <c r="E36" s="160">
        <f>IF(+I14&lt;F35,I14,D36)</f>
        <v>128093.02325581395</v>
      </c>
      <c r="F36" s="159">
        <f t="shared" si="1"/>
        <v>3067984.1179807158</v>
      </c>
      <c r="G36" s="161">
        <f t="shared" si="2"/>
        <v>439904.43874891032</v>
      </c>
      <c r="H36" s="142">
        <f t="shared" si="3"/>
        <v>439904.43874891032</v>
      </c>
      <c r="I36" s="156">
        <f t="shared" si="0"/>
        <v>0</v>
      </c>
      <c r="J36" s="156"/>
      <c r="K36" s="334"/>
      <c r="L36" s="158">
        <f t="shared" si="4"/>
        <v>0</v>
      </c>
      <c r="M36" s="334"/>
      <c r="N36" s="158">
        <f t="shared" si="5"/>
        <v>0</v>
      </c>
      <c r="O36" s="158">
        <f t="shared" si="6"/>
        <v>0</v>
      </c>
      <c r="P36" s="4"/>
    </row>
    <row r="37" spans="2:16">
      <c r="B37" s="9" t="str">
        <f t="shared" si="7"/>
        <v/>
      </c>
      <c r="C37" s="153">
        <f>IF(D11="","-",+C36+1)</f>
        <v>2037</v>
      </c>
      <c r="D37" s="159">
        <f>IF(F36+SUM(E$17:E36)=D$10,F36,D$10-SUM(E$17:E36))</f>
        <v>3067984.1179807158</v>
      </c>
      <c r="E37" s="160">
        <f>IF(+I14&lt;F36,I14,D37)</f>
        <v>128093.02325581395</v>
      </c>
      <c r="F37" s="159">
        <f t="shared" si="1"/>
        <v>2939891.094724902</v>
      </c>
      <c r="G37" s="161">
        <f t="shared" si="2"/>
        <v>427152.05168136233</v>
      </c>
      <c r="H37" s="142">
        <f t="shared" si="3"/>
        <v>427152.05168136233</v>
      </c>
      <c r="I37" s="156">
        <f t="shared" si="0"/>
        <v>0</v>
      </c>
      <c r="J37" s="156"/>
      <c r="K37" s="334"/>
      <c r="L37" s="158">
        <f t="shared" si="4"/>
        <v>0</v>
      </c>
      <c r="M37" s="334"/>
      <c r="N37" s="158">
        <f t="shared" si="5"/>
        <v>0</v>
      </c>
      <c r="O37" s="158">
        <f t="shared" si="6"/>
        <v>0</v>
      </c>
      <c r="P37" s="4"/>
    </row>
    <row r="38" spans="2:16">
      <c r="B38" s="9" t="str">
        <f t="shared" si="7"/>
        <v/>
      </c>
      <c r="C38" s="153">
        <f>IF(D11="","-",+C37+1)</f>
        <v>2038</v>
      </c>
      <c r="D38" s="159">
        <f>IF(F37+SUM(E$17:E37)=D$10,F37,D$10-SUM(E$17:E37))</f>
        <v>2939891.094724902</v>
      </c>
      <c r="E38" s="160">
        <f>IF(+I14&lt;F37,I14,D38)</f>
        <v>128093.02325581395</v>
      </c>
      <c r="F38" s="159">
        <f t="shared" si="1"/>
        <v>2811798.0714690881</v>
      </c>
      <c r="G38" s="161">
        <f t="shared" si="2"/>
        <v>414399.66461381421</v>
      </c>
      <c r="H38" s="142">
        <f t="shared" si="3"/>
        <v>414399.66461381421</v>
      </c>
      <c r="I38" s="156">
        <f t="shared" si="0"/>
        <v>0</v>
      </c>
      <c r="J38" s="156"/>
      <c r="K38" s="334"/>
      <c r="L38" s="158">
        <f t="shared" si="4"/>
        <v>0</v>
      </c>
      <c r="M38" s="334"/>
      <c r="N38" s="158">
        <f t="shared" si="5"/>
        <v>0</v>
      </c>
      <c r="O38" s="158">
        <f t="shared" si="6"/>
        <v>0</v>
      </c>
      <c r="P38" s="4"/>
    </row>
    <row r="39" spans="2:16">
      <c r="B39" s="9" t="str">
        <f t="shared" si="7"/>
        <v/>
      </c>
      <c r="C39" s="153">
        <f>IF(D11="","-",+C38+1)</f>
        <v>2039</v>
      </c>
      <c r="D39" s="159">
        <f>IF(F38+SUM(E$17:E38)=D$10,F38,D$10-SUM(E$17:E38))</f>
        <v>2811798.0714690881</v>
      </c>
      <c r="E39" s="160">
        <f>IF(+I14&lt;F38,I14,D39)</f>
        <v>128093.02325581395</v>
      </c>
      <c r="F39" s="159">
        <f t="shared" si="1"/>
        <v>2683705.0482132742</v>
      </c>
      <c r="G39" s="161">
        <f t="shared" si="2"/>
        <v>401647.27754626621</v>
      </c>
      <c r="H39" s="142">
        <f t="shared" si="3"/>
        <v>401647.27754626621</v>
      </c>
      <c r="I39" s="156">
        <f t="shared" si="0"/>
        <v>0</v>
      </c>
      <c r="J39" s="156"/>
      <c r="K39" s="334"/>
      <c r="L39" s="158">
        <f t="shared" si="4"/>
        <v>0</v>
      </c>
      <c r="M39" s="334"/>
      <c r="N39" s="158">
        <f t="shared" si="5"/>
        <v>0</v>
      </c>
      <c r="O39" s="158">
        <f t="shared" si="6"/>
        <v>0</v>
      </c>
      <c r="P39" s="4"/>
    </row>
    <row r="40" spans="2:16">
      <c r="B40" s="9" t="str">
        <f t="shared" si="7"/>
        <v/>
      </c>
      <c r="C40" s="153">
        <f>IF(D11="","-",+C39+1)</f>
        <v>2040</v>
      </c>
      <c r="D40" s="159">
        <f>IF(F39+SUM(E$17:E39)=D$10,F39,D$10-SUM(E$17:E39))</f>
        <v>2683705.0482132742</v>
      </c>
      <c r="E40" s="160">
        <f>IF(+I14&lt;F39,I14,D40)</f>
        <v>128093.02325581395</v>
      </c>
      <c r="F40" s="159">
        <f t="shared" si="1"/>
        <v>2555612.0249574604</v>
      </c>
      <c r="G40" s="161">
        <f t="shared" si="2"/>
        <v>388894.89047871809</v>
      </c>
      <c r="H40" s="142">
        <f t="shared" si="3"/>
        <v>388894.89047871809</v>
      </c>
      <c r="I40" s="156">
        <f t="shared" si="0"/>
        <v>0</v>
      </c>
      <c r="J40" s="156"/>
      <c r="K40" s="334"/>
      <c r="L40" s="158">
        <f t="shared" si="4"/>
        <v>0</v>
      </c>
      <c r="M40" s="334"/>
      <c r="N40" s="158">
        <f t="shared" si="5"/>
        <v>0</v>
      </c>
      <c r="O40" s="158">
        <f t="shared" si="6"/>
        <v>0</v>
      </c>
      <c r="P40" s="4"/>
    </row>
    <row r="41" spans="2:16">
      <c r="B41" s="9" t="str">
        <f t="shared" si="7"/>
        <v/>
      </c>
      <c r="C41" s="153">
        <f>IF(D11="","-",+C40+1)</f>
        <v>2041</v>
      </c>
      <c r="D41" s="159">
        <f>IF(F40+SUM(E$17:E40)=D$10,F40,D$10-SUM(E$17:E40))</f>
        <v>2555612.0249574604</v>
      </c>
      <c r="E41" s="160">
        <f>IF(+I14&lt;F40,I14,D41)</f>
        <v>128093.02325581395</v>
      </c>
      <c r="F41" s="159">
        <f t="shared" si="1"/>
        <v>2427519.0017016465</v>
      </c>
      <c r="G41" s="161">
        <f t="shared" si="2"/>
        <v>376142.50341116998</v>
      </c>
      <c r="H41" s="142">
        <f t="shared" si="3"/>
        <v>376142.50341116998</v>
      </c>
      <c r="I41" s="156">
        <f t="shared" si="0"/>
        <v>0</v>
      </c>
      <c r="J41" s="156"/>
      <c r="K41" s="334"/>
      <c r="L41" s="158">
        <f t="shared" si="4"/>
        <v>0</v>
      </c>
      <c r="M41" s="334"/>
      <c r="N41" s="158">
        <f t="shared" si="5"/>
        <v>0</v>
      </c>
      <c r="O41" s="158">
        <f t="shared" si="6"/>
        <v>0</v>
      </c>
      <c r="P41" s="4"/>
    </row>
    <row r="42" spans="2:16">
      <c r="B42" s="9" t="str">
        <f t="shared" si="7"/>
        <v/>
      </c>
      <c r="C42" s="153">
        <f>IF(D11="","-",+C41+1)</f>
        <v>2042</v>
      </c>
      <c r="D42" s="159">
        <f>IF(F41+SUM(E$17:E41)=D$10,F41,D$10-SUM(E$17:E41))</f>
        <v>2427519.0017016465</v>
      </c>
      <c r="E42" s="160">
        <f>IF(+I14&lt;F41,I14,D42)</f>
        <v>128093.02325581395</v>
      </c>
      <c r="F42" s="159">
        <f t="shared" si="1"/>
        <v>2299425.9784458326</v>
      </c>
      <c r="G42" s="161">
        <f t="shared" si="2"/>
        <v>363390.11634362198</v>
      </c>
      <c r="H42" s="142">
        <f t="shared" si="3"/>
        <v>363390.11634362198</v>
      </c>
      <c r="I42" s="156">
        <f t="shared" si="0"/>
        <v>0</v>
      </c>
      <c r="J42" s="156"/>
      <c r="K42" s="334"/>
      <c r="L42" s="158">
        <f t="shared" si="4"/>
        <v>0</v>
      </c>
      <c r="M42" s="334"/>
      <c r="N42" s="158">
        <f t="shared" si="5"/>
        <v>0</v>
      </c>
      <c r="O42" s="158">
        <f t="shared" si="6"/>
        <v>0</v>
      </c>
      <c r="P42" s="4"/>
    </row>
    <row r="43" spans="2:16">
      <c r="B43" s="9" t="str">
        <f t="shared" si="7"/>
        <v/>
      </c>
      <c r="C43" s="153">
        <f>IF(D11="","-",+C42+1)</f>
        <v>2043</v>
      </c>
      <c r="D43" s="159">
        <f>IF(F42+SUM(E$17:E42)=D$10,F42,D$10-SUM(E$17:E42))</f>
        <v>2299425.9784458326</v>
      </c>
      <c r="E43" s="160">
        <f>IF(+I14&lt;F42,I14,D43)</f>
        <v>128093.02325581395</v>
      </c>
      <c r="F43" s="159">
        <f t="shared" si="1"/>
        <v>2171332.9551900188</v>
      </c>
      <c r="G43" s="161">
        <f t="shared" si="2"/>
        <v>350637.72927607386</v>
      </c>
      <c r="H43" s="142">
        <f t="shared" si="3"/>
        <v>350637.72927607386</v>
      </c>
      <c r="I43" s="156">
        <f t="shared" si="0"/>
        <v>0</v>
      </c>
      <c r="J43" s="156"/>
      <c r="K43" s="334"/>
      <c r="L43" s="158">
        <f t="shared" si="4"/>
        <v>0</v>
      </c>
      <c r="M43" s="334"/>
      <c r="N43" s="158">
        <f t="shared" si="5"/>
        <v>0</v>
      </c>
      <c r="O43" s="158">
        <f t="shared" si="6"/>
        <v>0</v>
      </c>
      <c r="P43" s="4"/>
    </row>
    <row r="44" spans="2:16">
      <c r="B44" s="9" t="str">
        <f t="shared" si="7"/>
        <v/>
      </c>
      <c r="C44" s="153">
        <f>IF(D11="","-",+C43+1)</f>
        <v>2044</v>
      </c>
      <c r="D44" s="159">
        <f>IF(F43+SUM(E$17:E43)=D$10,F43,D$10-SUM(E$17:E43))</f>
        <v>2171332.9551900188</v>
      </c>
      <c r="E44" s="160">
        <f>IF(+I14&lt;F43,I14,D44)</f>
        <v>128093.02325581395</v>
      </c>
      <c r="F44" s="159">
        <f t="shared" si="1"/>
        <v>2043239.9319342049</v>
      </c>
      <c r="G44" s="161">
        <f t="shared" si="2"/>
        <v>337885.34220852581</v>
      </c>
      <c r="H44" s="142">
        <f t="shared" si="3"/>
        <v>337885.34220852581</v>
      </c>
      <c r="I44" s="156">
        <f t="shared" si="0"/>
        <v>0</v>
      </c>
      <c r="J44" s="156"/>
      <c r="K44" s="334"/>
      <c r="L44" s="158">
        <f t="shared" si="4"/>
        <v>0</v>
      </c>
      <c r="M44" s="334"/>
      <c r="N44" s="158">
        <f t="shared" si="5"/>
        <v>0</v>
      </c>
      <c r="O44" s="158">
        <f t="shared" si="6"/>
        <v>0</v>
      </c>
      <c r="P44" s="4"/>
    </row>
    <row r="45" spans="2:16">
      <c r="B45" s="9" t="str">
        <f t="shared" si="7"/>
        <v/>
      </c>
      <c r="C45" s="153">
        <f>IF(D11="","-",+C44+1)</f>
        <v>2045</v>
      </c>
      <c r="D45" s="159">
        <f>IF(F44+SUM(E$17:E44)=D$10,F44,D$10-SUM(E$17:E44))</f>
        <v>2043239.9319342049</v>
      </c>
      <c r="E45" s="160">
        <f>IF(+I14&lt;F44,I14,D45)</f>
        <v>128093.02325581395</v>
      </c>
      <c r="F45" s="159">
        <f t="shared" si="1"/>
        <v>1915146.908678391</v>
      </c>
      <c r="G45" s="161">
        <f t="shared" si="2"/>
        <v>325132.95514097775</v>
      </c>
      <c r="H45" s="142">
        <f t="shared" si="3"/>
        <v>325132.95514097775</v>
      </c>
      <c r="I45" s="156">
        <f t="shared" si="0"/>
        <v>0</v>
      </c>
      <c r="J45" s="156"/>
      <c r="K45" s="334"/>
      <c r="L45" s="158">
        <f t="shared" si="4"/>
        <v>0</v>
      </c>
      <c r="M45" s="334"/>
      <c r="N45" s="158">
        <f t="shared" si="5"/>
        <v>0</v>
      </c>
      <c r="O45" s="158">
        <f t="shared" si="6"/>
        <v>0</v>
      </c>
      <c r="P45" s="4"/>
    </row>
    <row r="46" spans="2:16">
      <c r="B46" s="9" t="str">
        <f t="shared" si="7"/>
        <v/>
      </c>
      <c r="C46" s="153">
        <f>IF(D11="","-",+C45+1)</f>
        <v>2046</v>
      </c>
      <c r="D46" s="159">
        <f>IF(F45+SUM(E$17:E45)=D$10,F45,D$10-SUM(E$17:E45))</f>
        <v>1915146.908678391</v>
      </c>
      <c r="E46" s="160">
        <f>IF(+I14&lt;F45,I14,D46)</f>
        <v>128093.02325581395</v>
      </c>
      <c r="F46" s="159">
        <f t="shared" si="1"/>
        <v>1787053.8854225772</v>
      </c>
      <c r="G46" s="161">
        <f t="shared" si="2"/>
        <v>312380.56807342963</v>
      </c>
      <c r="H46" s="142">
        <f t="shared" si="3"/>
        <v>312380.56807342963</v>
      </c>
      <c r="I46" s="156">
        <f t="shared" si="0"/>
        <v>0</v>
      </c>
      <c r="J46" s="156"/>
      <c r="K46" s="334"/>
      <c r="L46" s="158">
        <f t="shared" si="4"/>
        <v>0</v>
      </c>
      <c r="M46" s="334"/>
      <c r="N46" s="158">
        <f t="shared" si="5"/>
        <v>0</v>
      </c>
      <c r="O46" s="158">
        <f t="shared" si="6"/>
        <v>0</v>
      </c>
      <c r="P46" s="4"/>
    </row>
    <row r="47" spans="2:16">
      <c r="B47" s="9" t="str">
        <f t="shared" si="7"/>
        <v/>
      </c>
      <c r="C47" s="153">
        <f>IF(D11="","-",+C46+1)</f>
        <v>2047</v>
      </c>
      <c r="D47" s="159">
        <f>IF(F46+SUM(E$17:E46)=D$10,F46,D$10-SUM(E$17:E46))</f>
        <v>1787053.8854225772</v>
      </c>
      <c r="E47" s="160">
        <f>IF(+I14&lt;F46,I14,D47)</f>
        <v>128093.02325581395</v>
      </c>
      <c r="F47" s="159">
        <f t="shared" si="1"/>
        <v>1658960.8621667633</v>
      </c>
      <c r="G47" s="161">
        <f t="shared" si="2"/>
        <v>299628.18100588163</v>
      </c>
      <c r="H47" s="142">
        <f t="shared" si="3"/>
        <v>299628.18100588163</v>
      </c>
      <c r="I47" s="156">
        <f t="shared" si="0"/>
        <v>0</v>
      </c>
      <c r="J47" s="156"/>
      <c r="K47" s="334"/>
      <c r="L47" s="158">
        <f t="shared" si="4"/>
        <v>0</v>
      </c>
      <c r="M47" s="334"/>
      <c r="N47" s="158">
        <f t="shared" si="5"/>
        <v>0</v>
      </c>
      <c r="O47" s="158">
        <f t="shared" si="6"/>
        <v>0</v>
      </c>
      <c r="P47" s="4"/>
    </row>
    <row r="48" spans="2:16">
      <c r="B48" s="9" t="str">
        <f t="shared" si="7"/>
        <v/>
      </c>
      <c r="C48" s="153">
        <f>IF(D11="","-",+C47+1)</f>
        <v>2048</v>
      </c>
      <c r="D48" s="159">
        <f>IF(F47+SUM(E$17:E47)=D$10,F47,D$10-SUM(E$17:E47))</f>
        <v>1658960.8621667633</v>
      </c>
      <c r="E48" s="160">
        <f>IF(+I14&lt;F47,I14,D48)</f>
        <v>128093.02325581395</v>
      </c>
      <c r="F48" s="159">
        <f t="shared" si="1"/>
        <v>1530867.8389109494</v>
      </c>
      <c r="G48" s="161">
        <f t="shared" si="2"/>
        <v>286875.79393833352</v>
      </c>
      <c r="H48" s="142">
        <f t="shared" si="3"/>
        <v>286875.79393833352</v>
      </c>
      <c r="I48" s="156">
        <f t="shared" si="0"/>
        <v>0</v>
      </c>
      <c r="J48" s="156"/>
      <c r="K48" s="334"/>
      <c r="L48" s="158">
        <f t="shared" si="4"/>
        <v>0</v>
      </c>
      <c r="M48" s="334"/>
      <c r="N48" s="158">
        <f t="shared" si="5"/>
        <v>0</v>
      </c>
      <c r="O48" s="158">
        <f t="shared" si="6"/>
        <v>0</v>
      </c>
      <c r="P48" s="4"/>
    </row>
    <row r="49" spans="2:16">
      <c r="B49" s="9" t="str">
        <f t="shared" si="7"/>
        <v/>
      </c>
      <c r="C49" s="153">
        <f>IF(D11="","-",+C48+1)</f>
        <v>2049</v>
      </c>
      <c r="D49" s="159">
        <f>IF(F48+SUM(E$17:E48)=D$10,F48,D$10-SUM(E$17:E48))</f>
        <v>1530867.8389109494</v>
      </c>
      <c r="E49" s="160">
        <f>IF(+I14&lt;F48,I14,D49)</f>
        <v>128093.02325581395</v>
      </c>
      <c r="F49" s="159">
        <f t="shared" si="1"/>
        <v>1402774.8156551355</v>
      </c>
      <c r="G49" s="161">
        <f t="shared" ref="G49:G72" si="8">+I$12*((D49+F49)/2)+E49</f>
        <v>274123.40687078546</v>
      </c>
      <c r="H49" s="142">
        <f t="shared" ref="H49:H72" si="9">+I$13*((D49+F49)/2)+E49</f>
        <v>274123.40687078546</v>
      </c>
      <c r="I49" s="156">
        <f t="shared" si="0"/>
        <v>0</v>
      </c>
      <c r="J49" s="156"/>
      <c r="K49" s="334"/>
      <c r="L49" s="158">
        <f t="shared" si="4"/>
        <v>0</v>
      </c>
      <c r="M49" s="334"/>
      <c r="N49" s="158">
        <f t="shared" si="5"/>
        <v>0</v>
      </c>
      <c r="O49" s="158">
        <f t="shared" si="6"/>
        <v>0</v>
      </c>
      <c r="P49" s="4"/>
    </row>
    <row r="50" spans="2:16">
      <c r="B50" s="9" t="str">
        <f t="shared" si="7"/>
        <v/>
      </c>
      <c r="C50" s="153">
        <f>IF(D11="","-",+C49+1)</f>
        <v>2050</v>
      </c>
      <c r="D50" s="159">
        <f>IF(F49+SUM(E$17:E49)=D$10,F49,D$10-SUM(E$17:E49))</f>
        <v>1402774.8156551355</v>
      </c>
      <c r="E50" s="160">
        <f>IF(+I14&lt;F49,I14,D50)</f>
        <v>128093.02325581395</v>
      </c>
      <c r="F50" s="159">
        <f t="shared" si="1"/>
        <v>1274681.7923993217</v>
      </c>
      <c r="G50" s="161">
        <f t="shared" si="8"/>
        <v>261371.0198032374</v>
      </c>
      <c r="H50" s="142">
        <f t="shared" si="9"/>
        <v>261371.0198032374</v>
      </c>
      <c r="I50" s="156">
        <f t="shared" si="0"/>
        <v>0</v>
      </c>
      <c r="J50" s="156"/>
      <c r="K50" s="334"/>
      <c r="L50" s="158">
        <f t="shared" si="4"/>
        <v>0</v>
      </c>
      <c r="M50" s="334"/>
      <c r="N50" s="158">
        <f t="shared" si="5"/>
        <v>0</v>
      </c>
      <c r="O50" s="158">
        <f t="shared" si="6"/>
        <v>0</v>
      </c>
      <c r="P50" s="4"/>
    </row>
    <row r="51" spans="2:16">
      <c r="B51" s="9" t="str">
        <f t="shared" si="7"/>
        <v/>
      </c>
      <c r="C51" s="153">
        <f>IF(D11="","-",+C50+1)</f>
        <v>2051</v>
      </c>
      <c r="D51" s="159">
        <f>IF(F50+SUM(E$17:E50)=D$10,F50,D$10-SUM(E$17:E50))</f>
        <v>1274681.7923993217</v>
      </c>
      <c r="E51" s="160">
        <f>IF(+I14&lt;F50,I14,D51)</f>
        <v>128093.02325581395</v>
      </c>
      <c r="F51" s="159">
        <f t="shared" si="1"/>
        <v>1146588.7691435078</v>
      </c>
      <c r="G51" s="161">
        <f t="shared" si="8"/>
        <v>248618.63273568932</v>
      </c>
      <c r="H51" s="142">
        <f t="shared" si="9"/>
        <v>248618.63273568932</v>
      </c>
      <c r="I51" s="156">
        <f t="shared" si="0"/>
        <v>0</v>
      </c>
      <c r="J51" s="156"/>
      <c r="K51" s="334"/>
      <c r="L51" s="158">
        <f t="shared" si="4"/>
        <v>0</v>
      </c>
      <c r="M51" s="334"/>
      <c r="N51" s="158">
        <f t="shared" si="5"/>
        <v>0</v>
      </c>
      <c r="O51" s="158">
        <f t="shared" si="6"/>
        <v>0</v>
      </c>
      <c r="P51" s="4"/>
    </row>
    <row r="52" spans="2:16">
      <c r="B52" s="9" t="str">
        <f t="shared" si="7"/>
        <v/>
      </c>
      <c r="C52" s="153">
        <f>IF(D11="","-",+C51+1)</f>
        <v>2052</v>
      </c>
      <c r="D52" s="159">
        <f>IF(F51+SUM(E$17:E51)=D$10,F51,D$10-SUM(E$17:E51))</f>
        <v>1146588.7691435078</v>
      </c>
      <c r="E52" s="160">
        <f>IF(+I14&lt;F51,I14,D52)</f>
        <v>128093.02325581395</v>
      </c>
      <c r="F52" s="159">
        <f t="shared" si="1"/>
        <v>1018495.7458876938</v>
      </c>
      <c r="G52" s="161">
        <f t="shared" si="8"/>
        <v>235866.24566814123</v>
      </c>
      <c r="H52" s="142">
        <f t="shared" si="9"/>
        <v>235866.24566814123</v>
      </c>
      <c r="I52" s="156">
        <f t="shared" si="0"/>
        <v>0</v>
      </c>
      <c r="J52" s="156"/>
      <c r="K52" s="334"/>
      <c r="L52" s="158">
        <f t="shared" si="4"/>
        <v>0</v>
      </c>
      <c r="M52" s="334"/>
      <c r="N52" s="158">
        <f t="shared" si="5"/>
        <v>0</v>
      </c>
      <c r="O52" s="158">
        <f t="shared" si="6"/>
        <v>0</v>
      </c>
      <c r="P52" s="4"/>
    </row>
    <row r="53" spans="2:16">
      <c r="B53" s="9" t="str">
        <f t="shared" si="7"/>
        <v/>
      </c>
      <c r="C53" s="153">
        <f>IF(D11="","-",+C52+1)</f>
        <v>2053</v>
      </c>
      <c r="D53" s="159">
        <f>IF(F52+SUM(E$17:E52)=D$10,F52,D$10-SUM(E$17:E52))</f>
        <v>1018495.7458876938</v>
      </c>
      <c r="E53" s="160">
        <f>IF(+I14&lt;F52,I14,D53)</f>
        <v>128093.02325581395</v>
      </c>
      <c r="F53" s="159">
        <f t="shared" si="1"/>
        <v>890402.72263187985</v>
      </c>
      <c r="G53" s="161">
        <f t="shared" si="8"/>
        <v>223113.85860059317</v>
      </c>
      <c r="H53" s="142">
        <f t="shared" si="9"/>
        <v>223113.85860059317</v>
      </c>
      <c r="I53" s="156">
        <f t="shared" si="0"/>
        <v>0</v>
      </c>
      <c r="J53" s="156"/>
      <c r="K53" s="334"/>
      <c r="L53" s="158">
        <f t="shared" si="4"/>
        <v>0</v>
      </c>
      <c r="M53" s="334"/>
      <c r="N53" s="158">
        <f t="shared" si="5"/>
        <v>0</v>
      </c>
      <c r="O53" s="158">
        <f t="shared" si="6"/>
        <v>0</v>
      </c>
      <c r="P53" s="4"/>
    </row>
    <row r="54" spans="2:16">
      <c r="B54" s="9" t="str">
        <f t="shared" si="7"/>
        <v/>
      </c>
      <c r="C54" s="153">
        <f>IF(D11="","-",+C53+1)</f>
        <v>2054</v>
      </c>
      <c r="D54" s="159">
        <f>IF(F53+SUM(E$17:E53)=D$10,F53,D$10-SUM(E$17:E53))</f>
        <v>890402.72263187985</v>
      </c>
      <c r="E54" s="160">
        <f>IF(+I14&lt;F53,I14,D54)</f>
        <v>128093.02325581395</v>
      </c>
      <c r="F54" s="159">
        <f t="shared" si="1"/>
        <v>762309.69937606587</v>
      </c>
      <c r="G54" s="161">
        <f t="shared" si="8"/>
        <v>210361.47153304509</v>
      </c>
      <c r="H54" s="142">
        <f t="shared" si="9"/>
        <v>210361.47153304509</v>
      </c>
      <c r="I54" s="156">
        <f t="shared" si="0"/>
        <v>0</v>
      </c>
      <c r="J54" s="156"/>
      <c r="K54" s="334"/>
      <c r="L54" s="158">
        <f t="shared" si="4"/>
        <v>0</v>
      </c>
      <c r="M54" s="334"/>
      <c r="N54" s="158">
        <f t="shared" si="5"/>
        <v>0</v>
      </c>
      <c r="O54" s="158">
        <f t="shared" si="6"/>
        <v>0</v>
      </c>
      <c r="P54" s="4"/>
    </row>
    <row r="55" spans="2:16">
      <c r="B55" s="9" t="str">
        <f t="shared" si="7"/>
        <v/>
      </c>
      <c r="C55" s="153">
        <f>IF(D11="","-",+C54+1)</f>
        <v>2055</v>
      </c>
      <c r="D55" s="159">
        <f>IF(F54+SUM(E$17:E54)=D$10,F54,D$10-SUM(E$17:E54))</f>
        <v>762309.69937606587</v>
      </c>
      <c r="E55" s="160">
        <f>IF(+I14&lt;F54,I14,D55)</f>
        <v>128093.02325581395</v>
      </c>
      <c r="F55" s="159">
        <f t="shared" si="1"/>
        <v>634216.67612025188</v>
      </c>
      <c r="G55" s="161">
        <f t="shared" si="8"/>
        <v>197609.084465497</v>
      </c>
      <c r="H55" s="142">
        <f t="shared" si="9"/>
        <v>197609.084465497</v>
      </c>
      <c r="I55" s="156">
        <f t="shared" si="0"/>
        <v>0</v>
      </c>
      <c r="J55" s="156"/>
      <c r="K55" s="334"/>
      <c r="L55" s="158">
        <f t="shared" si="4"/>
        <v>0</v>
      </c>
      <c r="M55" s="334"/>
      <c r="N55" s="158">
        <f t="shared" si="5"/>
        <v>0</v>
      </c>
      <c r="O55" s="158">
        <f t="shared" si="6"/>
        <v>0</v>
      </c>
      <c r="P55" s="4"/>
    </row>
    <row r="56" spans="2:16">
      <c r="B56" s="9" t="str">
        <f t="shared" si="7"/>
        <v/>
      </c>
      <c r="C56" s="153">
        <f>IF(D11="","-",+C55+1)</f>
        <v>2056</v>
      </c>
      <c r="D56" s="159">
        <f>IF(F55+SUM(E$17:E55)=D$10,F55,D$10-SUM(E$17:E55))</f>
        <v>634216.67612025188</v>
      </c>
      <c r="E56" s="160">
        <f>IF(+I14&lt;F55,I14,D56)</f>
        <v>128093.02325581395</v>
      </c>
      <c r="F56" s="159">
        <f t="shared" si="1"/>
        <v>506123.6528644379</v>
      </c>
      <c r="G56" s="161">
        <f t="shared" si="8"/>
        <v>184856.69739794894</v>
      </c>
      <c r="H56" s="142">
        <f t="shared" si="9"/>
        <v>184856.69739794894</v>
      </c>
      <c r="I56" s="156">
        <f t="shared" si="0"/>
        <v>0</v>
      </c>
      <c r="J56" s="156"/>
      <c r="K56" s="334"/>
      <c r="L56" s="158">
        <f t="shared" si="4"/>
        <v>0</v>
      </c>
      <c r="M56" s="334"/>
      <c r="N56" s="158">
        <f t="shared" si="5"/>
        <v>0</v>
      </c>
      <c r="O56" s="158">
        <f t="shared" si="6"/>
        <v>0</v>
      </c>
      <c r="P56" s="4"/>
    </row>
    <row r="57" spans="2:16">
      <c r="B57" s="9" t="str">
        <f t="shared" si="7"/>
        <v/>
      </c>
      <c r="C57" s="153">
        <f>IF(D11="","-",+C56+1)</f>
        <v>2057</v>
      </c>
      <c r="D57" s="159">
        <f>IF(F56+SUM(E$17:E56)=D$10,F56,D$10-SUM(E$17:E56))</f>
        <v>506123.6528644379</v>
      </c>
      <c r="E57" s="160">
        <f>IF(+I14&lt;F56,I14,D57)</f>
        <v>128093.02325581395</v>
      </c>
      <c r="F57" s="159">
        <f t="shared" si="1"/>
        <v>378030.62960862392</v>
      </c>
      <c r="G57" s="161">
        <f t="shared" si="8"/>
        <v>172104.31033040083</v>
      </c>
      <c r="H57" s="142">
        <f t="shared" si="9"/>
        <v>172104.31033040083</v>
      </c>
      <c r="I57" s="156">
        <f t="shared" si="0"/>
        <v>0</v>
      </c>
      <c r="J57" s="156"/>
      <c r="K57" s="334"/>
      <c r="L57" s="158">
        <f t="shared" si="4"/>
        <v>0</v>
      </c>
      <c r="M57" s="334"/>
      <c r="N57" s="158">
        <f t="shared" si="5"/>
        <v>0</v>
      </c>
      <c r="O57" s="158">
        <f t="shared" si="6"/>
        <v>0</v>
      </c>
      <c r="P57" s="4"/>
    </row>
    <row r="58" spans="2:16">
      <c r="B58" s="9" t="str">
        <f t="shared" si="7"/>
        <v/>
      </c>
      <c r="C58" s="153">
        <f>IF(D11="","-",+C57+1)</f>
        <v>2058</v>
      </c>
      <c r="D58" s="159">
        <f>IF(F57+SUM(E$17:E57)=D$10,F57,D$10-SUM(E$17:E57))</f>
        <v>378030.62960862392</v>
      </c>
      <c r="E58" s="160">
        <f>IF(+I14&lt;F57,I14,D58)</f>
        <v>128093.02325581395</v>
      </c>
      <c r="F58" s="159">
        <f t="shared" si="1"/>
        <v>249937.60635280996</v>
      </c>
      <c r="G58" s="161">
        <f t="shared" si="8"/>
        <v>159351.92326285277</v>
      </c>
      <c r="H58" s="142">
        <f t="shared" si="9"/>
        <v>159351.92326285277</v>
      </c>
      <c r="I58" s="156">
        <f t="shared" si="0"/>
        <v>0</v>
      </c>
      <c r="J58" s="156"/>
      <c r="K58" s="334"/>
      <c r="L58" s="158">
        <f t="shared" si="4"/>
        <v>0</v>
      </c>
      <c r="M58" s="334"/>
      <c r="N58" s="158">
        <f t="shared" si="5"/>
        <v>0</v>
      </c>
      <c r="O58" s="158">
        <f t="shared" si="6"/>
        <v>0</v>
      </c>
      <c r="P58" s="4"/>
    </row>
    <row r="59" spans="2:16">
      <c r="B59" s="9" t="str">
        <f t="shared" si="7"/>
        <v/>
      </c>
      <c r="C59" s="153">
        <f>IF(D11="","-",+C58+1)</f>
        <v>2059</v>
      </c>
      <c r="D59" s="159">
        <f>IF(F58+SUM(E$17:E58)=D$10,F58,D$10-SUM(E$17:E58))</f>
        <v>249937.60635280996</v>
      </c>
      <c r="E59" s="160">
        <f>IF(+I14&lt;F58,I14,D59)</f>
        <v>128093.02325581395</v>
      </c>
      <c r="F59" s="159">
        <f t="shared" si="1"/>
        <v>121844.58309699601</v>
      </c>
      <c r="G59" s="161">
        <f t="shared" si="8"/>
        <v>146599.53619530468</v>
      </c>
      <c r="H59" s="142">
        <f t="shared" si="9"/>
        <v>146599.53619530468</v>
      </c>
      <c r="I59" s="156">
        <f t="shared" si="0"/>
        <v>0</v>
      </c>
      <c r="J59" s="156"/>
      <c r="K59" s="334"/>
      <c r="L59" s="158">
        <f t="shared" si="4"/>
        <v>0</v>
      </c>
      <c r="M59" s="334"/>
      <c r="N59" s="158">
        <f t="shared" si="5"/>
        <v>0</v>
      </c>
      <c r="O59" s="158">
        <f t="shared" si="6"/>
        <v>0</v>
      </c>
      <c r="P59" s="4"/>
    </row>
    <row r="60" spans="2:16">
      <c r="B60" s="9" t="str">
        <f t="shared" si="7"/>
        <v/>
      </c>
      <c r="C60" s="153">
        <f>IF(D11="","-",+C59+1)</f>
        <v>2060</v>
      </c>
      <c r="D60" s="159">
        <f>IF(F59+SUM(E$17:E59)=D$10,F59,D$10-SUM(E$17:E59))</f>
        <v>121844.58309699601</v>
      </c>
      <c r="E60" s="160">
        <f>IF(+I14&lt;F59,I14,D60)</f>
        <v>121844.58309699601</v>
      </c>
      <c r="F60" s="159">
        <f t="shared" si="1"/>
        <v>0</v>
      </c>
      <c r="G60" s="161">
        <f t="shared" si="8"/>
        <v>127909.74279985436</v>
      </c>
      <c r="H60" s="142">
        <f t="shared" si="9"/>
        <v>127909.74279985436</v>
      </c>
      <c r="I60" s="156">
        <f t="shared" si="0"/>
        <v>0</v>
      </c>
      <c r="J60" s="156"/>
      <c r="K60" s="334"/>
      <c r="L60" s="158">
        <f t="shared" si="4"/>
        <v>0</v>
      </c>
      <c r="M60" s="334"/>
      <c r="N60" s="158">
        <f t="shared" si="5"/>
        <v>0</v>
      </c>
      <c r="O60" s="158">
        <f t="shared" si="6"/>
        <v>0</v>
      </c>
      <c r="P60" s="4"/>
    </row>
    <row r="61" spans="2:16">
      <c r="B61" s="9" t="str">
        <f t="shared" si="7"/>
        <v/>
      </c>
      <c r="C61" s="153">
        <f>IF(D11="","-",+C60+1)</f>
        <v>2061</v>
      </c>
      <c r="D61" s="159">
        <f>IF(F60+SUM(E$17:E60)=D$10,F60,D$10-SUM(E$17:E60))</f>
        <v>0</v>
      </c>
      <c r="E61" s="160">
        <f>IF(+I14&lt;F60,I14,D61)</f>
        <v>0</v>
      </c>
      <c r="F61" s="159">
        <f t="shared" si="1"/>
        <v>0</v>
      </c>
      <c r="G61" s="163">
        <f t="shared" si="8"/>
        <v>0</v>
      </c>
      <c r="H61" s="142">
        <f t="shared" si="9"/>
        <v>0</v>
      </c>
      <c r="I61" s="156">
        <f t="shared" si="0"/>
        <v>0</v>
      </c>
      <c r="J61" s="156"/>
      <c r="K61" s="334"/>
      <c r="L61" s="158">
        <f t="shared" si="4"/>
        <v>0</v>
      </c>
      <c r="M61" s="334"/>
      <c r="N61" s="158">
        <f t="shared" si="5"/>
        <v>0</v>
      </c>
      <c r="O61" s="158">
        <f t="shared" si="6"/>
        <v>0</v>
      </c>
      <c r="P61" s="4"/>
    </row>
    <row r="62" spans="2:16">
      <c r="B62" s="9" t="str">
        <f t="shared" si="7"/>
        <v/>
      </c>
      <c r="C62" s="153">
        <f>IF(D11="","-",+C61+1)</f>
        <v>2062</v>
      </c>
      <c r="D62" s="159">
        <f>IF(F61+SUM(E$17:E61)=D$10,F61,D$10-SUM(E$17:E61))</f>
        <v>0</v>
      </c>
      <c r="E62" s="160">
        <f>IF(+I14&lt;F61,I14,D62)</f>
        <v>0</v>
      </c>
      <c r="F62" s="159">
        <f t="shared" si="1"/>
        <v>0</v>
      </c>
      <c r="G62" s="163">
        <f t="shared" si="8"/>
        <v>0</v>
      </c>
      <c r="H62" s="142">
        <f t="shared" si="9"/>
        <v>0</v>
      </c>
      <c r="I62" s="156">
        <f t="shared" si="0"/>
        <v>0</v>
      </c>
      <c r="J62" s="156"/>
      <c r="K62" s="334"/>
      <c r="L62" s="158">
        <f t="shared" si="4"/>
        <v>0</v>
      </c>
      <c r="M62" s="334"/>
      <c r="N62" s="158">
        <f t="shared" si="5"/>
        <v>0</v>
      </c>
      <c r="O62" s="158">
        <f t="shared" si="6"/>
        <v>0</v>
      </c>
      <c r="P62" s="4"/>
    </row>
    <row r="63" spans="2:16">
      <c r="B63" s="9" t="str">
        <f t="shared" si="7"/>
        <v/>
      </c>
      <c r="C63" s="153">
        <f>IF(D11="","-",+C62+1)</f>
        <v>2063</v>
      </c>
      <c r="D63" s="159">
        <f>IF(F62+SUM(E$17:E62)=D$10,F62,D$10-SUM(E$17:E62))</f>
        <v>0</v>
      </c>
      <c r="E63" s="160">
        <f>IF(+I14&lt;F62,I14,D63)</f>
        <v>0</v>
      </c>
      <c r="F63" s="159">
        <f t="shared" si="1"/>
        <v>0</v>
      </c>
      <c r="G63" s="163">
        <f t="shared" si="8"/>
        <v>0</v>
      </c>
      <c r="H63" s="142">
        <f t="shared" si="9"/>
        <v>0</v>
      </c>
      <c r="I63" s="156">
        <f t="shared" si="0"/>
        <v>0</v>
      </c>
      <c r="J63" s="156"/>
      <c r="K63" s="334"/>
      <c r="L63" s="158">
        <f t="shared" si="4"/>
        <v>0</v>
      </c>
      <c r="M63" s="334"/>
      <c r="N63" s="158">
        <f t="shared" si="5"/>
        <v>0</v>
      </c>
      <c r="O63" s="158">
        <f t="shared" si="6"/>
        <v>0</v>
      </c>
      <c r="P63" s="4"/>
    </row>
    <row r="64" spans="2:16">
      <c r="B64" s="9" t="str">
        <f t="shared" si="7"/>
        <v/>
      </c>
      <c r="C64" s="153">
        <f>IF(D11="","-",+C63+1)</f>
        <v>2064</v>
      </c>
      <c r="D64" s="159">
        <f>IF(F63+SUM(E$17:E63)=D$10,F63,D$10-SUM(E$17:E63))</f>
        <v>0</v>
      </c>
      <c r="E64" s="160">
        <f>IF(+I14&lt;F63,I14,D64)</f>
        <v>0</v>
      </c>
      <c r="F64" s="159">
        <f t="shared" si="1"/>
        <v>0</v>
      </c>
      <c r="G64" s="163">
        <f t="shared" si="8"/>
        <v>0</v>
      </c>
      <c r="H64" s="142">
        <f t="shared" si="9"/>
        <v>0</v>
      </c>
      <c r="I64" s="156">
        <f t="shared" si="0"/>
        <v>0</v>
      </c>
      <c r="J64" s="156"/>
      <c r="K64" s="334"/>
      <c r="L64" s="158">
        <f t="shared" si="4"/>
        <v>0</v>
      </c>
      <c r="M64" s="334"/>
      <c r="N64" s="158">
        <f t="shared" si="5"/>
        <v>0</v>
      </c>
      <c r="O64" s="158">
        <f t="shared" si="6"/>
        <v>0</v>
      </c>
      <c r="P64" s="4"/>
    </row>
    <row r="65" spans="2:16">
      <c r="B65" s="9" t="str">
        <f t="shared" si="7"/>
        <v/>
      </c>
      <c r="C65" s="153">
        <f>IF(D11="","-",+C64+1)</f>
        <v>2065</v>
      </c>
      <c r="D65" s="159">
        <f>IF(F64+SUM(E$17:E64)=D$10,F64,D$10-SUM(E$17:E64))</f>
        <v>0</v>
      </c>
      <c r="E65" s="160">
        <f>IF(+I14&lt;F64,I14,D65)</f>
        <v>0</v>
      </c>
      <c r="F65" s="159">
        <f t="shared" si="1"/>
        <v>0</v>
      </c>
      <c r="G65" s="163">
        <f t="shared" si="8"/>
        <v>0</v>
      </c>
      <c r="H65" s="142">
        <f t="shared" si="9"/>
        <v>0</v>
      </c>
      <c r="I65" s="156">
        <f t="shared" si="0"/>
        <v>0</v>
      </c>
      <c r="J65" s="156"/>
      <c r="K65" s="334"/>
      <c r="L65" s="158">
        <f t="shared" si="4"/>
        <v>0</v>
      </c>
      <c r="M65" s="334"/>
      <c r="N65" s="158">
        <f t="shared" si="5"/>
        <v>0</v>
      </c>
      <c r="O65" s="158">
        <f t="shared" si="6"/>
        <v>0</v>
      </c>
      <c r="P65" s="4"/>
    </row>
    <row r="66" spans="2:16">
      <c r="B66" s="9" t="str">
        <f t="shared" si="7"/>
        <v/>
      </c>
      <c r="C66" s="153">
        <f>IF(D11="","-",+C65+1)</f>
        <v>2066</v>
      </c>
      <c r="D66" s="159">
        <f>IF(F65+SUM(E$17:E65)=D$10,F65,D$10-SUM(E$17:E65))</f>
        <v>0</v>
      </c>
      <c r="E66" s="160">
        <f>IF(+I14&lt;F65,I14,D66)</f>
        <v>0</v>
      </c>
      <c r="F66" s="159">
        <f t="shared" si="1"/>
        <v>0</v>
      </c>
      <c r="G66" s="163">
        <f t="shared" si="8"/>
        <v>0</v>
      </c>
      <c r="H66" s="142">
        <f t="shared" si="9"/>
        <v>0</v>
      </c>
      <c r="I66" s="156">
        <f t="shared" si="0"/>
        <v>0</v>
      </c>
      <c r="J66" s="156"/>
      <c r="K66" s="334"/>
      <c r="L66" s="158">
        <f t="shared" si="4"/>
        <v>0</v>
      </c>
      <c r="M66" s="334"/>
      <c r="N66" s="158">
        <f t="shared" si="5"/>
        <v>0</v>
      </c>
      <c r="O66" s="158">
        <f t="shared" si="6"/>
        <v>0</v>
      </c>
      <c r="P66" s="4"/>
    </row>
    <row r="67" spans="2:16">
      <c r="B67" s="9" t="str">
        <f t="shared" si="7"/>
        <v/>
      </c>
      <c r="C67" s="153">
        <f>IF(D11="","-",+C66+1)</f>
        <v>2067</v>
      </c>
      <c r="D67" s="159">
        <f>IF(F66+SUM(E$17:E66)=D$10,F66,D$10-SUM(E$17:E66))</f>
        <v>0</v>
      </c>
      <c r="E67" s="160">
        <f>IF(+I14&lt;F66,I14,D67)</f>
        <v>0</v>
      </c>
      <c r="F67" s="159">
        <f t="shared" si="1"/>
        <v>0</v>
      </c>
      <c r="G67" s="163">
        <f t="shared" si="8"/>
        <v>0</v>
      </c>
      <c r="H67" s="142">
        <f t="shared" si="9"/>
        <v>0</v>
      </c>
      <c r="I67" s="156">
        <f t="shared" si="0"/>
        <v>0</v>
      </c>
      <c r="J67" s="156"/>
      <c r="K67" s="334"/>
      <c r="L67" s="158">
        <f t="shared" si="4"/>
        <v>0</v>
      </c>
      <c r="M67" s="334"/>
      <c r="N67" s="158">
        <f t="shared" si="5"/>
        <v>0</v>
      </c>
      <c r="O67" s="158">
        <f t="shared" si="6"/>
        <v>0</v>
      </c>
      <c r="P67" s="4"/>
    </row>
    <row r="68" spans="2:16">
      <c r="B68" s="9" t="str">
        <f t="shared" si="7"/>
        <v/>
      </c>
      <c r="C68" s="153">
        <f>IF(D11="","-",+C67+1)</f>
        <v>2068</v>
      </c>
      <c r="D68" s="159">
        <f>IF(F67+SUM(E$17:E67)=D$10,F67,D$10-SUM(E$17:E67))</f>
        <v>0</v>
      </c>
      <c r="E68" s="160">
        <f>IF(+I14&lt;F67,I14,D68)</f>
        <v>0</v>
      </c>
      <c r="F68" s="159">
        <f t="shared" si="1"/>
        <v>0</v>
      </c>
      <c r="G68" s="163">
        <f t="shared" si="8"/>
        <v>0</v>
      </c>
      <c r="H68" s="142">
        <f t="shared" si="9"/>
        <v>0</v>
      </c>
      <c r="I68" s="156">
        <f t="shared" si="0"/>
        <v>0</v>
      </c>
      <c r="J68" s="156"/>
      <c r="K68" s="334"/>
      <c r="L68" s="158">
        <f t="shared" si="4"/>
        <v>0</v>
      </c>
      <c r="M68" s="334"/>
      <c r="N68" s="158">
        <f t="shared" si="5"/>
        <v>0</v>
      </c>
      <c r="O68" s="158">
        <f t="shared" si="6"/>
        <v>0</v>
      </c>
      <c r="P68" s="4"/>
    </row>
    <row r="69" spans="2:16">
      <c r="B69" s="9" t="str">
        <f t="shared" si="7"/>
        <v/>
      </c>
      <c r="C69" s="153">
        <f>IF(D11="","-",+C68+1)</f>
        <v>2069</v>
      </c>
      <c r="D69" s="159">
        <f>IF(F68+SUM(E$17:E68)=D$10,F68,D$10-SUM(E$17:E68))</f>
        <v>0</v>
      </c>
      <c r="E69" s="160">
        <f>IF(+I14&lt;F68,I14,D69)</f>
        <v>0</v>
      </c>
      <c r="F69" s="159">
        <f t="shared" si="1"/>
        <v>0</v>
      </c>
      <c r="G69" s="163">
        <f t="shared" si="8"/>
        <v>0</v>
      </c>
      <c r="H69" s="142">
        <f t="shared" si="9"/>
        <v>0</v>
      </c>
      <c r="I69" s="156">
        <f t="shared" si="0"/>
        <v>0</v>
      </c>
      <c r="J69" s="156"/>
      <c r="K69" s="334"/>
      <c r="L69" s="158">
        <f t="shared" si="4"/>
        <v>0</v>
      </c>
      <c r="M69" s="334"/>
      <c r="N69" s="158">
        <f t="shared" si="5"/>
        <v>0</v>
      </c>
      <c r="O69" s="158">
        <f t="shared" si="6"/>
        <v>0</v>
      </c>
      <c r="P69" s="4"/>
    </row>
    <row r="70" spans="2:16">
      <c r="B70" s="9" t="str">
        <f t="shared" si="7"/>
        <v/>
      </c>
      <c r="C70" s="153">
        <f>IF(D11="","-",+C69+1)</f>
        <v>2070</v>
      </c>
      <c r="D70" s="159">
        <f>IF(F69+SUM(E$17:E69)=D$10,F69,D$10-SUM(E$17:E69))</f>
        <v>0</v>
      </c>
      <c r="E70" s="160">
        <f>IF(+I14&lt;F69,I14,D70)</f>
        <v>0</v>
      </c>
      <c r="F70" s="159">
        <f t="shared" si="1"/>
        <v>0</v>
      </c>
      <c r="G70" s="163">
        <f t="shared" si="8"/>
        <v>0</v>
      </c>
      <c r="H70" s="142">
        <f t="shared" si="9"/>
        <v>0</v>
      </c>
      <c r="I70" s="156">
        <f t="shared" si="0"/>
        <v>0</v>
      </c>
      <c r="J70" s="156"/>
      <c r="K70" s="334"/>
      <c r="L70" s="158">
        <f t="shared" si="4"/>
        <v>0</v>
      </c>
      <c r="M70" s="334"/>
      <c r="N70" s="158">
        <f t="shared" si="5"/>
        <v>0</v>
      </c>
      <c r="O70" s="158">
        <f t="shared" si="6"/>
        <v>0</v>
      </c>
      <c r="P70" s="4"/>
    </row>
    <row r="71" spans="2:16">
      <c r="B71" s="9" t="str">
        <f t="shared" si="7"/>
        <v/>
      </c>
      <c r="C71" s="153">
        <f>IF(D11="","-",+C70+1)</f>
        <v>2071</v>
      </c>
      <c r="D71" s="159">
        <f>IF(F70+SUM(E$17:E70)=D$10,F70,D$10-SUM(E$17:E70))</f>
        <v>0</v>
      </c>
      <c r="E71" s="160">
        <f>IF(+I14&lt;F70,I14,D71)</f>
        <v>0</v>
      </c>
      <c r="F71" s="159">
        <f t="shared" si="1"/>
        <v>0</v>
      </c>
      <c r="G71" s="163">
        <f t="shared" si="8"/>
        <v>0</v>
      </c>
      <c r="H71" s="142">
        <f t="shared" si="9"/>
        <v>0</v>
      </c>
      <c r="I71" s="156">
        <f t="shared" si="0"/>
        <v>0</v>
      </c>
      <c r="J71" s="156"/>
      <c r="K71" s="334"/>
      <c r="L71" s="158">
        <f t="shared" si="4"/>
        <v>0</v>
      </c>
      <c r="M71" s="334"/>
      <c r="N71" s="158">
        <f t="shared" si="5"/>
        <v>0</v>
      </c>
      <c r="O71" s="158">
        <f t="shared" si="6"/>
        <v>0</v>
      </c>
      <c r="P71" s="4"/>
    </row>
    <row r="72" spans="2:16" ht="13.5" thickBot="1">
      <c r="B72" s="9" t="str">
        <f t="shared" si="7"/>
        <v/>
      </c>
      <c r="C72" s="164">
        <f>IF(D11="","-",+C71+1)</f>
        <v>2072</v>
      </c>
      <c r="D72" s="165">
        <f>IF(F71+SUM(E$17:E71)=D$10,F71,D$10-SUM(E$17:E71))</f>
        <v>0</v>
      </c>
      <c r="E72" s="166">
        <f>IF(+I14&lt;F71,I14,D72)</f>
        <v>0</v>
      </c>
      <c r="F72" s="165">
        <f t="shared" si="1"/>
        <v>0</v>
      </c>
      <c r="G72" s="167">
        <f t="shared" si="8"/>
        <v>0</v>
      </c>
      <c r="H72" s="124">
        <f t="shared" si="9"/>
        <v>0</v>
      </c>
      <c r="I72" s="168">
        <f t="shared" si="0"/>
        <v>0</v>
      </c>
      <c r="J72" s="156"/>
      <c r="K72" s="335"/>
      <c r="L72" s="169">
        <f t="shared" si="4"/>
        <v>0</v>
      </c>
      <c r="M72" s="335"/>
      <c r="N72" s="169">
        <f t="shared" si="5"/>
        <v>0</v>
      </c>
      <c r="O72" s="169">
        <f t="shared" si="6"/>
        <v>0</v>
      </c>
      <c r="P72" s="4"/>
    </row>
    <row r="73" spans="2:16">
      <c r="C73" s="154" t="s">
        <v>73</v>
      </c>
      <c r="D73" s="111"/>
      <c r="E73" s="111">
        <f>SUM(E17:E72)</f>
        <v>5508000</v>
      </c>
      <c r="F73" s="111"/>
      <c r="G73" s="111">
        <f>SUM(G17:G72)</f>
        <v>17679732.507829297</v>
      </c>
      <c r="H73" s="111">
        <f>SUM(H17:H72)</f>
        <v>17679732.507829297</v>
      </c>
      <c r="I73" s="111">
        <f>SUM(I17:I72)</f>
        <v>0</v>
      </c>
      <c r="J73" s="111"/>
      <c r="K73" s="111"/>
      <c r="L73" s="111"/>
      <c r="M73" s="111"/>
      <c r="N73" s="111"/>
      <c r="O73" s="4"/>
      <c r="P73" s="4"/>
    </row>
    <row r="74" spans="2:16">
      <c r="D74" s="2"/>
      <c r="E74" s="1"/>
      <c r="F74" s="1"/>
      <c r="G74" s="1"/>
      <c r="H74" s="3"/>
      <c r="I74" s="3"/>
      <c r="J74" s="111"/>
      <c r="K74" s="3"/>
      <c r="L74" s="3"/>
      <c r="M74" s="3"/>
      <c r="N74" s="3"/>
      <c r="O74" s="1"/>
      <c r="P74" s="1"/>
    </row>
    <row r="75" spans="2:16">
      <c r="C75" s="170" t="s">
        <v>91</v>
      </c>
      <c r="D75" s="2"/>
      <c r="E75" s="1"/>
      <c r="F75" s="1"/>
      <c r="G75" s="1"/>
      <c r="H75" s="3"/>
      <c r="I75" s="3"/>
      <c r="J75" s="111"/>
      <c r="K75" s="3"/>
      <c r="L75" s="3"/>
      <c r="M75" s="3"/>
      <c r="N75" s="3"/>
      <c r="O75" s="1"/>
      <c r="P75" s="1"/>
    </row>
    <row r="76" spans="2:16">
      <c r="C76" s="121" t="s">
        <v>74</v>
      </c>
      <c r="D76" s="2"/>
      <c r="E76" s="1"/>
      <c r="F76" s="1"/>
      <c r="G76" s="1"/>
      <c r="H76" s="3"/>
      <c r="I76" s="3"/>
      <c r="J76" s="111"/>
      <c r="K76" s="3"/>
      <c r="L76" s="3"/>
      <c r="M76" s="3"/>
      <c r="N76" s="3"/>
      <c r="O76" s="4"/>
      <c r="P76" s="4"/>
    </row>
    <row r="77" spans="2:16">
      <c r="C77" s="121" t="s">
        <v>75</v>
      </c>
      <c r="D77" s="154"/>
      <c r="E77" s="154"/>
      <c r="F77" s="154"/>
      <c r="G77" s="111"/>
      <c r="H77" s="111"/>
      <c r="I77" s="171"/>
      <c r="J77" s="171"/>
      <c r="K77" s="171"/>
      <c r="L77" s="171"/>
      <c r="M77" s="171"/>
      <c r="N77" s="171"/>
      <c r="O77" s="4"/>
      <c r="P77" s="4"/>
    </row>
    <row r="78" spans="2:16">
      <c r="C78" s="121"/>
      <c r="D78" s="154"/>
      <c r="E78" s="154"/>
      <c r="F78" s="154"/>
      <c r="G78" s="111"/>
      <c r="H78" s="111"/>
      <c r="I78" s="171"/>
      <c r="J78" s="171"/>
      <c r="K78" s="171"/>
      <c r="L78" s="171"/>
      <c r="M78" s="171"/>
      <c r="N78" s="171"/>
      <c r="O78" s="4"/>
      <c r="P78" s="1"/>
    </row>
    <row r="79" spans="2:16">
      <c r="B79" s="1"/>
      <c r="C79" s="21"/>
      <c r="D79" s="2"/>
      <c r="E79" s="1"/>
      <c r="F79" s="107"/>
      <c r="G79" s="1"/>
      <c r="H79" s="3"/>
      <c r="I79" s="1"/>
      <c r="J79" s="4"/>
      <c r="K79" s="1"/>
      <c r="L79" s="1"/>
      <c r="M79" s="1"/>
      <c r="N79" s="1"/>
      <c r="O79" s="1"/>
      <c r="P79" s="1"/>
    </row>
    <row r="80" spans="2:16" ht="18">
      <c r="B80" s="1"/>
      <c r="C80" s="242"/>
      <c r="D80" s="2"/>
      <c r="E80" s="1"/>
      <c r="F80" s="107"/>
      <c r="G80" s="1"/>
      <c r="H80" s="3"/>
      <c r="I80" s="1"/>
      <c r="J80" s="4"/>
      <c r="K80" s="1"/>
      <c r="L80" s="1"/>
      <c r="M80" s="1"/>
      <c r="N80" s="1"/>
      <c r="P80" s="244" t="s">
        <v>125</v>
      </c>
    </row>
    <row r="81" spans="1:16">
      <c r="B81" s="1"/>
      <c r="C81" s="21"/>
      <c r="D81" s="2"/>
      <c r="E81" s="1"/>
      <c r="F81" s="107"/>
      <c r="G81" s="1"/>
      <c r="H81" s="3"/>
      <c r="I81" s="1"/>
      <c r="J81" s="4"/>
      <c r="K81" s="1"/>
      <c r="L81" s="1"/>
      <c r="M81" s="1"/>
      <c r="N81" s="1"/>
      <c r="O81" s="1"/>
      <c r="P81" s="1"/>
    </row>
    <row r="82" spans="1:16">
      <c r="B82" s="1"/>
      <c r="C82" s="21"/>
      <c r="D82" s="2"/>
      <c r="E82" s="1"/>
      <c r="F82" s="107"/>
      <c r="G82" s="1"/>
      <c r="H82" s="3"/>
      <c r="I82" s="1"/>
      <c r="J82" s="4"/>
      <c r="K82" s="1"/>
      <c r="L82" s="1"/>
      <c r="M82" s="1"/>
      <c r="N82" s="1"/>
      <c r="O82" s="1"/>
      <c r="P82" s="1"/>
    </row>
    <row r="83" spans="1:16" ht="20.25">
      <c r="A83" s="243" t="s">
        <v>129</v>
      </c>
      <c r="B83" s="1"/>
      <c r="C83" s="21"/>
      <c r="D83" s="2"/>
      <c r="E83" s="1"/>
      <c r="F83" s="99"/>
      <c r="G83" s="99"/>
      <c r="H83" s="1"/>
      <c r="I83" s="3"/>
      <c r="K83" s="7"/>
      <c r="L83" s="109"/>
      <c r="M83" s="109"/>
      <c r="P83" s="109" t="str">
        <f ca="1">P1</f>
        <v>SWEPCO Project 63 of 73</v>
      </c>
    </row>
    <row r="84" spans="1:16" ht="18">
      <c r="B84" s="1"/>
      <c r="C84" s="1"/>
      <c r="D84" s="2"/>
      <c r="E84" s="1"/>
      <c r="F84" s="1"/>
      <c r="G84" s="1"/>
      <c r="H84" s="1"/>
      <c r="I84" s="3"/>
      <c r="J84" s="1"/>
      <c r="K84" s="4"/>
      <c r="L84" s="1"/>
      <c r="M84" s="1"/>
      <c r="P84" s="244" t="s">
        <v>123</v>
      </c>
    </row>
    <row r="85" spans="1:16" ht="18.75" thickBot="1">
      <c r="B85" s="5" t="s">
        <v>40</v>
      </c>
      <c r="C85" s="197" t="s">
        <v>78</v>
      </c>
      <c r="D85" s="2"/>
      <c r="E85" s="1"/>
      <c r="F85" s="1"/>
      <c r="G85" s="1"/>
      <c r="H85" s="1"/>
      <c r="I85" s="3"/>
      <c r="J85" s="3"/>
      <c r="K85" s="111"/>
      <c r="L85" s="3"/>
      <c r="M85" s="3"/>
      <c r="N85" s="3"/>
      <c r="O85" s="111"/>
      <c r="P85" s="1"/>
    </row>
    <row r="86" spans="1:16" ht="15.75" thickBot="1">
      <c r="C86" s="67"/>
      <c r="D86" s="2"/>
      <c r="E86" s="1"/>
      <c r="F86" s="1"/>
      <c r="G86" s="1"/>
      <c r="H86" s="1"/>
      <c r="I86" s="3"/>
      <c r="J86" s="3"/>
      <c r="K86" s="111"/>
      <c r="L86" s="265">
        <f>+J92</f>
        <v>2017</v>
      </c>
      <c r="M86" s="266" t="s">
        <v>7</v>
      </c>
      <c r="N86" s="270" t="s">
        <v>154</v>
      </c>
      <c r="O86" s="267" t="s">
        <v>9</v>
      </c>
      <c r="P86" s="1"/>
    </row>
    <row r="87" spans="1:16" ht="15">
      <c r="C87" s="235" t="s">
        <v>42</v>
      </c>
      <c r="D87" s="2"/>
      <c r="E87" s="1"/>
      <c r="F87" s="1"/>
      <c r="G87" s="1"/>
      <c r="H87" s="113"/>
      <c r="I87" s="1" t="s">
        <v>43</v>
      </c>
      <c r="J87" s="1"/>
      <c r="K87" s="261"/>
      <c r="L87" s="259" t="s">
        <v>381</v>
      </c>
      <c r="M87" s="198">
        <f>IF(J92&lt;D11,0,VLOOKUP(J92,C17:O72,9))</f>
        <v>341200.03757960664</v>
      </c>
      <c r="N87" s="198">
        <f>IF(J92&lt;D11,0,VLOOKUP(J92,C17:O72,11))</f>
        <v>341200.03757960664</v>
      </c>
      <c r="O87" s="199">
        <f>+N87-M87</f>
        <v>0</v>
      </c>
      <c r="P87" s="1"/>
    </row>
    <row r="88" spans="1:16" ht="15.75">
      <c r="C88" s="8"/>
      <c r="D88" s="2"/>
      <c r="E88" s="1"/>
      <c r="F88" s="1"/>
      <c r="G88" s="1"/>
      <c r="H88" s="1"/>
      <c r="I88" s="117"/>
      <c r="J88" s="117"/>
      <c r="K88" s="263"/>
      <c r="L88" s="264" t="s">
        <v>382</v>
      </c>
      <c r="M88" s="200">
        <f>IF(J92&lt;D11,0,VLOOKUP(J92,C99:P154,6))</f>
        <v>231808.65934946379</v>
      </c>
      <c r="N88" s="200">
        <f>IF(J92&lt;D11,0,VLOOKUP(J92,C99:P154,7))</f>
        <v>231808.65934946379</v>
      </c>
      <c r="O88" s="201">
        <f>+N88-M88</f>
        <v>0</v>
      </c>
      <c r="P88" s="1"/>
    </row>
    <row r="89" spans="1:16" ht="13.5" thickBot="1">
      <c r="C89" s="121" t="s">
        <v>79</v>
      </c>
      <c r="D89" s="246" t="str">
        <f>+D7</f>
        <v>Brooks Street - Edwards Street 69 kV Line Rebuild</v>
      </c>
      <c r="E89" s="1"/>
      <c r="F89" s="1"/>
      <c r="G89" s="1"/>
      <c r="H89" s="1"/>
      <c r="I89" s="3"/>
      <c r="J89" s="3"/>
      <c r="K89" s="262"/>
      <c r="L89" s="260" t="s">
        <v>151</v>
      </c>
      <c r="M89" s="203">
        <f>+M88-M87</f>
        <v>-109391.37823014284</v>
      </c>
      <c r="N89" s="203">
        <f>+N88-N87</f>
        <v>-109391.37823014284</v>
      </c>
      <c r="O89" s="204">
        <f>+O88-O87</f>
        <v>0</v>
      </c>
      <c r="P89" s="1"/>
    </row>
    <row r="90" spans="1:16" ht="13.5" thickBot="1">
      <c r="C90" s="170"/>
      <c r="D90" s="173" t="str">
        <f>D8</f>
        <v/>
      </c>
      <c r="E90" s="107"/>
      <c r="F90" s="107"/>
      <c r="G90" s="107"/>
      <c r="H90" s="126"/>
      <c r="I90" s="3"/>
      <c r="J90" s="3"/>
      <c r="K90" s="111"/>
      <c r="L90" s="3"/>
      <c r="M90" s="3"/>
      <c r="N90" s="3"/>
      <c r="O90" s="111"/>
      <c r="P90" s="1"/>
    </row>
    <row r="91" spans="1:16" ht="13.5" thickBot="1">
      <c r="A91" s="103"/>
      <c r="C91" s="205" t="s">
        <v>80</v>
      </c>
      <c r="D91" s="224" t="str">
        <f>+D9</f>
        <v>TP______</v>
      </c>
      <c r="E91" s="206"/>
      <c r="F91" s="206"/>
      <c r="G91" s="206"/>
      <c r="H91" s="206"/>
      <c r="I91" s="206"/>
      <c r="J91" s="206"/>
      <c r="K91" s="207"/>
      <c r="P91" s="131"/>
    </row>
    <row r="92" spans="1:16">
      <c r="C92" s="136" t="s">
        <v>47</v>
      </c>
      <c r="D92" s="218">
        <v>3816677</v>
      </c>
      <c r="E92" s="21" t="s">
        <v>81</v>
      </c>
      <c r="H92" s="134"/>
      <c r="I92" s="134"/>
      <c r="J92" s="135">
        <f>+'SWE.WS.G.BPU.ATRR.True-up'!M15</f>
        <v>2017</v>
      </c>
      <c r="K92" s="130"/>
      <c r="L92" s="111" t="s">
        <v>82</v>
      </c>
      <c r="P92" s="4"/>
    </row>
    <row r="93" spans="1:16">
      <c r="C93" s="136" t="s">
        <v>49</v>
      </c>
      <c r="D93" s="219">
        <f>IF(D11=I10,"",D11)</f>
        <v>2017</v>
      </c>
      <c r="E93" s="136" t="s">
        <v>50</v>
      </c>
      <c r="F93" s="134"/>
      <c r="G93" s="134"/>
      <c r="J93" s="138">
        <f>IF(H87="",0,'SWE.WS.G.BPU.ATRR.True-up'!$F$12)</f>
        <v>0</v>
      </c>
      <c r="K93" s="139"/>
      <c r="L93" t="str">
        <f>"          INPUT TRUE-UP ARR (WITH &amp; WITHOUT INCENTIVES) FROM EACH PRIOR YEAR"</f>
        <v xml:space="preserve">          INPUT TRUE-UP ARR (WITH &amp; WITHOUT INCENTIVES) FROM EACH PRIOR YEAR</v>
      </c>
      <c r="P93" s="4"/>
    </row>
    <row r="94" spans="1:16">
      <c r="C94" s="136" t="s">
        <v>51</v>
      </c>
      <c r="D94" s="218">
        <f>IF(D11=I10,"",D12)</f>
        <v>12</v>
      </c>
      <c r="E94" s="136" t="s">
        <v>52</v>
      </c>
      <c r="F94" s="134"/>
      <c r="G94" s="134"/>
      <c r="J94" s="140">
        <f>'SWE.WS.G.BPU.ATRR.True-up'!$F$80</f>
        <v>0.12147145768398206</v>
      </c>
      <c r="K94" s="141"/>
      <c r="L94" t="s">
        <v>83</v>
      </c>
      <c r="P94" s="4"/>
    </row>
    <row r="95" spans="1:16">
      <c r="C95" s="136" t="s">
        <v>54</v>
      </c>
      <c r="D95" s="138">
        <f>'SWE.WS.G.BPU.ATRR.True-up'!F$92</f>
        <v>42</v>
      </c>
      <c r="E95" s="136" t="s">
        <v>55</v>
      </c>
      <c r="F95" s="134"/>
      <c r="G95" s="134"/>
      <c r="J95" s="140">
        <f>IF(H87="",J94,'SWE.WS.G.BPU.ATRR.True-up'!$F$79)</f>
        <v>0.12147145768398206</v>
      </c>
      <c r="K95" s="58"/>
      <c r="L95" s="111" t="s">
        <v>56</v>
      </c>
      <c r="M95" s="58"/>
      <c r="N95" s="58"/>
      <c r="O95" s="58"/>
      <c r="P95" s="4"/>
    </row>
    <row r="96" spans="1:16" ht="13.5" thickBot="1">
      <c r="C96" s="136" t="s">
        <v>57</v>
      </c>
      <c r="D96" s="220" t="str">
        <f>+D14</f>
        <v>No</v>
      </c>
      <c r="E96" s="202" t="s">
        <v>59</v>
      </c>
      <c r="F96" s="208"/>
      <c r="G96" s="208"/>
      <c r="H96" s="209"/>
      <c r="I96" s="209"/>
      <c r="J96" s="124">
        <f>IF(D92=0,0,D92/D95)</f>
        <v>90873.261904761908</v>
      </c>
      <c r="K96" s="111"/>
      <c r="L96" s="111"/>
      <c r="M96" s="111"/>
      <c r="N96" s="111"/>
      <c r="O96" s="111"/>
      <c r="P96" s="4"/>
    </row>
    <row r="97" spans="1:16" ht="38.25">
      <c r="A97" s="6"/>
      <c r="B97" s="6"/>
      <c r="C97" s="210" t="s">
        <v>47</v>
      </c>
      <c r="D97" s="211" t="s">
        <v>60</v>
      </c>
      <c r="E97" s="146" t="s">
        <v>61</v>
      </c>
      <c r="F97" s="146" t="s">
        <v>62</v>
      </c>
      <c r="G97" s="144" t="s">
        <v>84</v>
      </c>
      <c r="H97" s="434" t="s">
        <v>378</v>
      </c>
      <c r="I97" s="435" t="s">
        <v>379</v>
      </c>
      <c r="J97" s="210" t="s">
        <v>85</v>
      </c>
      <c r="K97" s="212"/>
      <c r="L97" s="271" t="s">
        <v>220</v>
      </c>
      <c r="M97" s="146" t="s">
        <v>86</v>
      </c>
      <c r="N97" s="271" t="s">
        <v>220</v>
      </c>
      <c r="O97" s="146" t="s">
        <v>86</v>
      </c>
      <c r="P97" s="146" t="s">
        <v>65</v>
      </c>
    </row>
    <row r="98" spans="1:16" ht="13.5" thickBot="1">
      <c r="C98" s="147" t="s">
        <v>66</v>
      </c>
      <c r="D98" s="213" t="s">
        <v>67</v>
      </c>
      <c r="E98" s="147" t="s">
        <v>68</v>
      </c>
      <c r="F98" s="147" t="s">
        <v>67</v>
      </c>
      <c r="G98" s="147" t="s">
        <v>67</v>
      </c>
      <c r="H98" s="255" t="s">
        <v>69</v>
      </c>
      <c r="I98" s="148" t="s">
        <v>70</v>
      </c>
      <c r="J98" s="149" t="s">
        <v>89</v>
      </c>
      <c r="K98" s="150"/>
      <c r="L98" s="151" t="s">
        <v>72</v>
      </c>
      <c r="M98" s="151" t="s">
        <v>72</v>
      </c>
      <c r="N98" s="151" t="s">
        <v>90</v>
      </c>
      <c r="O98" s="151" t="s">
        <v>90</v>
      </c>
      <c r="P98" s="151" t="s">
        <v>90</v>
      </c>
    </row>
    <row r="99" spans="1:16">
      <c r="C99" s="153">
        <f>IF(D93= "","-",D93)</f>
        <v>2017</v>
      </c>
      <c r="D99" s="154">
        <f>IF(D93=C99,0,D92)</f>
        <v>0</v>
      </c>
      <c r="E99" s="161">
        <f>IF(D11=I10,0,J96/12*(12-D94))</f>
        <v>0</v>
      </c>
      <c r="F99" s="159">
        <f>IF(D93=C99,+D92-E99,+D99-E99)</f>
        <v>3816677</v>
      </c>
      <c r="G99" s="214">
        <f t="shared" ref="G99:G130" si="10">+(F99+D99)/2</f>
        <v>1908338.5</v>
      </c>
      <c r="H99" s="251">
        <f>+J94*G99+E99</f>
        <v>231808.65934946379</v>
      </c>
      <c r="I99" s="252">
        <f>+J95*G99+E99</f>
        <v>231808.65934946379</v>
      </c>
      <c r="J99" s="158">
        <f t="shared" ref="J99:J130" si="11">+I99-H99</f>
        <v>0</v>
      </c>
      <c r="K99" s="158"/>
      <c r="L99" s="333"/>
      <c r="M99" s="157">
        <f t="shared" ref="M99:M130" si="12">IF(L99&lt;&gt;0,+H99-L99,0)</f>
        <v>0</v>
      </c>
      <c r="N99" s="333"/>
      <c r="O99" s="157">
        <f t="shared" ref="O99:O130" si="13">IF(N99&lt;&gt;0,+I99-N99,0)</f>
        <v>0</v>
      </c>
      <c r="P99" s="157">
        <f t="shared" ref="P99:P130" si="14">+O99-M99</f>
        <v>0</v>
      </c>
    </row>
    <row r="100" spans="1:16">
      <c r="B100" s="9" t="str">
        <f>IF(D100=F99,"","IU")</f>
        <v/>
      </c>
      <c r="C100" s="153">
        <f>IF(D93="","-",+C99+1)</f>
        <v>2018</v>
      </c>
      <c r="D100" s="154">
        <f>IF(F99+SUM(E$99:E99)=D$92,F99,D$92-SUM(E$99:E99))</f>
        <v>3816677</v>
      </c>
      <c r="E100" s="160">
        <f>IF(+J96&lt;F99,J96,D100)</f>
        <v>90873.261904761908</v>
      </c>
      <c r="F100" s="159">
        <f t="shared" ref="F100:F130" si="15">+D100-E100</f>
        <v>3725803.7380952379</v>
      </c>
      <c r="G100" s="159">
        <f t="shared" si="10"/>
        <v>3771240.3690476189</v>
      </c>
      <c r="H100" s="163">
        <f t="shared" ref="H100:H154" si="16">+J$94*G100+E100</f>
        <v>548971.32680965459</v>
      </c>
      <c r="I100" s="253">
        <f t="shared" ref="I100:I154" si="17">+J$95*G100+E100</f>
        <v>548971.32680965459</v>
      </c>
      <c r="J100" s="158">
        <f t="shared" si="11"/>
        <v>0</v>
      </c>
      <c r="K100" s="158"/>
      <c r="L100" s="334"/>
      <c r="M100" s="158">
        <f t="shared" si="12"/>
        <v>0</v>
      </c>
      <c r="N100" s="334"/>
      <c r="O100" s="158">
        <f t="shared" si="13"/>
        <v>0</v>
      </c>
      <c r="P100" s="158">
        <f t="shared" si="14"/>
        <v>0</v>
      </c>
    </row>
    <row r="101" spans="1:16">
      <c r="B101" s="9" t="str">
        <f t="shared" ref="B101:B154" si="18">IF(D101=F100,"","IU")</f>
        <v/>
      </c>
      <c r="C101" s="153">
        <f>IF(D93="","-",+C100+1)</f>
        <v>2019</v>
      </c>
      <c r="D101" s="154">
        <f>IF(F100+SUM(E$99:E100)=D$92,F100,D$92-SUM(E$99:E100))</f>
        <v>3725803.7380952379</v>
      </c>
      <c r="E101" s="160">
        <f>IF(+J96&lt;F100,J96,D101)</f>
        <v>90873.261904761908</v>
      </c>
      <c r="F101" s="159">
        <f t="shared" si="15"/>
        <v>3634930.4761904757</v>
      </c>
      <c r="G101" s="159">
        <f t="shared" si="10"/>
        <v>3680367.1071428568</v>
      </c>
      <c r="H101" s="163">
        <f t="shared" si="16"/>
        <v>537932.81922158494</v>
      </c>
      <c r="I101" s="253">
        <f t="shared" si="17"/>
        <v>537932.81922158494</v>
      </c>
      <c r="J101" s="158">
        <f t="shared" si="11"/>
        <v>0</v>
      </c>
      <c r="K101" s="158"/>
      <c r="L101" s="334"/>
      <c r="M101" s="158">
        <f t="shared" si="12"/>
        <v>0</v>
      </c>
      <c r="N101" s="334"/>
      <c r="O101" s="158">
        <f t="shared" si="13"/>
        <v>0</v>
      </c>
      <c r="P101" s="158">
        <f t="shared" si="14"/>
        <v>0</v>
      </c>
    </row>
    <row r="102" spans="1:16">
      <c r="B102" s="9" t="str">
        <f t="shared" si="18"/>
        <v/>
      </c>
      <c r="C102" s="153">
        <f>IF(D93="","-",+C101+1)</f>
        <v>2020</v>
      </c>
      <c r="D102" s="154">
        <f>IF(F101+SUM(E$99:E101)=D$92,F101,D$92-SUM(E$99:E101))</f>
        <v>3634930.4761904757</v>
      </c>
      <c r="E102" s="160">
        <f>IF(+J96&lt;F101,J96,D102)</f>
        <v>90873.261904761908</v>
      </c>
      <c r="F102" s="159">
        <f t="shared" si="15"/>
        <v>3544057.2142857136</v>
      </c>
      <c r="G102" s="159">
        <f t="shared" si="10"/>
        <v>3589493.8452380947</v>
      </c>
      <c r="H102" s="163">
        <f t="shared" si="16"/>
        <v>526894.31163351517</v>
      </c>
      <c r="I102" s="253">
        <f t="shared" si="17"/>
        <v>526894.31163351517</v>
      </c>
      <c r="J102" s="158">
        <f t="shared" si="11"/>
        <v>0</v>
      </c>
      <c r="K102" s="158"/>
      <c r="L102" s="334"/>
      <c r="M102" s="158">
        <f t="shared" si="12"/>
        <v>0</v>
      </c>
      <c r="N102" s="334"/>
      <c r="O102" s="158">
        <f t="shared" si="13"/>
        <v>0</v>
      </c>
      <c r="P102" s="158">
        <f t="shared" si="14"/>
        <v>0</v>
      </c>
    </row>
    <row r="103" spans="1:16">
      <c r="B103" s="9" t="str">
        <f t="shared" si="18"/>
        <v/>
      </c>
      <c r="C103" s="153">
        <f>IF(D93="","-",+C102+1)</f>
        <v>2021</v>
      </c>
      <c r="D103" s="154">
        <f>IF(F102+SUM(E$99:E102)=D$92,F102,D$92-SUM(E$99:E102))</f>
        <v>3544057.2142857136</v>
      </c>
      <c r="E103" s="160">
        <f>IF(+J96&lt;F102,J96,D103)</f>
        <v>90873.261904761908</v>
      </c>
      <c r="F103" s="159">
        <f t="shared" si="15"/>
        <v>3453183.9523809515</v>
      </c>
      <c r="G103" s="159">
        <f t="shared" si="10"/>
        <v>3498620.5833333326</v>
      </c>
      <c r="H103" s="163">
        <f t="shared" si="16"/>
        <v>515855.8040454454</v>
      </c>
      <c r="I103" s="253">
        <f t="shared" si="17"/>
        <v>515855.8040454454</v>
      </c>
      <c r="J103" s="158">
        <f t="shared" si="11"/>
        <v>0</v>
      </c>
      <c r="K103" s="158"/>
      <c r="L103" s="334"/>
      <c r="M103" s="158">
        <f t="shared" si="12"/>
        <v>0</v>
      </c>
      <c r="N103" s="334"/>
      <c r="O103" s="158">
        <f t="shared" si="13"/>
        <v>0</v>
      </c>
      <c r="P103" s="158">
        <f t="shared" si="14"/>
        <v>0</v>
      </c>
    </row>
    <row r="104" spans="1:16">
      <c r="B104" s="9" t="str">
        <f t="shared" si="18"/>
        <v/>
      </c>
      <c r="C104" s="153">
        <f>IF(D93="","-",+C103+1)</f>
        <v>2022</v>
      </c>
      <c r="D104" s="154">
        <f>IF(F103+SUM(E$99:E103)=D$92,F103,D$92-SUM(E$99:E103))</f>
        <v>3453183.9523809515</v>
      </c>
      <c r="E104" s="160">
        <f>IF(+J96&lt;F103,J96,D104)</f>
        <v>90873.261904761908</v>
      </c>
      <c r="F104" s="159">
        <f t="shared" si="15"/>
        <v>3362310.6904761894</v>
      </c>
      <c r="G104" s="159">
        <f t="shared" si="10"/>
        <v>3407747.3214285704</v>
      </c>
      <c r="H104" s="163">
        <f t="shared" si="16"/>
        <v>504817.29645737569</v>
      </c>
      <c r="I104" s="253">
        <f t="shared" si="17"/>
        <v>504817.29645737569</v>
      </c>
      <c r="J104" s="158">
        <f t="shared" si="11"/>
        <v>0</v>
      </c>
      <c r="K104" s="158"/>
      <c r="L104" s="334"/>
      <c r="M104" s="158">
        <f t="shared" si="12"/>
        <v>0</v>
      </c>
      <c r="N104" s="334"/>
      <c r="O104" s="158">
        <f t="shared" si="13"/>
        <v>0</v>
      </c>
      <c r="P104" s="158">
        <f t="shared" si="14"/>
        <v>0</v>
      </c>
    </row>
    <row r="105" spans="1:16">
      <c r="B105" s="9" t="str">
        <f t="shared" si="18"/>
        <v/>
      </c>
      <c r="C105" s="153">
        <f>IF(D93="","-",+C104+1)</f>
        <v>2023</v>
      </c>
      <c r="D105" s="154">
        <f>IF(F104+SUM(E$99:E104)=D$92,F104,D$92-SUM(E$99:E104))</f>
        <v>3362310.6904761894</v>
      </c>
      <c r="E105" s="160">
        <f>IF(+J96&lt;F104,J96,D105)</f>
        <v>90873.261904761908</v>
      </c>
      <c r="F105" s="159">
        <f t="shared" si="15"/>
        <v>3271437.4285714272</v>
      </c>
      <c r="G105" s="159">
        <f t="shared" si="10"/>
        <v>3316874.0595238083</v>
      </c>
      <c r="H105" s="163">
        <f t="shared" si="16"/>
        <v>493778.78886930598</v>
      </c>
      <c r="I105" s="253">
        <f t="shared" si="17"/>
        <v>493778.78886930598</v>
      </c>
      <c r="J105" s="158">
        <f t="shared" si="11"/>
        <v>0</v>
      </c>
      <c r="K105" s="158"/>
      <c r="L105" s="334"/>
      <c r="M105" s="158">
        <f t="shared" si="12"/>
        <v>0</v>
      </c>
      <c r="N105" s="334"/>
      <c r="O105" s="158">
        <f t="shared" si="13"/>
        <v>0</v>
      </c>
      <c r="P105" s="158">
        <f t="shared" si="14"/>
        <v>0</v>
      </c>
    </row>
    <row r="106" spans="1:16">
      <c r="B106" s="9" t="str">
        <f t="shared" si="18"/>
        <v/>
      </c>
      <c r="C106" s="153">
        <f>IF(D93="","-",+C105+1)</f>
        <v>2024</v>
      </c>
      <c r="D106" s="154">
        <f>IF(F105+SUM(E$99:E105)=D$92,F105,D$92-SUM(E$99:E105))</f>
        <v>3271437.4285714272</v>
      </c>
      <c r="E106" s="160">
        <f>IF(+J96&lt;F105,J96,D106)</f>
        <v>90873.261904761908</v>
      </c>
      <c r="F106" s="159">
        <f t="shared" si="15"/>
        <v>3180564.1666666651</v>
      </c>
      <c r="G106" s="159">
        <f t="shared" si="10"/>
        <v>3226000.7976190462</v>
      </c>
      <c r="H106" s="163">
        <f t="shared" si="16"/>
        <v>482740.28128123621</v>
      </c>
      <c r="I106" s="253">
        <f t="shared" si="17"/>
        <v>482740.28128123621</v>
      </c>
      <c r="J106" s="158">
        <f t="shared" si="11"/>
        <v>0</v>
      </c>
      <c r="K106" s="158"/>
      <c r="L106" s="334"/>
      <c r="M106" s="158">
        <f t="shared" si="12"/>
        <v>0</v>
      </c>
      <c r="N106" s="334"/>
      <c r="O106" s="158">
        <f t="shared" si="13"/>
        <v>0</v>
      </c>
      <c r="P106" s="158">
        <f t="shared" si="14"/>
        <v>0</v>
      </c>
    </row>
    <row r="107" spans="1:16">
      <c r="B107" s="9" t="str">
        <f t="shared" si="18"/>
        <v/>
      </c>
      <c r="C107" s="153">
        <f>IF(D93="","-",+C106+1)</f>
        <v>2025</v>
      </c>
      <c r="D107" s="154">
        <f>IF(F106+SUM(E$99:E106)=D$92,F106,D$92-SUM(E$99:E106))</f>
        <v>3180564.1666666651</v>
      </c>
      <c r="E107" s="160">
        <f>IF(+J96&lt;F106,J96,D107)</f>
        <v>90873.261904761908</v>
      </c>
      <c r="F107" s="159">
        <f t="shared" si="15"/>
        <v>3089690.904761903</v>
      </c>
      <c r="G107" s="159">
        <f t="shared" si="10"/>
        <v>3135127.5357142841</v>
      </c>
      <c r="H107" s="163">
        <f t="shared" si="16"/>
        <v>471701.7736931665</v>
      </c>
      <c r="I107" s="253">
        <f t="shared" si="17"/>
        <v>471701.7736931665</v>
      </c>
      <c r="J107" s="158">
        <f t="shared" si="11"/>
        <v>0</v>
      </c>
      <c r="K107" s="158"/>
      <c r="L107" s="334"/>
      <c r="M107" s="158">
        <f t="shared" si="12"/>
        <v>0</v>
      </c>
      <c r="N107" s="334"/>
      <c r="O107" s="158">
        <f t="shared" si="13"/>
        <v>0</v>
      </c>
      <c r="P107" s="158">
        <f t="shared" si="14"/>
        <v>0</v>
      </c>
    </row>
    <row r="108" spans="1:16">
      <c r="B108" s="9" t="str">
        <f t="shared" si="18"/>
        <v/>
      </c>
      <c r="C108" s="153">
        <f>IF(D93="","-",+C107+1)</f>
        <v>2026</v>
      </c>
      <c r="D108" s="154">
        <f>IF(F107+SUM(E$99:E107)=D$92,F107,D$92-SUM(E$99:E107))</f>
        <v>3089690.904761903</v>
      </c>
      <c r="E108" s="160">
        <f>IF(+J96&lt;F107,J96,D108)</f>
        <v>90873.261904761908</v>
      </c>
      <c r="F108" s="159">
        <f t="shared" si="15"/>
        <v>2998817.6428571409</v>
      </c>
      <c r="G108" s="159">
        <f t="shared" si="10"/>
        <v>3044254.2738095219</v>
      </c>
      <c r="H108" s="163">
        <f t="shared" si="16"/>
        <v>460663.26610509679</v>
      </c>
      <c r="I108" s="253">
        <f t="shared" si="17"/>
        <v>460663.26610509679</v>
      </c>
      <c r="J108" s="158">
        <f t="shared" si="11"/>
        <v>0</v>
      </c>
      <c r="K108" s="158"/>
      <c r="L108" s="334"/>
      <c r="M108" s="158">
        <f t="shared" si="12"/>
        <v>0</v>
      </c>
      <c r="N108" s="334"/>
      <c r="O108" s="158">
        <f t="shared" si="13"/>
        <v>0</v>
      </c>
      <c r="P108" s="158">
        <f t="shared" si="14"/>
        <v>0</v>
      </c>
    </row>
    <row r="109" spans="1:16">
      <c r="B109" s="9" t="str">
        <f t="shared" si="18"/>
        <v/>
      </c>
      <c r="C109" s="153">
        <f>IF(D93="","-",+C108+1)</f>
        <v>2027</v>
      </c>
      <c r="D109" s="154">
        <f>IF(F108+SUM(E$99:E108)=D$92,F108,D$92-SUM(E$99:E108))</f>
        <v>2998817.6428571409</v>
      </c>
      <c r="E109" s="160">
        <f>IF(+J96&lt;F108,J96,D109)</f>
        <v>90873.261904761908</v>
      </c>
      <c r="F109" s="159">
        <f t="shared" si="15"/>
        <v>2907944.3809523787</v>
      </c>
      <c r="G109" s="159">
        <f t="shared" si="10"/>
        <v>2953381.0119047598</v>
      </c>
      <c r="H109" s="163">
        <f t="shared" si="16"/>
        <v>449624.75851702702</v>
      </c>
      <c r="I109" s="253">
        <f t="shared" si="17"/>
        <v>449624.75851702702</v>
      </c>
      <c r="J109" s="158">
        <f t="shared" si="11"/>
        <v>0</v>
      </c>
      <c r="K109" s="158"/>
      <c r="L109" s="334"/>
      <c r="M109" s="158">
        <f t="shared" si="12"/>
        <v>0</v>
      </c>
      <c r="N109" s="334"/>
      <c r="O109" s="158">
        <f t="shared" si="13"/>
        <v>0</v>
      </c>
      <c r="P109" s="158">
        <f t="shared" si="14"/>
        <v>0</v>
      </c>
    </row>
    <row r="110" spans="1:16">
      <c r="B110" s="9" t="str">
        <f t="shared" si="18"/>
        <v/>
      </c>
      <c r="C110" s="153">
        <f>IF(D93="","-",+C109+1)</f>
        <v>2028</v>
      </c>
      <c r="D110" s="154">
        <f>IF(F109+SUM(E$99:E109)=D$92,F109,D$92-SUM(E$99:E109))</f>
        <v>2907944.3809523787</v>
      </c>
      <c r="E110" s="160">
        <f>IF(+J96&lt;F109,J96,D110)</f>
        <v>90873.261904761908</v>
      </c>
      <c r="F110" s="159">
        <f t="shared" si="15"/>
        <v>2817071.1190476166</v>
      </c>
      <c r="G110" s="159">
        <f t="shared" si="10"/>
        <v>2862507.7499999977</v>
      </c>
      <c r="H110" s="163">
        <f t="shared" si="16"/>
        <v>438586.25092895731</v>
      </c>
      <c r="I110" s="253">
        <f t="shared" si="17"/>
        <v>438586.25092895731</v>
      </c>
      <c r="J110" s="158">
        <f t="shared" si="11"/>
        <v>0</v>
      </c>
      <c r="K110" s="158"/>
      <c r="L110" s="334"/>
      <c r="M110" s="158">
        <f t="shared" si="12"/>
        <v>0</v>
      </c>
      <c r="N110" s="334"/>
      <c r="O110" s="158">
        <f t="shared" si="13"/>
        <v>0</v>
      </c>
      <c r="P110" s="158">
        <f t="shared" si="14"/>
        <v>0</v>
      </c>
    </row>
    <row r="111" spans="1:16">
      <c r="B111" s="9" t="str">
        <f t="shared" si="18"/>
        <v/>
      </c>
      <c r="C111" s="153">
        <f>IF(D93="","-",+C110+1)</f>
        <v>2029</v>
      </c>
      <c r="D111" s="154">
        <f>IF(F110+SUM(E$99:E110)=D$92,F110,D$92-SUM(E$99:E110))</f>
        <v>2817071.1190476166</v>
      </c>
      <c r="E111" s="160">
        <f>IF(+J96&lt;F110,J96,D111)</f>
        <v>90873.261904761908</v>
      </c>
      <c r="F111" s="159">
        <f t="shared" si="15"/>
        <v>2726197.8571428545</v>
      </c>
      <c r="G111" s="159">
        <f t="shared" si="10"/>
        <v>2771634.4880952355</v>
      </c>
      <c r="H111" s="163">
        <f t="shared" si="16"/>
        <v>427547.74334088759</v>
      </c>
      <c r="I111" s="253">
        <f t="shared" si="17"/>
        <v>427547.74334088759</v>
      </c>
      <c r="J111" s="158">
        <f t="shared" si="11"/>
        <v>0</v>
      </c>
      <c r="K111" s="158"/>
      <c r="L111" s="334"/>
      <c r="M111" s="158">
        <f t="shared" si="12"/>
        <v>0</v>
      </c>
      <c r="N111" s="334"/>
      <c r="O111" s="158">
        <f t="shared" si="13"/>
        <v>0</v>
      </c>
      <c r="P111" s="158">
        <f t="shared" si="14"/>
        <v>0</v>
      </c>
    </row>
    <row r="112" spans="1:16">
      <c r="B112" s="9" t="str">
        <f t="shared" si="18"/>
        <v/>
      </c>
      <c r="C112" s="153">
        <f>IF(D93="","-",+C111+1)</f>
        <v>2030</v>
      </c>
      <c r="D112" s="154">
        <f>IF(F111+SUM(E$99:E111)=D$92,F111,D$92-SUM(E$99:E111))</f>
        <v>2726197.8571428545</v>
      </c>
      <c r="E112" s="160">
        <f>IF(+J96&lt;F111,J96,D112)</f>
        <v>90873.261904761908</v>
      </c>
      <c r="F112" s="159">
        <f t="shared" si="15"/>
        <v>2635324.5952380924</v>
      </c>
      <c r="G112" s="159">
        <f t="shared" si="10"/>
        <v>2680761.2261904734</v>
      </c>
      <c r="H112" s="163">
        <f t="shared" si="16"/>
        <v>416509.23575281783</v>
      </c>
      <c r="I112" s="253">
        <f t="shared" si="17"/>
        <v>416509.23575281783</v>
      </c>
      <c r="J112" s="158">
        <f t="shared" si="11"/>
        <v>0</v>
      </c>
      <c r="K112" s="158"/>
      <c r="L112" s="334"/>
      <c r="M112" s="158">
        <f t="shared" si="12"/>
        <v>0</v>
      </c>
      <c r="N112" s="334"/>
      <c r="O112" s="158">
        <f t="shared" si="13"/>
        <v>0</v>
      </c>
      <c r="P112" s="158">
        <f t="shared" si="14"/>
        <v>0</v>
      </c>
    </row>
    <row r="113" spans="2:16">
      <c r="B113" s="9" t="str">
        <f t="shared" si="18"/>
        <v/>
      </c>
      <c r="C113" s="153">
        <f>IF(D93="","-",+C112+1)</f>
        <v>2031</v>
      </c>
      <c r="D113" s="154">
        <f>IF(F112+SUM(E$99:E112)=D$92,F112,D$92-SUM(E$99:E112))</f>
        <v>2635324.5952380924</v>
      </c>
      <c r="E113" s="160">
        <f>IF(+J96&lt;F112,J96,D113)</f>
        <v>90873.261904761908</v>
      </c>
      <c r="F113" s="159">
        <f t="shared" si="15"/>
        <v>2544451.3333333302</v>
      </c>
      <c r="G113" s="159">
        <f t="shared" si="10"/>
        <v>2589887.9642857113</v>
      </c>
      <c r="H113" s="163">
        <f t="shared" si="16"/>
        <v>405470.72816474811</v>
      </c>
      <c r="I113" s="253">
        <f t="shared" si="17"/>
        <v>405470.72816474811</v>
      </c>
      <c r="J113" s="158">
        <f t="shared" si="11"/>
        <v>0</v>
      </c>
      <c r="K113" s="158"/>
      <c r="L113" s="334"/>
      <c r="M113" s="158">
        <f t="shared" si="12"/>
        <v>0</v>
      </c>
      <c r="N113" s="334"/>
      <c r="O113" s="158">
        <f t="shared" si="13"/>
        <v>0</v>
      </c>
      <c r="P113" s="158">
        <f t="shared" si="14"/>
        <v>0</v>
      </c>
    </row>
    <row r="114" spans="2:16">
      <c r="B114" s="9" t="str">
        <f t="shared" si="18"/>
        <v/>
      </c>
      <c r="C114" s="153">
        <f>IF(D93="","-",+C113+1)</f>
        <v>2032</v>
      </c>
      <c r="D114" s="154">
        <f>IF(F113+SUM(E$99:E113)=D$92,F113,D$92-SUM(E$99:E113))</f>
        <v>2544451.3333333302</v>
      </c>
      <c r="E114" s="160">
        <f>IF(+J96&lt;F113,J96,D114)</f>
        <v>90873.261904761908</v>
      </c>
      <c r="F114" s="159">
        <f t="shared" si="15"/>
        <v>2453578.0714285681</v>
      </c>
      <c r="G114" s="159">
        <f t="shared" si="10"/>
        <v>2499014.7023809492</v>
      </c>
      <c r="H114" s="163">
        <f t="shared" si="16"/>
        <v>394432.22057667834</v>
      </c>
      <c r="I114" s="253">
        <f t="shared" si="17"/>
        <v>394432.22057667834</v>
      </c>
      <c r="J114" s="158">
        <f t="shared" si="11"/>
        <v>0</v>
      </c>
      <c r="K114" s="158"/>
      <c r="L114" s="334"/>
      <c r="M114" s="158">
        <f t="shared" si="12"/>
        <v>0</v>
      </c>
      <c r="N114" s="334"/>
      <c r="O114" s="158">
        <f t="shared" si="13"/>
        <v>0</v>
      </c>
      <c r="P114" s="158">
        <f t="shared" si="14"/>
        <v>0</v>
      </c>
    </row>
    <row r="115" spans="2:16">
      <c r="B115" s="9" t="str">
        <f t="shared" si="18"/>
        <v/>
      </c>
      <c r="C115" s="153">
        <f>IF(D93="","-",+C114+1)</f>
        <v>2033</v>
      </c>
      <c r="D115" s="154">
        <f>IF(F114+SUM(E$99:E114)=D$92,F114,D$92-SUM(E$99:E114))</f>
        <v>2453578.0714285681</v>
      </c>
      <c r="E115" s="160">
        <f>IF(+J96&lt;F114,J96,D115)</f>
        <v>90873.261904761908</v>
      </c>
      <c r="F115" s="159">
        <f t="shared" si="15"/>
        <v>2362704.809523806</v>
      </c>
      <c r="G115" s="159">
        <f t="shared" si="10"/>
        <v>2408141.440476187</v>
      </c>
      <c r="H115" s="163">
        <f t="shared" si="16"/>
        <v>383393.71298860863</v>
      </c>
      <c r="I115" s="253">
        <f t="shared" si="17"/>
        <v>383393.71298860863</v>
      </c>
      <c r="J115" s="158">
        <f t="shared" si="11"/>
        <v>0</v>
      </c>
      <c r="K115" s="158"/>
      <c r="L115" s="334"/>
      <c r="M115" s="158">
        <f t="shared" si="12"/>
        <v>0</v>
      </c>
      <c r="N115" s="334"/>
      <c r="O115" s="158">
        <f t="shared" si="13"/>
        <v>0</v>
      </c>
      <c r="P115" s="158">
        <f t="shared" si="14"/>
        <v>0</v>
      </c>
    </row>
    <row r="116" spans="2:16">
      <c r="B116" s="9" t="str">
        <f t="shared" si="18"/>
        <v/>
      </c>
      <c r="C116" s="153">
        <f>IF(D93="","-",+C115+1)</f>
        <v>2034</v>
      </c>
      <c r="D116" s="154">
        <f>IF(F115+SUM(E$99:E115)=D$92,F115,D$92-SUM(E$99:E115))</f>
        <v>2362704.809523806</v>
      </c>
      <c r="E116" s="160">
        <f>IF(+J96&lt;F115,J96,D116)</f>
        <v>90873.261904761908</v>
      </c>
      <c r="F116" s="159">
        <f t="shared" si="15"/>
        <v>2271831.5476190438</v>
      </c>
      <c r="G116" s="159">
        <f t="shared" si="10"/>
        <v>2317268.1785714249</v>
      </c>
      <c r="H116" s="163">
        <f t="shared" si="16"/>
        <v>372355.20540053892</v>
      </c>
      <c r="I116" s="253">
        <f t="shared" si="17"/>
        <v>372355.20540053892</v>
      </c>
      <c r="J116" s="158">
        <f t="shared" si="11"/>
        <v>0</v>
      </c>
      <c r="K116" s="158"/>
      <c r="L116" s="334"/>
      <c r="M116" s="158">
        <f t="shared" si="12"/>
        <v>0</v>
      </c>
      <c r="N116" s="334"/>
      <c r="O116" s="158">
        <f t="shared" si="13"/>
        <v>0</v>
      </c>
      <c r="P116" s="158">
        <f t="shared" si="14"/>
        <v>0</v>
      </c>
    </row>
    <row r="117" spans="2:16">
      <c r="B117" s="9" t="str">
        <f t="shared" si="18"/>
        <v/>
      </c>
      <c r="C117" s="153">
        <f>IF(D93="","-",+C116+1)</f>
        <v>2035</v>
      </c>
      <c r="D117" s="154">
        <f>IF(F116+SUM(E$99:E116)=D$92,F116,D$92-SUM(E$99:E116))</f>
        <v>2271831.5476190438</v>
      </c>
      <c r="E117" s="160">
        <f>IF(+J96&lt;F116,J96,D117)</f>
        <v>90873.261904761908</v>
      </c>
      <c r="F117" s="159">
        <f t="shared" si="15"/>
        <v>2180958.2857142817</v>
      </c>
      <c r="G117" s="159">
        <f t="shared" si="10"/>
        <v>2226394.9166666628</v>
      </c>
      <c r="H117" s="163">
        <f t="shared" si="16"/>
        <v>361316.69781246915</v>
      </c>
      <c r="I117" s="253">
        <f t="shared" si="17"/>
        <v>361316.69781246915</v>
      </c>
      <c r="J117" s="158">
        <f t="shared" si="11"/>
        <v>0</v>
      </c>
      <c r="K117" s="158"/>
      <c r="L117" s="334"/>
      <c r="M117" s="158">
        <f t="shared" si="12"/>
        <v>0</v>
      </c>
      <c r="N117" s="334"/>
      <c r="O117" s="158">
        <f t="shared" si="13"/>
        <v>0</v>
      </c>
      <c r="P117" s="158">
        <f t="shared" si="14"/>
        <v>0</v>
      </c>
    </row>
    <row r="118" spans="2:16">
      <c r="B118" s="9" t="str">
        <f t="shared" si="18"/>
        <v/>
      </c>
      <c r="C118" s="153">
        <f>IF(D93="","-",+C117+1)</f>
        <v>2036</v>
      </c>
      <c r="D118" s="154">
        <f>IF(F117+SUM(E$99:E117)=D$92,F117,D$92-SUM(E$99:E117))</f>
        <v>2180958.2857142817</v>
      </c>
      <c r="E118" s="160">
        <f>IF(+J96&lt;F117,J96,D118)</f>
        <v>90873.261904761908</v>
      </c>
      <c r="F118" s="159">
        <f t="shared" si="15"/>
        <v>2090085.0238095198</v>
      </c>
      <c r="G118" s="159">
        <f t="shared" si="10"/>
        <v>2135521.6547619007</v>
      </c>
      <c r="H118" s="163">
        <f t="shared" si="16"/>
        <v>350278.19022439944</v>
      </c>
      <c r="I118" s="253">
        <f t="shared" si="17"/>
        <v>350278.19022439944</v>
      </c>
      <c r="J118" s="158">
        <f t="shared" si="11"/>
        <v>0</v>
      </c>
      <c r="K118" s="158"/>
      <c r="L118" s="334"/>
      <c r="M118" s="158">
        <f t="shared" si="12"/>
        <v>0</v>
      </c>
      <c r="N118" s="334"/>
      <c r="O118" s="158">
        <f t="shared" si="13"/>
        <v>0</v>
      </c>
      <c r="P118" s="158">
        <f t="shared" si="14"/>
        <v>0</v>
      </c>
    </row>
    <row r="119" spans="2:16">
      <c r="B119" s="9" t="str">
        <f t="shared" si="18"/>
        <v/>
      </c>
      <c r="C119" s="153">
        <f>IF(D93="","-",+C118+1)</f>
        <v>2037</v>
      </c>
      <c r="D119" s="154">
        <f>IF(F118+SUM(E$99:E118)=D$92,F118,D$92-SUM(E$99:E118))</f>
        <v>2090085.0238095198</v>
      </c>
      <c r="E119" s="160">
        <f>IF(+J96&lt;F118,J96,D119)</f>
        <v>90873.261904761908</v>
      </c>
      <c r="F119" s="159">
        <f t="shared" si="15"/>
        <v>1999211.7619047579</v>
      </c>
      <c r="G119" s="159">
        <f t="shared" si="10"/>
        <v>2044648.392857139</v>
      </c>
      <c r="H119" s="163">
        <f t="shared" si="16"/>
        <v>339239.68263632979</v>
      </c>
      <c r="I119" s="253">
        <f t="shared" si="17"/>
        <v>339239.68263632979</v>
      </c>
      <c r="J119" s="158">
        <f t="shared" si="11"/>
        <v>0</v>
      </c>
      <c r="K119" s="158"/>
      <c r="L119" s="334"/>
      <c r="M119" s="158">
        <f t="shared" si="12"/>
        <v>0</v>
      </c>
      <c r="N119" s="334"/>
      <c r="O119" s="158">
        <f t="shared" si="13"/>
        <v>0</v>
      </c>
      <c r="P119" s="158">
        <f t="shared" si="14"/>
        <v>0</v>
      </c>
    </row>
    <row r="120" spans="2:16">
      <c r="B120" s="9" t="str">
        <f t="shared" si="18"/>
        <v/>
      </c>
      <c r="C120" s="153">
        <f>IF(D93="","-",+C119+1)</f>
        <v>2038</v>
      </c>
      <c r="D120" s="154">
        <f>IF(F119+SUM(E$99:E119)=D$92,F119,D$92-SUM(E$99:E119))</f>
        <v>1999211.7619047579</v>
      </c>
      <c r="E120" s="160">
        <f>IF(+J96&lt;F119,J96,D120)</f>
        <v>90873.261904761908</v>
      </c>
      <c r="F120" s="159">
        <f t="shared" si="15"/>
        <v>1908338.499999996</v>
      </c>
      <c r="G120" s="159">
        <f t="shared" si="10"/>
        <v>1953775.1309523769</v>
      </c>
      <c r="H120" s="163">
        <f t="shared" si="16"/>
        <v>328201.17504826008</v>
      </c>
      <c r="I120" s="253">
        <f t="shared" si="17"/>
        <v>328201.17504826008</v>
      </c>
      <c r="J120" s="158">
        <f t="shared" si="11"/>
        <v>0</v>
      </c>
      <c r="K120" s="158"/>
      <c r="L120" s="334"/>
      <c r="M120" s="158">
        <f t="shared" si="12"/>
        <v>0</v>
      </c>
      <c r="N120" s="334"/>
      <c r="O120" s="158">
        <f t="shared" si="13"/>
        <v>0</v>
      </c>
      <c r="P120" s="158">
        <f t="shared" si="14"/>
        <v>0</v>
      </c>
    </row>
    <row r="121" spans="2:16">
      <c r="B121" s="9" t="str">
        <f t="shared" si="18"/>
        <v/>
      </c>
      <c r="C121" s="153">
        <f>IF(D93="","-",+C120+1)</f>
        <v>2039</v>
      </c>
      <c r="D121" s="154">
        <f>IF(F120+SUM(E$99:E120)=D$92,F120,D$92-SUM(E$99:E120))</f>
        <v>1908338.499999996</v>
      </c>
      <c r="E121" s="160">
        <f>IF(+J96&lt;F120,J96,D121)</f>
        <v>90873.261904761908</v>
      </c>
      <c r="F121" s="159">
        <f t="shared" si="15"/>
        <v>1817465.2380952341</v>
      </c>
      <c r="G121" s="159">
        <f t="shared" si="10"/>
        <v>1862901.8690476152</v>
      </c>
      <c r="H121" s="163">
        <f t="shared" si="16"/>
        <v>317162.66746019037</v>
      </c>
      <c r="I121" s="253">
        <f t="shared" si="17"/>
        <v>317162.66746019037</v>
      </c>
      <c r="J121" s="158">
        <f t="shared" si="11"/>
        <v>0</v>
      </c>
      <c r="K121" s="158"/>
      <c r="L121" s="334"/>
      <c r="M121" s="158">
        <f t="shared" si="12"/>
        <v>0</v>
      </c>
      <c r="N121" s="334"/>
      <c r="O121" s="158">
        <f t="shared" si="13"/>
        <v>0</v>
      </c>
      <c r="P121" s="158">
        <f t="shared" si="14"/>
        <v>0</v>
      </c>
    </row>
    <row r="122" spans="2:16">
      <c r="B122" s="9" t="str">
        <f t="shared" si="18"/>
        <v/>
      </c>
      <c r="C122" s="153">
        <f>IF(D93="","-",+C121+1)</f>
        <v>2040</v>
      </c>
      <c r="D122" s="154">
        <f>IF(F121+SUM(E$99:E121)=D$92,F121,D$92-SUM(E$99:E121))</f>
        <v>1817465.2380952341</v>
      </c>
      <c r="E122" s="160">
        <f>IF(+J96&lt;F121,J96,D122)</f>
        <v>90873.261904761908</v>
      </c>
      <c r="F122" s="159">
        <f t="shared" si="15"/>
        <v>1726591.9761904723</v>
      </c>
      <c r="G122" s="159">
        <f t="shared" si="10"/>
        <v>1772028.6071428531</v>
      </c>
      <c r="H122" s="163">
        <f t="shared" si="16"/>
        <v>306124.15987212065</v>
      </c>
      <c r="I122" s="253">
        <f t="shared" si="17"/>
        <v>306124.15987212065</v>
      </c>
      <c r="J122" s="158">
        <f t="shared" si="11"/>
        <v>0</v>
      </c>
      <c r="K122" s="158"/>
      <c r="L122" s="334"/>
      <c r="M122" s="158">
        <f t="shared" si="12"/>
        <v>0</v>
      </c>
      <c r="N122" s="334"/>
      <c r="O122" s="158">
        <f t="shared" si="13"/>
        <v>0</v>
      </c>
      <c r="P122" s="158">
        <f t="shared" si="14"/>
        <v>0</v>
      </c>
    </row>
    <row r="123" spans="2:16">
      <c r="B123" s="9" t="str">
        <f t="shared" si="18"/>
        <v/>
      </c>
      <c r="C123" s="153">
        <f>IF(D93="","-",+C122+1)</f>
        <v>2041</v>
      </c>
      <c r="D123" s="154">
        <f>IF(F122+SUM(E$99:E122)=D$92,F122,D$92-SUM(E$99:E122))</f>
        <v>1726591.9761904723</v>
      </c>
      <c r="E123" s="160">
        <f>IF(+J96&lt;F122,J96,D123)</f>
        <v>90873.261904761908</v>
      </c>
      <c r="F123" s="159">
        <f t="shared" si="15"/>
        <v>1635718.7142857104</v>
      </c>
      <c r="G123" s="159">
        <f t="shared" si="10"/>
        <v>1681155.3452380914</v>
      </c>
      <c r="H123" s="163">
        <f t="shared" si="16"/>
        <v>295085.652284051</v>
      </c>
      <c r="I123" s="253">
        <f t="shared" si="17"/>
        <v>295085.652284051</v>
      </c>
      <c r="J123" s="158">
        <f t="shared" si="11"/>
        <v>0</v>
      </c>
      <c r="K123" s="158"/>
      <c r="L123" s="334"/>
      <c r="M123" s="158">
        <f t="shared" si="12"/>
        <v>0</v>
      </c>
      <c r="N123" s="334"/>
      <c r="O123" s="158">
        <f t="shared" si="13"/>
        <v>0</v>
      </c>
      <c r="P123" s="158">
        <f t="shared" si="14"/>
        <v>0</v>
      </c>
    </row>
    <row r="124" spans="2:16">
      <c r="B124" s="9" t="str">
        <f t="shared" si="18"/>
        <v/>
      </c>
      <c r="C124" s="153">
        <f>IF(D93="","-",+C123+1)</f>
        <v>2042</v>
      </c>
      <c r="D124" s="154">
        <f>IF(F123+SUM(E$99:E123)=D$92,F123,D$92-SUM(E$99:E123))</f>
        <v>1635718.7142857104</v>
      </c>
      <c r="E124" s="160">
        <f>IF(+J96&lt;F123,J96,D124)</f>
        <v>90873.261904761908</v>
      </c>
      <c r="F124" s="159">
        <f t="shared" si="15"/>
        <v>1544845.4523809485</v>
      </c>
      <c r="G124" s="159">
        <f t="shared" si="10"/>
        <v>1590282.0833333293</v>
      </c>
      <c r="H124" s="163">
        <f t="shared" si="16"/>
        <v>284047.14469598123</v>
      </c>
      <c r="I124" s="253">
        <f t="shared" si="17"/>
        <v>284047.14469598123</v>
      </c>
      <c r="J124" s="158">
        <f t="shared" si="11"/>
        <v>0</v>
      </c>
      <c r="K124" s="158"/>
      <c r="L124" s="334"/>
      <c r="M124" s="158">
        <f t="shared" si="12"/>
        <v>0</v>
      </c>
      <c r="N124" s="334"/>
      <c r="O124" s="158">
        <f t="shared" si="13"/>
        <v>0</v>
      </c>
      <c r="P124" s="158">
        <f t="shared" si="14"/>
        <v>0</v>
      </c>
    </row>
    <row r="125" spans="2:16">
      <c r="B125" s="9" t="str">
        <f t="shared" si="18"/>
        <v/>
      </c>
      <c r="C125" s="153">
        <f>IF(D93="","-",+C124+1)</f>
        <v>2043</v>
      </c>
      <c r="D125" s="154">
        <f>IF(F124+SUM(E$99:E124)=D$92,F124,D$92-SUM(E$99:E124))</f>
        <v>1544845.4523809485</v>
      </c>
      <c r="E125" s="160">
        <f>IF(+J96&lt;F124,J96,D125)</f>
        <v>90873.261904761908</v>
      </c>
      <c r="F125" s="159">
        <f t="shared" si="15"/>
        <v>1453972.1904761866</v>
      </c>
      <c r="G125" s="159">
        <f t="shared" si="10"/>
        <v>1499408.8214285676</v>
      </c>
      <c r="H125" s="163">
        <f t="shared" si="16"/>
        <v>273008.63710791158</v>
      </c>
      <c r="I125" s="253">
        <f t="shared" si="17"/>
        <v>273008.63710791158</v>
      </c>
      <c r="J125" s="158">
        <f t="shared" si="11"/>
        <v>0</v>
      </c>
      <c r="K125" s="158"/>
      <c r="L125" s="334"/>
      <c r="M125" s="158">
        <f t="shared" si="12"/>
        <v>0</v>
      </c>
      <c r="N125" s="334"/>
      <c r="O125" s="158">
        <f t="shared" si="13"/>
        <v>0</v>
      </c>
      <c r="P125" s="158">
        <f t="shared" si="14"/>
        <v>0</v>
      </c>
    </row>
    <row r="126" spans="2:16">
      <c r="B126" s="9" t="str">
        <f t="shared" si="18"/>
        <v/>
      </c>
      <c r="C126" s="153">
        <f>IF(D93="","-",+C125+1)</f>
        <v>2044</v>
      </c>
      <c r="D126" s="154">
        <f>IF(F125+SUM(E$99:E125)=D$92,F125,D$92-SUM(E$99:E125))</f>
        <v>1453972.1904761866</v>
      </c>
      <c r="E126" s="160">
        <f>IF(+J96&lt;F125,J96,D126)</f>
        <v>90873.261904761908</v>
      </c>
      <c r="F126" s="159">
        <f t="shared" si="15"/>
        <v>1363098.9285714247</v>
      </c>
      <c r="G126" s="159">
        <f t="shared" si="10"/>
        <v>1408535.5595238055</v>
      </c>
      <c r="H126" s="163">
        <f t="shared" si="16"/>
        <v>261970.12951984187</v>
      </c>
      <c r="I126" s="253">
        <f t="shared" si="17"/>
        <v>261970.12951984187</v>
      </c>
      <c r="J126" s="158">
        <f t="shared" si="11"/>
        <v>0</v>
      </c>
      <c r="K126" s="158"/>
      <c r="L126" s="334"/>
      <c r="M126" s="158">
        <f t="shared" si="12"/>
        <v>0</v>
      </c>
      <c r="N126" s="334"/>
      <c r="O126" s="158">
        <f t="shared" si="13"/>
        <v>0</v>
      </c>
      <c r="P126" s="158">
        <f t="shared" si="14"/>
        <v>0</v>
      </c>
    </row>
    <row r="127" spans="2:16">
      <c r="B127" s="9" t="str">
        <f t="shared" si="18"/>
        <v/>
      </c>
      <c r="C127" s="153">
        <f>IF(D93="","-",+C126+1)</f>
        <v>2045</v>
      </c>
      <c r="D127" s="154">
        <f>IF(F126+SUM(E$99:E126)=D$92,F126,D$92-SUM(E$99:E126))</f>
        <v>1363098.9285714247</v>
      </c>
      <c r="E127" s="160">
        <f>IF(+J96&lt;F126,J96,D127)</f>
        <v>90873.261904761908</v>
      </c>
      <c r="F127" s="159">
        <f t="shared" si="15"/>
        <v>1272225.6666666628</v>
      </c>
      <c r="G127" s="159">
        <f t="shared" si="10"/>
        <v>1317662.2976190438</v>
      </c>
      <c r="H127" s="163">
        <f t="shared" si="16"/>
        <v>250931.62193177216</v>
      </c>
      <c r="I127" s="253">
        <f t="shared" si="17"/>
        <v>250931.62193177216</v>
      </c>
      <c r="J127" s="158">
        <f t="shared" si="11"/>
        <v>0</v>
      </c>
      <c r="K127" s="158"/>
      <c r="L127" s="334"/>
      <c r="M127" s="158">
        <f t="shared" si="12"/>
        <v>0</v>
      </c>
      <c r="N127" s="334"/>
      <c r="O127" s="158">
        <f t="shared" si="13"/>
        <v>0</v>
      </c>
      <c r="P127" s="158">
        <f t="shared" si="14"/>
        <v>0</v>
      </c>
    </row>
    <row r="128" spans="2:16">
      <c r="B128" s="9" t="str">
        <f t="shared" si="18"/>
        <v/>
      </c>
      <c r="C128" s="153">
        <f>IF(D93="","-",+C127+1)</f>
        <v>2046</v>
      </c>
      <c r="D128" s="154">
        <f>IF(F127+SUM(E$99:E127)=D$92,F127,D$92-SUM(E$99:E127))</f>
        <v>1272225.6666666628</v>
      </c>
      <c r="E128" s="160">
        <f>IF(+J96&lt;F127,J96,D128)</f>
        <v>90873.261904761908</v>
      </c>
      <c r="F128" s="159">
        <f t="shared" si="15"/>
        <v>1181352.4047619009</v>
      </c>
      <c r="G128" s="159">
        <f t="shared" si="10"/>
        <v>1226789.0357142817</v>
      </c>
      <c r="H128" s="163">
        <f t="shared" si="16"/>
        <v>239893.11434370244</v>
      </c>
      <c r="I128" s="253">
        <f t="shared" si="17"/>
        <v>239893.11434370244</v>
      </c>
      <c r="J128" s="158">
        <f t="shared" si="11"/>
        <v>0</v>
      </c>
      <c r="K128" s="158"/>
      <c r="L128" s="334"/>
      <c r="M128" s="158">
        <f t="shared" si="12"/>
        <v>0</v>
      </c>
      <c r="N128" s="334"/>
      <c r="O128" s="158">
        <f t="shared" si="13"/>
        <v>0</v>
      </c>
      <c r="P128" s="158">
        <f t="shared" si="14"/>
        <v>0</v>
      </c>
    </row>
    <row r="129" spans="2:16">
      <c r="B129" s="9" t="str">
        <f t="shared" si="18"/>
        <v/>
      </c>
      <c r="C129" s="153">
        <f>IF(D93="","-",+C128+1)</f>
        <v>2047</v>
      </c>
      <c r="D129" s="154">
        <f>IF(F128+SUM(E$99:E128)=D$92,F128,D$92-SUM(E$99:E128))</f>
        <v>1181352.4047619009</v>
      </c>
      <c r="E129" s="160">
        <f>IF(+J96&lt;F128,J96,D129)</f>
        <v>90873.261904761908</v>
      </c>
      <c r="F129" s="159">
        <f t="shared" si="15"/>
        <v>1090479.142857139</v>
      </c>
      <c r="G129" s="159">
        <f t="shared" si="10"/>
        <v>1135915.7738095201</v>
      </c>
      <c r="H129" s="163">
        <f t="shared" si="16"/>
        <v>228854.60675563273</v>
      </c>
      <c r="I129" s="253">
        <f t="shared" si="17"/>
        <v>228854.60675563273</v>
      </c>
      <c r="J129" s="158">
        <f t="shared" si="11"/>
        <v>0</v>
      </c>
      <c r="K129" s="158"/>
      <c r="L129" s="334"/>
      <c r="M129" s="158">
        <f t="shared" si="12"/>
        <v>0</v>
      </c>
      <c r="N129" s="334"/>
      <c r="O129" s="158">
        <f t="shared" si="13"/>
        <v>0</v>
      </c>
      <c r="P129" s="158">
        <f t="shared" si="14"/>
        <v>0</v>
      </c>
    </row>
    <row r="130" spans="2:16">
      <c r="B130" s="9" t="str">
        <f t="shared" si="18"/>
        <v/>
      </c>
      <c r="C130" s="153">
        <f>IF(D93="","-",+C129+1)</f>
        <v>2048</v>
      </c>
      <c r="D130" s="154">
        <f>IF(F129+SUM(E$99:E129)=D$92,F129,D$92-SUM(E$99:E129))</f>
        <v>1090479.142857139</v>
      </c>
      <c r="E130" s="160">
        <f>IF(+J96&lt;F129,J96,D130)</f>
        <v>90873.261904761908</v>
      </c>
      <c r="F130" s="159">
        <f t="shared" si="15"/>
        <v>999605.88095237711</v>
      </c>
      <c r="G130" s="159">
        <f t="shared" si="10"/>
        <v>1045042.5119047581</v>
      </c>
      <c r="H130" s="163">
        <f t="shared" si="16"/>
        <v>217816.09916756302</v>
      </c>
      <c r="I130" s="253">
        <f t="shared" si="17"/>
        <v>217816.09916756302</v>
      </c>
      <c r="J130" s="158">
        <f t="shared" si="11"/>
        <v>0</v>
      </c>
      <c r="K130" s="158"/>
      <c r="L130" s="334"/>
      <c r="M130" s="158">
        <f t="shared" si="12"/>
        <v>0</v>
      </c>
      <c r="N130" s="334"/>
      <c r="O130" s="158">
        <f t="shared" si="13"/>
        <v>0</v>
      </c>
      <c r="P130" s="158">
        <f t="shared" si="14"/>
        <v>0</v>
      </c>
    </row>
    <row r="131" spans="2:16">
      <c r="B131" s="9" t="str">
        <f t="shared" si="18"/>
        <v/>
      </c>
      <c r="C131" s="153">
        <f>IF(D93="","-",+C130+1)</f>
        <v>2049</v>
      </c>
      <c r="D131" s="154">
        <f>IF(F130+SUM(E$99:E130)=D$92,F130,D$92-SUM(E$99:E130))</f>
        <v>999605.88095237711</v>
      </c>
      <c r="E131" s="160">
        <f>IF(+J96&lt;F130,J96,D131)</f>
        <v>90873.261904761908</v>
      </c>
      <c r="F131" s="159">
        <f t="shared" ref="F131:F154" si="19">+D131-E131</f>
        <v>908732.61904761521</v>
      </c>
      <c r="G131" s="159">
        <f t="shared" ref="G131:G154" si="20">+(F131+D131)/2</f>
        <v>954169.24999999616</v>
      </c>
      <c r="H131" s="163">
        <f t="shared" si="16"/>
        <v>206777.59157949334</v>
      </c>
      <c r="I131" s="253">
        <f t="shared" si="17"/>
        <v>206777.59157949334</v>
      </c>
      <c r="J131" s="158">
        <f t="shared" ref="J131:J154" si="21">+I541-H541</f>
        <v>0</v>
      </c>
      <c r="K131" s="158"/>
      <c r="L131" s="334"/>
      <c r="M131" s="158">
        <f t="shared" ref="M131:M154" si="22">IF(L541&lt;&gt;0,+H541-L541,0)</f>
        <v>0</v>
      </c>
      <c r="N131" s="334"/>
      <c r="O131" s="158">
        <f t="shared" ref="O131:O154" si="23">IF(N541&lt;&gt;0,+I541-N541,0)</f>
        <v>0</v>
      </c>
      <c r="P131" s="158">
        <f t="shared" ref="P131:P154" si="24">+O541-M541</f>
        <v>0</v>
      </c>
    </row>
    <row r="132" spans="2:16">
      <c r="B132" s="9" t="str">
        <f t="shared" si="18"/>
        <v/>
      </c>
      <c r="C132" s="153">
        <f>IF(D93="","-",+C131+1)</f>
        <v>2050</v>
      </c>
      <c r="D132" s="154">
        <f>IF(F131+SUM(E$99:E131)=D$92,F131,D$92-SUM(E$99:E131))</f>
        <v>908732.61904761521</v>
      </c>
      <c r="E132" s="160">
        <f>IF(+J96&lt;F131,J96,D132)</f>
        <v>90873.261904761908</v>
      </c>
      <c r="F132" s="159">
        <f t="shared" si="19"/>
        <v>817859.35714285332</v>
      </c>
      <c r="G132" s="159">
        <f t="shared" si="20"/>
        <v>863295.98809523426</v>
      </c>
      <c r="H132" s="163">
        <f t="shared" si="16"/>
        <v>195739.08399142363</v>
      </c>
      <c r="I132" s="253">
        <f t="shared" si="17"/>
        <v>195739.08399142363</v>
      </c>
      <c r="J132" s="158">
        <f t="shared" si="21"/>
        <v>0</v>
      </c>
      <c r="K132" s="158"/>
      <c r="L132" s="334"/>
      <c r="M132" s="158">
        <f t="shared" si="22"/>
        <v>0</v>
      </c>
      <c r="N132" s="334"/>
      <c r="O132" s="158">
        <f t="shared" si="23"/>
        <v>0</v>
      </c>
      <c r="P132" s="158">
        <f t="shared" si="24"/>
        <v>0</v>
      </c>
    </row>
    <row r="133" spans="2:16">
      <c r="B133" s="9" t="str">
        <f t="shared" si="18"/>
        <v/>
      </c>
      <c r="C133" s="153">
        <f>IF(D93="","-",+C132+1)</f>
        <v>2051</v>
      </c>
      <c r="D133" s="154">
        <f>IF(F132+SUM(E$99:E132)=D$92,F132,D$92-SUM(E$99:E132))</f>
        <v>817859.35714285332</v>
      </c>
      <c r="E133" s="160">
        <f>IF(+J96&lt;F132,J96,D133)</f>
        <v>90873.261904761908</v>
      </c>
      <c r="F133" s="159">
        <f t="shared" si="19"/>
        <v>726986.09523809142</v>
      </c>
      <c r="G133" s="159">
        <f t="shared" si="20"/>
        <v>772422.72619047237</v>
      </c>
      <c r="H133" s="163">
        <f t="shared" si="16"/>
        <v>184700.57640335395</v>
      </c>
      <c r="I133" s="253">
        <f t="shared" si="17"/>
        <v>184700.57640335395</v>
      </c>
      <c r="J133" s="158">
        <f t="shared" si="21"/>
        <v>0</v>
      </c>
      <c r="K133" s="158"/>
      <c r="L133" s="334"/>
      <c r="M133" s="158">
        <f t="shared" si="22"/>
        <v>0</v>
      </c>
      <c r="N133" s="334"/>
      <c r="O133" s="158">
        <f t="shared" si="23"/>
        <v>0</v>
      </c>
      <c r="P133" s="158">
        <f t="shared" si="24"/>
        <v>0</v>
      </c>
    </row>
    <row r="134" spans="2:16">
      <c r="B134" s="9" t="str">
        <f t="shared" si="18"/>
        <v/>
      </c>
      <c r="C134" s="153">
        <f>IF(D93="","-",+C133+1)</f>
        <v>2052</v>
      </c>
      <c r="D134" s="154">
        <f>IF(F133+SUM(E$99:E133)=D$92,F133,D$92-SUM(E$99:E133))</f>
        <v>726986.09523809142</v>
      </c>
      <c r="E134" s="160">
        <f>IF(+J96&lt;F133,J96,D134)</f>
        <v>90873.261904761908</v>
      </c>
      <c r="F134" s="159">
        <f t="shared" si="19"/>
        <v>636112.83333332953</v>
      </c>
      <c r="G134" s="159">
        <f t="shared" si="20"/>
        <v>681549.46428571048</v>
      </c>
      <c r="H134" s="163">
        <f t="shared" si="16"/>
        <v>173662.06881528423</v>
      </c>
      <c r="I134" s="253">
        <f t="shared" si="17"/>
        <v>173662.06881528423</v>
      </c>
      <c r="J134" s="158">
        <f t="shared" si="21"/>
        <v>0</v>
      </c>
      <c r="K134" s="158"/>
      <c r="L134" s="334"/>
      <c r="M134" s="158">
        <f t="shared" si="22"/>
        <v>0</v>
      </c>
      <c r="N134" s="334"/>
      <c r="O134" s="158">
        <f t="shared" si="23"/>
        <v>0</v>
      </c>
      <c r="P134" s="158">
        <f t="shared" si="24"/>
        <v>0</v>
      </c>
    </row>
    <row r="135" spans="2:16">
      <c r="B135" s="9" t="str">
        <f t="shared" si="18"/>
        <v/>
      </c>
      <c r="C135" s="153">
        <f>IF(D93="","-",+C134+1)</f>
        <v>2053</v>
      </c>
      <c r="D135" s="154">
        <f>IF(F134+SUM(E$99:E134)=D$92,F134,D$92-SUM(E$99:E134))</f>
        <v>636112.83333332953</v>
      </c>
      <c r="E135" s="160">
        <f>IF(+J96&lt;F134,J96,D135)</f>
        <v>90873.261904761908</v>
      </c>
      <c r="F135" s="159">
        <f t="shared" si="19"/>
        <v>545239.57142856764</v>
      </c>
      <c r="G135" s="159">
        <f t="shared" si="20"/>
        <v>590676.20238094858</v>
      </c>
      <c r="H135" s="163">
        <f t="shared" si="16"/>
        <v>162623.56122721452</v>
      </c>
      <c r="I135" s="253">
        <f t="shared" si="17"/>
        <v>162623.56122721452</v>
      </c>
      <c r="J135" s="158">
        <f t="shared" si="21"/>
        <v>0</v>
      </c>
      <c r="K135" s="158"/>
      <c r="L135" s="334"/>
      <c r="M135" s="158">
        <f t="shared" si="22"/>
        <v>0</v>
      </c>
      <c r="N135" s="334"/>
      <c r="O135" s="158">
        <f t="shared" si="23"/>
        <v>0</v>
      </c>
      <c r="P135" s="158">
        <f t="shared" si="24"/>
        <v>0</v>
      </c>
    </row>
    <row r="136" spans="2:16">
      <c r="B136" s="9" t="str">
        <f t="shared" si="18"/>
        <v/>
      </c>
      <c r="C136" s="153">
        <f>IF(D93="","-",+C135+1)</f>
        <v>2054</v>
      </c>
      <c r="D136" s="154">
        <f>IF(F135+SUM(E$99:E135)=D$92,F135,D$92-SUM(E$99:E135))</f>
        <v>545239.57142856764</v>
      </c>
      <c r="E136" s="160">
        <f>IF(+J96&lt;F135,J96,D136)</f>
        <v>90873.261904761908</v>
      </c>
      <c r="F136" s="159">
        <f t="shared" si="19"/>
        <v>454366.30952380574</v>
      </c>
      <c r="G136" s="159">
        <f t="shared" si="20"/>
        <v>499802.94047618669</v>
      </c>
      <c r="H136" s="163">
        <f t="shared" si="16"/>
        <v>151585.05363914481</v>
      </c>
      <c r="I136" s="253">
        <f t="shared" si="17"/>
        <v>151585.05363914481</v>
      </c>
      <c r="J136" s="158">
        <f t="shared" si="21"/>
        <v>0</v>
      </c>
      <c r="K136" s="158"/>
      <c r="L136" s="334"/>
      <c r="M136" s="158">
        <f t="shared" si="22"/>
        <v>0</v>
      </c>
      <c r="N136" s="334"/>
      <c r="O136" s="158">
        <f t="shared" si="23"/>
        <v>0</v>
      </c>
      <c r="P136" s="158">
        <f t="shared" si="24"/>
        <v>0</v>
      </c>
    </row>
    <row r="137" spans="2:16">
      <c r="B137" s="9" t="str">
        <f t="shared" si="18"/>
        <v/>
      </c>
      <c r="C137" s="153">
        <f>IF(D93="","-",+C136+1)</f>
        <v>2055</v>
      </c>
      <c r="D137" s="154">
        <f>IF(F136+SUM(E$99:E136)=D$92,F136,D$92-SUM(E$99:E136))</f>
        <v>454366.30952380574</v>
      </c>
      <c r="E137" s="160">
        <f>IF(+J96&lt;F136,J96,D137)</f>
        <v>90873.261904761908</v>
      </c>
      <c r="F137" s="159">
        <f t="shared" si="19"/>
        <v>363493.04761904385</v>
      </c>
      <c r="G137" s="159">
        <f t="shared" si="20"/>
        <v>408929.6785714248</v>
      </c>
      <c r="H137" s="163">
        <f t="shared" si="16"/>
        <v>140546.54605107513</v>
      </c>
      <c r="I137" s="253">
        <f t="shared" si="17"/>
        <v>140546.54605107513</v>
      </c>
      <c r="J137" s="158">
        <f t="shared" si="21"/>
        <v>0</v>
      </c>
      <c r="K137" s="158"/>
      <c r="L137" s="334"/>
      <c r="M137" s="158">
        <f t="shared" si="22"/>
        <v>0</v>
      </c>
      <c r="N137" s="334"/>
      <c r="O137" s="158">
        <f t="shared" si="23"/>
        <v>0</v>
      </c>
      <c r="P137" s="158">
        <f t="shared" si="24"/>
        <v>0</v>
      </c>
    </row>
    <row r="138" spans="2:16">
      <c r="B138" s="9" t="str">
        <f t="shared" si="18"/>
        <v/>
      </c>
      <c r="C138" s="153">
        <f>IF(D93="","-",+C137+1)</f>
        <v>2056</v>
      </c>
      <c r="D138" s="154">
        <f>IF(F137+SUM(E$99:E137)=D$92,F137,D$92-SUM(E$99:E137))</f>
        <v>363493.04761904385</v>
      </c>
      <c r="E138" s="160">
        <f>IF(+J96&lt;F137,J96,D138)</f>
        <v>90873.261904761908</v>
      </c>
      <c r="F138" s="159">
        <f t="shared" si="19"/>
        <v>272619.78571428196</v>
      </c>
      <c r="G138" s="159">
        <f t="shared" si="20"/>
        <v>318056.4166666629</v>
      </c>
      <c r="H138" s="163">
        <f t="shared" si="16"/>
        <v>129508.03846300542</v>
      </c>
      <c r="I138" s="253">
        <f t="shared" si="17"/>
        <v>129508.03846300542</v>
      </c>
      <c r="J138" s="158">
        <f t="shared" si="21"/>
        <v>0</v>
      </c>
      <c r="K138" s="158"/>
      <c r="L138" s="334"/>
      <c r="M138" s="158">
        <f t="shared" si="22"/>
        <v>0</v>
      </c>
      <c r="N138" s="334"/>
      <c r="O138" s="158">
        <f t="shared" si="23"/>
        <v>0</v>
      </c>
      <c r="P138" s="158">
        <f t="shared" si="24"/>
        <v>0</v>
      </c>
    </row>
    <row r="139" spans="2:16">
      <c r="B139" s="9" t="str">
        <f t="shared" si="18"/>
        <v/>
      </c>
      <c r="C139" s="153">
        <f>IF(D93="","-",+C138+1)</f>
        <v>2057</v>
      </c>
      <c r="D139" s="154">
        <f>IF(F138+SUM(E$99:E138)=D$92,F138,D$92-SUM(E$99:E138))</f>
        <v>272619.78571428196</v>
      </c>
      <c r="E139" s="160">
        <f>IF(+J96&lt;F138,J96,D139)</f>
        <v>90873.261904761908</v>
      </c>
      <c r="F139" s="159">
        <f t="shared" si="19"/>
        <v>181746.52380952006</v>
      </c>
      <c r="G139" s="159">
        <f t="shared" si="20"/>
        <v>227183.15476190101</v>
      </c>
      <c r="H139" s="163">
        <f t="shared" si="16"/>
        <v>118469.53087493571</v>
      </c>
      <c r="I139" s="253">
        <f t="shared" si="17"/>
        <v>118469.53087493571</v>
      </c>
      <c r="J139" s="158">
        <f t="shared" si="21"/>
        <v>0</v>
      </c>
      <c r="K139" s="158"/>
      <c r="L139" s="334"/>
      <c r="M139" s="158">
        <f t="shared" si="22"/>
        <v>0</v>
      </c>
      <c r="N139" s="334"/>
      <c r="O139" s="158">
        <f t="shared" si="23"/>
        <v>0</v>
      </c>
      <c r="P139" s="158">
        <f t="shared" si="24"/>
        <v>0</v>
      </c>
    </row>
    <row r="140" spans="2:16">
      <c r="B140" s="9" t="str">
        <f t="shared" si="18"/>
        <v/>
      </c>
      <c r="C140" s="153">
        <f>IF(D93="","-",+C139+1)</f>
        <v>2058</v>
      </c>
      <c r="D140" s="154">
        <f>IF(F139+SUM(E$99:E139)=D$92,F139,D$92-SUM(E$99:E139))</f>
        <v>181746.52380952006</v>
      </c>
      <c r="E140" s="160">
        <f>IF(+J96&lt;F139,J96,D140)</f>
        <v>90873.261904761908</v>
      </c>
      <c r="F140" s="159">
        <f t="shared" si="19"/>
        <v>90873.261904758154</v>
      </c>
      <c r="G140" s="159">
        <f t="shared" si="20"/>
        <v>136309.89285713912</v>
      </c>
      <c r="H140" s="163">
        <f t="shared" si="16"/>
        <v>107431.02328686601</v>
      </c>
      <c r="I140" s="253">
        <f t="shared" si="17"/>
        <v>107431.02328686601</v>
      </c>
      <c r="J140" s="158">
        <f t="shared" si="21"/>
        <v>0</v>
      </c>
      <c r="K140" s="158"/>
      <c r="L140" s="334"/>
      <c r="M140" s="158">
        <f t="shared" si="22"/>
        <v>0</v>
      </c>
      <c r="N140" s="334"/>
      <c r="O140" s="158">
        <f t="shared" si="23"/>
        <v>0</v>
      </c>
      <c r="P140" s="158">
        <f t="shared" si="24"/>
        <v>0</v>
      </c>
    </row>
    <row r="141" spans="2:16">
      <c r="B141" s="9" t="str">
        <f t="shared" si="18"/>
        <v/>
      </c>
      <c r="C141" s="153">
        <f>IF(D93="","-",+C140+1)</f>
        <v>2059</v>
      </c>
      <c r="D141" s="154">
        <f>IF(F140+SUM(E$99:E140)=D$92,F140,D$92-SUM(E$99:E140))</f>
        <v>90873.261904758154</v>
      </c>
      <c r="E141" s="160">
        <f>IF(+J96&lt;F140,J96,D141)</f>
        <v>90873.261904758154</v>
      </c>
      <c r="F141" s="159">
        <f t="shared" si="19"/>
        <v>0</v>
      </c>
      <c r="G141" s="159">
        <f t="shared" si="20"/>
        <v>45436.630952379077</v>
      </c>
      <c r="H141" s="163">
        <f t="shared" si="16"/>
        <v>96392.515698792777</v>
      </c>
      <c r="I141" s="253">
        <f t="shared" si="17"/>
        <v>96392.515698792777</v>
      </c>
      <c r="J141" s="158">
        <f t="shared" si="21"/>
        <v>0</v>
      </c>
      <c r="K141" s="158"/>
      <c r="L141" s="334"/>
      <c r="M141" s="158">
        <f t="shared" si="22"/>
        <v>0</v>
      </c>
      <c r="N141" s="334"/>
      <c r="O141" s="158">
        <f t="shared" si="23"/>
        <v>0</v>
      </c>
      <c r="P141" s="158">
        <f t="shared" si="24"/>
        <v>0</v>
      </c>
    </row>
    <row r="142" spans="2:16">
      <c r="B142" s="9" t="str">
        <f t="shared" si="18"/>
        <v/>
      </c>
      <c r="C142" s="153">
        <f>IF(D93="","-",+C141+1)</f>
        <v>2060</v>
      </c>
      <c r="D142" s="154">
        <f>IF(F141+SUM(E$99:E141)=D$92,F141,D$92-SUM(E$99:E141))</f>
        <v>0</v>
      </c>
      <c r="E142" s="160">
        <f>IF(+J96&lt;F141,J96,D142)</f>
        <v>0</v>
      </c>
      <c r="F142" s="159">
        <f t="shared" si="19"/>
        <v>0</v>
      </c>
      <c r="G142" s="159">
        <f t="shared" si="20"/>
        <v>0</v>
      </c>
      <c r="H142" s="163">
        <f t="shared" si="16"/>
        <v>0</v>
      </c>
      <c r="I142" s="253">
        <f t="shared" si="17"/>
        <v>0</v>
      </c>
      <c r="J142" s="158">
        <f t="shared" si="21"/>
        <v>0</v>
      </c>
      <c r="K142" s="158"/>
      <c r="L142" s="334"/>
      <c r="M142" s="158">
        <f t="shared" si="22"/>
        <v>0</v>
      </c>
      <c r="N142" s="334"/>
      <c r="O142" s="158">
        <f t="shared" si="23"/>
        <v>0</v>
      </c>
      <c r="P142" s="158">
        <f t="shared" si="24"/>
        <v>0</v>
      </c>
    </row>
    <row r="143" spans="2:16">
      <c r="B143" s="9" t="str">
        <f t="shared" si="18"/>
        <v/>
      </c>
      <c r="C143" s="153">
        <f>IF(D93="","-",+C142+1)</f>
        <v>2061</v>
      </c>
      <c r="D143" s="154">
        <f>IF(F142+SUM(E$99:E142)=D$92,F142,D$92-SUM(E$99:E142))</f>
        <v>0</v>
      </c>
      <c r="E143" s="160">
        <f>IF(+J96&lt;F142,J96,D143)</f>
        <v>0</v>
      </c>
      <c r="F143" s="159">
        <f t="shared" si="19"/>
        <v>0</v>
      </c>
      <c r="G143" s="159">
        <f t="shared" si="20"/>
        <v>0</v>
      </c>
      <c r="H143" s="163">
        <f t="shared" si="16"/>
        <v>0</v>
      </c>
      <c r="I143" s="253">
        <f t="shared" si="17"/>
        <v>0</v>
      </c>
      <c r="J143" s="158">
        <f t="shared" si="21"/>
        <v>0</v>
      </c>
      <c r="K143" s="158"/>
      <c r="L143" s="334"/>
      <c r="M143" s="158">
        <f t="shared" si="22"/>
        <v>0</v>
      </c>
      <c r="N143" s="334"/>
      <c r="O143" s="158">
        <f t="shared" si="23"/>
        <v>0</v>
      </c>
      <c r="P143" s="158">
        <f t="shared" si="24"/>
        <v>0</v>
      </c>
    </row>
    <row r="144" spans="2:16">
      <c r="B144" s="9" t="str">
        <f t="shared" si="18"/>
        <v/>
      </c>
      <c r="C144" s="153">
        <f>IF(D93="","-",+C143+1)</f>
        <v>2062</v>
      </c>
      <c r="D144" s="154">
        <f>IF(F143+SUM(E$99:E143)=D$92,F143,D$92-SUM(E$99:E143))</f>
        <v>0</v>
      </c>
      <c r="E144" s="160">
        <f>IF(+J96&lt;F143,J96,D144)</f>
        <v>0</v>
      </c>
      <c r="F144" s="159">
        <f t="shared" si="19"/>
        <v>0</v>
      </c>
      <c r="G144" s="159">
        <f t="shared" si="20"/>
        <v>0</v>
      </c>
      <c r="H144" s="163">
        <f t="shared" si="16"/>
        <v>0</v>
      </c>
      <c r="I144" s="253">
        <f t="shared" si="17"/>
        <v>0</v>
      </c>
      <c r="J144" s="158">
        <f t="shared" si="21"/>
        <v>0</v>
      </c>
      <c r="K144" s="158"/>
      <c r="L144" s="334"/>
      <c r="M144" s="158">
        <f t="shared" si="22"/>
        <v>0</v>
      </c>
      <c r="N144" s="334"/>
      <c r="O144" s="158">
        <f t="shared" si="23"/>
        <v>0</v>
      </c>
      <c r="P144" s="158">
        <f t="shared" si="24"/>
        <v>0</v>
      </c>
    </row>
    <row r="145" spans="2:16">
      <c r="B145" s="9" t="str">
        <f t="shared" si="18"/>
        <v/>
      </c>
      <c r="C145" s="153">
        <f>IF(D93="","-",+C144+1)</f>
        <v>2063</v>
      </c>
      <c r="D145" s="154">
        <f>IF(F144+SUM(E$99:E144)=D$92,F144,D$92-SUM(E$99:E144))</f>
        <v>0</v>
      </c>
      <c r="E145" s="160">
        <f>IF(+J96&lt;F144,J96,D145)</f>
        <v>0</v>
      </c>
      <c r="F145" s="159">
        <f t="shared" si="19"/>
        <v>0</v>
      </c>
      <c r="G145" s="159">
        <f t="shared" si="20"/>
        <v>0</v>
      </c>
      <c r="H145" s="163">
        <f t="shared" si="16"/>
        <v>0</v>
      </c>
      <c r="I145" s="253">
        <f t="shared" si="17"/>
        <v>0</v>
      </c>
      <c r="J145" s="158">
        <f t="shared" si="21"/>
        <v>0</v>
      </c>
      <c r="K145" s="158"/>
      <c r="L145" s="334"/>
      <c r="M145" s="158">
        <f t="shared" si="22"/>
        <v>0</v>
      </c>
      <c r="N145" s="334"/>
      <c r="O145" s="158">
        <f t="shared" si="23"/>
        <v>0</v>
      </c>
      <c r="P145" s="158">
        <f t="shared" si="24"/>
        <v>0</v>
      </c>
    </row>
    <row r="146" spans="2:16">
      <c r="B146" s="9" t="str">
        <f t="shared" si="18"/>
        <v/>
      </c>
      <c r="C146" s="153">
        <f>IF(D93="","-",+C145+1)</f>
        <v>2064</v>
      </c>
      <c r="D146" s="154">
        <f>IF(F145+SUM(E$99:E145)=D$92,F145,D$92-SUM(E$99:E145))</f>
        <v>0</v>
      </c>
      <c r="E146" s="160">
        <f>IF(+J96&lt;F145,J96,D146)</f>
        <v>0</v>
      </c>
      <c r="F146" s="159">
        <f t="shared" si="19"/>
        <v>0</v>
      </c>
      <c r="G146" s="159">
        <f t="shared" si="20"/>
        <v>0</v>
      </c>
      <c r="H146" s="163">
        <f t="shared" si="16"/>
        <v>0</v>
      </c>
      <c r="I146" s="253">
        <f t="shared" si="17"/>
        <v>0</v>
      </c>
      <c r="J146" s="158">
        <f t="shared" si="21"/>
        <v>0</v>
      </c>
      <c r="K146" s="158"/>
      <c r="L146" s="334"/>
      <c r="M146" s="158">
        <f t="shared" si="22"/>
        <v>0</v>
      </c>
      <c r="N146" s="334"/>
      <c r="O146" s="158">
        <f t="shared" si="23"/>
        <v>0</v>
      </c>
      <c r="P146" s="158">
        <f t="shared" si="24"/>
        <v>0</v>
      </c>
    </row>
    <row r="147" spans="2:16">
      <c r="B147" s="9" t="str">
        <f t="shared" si="18"/>
        <v/>
      </c>
      <c r="C147" s="153">
        <f>IF(D93="","-",+C146+1)</f>
        <v>2065</v>
      </c>
      <c r="D147" s="154">
        <f>IF(F146+SUM(E$99:E146)=D$92,F146,D$92-SUM(E$99:E146))</f>
        <v>0</v>
      </c>
      <c r="E147" s="160">
        <f>IF(+J96&lt;F146,J96,D147)</f>
        <v>0</v>
      </c>
      <c r="F147" s="159">
        <f t="shared" si="19"/>
        <v>0</v>
      </c>
      <c r="G147" s="159">
        <f t="shared" si="20"/>
        <v>0</v>
      </c>
      <c r="H147" s="163">
        <f t="shared" si="16"/>
        <v>0</v>
      </c>
      <c r="I147" s="253">
        <f t="shared" si="17"/>
        <v>0</v>
      </c>
      <c r="J147" s="158">
        <f t="shared" si="21"/>
        <v>0</v>
      </c>
      <c r="K147" s="158"/>
      <c r="L147" s="334"/>
      <c r="M147" s="158">
        <f t="shared" si="22"/>
        <v>0</v>
      </c>
      <c r="N147" s="334"/>
      <c r="O147" s="158">
        <f t="shared" si="23"/>
        <v>0</v>
      </c>
      <c r="P147" s="158">
        <f t="shared" si="24"/>
        <v>0</v>
      </c>
    </row>
    <row r="148" spans="2:16">
      <c r="B148" s="9" t="str">
        <f t="shared" si="18"/>
        <v/>
      </c>
      <c r="C148" s="153">
        <f>IF(D93="","-",+C147+1)</f>
        <v>2066</v>
      </c>
      <c r="D148" s="154">
        <f>IF(F147+SUM(E$99:E147)=D$92,F147,D$92-SUM(E$99:E147))</f>
        <v>0</v>
      </c>
      <c r="E148" s="160">
        <f>IF(+J96&lt;F147,J96,D148)</f>
        <v>0</v>
      </c>
      <c r="F148" s="159">
        <f t="shared" si="19"/>
        <v>0</v>
      </c>
      <c r="G148" s="159">
        <f t="shared" si="20"/>
        <v>0</v>
      </c>
      <c r="H148" s="163">
        <f t="shared" si="16"/>
        <v>0</v>
      </c>
      <c r="I148" s="253">
        <f t="shared" si="17"/>
        <v>0</v>
      </c>
      <c r="J148" s="158">
        <f t="shared" si="21"/>
        <v>0</v>
      </c>
      <c r="K148" s="158"/>
      <c r="L148" s="334"/>
      <c r="M148" s="158">
        <f t="shared" si="22"/>
        <v>0</v>
      </c>
      <c r="N148" s="334"/>
      <c r="O148" s="158">
        <f t="shared" si="23"/>
        <v>0</v>
      </c>
      <c r="P148" s="158">
        <f t="shared" si="24"/>
        <v>0</v>
      </c>
    </row>
    <row r="149" spans="2:16">
      <c r="B149" s="9" t="str">
        <f t="shared" si="18"/>
        <v/>
      </c>
      <c r="C149" s="153">
        <f>IF(D93="","-",+C148+1)</f>
        <v>2067</v>
      </c>
      <c r="D149" s="154">
        <f>IF(F148+SUM(E$99:E148)=D$92,F148,D$92-SUM(E$99:E148))</f>
        <v>0</v>
      </c>
      <c r="E149" s="160">
        <f>IF(+J96&lt;F148,J96,D149)</f>
        <v>0</v>
      </c>
      <c r="F149" s="159">
        <f t="shared" si="19"/>
        <v>0</v>
      </c>
      <c r="G149" s="159">
        <f t="shared" si="20"/>
        <v>0</v>
      </c>
      <c r="H149" s="163">
        <f t="shared" si="16"/>
        <v>0</v>
      </c>
      <c r="I149" s="253">
        <f t="shared" si="17"/>
        <v>0</v>
      </c>
      <c r="J149" s="158">
        <f t="shared" si="21"/>
        <v>0</v>
      </c>
      <c r="K149" s="158"/>
      <c r="L149" s="334"/>
      <c r="M149" s="158">
        <f t="shared" si="22"/>
        <v>0</v>
      </c>
      <c r="N149" s="334"/>
      <c r="O149" s="158">
        <f t="shared" si="23"/>
        <v>0</v>
      </c>
      <c r="P149" s="158">
        <f t="shared" si="24"/>
        <v>0</v>
      </c>
    </row>
    <row r="150" spans="2:16">
      <c r="B150" s="9" t="str">
        <f t="shared" si="18"/>
        <v/>
      </c>
      <c r="C150" s="153">
        <f>IF(D93="","-",+C149+1)</f>
        <v>2068</v>
      </c>
      <c r="D150" s="154">
        <f>IF(F149+SUM(E$99:E149)=D$92,F149,D$92-SUM(E$99:E149))</f>
        <v>0</v>
      </c>
      <c r="E150" s="160">
        <f>IF(+J96&lt;F149,J96,D150)</f>
        <v>0</v>
      </c>
      <c r="F150" s="159">
        <f t="shared" si="19"/>
        <v>0</v>
      </c>
      <c r="G150" s="159">
        <f t="shared" si="20"/>
        <v>0</v>
      </c>
      <c r="H150" s="163">
        <f t="shared" si="16"/>
        <v>0</v>
      </c>
      <c r="I150" s="253">
        <f t="shared" si="17"/>
        <v>0</v>
      </c>
      <c r="J150" s="158">
        <f t="shared" si="21"/>
        <v>0</v>
      </c>
      <c r="K150" s="158"/>
      <c r="L150" s="334"/>
      <c r="M150" s="158">
        <f t="shared" si="22"/>
        <v>0</v>
      </c>
      <c r="N150" s="334"/>
      <c r="O150" s="158">
        <f t="shared" si="23"/>
        <v>0</v>
      </c>
      <c r="P150" s="158">
        <f t="shared" si="24"/>
        <v>0</v>
      </c>
    </row>
    <row r="151" spans="2:16">
      <c r="B151" s="9" t="str">
        <f t="shared" si="18"/>
        <v/>
      </c>
      <c r="C151" s="153">
        <f>IF(D93="","-",+C150+1)</f>
        <v>2069</v>
      </c>
      <c r="D151" s="154">
        <f>IF(F150+SUM(E$99:E150)=D$92,F150,D$92-SUM(E$99:E150))</f>
        <v>0</v>
      </c>
      <c r="E151" s="160">
        <f>IF(+J96&lt;F150,J96,D151)</f>
        <v>0</v>
      </c>
      <c r="F151" s="159">
        <f t="shared" si="19"/>
        <v>0</v>
      </c>
      <c r="G151" s="159">
        <f t="shared" si="20"/>
        <v>0</v>
      </c>
      <c r="H151" s="163">
        <f t="shared" si="16"/>
        <v>0</v>
      </c>
      <c r="I151" s="253">
        <f t="shared" si="17"/>
        <v>0</v>
      </c>
      <c r="J151" s="158">
        <f t="shared" si="21"/>
        <v>0</v>
      </c>
      <c r="K151" s="158"/>
      <c r="L151" s="334"/>
      <c r="M151" s="158">
        <f t="shared" si="22"/>
        <v>0</v>
      </c>
      <c r="N151" s="334"/>
      <c r="O151" s="158">
        <f t="shared" si="23"/>
        <v>0</v>
      </c>
      <c r="P151" s="158">
        <f t="shared" si="24"/>
        <v>0</v>
      </c>
    </row>
    <row r="152" spans="2:16">
      <c r="B152" s="9" t="str">
        <f t="shared" si="18"/>
        <v/>
      </c>
      <c r="C152" s="153">
        <f>IF(D93="","-",+C151+1)</f>
        <v>2070</v>
      </c>
      <c r="D152" s="154">
        <f>IF(F151+SUM(E$99:E151)=D$92,F151,D$92-SUM(E$99:E151))</f>
        <v>0</v>
      </c>
      <c r="E152" s="160">
        <f>IF(+J96&lt;F151,J96,D152)</f>
        <v>0</v>
      </c>
      <c r="F152" s="159">
        <f t="shared" si="19"/>
        <v>0</v>
      </c>
      <c r="G152" s="159">
        <f t="shared" si="20"/>
        <v>0</v>
      </c>
      <c r="H152" s="163">
        <f t="shared" si="16"/>
        <v>0</v>
      </c>
      <c r="I152" s="253">
        <f t="shared" si="17"/>
        <v>0</v>
      </c>
      <c r="J152" s="158">
        <f t="shared" si="21"/>
        <v>0</v>
      </c>
      <c r="K152" s="158"/>
      <c r="L152" s="334"/>
      <c r="M152" s="158">
        <f t="shared" si="22"/>
        <v>0</v>
      </c>
      <c r="N152" s="334"/>
      <c r="O152" s="158">
        <f t="shared" si="23"/>
        <v>0</v>
      </c>
      <c r="P152" s="158">
        <f t="shared" si="24"/>
        <v>0</v>
      </c>
    </row>
    <row r="153" spans="2:16">
      <c r="B153" s="9" t="str">
        <f t="shared" si="18"/>
        <v/>
      </c>
      <c r="C153" s="153">
        <f>IF(D93="","-",+C152+1)</f>
        <v>2071</v>
      </c>
      <c r="D153" s="154">
        <f>IF(F152+SUM(E$99:E152)=D$92,F152,D$92-SUM(E$99:E152))</f>
        <v>0</v>
      </c>
      <c r="E153" s="160">
        <f>IF(+J96&lt;F152,J96,D153)</f>
        <v>0</v>
      </c>
      <c r="F153" s="159">
        <f t="shared" si="19"/>
        <v>0</v>
      </c>
      <c r="G153" s="159">
        <f t="shared" si="20"/>
        <v>0</v>
      </c>
      <c r="H153" s="163">
        <f t="shared" si="16"/>
        <v>0</v>
      </c>
      <c r="I153" s="253">
        <f t="shared" si="17"/>
        <v>0</v>
      </c>
      <c r="J153" s="158">
        <f t="shared" si="21"/>
        <v>0</v>
      </c>
      <c r="K153" s="158"/>
      <c r="L153" s="334"/>
      <c r="M153" s="158">
        <f t="shared" si="22"/>
        <v>0</v>
      </c>
      <c r="N153" s="334"/>
      <c r="O153" s="158">
        <f t="shared" si="23"/>
        <v>0</v>
      </c>
      <c r="P153" s="158">
        <f t="shared" si="24"/>
        <v>0</v>
      </c>
    </row>
    <row r="154" spans="2:16" ht="13.5" thickBot="1">
      <c r="B154" s="9" t="str">
        <f t="shared" si="18"/>
        <v/>
      </c>
      <c r="C154" s="164">
        <f>IF(D93="","-",+C153+1)</f>
        <v>2072</v>
      </c>
      <c r="D154" s="215">
        <f>IF(F153+SUM(E$99:E153)=D$92,F153,D$92-SUM(E$99:E153))</f>
        <v>0</v>
      </c>
      <c r="E154" s="166">
        <f>IF(+J96&lt;F153,J96,D154)</f>
        <v>0</v>
      </c>
      <c r="F154" s="165">
        <f t="shared" si="19"/>
        <v>0</v>
      </c>
      <c r="G154" s="165">
        <f t="shared" si="20"/>
        <v>0</v>
      </c>
      <c r="H154" s="167">
        <f t="shared" si="16"/>
        <v>0</v>
      </c>
      <c r="I154" s="254">
        <f t="shared" si="17"/>
        <v>0</v>
      </c>
      <c r="J154" s="169">
        <f t="shared" si="21"/>
        <v>0</v>
      </c>
      <c r="K154" s="158"/>
      <c r="L154" s="335"/>
      <c r="M154" s="169">
        <f t="shared" si="22"/>
        <v>0</v>
      </c>
      <c r="N154" s="335"/>
      <c r="O154" s="169">
        <f t="shared" si="23"/>
        <v>0</v>
      </c>
      <c r="P154" s="169">
        <f t="shared" si="24"/>
        <v>0</v>
      </c>
    </row>
    <row r="155" spans="2:16">
      <c r="C155" s="154" t="s">
        <v>73</v>
      </c>
      <c r="D155" s="111"/>
      <c r="E155" s="111">
        <f>SUM(E99:E154)</f>
        <v>3816677</v>
      </c>
      <c r="F155" s="111"/>
      <c r="G155" s="111"/>
      <c r="H155" s="111">
        <f>SUM(H99:H154)</f>
        <v>13784449.352026924</v>
      </c>
      <c r="I155" s="111">
        <f>SUM(I99:I154)</f>
        <v>13784449.352026924</v>
      </c>
      <c r="J155" s="111">
        <f>SUM(J99:J154)</f>
        <v>0</v>
      </c>
      <c r="K155" s="111"/>
      <c r="L155" s="111"/>
      <c r="M155" s="111"/>
      <c r="N155" s="111"/>
      <c r="O155" s="111"/>
      <c r="P155" s="1"/>
    </row>
    <row r="156" spans="2:16">
      <c r="C156" t="s">
        <v>87</v>
      </c>
      <c r="D156" s="2"/>
      <c r="E156" s="1"/>
      <c r="F156" s="1"/>
      <c r="G156" s="1"/>
      <c r="H156" s="1"/>
      <c r="I156" s="3"/>
      <c r="J156" s="3"/>
      <c r="K156" s="111"/>
      <c r="L156" s="3"/>
      <c r="M156" s="3"/>
      <c r="N156" s="3"/>
      <c r="O156" s="3"/>
      <c r="P156" s="1"/>
    </row>
    <row r="157" spans="2:16">
      <c r="C157" s="216"/>
      <c r="D157" s="2"/>
      <c r="E157" s="1"/>
      <c r="F157" s="1"/>
      <c r="G157" s="1"/>
      <c r="H157" s="1"/>
      <c r="I157" s="3"/>
      <c r="J157" s="3"/>
      <c r="K157" s="111"/>
      <c r="L157" s="3"/>
      <c r="M157" s="3"/>
      <c r="N157" s="3"/>
      <c r="O157" s="3"/>
      <c r="P157" s="1"/>
    </row>
    <row r="158" spans="2:16">
      <c r="C158" s="248" t="s">
        <v>127</v>
      </c>
      <c r="D158" s="2"/>
      <c r="E158" s="1"/>
      <c r="F158" s="1"/>
      <c r="G158" s="1"/>
      <c r="H158" s="1"/>
      <c r="I158" s="3"/>
      <c r="J158" s="3"/>
      <c r="K158" s="111"/>
      <c r="L158" s="3"/>
      <c r="M158" s="3"/>
      <c r="N158" s="3"/>
      <c r="O158" s="3"/>
      <c r="P158" s="1"/>
    </row>
    <row r="159" spans="2:16">
      <c r="C159" s="121" t="s">
        <v>74</v>
      </c>
      <c r="D159" s="154"/>
      <c r="E159" s="154"/>
      <c r="F159" s="154"/>
      <c r="G159" s="154"/>
      <c r="H159" s="111"/>
      <c r="I159" s="111"/>
      <c r="J159" s="171"/>
      <c r="K159" s="171"/>
      <c r="L159" s="171"/>
      <c r="M159" s="171"/>
      <c r="N159" s="171"/>
      <c r="O159" s="171"/>
      <c r="P159" s="1"/>
    </row>
    <row r="160" spans="2:16">
      <c r="C160" s="217" t="s">
        <v>75</v>
      </c>
      <c r="D160" s="154"/>
      <c r="E160" s="154"/>
      <c r="F160" s="154"/>
      <c r="G160" s="154"/>
      <c r="H160" s="111"/>
      <c r="I160" s="111"/>
      <c r="J160" s="171"/>
      <c r="K160" s="171"/>
      <c r="L160" s="171"/>
      <c r="M160" s="171"/>
      <c r="N160" s="171"/>
      <c r="O160" s="171"/>
      <c r="P160" s="1"/>
    </row>
    <row r="161" spans="3:16">
      <c r="C161" s="217"/>
      <c r="D161" s="154"/>
      <c r="E161" s="154"/>
      <c r="F161" s="154"/>
      <c r="G161" s="154"/>
      <c r="H161" s="111"/>
      <c r="I161" s="111"/>
      <c r="J161" s="171"/>
      <c r="K161" s="171"/>
      <c r="L161" s="171"/>
      <c r="M161" s="171"/>
      <c r="N161" s="171"/>
      <c r="O161" s="171"/>
      <c r="P161" s="1"/>
    </row>
    <row r="162" spans="3:16" ht="18">
      <c r="C162" s="217"/>
      <c r="D162" s="154"/>
      <c r="E162" s="154"/>
      <c r="F162" s="154"/>
      <c r="G162" s="154"/>
      <c r="H162" s="111"/>
      <c r="I162" s="111"/>
      <c r="J162" s="171"/>
      <c r="K162" s="171"/>
      <c r="L162" s="171"/>
      <c r="M162" s="171"/>
      <c r="N162" s="171"/>
      <c r="P162" s="245" t="s">
        <v>126</v>
      </c>
    </row>
  </sheetData>
  <conditionalFormatting sqref="C18:C72">
    <cfRule type="cellIs" dxfId="34" priority="2" stopIfTrue="1" operator="equal">
      <formula>$I$10</formula>
    </cfRule>
  </conditionalFormatting>
  <conditionalFormatting sqref="C99:C154">
    <cfRule type="cellIs" dxfId="33" priority="3" stopIfTrue="1" operator="equal">
      <formula>$J$92</formula>
    </cfRule>
  </conditionalFormatting>
  <conditionalFormatting sqref="C17">
    <cfRule type="cellIs" dxfId="32" priority="1" stopIfTrue="1" operator="equal">
      <formula>$I$10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3"/>
  <dimension ref="A1:P162"/>
  <sheetViews>
    <sheetView view="pageBreakPreview" topLeftCell="A49" zoomScale="80" zoomScaleNormal="100" zoomScaleSheetLayoutView="80" workbookViewId="0">
      <selection activeCell="C19" sqref="C19"/>
    </sheetView>
  </sheetViews>
  <sheetFormatPr defaultRowHeight="12.75" customHeight="1"/>
  <cols>
    <col min="1" max="1" width="4.7109375" customWidth="1"/>
    <col min="2" max="2" width="6.7109375" customWidth="1"/>
    <col min="3" max="3" width="23.28515625" customWidth="1"/>
    <col min="4" max="8" width="17.7109375" customWidth="1"/>
    <col min="9" max="9" width="20.42578125" customWidth="1"/>
    <col min="10" max="10" width="16.42578125" customWidth="1"/>
    <col min="11" max="11" width="17.7109375" customWidth="1"/>
    <col min="12" max="12" width="16.140625" customWidth="1"/>
    <col min="13" max="13" width="17.7109375" customWidth="1"/>
    <col min="14" max="14" width="16.7109375" customWidth="1"/>
    <col min="15" max="15" width="16.85546875" customWidth="1"/>
    <col min="16" max="16" width="24.42578125" customWidth="1"/>
    <col min="17" max="17" width="9.140625" customWidth="1"/>
    <col min="23" max="23" width="9.140625" customWidth="1"/>
  </cols>
  <sheetData>
    <row r="1" spans="1:16" ht="20.25">
      <c r="A1" s="243" t="s">
        <v>128</v>
      </c>
      <c r="B1" s="1"/>
      <c r="C1" s="21"/>
      <c r="D1" s="2"/>
      <c r="E1" s="1"/>
      <c r="F1" s="99"/>
      <c r="G1" s="1"/>
      <c r="H1" s="3"/>
      <c r="J1" s="7"/>
      <c r="K1" s="109"/>
      <c r="L1" s="109"/>
      <c r="M1" s="109"/>
      <c r="P1" s="249" t="str">
        <f ca="1">"SWEPCO Project "&amp;RIGHT(MID(CELL("filename",$A$1),FIND("]",CELL("filename",$A$1))+1,256),2)&amp;" of "&amp;COUNT('S.001:S.xyz - blank'!$P$3)-1</f>
        <v>SWEPCO Project 64 of 73</v>
      </c>
    </row>
    <row r="2" spans="1:16" ht="18">
      <c r="B2" s="1"/>
      <c r="C2" s="1"/>
      <c r="D2" s="2"/>
      <c r="E2" s="1"/>
      <c r="F2" s="1"/>
      <c r="G2" s="1"/>
      <c r="H2" s="3"/>
      <c r="I2" s="1"/>
      <c r="J2" s="4"/>
      <c r="K2" s="1"/>
      <c r="L2" s="1"/>
      <c r="M2" s="1"/>
      <c r="N2" s="1"/>
      <c r="P2" s="244" t="s">
        <v>124</v>
      </c>
    </row>
    <row r="3" spans="1:16" ht="18.75">
      <c r="B3" s="5" t="s">
        <v>40</v>
      </c>
      <c r="C3" s="68" t="s">
        <v>41</v>
      </c>
      <c r="D3" s="2"/>
      <c r="E3" s="1"/>
      <c r="F3" s="1"/>
      <c r="G3" s="1"/>
      <c r="H3" s="3"/>
      <c r="I3" s="3"/>
      <c r="J3" s="111"/>
      <c r="K3" s="3"/>
      <c r="L3" s="3"/>
      <c r="M3" s="3"/>
      <c r="N3" s="3"/>
      <c r="O3" s="1"/>
      <c r="P3" s="240">
        <v>1</v>
      </c>
    </row>
    <row r="4" spans="1:16" ht="15.75" thickBot="1">
      <c r="C4" s="67"/>
      <c r="D4" s="2"/>
      <c r="E4" s="1"/>
      <c r="F4" s="1"/>
      <c r="G4" s="1"/>
      <c r="H4" s="3"/>
      <c r="I4" s="3"/>
      <c r="J4" s="111"/>
      <c r="K4" s="3"/>
      <c r="L4" s="3"/>
      <c r="M4" s="3"/>
      <c r="N4" s="3"/>
      <c r="O4" s="1"/>
      <c r="P4" s="1"/>
    </row>
    <row r="5" spans="1:16" ht="15">
      <c r="C5" s="112" t="s">
        <v>42</v>
      </c>
      <c r="D5" s="2"/>
      <c r="E5" s="1"/>
      <c r="F5" s="1"/>
      <c r="G5" s="113"/>
      <c r="H5" s="1" t="s">
        <v>43</v>
      </c>
      <c r="I5" s="1"/>
      <c r="J5" s="4"/>
      <c r="K5" s="268" t="s">
        <v>152</v>
      </c>
      <c r="L5" s="114"/>
      <c r="M5" s="115"/>
      <c r="N5" s="116">
        <f>VLOOKUP(I10,C17:I72,5)</f>
        <v>1892111.4651232755</v>
      </c>
      <c r="P5" s="1"/>
    </row>
    <row r="6" spans="1:16" ht="15.75">
      <c r="C6" s="8"/>
      <c r="D6" s="2"/>
      <c r="E6" s="1"/>
      <c r="F6" s="1"/>
      <c r="G6" s="1"/>
      <c r="H6" s="117"/>
      <c r="I6" s="117"/>
      <c r="J6" s="118"/>
      <c r="K6" s="269" t="s">
        <v>153</v>
      </c>
      <c r="L6" s="119"/>
      <c r="M6" s="4"/>
      <c r="N6" s="120">
        <f>VLOOKUP(I10,C17:I72,6)</f>
        <v>1892111.4651232755</v>
      </c>
      <c r="O6" s="1"/>
      <c r="P6" s="1"/>
    </row>
    <row r="7" spans="1:16" ht="13.5" thickBot="1">
      <c r="C7" s="121" t="s">
        <v>44</v>
      </c>
      <c r="D7" s="223" t="s">
        <v>374</v>
      </c>
      <c r="E7" s="1"/>
      <c r="F7" s="1"/>
      <c r="G7" s="1"/>
      <c r="H7" s="3"/>
      <c r="I7" s="3"/>
      <c r="J7" s="111"/>
      <c r="K7" s="122" t="s">
        <v>45</v>
      </c>
      <c r="L7" s="123"/>
      <c r="M7" s="123"/>
      <c r="N7" s="124">
        <f>+N6-N5</f>
        <v>0</v>
      </c>
      <c r="O7" s="1"/>
      <c r="P7" s="1"/>
    </row>
    <row r="8" spans="1:16" ht="13.5" thickBot="1">
      <c r="C8" s="125"/>
      <c r="D8" s="352" t="str">
        <f>IF(D10&lt;100000,"DOES NOT MEET SPP $100,000 MINIMUM INVESTMENT FOR REGIONAL BPU SHARING.","")</f>
        <v/>
      </c>
      <c r="E8" s="126"/>
      <c r="F8" s="126"/>
      <c r="G8" s="126"/>
      <c r="H8" s="126"/>
      <c r="I8" s="126"/>
      <c r="J8" s="101"/>
      <c r="K8" s="126"/>
      <c r="L8" s="126"/>
      <c r="M8" s="126"/>
      <c r="N8" s="126"/>
      <c r="O8" s="101"/>
      <c r="P8" s="21"/>
    </row>
    <row r="9" spans="1:16" ht="13.5" thickBot="1">
      <c r="C9" s="127" t="s">
        <v>46</v>
      </c>
      <c r="D9" s="225" t="s">
        <v>252</v>
      </c>
      <c r="E9" s="401" t="s">
        <v>451</v>
      </c>
      <c r="F9" s="128"/>
      <c r="G9" s="128"/>
      <c r="H9" s="128"/>
      <c r="I9" s="129"/>
      <c r="J9" s="130"/>
      <c r="O9" s="131"/>
      <c r="P9" s="4"/>
    </row>
    <row r="10" spans="1:16">
      <c r="C10" s="132" t="s">
        <v>47</v>
      </c>
      <c r="D10" s="133">
        <v>15870000</v>
      </c>
      <c r="E10" s="61" t="s">
        <v>459</v>
      </c>
      <c r="F10" s="131"/>
      <c r="G10" s="134"/>
      <c r="H10" s="134"/>
      <c r="I10" s="135">
        <f>+SWE.WS.F.BPU.ATRR.Projected!K17</f>
        <v>2019</v>
      </c>
      <c r="J10" s="130"/>
      <c r="K10" s="111" t="s">
        <v>48</v>
      </c>
      <c r="O10" s="4"/>
      <c r="P10" s="4"/>
    </row>
    <row r="11" spans="1:16">
      <c r="C11" s="136" t="s">
        <v>49</v>
      </c>
      <c r="D11" s="137">
        <v>2017</v>
      </c>
      <c r="E11" s="136" t="s">
        <v>50</v>
      </c>
      <c r="F11" s="134"/>
      <c r="G11" s="7"/>
      <c r="H11" s="7"/>
      <c r="I11" s="138">
        <f>IF(G5="",0,SWE.WS.F.BPU.ATRR.Projected!F$11)</f>
        <v>0</v>
      </c>
      <c r="J11" s="139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4"/>
      <c r="P11" s="4"/>
    </row>
    <row r="12" spans="1:16">
      <c r="C12" s="136" t="s">
        <v>51</v>
      </c>
      <c r="D12" s="133">
        <v>6</v>
      </c>
      <c r="E12" s="136" t="s">
        <v>52</v>
      </c>
      <c r="F12" s="134"/>
      <c r="G12" s="7"/>
      <c r="H12" s="7"/>
      <c r="I12" s="140">
        <f>SWE.WS.F.BPU.ATRR.Projected!$F$76</f>
        <v>9.9555672459071778E-2</v>
      </c>
      <c r="J12" s="141"/>
      <c r="K12" t="s">
        <v>53</v>
      </c>
      <c r="O12" s="4"/>
      <c r="P12" s="4"/>
    </row>
    <row r="13" spans="1:16">
      <c r="C13" s="136" t="s">
        <v>54</v>
      </c>
      <c r="D13" s="138">
        <f>+SWE.WS.F.BPU.ATRR.Projected!F$87</f>
        <v>43</v>
      </c>
      <c r="E13" s="136" t="s">
        <v>55</v>
      </c>
      <c r="F13" s="134"/>
      <c r="G13" s="7"/>
      <c r="H13" s="7"/>
      <c r="I13" s="140">
        <f>IF(G5="",I12,SWE.WS.F.BPU.ATRR.Projected!$F$75)</f>
        <v>9.9555672459071778E-2</v>
      </c>
      <c r="J13" s="141"/>
      <c r="K13" s="111" t="s">
        <v>56</v>
      </c>
      <c r="L13" s="58"/>
      <c r="M13" s="58"/>
      <c r="N13" s="58"/>
      <c r="O13" s="4"/>
      <c r="P13" s="4"/>
    </row>
    <row r="14" spans="1:16" ht="13.5" thickBot="1">
      <c r="C14" s="136" t="s">
        <v>57</v>
      </c>
      <c r="D14" s="137" t="s">
        <v>58</v>
      </c>
      <c r="E14" s="4" t="s">
        <v>59</v>
      </c>
      <c r="F14" s="134"/>
      <c r="G14" s="7"/>
      <c r="H14" s="7"/>
      <c r="I14" s="142">
        <f>IF(D10=0,0,D10/D13)</f>
        <v>369069.76744186046</v>
      </c>
      <c r="J14" s="111"/>
      <c r="K14" s="111"/>
      <c r="L14" s="111"/>
      <c r="M14" s="111"/>
      <c r="N14" s="111"/>
      <c r="O14" s="4"/>
      <c r="P14" s="4"/>
    </row>
    <row r="15" spans="1:16" ht="38.25">
      <c r="C15" s="143" t="s">
        <v>47</v>
      </c>
      <c r="D15" s="144" t="s">
        <v>60</v>
      </c>
      <c r="E15" s="144" t="s">
        <v>61</v>
      </c>
      <c r="F15" s="144" t="s">
        <v>62</v>
      </c>
      <c r="G15" s="434" t="s">
        <v>378</v>
      </c>
      <c r="H15" s="435" t="s">
        <v>379</v>
      </c>
      <c r="I15" s="143" t="s">
        <v>63</v>
      </c>
      <c r="J15" s="145"/>
      <c r="K15" s="271" t="s">
        <v>219</v>
      </c>
      <c r="L15" s="146" t="s">
        <v>64</v>
      </c>
      <c r="M15" s="271" t="s">
        <v>219</v>
      </c>
      <c r="N15" s="146" t="s">
        <v>64</v>
      </c>
      <c r="O15" s="146" t="s">
        <v>65</v>
      </c>
      <c r="P15" s="4"/>
    </row>
    <row r="16" spans="1:16" ht="13.5" thickBot="1">
      <c r="C16" s="147" t="s">
        <v>66</v>
      </c>
      <c r="D16" s="147" t="s">
        <v>67</v>
      </c>
      <c r="E16" s="147" t="s">
        <v>68</v>
      </c>
      <c r="F16" s="147" t="s">
        <v>67</v>
      </c>
      <c r="G16" s="408" t="s">
        <v>69</v>
      </c>
      <c r="H16" s="148" t="s">
        <v>70</v>
      </c>
      <c r="I16" s="149" t="s">
        <v>89</v>
      </c>
      <c r="J16" s="150" t="s">
        <v>71</v>
      </c>
      <c r="K16" s="151" t="s">
        <v>72</v>
      </c>
      <c r="L16" s="151" t="s">
        <v>72</v>
      </c>
      <c r="M16" s="151" t="s">
        <v>90</v>
      </c>
      <c r="N16" s="152" t="s">
        <v>90</v>
      </c>
      <c r="O16" s="151" t="s">
        <v>90</v>
      </c>
      <c r="P16" s="4"/>
    </row>
    <row r="17" spans="2:16">
      <c r="C17" s="153">
        <f>IF(D11= "","-",D11)</f>
        <v>2017</v>
      </c>
      <c r="D17" s="360">
        <v>0</v>
      </c>
      <c r="E17" s="360">
        <v>0</v>
      </c>
      <c r="F17" s="360">
        <v>12938000</v>
      </c>
      <c r="G17" s="360">
        <v>801460.7999645879</v>
      </c>
      <c r="H17" s="360">
        <v>801460.7999645879</v>
      </c>
      <c r="I17" s="156">
        <v>0</v>
      </c>
      <c r="J17" s="156"/>
      <c r="K17" s="258">
        <f>+G17</f>
        <v>801460.7999645879</v>
      </c>
      <c r="L17" s="257">
        <f>IF(K17&lt;&gt;0,+G17-K17,0)</f>
        <v>0</v>
      </c>
      <c r="M17" s="258">
        <f>+H17</f>
        <v>801460.7999645879</v>
      </c>
      <c r="N17" s="158">
        <f>IF(M17&lt;&gt;0,+H17-M17,0)</f>
        <v>0</v>
      </c>
      <c r="O17" s="158">
        <f>+N17-L17</f>
        <v>0</v>
      </c>
      <c r="P17" s="4"/>
    </row>
    <row r="18" spans="2:16">
      <c r="B18" s="9" t="str">
        <f>IF(D18=F17,"","IU")</f>
        <v>IU</v>
      </c>
      <c r="C18" s="153">
        <f>IF(D11="","-",+C17+1)</f>
        <v>2018</v>
      </c>
      <c r="D18" s="360">
        <v>15870000</v>
      </c>
      <c r="E18" s="360">
        <v>387073.1707317073</v>
      </c>
      <c r="F18" s="360">
        <v>15482926.829268293</v>
      </c>
      <c r="G18" s="360">
        <v>2141021.8960784124</v>
      </c>
      <c r="H18" s="360">
        <v>2141021.8960784124</v>
      </c>
      <c r="I18" s="156">
        <f t="shared" ref="I18:I72" si="0">H18-G18</f>
        <v>0</v>
      </c>
      <c r="J18" s="156"/>
      <c r="K18" s="258">
        <f>+G18</f>
        <v>2141021.8960784124</v>
      </c>
      <c r="L18" s="257">
        <f>IF(K18&lt;&gt;0,+G18-K18,0)</f>
        <v>0</v>
      </c>
      <c r="M18" s="258">
        <f>+H18</f>
        <v>2141021.8960784124</v>
      </c>
      <c r="N18" s="158">
        <f>IF(M18&lt;&gt;0,+H18-M18,0)</f>
        <v>0</v>
      </c>
      <c r="O18" s="158">
        <f>+N18-L18</f>
        <v>0</v>
      </c>
      <c r="P18" s="4"/>
    </row>
    <row r="19" spans="2:16">
      <c r="B19" s="9" t="str">
        <f>IF(D19=F18,"","IU")</f>
        <v/>
      </c>
      <c r="C19" s="153">
        <f>IF(D11="","-",+C18+1)</f>
        <v>2019</v>
      </c>
      <c r="D19" s="159">
        <f>IF(F18+SUM(E$17:E18)=D$10,F18,D$10-SUM(E$17:E18))</f>
        <v>15482926.829268293</v>
      </c>
      <c r="E19" s="160">
        <f>IF(+I14&lt;F18,I14,D19)</f>
        <v>369069.76744186046</v>
      </c>
      <c r="F19" s="159">
        <f t="shared" ref="F19:F72" si="1">+D19-E19</f>
        <v>15113857.061826432</v>
      </c>
      <c r="G19" s="161">
        <f t="shared" ref="G19:G48" si="2">+I$12*((D19+F19)/2)+E19</f>
        <v>1892111.4651232755</v>
      </c>
      <c r="H19" s="142">
        <f t="shared" ref="H19:H48" si="3">+I$13*((D19+F19)/2)+E19</f>
        <v>1892111.4651232755</v>
      </c>
      <c r="I19" s="156">
        <f t="shared" si="0"/>
        <v>0</v>
      </c>
      <c r="J19" s="156"/>
      <c r="K19" s="334"/>
      <c r="L19" s="158">
        <f t="shared" ref="L19:L72" si="4">IF(K19&lt;&gt;0,+G19-K19,0)</f>
        <v>0</v>
      </c>
      <c r="M19" s="334"/>
      <c r="N19" s="158">
        <f t="shared" ref="N19:N72" si="5">IF(M19&lt;&gt;0,+H19-M19,0)</f>
        <v>0</v>
      </c>
      <c r="O19" s="158">
        <f t="shared" ref="O19:O72" si="6">+N19-L19</f>
        <v>0</v>
      </c>
      <c r="P19" s="4"/>
    </row>
    <row r="20" spans="2:16">
      <c r="B20" s="9" t="str">
        <f t="shared" ref="B20:B72" si="7">IF(D20=F19,"","IU")</f>
        <v/>
      </c>
      <c r="C20" s="153">
        <f>IF(D11="","-",+C19+1)</f>
        <v>2020</v>
      </c>
      <c r="D20" s="159">
        <f>IF(F19+SUM(E$17:E19)=D$10,F19,D$10-SUM(E$17:E19))</f>
        <v>15113857.061826432</v>
      </c>
      <c r="E20" s="160">
        <f>IF(+I14&lt;F19,I14,D20)</f>
        <v>369069.76744186046</v>
      </c>
      <c r="F20" s="159">
        <f t="shared" si="1"/>
        <v>14744787.294384571</v>
      </c>
      <c r="G20" s="161">
        <f t="shared" si="2"/>
        <v>1855368.4762412878</v>
      </c>
      <c r="H20" s="142">
        <f t="shared" si="3"/>
        <v>1855368.4762412878</v>
      </c>
      <c r="I20" s="156">
        <f t="shared" si="0"/>
        <v>0</v>
      </c>
      <c r="J20" s="156"/>
      <c r="K20" s="334"/>
      <c r="L20" s="158">
        <f t="shared" si="4"/>
        <v>0</v>
      </c>
      <c r="M20" s="334"/>
      <c r="N20" s="158">
        <f t="shared" si="5"/>
        <v>0</v>
      </c>
      <c r="O20" s="158">
        <f t="shared" si="6"/>
        <v>0</v>
      </c>
      <c r="P20" s="4"/>
    </row>
    <row r="21" spans="2:16">
      <c r="B21" s="9" t="str">
        <f t="shared" si="7"/>
        <v/>
      </c>
      <c r="C21" s="153">
        <f>IF(D11="","-",+C20+1)</f>
        <v>2021</v>
      </c>
      <c r="D21" s="159">
        <f>IF(F20+SUM(E$17:E20)=D$10,F20,D$10-SUM(E$17:E20))</f>
        <v>14744787.294384571</v>
      </c>
      <c r="E21" s="160">
        <f>IF(+I14&lt;F20,I14,D21)</f>
        <v>369069.76744186046</v>
      </c>
      <c r="F21" s="159">
        <f t="shared" si="1"/>
        <v>14375717.526942709</v>
      </c>
      <c r="G21" s="161">
        <f t="shared" si="2"/>
        <v>1818625.4873593</v>
      </c>
      <c r="H21" s="142">
        <f t="shared" si="3"/>
        <v>1818625.4873593</v>
      </c>
      <c r="I21" s="156">
        <f t="shared" si="0"/>
        <v>0</v>
      </c>
      <c r="J21" s="156"/>
      <c r="K21" s="334"/>
      <c r="L21" s="158">
        <f t="shared" si="4"/>
        <v>0</v>
      </c>
      <c r="M21" s="334"/>
      <c r="N21" s="158">
        <f t="shared" si="5"/>
        <v>0</v>
      </c>
      <c r="O21" s="158">
        <f t="shared" si="6"/>
        <v>0</v>
      </c>
      <c r="P21" s="4"/>
    </row>
    <row r="22" spans="2:16">
      <c r="B22" s="9" t="str">
        <f t="shared" si="7"/>
        <v/>
      </c>
      <c r="C22" s="153">
        <f>IF(D11="","-",+C21+1)</f>
        <v>2022</v>
      </c>
      <c r="D22" s="159">
        <f>IF(F21+SUM(E$17:E21)=D$10,F21,D$10-SUM(E$17:E21))</f>
        <v>14375717.526942709</v>
      </c>
      <c r="E22" s="160">
        <f>IF(+I14&lt;F21,I14,D22)</f>
        <v>369069.76744186046</v>
      </c>
      <c r="F22" s="159">
        <f t="shared" si="1"/>
        <v>14006647.759500848</v>
      </c>
      <c r="G22" s="161">
        <f t="shared" si="2"/>
        <v>1781882.4984773123</v>
      </c>
      <c r="H22" s="142">
        <f t="shared" si="3"/>
        <v>1781882.4984773123</v>
      </c>
      <c r="I22" s="156">
        <f t="shared" si="0"/>
        <v>0</v>
      </c>
      <c r="J22" s="156"/>
      <c r="K22" s="334"/>
      <c r="L22" s="158">
        <f t="shared" si="4"/>
        <v>0</v>
      </c>
      <c r="M22" s="334"/>
      <c r="N22" s="158">
        <f t="shared" si="5"/>
        <v>0</v>
      </c>
      <c r="O22" s="158">
        <f t="shared" si="6"/>
        <v>0</v>
      </c>
      <c r="P22" s="4"/>
    </row>
    <row r="23" spans="2:16">
      <c r="B23" s="9" t="str">
        <f t="shared" si="7"/>
        <v/>
      </c>
      <c r="C23" s="153">
        <f>IF(D11="","-",+C22+1)</f>
        <v>2023</v>
      </c>
      <c r="D23" s="159">
        <f>IF(F22+SUM(E$17:E22)=D$10,F22,D$10-SUM(E$17:E22))</f>
        <v>14006647.759500848</v>
      </c>
      <c r="E23" s="160">
        <f>IF(+I14&lt;F22,I14,D23)</f>
        <v>369069.76744186046</v>
      </c>
      <c r="F23" s="159">
        <f t="shared" si="1"/>
        <v>13637577.992058987</v>
      </c>
      <c r="G23" s="161">
        <f t="shared" si="2"/>
        <v>1745139.5095953245</v>
      </c>
      <c r="H23" s="142">
        <f t="shared" si="3"/>
        <v>1745139.5095953245</v>
      </c>
      <c r="I23" s="156">
        <f t="shared" si="0"/>
        <v>0</v>
      </c>
      <c r="J23" s="156"/>
      <c r="K23" s="334"/>
      <c r="L23" s="158">
        <f t="shared" si="4"/>
        <v>0</v>
      </c>
      <c r="M23" s="334"/>
      <c r="N23" s="158">
        <f t="shared" si="5"/>
        <v>0</v>
      </c>
      <c r="O23" s="158">
        <f t="shared" si="6"/>
        <v>0</v>
      </c>
      <c r="P23" s="4"/>
    </row>
    <row r="24" spans="2:16">
      <c r="B24" s="9" t="str">
        <f t="shared" si="7"/>
        <v/>
      </c>
      <c r="C24" s="153">
        <f>IF(D11="","-",+C23+1)</f>
        <v>2024</v>
      </c>
      <c r="D24" s="159">
        <f>IF(F23+SUM(E$17:E23)=D$10,F23,D$10-SUM(E$17:E23))</f>
        <v>13637577.992058987</v>
      </c>
      <c r="E24" s="160">
        <f>IF(+I14&lt;F23,I14,D24)</f>
        <v>369069.76744186046</v>
      </c>
      <c r="F24" s="159">
        <f t="shared" si="1"/>
        <v>13268508.224617125</v>
      </c>
      <c r="G24" s="161">
        <f t="shared" si="2"/>
        <v>1708396.5207133368</v>
      </c>
      <c r="H24" s="142">
        <f t="shared" si="3"/>
        <v>1708396.5207133368</v>
      </c>
      <c r="I24" s="156">
        <f t="shared" si="0"/>
        <v>0</v>
      </c>
      <c r="J24" s="156"/>
      <c r="K24" s="334"/>
      <c r="L24" s="158">
        <f t="shared" si="4"/>
        <v>0</v>
      </c>
      <c r="M24" s="334"/>
      <c r="N24" s="158">
        <f t="shared" si="5"/>
        <v>0</v>
      </c>
      <c r="O24" s="158">
        <f t="shared" si="6"/>
        <v>0</v>
      </c>
      <c r="P24" s="4"/>
    </row>
    <row r="25" spans="2:16">
      <c r="B25" s="9" t="str">
        <f t="shared" si="7"/>
        <v/>
      </c>
      <c r="C25" s="153">
        <f>IF(D11="","-",+C24+1)</f>
        <v>2025</v>
      </c>
      <c r="D25" s="159">
        <f>IF(F24+SUM(E$17:E24)=D$10,F24,D$10-SUM(E$17:E24))</f>
        <v>13268508.224617125</v>
      </c>
      <c r="E25" s="160">
        <f>IF(+I14&lt;F24,I14,D25)</f>
        <v>369069.76744186046</v>
      </c>
      <c r="F25" s="159">
        <f t="shared" si="1"/>
        <v>12899438.457175264</v>
      </c>
      <c r="G25" s="161">
        <f t="shared" si="2"/>
        <v>1671653.531831349</v>
      </c>
      <c r="H25" s="142">
        <f t="shared" si="3"/>
        <v>1671653.531831349</v>
      </c>
      <c r="I25" s="156">
        <f t="shared" si="0"/>
        <v>0</v>
      </c>
      <c r="J25" s="156"/>
      <c r="K25" s="334"/>
      <c r="L25" s="158">
        <f t="shared" si="4"/>
        <v>0</v>
      </c>
      <c r="M25" s="334"/>
      <c r="N25" s="158">
        <f t="shared" si="5"/>
        <v>0</v>
      </c>
      <c r="O25" s="158">
        <f t="shared" si="6"/>
        <v>0</v>
      </c>
      <c r="P25" s="4"/>
    </row>
    <row r="26" spans="2:16">
      <c r="B26" s="9" t="str">
        <f t="shared" si="7"/>
        <v/>
      </c>
      <c r="C26" s="153">
        <f>IF(D11="","-",+C25+1)</f>
        <v>2026</v>
      </c>
      <c r="D26" s="159">
        <f>IF(F25+SUM(E$17:E25)=D$10,F25,D$10-SUM(E$17:E25))</f>
        <v>12899438.457175264</v>
      </c>
      <c r="E26" s="160">
        <f>IF(+I14&lt;F25,I14,D26)</f>
        <v>369069.76744186046</v>
      </c>
      <c r="F26" s="159">
        <f t="shared" si="1"/>
        <v>12530368.689733403</v>
      </c>
      <c r="G26" s="161">
        <f t="shared" si="2"/>
        <v>1634910.5429493613</v>
      </c>
      <c r="H26" s="142">
        <f t="shared" si="3"/>
        <v>1634910.5429493613</v>
      </c>
      <c r="I26" s="156">
        <f t="shared" si="0"/>
        <v>0</v>
      </c>
      <c r="J26" s="156"/>
      <c r="K26" s="334"/>
      <c r="L26" s="158">
        <f t="shared" si="4"/>
        <v>0</v>
      </c>
      <c r="M26" s="334"/>
      <c r="N26" s="158">
        <f t="shared" si="5"/>
        <v>0</v>
      </c>
      <c r="O26" s="158">
        <f t="shared" si="6"/>
        <v>0</v>
      </c>
      <c r="P26" s="4"/>
    </row>
    <row r="27" spans="2:16">
      <c r="B27" s="9" t="str">
        <f t="shared" si="7"/>
        <v/>
      </c>
      <c r="C27" s="153">
        <f>IF(D11="","-",+C26+1)</f>
        <v>2027</v>
      </c>
      <c r="D27" s="159">
        <f>IF(F26+SUM(E$17:E26)=D$10,F26,D$10-SUM(E$17:E26))</f>
        <v>12530368.689733403</v>
      </c>
      <c r="E27" s="160">
        <f>IF(+I14&lt;F26,I14,D27)</f>
        <v>369069.76744186046</v>
      </c>
      <c r="F27" s="159">
        <f t="shared" si="1"/>
        <v>12161298.922291541</v>
      </c>
      <c r="G27" s="161">
        <f t="shared" si="2"/>
        <v>1598167.5540673735</v>
      </c>
      <c r="H27" s="142">
        <f t="shared" si="3"/>
        <v>1598167.5540673735</v>
      </c>
      <c r="I27" s="156">
        <f t="shared" si="0"/>
        <v>0</v>
      </c>
      <c r="J27" s="156"/>
      <c r="K27" s="334"/>
      <c r="L27" s="158">
        <f t="shared" si="4"/>
        <v>0</v>
      </c>
      <c r="M27" s="334"/>
      <c r="N27" s="158">
        <f t="shared" si="5"/>
        <v>0</v>
      </c>
      <c r="O27" s="158">
        <f t="shared" si="6"/>
        <v>0</v>
      </c>
      <c r="P27" s="4"/>
    </row>
    <row r="28" spans="2:16">
      <c r="B28" s="9" t="str">
        <f t="shared" si="7"/>
        <v/>
      </c>
      <c r="C28" s="153">
        <f>IF(D11="","-",+C27+1)</f>
        <v>2028</v>
      </c>
      <c r="D28" s="159">
        <f>IF(F27+SUM(E$17:E27)=D$10,F27,D$10-SUM(E$17:E27))</f>
        <v>12161298.922291541</v>
      </c>
      <c r="E28" s="160">
        <f>IF(+I14&lt;F27,I14,D28)</f>
        <v>369069.76744186046</v>
      </c>
      <c r="F28" s="159">
        <f t="shared" si="1"/>
        <v>11792229.15484968</v>
      </c>
      <c r="G28" s="161">
        <f t="shared" si="2"/>
        <v>1561424.5651853858</v>
      </c>
      <c r="H28" s="142">
        <f t="shared" si="3"/>
        <v>1561424.5651853858</v>
      </c>
      <c r="I28" s="156">
        <f t="shared" si="0"/>
        <v>0</v>
      </c>
      <c r="J28" s="156"/>
      <c r="K28" s="334"/>
      <c r="L28" s="158">
        <f t="shared" si="4"/>
        <v>0</v>
      </c>
      <c r="M28" s="334"/>
      <c r="N28" s="158">
        <f t="shared" si="5"/>
        <v>0</v>
      </c>
      <c r="O28" s="158">
        <f t="shared" si="6"/>
        <v>0</v>
      </c>
      <c r="P28" s="4"/>
    </row>
    <row r="29" spans="2:16">
      <c r="B29" s="9" t="str">
        <f t="shared" si="7"/>
        <v/>
      </c>
      <c r="C29" s="153">
        <f>IF(D11="","-",+C28+1)</f>
        <v>2029</v>
      </c>
      <c r="D29" s="159">
        <f>IF(F28+SUM(E$17:E28)=D$10,F28,D$10-SUM(E$17:E28))</f>
        <v>11792229.15484968</v>
      </c>
      <c r="E29" s="160">
        <f>IF(+I14&lt;F28,I14,D29)</f>
        <v>369069.76744186046</v>
      </c>
      <c r="F29" s="159">
        <f t="shared" si="1"/>
        <v>11423159.387407819</v>
      </c>
      <c r="G29" s="161">
        <f t="shared" si="2"/>
        <v>1524681.576303398</v>
      </c>
      <c r="H29" s="142">
        <f t="shared" si="3"/>
        <v>1524681.576303398</v>
      </c>
      <c r="I29" s="156">
        <f t="shared" si="0"/>
        <v>0</v>
      </c>
      <c r="J29" s="156"/>
      <c r="K29" s="334"/>
      <c r="L29" s="158">
        <f t="shared" si="4"/>
        <v>0</v>
      </c>
      <c r="M29" s="334"/>
      <c r="N29" s="158">
        <f t="shared" si="5"/>
        <v>0</v>
      </c>
      <c r="O29" s="158">
        <f t="shared" si="6"/>
        <v>0</v>
      </c>
      <c r="P29" s="4"/>
    </row>
    <row r="30" spans="2:16">
      <c r="B30" s="9" t="str">
        <f t="shared" si="7"/>
        <v/>
      </c>
      <c r="C30" s="153">
        <f>IF(D11="","-",+C29+1)</f>
        <v>2030</v>
      </c>
      <c r="D30" s="159">
        <f>IF(F29+SUM(E$17:E29)=D$10,F29,D$10-SUM(E$17:E29))</f>
        <v>11423159.387407819</v>
      </c>
      <c r="E30" s="160">
        <f>IF(+I14&lt;F29,I14,D30)</f>
        <v>369069.76744186046</v>
      </c>
      <c r="F30" s="159">
        <f t="shared" si="1"/>
        <v>11054089.619965957</v>
      </c>
      <c r="G30" s="161">
        <f t="shared" si="2"/>
        <v>1487938.5874214103</v>
      </c>
      <c r="H30" s="142">
        <f t="shared" si="3"/>
        <v>1487938.5874214103</v>
      </c>
      <c r="I30" s="156">
        <f t="shared" si="0"/>
        <v>0</v>
      </c>
      <c r="J30" s="156"/>
      <c r="K30" s="334"/>
      <c r="L30" s="158">
        <f t="shared" si="4"/>
        <v>0</v>
      </c>
      <c r="M30" s="334"/>
      <c r="N30" s="158">
        <f t="shared" si="5"/>
        <v>0</v>
      </c>
      <c r="O30" s="158">
        <f t="shared" si="6"/>
        <v>0</v>
      </c>
      <c r="P30" s="4"/>
    </row>
    <row r="31" spans="2:16">
      <c r="B31" s="9" t="str">
        <f t="shared" si="7"/>
        <v/>
      </c>
      <c r="C31" s="153">
        <f>IF(D11="","-",+C30+1)</f>
        <v>2031</v>
      </c>
      <c r="D31" s="159">
        <f>IF(F30+SUM(E$17:E30)=D$10,F30,D$10-SUM(E$17:E30))</f>
        <v>11054089.619965957</v>
      </c>
      <c r="E31" s="160">
        <f>IF(+I14&lt;F30,I14,D31)</f>
        <v>369069.76744186046</v>
      </c>
      <c r="F31" s="159">
        <f t="shared" si="1"/>
        <v>10685019.852524096</v>
      </c>
      <c r="G31" s="161">
        <f t="shared" si="2"/>
        <v>1451195.5985394227</v>
      </c>
      <c r="H31" s="142">
        <f t="shared" si="3"/>
        <v>1451195.5985394227</v>
      </c>
      <c r="I31" s="156">
        <f t="shared" si="0"/>
        <v>0</v>
      </c>
      <c r="J31" s="156"/>
      <c r="K31" s="334"/>
      <c r="L31" s="158">
        <f t="shared" si="4"/>
        <v>0</v>
      </c>
      <c r="M31" s="334"/>
      <c r="N31" s="158">
        <f t="shared" si="5"/>
        <v>0</v>
      </c>
      <c r="O31" s="158">
        <f t="shared" si="6"/>
        <v>0</v>
      </c>
      <c r="P31" s="4"/>
    </row>
    <row r="32" spans="2:16">
      <c r="B32" s="9" t="str">
        <f t="shared" si="7"/>
        <v/>
      </c>
      <c r="C32" s="153">
        <f>IF(D11="","-",+C31+1)</f>
        <v>2032</v>
      </c>
      <c r="D32" s="159">
        <f>IF(F31+SUM(E$17:E31)=D$10,F31,D$10-SUM(E$17:E31))</f>
        <v>10685019.852524096</v>
      </c>
      <c r="E32" s="160">
        <f>IF(+I14&lt;F31,I14,D32)</f>
        <v>369069.76744186046</v>
      </c>
      <c r="F32" s="159">
        <f t="shared" si="1"/>
        <v>10315950.085082235</v>
      </c>
      <c r="G32" s="161">
        <f t="shared" si="2"/>
        <v>1414452.609657435</v>
      </c>
      <c r="H32" s="142">
        <f t="shared" si="3"/>
        <v>1414452.609657435</v>
      </c>
      <c r="I32" s="156">
        <f t="shared" si="0"/>
        <v>0</v>
      </c>
      <c r="J32" s="156"/>
      <c r="K32" s="334"/>
      <c r="L32" s="158">
        <f t="shared" si="4"/>
        <v>0</v>
      </c>
      <c r="M32" s="334"/>
      <c r="N32" s="158">
        <f t="shared" si="5"/>
        <v>0</v>
      </c>
      <c r="O32" s="158">
        <f t="shared" si="6"/>
        <v>0</v>
      </c>
      <c r="P32" s="4"/>
    </row>
    <row r="33" spans="2:16">
      <c r="B33" s="9" t="str">
        <f t="shared" si="7"/>
        <v/>
      </c>
      <c r="C33" s="153">
        <f>IF(D11="","-",+C32+1)</f>
        <v>2033</v>
      </c>
      <c r="D33" s="159">
        <f>IF(F32+SUM(E$17:E32)=D$10,F32,D$10-SUM(E$17:E32))</f>
        <v>10315950.085082235</v>
      </c>
      <c r="E33" s="160">
        <f>IF(+I14&lt;F32,I14,D33)</f>
        <v>369069.76744186046</v>
      </c>
      <c r="F33" s="159">
        <f t="shared" si="1"/>
        <v>9946880.3176403735</v>
      </c>
      <c r="G33" s="161">
        <f t="shared" si="2"/>
        <v>1377709.6207754472</v>
      </c>
      <c r="H33" s="142">
        <f t="shared" si="3"/>
        <v>1377709.6207754472</v>
      </c>
      <c r="I33" s="156">
        <f t="shared" si="0"/>
        <v>0</v>
      </c>
      <c r="J33" s="156"/>
      <c r="K33" s="334"/>
      <c r="L33" s="158">
        <f t="shared" si="4"/>
        <v>0</v>
      </c>
      <c r="M33" s="334"/>
      <c r="N33" s="158">
        <f t="shared" si="5"/>
        <v>0</v>
      </c>
      <c r="O33" s="158">
        <f t="shared" si="6"/>
        <v>0</v>
      </c>
      <c r="P33" s="4"/>
    </row>
    <row r="34" spans="2:16">
      <c r="B34" s="9" t="str">
        <f t="shared" si="7"/>
        <v/>
      </c>
      <c r="C34" s="153">
        <f>IF(D11="","-",+C33+1)</f>
        <v>2034</v>
      </c>
      <c r="D34" s="159">
        <f>IF(F33+SUM(E$17:E33)=D$10,F33,D$10-SUM(E$17:E33))</f>
        <v>9946880.3176403735</v>
      </c>
      <c r="E34" s="160">
        <f>IF(+I14&lt;F33,I14,D34)</f>
        <v>369069.76744186046</v>
      </c>
      <c r="F34" s="159">
        <f t="shared" si="1"/>
        <v>9577810.5501985122</v>
      </c>
      <c r="G34" s="161">
        <f t="shared" si="2"/>
        <v>1340966.6318934595</v>
      </c>
      <c r="H34" s="142">
        <f t="shared" si="3"/>
        <v>1340966.6318934595</v>
      </c>
      <c r="I34" s="156">
        <f t="shared" si="0"/>
        <v>0</v>
      </c>
      <c r="J34" s="156"/>
      <c r="K34" s="334"/>
      <c r="L34" s="158">
        <f t="shared" si="4"/>
        <v>0</v>
      </c>
      <c r="M34" s="334"/>
      <c r="N34" s="158">
        <f t="shared" si="5"/>
        <v>0</v>
      </c>
      <c r="O34" s="158">
        <f t="shared" si="6"/>
        <v>0</v>
      </c>
      <c r="P34" s="4"/>
    </row>
    <row r="35" spans="2:16">
      <c r="B35" s="9" t="str">
        <f t="shared" si="7"/>
        <v/>
      </c>
      <c r="C35" s="153">
        <f>IF(D11="","-",+C34+1)</f>
        <v>2035</v>
      </c>
      <c r="D35" s="159">
        <f>IF(F34+SUM(E$17:E34)=D$10,F34,D$10-SUM(E$17:E34))</f>
        <v>9577810.5501985122</v>
      </c>
      <c r="E35" s="160">
        <f>IF(+I14&lt;F34,I14,D35)</f>
        <v>369069.76744186046</v>
      </c>
      <c r="F35" s="159">
        <f t="shared" si="1"/>
        <v>9208740.7827566508</v>
      </c>
      <c r="G35" s="161">
        <f t="shared" si="2"/>
        <v>1304223.6430114717</v>
      </c>
      <c r="H35" s="142">
        <f t="shared" si="3"/>
        <v>1304223.6430114717</v>
      </c>
      <c r="I35" s="156">
        <f t="shared" si="0"/>
        <v>0</v>
      </c>
      <c r="J35" s="156"/>
      <c r="K35" s="334"/>
      <c r="L35" s="158">
        <f t="shared" si="4"/>
        <v>0</v>
      </c>
      <c r="M35" s="334"/>
      <c r="N35" s="158">
        <f t="shared" si="5"/>
        <v>0</v>
      </c>
      <c r="O35" s="158">
        <f t="shared" si="6"/>
        <v>0</v>
      </c>
      <c r="P35" s="4"/>
    </row>
    <row r="36" spans="2:16">
      <c r="B36" s="9" t="str">
        <f t="shared" si="7"/>
        <v/>
      </c>
      <c r="C36" s="153">
        <f>IF(D11="","-",+C35+1)</f>
        <v>2036</v>
      </c>
      <c r="D36" s="159">
        <f>IF(F35+SUM(E$17:E35)=D$10,F35,D$10-SUM(E$17:E35))</f>
        <v>9208740.7827566508</v>
      </c>
      <c r="E36" s="160">
        <f>IF(+I14&lt;F35,I14,D36)</f>
        <v>369069.76744186046</v>
      </c>
      <c r="F36" s="159">
        <f t="shared" si="1"/>
        <v>8839671.0153147895</v>
      </c>
      <c r="G36" s="161">
        <f t="shared" si="2"/>
        <v>1267480.654129484</v>
      </c>
      <c r="H36" s="142">
        <f t="shared" si="3"/>
        <v>1267480.654129484</v>
      </c>
      <c r="I36" s="156">
        <f t="shared" si="0"/>
        <v>0</v>
      </c>
      <c r="J36" s="156"/>
      <c r="K36" s="334"/>
      <c r="L36" s="158">
        <f t="shared" si="4"/>
        <v>0</v>
      </c>
      <c r="M36" s="334"/>
      <c r="N36" s="158">
        <f t="shared" si="5"/>
        <v>0</v>
      </c>
      <c r="O36" s="158">
        <f t="shared" si="6"/>
        <v>0</v>
      </c>
      <c r="P36" s="4"/>
    </row>
    <row r="37" spans="2:16">
      <c r="B37" s="9" t="str">
        <f t="shared" si="7"/>
        <v/>
      </c>
      <c r="C37" s="153">
        <f>IF(D11="","-",+C36+1)</f>
        <v>2037</v>
      </c>
      <c r="D37" s="159">
        <f>IF(F36+SUM(E$17:E36)=D$10,F36,D$10-SUM(E$17:E36))</f>
        <v>8839671.0153147895</v>
      </c>
      <c r="E37" s="160">
        <f>IF(+I14&lt;F36,I14,D37)</f>
        <v>369069.76744186046</v>
      </c>
      <c r="F37" s="159">
        <f t="shared" si="1"/>
        <v>8470601.2478729282</v>
      </c>
      <c r="G37" s="161">
        <f t="shared" si="2"/>
        <v>1230737.6652474962</v>
      </c>
      <c r="H37" s="142">
        <f t="shared" si="3"/>
        <v>1230737.6652474962</v>
      </c>
      <c r="I37" s="156">
        <f t="shared" si="0"/>
        <v>0</v>
      </c>
      <c r="J37" s="156"/>
      <c r="K37" s="334"/>
      <c r="L37" s="158">
        <f t="shared" si="4"/>
        <v>0</v>
      </c>
      <c r="M37" s="334"/>
      <c r="N37" s="158">
        <f t="shared" si="5"/>
        <v>0</v>
      </c>
      <c r="O37" s="158">
        <f t="shared" si="6"/>
        <v>0</v>
      </c>
      <c r="P37" s="4"/>
    </row>
    <row r="38" spans="2:16">
      <c r="B38" s="9" t="str">
        <f t="shared" si="7"/>
        <v/>
      </c>
      <c r="C38" s="153">
        <f>IF(D11="","-",+C37+1)</f>
        <v>2038</v>
      </c>
      <c r="D38" s="159">
        <f>IF(F37+SUM(E$17:E37)=D$10,F37,D$10-SUM(E$17:E37))</f>
        <v>8470601.2478729282</v>
      </c>
      <c r="E38" s="160">
        <f>IF(+I14&lt;F37,I14,D38)</f>
        <v>369069.76744186046</v>
      </c>
      <c r="F38" s="159">
        <f t="shared" si="1"/>
        <v>8101531.4804310678</v>
      </c>
      <c r="G38" s="161">
        <f t="shared" si="2"/>
        <v>1193994.6763655085</v>
      </c>
      <c r="H38" s="142">
        <f t="shared" si="3"/>
        <v>1193994.6763655085</v>
      </c>
      <c r="I38" s="156">
        <f t="shared" si="0"/>
        <v>0</v>
      </c>
      <c r="J38" s="156"/>
      <c r="K38" s="334"/>
      <c r="L38" s="158">
        <f t="shared" si="4"/>
        <v>0</v>
      </c>
      <c r="M38" s="334"/>
      <c r="N38" s="158">
        <f t="shared" si="5"/>
        <v>0</v>
      </c>
      <c r="O38" s="158">
        <f t="shared" si="6"/>
        <v>0</v>
      </c>
      <c r="P38" s="4"/>
    </row>
    <row r="39" spans="2:16">
      <c r="B39" s="9" t="str">
        <f t="shared" si="7"/>
        <v/>
      </c>
      <c r="C39" s="153">
        <f>IF(D11="","-",+C38+1)</f>
        <v>2039</v>
      </c>
      <c r="D39" s="159">
        <f>IF(F38+SUM(E$17:E38)=D$10,F38,D$10-SUM(E$17:E38))</f>
        <v>8101531.4804310678</v>
      </c>
      <c r="E39" s="160">
        <f>IF(+I14&lt;F38,I14,D39)</f>
        <v>369069.76744186046</v>
      </c>
      <c r="F39" s="159">
        <f t="shared" si="1"/>
        <v>7732461.7129892074</v>
      </c>
      <c r="G39" s="161">
        <f t="shared" si="2"/>
        <v>1157251.6874835209</v>
      </c>
      <c r="H39" s="142">
        <f t="shared" si="3"/>
        <v>1157251.6874835209</v>
      </c>
      <c r="I39" s="156">
        <f t="shared" si="0"/>
        <v>0</v>
      </c>
      <c r="J39" s="156"/>
      <c r="K39" s="334"/>
      <c r="L39" s="158">
        <f t="shared" si="4"/>
        <v>0</v>
      </c>
      <c r="M39" s="334"/>
      <c r="N39" s="158">
        <f t="shared" si="5"/>
        <v>0</v>
      </c>
      <c r="O39" s="158">
        <f t="shared" si="6"/>
        <v>0</v>
      </c>
      <c r="P39" s="4"/>
    </row>
    <row r="40" spans="2:16">
      <c r="B40" s="9" t="str">
        <f t="shared" si="7"/>
        <v/>
      </c>
      <c r="C40" s="153">
        <f>IF(D11="","-",+C39+1)</f>
        <v>2040</v>
      </c>
      <c r="D40" s="159">
        <f>IF(F39+SUM(E$17:E39)=D$10,F39,D$10-SUM(E$17:E39))</f>
        <v>7732461.7129892074</v>
      </c>
      <c r="E40" s="160">
        <f>IF(+I14&lt;F39,I14,D40)</f>
        <v>369069.76744186046</v>
      </c>
      <c r="F40" s="159">
        <f t="shared" si="1"/>
        <v>7363391.945547347</v>
      </c>
      <c r="G40" s="161">
        <f t="shared" si="2"/>
        <v>1120508.6986015332</v>
      </c>
      <c r="H40" s="142">
        <f t="shared" si="3"/>
        <v>1120508.6986015332</v>
      </c>
      <c r="I40" s="156">
        <f t="shared" si="0"/>
        <v>0</v>
      </c>
      <c r="J40" s="156"/>
      <c r="K40" s="334"/>
      <c r="L40" s="158">
        <f t="shared" si="4"/>
        <v>0</v>
      </c>
      <c r="M40" s="334"/>
      <c r="N40" s="158">
        <f t="shared" si="5"/>
        <v>0</v>
      </c>
      <c r="O40" s="158">
        <f t="shared" si="6"/>
        <v>0</v>
      </c>
      <c r="P40" s="4"/>
    </row>
    <row r="41" spans="2:16">
      <c r="B41" s="9" t="str">
        <f t="shared" si="7"/>
        <v/>
      </c>
      <c r="C41" s="153">
        <f>IF(D11="","-",+C40+1)</f>
        <v>2041</v>
      </c>
      <c r="D41" s="159">
        <f>IF(F40+SUM(E$17:E40)=D$10,F40,D$10-SUM(E$17:E40))</f>
        <v>7363391.945547347</v>
      </c>
      <c r="E41" s="160">
        <f>IF(+I14&lt;F40,I14,D41)</f>
        <v>369069.76744186046</v>
      </c>
      <c r="F41" s="159">
        <f t="shared" si="1"/>
        <v>6994322.1781054866</v>
      </c>
      <c r="G41" s="161">
        <f t="shared" si="2"/>
        <v>1083765.7097195457</v>
      </c>
      <c r="H41" s="142">
        <f t="shared" si="3"/>
        <v>1083765.7097195457</v>
      </c>
      <c r="I41" s="156">
        <f t="shared" si="0"/>
        <v>0</v>
      </c>
      <c r="J41" s="156"/>
      <c r="K41" s="334"/>
      <c r="L41" s="158">
        <f t="shared" si="4"/>
        <v>0</v>
      </c>
      <c r="M41" s="334"/>
      <c r="N41" s="158">
        <f t="shared" si="5"/>
        <v>0</v>
      </c>
      <c r="O41" s="158">
        <f t="shared" si="6"/>
        <v>0</v>
      </c>
      <c r="P41" s="4"/>
    </row>
    <row r="42" spans="2:16">
      <c r="B42" s="9" t="str">
        <f t="shared" si="7"/>
        <v/>
      </c>
      <c r="C42" s="153">
        <f>IF(D11="","-",+C41+1)</f>
        <v>2042</v>
      </c>
      <c r="D42" s="159">
        <f>IF(F41+SUM(E$17:E41)=D$10,F41,D$10-SUM(E$17:E41))</f>
        <v>6994322.1781054866</v>
      </c>
      <c r="E42" s="160">
        <f>IF(+I14&lt;F41,I14,D42)</f>
        <v>369069.76744186046</v>
      </c>
      <c r="F42" s="159">
        <f t="shared" si="1"/>
        <v>6625252.4106636262</v>
      </c>
      <c r="G42" s="161">
        <f t="shared" si="2"/>
        <v>1047022.7208375579</v>
      </c>
      <c r="H42" s="142">
        <f t="shared" si="3"/>
        <v>1047022.7208375579</v>
      </c>
      <c r="I42" s="156">
        <f t="shared" si="0"/>
        <v>0</v>
      </c>
      <c r="J42" s="156"/>
      <c r="K42" s="334"/>
      <c r="L42" s="158">
        <f t="shared" si="4"/>
        <v>0</v>
      </c>
      <c r="M42" s="334"/>
      <c r="N42" s="158">
        <f t="shared" si="5"/>
        <v>0</v>
      </c>
      <c r="O42" s="158">
        <f t="shared" si="6"/>
        <v>0</v>
      </c>
      <c r="P42" s="4"/>
    </row>
    <row r="43" spans="2:16">
      <c r="B43" s="9" t="str">
        <f t="shared" si="7"/>
        <v/>
      </c>
      <c r="C43" s="153">
        <f>IF(D11="","-",+C42+1)</f>
        <v>2043</v>
      </c>
      <c r="D43" s="159">
        <f>IF(F42+SUM(E$17:E42)=D$10,F42,D$10-SUM(E$17:E42))</f>
        <v>6625252.4106636262</v>
      </c>
      <c r="E43" s="160">
        <f>IF(+I14&lt;F42,I14,D43)</f>
        <v>369069.76744186046</v>
      </c>
      <c r="F43" s="159">
        <f t="shared" si="1"/>
        <v>6256182.6432217658</v>
      </c>
      <c r="G43" s="161">
        <f t="shared" si="2"/>
        <v>1010279.7319555704</v>
      </c>
      <c r="H43" s="142">
        <f t="shared" si="3"/>
        <v>1010279.7319555704</v>
      </c>
      <c r="I43" s="156">
        <f t="shared" si="0"/>
        <v>0</v>
      </c>
      <c r="J43" s="156"/>
      <c r="K43" s="334"/>
      <c r="L43" s="158">
        <f t="shared" si="4"/>
        <v>0</v>
      </c>
      <c r="M43" s="334"/>
      <c r="N43" s="158">
        <f t="shared" si="5"/>
        <v>0</v>
      </c>
      <c r="O43" s="158">
        <f t="shared" si="6"/>
        <v>0</v>
      </c>
      <c r="P43" s="4"/>
    </row>
    <row r="44" spans="2:16">
      <c r="B44" s="9" t="str">
        <f t="shared" si="7"/>
        <v/>
      </c>
      <c r="C44" s="153">
        <f>IF(D11="","-",+C43+1)</f>
        <v>2044</v>
      </c>
      <c r="D44" s="159">
        <f>IF(F43+SUM(E$17:E43)=D$10,F43,D$10-SUM(E$17:E43))</f>
        <v>6256182.6432217658</v>
      </c>
      <c r="E44" s="160">
        <f>IF(+I14&lt;F43,I14,D44)</f>
        <v>369069.76744186046</v>
      </c>
      <c r="F44" s="159">
        <f t="shared" si="1"/>
        <v>5887112.8757799054</v>
      </c>
      <c r="G44" s="161">
        <f t="shared" si="2"/>
        <v>973536.74307358265</v>
      </c>
      <c r="H44" s="142">
        <f t="shared" si="3"/>
        <v>973536.74307358265</v>
      </c>
      <c r="I44" s="156">
        <f t="shared" si="0"/>
        <v>0</v>
      </c>
      <c r="J44" s="156"/>
      <c r="K44" s="334"/>
      <c r="L44" s="158">
        <f t="shared" si="4"/>
        <v>0</v>
      </c>
      <c r="M44" s="334"/>
      <c r="N44" s="158">
        <f t="shared" si="5"/>
        <v>0</v>
      </c>
      <c r="O44" s="158">
        <f t="shared" si="6"/>
        <v>0</v>
      </c>
      <c r="P44" s="4"/>
    </row>
    <row r="45" spans="2:16">
      <c r="B45" s="9" t="str">
        <f t="shared" si="7"/>
        <v/>
      </c>
      <c r="C45" s="153">
        <f>IF(D11="","-",+C44+1)</f>
        <v>2045</v>
      </c>
      <c r="D45" s="159">
        <f>IF(F44+SUM(E$17:E44)=D$10,F44,D$10-SUM(E$17:E44))</f>
        <v>5887112.8757799054</v>
      </c>
      <c r="E45" s="160">
        <f>IF(+I14&lt;F44,I14,D45)</f>
        <v>369069.76744186046</v>
      </c>
      <c r="F45" s="159">
        <f t="shared" si="1"/>
        <v>5518043.108338045</v>
      </c>
      <c r="G45" s="161">
        <f t="shared" si="2"/>
        <v>936793.75419159513</v>
      </c>
      <c r="H45" s="142">
        <f t="shared" si="3"/>
        <v>936793.75419159513</v>
      </c>
      <c r="I45" s="156">
        <f t="shared" si="0"/>
        <v>0</v>
      </c>
      <c r="J45" s="156"/>
      <c r="K45" s="334"/>
      <c r="L45" s="158">
        <f t="shared" si="4"/>
        <v>0</v>
      </c>
      <c r="M45" s="334"/>
      <c r="N45" s="158">
        <f t="shared" si="5"/>
        <v>0</v>
      </c>
      <c r="O45" s="158">
        <f t="shared" si="6"/>
        <v>0</v>
      </c>
      <c r="P45" s="4"/>
    </row>
    <row r="46" spans="2:16">
      <c r="B46" s="9" t="str">
        <f t="shared" si="7"/>
        <v/>
      </c>
      <c r="C46" s="153">
        <f>IF(D11="","-",+C45+1)</f>
        <v>2046</v>
      </c>
      <c r="D46" s="159">
        <f>IF(F45+SUM(E$17:E45)=D$10,F45,D$10-SUM(E$17:E45))</f>
        <v>5518043.108338045</v>
      </c>
      <c r="E46" s="160">
        <f>IF(+I14&lt;F45,I14,D46)</f>
        <v>369069.76744186046</v>
      </c>
      <c r="F46" s="159">
        <f t="shared" si="1"/>
        <v>5148973.3408961846</v>
      </c>
      <c r="G46" s="161">
        <f t="shared" si="2"/>
        <v>900050.76530960738</v>
      </c>
      <c r="H46" s="142">
        <f t="shared" si="3"/>
        <v>900050.76530960738</v>
      </c>
      <c r="I46" s="156">
        <f t="shared" si="0"/>
        <v>0</v>
      </c>
      <c r="J46" s="156"/>
      <c r="K46" s="334"/>
      <c r="L46" s="158">
        <f t="shared" si="4"/>
        <v>0</v>
      </c>
      <c r="M46" s="334"/>
      <c r="N46" s="158">
        <f t="shared" si="5"/>
        <v>0</v>
      </c>
      <c r="O46" s="158">
        <f t="shared" si="6"/>
        <v>0</v>
      </c>
      <c r="P46" s="4"/>
    </row>
    <row r="47" spans="2:16">
      <c r="B47" s="9" t="str">
        <f t="shared" si="7"/>
        <v/>
      </c>
      <c r="C47" s="153">
        <f>IF(D11="","-",+C46+1)</f>
        <v>2047</v>
      </c>
      <c r="D47" s="159">
        <f>IF(F46+SUM(E$17:E46)=D$10,F46,D$10-SUM(E$17:E46))</f>
        <v>5148973.3408961846</v>
      </c>
      <c r="E47" s="160">
        <f>IF(+I14&lt;F46,I14,D47)</f>
        <v>369069.76744186046</v>
      </c>
      <c r="F47" s="159">
        <f t="shared" si="1"/>
        <v>4779903.5734543242</v>
      </c>
      <c r="G47" s="161">
        <f t="shared" si="2"/>
        <v>863307.77642761974</v>
      </c>
      <c r="H47" s="142">
        <f t="shared" si="3"/>
        <v>863307.77642761974</v>
      </c>
      <c r="I47" s="156">
        <f t="shared" si="0"/>
        <v>0</v>
      </c>
      <c r="J47" s="156"/>
      <c r="K47" s="334"/>
      <c r="L47" s="158">
        <f t="shared" si="4"/>
        <v>0</v>
      </c>
      <c r="M47" s="334"/>
      <c r="N47" s="158">
        <f t="shared" si="5"/>
        <v>0</v>
      </c>
      <c r="O47" s="158">
        <f t="shared" si="6"/>
        <v>0</v>
      </c>
      <c r="P47" s="4"/>
    </row>
    <row r="48" spans="2:16">
      <c r="B48" s="9" t="str">
        <f t="shared" si="7"/>
        <v/>
      </c>
      <c r="C48" s="153">
        <f>IF(D11="","-",+C47+1)</f>
        <v>2048</v>
      </c>
      <c r="D48" s="159">
        <f>IF(F47+SUM(E$17:E47)=D$10,F47,D$10-SUM(E$17:E47))</f>
        <v>4779903.5734543242</v>
      </c>
      <c r="E48" s="160">
        <f>IF(+I14&lt;F47,I14,D48)</f>
        <v>369069.76744186046</v>
      </c>
      <c r="F48" s="159">
        <f t="shared" si="1"/>
        <v>4410833.8060124638</v>
      </c>
      <c r="G48" s="161">
        <f t="shared" si="2"/>
        <v>826564.78754563211</v>
      </c>
      <c r="H48" s="142">
        <f t="shared" si="3"/>
        <v>826564.78754563211</v>
      </c>
      <c r="I48" s="156">
        <f t="shared" si="0"/>
        <v>0</v>
      </c>
      <c r="J48" s="156"/>
      <c r="K48" s="334"/>
      <c r="L48" s="158">
        <f t="shared" si="4"/>
        <v>0</v>
      </c>
      <c r="M48" s="334"/>
      <c r="N48" s="158">
        <f t="shared" si="5"/>
        <v>0</v>
      </c>
      <c r="O48" s="158">
        <f t="shared" si="6"/>
        <v>0</v>
      </c>
      <c r="P48" s="4"/>
    </row>
    <row r="49" spans="2:16">
      <c r="B49" s="9" t="str">
        <f t="shared" si="7"/>
        <v/>
      </c>
      <c r="C49" s="153">
        <f>IF(D11="","-",+C48+1)</f>
        <v>2049</v>
      </c>
      <c r="D49" s="159">
        <f>IF(F48+SUM(E$17:E48)=D$10,F48,D$10-SUM(E$17:E48))</f>
        <v>4410833.8060124638</v>
      </c>
      <c r="E49" s="160">
        <f>IF(+I14&lt;F48,I14,D49)</f>
        <v>369069.76744186046</v>
      </c>
      <c r="F49" s="159">
        <f t="shared" si="1"/>
        <v>4041764.0385706034</v>
      </c>
      <c r="G49" s="161">
        <f t="shared" ref="G49:G72" si="8">+I$12*((D49+F49)/2)+E49</f>
        <v>789821.79866364447</v>
      </c>
      <c r="H49" s="142">
        <f t="shared" ref="H49:H72" si="9">+I$13*((D49+F49)/2)+E49</f>
        <v>789821.79866364447</v>
      </c>
      <c r="I49" s="156">
        <f t="shared" si="0"/>
        <v>0</v>
      </c>
      <c r="J49" s="156"/>
      <c r="K49" s="334"/>
      <c r="L49" s="158">
        <f t="shared" si="4"/>
        <v>0</v>
      </c>
      <c r="M49" s="334"/>
      <c r="N49" s="158">
        <f t="shared" si="5"/>
        <v>0</v>
      </c>
      <c r="O49" s="158">
        <f t="shared" si="6"/>
        <v>0</v>
      </c>
      <c r="P49" s="4"/>
    </row>
    <row r="50" spans="2:16">
      <c r="B50" s="9" t="str">
        <f t="shared" si="7"/>
        <v/>
      </c>
      <c r="C50" s="153">
        <f>IF(D11="","-",+C49+1)</f>
        <v>2050</v>
      </c>
      <c r="D50" s="159">
        <f>IF(F49+SUM(E$17:E49)=D$10,F49,D$10-SUM(E$17:E49))</f>
        <v>4041764.0385706034</v>
      </c>
      <c r="E50" s="160">
        <f>IF(+I14&lt;F49,I14,D50)</f>
        <v>369069.76744186046</v>
      </c>
      <c r="F50" s="159">
        <f t="shared" si="1"/>
        <v>3672694.271128743</v>
      </c>
      <c r="G50" s="161">
        <f t="shared" si="8"/>
        <v>753078.80978165683</v>
      </c>
      <c r="H50" s="142">
        <f t="shared" si="9"/>
        <v>753078.80978165683</v>
      </c>
      <c r="I50" s="156">
        <f t="shared" si="0"/>
        <v>0</v>
      </c>
      <c r="J50" s="156"/>
      <c r="K50" s="334"/>
      <c r="L50" s="158">
        <f t="shared" si="4"/>
        <v>0</v>
      </c>
      <c r="M50" s="334"/>
      <c r="N50" s="158">
        <f t="shared" si="5"/>
        <v>0</v>
      </c>
      <c r="O50" s="158">
        <f t="shared" si="6"/>
        <v>0</v>
      </c>
      <c r="P50" s="4"/>
    </row>
    <row r="51" spans="2:16">
      <c r="B51" s="9" t="str">
        <f t="shared" si="7"/>
        <v/>
      </c>
      <c r="C51" s="153">
        <f>IF(D11="","-",+C50+1)</f>
        <v>2051</v>
      </c>
      <c r="D51" s="159">
        <f>IF(F50+SUM(E$17:E50)=D$10,F50,D$10-SUM(E$17:E50))</f>
        <v>3672694.271128743</v>
      </c>
      <c r="E51" s="160">
        <f>IF(+I14&lt;F50,I14,D51)</f>
        <v>369069.76744186046</v>
      </c>
      <c r="F51" s="159">
        <f t="shared" si="1"/>
        <v>3303624.5036868826</v>
      </c>
      <c r="G51" s="161">
        <f t="shared" si="8"/>
        <v>716335.82089966908</v>
      </c>
      <c r="H51" s="142">
        <f t="shared" si="9"/>
        <v>716335.82089966908</v>
      </c>
      <c r="I51" s="156">
        <f t="shared" si="0"/>
        <v>0</v>
      </c>
      <c r="J51" s="156"/>
      <c r="K51" s="334"/>
      <c r="L51" s="158">
        <f t="shared" si="4"/>
        <v>0</v>
      </c>
      <c r="M51" s="334"/>
      <c r="N51" s="158">
        <f t="shared" si="5"/>
        <v>0</v>
      </c>
      <c r="O51" s="158">
        <f t="shared" si="6"/>
        <v>0</v>
      </c>
      <c r="P51" s="4"/>
    </row>
    <row r="52" spans="2:16">
      <c r="B52" s="9" t="str">
        <f t="shared" si="7"/>
        <v/>
      </c>
      <c r="C52" s="153">
        <f>IF(D11="","-",+C51+1)</f>
        <v>2052</v>
      </c>
      <c r="D52" s="159">
        <f>IF(F51+SUM(E$17:E51)=D$10,F51,D$10-SUM(E$17:E51))</f>
        <v>3303624.5036868826</v>
      </c>
      <c r="E52" s="160">
        <f>IF(+I14&lt;F51,I14,D52)</f>
        <v>369069.76744186046</v>
      </c>
      <c r="F52" s="159">
        <f t="shared" si="1"/>
        <v>2934554.7362450222</v>
      </c>
      <c r="G52" s="161">
        <f t="shared" si="8"/>
        <v>679592.83201768156</v>
      </c>
      <c r="H52" s="142">
        <f t="shared" si="9"/>
        <v>679592.83201768156</v>
      </c>
      <c r="I52" s="156">
        <f t="shared" si="0"/>
        <v>0</v>
      </c>
      <c r="J52" s="156"/>
      <c r="K52" s="334"/>
      <c r="L52" s="158">
        <f t="shared" si="4"/>
        <v>0</v>
      </c>
      <c r="M52" s="334"/>
      <c r="N52" s="158">
        <f t="shared" si="5"/>
        <v>0</v>
      </c>
      <c r="O52" s="158">
        <f t="shared" si="6"/>
        <v>0</v>
      </c>
      <c r="P52" s="4"/>
    </row>
    <row r="53" spans="2:16">
      <c r="B53" s="9" t="str">
        <f t="shared" si="7"/>
        <v/>
      </c>
      <c r="C53" s="153">
        <f>IF(D11="","-",+C52+1)</f>
        <v>2053</v>
      </c>
      <c r="D53" s="159">
        <f>IF(F52+SUM(E$17:E52)=D$10,F52,D$10-SUM(E$17:E52))</f>
        <v>2934554.7362450222</v>
      </c>
      <c r="E53" s="160">
        <f>IF(+I14&lt;F52,I14,D53)</f>
        <v>369069.76744186046</v>
      </c>
      <c r="F53" s="159">
        <f t="shared" si="1"/>
        <v>2565484.9688031618</v>
      </c>
      <c r="G53" s="161">
        <f t="shared" si="8"/>
        <v>642849.84313569381</v>
      </c>
      <c r="H53" s="142">
        <f t="shared" si="9"/>
        <v>642849.84313569381</v>
      </c>
      <c r="I53" s="156">
        <f t="shared" si="0"/>
        <v>0</v>
      </c>
      <c r="J53" s="156"/>
      <c r="K53" s="334"/>
      <c r="L53" s="158">
        <f t="shared" si="4"/>
        <v>0</v>
      </c>
      <c r="M53" s="334"/>
      <c r="N53" s="158">
        <f t="shared" si="5"/>
        <v>0</v>
      </c>
      <c r="O53" s="158">
        <f t="shared" si="6"/>
        <v>0</v>
      </c>
      <c r="P53" s="4"/>
    </row>
    <row r="54" spans="2:16">
      <c r="B54" s="9" t="str">
        <f t="shared" si="7"/>
        <v/>
      </c>
      <c r="C54" s="153">
        <f>IF(D11="","-",+C53+1)</f>
        <v>2054</v>
      </c>
      <c r="D54" s="159">
        <f>IF(F53+SUM(E$17:E53)=D$10,F53,D$10-SUM(E$17:E53))</f>
        <v>2565484.9688031618</v>
      </c>
      <c r="E54" s="160">
        <f>IF(+I14&lt;F53,I14,D54)</f>
        <v>369069.76744186046</v>
      </c>
      <c r="F54" s="159">
        <f t="shared" si="1"/>
        <v>2196415.2013613014</v>
      </c>
      <c r="G54" s="161">
        <f t="shared" si="8"/>
        <v>606106.85425370617</v>
      </c>
      <c r="H54" s="142">
        <f t="shared" si="9"/>
        <v>606106.85425370617</v>
      </c>
      <c r="I54" s="156">
        <f t="shared" si="0"/>
        <v>0</v>
      </c>
      <c r="J54" s="156"/>
      <c r="K54" s="334"/>
      <c r="L54" s="158">
        <f t="shared" si="4"/>
        <v>0</v>
      </c>
      <c r="M54" s="334"/>
      <c r="N54" s="158">
        <f t="shared" si="5"/>
        <v>0</v>
      </c>
      <c r="O54" s="158">
        <f t="shared" si="6"/>
        <v>0</v>
      </c>
      <c r="P54" s="4"/>
    </row>
    <row r="55" spans="2:16">
      <c r="B55" s="9" t="str">
        <f t="shared" si="7"/>
        <v/>
      </c>
      <c r="C55" s="153">
        <f>IF(D11="","-",+C54+1)</f>
        <v>2055</v>
      </c>
      <c r="D55" s="159">
        <f>IF(F54+SUM(E$17:E54)=D$10,F54,D$10-SUM(E$17:E54))</f>
        <v>2196415.2013613014</v>
      </c>
      <c r="E55" s="160">
        <f>IF(+I14&lt;F54,I14,D55)</f>
        <v>369069.76744186046</v>
      </c>
      <c r="F55" s="159">
        <f t="shared" si="1"/>
        <v>1827345.433919441</v>
      </c>
      <c r="G55" s="161">
        <f t="shared" si="8"/>
        <v>569363.86537171854</v>
      </c>
      <c r="H55" s="142">
        <f t="shared" si="9"/>
        <v>569363.86537171854</v>
      </c>
      <c r="I55" s="156">
        <f t="shared" si="0"/>
        <v>0</v>
      </c>
      <c r="J55" s="156"/>
      <c r="K55" s="334"/>
      <c r="L55" s="158">
        <f t="shared" si="4"/>
        <v>0</v>
      </c>
      <c r="M55" s="334"/>
      <c r="N55" s="158">
        <f t="shared" si="5"/>
        <v>0</v>
      </c>
      <c r="O55" s="158">
        <f t="shared" si="6"/>
        <v>0</v>
      </c>
      <c r="P55" s="4"/>
    </row>
    <row r="56" spans="2:16">
      <c r="B56" s="9" t="str">
        <f t="shared" si="7"/>
        <v/>
      </c>
      <c r="C56" s="153">
        <f>IF(D11="","-",+C55+1)</f>
        <v>2056</v>
      </c>
      <c r="D56" s="159">
        <f>IF(F55+SUM(E$17:E55)=D$10,F55,D$10-SUM(E$17:E55))</f>
        <v>1827345.433919441</v>
      </c>
      <c r="E56" s="160">
        <f>IF(+I14&lt;F55,I14,D56)</f>
        <v>369069.76744186046</v>
      </c>
      <c r="F56" s="159">
        <f t="shared" si="1"/>
        <v>1458275.6664775806</v>
      </c>
      <c r="G56" s="161">
        <f t="shared" si="8"/>
        <v>532620.8764897309</v>
      </c>
      <c r="H56" s="142">
        <f t="shared" si="9"/>
        <v>532620.8764897309</v>
      </c>
      <c r="I56" s="156">
        <f t="shared" si="0"/>
        <v>0</v>
      </c>
      <c r="J56" s="156"/>
      <c r="K56" s="334"/>
      <c r="L56" s="158">
        <f t="shared" si="4"/>
        <v>0</v>
      </c>
      <c r="M56" s="334"/>
      <c r="N56" s="158">
        <f t="shared" si="5"/>
        <v>0</v>
      </c>
      <c r="O56" s="158">
        <f t="shared" si="6"/>
        <v>0</v>
      </c>
      <c r="P56" s="4"/>
    </row>
    <row r="57" spans="2:16">
      <c r="B57" s="9" t="str">
        <f t="shared" si="7"/>
        <v/>
      </c>
      <c r="C57" s="153">
        <f>IF(D11="","-",+C56+1)</f>
        <v>2057</v>
      </c>
      <c r="D57" s="159">
        <f>IF(F56+SUM(E$17:E56)=D$10,F56,D$10-SUM(E$17:E56))</f>
        <v>1458275.6664775806</v>
      </c>
      <c r="E57" s="160">
        <f>IF(+I14&lt;F56,I14,D57)</f>
        <v>369069.76744186046</v>
      </c>
      <c r="F57" s="159">
        <f t="shared" si="1"/>
        <v>1089205.8990357202</v>
      </c>
      <c r="G57" s="161">
        <f t="shared" si="8"/>
        <v>495877.88760774327</v>
      </c>
      <c r="H57" s="142">
        <f t="shared" si="9"/>
        <v>495877.88760774327</v>
      </c>
      <c r="I57" s="156">
        <f t="shared" si="0"/>
        <v>0</v>
      </c>
      <c r="J57" s="156"/>
      <c r="K57" s="334"/>
      <c r="L57" s="158">
        <f t="shared" si="4"/>
        <v>0</v>
      </c>
      <c r="M57" s="334"/>
      <c r="N57" s="158">
        <f t="shared" si="5"/>
        <v>0</v>
      </c>
      <c r="O57" s="158">
        <f t="shared" si="6"/>
        <v>0</v>
      </c>
      <c r="P57" s="4"/>
    </row>
    <row r="58" spans="2:16">
      <c r="B58" s="9" t="str">
        <f t="shared" si="7"/>
        <v/>
      </c>
      <c r="C58" s="153">
        <f>IF(D11="","-",+C57+1)</f>
        <v>2058</v>
      </c>
      <c r="D58" s="159">
        <f>IF(F57+SUM(E$17:E57)=D$10,F57,D$10-SUM(E$17:E57))</f>
        <v>1089205.8990357202</v>
      </c>
      <c r="E58" s="160">
        <f>IF(+I14&lt;F57,I14,D58)</f>
        <v>369069.76744186046</v>
      </c>
      <c r="F58" s="159">
        <f t="shared" si="1"/>
        <v>720136.13159385975</v>
      </c>
      <c r="G58" s="161">
        <f t="shared" si="8"/>
        <v>459134.89872575563</v>
      </c>
      <c r="H58" s="142">
        <f t="shared" si="9"/>
        <v>459134.89872575563</v>
      </c>
      <c r="I58" s="156">
        <f t="shared" si="0"/>
        <v>0</v>
      </c>
      <c r="J58" s="156"/>
      <c r="K58" s="334"/>
      <c r="L58" s="158">
        <f t="shared" si="4"/>
        <v>0</v>
      </c>
      <c r="M58" s="334"/>
      <c r="N58" s="158">
        <f t="shared" si="5"/>
        <v>0</v>
      </c>
      <c r="O58" s="158">
        <f t="shared" si="6"/>
        <v>0</v>
      </c>
      <c r="P58" s="4"/>
    </row>
    <row r="59" spans="2:16">
      <c r="B59" s="9" t="str">
        <f t="shared" si="7"/>
        <v/>
      </c>
      <c r="C59" s="153">
        <f>IF(D11="","-",+C58+1)</f>
        <v>2059</v>
      </c>
      <c r="D59" s="159">
        <f>IF(F58+SUM(E$17:E58)=D$10,F58,D$10-SUM(E$17:E58))</f>
        <v>720136.13159385975</v>
      </c>
      <c r="E59" s="160">
        <f>IF(+I14&lt;F58,I14,D59)</f>
        <v>369069.76744186046</v>
      </c>
      <c r="F59" s="159">
        <f t="shared" si="1"/>
        <v>351066.3641519993</v>
      </c>
      <c r="G59" s="161">
        <f t="shared" si="8"/>
        <v>422391.90984376793</v>
      </c>
      <c r="H59" s="142">
        <f t="shared" si="9"/>
        <v>422391.90984376793</v>
      </c>
      <c r="I59" s="156">
        <f t="shared" si="0"/>
        <v>0</v>
      </c>
      <c r="J59" s="156"/>
      <c r="K59" s="334"/>
      <c r="L59" s="158">
        <f t="shared" si="4"/>
        <v>0</v>
      </c>
      <c r="M59" s="334"/>
      <c r="N59" s="158">
        <f t="shared" si="5"/>
        <v>0</v>
      </c>
      <c r="O59" s="158">
        <f t="shared" si="6"/>
        <v>0</v>
      </c>
      <c r="P59" s="4"/>
    </row>
    <row r="60" spans="2:16">
      <c r="B60" s="9" t="str">
        <f t="shared" si="7"/>
        <v/>
      </c>
      <c r="C60" s="153">
        <f>IF(D11="","-",+C59+1)</f>
        <v>2060</v>
      </c>
      <c r="D60" s="159">
        <f>IF(F59+SUM(E$17:E59)=D$10,F59,D$10-SUM(E$17:E59))</f>
        <v>351066.3641519993</v>
      </c>
      <c r="E60" s="160">
        <f>IF(+I14&lt;F59,I14,D60)</f>
        <v>351066.3641519993</v>
      </c>
      <c r="F60" s="159">
        <f t="shared" si="1"/>
        <v>0</v>
      </c>
      <c r="G60" s="161">
        <f t="shared" si="8"/>
        <v>368541.68813245615</v>
      </c>
      <c r="H60" s="142">
        <f t="shared" si="9"/>
        <v>368541.68813245615</v>
      </c>
      <c r="I60" s="156">
        <f t="shared" si="0"/>
        <v>0</v>
      </c>
      <c r="J60" s="156"/>
      <c r="K60" s="334"/>
      <c r="L60" s="158">
        <f t="shared" si="4"/>
        <v>0</v>
      </c>
      <c r="M60" s="334"/>
      <c r="N60" s="158">
        <f t="shared" si="5"/>
        <v>0</v>
      </c>
      <c r="O60" s="158">
        <f t="shared" si="6"/>
        <v>0</v>
      </c>
      <c r="P60" s="4"/>
    </row>
    <row r="61" spans="2:16">
      <c r="B61" s="9" t="str">
        <f t="shared" si="7"/>
        <v/>
      </c>
      <c r="C61" s="153">
        <f>IF(D11="","-",+C60+1)</f>
        <v>2061</v>
      </c>
      <c r="D61" s="159">
        <f>IF(F60+SUM(E$17:E60)=D$10,F60,D$10-SUM(E$17:E60))</f>
        <v>0</v>
      </c>
      <c r="E61" s="160">
        <f>IF(+I14&lt;F60,I14,D61)</f>
        <v>0</v>
      </c>
      <c r="F61" s="159">
        <f t="shared" si="1"/>
        <v>0</v>
      </c>
      <c r="G61" s="163">
        <f t="shared" si="8"/>
        <v>0</v>
      </c>
      <c r="H61" s="142">
        <f t="shared" si="9"/>
        <v>0</v>
      </c>
      <c r="I61" s="156">
        <f t="shared" si="0"/>
        <v>0</v>
      </c>
      <c r="J61" s="156"/>
      <c r="K61" s="334"/>
      <c r="L61" s="158">
        <f t="shared" si="4"/>
        <v>0</v>
      </c>
      <c r="M61" s="334"/>
      <c r="N61" s="158">
        <f t="shared" si="5"/>
        <v>0</v>
      </c>
      <c r="O61" s="158">
        <f t="shared" si="6"/>
        <v>0</v>
      </c>
      <c r="P61" s="4"/>
    </row>
    <row r="62" spans="2:16">
      <c r="B62" s="9" t="str">
        <f t="shared" si="7"/>
        <v/>
      </c>
      <c r="C62" s="153">
        <f>IF(D11="","-",+C61+1)</f>
        <v>2062</v>
      </c>
      <c r="D62" s="159">
        <f>IF(F61+SUM(E$17:E61)=D$10,F61,D$10-SUM(E$17:E61))</f>
        <v>0</v>
      </c>
      <c r="E62" s="160">
        <f>IF(+I14&lt;F61,I14,D62)</f>
        <v>0</v>
      </c>
      <c r="F62" s="159">
        <f t="shared" si="1"/>
        <v>0</v>
      </c>
      <c r="G62" s="163">
        <f t="shared" si="8"/>
        <v>0</v>
      </c>
      <c r="H62" s="142">
        <f t="shared" si="9"/>
        <v>0</v>
      </c>
      <c r="I62" s="156">
        <f t="shared" si="0"/>
        <v>0</v>
      </c>
      <c r="J62" s="156"/>
      <c r="K62" s="334"/>
      <c r="L62" s="158">
        <f t="shared" si="4"/>
        <v>0</v>
      </c>
      <c r="M62" s="334"/>
      <c r="N62" s="158">
        <f t="shared" si="5"/>
        <v>0</v>
      </c>
      <c r="O62" s="158">
        <f t="shared" si="6"/>
        <v>0</v>
      </c>
      <c r="P62" s="4"/>
    </row>
    <row r="63" spans="2:16">
      <c r="B63" s="9" t="str">
        <f t="shared" si="7"/>
        <v/>
      </c>
      <c r="C63" s="153">
        <f>IF(D11="","-",+C62+1)</f>
        <v>2063</v>
      </c>
      <c r="D63" s="159">
        <f>IF(F62+SUM(E$17:E62)=D$10,F62,D$10-SUM(E$17:E62))</f>
        <v>0</v>
      </c>
      <c r="E63" s="160">
        <f>IF(+I14&lt;F62,I14,D63)</f>
        <v>0</v>
      </c>
      <c r="F63" s="159">
        <f t="shared" si="1"/>
        <v>0</v>
      </c>
      <c r="G63" s="163">
        <f t="shared" si="8"/>
        <v>0</v>
      </c>
      <c r="H63" s="142">
        <f t="shared" si="9"/>
        <v>0</v>
      </c>
      <c r="I63" s="156">
        <f t="shared" si="0"/>
        <v>0</v>
      </c>
      <c r="J63" s="156"/>
      <c r="K63" s="334"/>
      <c r="L63" s="158">
        <f t="shared" si="4"/>
        <v>0</v>
      </c>
      <c r="M63" s="334"/>
      <c r="N63" s="158">
        <f t="shared" si="5"/>
        <v>0</v>
      </c>
      <c r="O63" s="158">
        <f t="shared" si="6"/>
        <v>0</v>
      </c>
      <c r="P63" s="4"/>
    </row>
    <row r="64" spans="2:16">
      <c r="B64" s="9" t="str">
        <f t="shared" si="7"/>
        <v/>
      </c>
      <c r="C64" s="153">
        <f>IF(D11="","-",+C63+1)</f>
        <v>2064</v>
      </c>
      <c r="D64" s="159">
        <f>IF(F63+SUM(E$17:E63)=D$10,F63,D$10-SUM(E$17:E63))</f>
        <v>0</v>
      </c>
      <c r="E64" s="160">
        <f>IF(+I14&lt;F63,I14,D64)</f>
        <v>0</v>
      </c>
      <c r="F64" s="159">
        <f t="shared" si="1"/>
        <v>0</v>
      </c>
      <c r="G64" s="163">
        <f t="shared" si="8"/>
        <v>0</v>
      </c>
      <c r="H64" s="142">
        <f t="shared" si="9"/>
        <v>0</v>
      </c>
      <c r="I64" s="156">
        <f t="shared" si="0"/>
        <v>0</v>
      </c>
      <c r="J64" s="156"/>
      <c r="K64" s="334"/>
      <c r="L64" s="158">
        <f t="shared" si="4"/>
        <v>0</v>
      </c>
      <c r="M64" s="334"/>
      <c r="N64" s="158">
        <f t="shared" si="5"/>
        <v>0</v>
      </c>
      <c r="O64" s="158">
        <f t="shared" si="6"/>
        <v>0</v>
      </c>
      <c r="P64" s="4"/>
    </row>
    <row r="65" spans="2:16">
      <c r="B65" s="9" t="str">
        <f t="shared" si="7"/>
        <v/>
      </c>
      <c r="C65" s="153">
        <f>IF(D11="","-",+C64+1)</f>
        <v>2065</v>
      </c>
      <c r="D65" s="159">
        <f>IF(F64+SUM(E$17:E64)=D$10,F64,D$10-SUM(E$17:E64))</f>
        <v>0</v>
      </c>
      <c r="E65" s="160">
        <f>IF(+I14&lt;F64,I14,D65)</f>
        <v>0</v>
      </c>
      <c r="F65" s="159">
        <f t="shared" si="1"/>
        <v>0</v>
      </c>
      <c r="G65" s="163">
        <f t="shared" si="8"/>
        <v>0</v>
      </c>
      <c r="H65" s="142">
        <f t="shared" si="9"/>
        <v>0</v>
      </c>
      <c r="I65" s="156">
        <f t="shared" si="0"/>
        <v>0</v>
      </c>
      <c r="J65" s="156"/>
      <c r="K65" s="334"/>
      <c r="L65" s="158">
        <f t="shared" si="4"/>
        <v>0</v>
      </c>
      <c r="M65" s="334"/>
      <c r="N65" s="158">
        <f t="shared" si="5"/>
        <v>0</v>
      </c>
      <c r="O65" s="158">
        <f t="shared" si="6"/>
        <v>0</v>
      </c>
      <c r="P65" s="4"/>
    </row>
    <row r="66" spans="2:16">
      <c r="B66" s="9" t="str">
        <f t="shared" si="7"/>
        <v/>
      </c>
      <c r="C66" s="153">
        <f>IF(D11="","-",+C65+1)</f>
        <v>2066</v>
      </c>
      <c r="D66" s="159">
        <f>IF(F65+SUM(E$17:E65)=D$10,F65,D$10-SUM(E$17:E65))</f>
        <v>0</v>
      </c>
      <c r="E66" s="160">
        <f>IF(+I14&lt;F65,I14,D66)</f>
        <v>0</v>
      </c>
      <c r="F66" s="159">
        <f t="shared" si="1"/>
        <v>0</v>
      </c>
      <c r="G66" s="163">
        <f t="shared" si="8"/>
        <v>0</v>
      </c>
      <c r="H66" s="142">
        <f t="shared" si="9"/>
        <v>0</v>
      </c>
      <c r="I66" s="156">
        <f t="shared" si="0"/>
        <v>0</v>
      </c>
      <c r="J66" s="156"/>
      <c r="K66" s="334"/>
      <c r="L66" s="158">
        <f t="shared" si="4"/>
        <v>0</v>
      </c>
      <c r="M66" s="334"/>
      <c r="N66" s="158">
        <f t="shared" si="5"/>
        <v>0</v>
      </c>
      <c r="O66" s="158">
        <f t="shared" si="6"/>
        <v>0</v>
      </c>
      <c r="P66" s="4"/>
    </row>
    <row r="67" spans="2:16">
      <c r="B67" s="9" t="str">
        <f t="shared" si="7"/>
        <v/>
      </c>
      <c r="C67" s="153">
        <f>IF(D11="","-",+C66+1)</f>
        <v>2067</v>
      </c>
      <c r="D67" s="159">
        <f>IF(F66+SUM(E$17:E66)=D$10,F66,D$10-SUM(E$17:E66))</f>
        <v>0</v>
      </c>
      <c r="E67" s="160">
        <f>IF(+I14&lt;F66,I14,D67)</f>
        <v>0</v>
      </c>
      <c r="F67" s="159">
        <f t="shared" si="1"/>
        <v>0</v>
      </c>
      <c r="G67" s="163">
        <f t="shared" si="8"/>
        <v>0</v>
      </c>
      <c r="H67" s="142">
        <f t="shared" si="9"/>
        <v>0</v>
      </c>
      <c r="I67" s="156">
        <f t="shared" si="0"/>
        <v>0</v>
      </c>
      <c r="J67" s="156"/>
      <c r="K67" s="334"/>
      <c r="L67" s="158">
        <f t="shared" si="4"/>
        <v>0</v>
      </c>
      <c r="M67" s="334"/>
      <c r="N67" s="158">
        <f t="shared" si="5"/>
        <v>0</v>
      </c>
      <c r="O67" s="158">
        <f t="shared" si="6"/>
        <v>0</v>
      </c>
      <c r="P67" s="4"/>
    </row>
    <row r="68" spans="2:16">
      <c r="B68" s="9" t="str">
        <f t="shared" si="7"/>
        <v/>
      </c>
      <c r="C68" s="153">
        <f>IF(D11="","-",+C67+1)</f>
        <v>2068</v>
      </c>
      <c r="D68" s="159">
        <f>IF(F67+SUM(E$17:E67)=D$10,F67,D$10-SUM(E$17:E67))</f>
        <v>0</v>
      </c>
      <c r="E68" s="160">
        <f>IF(+I14&lt;F67,I14,D68)</f>
        <v>0</v>
      </c>
      <c r="F68" s="159">
        <f t="shared" si="1"/>
        <v>0</v>
      </c>
      <c r="G68" s="163">
        <f t="shared" si="8"/>
        <v>0</v>
      </c>
      <c r="H68" s="142">
        <f t="shared" si="9"/>
        <v>0</v>
      </c>
      <c r="I68" s="156">
        <f t="shared" si="0"/>
        <v>0</v>
      </c>
      <c r="J68" s="156"/>
      <c r="K68" s="334"/>
      <c r="L68" s="158">
        <f t="shared" si="4"/>
        <v>0</v>
      </c>
      <c r="M68" s="334"/>
      <c r="N68" s="158">
        <f t="shared" si="5"/>
        <v>0</v>
      </c>
      <c r="O68" s="158">
        <f t="shared" si="6"/>
        <v>0</v>
      </c>
      <c r="P68" s="4"/>
    </row>
    <row r="69" spans="2:16">
      <c r="B69" s="9" t="str">
        <f t="shared" si="7"/>
        <v/>
      </c>
      <c r="C69" s="153">
        <f>IF(D11="","-",+C68+1)</f>
        <v>2069</v>
      </c>
      <c r="D69" s="159">
        <f>IF(F68+SUM(E$17:E68)=D$10,F68,D$10-SUM(E$17:E68))</f>
        <v>0</v>
      </c>
      <c r="E69" s="160">
        <f>IF(+I14&lt;F68,I14,D69)</f>
        <v>0</v>
      </c>
      <c r="F69" s="159">
        <f t="shared" si="1"/>
        <v>0</v>
      </c>
      <c r="G69" s="163">
        <f t="shared" si="8"/>
        <v>0</v>
      </c>
      <c r="H69" s="142">
        <f t="shared" si="9"/>
        <v>0</v>
      </c>
      <c r="I69" s="156">
        <f t="shared" si="0"/>
        <v>0</v>
      </c>
      <c r="J69" s="156"/>
      <c r="K69" s="334"/>
      <c r="L69" s="158">
        <f t="shared" si="4"/>
        <v>0</v>
      </c>
      <c r="M69" s="334"/>
      <c r="N69" s="158">
        <f t="shared" si="5"/>
        <v>0</v>
      </c>
      <c r="O69" s="158">
        <f t="shared" si="6"/>
        <v>0</v>
      </c>
      <c r="P69" s="4"/>
    </row>
    <row r="70" spans="2:16">
      <c r="B70" s="9" t="str">
        <f t="shared" si="7"/>
        <v/>
      </c>
      <c r="C70" s="153">
        <f>IF(D11="","-",+C69+1)</f>
        <v>2070</v>
      </c>
      <c r="D70" s="159">
        <f>IF(F69+SUM(E$17:E69)=D$10,F69,D$10-SUM(E$17:E69))</f>
        <v>0</v>
      </c>
      <c r="E70" s="160">
        <f>IF(+I14&lt;F69,I14,D70)</f>
        <v>0</v>
      </c>
      <c r="F70" s="159">
        <f t="shared" si="1"/>
        <v>0</v>
      </c>
      <c r="G70" s="163">
        <f t="shared" si="8"/>
        <v>0</v>
      </c>
      <c r="H70" s="142">
        <f t="shared" si="9"/>
        <v>0</v>
      </c>
      <c r="I70" s="156">
        <f t="shared" si="0"/>
        <v>0</v>
      </c>
      <c r="J70" s="156"/>
      <c r="K70" s="334"/>
      <c r="L70" s="158">
        <f t="shared" si="4"/>
        <v>0</v>
      </c>
      <c r="M70" s="334"/>
      <c r="N70" s="158">
        <f t="shared" si="5"/>
        <v>0</v>
      </c>
      <c r="O70" s="158">
        <f t="shared" si="6"/>
        <v>0</v>
      </c>
      <c r="P70" s="4"/>
    </row>
    <row r="71" spans="2:16">
      <c r="B71" s="9" t="str">
        <f t="shared" si="7"/>
        <v/>
      </c>
      <c r="C71" s="153">
        <f>IF(D11="","-",+C70+1)</f>
        <v>2071</v>
      </c>
      <c r="D71" s="159">
        <f>IF(F70+SUM(E$17:E70)=D$10,F70,D$10-SUM(E$17:E70))</f>
        <v>0</v>
      </c>
      <c r="E71" s="160">
        <f>IF(+I14&lt;F70,I14,D71)</f>
        <v>0</v>
      </c>
      <c r="F71" s="159">
        <f t="shared" si="1"/>
        <v>0</v>
      </c>
      <c r="G71" s="163">
        <f t="shared" si="8"/>
        <v>0</v>
      </c>
      <c r="H71" s="142">
        <f t="shared" si="9"/>
        <v>0</v>
      </c>
      <c r="I71" s="156">
        <f t="shared" si="0"/>
        <v>0</v>
      </c>
      <c r="J71" s="156"/>
      <c r="K71" s="334"/>
      <c r="L71" s="158">
        <f t="shared" si="4"/>
        <v>0</v>
      </c>
      <c r="M71" s="334"/>
      <c r="N71" s="158">
        <f t="shared" si="5"/>
        <v>0</v>
      </c>
      <c r="O71" s="158">
        <f t="shared" si="6"/>
        <v>0</v>
      </c>
      <c r="P71" s="4"/>
    </row>
    <row r="72" spans="2:16" ht="13.5" thickBot="1">
      <c r="B72" s="9" t="str">
        <f t="shared" si="7"/>
        <v/>
      </c>
      <c r="C72" s="164">
        <f>IF(D11="","-",+C71+1)</f>
        <v>2072</v>
      </c>
      <c r="D72" s="165">
        <f>IF(F71+SUM(E$17:E71)=D$10,F71,D$10-SUM(E$17:E71))</f>
        <v>0</v>
      </c>
      <c r="E72" s="166">
        <f>IF(+I14&lt;F71,I14,D72)</f>
        <v>0</v>
      </c>
      <c r="F72" s="165">
        <f t="shared" si="1"/>
        <v>0</v>
      </c>
      <c r="G72" s="167">
        <f t="shared" si="8"/>
        <v>0</v>
      </c>
      <c r="H72" s="124">
        <f t="shared" si="9"/>
        <v>0</v>
      </c>
      <c r="I72" s="168">
        <f t="shared" si="0"/>
        <v>0</v>
      </c>
      <c r="J72" s="156"/>
      <c r="K72" s="335"/>
      <c r="L72" s="169">
        <f t="shared" si="4"/>
        <v>0</v>
      </c>
      <c r="M72" s="335"/>
      <c r="N72" s="169">
        <f t="shared" si="5"/>
        <v>0</v>
      </c>
      <c r="O72" s="169">
        <f t="shared" si="6"/>
        <v>0</v>
      </c>
      <c r="P72" s="4"/>
    </row>
    <row r="73" spans="2:16">
      <c r="C73" s="154" t="s">
        <v>73</v>
      </c>
      <c r="D73" s="111"/>
      <c r="E73" s="111">
        <f>SUM(E17:E72)</f>
        <v>15870000.000000002</v>
      </c>
      <c r="F73" s="111"/>
      <c r="G73" s="111">
        <f>SUM(G17:G72)</f>
        <v>50758343.570999831</v>
      </c>
      <c r="H73" s="111">
        <f>SUM(H17:H72)</f>
        <v>50758343.570999831</v>
      </c>
      <c r="I73" s="111">
        <f>SUM(I17:I72)</f>
        <v>0</v>
      </c>
      <c r="J73" s="111"/>
      <c r="K73" s="111"/>
      <c r="L73" s="111"/>
      <c r="M73" s="111"/>
      <c r="N73" s="111"/>
      <c r="O73" s="4"/>
      <c r="P73" s="4"/>
    </row>
    <row r="74" spans="2:16">
      <c r="D74" s="2"/>
      <c r="E74" s="1"/>
      <c r="F74" s="1"/>
      <c r="G74" s="1"/>
      <c r="H74" s="3"/>
      <c r="I74" s="3"/>
      <c r="J74" s="111"/>
      <c r="K74" s="3"/>
      <c r="L74" s="3"/>
      <c r="M74" s="3"/>
      <c r="N74" s="3"/>
      <c r="O74" s="1"/>
      <c r="P74" s="1"/>
    </row>
    <row r="75" spans="2:16">
      <c r="C75" s="170" t="s">
        <v>91</v>
      </c>
      <c r="D75" s="2"/>
      <c r="E75" s="1"/>
      <c r="F75" s="1"/>
      <c r="G75" s="1"/>
      <c r="H75" s="3"/>
      <c r="I75" s="3"/>
      <c r="J75" s="111"/>
      <c r="K75" s="3"/>
      <c r="L75" s="3"/>
      <c r="M75" s="3"/>
      <c r="N75" s="3"/>
      <c r="O75" s="1"/>
      <c r="P75" s="1"/>
    </row>
    <row r="76" spans="2:16">
      <c r="C76" s="121" t="s">
        <v>74</v>
      </c>
      <c r="D76" s="2"/>
      <c r="E76" s="1"/>
      <c r="F76" s="1"/>
      <c r="G76" s="1"/>
      <c r="H76" s="3"/>
      <c r="I76" s="3"/>
      <c r="J76" s="111"/>
      <c r="K76" s="3"/>
      <c r="L76" s="3"/>
      <c r="M76" s="3"/>
      <c r="N76" s="3"/>
      <c r="O76" s="4"/>
      <c r="P76" s="4"/>
    </row>
    <row r="77" spans="2:16">
      <c r="C77" s="121" t="s">
        <v>75</v>
      </c>
      <c r="D77" s="154"/>
      <c r="E77" s="154"/>
      <c r="F77" s="154"/>
      <c r="G77" s="111"/>
      <c r="H77" s="111"/>
      <c r="I77" s="171"/>
      <c r="J77" s="171"/>
      <c r="K77" s="171"/>
      <c r="L77" s="171"/>
      <c r="M77" s="171"/>
      <c r="N77" s="171"/>
      <c r="O77" s="4"/>
      <c r="P77" s="4"/>
    </row>
    <row r="78" spans="2:16">
      <c r="C78" s="121"/>
      <c r="D78" s="154"/>
      <c r="E78" s="154"/>
      <c r="F78" s="154"/>
      <c r="G78" s="111"/>
      <c r="H78" s="111"/>
      <c r="I78" s="171"/>
      <c r="J78" s="171"/>
      <c r="K78" s="171"/>
      <c r="L78" s="171"/>
      <c r="M78" s="171"/>
      <c r="N78" s="171"/>
      <c r="O78" s="4"/>
      <c r="P78" s="1"/>
    </row>
    <row r="79" spans="2:16">
      <c r="B79" s="1"/>
      <c r="C79" s="21"/>
      <c r="D79" s="2"/>
      <c r="E79" s="1"/>
      <c r="F79" s="107"/>
      <c r="G79" s="1"/>
      <c r="H79" s="3"/>
      <c r="I79" s="1"/>
      <c r="J79" s="4"/>
      <c r="K79" s="1"/>
      <c r="L79" s="1"/>
      <c r="M79" s="1"/>
      <c r="N79" s="1"/>
      <c r="O79" s="1"/>
      <c r="P79" s="1"/>
    </row>
    <row r="80" spans="2:16" ht="18">
      <c r="B80" s="1"/>
      <c r="C80" s="242"/>
      <c r="D80" s="2"/>
      <c r="E80" s="1"/>
      <c r="F80" s="107"/>
      <c r="G80" s="1"/>
      <c r="H80" s="3"/>
      <c r="I80" s="1"/>
      <c r="J80" s="4"/>
      <c r="K80" s="1"/>
      <c r="L80" s="1"/>
      <c r="M80" s="1"/>
      <c r="N80" s="1"/>
      <c r="P80" s="244" t="s">
        <v>125</v>
      </c>
    </row>
    <row r="81" spans="1:16">
      <c r="B81" s="1"/>
      <c r="C81" s="21"/>
      <c r="D81" s="2"/>
      <c r="E81" s="1"/>
      <c r="F81" s="107"/>
      <c r="G81" s="1"/>
      <c r="H81" s="3"/>
      <c r="I81" s="1"/>
      <c r="J81" s="4"/>
      <c r="K81" s="1"/>
      <c r="L81" s="1"/>
      <c r="M81" s="1"/>
      <c r="N81" s="1"/>
      <c r="O81" s="1"/>
      <c r="P81" s="1"/>
    </row>
    <row r="82" spans="1:16">
      <c r="B82" s="1"/>
      <c r="C82" s="21"/>
      <c r="D82" s="2"/>
      <c r="E82" s="1"/>
      <c r="F82" s="107"/>
      <c r="G82" s="1"/>
      <c r="H82" s="3"/>
      <c r="I82" s="1"/>
      <c r="J82" s="4"/>
      <c r="K82" s="1"/>
      <c r="L82" s="1"/>
      <c r="M82" s="1"/>
      <c r="N82" s="1"/>
      <c r="O82" s="1"/>
      <c r="P82" s="1"/>
    </row>
    <row r="83" spans="1:16" ht="20.25">
      <c r="A83" s="243" t="s">
        <v>129</v>
      </c>
      <c r="B83" s="1"/>
      <c r="C83" s="21"/>
      <c r="D83" s="2"/>
      <c r="E83" s="1"/>
      <c r="F83" s="99"/>
      <c r="G83" s="99"/>
      <c r="H83" s="1"/>
      <c r="I83" s="3"/>
      <c r="K83" s="7"/>
      <c r="L83" s="109"/>
      <c r="M83" s="109"/>
      <c r="P83" s="109" t="str">
        <f ca="1">P1</f>
        <v>SWEPCO Project 64 of 73</v>
      </c>
    </row>
    <row r="84" spans="1:16" ht="18">
      <c r="B84" s="1"/>
      <c r="C84" s="1"/>
      <c r="D84" s="2"/>
      <c r="E84" s="1"/>
      <c r="F84" s="1"/>
      <c r="G84" s="1"/>
      <c r="H84" s="1"/>
      <c r="I84" s="3"/>
      <c r="J84" s="1"/>
      <c r="K84" s="4"/>
      <c r="L84" s="1"/>
      <c r="M84" s="1"/>
      <c r="P84" s="244" t="s">
        <v>123</v>
      </c>
    </row>
    <row r="85" spans="1:16" ht="18.75" thickBot="1">
      <c r="B85" s="5" t="s">
        <v>40</v>
      </c>
      <c r="C85" s="197" t="s">
        <v>78</v>
      </c>
      <c r="D85" s="2"/>
      <c r="E85" s="1"/>
      <c r="F85" s="1"/>
      <c r="G85" s="1"/>
      <c r="H85" s="1"/>
      <c r="I85" s="3"/>
      <c r="J85" s="3"/>
      <c r="K85" s="111"/>
      <c r="L85" s="3"/>
      <c r="M85" s="3"/>
      <c r="N85" s="3"/>
      <c r="O85" s="111"/>
      <c r="P85" s="1"/>
    </row>
    <row r="86" spans="1:16" ht="15.75" thickBot="1">
      <c r="C86" s="67"/>
      <c r="D86" s="2"/>
      <c r="E86" s="1"/>
      <c r="F86" s="1"/>
      <c r="G86" s="1"/>
      <c r="H86" s="1"/>
      <c r="I86" s="3"/>
      <c r="J86" s="3"/>
      <c r="K86" s="111"/>
      <c r="L86" s="265">
        <f>+J92</f>
        <v>2017</v>
      </c>
      <c r="M86" s="266" t="s">
        <v>7</v>
      </c>
      <c r="N86" s="270" t="s">
        <v>154</v>
      </c>
      <c r="O86" s="267" t="s">
        <v>9</v>
      </c>
      <c r="P86" s="1"/>
    </row>
    <row r="87" spans="1:16" ht="15">
      <c r="C87" s="235" t="s">
        <v>42</v>
      </c>
      <c r="D87" s="2"/>
      <c r="E87" s="1"/>
      <c r="F87" s="1"/>
      <c r="G87" s="1"/>
      <c r="H87" s="113"/>
      <c r="I87" s="1" t="s">
        <v>43</v>
      </c>
      <c r="J87" s="1"/>
      <c r="K87" s="261"/>
      <c r="L87" s="259" t="s">
        <v>381</v>
      </c>
      <c r="M87" s="198">
        <f>IF(J92&lt;D11,0,VLOOKUP(J92,C17:O72,9))</f>
        <v>801460.7999645879</v>
      </c>
      <c r="N87" s="198">
        <f>IF(J92&lt;D11,0,VLOOKUP(J92,C17:O72,11))</f>
        <v>801460.7999645879</v>
      </c>
      <c r="O87" s="199">
        <f>+N87-M87</f>
        <v>0</v>
      </c>
      <c r="P87" s="1"/>
    </row>
    <row r="88" spans="1:16" ht="15.75">
      <c r="C88" s="8"/>
      <c r="D88" s="2"/>
      <c r="E88" s="1"/>
      <c r="F88" s="1"/>
      <c r="G88" s="1"/>
      <c r="H88" s="1"/>
      <c r="I88" s="117"/>
      <c r="J88" s="117"/>
      <c r="K88" s="263"/>
      <c r="L88" s="264" t="s">
        <v>382</v>
      </c>
      <c r="M88" s="200">
        <f>IF(J92&lt;D11,0,VLOOKUP(J92,C99:P154,6))</f>
        <v>1229377.3244778609</v>
      </c>
      <c r="N88" s="200">
        <f>IF(J92&lt;D11,0,VLOOKUP(J92,C99:P154,7))</f>
        <v>1229377.3244778609</v>
      </c>
      <c r="O88" s="201">
        <f>+N88-M88</f>
        <v>0</v>
      </c>
      <c r="P88" s="1"/>
    </row>
    <row r="89" spans="1:16" ht="13.5" thickBot="1">
      <c r="C89" s="121" t="s">
        <v>79</v>
      </c>
      <c r="D89" s="246" t="str">
        <f>+D7</f>
        <v>Hallsville - Marshall New 69 kV Circuit</v>
      </c>
      <c r="E89" s="1"/>
      <c r="F89" s="1"/>
      <c r="G89" s="1"/>
      <c r="H89" s="1"/>
      <c r="I89" s="3"/>
      <c r="J89" s="3"/>
      <c r="K89" s="262"/>
      <c r="L89" s="260" t="s">
        <v>151</v>
      </c>
      <c r="M89" s="203">
        <f>+M88-M87</f>
        <v>427916.52451327303</v>
      </c>
      <c r="N89" s="203">
        <f>+N88-N87</f>
        <v>427916.52451327303</v>
      </c>
      <c r="O89" s="204">
        <f>+O88-O87</f>
        <v>0</v>
      </c>
      <c r="P89" s="1"/>
    </row>
    <row r="90" spans="1:16" ht="13.5" thickBot="1">
      <c r="C90" s="170"/>
      <c r="D90" s="173" t="str">
        <f>D8</f>
        <v/>
      </c>
      <c r="E90" s="107"/>
      <c r="F90" s="107"/>
      <c r="G90" s="107"/>
      <c r="H90" s="126"/>
      <c r="I90" s="3"/>
      <c r="J90" s="3"/>
      <c r="K90" s="111"/>
      <c r="L90" s="3"/>
      <c r="M90" s="3"/>
      <c r="N90" s="3"/>
      <c r="O90" s="111"/>
      <c r="P90" s="1"/>
    </row>
    <row r="91" spans="1:16" ht="13.5" thickBot="1">
      <c r="A91" s="103"/>
      <c r="C91" s="205" t="s">
        <v>80</v>
      </c>
      <c r="D91" s="224" t="str">
        <f>+D9</f>
        <v>TP______</v>
      </c>
      <c r="E91" s="206"/>
      <c r="F91" s="206"/>
      <c r="G91" s="206"/>
      <c r="H91" s="206"/>
      <c r="I91" s="206"/>
      <c r="J91" s="206"/>
      <c r="K91" s="207"/>
      <c r="P91" s="131"/>
    </row>
    <row r="92" spans="1:16">
      <c r="C92" s="136" t="s">
        <v>47</v>
      </c>
      <c r="D92" s="218">
        <v>17094285</v>
      </c>
      <c r="E92" s="21" t="s">
        <v>81</v>
      </c>
      <c r="H92" s="134"/>
      <c r="I92" s="134"/>
      <c r="J92" s="135">
        <f>+'SWE.WS.G.BPU.ATRR.True-up'!M15</f>
        <v>2017</v>
      </c>
      <c r="K92" s="130"/>
      <c r="L92" s="111" t="s">
        <v>82</v>
      </c>
      <c r="P92" s="4"/>
    </row>
    <row r="93" spans="1:16">
      <c r="C93" s="136" t="s">
        <v>49</v>
      </c>
      <c r="D93" s="219">
        <f>IF(D11=I10,"",D11)</f>
        <v>2017</v>
      </c>
      <c r="E93" s="136" t="s">
        <v>50</v>
      </c>
      <c r="F93" s="134"/>
      <c r="G93" s="134"/>
      <c r="J93" s="138">
        <f>IF(H87="",0,'SWE.WS.G.BPU.ATRR.True-up'!$F$12)</f>
        <v>0</v>
      </c>
      <c r="K93" s="139"/>
      <c r="L93" t="str">
        <f>"          INPUT TRUE-UP ARR (WITH &amp; WITHOUT INCENTIVES) FROM EACH PRIOR YEAR"</f>
        <v xml:space="preserve">          INPUT TRUE-UP ARR (WITH &amp; WITHOUT INCENTIVES) FROM EACH PRIOR YEAR</v>
      </c>
      <c r="P93" s="4"/>
    </row>
    <row r="94" spans="1:16">
      <c r="C94" s="136" t="s">
        <v>51</v>
      </c>
      <c r="D94" s="218">
        <f>IF(D11=I10,"",D12)</f>
        <v>6</v>
      </c>
      <c r="E94" s="136" t="s">
        <v>52</v>
      </c>
      <c r="F94" s="134"/>
      <c r="G94" s="134"/>
      <c r="J94" s="140">
        <f>'SWE.WS.G.BPU.ATRR.True-up'!$F$80</f>
        <v>0.12147145768398206</v>
      </c>
      <c r="K94" s="141"/>
      <c r="L94" t="s">
        <v>83</v>
      </c>
      <c r="P94" s="4"/>
    </row>
    <row r="95" spans="1:16">
      <c r="C95" s="136" t="s">
        <v>54</v>
      </c>
      <c r="D95" s="138">
        <f>'SWE.WS.G.BPU.ATRR.True-up'!F$92</f>
        <v>42</v>
      </c>
      <c r="E95" s="136" t="s">
        <v>55</v>
      </c>
      <c r="F95" s="134"/>
      <c r="G95" s="134"/>
      <c r="J95" s="140">
        <f>IF(H87="",J94,'SWE.WS.G.BPU.ATRR.True-up'!$F$79)</f>
        <v>0.12147145768398206</v>
      </c>
      <c r="K95" s="58"/>
      <c r="L95" s="111" t="s">
        <v>56</v>
      </c>
      <c r="M95" s="58"/>
      <c r="N95" s="58"/>
      <c r="O95" s="58"/>
      <c r="P95" s="4"/>
    </row>
    <row r="96" spans="1:16" ht="13.5" thickBot="1">
      <c r="C96" s="136" t="s">
        <v>57</v>
      </c>
      <c r="D96" s="220" t="str">
        <f>+D14</f>
        <v>No</v>
      </c>
      <c r="E96" s="202" t="s">
        <v>59</v>
      </c>
      <c r="F96" s="208"/>
      <c r="G96" s="208"/>
      <c r="H96" s="209"/>
      <c r="I96" s="209"/>
      <c r="J96" s="124">
        <f>IF(D92=0,0,D92/D95)</f>
        <v>407006.78571428574</v>
      </c>
      <c r="K96" s="111"/>
      <c r="L96" s="111"/>
      <c r="M96" s="111"/>
      <c r="N96" s="111"/>
      <c r="O96" s="111"/>
      <c r="P96" s="4"/>
    </row>
    <row r="97" spans="1:16" ht="38.25">
      <c r="A97" s="6"/>
      <c r="B97" s="6"/>
      <c r="C97" s="210" t="s">
        <v>47</v>
      </c>
      <c r="D97" s="211" t="s">
        <v>60</v>
      </c>
      <c r="E97" s="146" t="s">
        <v>61</v>
      </c>
      <c r="F97" s="146" t="s">
        <v>62</v>
      </c>
      <c r="G97" s="144" t="s">
        <v>84</v>
      </c>
      <c r="H97" s="434" t="s">
        <v>378</v>
      </c>
      <c r="I97" s="435" t="s">
        <v>379</v>
      </c>
      <c r="J97" s="210" t="s">
        <v>85</v>
      </c>
      <c r="K97" s="212"/>
      <c r="L97" s="271" t="s">
        <v>220</v>
      </c>
      <c r="M97" s="146" t="s">
        <v>86</v>
      </c>
      <c r="N97" s="271" t="s">
        <v>220</v>
      </c>
      <c r="O97" s="146" t="s">
        <v>86</v>
      </c>
      <c r="P97" s="146" t="s">
        <v>65</v>
      </c>
    </row>
    <row r="98" spans="1:16" ht="13.5" thickBot="1">
      <c r="C98" s="147" t="s">
        <v>66</v>
      </c>
      <c r="D98" s="213" t="s">
        <v>67</v>
      </c>
      <c r="E98" s="147" t="s">
        <v>68</v>
      </c>
      <c r="F98" s="147" t="s">
        <v>67</v>
      </c>
      <c r="G98" s="147" t="s">
        <v>67</v>
      </c>
      <c r="H98" s="255" t="s">
        <v>69</v>
      </c>
      <c r="I98" s="148" t="s">
        <v>70</v>
      </c>
      <c r="J98" s="149" t="s">
        <v>89</v>
      </c>
      <c r="K98" s="150"/>
      <c r="L98" s="151" t="s">
        <v>72</v>
      </c>
      <c r="M98" s="151" t="s">
        <v>72</v>
      </c>
      <c r="N98" s="151" t="s">
        <v>90</v>
      </c>
      <c r="O98" s="151" t="s">
        <v>90</v>
      </c>
      <c r="P98" s="151" t="s">
        <v>90</v>
      </c>
    </row>
    <row r="99" spans="1:16">
      <c r="C99" s="153">
        <f>IF(D93= "","-",D93)</f>
        <v>2017</v>
      </c>
      <c r="D99" s="154">
        <f>IF(D93=C99,0,D92)</f>
        <v>0</v>
      </c>
      <c r="E99" s="161">
        <f>IF(D11=I10,0,J96/12*(12-D94))</f>
        <v>203503.39285714287</v>
      </c>
      <c r="F99" s="159">
        <f>IF(D93=C99,+D92-E99,+D99-E99)</f>
        <v>16890781.607142858</v>
      </c>
      <c r="G99" s="214">
        <f t="shared" ref="G99:G130" si="10">+(F99+D99)/2</f>
        <v>8445390.8035714291</v>
      </c>
      <c r="H99" s="251">
        <f>+J94*G99+E99</f>
        <v>1229377.3244778609</v>
      </c>
      <c r="I99" s="252">
        <f>+J95*G99+E99</f>
        <v>1229377.3244778609</v>
      </c>
      <c r="J99" s="158">
        <f t="shared" ref="J99:J130" si="11">+I99-H99</f>
        <v>0</v>
      </c>
      <c r="K99" s="158"/>
      <c r="L99" s="333"/>
      <c r="M99" s="157">
        <f t="shared" ref="M99:M130" si="12">IF(L99&lt;&gt;0,+H99-L99,0)</f>
        <v>0</v>
      </c>
      <c r="N99" s="333"/>
      <c r="O99" s="157">
        <f t="shared" ref="O99:O130" si="13">IF(N99&lt;&gt;0,+I99-N99,0)</f>
        <v>0</v>
      </c>
      <c r="P99" s="157">
        <f t="shared" ref="P99:P130" si="14">+O99-M99</f>
        <v>0</v>
      </c>
    </row>
    <row r="100" spans="1:16">
      <c r="B100" s="9" t="str">
        <f>IF(D100=F99,"","IU")</f>
        <v/>
      </c>
      <c r="C100" s="153">
        <f>IF(D93="","-",+C99+1)</f>
        <v>2018</v>
      </c>
      <c r="D100" s="154">
        <f>IF(F99+SUM(E$99:E99)=D$92,F99,D$92-SUM(E$99:E99))</f>
        <v>16890781.607142858</v>
      </c>
      <c r="E100" s="160">
        <f>IF(+J96&lt;F99,J96,D100)</f>
        <v>407006.78571428574</v>
      </c>
      <c r="F100" s="159">
        <f t="shared" ref="F100:F130" si="15">+D100-E100</f>
        <v>16483774.821428573</v>
      </c>
      <c r="G100" s="159">
        <f t="shared" si="10"/>
        <v>16687278.214285716</v>
      </c>
      <c r="H100" s="163">
        <f t="shared" ref="H100:H154" si="16">+J$94*G100+E100</f>
        <v>2434034.7951817289</v>
      </c>
      <c r="I100" s="253">
        <f t="shared" ref="I100:I154" si="17">+J$95*G100+E100</f>
        <v>2434034.7951817289</v>
      </c>
      <c r="J100" s="158">
        <f t="shared" si="11"/>
        <v>0</v>
      </c>
      <c r="K100" s="158"/>
      <c r="L100" s="334"/>
      <c r="M100" s="158">
        <f t="shared" si="12"/>
        <v>0</v>
      </c>
      <c r="N100" s="334"/>
      <c r="O100" s="158">
        <f t="shared" si="13"/>
        <v>0</v>
      </c>
      <c r="P100" s="158">
        <f t="shared" si="14"/>
        <v>0</v>
      </c>
    </row>
    <row r="101" spans="1:16">
      <c r="B101" s="9" t="str">
        <f t="shared" ref="B101:B154" si="18">IF(D101=F100,"","IU")</f>
        <v/>
      </c>
      <c r="C101" s="153">
        <f>IF(D93="","-",+C100+1)</f>
        <v>2019</v>
      </c>
      <c r="D101" s="154">
        <f>IF(F100+SUM(E$99:E100)=D$92,F100,D$92-SUM(E$99:E100))</f>
        <v>16483774.821428573</v>
      </c>
      <c r="E101" s="160">
        <f>IF(+J96&lt;F100,J96,D101)</f>
        <v>407006.78571428574</v>
      </c>
      <c r="F101" s="159">
        <f t="shared" si="15"/>
        <v>16076768.035714287</v>
      </c>
      <c r="G101" s="159">
        <f t="shared" si="10"/>
        <v>16280271.428571429</v>
      </c>
      <c r="H101" s="163">
        <f t="shared" si="16"/>
        <v>2384595.087633742</v>
      </c>
      <c r="I101" s="253">
        <f t="shared" si="17"/>
        <v>2384595.087633742</v>
      </c>
      <c r="J101" s="158">
        <f t="shared" si="11"/>
        <v>0</v>
      </c>
      <c r="K101" s="158"/>
      <c r="L101" s="334"/>
      <c r="M101" s="158">
        <f t="shared" si="12"/>
        <v>0</v>
      </c>
      <c r="N101" s="334"/>
      <c r="O101" s="158">
        <f t="shared" si="13"/>
        <v>0</v>
      </c>
      <c r="P101" s="158">
        <f t="shared" si="14"/>
        <v>0</v>
      </c>
    </row>
    <row r="102" spans="1:16">
      <c r="B102" s="9" t="str">
        <f t="shared" si="18"/>
        <v/>
      </c>
      <c r="C102" s="153">
        <f>IF(D93="","-",+C101+1)</f>
        <v>2020</v>
      </c>
      <c r="D102" s="154">
        <f>IF(F101+SUM(E$99:E101)=D$92,F101,D$92-SUM(E$99:E101))</f>
        <v>16076768.035714287</v>
      </c>
      <c r="E102" s="160">
        <f>IF(+J96&lt;F101,J96,D102)</f>
        <v>407006.78571428574</v>
      </c>
      <c r="F102" s="159">
        <f t="shared" si="15"/>
        <v>15669761.250000002</v>
      </c>
      <c r="G102" s="159">
        <f t="shared" si="10"/>
        <v>15873264.642857146</v>
      </c>
      <c r="H102" s="163">
        <f t="shared" si="16"/>
        <v>2335155.3800857561</v>
      </c>
      <c r="I102" s="253">
        <f t="shared" si="17"/>
        <v>2335155.3800857561</v>
      </c>
      <c r="J102" s="158">
        <f t="shared" si="11"/>
        <v>0</v>
      </c>
      <c r="K102" s="158"/>
      <c r="L102" s="334"/>
      <c r="M102" s="158">
        <f t="shared" si="12"/>
        <v>0</v>
      </c>
      <c r="N102" s="334"/>
      <c r="O102" s="158">
        <f t="shared" si="13"/>
        <v>0</v>
      </c>
      <c r="P102" s="158">
        <f t="shared" si="14"/>
        <v>0</v>
      </c>
    </row>
    <row r="103" spans="1:16">
      <c r="B103" s="9" t="str">
        <f t="shared" si="18"/>
        <v/>
      </c>
      <c r="C103" s="153">
        <f>IF(D93="","-",+C102+1)</f>
        <v>2021</v>
      </c>
      <c r="D103" s="154">
        <f>IF(F102+SUM(E$99:E102)=D$92,F102,D$92-SUM(E$99:E102))</f>
        <v>15669761.250000002</v>
      </c>
      <c r="E103" s="160">
        <f>IF(+J96&lt;F102,J96,D103)</f>
        <v>407006.78571428574</v>
      </c>
      <c r="F103" s="159">
        <f t="shared" si="15"/>
        <v>15262754.464285716</v>
      </c>
      <c r="G103" s="159">
        <f t="shared" si="10"/>
        <v>15466257.857142858</v>
      </c>
      <c r="H103" s="163">
        <f t="shared" si="16"/>
        <v>2285715.6725377697</v>
      </c>
      <c r="I103" s="253">
        <f t="shared" si="17"/>
        <v>2285715.6725377697</v>
      </c>
      <c r="J103" s="158">
        <f t="shared" si="11"/>
        <v>0</v>
      </c>
      <c r="K103" s="158"/>
      <c r="L103" s="334"/>
      <c r="M103" s="158">
        <f t="shared" si="12"/>
        <v>0</v>
      </c>
      <c r="N103" s="334"/>
      <c r="O103" s="158">
        <f t="shared" si="13"/>
        <v>0</v>
      </c>
      <c r="P103" s="158">
        <f t="shared" si="14"/>
        <v>0</v>
      </c>
    </row>
    <row r="104" spans="1:16">
      <c r="B104" s="9" t="str">
        <f t="shared" si="18"/>
        <v/>
      </c>
      <c r="C104" s="153">
        <f>IF(D93="","-",+C103+1)</f>
        <v>2022</v>
      </c>
      <c r="D104" s="154">
        <f>IF(F103+SUM(E$99:E103)=D$92,F103,D$92-SUM(E$99:E103))</f>
        <v>15262754.464285716</v>
      </c>
      <c r="E104" s="160">
        <f>IF(+J96&lt;F103,J96,D104)</f>
        <v>407006.78571428574</v>
      </c>
      <c r="F104" s="159">
        <f t="shared" si="15"/>
        <v>14855747.678571431</v>
      </c>
      <c r="G104" s="159">
        <f t="shared" si="10"/>
        <v>15059251.071428575</v>
      </c>
      <c r="H104" s="163">
        <f t="shared" si="16"/>
        <v>2236275.9649897832</v>
      </c>
      <c r="I104" s="253">
        <f t="shared" si="17"/>
        <v>2236275.9649897832</v>
      </c>
      <c r="J104" s="158">
        <f t="shared" si="11"/>
        <v>0</v>
      </c>
      <c r="K104" s="158"/>
      <c r="L104" s="334"/>
      <c r="M104" s="158">
        <f t="shared" si="12"/>
        <v>0</v>
      </c>
      <c r="N104" s="334"/>
      <c r="O104" s="158">
        <f t="shared" si="13"/>
        <v>0</v>
      </c>
      <c r="P104" s="158">
        <f t="shared" si="14"/>
        <v>0</v>
      </c>
    </row>
    <row r="105" spans="1:16">
      <c r="B105" s="9" t="str">
        <f t="shared" si="18"/>
        <v/>
      </c>
      <c r="C105" s="153">
        <f>IF(D93="","-",+C104+1)</f>
        <v>2023</v>
      </c>
      <c r="D105" s="154">
        <f>IF(F104+SUM(E$99:E104)=D$92,F104,D$92-SUM(E$99:E104))</f>
        <v>14855747.678571431</v>
      </c>
      <c r="E105" s="160">
        <f>IF(+J96&lt;F104,J96,D105)</f>
        <v>407006.78571428574</v>
      </c>
      <c r="F105" s="159">
        <f t="shared" si="15"/>
        <v>14448740.892857146</v>
      </c>
      <c r="G105" s="159">
        <f t="shared" si="10"/>
        <v>14652244.285714287</v>
      </c>
      <c r="H105" s="163">
        <f t="shared" si="16"/>
        <v>2186836.2574417968</v>
      </c>
      <c r="I105" s="253">
        <f t="shared" si="17"/>
        <v>2186836.2574417968</v>
      </c>
      <c r="J105" s="158">
        <f t="shared" si="11"/>
        <v>0</v>
      </c>
      <c r="K105" s="158"/>
      <c r="L105" s="334"/>
      <c r="M105" s="158">
        <f t="shared" si="12"/>
        <v>0</v>
      </c>
      <c r="N105" s="334"/>
      <c r="O105" s="158">
        <f t="shared" si="13"/>
        <v>0</v>
      </c>
      <c r="P105" s="158">
        <f t="shared" si="14"/>
        <v>0</v>
      </c>
    </row>
    <row r="106" spans="1:16">
      <c r="B106" s="9" t="str">
        <f t="shared" si="18"/>
        <v/>
      </c>
      <c r="C106" s="153">
        <f>IF(D93="","-",+C105+1)</f>
        <v>2024</v>
      </c>
      <c r="D106" s="154">
        <f>IF(F105+SUM(E$99:E105)=D$92,F105,D$92-SUM(E$99:E105))</f>
        <v>14448740.892857146</v>
      </c>
      <c r="E106" s="160">
        <f>IF(+J96&lt;F105,J96,D106)</f>
        <v>407006.78571428574</v>
      </c>
      <c r="F106" s="159">
        <f t="shared" si="15"/>
        <v>14041734.10714286</v>
      </c>
      <c r="G106" s="159">
        <f t="shared" si="10"/>
        <v>14245237.500000004</v>
      </c>
      <c r="H106" s="163">
        <f t="shared" si="16"/>
        <v>2137396.5498938104</v>
      </c>
      <c r="I106" s="253">
        <f t="shared" si="17"/>
        <v>2137396.5498938104</v>
      </c>
      <c r="J106" s="158">
        <f t="shared" si="11"/>
        <v>0</v>
      </c>
      <c r="K106" s="158"/>
      <c r="L106" s="334"/>
      <c r="M106" s="158">
        <f t="shared" si="12"/>
        <v>0</v>
      </c>
      <c r="N106" s="334"/>
      <c r="O106" s="158">
        <f t="shared" si="13"/>
        <v>0</v>
      </c>
      <c r="P106" s="158">
        <f t="shared" si="14"/>
        <v>0</v>
      </c>
    </row>
    <row r="107" spans="1:16">
      <c r="B107" s="9" t="str">
        <f t="shared" si="18"/>
        <v/>
      </c>
      <c r="C107" s="153">
        <f>IF(D93="","-",+C106+1)</f>
        <v>2025</v>
      </c>
      <c r="D107" s="154">
        <f>IF(F106+SUM(E$99:E106)=D$92,F106,D$92-SUM(E$99:E106))</f>
        <v>14041734.10714286</v>
      </c>
      <c r="E107" s="160">
        <f>IF(+J96&lt;F106,J96,D107)</f>
        <v>407006.78571428574</v>
      </c>
      <c r="F107" s="159">
        <f t="shared" si="15"/>
        <v>13634727.321428575</v>
      </c>
      <c r="G107" s="159">
        <f t="shared" si="10"/>
        <v>13838230.714285716</v>
      </c>
      <c r="H107" s="163">
        <f t="shared" si="16"/>
        <v>2087956.8423458238</v>
      </c>
      <c r="I107" s="253">
        <f t="shared" si="17"/>
        <v>2087956.8423458238</v>
      </c>
      <c r="J107" s="158">
        <f t="shared" si="11"/>
        <v>0</v>
      </c>
      <c r="K107" s="158"/>
      <c r="L107" s="334"/>
      <c r="M107" s="158">
        <f t="shared" si="12"/>
        <v>0</v>
      </c>
      <c r="N107" s="334"/>
      <c r="O107" s="158">
        <f t="shared" si="13"/>
        <v>0</v>
      </c>
      <c r="P107" s="158">
        <f t="shared" si="14"/>
        <v>0</v>
      </c>
    </row>
    <row r="108" spans="1:16">
      <c r="B108" s="9" t="str">
        <f t="shared" si="18"/>
        <v/>
      </c>
      <c r="C108" s="153">
        <f>IF(D93="","-",+C107+1)</f>
        <v>2026</v>
      </c>
      <c r="D108" s="154">
        <f>IF(F107+SUM(E$99:E107)=D$92,F107,D$92-SUM(E$99:E107))</f>
        <v>13634727.321428575</v>
      </c>
      <c r="E108" s="160">
        <f>IF(+J96&lt;F107,J96,D108)</f>
        <v>407006.78571428574</v>
      </c>
      <c r="F108" s="159">
        <f t="shared" si="15"/>
        <v>13227720.535714289</v>
      </c>
      <c r="G108" s="159">
        <f t="shared" si="10"/>
        <v>13431223.928571433</v>
      </c>
      <c r="H108" s="163">
        <f t="shared" si="16"/>
        <v>2038517.1347978378</v>
      </c>
      <c r="I108" s="253">
        <f t="shared" si="17"/>
        <v>2038517.1347978378</v>
      </c>
      <c r="J108" s="158">
        <f t="shared" si="11"/>
        <v>0</v>
      </c>
      <c r="K108" s="158"/>
      <c r="L108" s="334"/>
      <c r="M108" s="158">
        <f t="shared" si="12"/>
        <v>0</v>
      </c>
      <c r="N108" s="334"/>
      <c r="O108" s="158">
        <f t="shared" si="13"/>
        <v>0</v>
      </c>
      <c r="P108" s="158">
        <f t="shared" si="14"/>
        <v>0</v>
      </c>
    </row>
    <row r="109" spans="1:16">
      <c r="B109" s="9" t="str">
        <f t="shared" si="18"/>
        <v/>
      </c>
      <c r="C109" s="153">
        <f>IF(D93="","-",+C108+1)</f>
        <v>2027</v>
      </c>
      <c r="D109" s="154">
        <f>IF(F108+SUM(E$99:E108)=D$92,F108,D$92-SUM(E$99:E108))</f>
        <v>13227720.535714289</v>
      </c>
      <c r="E109" s="160">
        <f>IF(+J96&lt;F108,J96,D109)</f>
        <v>407006.78571428574</v>
      </c>
      <c r="F109" s="159">
        <f t="shared" si="15"/>
        <v>12820713.750000004</v>
      </c>
      <c r="G109" s="159">
        <f t="shared" si="10"/>
        <v>13024217.142857146</v>
      </c>
      <c r="H109" s="163">
        <f t="shared" si="16"/>
        <v>1989077.4272498512</v>
      </c>
      <c r="I109" s="253">
        <f t="shared" si="17"/>
        <v>1989077.4272498512</v>
      </c>
      <c r="J109" s="158">
        <f t="shared" si="11"/>
        <v>0</v>
      </c>
      <c r="K109" s="158"/>
      <c r="L109" s="334"/>
      <c r="M109" s="158">
        <f t="shared" si="12"/>
        <v>0</v>
      </c>
      <c r="N109" s="334"/>
      <c r="O109" s="158">
        <f t="shared" si="13"/>
        <v>0</v>
      </c>
      <c r="P109" s="158">
        <f t="shared" si="14"/>
        <v>0</v>
      </c>
    </row>
    <row r="110" spans="1:16">
      <c r="B110" s="9" t="str">
        <f t="shared" si="18"/>
        <v/>
      </c>
      <c r="C110" s="153">
        <f>IF(D93="","-",+C109+1)</f>
        <v>2028</v>
      </c>
      <c r="D110" s="154">
        <f>IF(F109+SUM(E$99:E109)=D$92,F109,D$92-SUM(E$99:E109))</f>
        <v>12820713.750000004</v>
      </c>
      <c r="E110" s="160">
        <f>IF(+J96&lt;F109,J96,D110)</f>
        <v>407006.78571428574</v>
      </c>
      <c r="F110" s="159">
        <f t="shared" si="15"/>
        <v>12413706.964285718</v>
      </c>
      <c r="G110" s="159">
        <f t="shared" si="10"/>
        <v>12617210.357142862</v>
      </c>
      <c r="H110" s="163">
        <f t="shared" si="16"/>
        <v>1939637.719701865</v>
      </c>
      <c r="I110" s="253">
        <f t="shared" si="17"/>
        <v>1939637.719701865</v>
      </c>
      <c r="J110" s="158">
        <f t="shared" si="11"/>
        <v>0</v>
      </c>
      <c r="K110" s="158"/>
      <c r="L110" s="334"/>
      <c r="M110" s="158">
        <f t="shared" si="12"/>
        <v>0</v>
      </c>
      <c r="N110" s="334"/>
      <c r="O110" s="158">
        <f t="shared" si="13"/>
        <v>0</v>
      </c>
      <c r="P110" s="158">
        <f t="shared" si="14"/>
        <v>0</v>
      </c>
    </row>
    <row r="111" spans="1:16">
      <c r="B111" s="9" t="str">
        <f t="shared" si="18"/>
        <v/>
      </c>
      <c r="C111" s="153">
        <f>IF(D93="","-",+C110+1)</f>
        <v>2029</v>
      </c>
      <c r="D111" s="154">
        <f>IF(F110+SUM(E$99:E110)=D$92,F110,D$92-SUM(E$99:E110))</f>
        <v>12413706.964285718</v>
      </c>
      <c r="E111" s="160">
        <f>IF(+J96&lt;F110,J96,D111)</f>
        <v>407006.78571428574</v>
      </c>
      <c r="F111" s="159">
        <f t="shared" si="15"/>
        <v>12006700.178571433</v>
      </c>
      <c r="G111" s="159">
        <f t="shared" si="10"/>
        <v>12210203.571428575</v>
      </c>
      <c r="H111" s="163">
        <f t="shared" si="16"/>
        <v>1890198.0121538783</v>
      </c>
      <c r="I111" s="253">
        <f t="shared" si="17"/>
        <v>1890198.0121538783</v>
      </c>
      <c r="J111" s="158">
        <f t="shared" si="11"/>
        <v>0</v>
      </c>
      <c r="K111" s="158"/>
      <c r="L111" s="334"/>
      <c r="M111" s="158">
        <f t="shared" si="12"/>
        <v>0</v>
      </c>
      <c r="N111" s="334"/>
      <c r="O111" s="158">
        <f t="shared" si="13"/>
        <v>0</v>
      </c>
      <c r="P111" s="158">
        <f t="shared" si="14"/>
        <v>0</v>
      </c>
    </row>
    <row r="112" spans="1:16">
      <c r="B112" s="9" t="str">
        <f t="shared" si="18"/>
        <v/>
      </c>
      <c r="C112" s="153">
        <f>IF(D93="","-",+C111+1)</f>
        <v>2030</v>
      </c>
      <c r="D112" s="154">
        <f>IF(F111+SUM(E$99:E111)=D$92,F111,D$92-SUM(E$99:E111))</f>
        <v>12006700.178571433</v>
      </c>
      <c r="E112" s="160">
        <f>IF(+J96&lt;F111,J96,D112)</f>
        <v>407006.78571428574</v>
      </c>
      <c r="F112" s="159">
        <f t="shared" si="15"/>
        <v>11599693.392857147</v>
      </c>
      <c r="G112" s="159">
        <f t="shared" si="10"/>
        <v>11803196.785714291</v>
      </c>
      <c r="H112" s="163">
        <f t="shared" si="16"/>
        <v>1840758.3046058922</v>
      </c>
      <c r="I112" s="253">
        <f t="shared" si="17"/>
        <v>1840758.3046058922</v>
      </c>
      <c r="J112" s="158">
        <f t="shared" si="11"/>
        <v>0</v>
      </c>
      <c r="K112" s="158"/>
      <c r="L112" s="334"/>
      <c r="M112" s="158">
        <f t="shared" si="12"/>
        <v>0</v>
      </c>
      <c r="N112" s="334"/>
      <c r="O112" s="158">
        <f t="shared" si="13"/>
        <v>0</v>
      </c>
      <c r="P112" s="158">
        <f t="shared" si="14"/>
        <v>0</v>
      </c>
    </row>
    <row r="113" spans="2:16">
      <c r="B113" s="9" t="str">
        <f t="shared" si="18"/>
        <v/>
      </c>
      <c r="C113" s="153">
        <f>IF(D93="","-",+C112+1)</f>
        <v>2031</v>
      </c>
      <c r="D113" s="154">
        <f>IF(F112+SUM(E$99:E112)=D$92,F112,D$92-SUM(E$99:E112))</f>
        <v>11599693.392857147</v>
      </c>
      <c r="E113" s="160">
        <f>IF(+J96&lt;F112,J96,D113)</f>
        <v>407006.78571428574</v>
      </c>
      <c r="F113" s="159">
        <f t="shared" si="15"/>
        <v>11192686.607142862</v>
      </c>
      <c r="G113" s="159">
        <f t="shared" si="10"/>
        <v>11396190.000000004</v>
      </c>
      <c r="H113" s="163">
        <f t="shared" si="16"/>
        <v>1791318.5970579055</v>
      </c>
      <c r="I113" s="253">
        <f t="shared" si="17"/>
        <v>1791318.5970579055</v>
      </c>
      <c r="J113" s="158">
        <f t="shared" si="11"/>
        <v>0</v>
      </c>
      <c r="K113" s="158"/>
      <c r="L113" s="334"/>
      <c r="M113" s="158">
        <f t="shared" si="12"/>
        <v>0</v>
      </c>
      <c r="N113" s="334"/>
      <c r="O113" s="158">
        <f t="shared" si="13"/>
        <v>0</v>
      </c>
      <c r="P113" s="158">
        <f t="shared" si="14"/>
        <v>0</v>
      </c>
    </row>
    <row r="114" spans="2:16">
      <c r="B114" s="9" t="str">
        <f t="shared" si="18"/>
        <v/>
      </c>
      <c r="C114" s="153">
        <f>IF(D93="","-",+C113+1)</f>
        <v>2032</v>
      </c>
      <c r="D114" s="154">
        <f>IF(F113+SUM(E$99:E113)=D$92,F113,D$92-SUM(E$99:E113))</f>
        <v>11192686.607142862</v>
      </c>
      <c r="E114" s="160">
        <f>IF(+J96&lt;F113,J96,D114)</f>
        <v>407006.78571428574</v>
      </c>
      <c r="F114" s="159">
        <f t="shared" si="15"/>
        <v>10785679.821428576</v>
      </c>
      <c r="G114" s="159">
        <f t="shared" si="10"/>
        <v>10989183.21428572</v>
      </c>
      <c r="H114" s="163">
        <f t="shared" si="16"/>
        <v>1741878.8895099196</v>
      </c>
      <c r="I114" s="253">
        <f t="shared" si="17"/>
        <v>1741878.8895099196</v>
      </c>
      <c r="J114" s="158">
        <f t="shared" si="11"/>
        <v>0</v>
      </c>
      <c r="K114" s="158"/>
      <c r="L114" s="334"/>
      <c r="M114" s="158">
        <f t="shared" si="12"/>
        <v>0</v>
      </c>
      <c r="N114" s="334"/>
      <c r="O114" s="158">
        <f t="shared" si="13"/>
        <v>0</v>
      </c>
      <c r="P114" s="158">
        <f t="shared" si="14"/>
        <v>0</v>
      </c>
    </row>
    <row r="115" spans="2:16">
      <c r="B115" s="9" t="str">
        <f t="shared" si="18"/>
        <v/>
      </c>
      <c r="C115" s="153">
        <f>IF(D93="","-",+C114+1)</f>
        <v>2033</v>
      </c>
      <c r="D115" s="154">
        <f>IF(F114+SUM(E$99:E114)=D$92,F114,D$92-SUM(E$99:E114))</f>
        <v>10785679.821428576</v>
      </c>
      <c r="E115" s="160">
        <f>IF(+J96&lt;F114,J96,D115)</f>
        <v>407006.78571428574</v>
      </c>
      <c r="F115" s="159">
        <f t="shared" si="15"/>
        <v>10378673.035714291</v>
      </c>
      <c r="G115" s="159">
        <f t="shared" si="10"/>
        <v>10582176.428571433</v>
      </c>
      <c r="H115" s="163">
        <f t="shared" si="16"/>
        <v>1692439.1819619329</v>
      </c>
      <c r="I115" s="253">
        <f t="shared" si="17"/>
        <v>1692439.1819619329</v>
      </c>
      <c r="J115" s="158">
        <f t="shared" si="11"/>
        <v>0</v>
      </c>
      <c r="K115" s="158"/>
      <c r="L115" s="334"/>
      <c r="M115" s="158">
        <f t="shared" si="12"/>
        <v>0</v>
      </c>
      <c r="N115" s="334"/>
      <c r="O115" s="158">
        <f t="shared" si="13"/>
        <v>0</v>
      </c>
      <c r="P115" s="158">
        <f t="shared" si="14"/>
        <v>0</v>
      </c>
    </row>
    <row r="116" spans="2:16">
      <c r="B116" s="9" t="str">
        <f t="shared" si="18"/>
        <v/>
      </c>
      <c r="C116" s="153">
        <f>IF(D93="","-",+C115+1)</f>
        <v>2034</v>
      </c>
      <c r="D116" s="154">
        <f>IF(F115+SUM(E$99:E115)=D$92,F115,D$92-SUM(E$99:E115))</f>
        <v>10378673.035714291</v>
      </c>
      <c r="E116" s="160">
        <f>IF(+J96&lt;F115,J96,D116)</f>
        <v>407006.78571428574</v>
      </c>
      <c r="F116" s="159">
        <f t="shared" si="15"/>
        <v>9971666.2500000056</v>
      </c>
      <c r="G116" s="159">
        <f t="shared" si="10"/>
        <v>10175169.642857149</v>
      </c>
      <c r="H116" s="163">
        <f t="shared" si="16"/>
        <v>1642999.4744139467</v>
      </c>
      <c r="I116" s="253">
        <f t="shared" si="17"/>
        <v>1642999.4744139467</v>
      </c>
      <c r="J116" s="158">
        <f t="shared" si="11"/>
        <v>0</v>
      </c>
      <c r="K116" s="158"/>
      <c r="L116" s="334"/>
      <c r="M116" s="158">
        <f t="shared" si="12"/>
        <v>0</v>
      </c>
      <c r="N116" s="334"/>
      <c r="O116" s="158">
        <f t="shared" si="13"/>
        <v>0</v>
      </c>
      <c r="P116" s="158">
        <f t="shared" si="14"/>
        <v>0</v>
      </c>
    </row>
    <row r="117" spans="2:16">
      <c r="B117" s="9" t="str">
        <f t="shared" si="18"/>
        <v/>
      </c>
      <c r="C117" s="153">
        <f>IF(D93="","-",+C116+1)</f>
        <v>2035</v>
      </c>
      <c r="D117" s="154">
        <f>IF(F116+SUM(E$99:E116)=D$92,F116,D$92-SUM(E$99:E116))</f>
        <v>9971666.2500000056</v>
      </c>
      <c r="E117" s="160">
        <f>IF(+J96&lt;F116,J96,D117)</f>
        <v>407006.78571428574</v>
      </c>
      <c r="F117" s="159">
        <f t="shared" si="15"/>
        <v>9564659.4642857201</v>
      </c>
      <c r="G117" s="159">
        <f t="shared" si="10"/>
        <v>9768162.8571428619</v>
      </c>
      <c r="H117" s="163">
        <f t="shared" si="16"/>
        <v>1593559.7668659601</v>
      </c>
      <c r="I117" s="253">
        <f t="shared" si="17"/>
        <v>1593559.7668659601</v>
      </c>
      <c r="J117" s="158">
        <f t="shared" si="11"/>
        <v>0</v>
      </c>
      <c r="K117" s="158"/>
      <c r="L117" s="334"/>
      <c r="M117" s="158">
        <f t="shared" si="12"/>
        <v>0</v>
      </c>
      <c r="N117" s="334"/>
      <c r="O117" s="158">
        <f t="shared" si="13"/>
        <v>0</v>
      </c>
      <c r="P117" s="158">
        <f t="shared" si="14"/>
        <v>0</v>
      </c>
    </row>
    <row r="118" spans="2:16">
      <c r="B118" s="9" t="str">
        <f t="shared" si="18"/>
        <v/>
      </c>
      <c r="C118" s="153">
        <f>IF(D93="","-",+C117+1)</f>
        <v>2036</v>
      </c>
      <c r="D118" s="154">
        <f>IF(F117+SUM(E$99:E117)=D$92,F117,D$92-SUM(E$99:E117))</f>
        <v>9564659.4642857201</v>
      </c>
      <c r="E118" s="160">
        <f>IF(+J96&lt;F117,J96,D118)</f>
        <v>407006.78571428574</v>
      </c>
      <c r="F118" s="159">
        <f t="shared" si="15"/>
        <v>9157652.6785714347</v>
      </c>
      <c r="G118" s="159">
        <f t="shared" si="10"/>
        <v>9361156.0714285783</v>
      </c>
      <c r="H118" s="163">
        <f t="shared" si="16"/>
        <v>1544120.0593179739</v>
      </c>
      <c r="I118" s="253">
        <f t="shared" si="17"/>
        <v>1544120.0593179739</v>
      </c>
      <c r="J118" s="158">
        <f t="shared" si="11"/>
        <v>0</v>
      </c>
      <c r="K118" s="158"/>
      <c r="L118" s="334"/>
      <c r="M118" s="158">
        <f t="shared" si="12"/>
        <v>0</v>
      </c>
      <c r="N118" s="334"/>
      <c r="O118" s="158">
        <f t="shared" si="13"/>
        <v>0</v>
      </c>
      <c r="P118" s="158">
        <f t="shared" si="14"/>
        <v>0</v>
      </c>
    </row>
    <row r="119" spans="2:16">
      <c r="B119" s="9" t="str">
        <f t="shared" si="18"/>
        <v/>
      </c>
      <c r="C119" s="153">
        <f>IF(D93="","-",+C118+1)</f>
        <v>2037</v>
      </c>
      <c r="D119" s="154">
        <f>IF(F118+SUM(E$99:E118)=D$92,F118,D$92-SUM(E$99:E118))</f>
        <v>9157652.6785714347</v>
      </c>
      <c r="E119" s="160">
        <f>IF(+J96&lt;F118,J96,D119)</f>
        <v>407006.78571428574</v>
      </c>
      <c r="F119" s="159">
        <f t="shared" si="15"/>
        <v>8750645.8928571492</v>
      </c>
      <c r="G119" s="159">
        <f t="shared" si="10"/>
        <v>8954149.285714291</v>
      </c>
      <c r="H119" s="163">
        <f t="shared" si="16"/>
        <v>1494680.3517699873</v>
      </c>
      <c r="I119" s="253">
        <f t="shared" si="17"/>
        <v>1494680.3517699873</v>
      </c>
      <c r="J119" s="158">
        <f t="shared" si="11"/>
        <v>0</v>
      </c>
      <c r="K119" s="158"/>
      <c r="L119" s="334"/>
      <c r="M119" s="158">
        <f t="shared" si="12"/>
        <v>0</v>
      </c>
      <c r="N119" s="334"/>
      <c r="O119" s="158">
        <f t="shared" si="13"/>
        <v>0</v>
      </c>
      <c r="P119" s="158">
        <f t="shared" si="14"/>
        <v>0</v>
      </c>
    </row>
    <row r="120" spans="2:16">
      <c r="B120" s="9" t="str">
        <f t="shared" si="18"/>
        <v/>
      </c>
      <c r="C120" s="153">
        <f>IF(D93="","-",+C119+1)</f>
        <v>2038</v>
      </c>
      <c r="D120" s="154">
        <f>IF(F119+SUM(E$99:E119)=D$92,F119,D$92-SUM(E$99:E119))</f>
        <v>8750645.8928571492</v>
      </c>
      <c r="E120" s="160">
        <f>IF(+J96&lt;F119,J96,D120)</f>
        <v>407006.78571428574</v>
      </c>
      <c r="F120" s="159">
        <f t="shared" si="15"/>
        <v>8343639.1071428638</v>
      </c>
      <c r="G120" s="159">
        <f t="shared" si="10"/>
        <v>8547142.5000000075</v>
      </c>
      <c r="H120" s="163">
        <f t="shared" si="16"/>
        <v>1445240.6442220013</v>
      </c>
      <c r="I120" s="253">
        <f t="shared" si="17"/>
        <v>1445240.6442220013</v>
      </c>
      <c r="J120" s="158">
        <f t="shared" si="11"/>
        <v>0</v>
      </c>
      <c r="K120" s="158"/>
      <c r="L120" s="334"/>
      <c r="M120" s="158">
        <f t="shared" si="12"/>
        <v>0</v>
      </c>
      <c r="N120" s="334"/>
      <c r="O120" s="158">
        <f t="shared" si="13"/>
        <v>0</v>
      </c>
      <c r="P120" s="158">
        <f t="shared" si="14"/>
        <v>0</v>
      </c>
    </row>
    <row r="121" spans="2:16">
      <c r="B121" s="9" t="str">
        <f t="shared" si="18"/>
        <v/>
      </c>
      <c r="C121" s="153">
        <f>IF(D93="","-",+C120+1)</f>
        <v>2039</v>
      </c>
      <c r="D121" s="154">
        <f>IF(F120+SUM(E$99:E120)=D$92,F120,D$92-SUM(E$99:E120))</f>
        <v>8343639.1071428638</v>
      </c>
      <c r="E121" s="160">
        <f>IF(+J96&lt;F120,J96,D121)</f>
        <v>407006.78571428574</v>
      </c>
      <c r="F121" s="159">
        <f t="shared" si="15"/>
        <v>7936632.3214285783</v>
      </c>
      <c r="G121" s="159">
        <f t="shared" si="10"/>
        <v>8140135.7142857211</v>
      </c>
      <c r="H121" s="163">
        <f t="shared" si="16"/>
        <v>1395800.9366740147</v>
      </c>
      <c r="I121" s="253">
        <f t="shared" si="17"/>
        <v>1395800.9366740147</v>
      </c>
      <c r="J121" s="158">
        <f t="shared" si="11"/>
        <v>0</v>
      </c>
      <c r="K121" s="158"/>
      <c r="L121" s="334"/>
      <c r="M121" s="158">
        <f t="shared" si="12"/>
        <v>0</v>
      </c>
      <c r="N121" s="334"/>
      <c r="O121" s="158">
        <f t="shared" si="13"/>
        <v>0</v>
      </c>
      <c r="P121" s="158">
        <f t="shared" si="14"/>
        <v>0</v>
      </c>
    </row>
    <row r="122" spans="2:16">
      <c r="B122" s="9" t="str">
        <f t="shared" si="18"/>
        <v/>
      </c>
      <c r="C122" s="153">
        <f>IF(D93="","-",+C121+1)</f>
        <v>2040</v>
      </c>
      <c r="D122" s="154">
        <f>IF(F121+SUM(E$99:E121)=D$92,F121,D$92-SUM(E$99:E121))</f>
        <v>7936632.3214285783</v>
      </c>
      <c r="E122" s="160">
        <f>IF(+J96&lt;F121,J96,D122)</f>
        <v>407006.78571428574</v>
      </c>
      <c r="F122" s="159">
        <f t="shared" si="15"/>
        <v>7529625.5357142929</v>
      </c>
      <c r="G122" s="159">
        <f t="shared" si="10"/>
        <v>7733128.9285714356</v>
      </c>
      <c r="H122" s="163">
        <f t="shared" si="16"/>
        <v>1346361.2291260285</v>
      </c>
      <c r="I122" s="253">
        <f t="shared" si="17"/>
        <v>1346361.2291260285</v>
      </c>
      <c r="J122" s="158">
        <f t="shared" si="11"/>
        <v>0</v>
      </c>
      <c r="K122" s="158"/>
      <c r="L122" s="334"/>
      <c r="M122" s="158">
        <f t="shared" si="12"/>
        <v>0</v>
      </c>
      <c r="N122" s="334"/>
      <c r="O122" s="158">
        <f t="shared" si="13"/>
        <v>0</v>
      </c>
      <c r="P122" s="158">
        <f t="shared" si="14"/>
        <v>0</v>
      </c>
    </row>
    <row r="123" spans="2:16">
      <c r="B123" s="9" t="str">
        <f t="shared" si="18"/>
        <v/>
      </c>
      <c r="C123" s="153">
        <f>IF(D93="","-",+C122+1)</f>
        <v>2041</v>
      </c>
      <c r="D123" s="154">
        <f>IF(F122+SUM(E$99:E122)=D$92,F122,D$92-SUM(E$99:E122))</f>
        <v>7529625.5357142929</v>
      </c>
      <c r="E123" s="160">
        <f>IF(+J96&lt;F122,J96,D123)</f>
        <v>407006.78571428574</v>
      </c>
      <c r="F123" s="159">
        <f t="shared" si="15"/>
        <v>7122618.7500000075</v>
      </c>
      <c r="G123" s="159">
        <f t="shared" si="10"/>
        <v>7326122.1428571502</v>
      </c>
      <c r="H123" s="163">
        <f t="shared" si="16"/>
        <v>1296921.5215780421</v>
      </c>
      <c r="I123" s="253">
        <f t="shared" si="17"/>
        <v>1296921.5215780421</v>
      </c>
      <c r="J123" s="158">
        <f t="shared" si="11"/>
        <v>0</v>
      </c>
      <c r="K123" s="158"/>
      <c r="L123" s="334"/>
      <c r="M123" s="158">
        <f t="shared" si="12"/>
        <v>0</v>
      </c>
      <c r="N123" s="334"/>
      <c r="O123" s="158">
        <f t="shared" si="13"/>
        <v>0</v>
      </c>
      <c r="P123" s="158">
        <f t="shared" si="14"/>
        <v>0</v>
      </c>
    </row>
    <row r="124" spans="2:16">
      <c r="B124" s="9" t="str">
        <f t="shared" si="18"/>
        <v/>
      </c>
      <c r="C124" s="153">
        <f>IF(D93="","-",+C123+1)</f>
        <v>2042</v>
      </c>
      <c r="D124" s="154">
        <f>IF(F123+SUM(E$99:E123)=D$92,F123,D$92-SUM(E$99:E123))</f>
        <v>7122618.7500000075</v>
      </c>
      <c r="E124" s="160">
        <f>IF(+J96&lt;F123,J96,D124)</f>
        <v>407006.78571428574</v>
      </c>
      <c r="F124" s="159">
        <f t="shared" si="15"/>
        <v>6715611.964285722</v>
      </c>
      <c r="G124" s="159">
        <f t="shared" si="10"/>
        <v>6919115.3571428647</v>
      </c>
      <c r="H124" s="163">
        <f t="shared" si="16"/>
        <v>1247481.8140300557</v>
      </c>
      <c r="I124" s="253">
        <f t="shared" si="17"/>
        <v>1247481.8140300557</v>
      </c>
      <c r="J124" s="158">
        <f t="shared" si="11"/>
        <v>0</v>
      </c>
      <c r="K124" s="158"/>
      <c r="L124" s="334"/>
      <c r="M124" s="158">
        <f t="shared" si="12"/>
        <v>0</v>
      </c>
      <c r="N124" s="334"/>
      <c r="O124" s="158">
        <f t="shared" si="13"/>
        <v>0</v>
      </c>
      <c r="P124" s="158">
        <f t="shared" si="14"/>
        <v>0</v>
      </c>
    </row>
    <row r="125" spans="2:16">
      <c r="B125" s="9" t="str">
        <f t="shared" si="18"/>
        <v/>
      </c>
      <c r="C125" s="153">
        <f>IF(D93="","-",+C124+1)</f>
        <v>2043</v>
      </c>
      <c r="D125" s="154">
        <f>IF(F124+SUM(E$99:E124)=D$92,F124,D$92-SUM(E$99:E124))</f>
        <v>6715611.964285722</v>
      </c>
      <c r="E125" s="160">
        <f>IF(+J96&lt;F124,J96,D125)</f>
        <v>407006.78571428574</v>
      </c>
      <c r="F125" s="159">
        <f t="shared" si="15"/>
        <v>6308605.1785714366</v>
      </c>
      <c r="G125" s="159">
        <f t="shared" si="10"/>
        <v>6512108.5714285793</v>
      </c>
      <c r="H125" s="163">
        <f t="shared" si="16"/>
        <v>1198042.1064820692</v>
      </c>
      <c r="I125" s="253">
        <f t="shared" si="17"/>
        <v>1198042.1064820692</v>
      </c>
      <c r="J125" s="158">
        <f t="shared" si="11"/>
        <v>0</v>
      </c>
      <c r="K125" s="158"/>
      <c r="L125" s="334"/>
      <c r="M125" s="158">
        <f t="shared" si="12"/>
        <v>0</v>
      </c>
      <c r="N125" s="334"/>
      <c r="O125" s="158">
        <f t="shared" si="13"/>
        <v>0</v>
      </c>
      <c r="P125" s="158">
        <f t="shared" si="14"/>
        <v>0</v>
      </c>
    </row>
    <row r="126" spans="2:16">
      <c r="B126" s="9" t="str">
        <f t="shared" si="18"/>
        <v/>
      </c>
      <c r="C126" s="153">
        <f>IF(D93="","-",+C125+1)</f>
        <v>2044</v>
      </c>
      <c r="D126" s="154">
        <f>IF(F125+SUM(E$99:E125)=D$92,F125,D$92-SUM(E$99:E125))</f>
        <v>6308605.1785714366</v>
      </c>
      <c r="E126" s="160">
        <f>IF(+J96&lt;F125,J96,D126)</f>
        <v>407006.78571428574</v>
      </c>
      <c r="F126" s="159">
        <f t="shared" si="15"/>
        <v>5901598.3928571511</v>
      </c>
      <c r="G126" s="159">
        <f t="shared" si="10"/>
        <v>6105101.7857142938</v>
      </c>
      <c r="H126" s="163">
        <f t="shared" si="16"/>
        <v>1148602.3989340828</v>
      </c>
      <c r="I126" s="253">
        <f t="shared" si="17"/>
        <v>1148602.3989340828</v>
      </c>
      <c r="J126" s="158">
        <f t="shared" si="11"/>
        <v>0</v>
      </c>
      <c r="K126" s="158"/>
      <c r="L126" s="334"/>
      <c r="M126" s="158">
        <f t="shared" si="12"/>
        <v>0</v>
      </c>
      <c r="N126" s="334"/>
      <c r="O126" s="158">
        <f t="shared" si="13"/>
        <v>0</v>
      </c>
      <c r="P126" s="158">
        <f t="shared" si="14"/>
        <v>0</v>
      </c>
    </row>
    <row r="127" spans="2:16">
      <c r="B127" s="9" t="str">
        <f t="shared" si="18"/>
        <v/>
      </c>
      <c r="C127" s="153">
        <f>IF(D93="","-",+C126+1)</f>
        <v>2045</v>
      </c>
      <c r="D127" s="154">
        <f>IF(F126+SUM(E$99:E126)=D$92,F126,D$92-SUM(E$99:E126))</f>
        <v>5901598.3928571511</v>
      </c>
      <c r="E127" s="160">
        <f>IF(+J96&lt;F126,J96,D127)</f>
        <v>407006.78571428574</v>
      </c>
      <c r="F127" s="159">
        <f t="shared" si="15"/>
        <v>5494591.6071428657</v>
      </c>
      <c r="G127" s="159">
        <f t="shared" si="10"/>
        <v>5698095.0000000084</v>
      </c>
      <c r="H127" s="163">
        <f t="shared" si="16"/>
        <v>1099162.6913860964</v>
      </c>
      <c r="I127" s="253">
        <f t="shared" si="17"/>
        <v>1099162.6913860964</v>
      </c>
      <c r="J127" s="158">
        <f t="shared" si="11"/>
        <v>0</v>
      </c>
      <c r="K127" s="158"/>
      <c r="L127" s="334"/>
      <c r="M127" s="158">
        <f t="shared" si="12"/>
        <v>0</v>
      </c>
      <c r="N127" s="334"/>
      <c r="O127" s="158">
        <f t="shared" si="13"/>
        <v>0</v>
      </c>
      <c r="P127" s="158">
        <f t="shared" si="14"/>
        <v>0</v>
      </c>
    </row>
    <row r="128" spans="2:16">
      <c r="B128" s="9" t="str">
        <f t="shared" si="18"/>
        <v/>
      </c>
      <c r="C128" s="153">
        <f>IF(D93="","-",+C127+1)</f>
        <v>2046</v>
      </c>
      <c r="D128" s="154">
        <f>IF(F127+SUM(E$99:E127)=D$92,F127,D$92-SUM(E$99:E127))</f>
        <v>5494591.6071428657</v>
      </c>
      <c r="E128" s="160">
        <f>IF(+J96&lt;F127,J96,D128)</f>
        <v>407006.78571428574</v>
      </c>
      <c r="F128" s="159">
        <f t="shared" si="15"/>
        <v>5087584.8214285802</v>
      </c>
      <c r="G128" s="159">
        <f t="shared" si="10"/>
        <v>5291088.2142857229</v>
      </c>
      <c r="H128" s="163">
        <f t="shared" si="16"/>
        <v>1049722.9838381102</v>
      </c>
      <c r="I128" s="253">
        <f t="shared" si="17"/>
        <v>1049722.9838381102</v>
      </c>
      <c r="J128" s="158">
        <f t="shared" si="11"/>
        <v>0</v>
      </c>
      <c r="K128" s="158"/>
      <c r="L128" s="334"/>
      <c r="M128" s="158">
        <f t="shared" si="12"/>
        <v>0</v>
      </c>
      <c r="N128" s="334"/>
      <c r="O128" s="158">
        <f t="shared" si="13"/>
        <v>0</v>
      </c>
      <c r="P128" s="158">
        <f t="shared" si="14"/>
        <v>0</v>
      </c>
    </row>
    <row r="129" spans="2:16">
      <c r="B129" s="9" t="str">
        <f t="shared" si="18"/>
        <v/>
      </c>
      <c r="C129" s="153">
        <f>IF(D93="","-",+C128+1)</f>
        <v>2047</v>
      </c>
      <c r="D129" s="154">
        <f>IF(F128+SUM(E$99:E128)=D$92,F128,D$92-SUM(E$99:E128))</f>
        <v>5087584.8214285802</v>
      </c>
      <c r="E129" s="160">
        <f>IF(+J96&lt;F128,J96,D129)</f>
        <v>407006.78571428574</v>
      </c>
      <c r="F129" s="159">
        <f t="shared" si="15"/>
        <v>4680578.0357142948</v>
      </c>
      <c r="G129" s="159">
        <f t="shared" si="10"/>
        <v>4884081.4285714375</v>
      </c>
      <c r="H129" s="163">
        <f t="shared" si="16"/>
        <v>1000283.2762901238</v>
      </c>
      <c r="I129" s="253">
        <f t="shared" si="17"/>
        <v>1000283.2762901238</v>
      </c>
      <c r="J129" s="158">
        <f t="shared" si="11"/>
        <v>0</v>
      </c>
      <c r="K129" s="158"/>
      <c r="L129" s="334"/>
      <c r="M129" s="158">
        <f t="shared" si="12"/>
        <v>0</v>
      </c>
      <c r="N129" s="334"/>
      <c r="O129" s="158">
        <f t="shared" si="13"/>
        <v>0</v>
      </c>
      <c r="P129" s="158">
        <f t="shared" si="14"/>
        <v>0</v>
      </c>
    </row>
    <row r="130" spans="2:16">
      <c r="B130" s="9" t="str">
        <f t="shared" si="18"/>
        <v/>
      </c>
      <c r="C130" s="153">
        <f>IF(D93="","-",+C129+1)</f>
        <v>2048</v>
      </c>
      <c r="D130" s="154">
        <f>IF(F129+SUM(E$99:E129)=D$92,F129,D$92-SUM(E$99:E129))</f>
        <v>4680578.0357142948</v>
      </c>
      <c r="E130" s="160">
        <f>IF(+J96&lt;F129,J96,D130)</f>
        <v>407006.78571428574</v>
      </c>
      <c r="F130" s="159">
        <f t="shared" si="15"/>
        <v>4273571.2500000093</v>
      </c>
      <c r="G130" s="159">
        <f t="shared" si="10"/>
        <v>4477074.642857152</v>
      </c>
      <c r="H130" s="163">
        <f t="shared" si="16"/>
        <v>950843.5687421374</v>
      </c>
      <c r="I130" s="253">
        <f t="shared" si="17"/>
        <v>950843.5687421374</v>
      </c>
      <c r="J130" s="158">
        <f t="shared" si="11"/>
        <v>0</v>
      </c>
      <c r="K130" s="158"/>
      <c r="L130" s="334"/>
      <c r="M130" s="158">
        <f t="shared" si="12"/>
        <v>0</v>
      </c>
      <c r="N130" s="334"/>
      <c r="O130" s="158">
        <f t="shared" si="13"/>
        <v>0</v>
      </c>
      <c r="P130" s="158">
        <f t="shared" si="14"/>
        <v>0</v>
      </c>
    </row>
    <row r="131" spans="2:16">
      <c r="B131" s="9" t="str">
        <f t="shared" si="18"/>
        <v/>
      </c>
      <c r="C131" s="153">
        <f>IF(D93="","-",+C130+1)</f>
        <v>2049</v>
      </c>
      <c r="D131" s="154">
        <f>IF(F130+SUM(E$99:E130)=D$92,F130,D$92-SUM(E$99:E130))</f>
        <v>4273571.2500000093</v>
      </c>
      <c r="E131" s="160">
        <f>IF(+J96&lt;F130,J96,D131)</f>
        <v>407006.78571428574</v>
      </c>
      <c r="F131" s="159">
        <f t="shared" ref="F131:F154" si="19">+D131-E131</f>
        <v>3866564.4642857234</v>
      </c>
      <c r="G131" s="159">
        <f t="shared" ref="G131:G154" si="20">+(F131+D131)/2</f>
        <v>4070067.8571428666</v>
      </c>
      <c r="H131" s="163">
        <f t="shared" si="16"/>
        <v>901403.86119415099</v>
      </c>
      <c r="I131" s="253">
        <f t="shared" si="17"/>
        <v>901403.86119415099</v>
      </c>
      <c r="J131" s="158">
        <f t="shared" ref="J131:J154" si="21">+I541-H541</f>
        <v>0</v>
      </c>
      <c r="K131" s="158"/>
      <c r="L131" s="334"/>
      <c r="M131" s="158">
        <f t="shared" ref="M131:M154" si="22">IF(L541&lt;&gt;0,+H541-L541,0)</f>
        <v>0</v>
      </c>
      <c r="N131" s="334"/>
      <c r="O131" s="158">
        <f t="shared" ref="O131:O154" si="23">IF(N541&lt;&gt;0,+I541-N541,0)</f>
        <v>0</v>
      </c>
      <c r="P131" s="158">
        <f t="shared" ref="P131:P154" si="24">+O541-M541</f>
        <v>0</v>
      </c>
    </row>
    <row r="132" spans="2:16">
      <c r="B132" s="9" t="str">
        <f t="shared" si="18"/>
        <v/>
      </c>
      <c r="C132" s="153">
        <f>IF(D93="","-",+C131+1)</f>
        <v>2050</v>
      </c>
      <c r="D132" s="154">
        <f>IF(F131+SUM(E$99:E131)=D$92,F131,D$92-SUM(E$99:E131))</f>
        <v>3866564.4642857234</v>
      </c>
      <c r="E132" s="160">
        <f>IF(+J96&lt;F131,J96,D132)</f>
        <v>407006.78571428574</v>
      </c>
      <c r="F132" s="159">
        <f t="shared" si="19"/>
        <v>3459557.6785714375</v>
      </c>
      <c r="G132" s="159">
        <f t="shared" si="20"/>
        <v>3663061.0714285802</v>
      </c>
      <c r="H132" s="163">
        <f t="shared" si="16"/>
        <v>851964.15364616457</v>
      </c>
      <c r="I132" s="253">
        <f t="shared" si="17"/>
        <v>851964.15364616457</v>
      </c>
      <c r="J132" s="158">
        <f t="shared" si="21"/>
        <v>0</v>
      </c>
      <c r="K132" s="158"/>
      <c r="L132" s="334"/>
      <c r="M132" s="158">
        <f t="shared" si="22"/>
        <v>0</v>
      </c>
      <c r="N132" s="334"/>
      <c r="O132" s="158">
        <f t="shared" si="23"/>
        <v>0</v>
      </c>
      <c r="P132" s="158">
        <f t="shared" si="24"/>
        <v>0</v>
      </c>
    </row>
    <row r="133" spans="2:16">
      <c r="B133" s="9" t="str">
        <f t="shared" si="18"/>
        <v/>
      </c>
      <c r="C133" s="153">
        <f>IF(D93="","-",+C132+1)</f>
        <v>2051</v>
      </c>
      <c r="D133" s="154">
        <f>IF(F132+SUM(E$99:E132)=D$92,F132,D$92-SUM(E$99:E132))</f>
        <v>3459557.6785714375</v>
      </c>
      <c r="E133" s="160">
        <f>IF(+J96&lt;F132,J96,D133)</f>
        <v>407006.78571428574</v>
      </c>
      <c r="F133" s="159">
        <f t="shared" si="19"/>
        <v>3052550.8928571516</v>
      </c>
      <c r="G133" s="159">
        <f t="shared" si="20"/>
        <v>3256054.2857142948</v>
      </c>
      <c r="H133" s="163">
        <f t="shared" si="16"/>
        <v>802524.44609817816</v>
      </c>
      <c r="I133" s="253">
        <f t="shared" si="17"/>
        <v>802524.44609817816</v>
      </c>
      <c r="J133" s="158">
        <f t="shared" si="21"/>
        <v>0</v>
      </c>
      <c r="K133" s="158"/>
      <c r="L133" s="334"/>
      <c r="M133" s="158">
        <f t="shared" si="22"/>
        <v>0</v>
      </c>
      <c r="N133" s="334"/>
      <c r="O133" s="158">
        <f t="shared" si="23"/>
        <v>0</v>
      </c>
      <c r="P133" s="158">
        <f t="shared" si="24"/>
        <v>0</v>
      </c>
    </row>
    <row r="134" spans="2:16">
      <c r="B134" s="9" t="str">
        <f t="shared" si="18"/>
        <v/>
      </c>
      <c r="C134" s="153">
        <f>IF(D93="","-",+C133+1)</f>
        <v>2052</v>
      </c>
      <c r="D134" s="154">
        <f>IF(F133+SUM(E$99:E133)=D$92,F133,D$92-SUM(E$99:E133))</f>
        <v>3052550.8928571516</v>
      </c>
      <c r="E134" s="160">
        <f>IF(+J96&lt;F133,J96,D134)</f>
        <v>407006.78571428574</v>
      </c>
      <c r="F134" s="159">
        <f t="shared" si="19"/>
        <v>2645544.1071428657</v>
      </c>
      <c r="G134" s="159">
        <f t="shared" si="20"/>
        <v>2849047.5000000084</v>
      </c>
      <c r="H134" s="163">
        <f t="shared" si="16"/>
        <v>753084.73855019163</v>
      </c>
      <c r="I134" s="253">
        <f t="shared" si="17"/>
        <v>753084.73855019163</v>
      </c>
      <c r="J134" s="158">
        <f t="shared" si="21"/>
        <v>0</v>
      </c>
      <c r="K134" s="158"/>
      <c r="L134" s="334"/>
      <c r="M134" s="158">
        <f t="shared" si="22"/>
        <v>0</v>
      </c>
      <c r="N134" s="334"/>
      <c r="O134" s="158">
        <f t="shared" si="23"/>
        <v>0</v>
      </c>
      <c r="P134" s="158">
        <f t="shared" si="24"/>
        <v>0</v>
      </c>
    </row>
    <row r="135" spans="2:16">
      <c r="B135" s="9" t="str">
        <f t="shared" si="18"/>
        <v/>
      </c>
      <c r="C135" s="153">
        <f>IF(D93="","-",+C134+1)</f>
        <v>2053</v>
      </c>
      <c r="D135" s="154">
        <f>IF(F134+SUM(E$99:E134)=D$92,F134,D$92-SUM(E$99:E134))</f>
        <v>2645544.1071428657</v>
      </c>
      <c r="E135" s="160">
        <f>IF(+J96&lt;F134,J96,D135)</f>
        <v>407006.78571428574</v>
      </c>
      <c r="F135" s="159">
        <f t="shared" si="19"/>
        <v>2238537.3214285797</v>
      </c>
      <c r="G135" s="159">
        <f t="shared" si="20"/>
        <v>2442040.7142857229</v>
      </c>
      <c r="H135" s="163">
        <f t="shared" si="16"/>
        <v>703645.03100220533</v>
      </c>
      <c r="I135" s="253">
        <f t="shared" si="17"/>
        <v>703645.03100220533</v>
      </c>
      <c r="J135" s="158">
        <f t="shared" si="21"/>
        <v>0</v>
      </c>
      <c r="K135" s="158"/>
      <c r="L135" s="334"/>
      <c r="M135" s="158">
        <f t="shared" si="22"/>
        <v>0</v>
      </c>
      <c r="N135" s="334"/>
      <c r="O135" s="158">
        <f t="shared" si="23"/>
        <v>0</v>
      </c>
      <c r="P135" s="158">
        <f t="shared" si="24"/>
        <v>0</v>
      </c>
    </row>
    <row r="136" spans="2:16">
      <c r="B136" s="9" t="str">
        <f t="shared" si="18"/>
        <v/>
      </c>
      <c r="C136" s="153">
        <f>IF(D93="","-",+C135+1)</f>
        <v>2054</v>
      </c>
      <c r="D136" s="154">
        <f>IF(F135+SUM(E$99:E135)=D$92,F135,D$92-SUM(E$99:E135))</f>
        <v>2238537.3214285797</v>
      </c>
      <c r="E136" s="160">
        <f>IF(+J96&lt;F135,J96,D136)</f>
        <v>407006.78571428574</v>
      </c>
      <c r="F136" s="159">
        <f t="shared" si="19"/>
        <v>1831530.5357142941</v>
      </c>
      <c r="G136" s="159">
        <f t="shared" si="20"/>
        <v>2035033.928571437</v>
      </c>
      <c r="H136" s="163">
        <f t="shared" si="16"/>
        <v>654205.3234542188</v>
      </c>
      <c r="I136" s="253">
        <f t="shared" si="17"/>
        <v>654205.3234542188</v>
      </c>
      <c r="J136" s="158">
        <f t="shared" si="21"/>
        <v>0</v>
      </c>
      <c r="K136" s="158"/>
      <c r="L136" s="334"/>
      <c r="M136" s="158">
        <f t="shared" si="22"/>
        <v>0</v>
      </c>
      <c r="N136" s="334"/>
      <c r="O136" s="158">
        <f t="shared" si="23"/>
        <v>0</v>
      </c>
      <c r="P136" s="158">
        <f t="shared" si="24"/>
        <v>0</v>
      </c>
    </row>
    <row r="137" spans="2:16">
      <c r="B137" s="9" t="str">
        <f t="shared" si="18"/>
        <v/>
      </c>
      <c r="C137" s="153">
        <f>IF(D93="","-",+C136+1)</f>
        <v>2055</v>
      </c>
      <c r="D137" s="154">
        <f>IF(F136+SUM(E$99:E136)=D$92,F136,D$92-SUM(E$99:E136))</f>
        <v>1831530.5357142941</v>
      </c>
      <c r="E137" s="160">
        <f>IF(+J96&lt;F136,J96,D137)</f>
        <v>407006.78571428574</v>
      </c>
      <c r="F137" s="159">
        <f t="shared" si="19"/>
        <v>1424523.7500000084</v>
      </c>
      <c r="G137" s="159">
        <f t="shared" si="20"/>
        <v>1628027.1428571511</v>
      </c>
      <c r="H137" s="163">
        <f t="shared" si="16"/>
        <v>604765.61590623239</v>
      </c>
      <c r="I137" s="253">
        <f t="shared" si="17"/>
        <v>604765.61590623239</v>
      </c>
      <c r="J137" s="158">
        <f t="shared" si="21"/>
        <v>0</v>
      </c>
      <c r="K137" s="158"/>
      <c r="L137" s="334"/>
      <c r="M137" s="158">
        <f t="shared" si="22"/>
        <v>0</v>
      </c>
      <c r="N137" s="334"/>
      <c r="O137" s="158">
        <f t="shared" si="23"/>
        <v>0</v>
      </c>
      <c r="P137" s="158">
        <f t="shared" si="24"/>
        <v>0</v>
      </c>
    </row>
    <row r="138" spans="2:16">
      <c r="B138" s="9" t="str">
        <f t="shared" si="18"/>
        <v/>
      </c>
      <c r="C138" s="153">
        <f>IF(D93="","-",+C137+1)</f>
        <v>2056</v>
      </c>
      <c r="D138" s="154">
        <f>IF(F137+SUM(E$99:E137)=D$92,F137,D$92-SUM(E$99:E137))</f>
        <v>1424523.7500000084</v>
      </c>
      <c r="E138" s="160">
        <f>IF(+J96&lt;F137,J96,D138)</f>
        <v>407006.78571428574</v>
      </c>
      <c r="F138" s="159">
        <f t="shared" si="19"/>
        <v>1017516.9642857227</v>
      </c>
      <c r="G138" s="159">
        <f t="shared" si="20"/>
        <v>1221020.3571428657</v>
      </c>
      <c r="H138" s="163">
        <f t="shared" si="16"/>
        <v>555325.90835824597</v>
      </c>
      <c r="I138" s="253">
        <f t="shared" si="17"/>
        <v>555325.90835824597</v>
      </c>
      <c r="J138" s="158">
        <f t="shared" si="21"/>
        <v>0</v>
      </c>
      <c r="K138" s="158"/>
      <c r="L138" s="334"/>
      <c r="M138" s="158">
        <f t="shared" si="22"/>
        <v>0</v>
      </c>
      <c r="N138" s="334"/>
      <c r="O138" s="158">
        <f t="shared" si="23"/>
        <v>0</v>
      </c>
      <c r="P138" s="158">
        <f t="shared" si="24"/>
        <v>0</v>
      </c>
    </row>
    <row r="139" spans="2:16">
      <c r="B139" s="9" t="str">
        <f t="shared" si="18"/>
        <v/>
      </c>
      <c r="C139" s="153">
        <f>IF(D93="","-",+C138+1)</f>
        <v>2057</v>
      </c>
      <c r="D139" s="154">
        <f>IF(F138+SUM(E$99:E138)=D$92,F138,D$92-SUM(E$99:E138))</f>
        <v>1017516.9642857227</v>
      </c>
      <c r="E139" s="160">
        <f>IF(+J96&lt;F138,J96,D139)</f>
        <v>407006.78571428574</v>
      </c>
      <c r="F139" s="159">
        <f t="shared" si="19"/>
        <v>610510.17857143702</v>
      </c>
      <c r="G139" s="159">
        <f t="shared" si="20"/>
        <v>814013.57142857986</v>
      </c>
      <c r="H139" s="163">
        <f t="shared" si="16"/>
        <v>505886.20081025956</v>
      </c>
      <c r="I139" s="253">
        <f t="shared" si="17"/>
        <v>505886.20081025956</v>
      </c>
      <c r="J139" s="158">
        <f t="shared" si="21"/>
        <v>0</v>
      </c>
      <c r="K139" s="158"/>
      <c r="L139" s="334"/>
      <c r="M139" s="158">
        <f t="shared" si="22"/>
        <v>0</v>
      </c>
      <c r="N139" s="334"/>
      <c r="O139" s="158">
        <f t="shared" si="23"/>
        <v>0</v>
      </c>
      <c r="P139" s="158">
        <f t="shared" si="24"/>
        <v>0</v>
      </c>
    </row>
    <row r="140" spans="2:16">
      <c r="B140" s="9" t="str">
        <f t="shared" si="18"/>
        <v/>
      </c>
      <c r="C140" s="153">
        <f>IF(D93="","-",+C139+1)</f>
        <v>2058</v>
      </c>
      <c r="D140" s="154">
        <f>IF(F139+SUM(E$99:E139)=D$92,F139,D$92-SUM(E$99:E139))</f>
        <v>610510.17857143702</v>
      </c>
      <c r="E140" s="160">
        <f>IF(+J96&lt;F139,J96,D140)</f>
        <v>407006.78571428574</v>
      </c>
      <c r="F140" s="159">
        <f t="shared" si="19"/>
        <v>203503.39285715128</v>
      </c>
      <c r="G140" s="159">
        <f t="shared" si="20"/>
        <v>407006.78571429418</v>
      </c>
      <c r="H140" s="163">
        <f t="shared" si="16"/>
        <v>456446.4932622732</v>
      </c>
      <c r="I140" s="253">
        <f t="shared" si="17"/>
        <v>456446.4932622732</v>
      </c>
      <c r="J140" s="158">
        <f t="shared" si="21"/>
        <v>0</v>
      </c>
      <c r="K140" s="158"/>
      <c r="L140" s="334"/>
      <c r="M140" s="158">
        <f t="shared" si="22"/>
        <v>0</v>
      </c>
      <c r="N140" s="334"/>
      <c r="O140" s="158">
        <f t="shared" si="23"/>
        <v>0</v>
      </c>
      <c r="P140" s="158">
        <f t="shared" si="24"/>
        <v>0</v>
      </c>
    </row>
    <row r="141" spans="2:16">
      <c r="B141" s="9" t="str">
        <f t="shared" si="18"/>
        <v/>
      </c>
      <c r="C141" s="153">
        <f>IF(D93="","-",+C140+1)</f>
        <v>2059</v>
      </c>
      <c r="D141" s="154">
        <f>IF(F140+SUM(E$99:E140)=D$92,F140,D$92-SUM(E$99:E140))</f>
        <v>203503.39285715128</v>
      </c>
      <c r="E141" s="160">
        <f>IF(+J96&lt;F140,J96,D141)</f>
        <v>203503.39285715128</v>
      </c>
      <c r="F141" s="159">
        <f t="shared" si="19"/>
        <v>0</v>
      </c>
      <c r="G141" s="159">
        <f t="shared" si="20"/>
        <v>101751.69642857564</v>
      </c>
      <c r="H141" s="163">
        <f t="shared" si="16"/>
        <v>215863.31974414841</v>
      </c>
      <c r="I141" s="253">
        <f t="shared" si="17"/>
        <v>215863.31974414841</v>
      </c>
      <c r="J141" s="158">
        <f t="shared" si="21"/>
        <v>0</v>
      </c>
      <c r="K141" s="158"/>
      <c r="L141" s="334"/>
      <c r="M141" s="158">
        <f t="shared" si="22"/>
        <v>0</v>
      </c>
      <c r="N141" s="334"/>
      <c r="O141" s="158">
        <f t="shared" si="23"/>
        <v>0</v>
      </c>
      <c r="P141" s="158">
        <f t="shared" si="24"/>
        <v>0</v>
      </c>
    </row>
    <row r="142" spans="2:16">
      <c r="B142" s="9" t="str">
        <f t="shared" si="18"/>
        <v/>
      </c>
      <c r="C142" s="153">
        <f>IF(D93="","-",+C141+1)</f>
        <v>2060</v>
      </c>
      <c r="D142" s="154">
        <f>IF(F141+SUM(E$99:E141)=D$92,F141,D$92-SUM(E$99:E141))</f>
        <v>0</v>
      </c>
      <c r="E142" s="160">
        <f>IF(+J96&lt;F141,J96,D142)</f>
        <v>0</v>
      </c>
      <c r="F142" s="159">
        <f t="shared" si="19"/>
        <v>0</v>
      </c>
      <c r="G142" s="159">
        <f t="shared" si="20"/>
        <v>0</v>
      </c>
      <c r="H142" s="163">
        <f t="shared" si="16"/>
        <v>0</v>
      </c>
      <c r="I142" s="253">
        <f t="shared" si="17"/>
        <v>0</v>
      </c>
      <c r="J142" s="158">
        <f t="shared" si="21"/>
        <v>0</v>
      </c>
      <c r="K142" s="158"/>
      <c r="L142" s="334"/>
      <c r="M142" s="158">
        <f t="shared" si="22"/>
        <v>0</v>
      </c>
      <c r="N142" s="334"/>
      <c r="O142" s="158">
        <f t="shared" si="23"/>
        <v>0</v>
      </c>
      <c r="P142" s="158">
        <f t="shared" si="24"/>
        <v>0</v>
      </c>
    </row>
    <row r="143" spans="2:16">
      <c r="B143" s="9" t="str">
        <f t="shared" si="18"/>
        <v/>
      </c>
      <c r="C143" s="153">
        <f>IF(D93="","-",+C142+1)</f>
        <v>2061</v>
      </c>
      <c r="D143" s="154">
        <f>IF(F142+SUM(E$99:E142)=D$92,F142,D$92-SUM(E$99:E142))</f>
        <v>0</v>
      </c>
      <c r="E143" s="160">
        <f>IF(+J96&lt;F142,J96,D143)</f>
        <v>0</v>
      </c>
      <c r="F143" s="159">
        <f t="shared" si="19"/>
        <v>0</v>
      </c>
      <c r="G143" s="159">
        <f t="shared" si="20"/>
        <v>0</v>
      </c>
      <c r="H143" s="163">
        <f t="shared" si="16"/>
        <v>0</v>
      </c>
      <c r="I143" s="253">
        <f t="shared" si="17"/>
        <v>0</v>
      </c>
      <c r="J143" s="158">
        <f t="shared" si="21"/>
        <v>0</v>
      </c>
      <c r="K143" s="158"/>
      <c r="L143" s="334"/>
      <c r="M143" s="158">
        <f t="shared" si="22"/>
        <v>0</v>
      </c>
      <c r="N143" s="334"/>
      <c r="O143" s="158">
        <f t="shared" si="23"/>
        <v>0</v>
      </c>
      <c r="P143" s="158">
        <f t="shared" si="24"/>
        <v>0</v>
      </c>
    </row>
    <row r="144" spans="2:16">
      <c r="B144" s="9" t="str">
        <f t="shared" si="18"/>
        <v/>
      </c>
      <c r="C144" s="153">
        <f>IF(D93="","-",+C143+1)</f>
        <v>2062</v>
      </c>
      <c r="D144" s="154">
        <f>IF(F143+SUM(E$99:E143)=D$92,F143,D$92-SUM(E$99:E143))</f>
        <v>0</v>
      </c>
      <c r="E144" s="160">
        <f>IF(+J96&lt;F143,J96,D144)</f>
        <v>0</v>
      </c>
      <c r="F144" s="159">
        <f t="shared" si="19"/>
        <v>0</v>
      </c>
      <c r="G144" s="159">
        <f t="shared" si="20"/>
        <v>0</v>
      </c>
      <c r="H144" s="163">
        <f t="shared" si="16"/>
        <v>0</v>
      </c>
      <c r="I144" s="253">
        <f t="shared" si="17"/>
        <v>0</v>
      </c>
      <c r="J144" s="158">
        <f t="shared" si="21"/>
        <v>0</v>
      </c>
      <c r="K144" s="158"/>
      <c r="L144" s="334"/>
      <c r="M144" s="158">
        <f t="shared" si="22"/>
        <v>0</v>
      </c>
      <c r="N144" s="334"/>
      <c r="O144" s="158">
        <f t="shared" si="23"/>
        <v>0</v>
      </c>
      <c r="P144" s="158">
        <f t="shared" si="24"/>
        <v>0</v>
      </c>
    </row>
    <row r="145" spans="2:16">
      <c r="B145" s="9" t="str">
        <f t="shared" si="18"/>
        <v/>
      </c>
      <c r="C145" s="153">
        <f>IF(D93="","-",+C144+1)</f>
        <v>2063</v>
      </c>
      <c r="D145" s="154">
        <f>IF(F144+SUM(E$99:E144)=D$92,F144,D$92-SUM(E$99:E144))</f>
        <v>0</v>
      </c>
      <c r="E145" s="160">
        <f>IF(+J96&lt;F144,J96,D145)</f>
        <v>0</v>
      </c>
      <c r="F145" s="159">
        <f t="shared" si="19"/>
        <v>0</v>
      </c>
      <c r="G145" s="159">
        <f t="shared" si="20"/>
        <v>0</v>
      </c>
      <c r="H145" s="163">
        <f t="shared" si="16"/>
        <v>0</v>
      </c>
      <c r="I145" s="253">
        <f t="shared" si="17"/>
        <v>0</v>
      </c>
      <c r="J145" s="158">
        <f t="shared" si="21"/>
        <v>0</v>
      </c>
      <c r="K145" s="158"/>
      <c r="L145" s="334"/>
      <c r="M145" s="158">
        <f t="shared" si="22"/>
        <v>0</v>
      </c>
      <c r="N145" s="334"/>
      <c r="O145" s="158">
        <f t="shared" si="23"/>
        <v>0</v>
      </c>
      <c r="P145" s="158">
        <f t="shared" si="24"/>
        <v>0</v>
      </c>
    </row>
    <row r="146" spans="2:16">
      <c r="B146" s="9" t="str">
        <f t="shared" si="18"/>
        <v/>
      </c>
      <c r="C146" s="153">
        <f>IF(D93="","-",+C145+1)</f>
        <v>2064</v>
      </c>
      <c r="D146" s="154">
        <f>IF(F145+SUM(E$99:E145)=D$92,F145,D$92-SUM(E$99:E145))</f>
        <v>0</v>
      </c>
      <c r="E146" s="160">
        <f>IF(+J96&lt;F145,J96,D146)</f>
        <v>0</v>
      </c>
      <c r="F146" s="159">
        <f t="shared" si="19"/>
        <v>0</v>
      </c>
      <c r="G146" s="159">
        <f t="shared" si="20"/>
        <v>0</v>
      </c>
      <c r="H146" s="163">
        <f t="shared" si="16"/>
        <v>0</v>
      </c>
      <c r="I146" s="253">
        <f t="shared" si="17"/>
        <v>0</v>
      </c>
      <c r="J146" s="158">
        <f t="shared" si="21"/>
        <v>0</v>
      </c>
      <c r="K146" s="158"/>
      <c r="L146" s="334"/>
      <c r="M146" s="158">
        <f t="shared" si="22"/>
        <v>0</v>
      </c>
      <c r="N146" s="334"/>
      <c r="O146" s="158">
        <f t="shared" si="23"/>
        <v>0</v>
      </c>
      <c r="P146" s="158">
        <f t="shared" si="24"/>
        <v>0</v>
      </c>
    </row>
    <row r="147" spans="2:16">
      <c r="B147" s="9" t="str">
        <f t="shared" si="18"/>
        <v/>
      </c>
      <c r="C147" s="153">
        <f>IF(D93="","-",+C146+1)</f>
        <v>2065</v>
      </c>
      <c r="D147" s="154">
        <f>IF(F146+SUM(E$99:E146)=D$92,F146,D$92-SUM(E$99:E146))</f>
        <v>0</v>
      </c>
      <c r="E147" s="160">
        <f>IF(+J96&lt;F146,J96,D147)</f>
        <v>0</v>
      </c>
      <c r="F147" s="159">
        <f t="shared" si="19"/>
        <v>0</v>
      </c>
      <c r="G147" s="159">
        <f t="shared" si="20"/>
        <v>0</v>
      </c>
      <c r="H147" s="163">
        <f t="shared" si="16"/>
        <v>0</v>
      </c>
      <c r="I147" s="253">
        <f t="shared" si="17"/>
        <v>0</v>
      </c>
      <c r="J147" s="158">
        <f t="shared" si="21"/>
        <v>0</v>
      </c>
      <c r="K147" s="158"/>
      <c r="L147" s="334"/>
      <c r="M147" s="158">
        <f t="shared" si="22"/>
        <v>0</v>
      </c>
      <c r="N147" s="334"/>
      <c r="O147" s="158">
        <f t="shared" si="23"/>
        <v>0</v>
      </c>
      <c r="P147" s="158">
        <f t="shared" si="24"/>
        <v>0</v>
      </c>
    </row>
    <row r="148" spans="2:16">
      <c r="B148" s="9" t="str">
        <f t="shared" si="18"/>
        <v/>
      </c>
      <c r="C148" s="153">
        <f>IF(D93="","-",+C147+1)</f>
        <v>2066</v>
      </c>
      <c r="D148" s="154">
        <f>IF(F147+SUM(E$99:E147)=D$92,F147,D$92-SUM(E$99:E147))</f>
        <v>0</v>
      </c>
      <c r="E148" s="160">
        <f>IF(+J96&lt;F147,J96,D148)</f>
        <v>0</v>
      </c>
      <c r="F148" s="159">
        <f t="shared" si="19"/>
        <v>0</v>
      </c>
      <c r="G148" s="159">
        <f t="shared" si="20"/>
        <v>0</v>
      </c>
      <c r="H148" s="163">
        <f t="shared" si="16"/>
        <v>0</v>
      </c>
      <c r="I148" s="253">
        <f t="shared" si="17"/>
        <v>0</v>
      </c>
      <c r="J148" s="158">
        <f t="shared" si="21"/>
        <v>0</v>
      </c>
      <c r="K148" s="158"/>
      <c r="L148" s="334"/>
      <c r="M148" s="158">
        <f t="shared" si="22"/>
        <v>0</v>
      </c>
      <c r="N148" s="334"/>
      <c r="O148" s="158">
        <f t="shared" si="23"/>
        <v>0</v>
      </c>
      <c r="P148" s="158">
        <f t="shared" si="24"/>
        <v>0</v>
      </c>
    </row>
    <row r="149" spans="2:16">
      <c r="B149" s="9" t="str">
        <f t="shared" si="18"/>
        <v/>
      </c>
      <c r="C149" s="153">
        <f>IF(D93="","-",+C148+1)</f>
        <v>2067</v>
      </c>
      <c r="D149" s="154">
        <f>IF(F148+SUM(E$99:E148)=D$92,F148,D$92-SUM(E$99:E148))</f>
        <v>0</v>
      </c>
      <c r="E149" s="160">
        <f>IF(+J96&lt;F148,J96,D149)</f>
        <v>0</v>
      </c>
      <c r="F149" s="159">
        <f t="shared" si="19"/>
        <v>0</v>
      </c>
      <c r="G149" s="159">
        <f t="shared" si="20"/>
        <v>0</v>
      </c>
      <c r="H149" s="163">
        <f t="shared" si="16"/>
        <v>0</v>
      </c>
      <c r="I149" s="253">
        <f t="shared" si="17"/>
        <v>0</v>
      </c>
      <c r="J149" s="158">
        <f t="shared" si="21"/>
        <v>0</v>
      </c>
      <c r="K149" s="158"/>
      <c r="L149" s="334"/>
      <c r="M149" s="158">
        <f t="shared" si="22"/>
        <v>0</v>
      </c>
      <c r="N149" s="334"/>
      <c r="O149" s="158">
        <f t="shared" si="23"/>
        <v>0</v>
      </c>
      <c r="P149" s="158">
        <f t="shared" si="24"/>
        <v>0</v>
      </c>
    </row>
    <row r="150" spans="2:16">
      <c r="B150" s="9" t="str">
        <f t="shared" si="18"/>
        <v/>
      </c>
      <c r="C150" s="153">
        <f>IF(D93="","-",+C149+1)</f>
        <v>2068</v>
      </c>
      <c r="D150" s="154">
        <f>IF(F149+SUM(E$99:E149)=D$92,F149,D$92-SUM(E$99:E149))</f>
        <v>0</v>
      </c>
      <c r="E150" s="160">
        <f>IF(+J96&lt;F149,J96,D150)</f>
        <v>0</v>
      </c>
      <c r="F150" s="159">
        <f t="shared" si="19"/>
        <v>0</v>
      </c>
      <c r="G150" s="159">
        <f t="shared" si="20"/>
        <v>0</v>
      </c>
      <c r="H150" s="163">
        <f t="shared" si="16"/>
        <v>0</v>
      </c>
      <c r="I150" s="253">
        <f t="shared" si="17"/>
        <v>0</v>
      </c>
      <c r="J150" s="158">
        <f t="shared" si="21"/>
        <v>0</v>
      </c>
      <c r="K150" s="158"/>
      <c r="L150" s="334"/>
      <c r="M150" s="158">
        <f t="shared" si="22"/>
        <v>0</v>
      </c>
      <c r="N150" s="334"/>
      <c r="O150" s="158">
        <f t="shared" si="23"/>
        <v>0</v>
      </c>
      <c r="P150" s="158">
        <f t="shared" si="24"/>
        <v>0</v>
      </c>
    </row>
    <row r="151" spans="2:16">
      <c r="B151" s="9" t="str">
        <f t="shared" si="18"/>
        <v/>
      </c>
      <c r="C151" s="153">
        <f>IF(D93="","-",+C150+1)</f>
        <v>2069</v>
      </c>
      <c r="D151" s="154">
        <f>IF(F150+SUM(E$99:E150)=D$92,F150,D$92-SUM(E$99:E150))</f>
        <v>0</v>
      </c>
      <c r="E151" s="160">
        <f>IF(+J96&lt;F150,J96,D151)</f>
        <v>0</v>
      </c>
      <c r="F151" s="159">
        <f t="shared" si="19"/>
        <v>0</v>
      </c>
      <c r="G151" s="159">
        <f t="shared" si="20"/>
        <v>0</v>
      </c>
      <c r="H151" s="163">
        <f t="shared" si="16"/>
        <v>0</v>
      </c>
      <c r="I151" s="253">
        <f t="shared" si="17"/>
        <v>0</v>
      </c>
      <c r="J151" s="158">
        <f t="shared" si="21"/>
        <v>0</v>
      </c>
      <c r="K151" s="158"/>
      <c r="L151" s="334"/>
      <c r="M151" s="158">
        <f t="shared" si="22"/>
        <v>0</v>
      </c>
      <c r="N151" s="334"/>
      <c r="O151" s="158">
        <f t="shared" si="23"/>
        <v>0</v>
      </c>
      <c r="P151" s="158">
        <f t="shared" si="24"/>
        <v>0</v>
      </c>
    </row>
    <row r="152" spans="2:16">
      <c r="B152" s="9" t="str">
        <f t="shared" si="18"/>
        <v/>
      </c>
      <c r="C152" s="153">
        <f>IF(D93="","-",+C151+1)</f>
        <v>2070</v>
      </c>
      <c r="D152" s="154">
        <f>IF(F151+SUM(E$99:E151)=D$92,F151,D$92-SUM(E$99:E151))</f>
        <v>0</v>
      </c>
      <c r="E152" s="160">
        <f>IF(+J96&lt;F151,J96,D152)</f>
        <v>0</v>
      </c>
      <c r="F152" s="159">
        <f t="shared" si="19"/>
        <v>0</v>
      </c>
      <c r="G152" s="159">
        <f t="shared" si="20"/>
        <v>0</v>
      </c>
      <c r="H152" s="163">
        <f t="shared" si="16"/>
        <v>0</v>
      </c>
      <c r="I152" s="253">
        <f t="shared" si="17"/>
        <v>0</v>
      </c>
      <c r="J152" s="158">
        <f t="shared" si="21"/>
        <v>0</v>
      </c>
      <c r="K152" s="158"/>
      <c r="L152" s="334"/>
      <c r="M152" s="158">
        <f t="shared" si="22"/>
        <v>0</v>
      </c>
      <c r="N152" s="334"/>
      <c r="O152" s="158">
        <f t="shared" si="23"/>
        <v>0</v>
      </c>
      <c r="P152" s="158">
        <f t="shared" si="24"/>
        <v>0</v>
      </c>
    </row>
    <row r="153" spans="2:16">
      <c r="B153" s="9" t="str">
        <f t="shared" si="18"/>
        <v/>
      </c>
      <c r="C153" s="153">
        <f>IF(D93="","-",+C152+1)</f>
        <v>2071</v>
      </c>
      <c r="D153" s="154">
        <f>IF(F152+SUM(E$99:E152)=D$92,F152,D$92-SUM(E$99:E152))</f>
        <v>0</v>
      </c>
      <c r="E153" s="160">
        <f>IF(+J96&lt;F152,J96,D153)</f>
        <v>0</v>
      </c>
      <c r="F153" s="159">
        <f t="shared" si="19"/>
        <v>0</v>
      </c>
      <c r="G153" s="159">
        <f t="shared" si="20"/>
        <v>0</v>
      </c>
      <c r="H153" s="163">
        <f t="shared" si="16"/>
        <v>0</v>
      </c>
      <c r="I153" s="253">
        <f t="shared" si="17"/>
        <v>0</v>
      </c>
      <c r="J153" s="158">
        <f t="shared" si="21"/>
        <v>0</v>
      </c>
      <c r="K153" s="158"/>
      <c r="L153" s="334"/>
      <c r="M153" s="158">
        <f t="shared" si="22"/>
        <v>0</v>
      </c>
      <c r="N153" s="334"/>
      <c r="O153" s="158">
        <f t="shared" si="23"/>
        <v>0</v>
      </c>
      <c r="P153" s="158">
        <f t="shared" si="24"/>
        <v>0</v>
      </c>
    </row>
    <row r="154" spans="2:16" ht="13.5" thickBot="1">
      <c r="B154" s="9" t="str">
        <f t="shared" si="18"/>
        <v/>
      </c>
      <c r="C154" s="164">
        <f>IF(D93="","-",+C153+1)</f>
        <v>2072</v>
      </c>
      <c r="D154" s="215">
        <f>IF(F153+SUM(E$99:E153)=D$92,F153,D$92-SUM(E$99:E153))</f>
        <v>0</v>
      </c>
      <c r="E154" s="166">
        <f>IF(+J96&lt;F153,J96,D154)</f>
        <v>0</v>
      </c>
      <c r="F154" s="165">
        <f t="shared" si="19"/>
        <v>0</v>
      </c>
      <c r="G154" s="165">
        <f t="shared" si="20"/>
        <v>0</v>
      </c>
      <c r="H154" s="167">
        <f t="shared" si="16"/>
        <v>0</v>
      </c>
      <c r="I154" s="254">
        <f t="shared" si="17"/>
        <v>0</v>
      </c>
      <c r="J154" s="169">
        <f t="shared" si="21"/>
        <v>0</v>
      </c>
      <c r="K154" s="158"/>
      <c r="L154" s="335"/>
      <c r="M154" s="169">
        <f t="shared" si="22"/>
        <v>0</v>
      </c>
      <c r="N154" s="335"/>
      <c r="O154" s="169">
        <f t="shared" si="23"/>
        <v>0</v>
      </c>
      <c r="P154" s="169">
        <f t="shared" si="24"/>
        <v>0</v>
      </c>
    </row>
    <row r="155" spans="2:16">
      <c r="C155" s="154" t="s">
        <v>73</v>
      </c>
      <c r="D155" s="111"/>
      <c r="E155" s="111">
        <f>SUM(E99:E154)</f>
        <v>17094285.000000004</v>
      </c>
      <c r="F155" s="111"/>
      <c r="G155" s="111"/>
      <c r="H155" s="111">
        <f>SUM(H99:H154)</f>
        <v>60700107.057324059</v>
      </c>
      <c r="I155" s="111">
        <f>SUM(I99:I154)</f>
        <v>60700107.057324059</v>
      </c>
      <c r="J155" s="111">
        <f>SUM(J99:J154)</f>
        <v>0</v>
      </c>
      <c r="K155" s="111"/>
      <c r="L155" s="111"/>
      <c r="M155" s="111"/>
      <c r="N155" s="111"/>
      <c r="O155" s="111"/>
      <c r="P155" s="1"/>
    </row>
    <row r="156" spans="2:16">
      <c r="C156" t="s">
        <v>87</v>
      </c>
      <c r="D156" s="2"/>
      <c r="E156" s="1"/>
      <c r="F156" s="1"/>
      <c r="G156" s="1"/>
      <c r="H156" s="1"/>
      <c r="I156" s="3"/>
      <c r="J156" s="3"/>
      <c r="K156" s="111"/>
      <c r="L156" s="3"/>
      <c r="M156" s="3"/>
      <c r="N156" s="3"/>
      <c r="O156" s="3"/>
      <c r="P156" s="1"/>
    </row>
    <row r="157" spans="2:16">
      <c r="C157" s="216"/>
      <c r="D157" s="2"/>
      <c r="E157" s="1"/>
      <c r="F157" s="1"/>
      <c r="G157" s="1"/>
      <c r="H157" s="1"/>
      <c r="I157" s="3"/>
      <c r="J157" s="3"/>
      <c r="K157" s="111"/>
      <c r="L157" s="3"/>
      <c r="M157" s="3"/>
      <c r="N157" s="3"/>
      <c r="O157" s="3"/>
      <c r="P157" s="1"/>
    </row>
    <row r="158" spans="2:16">
      <c r="C158" s="248" t="s">
        <v>127</v>
      </c>
      <c r="D158" s="2"/>
      <c r="E158" s="1"/>
      <c r="F158" s="1"/>
      <c r="G158" s="1"/>
      <c r="H158" s="1"/>
      <c r="I158" s="3"/>
      <c r="J158" s="3"/>
      <c r="K158" s="111"/>
      <c r="L158" s="3"/>
      <c r="M158" s="3"/>
      <c r="N158" s="3"/>
      <c r="O158" s="3"/>
      <c r="P158" s="1"/>
    </row>
    <row r="159" spans="2:16">
      <c r="C159" s="121" t="s">
        <v>74</v>
      </c>
      <c r="D159" s="154"/>
      <c r="E159" s="154"/>
      <c r="F159" s="154"/>
      <c r="G159" s="154"/>
      <c r="H159" s="111"/>
      <c r="I159" s="111"/>
      <c r="J159" s="171"/>
      <c r="K159" s="171"/>
      <c r="L159" s="171"/>
      <c r="M159" s="171"/>
      <c r="N159" s="171"/>
      <c r="O159" s="171"/>
      <c r="P159" s="1"/>
    </row>
    <row r="160" spans="2:16">
      <c r="C160" s="217" t="s">
        <v>75</v>
      </c>
      <c r="D160" s="154"/>
      <c r="E160" s="154"/>
      <c r="F160" s="154"/>
      <c r="G160" s="154"/>
      <c r="H160" s="111"/>
      <c r="I160" s="111"/>
      <c r="J160" s="171"/>
      <c r="K160" s="171"/>
      <c r="L160" s="171"/>
      <c r="M160" s="171"/>
      <c r="N160" s="171"/>
      <c r="O160" s="171"/>
      <c r="P160" s="1"/>
    </row>
    <row r="161" spans="3:16">
      <c r="C161" s="217"/>
      <c r="D161" s="154"/>
      <c r="E161" s="154"/>
      <c r="F161" s="154"/>
      <c r="G161" s="154"/>
      <c r="H161" s="111"/>
      <c r="I161" s="111"/>
      <c r="J161" s="171"/>
      <c r="K161" s="171"/>
      <c r="L161" s="171"/>
      <c r="M161" s="171"/>
      <c r="N161" s="171"/>
      <c r="O161" s="171"/>
      <c r="P161" s="1"/>
    </row>
    <row r="162" spans="3:16" ht="18">
      <c r="C162" s="217"/>
      <c r="D162" s="154"/>
      <c r="E162" s="154"/>
      <c r="F162" s="154"/>
      <c r="G162" s="154"/>
      <c r="H162" s="111"/>
      <c r="I162" s="111"/>
      <c r="J162" s="171"/>
      <c r="K162" s="171"/>
      <c r="L162" s="171"/>
      <c r="M162" s="171"/>
      <c r="N162" s="171"/>
      <c r="P162" s="245" t="s">
        <v>126</v>
      </c>
    </row>
  </sheetData>
  <conditionalFormatting sqref="C18:C72">
    <cfRule type="cellIs" dxfId="31" priority="2" stopIfTrue="1" operator="equal">
      <formula>$I$10</formula>
    </cfRule>
  </conditionalFormatting>
  <conditionalFormatting sqref="C99:C154">
    <cfRule type="cellIs" dxfId="30" priority="3" stopIfTrue="1" operator="equal">
      <formula>$J$92</formula>
    </cfRule>
  </conditionalFormatting>
  <conditionalFormatting sqref="C17">
    <cfRule type="cellIs" dxfId="29" priority="1" stopIfTrue="1" operator="equal">
      <formula>$I$10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4"/>
  <dimension ref="A1:P162"/>
  <sheetViews>
    <sheetView view="pageBreakPreview" topLeftCell="A70" zoomScale="80" zoomScaleNormal="100" zoomScaleSheetLayoutView="80" workbookViewId="0">
      <selection activeCell="C19" sqref="C19"/>
    </sheetView>
  </sheetViews>
  <sheetFormatPr defaultRowHeight="12.75" customHeight="1"/>
  <cols>
    <col min="1" max="1" width="4.7109375" customWidth="1"/>
    <col min="2" max="2" width="6.7109375" customWidth="1"/>
    <col min="3" max="3" width="23.28515625" customWidth="1"/>
    <col min="4" max="8" width="17.7109375" customWidth="1"/>
    <col min="9" max="9" width="20.42578125" customWidth="1"/>
    <col min="10" max="10" width="16.42578125" customWidth="1"/>
    <col min="11" max="11" width="17.7109375" customWidth="1"/>
    <col min="12" max="12" width="16.140625" customWidth="1"/>
    <col min="13" max="13" width="17.7109375" customWidth="1"/>
    <col min="14" max="14" width="16.7109375" customWidth="1"/>
    <col min="15" max="15" width="16.85546875" customWidth="1"/>
    <col min="16" max="16" width="24.42578125" customWidth="1"/>
    <col min="17" max="17" width="9.140625" customWidth="1"/>
    <col min="23" max="23" width="9.140625" customWidth="1"/>
  </cols>
  <sheetData>
    <row r="1" spans="1:16" ht="20.25">
      <c r="A1" s="243" t="s">
        <v>128</v>
      </c>
      <c r="B1" s="1"/>
      <c r="C1" s="21"/>
      <c r="D1" s="2"/>
      <c r="E1" s="1"/>
      <c r="F1" s="99"/>
      <c r="G1" s="1"/>
      <c r="H1" s="3"/>
      <c r="J1" s="7"/>
      <c r="K1" s="109"/>
      <c r="L1" s="109"/>
      <c r="M1" s="109"/>
      <c r="P1" s="249" t="str">
        <f ca="1">"SWEPCO Project "&amp;RIGHT(MID(CELL("filename",$A$1),FIND("]",CELL("filename",$A$1))+1,256),2)&amp;" of "&amp;COUNT('S.001:S.xyz - blank'!$P$3)-1</f>
        <v>SWEPCO Project 65 of 73</v>
      </c>
    </row>
    <row r="2" spans="1:16" ht="18">
      <c r="B2" s="1"/>
      <c r="C2" s="1"/>
      <c r="D2" s="2"/>
      <c r="E2" s="1"/>
      <c r="F2" s="1"/>
      <c r="G2" s="1"/>
      <c r="H2" s="3"/>
      <c r="I2" s="1"/>
      <c r="J2" s="4"/>
      <c r="K2" s="1"/>
      <c r="L2" s="1"/>
      <c r="M2" s="1"/>
      <c r="N2" s="1"/>
      <c r="P2" s="244" t="s">
        <v>124</v>
      </c>
    </row>
    <row r="3" spans="1:16" ht="18.75">
      <c r="B3" s="5" t="s">
        <v>40</v>
      </c>
      <c r="C3" s="68" t="s">
        <v>41</v>
      </c>
      <c r="D3" s="2"/>
      <c r="E3" s="1"/>
      <c r="F3" s="1"/>
      <c r="G3" s="1"/>
      <c r="H3" s="3"/>
      <c r="I3" s="3"/>
      <c r="J3" s="111"/>
      <c r="K3" s="3"/>
      <c r="L3" s="3"/>
      <c r="M3" s="3"/>
      <c r="N3" s="3"/>
      <c r="O3" s="1"/>
      <c r="P3" s="240">
        <v>1</v>
      </c>
    </row>
    <row r="4" spans="1:16" ht="15.75" thickBot="1">
      <c r="C4" s="67"/>
      <c r="D4" s="2"/>
      <c r="E4" s="1"/>
      <c r="F4" s="1"/>
      <c r="G4" s="1"/>
      <c r="H4" s="3"/>
      <c r="I4" s="3"/>
      <c r="J4" s="111"/>
      <c r="K4" s="3"/>
      <c r="L4" s="3"/>
      <c r="M4" s="3"/>
      <c r="N4" s="3"/>
      <c r="O4" s="1"/>
      <c r="P4" s="1"/>
    </row>
    <row r="5" spans="1:16" ht="15">
      <c r="C5" s="112" t="s">
        <v>42</v>
      </c>
      <c r="D5" s="2"/>
      <c r="E5" s="1"/>
      <c r="F5" s="1"/>
      <c r="G5" s="113"/>
      <c r="H5" s="1" t="s">
        <v>43</v>
      </c>
      <c r="I5" s="1"/>
      <c r="J5" s="4"/>
      <c r="K5" s="268" t="s">
        <v>152</v>
      </c>
      <c r="L5" s="114"/>
      <c r="M5" s="115"/>
      <c r="N5" s="116">
        <f>VLOOKUP(I10,C17:I72,5)</f>
        <v>218779.11395722814</v>
      </c>
      <c r="P5" s="1"/>
    </row>
    <row r="6" spans="1:16" ht="15.75">
      <c r="C6" s="8"/>
      <c r="D6" s="2"/>
      <c r="E6" s="1"/>
      <c r="F6" s="1"/>
      <c r="G6" s="1"/>
      <c r="H6" s="117"/>
      <c r="I6" s="117"/>
      <c r="J6" s="118"/>
      <c r="K6" s="269" t="s">
        <v>153</v>
      </c>
      <c r="L6" s="119"/>
      <c r="M6" s="4"/>
      <c r="N6" s="120">
        <f>VLOOKUP(I10,C17:I72,6)</f>
        <v>218779.11395722814</v>
      </c>
      <c r="O6" s="1"/>
      <c r="P6" s="1"/>
    </row>
    <row r="7" spans="1:16" ht="13.5" thickBot="1">
      <c r="C7" s="121" t="s">
        <v>44</v>
      </c>
      <c r="D7" s="223" t="s">
        <v>375</v>
      </c>
      <c r="E7" s="1"/>
      <c r="F7" s="1"/>
      <c r="G7" s="1"/>
      <c r="H7" s="3"/>
      <c r="I7" s="3"/>
      <c r="J7" s="111"/>
      <c r="K7" s="122" t="s">
        <v>45</v>
      </c>
      <c r="L7" s="123"/>
      <c r="M7" s="123"/>
      <c r="N7" s="124">
        <f>+N6-N5</f>
        <v>0</v>
      </c>
      <c r="O7" s="1"/>
      <c r="P7" s="1"/>
    </row>
    <row r="8" spans="1:16" ht="13.5" thickBot="1">
      <c r="C8" s="125"/>
      <c r="D8" s="352" t="str">
        <f>IF(D10&lt;100000,"DOES NOT MEET SPP $100,000 MINIMUM INVESTMENT FOR REGIONAL BPU SHARING.","")</f>
        <v/>
      </c>
      <c r="E8" s="126"/>
      <c r="F8" s="126"/>
      <c r="G8" s="126"/>
      <c r="H8" s="126"/>
      <c r="I8" s="126"/>
      <c r="J8" s="101"/>
      <c r="K8" s="126"/>
      <c r="L8" s="126"/>
      <c r="M8" s="126"/>
      <c r="N8" s="126"/>
      <c r="O8" s="101"/>
      <c r="P8" s="21"/>
    </row>
    <row r="9" spans="1:16" ht="13.5" thickBot="1">
      <c r="C9" s="127" t="s">
        <v>46</v>
      </c>
      <c r="D9" s="225" t="s">
        <v>252</v>
      </c>
      <c r="E9" s="401" t="s">
        <v>452</v>
      </c>
      <c r="F9" s="128"/>
      <c r="G9" s="128"/>
      <c r="H9" s="128"/>
      <c r="I9" s="129"/>
      <c r="J9" s="130"/>
      <c r="O9" s="131"/>
      <c r="P9" s="4"/>
    </row>
    <row r="10" spans="1:16">
      <c r="C10" s="132" t="s">
        <v>47</v>
      </c>
      <c r="D10" s="133">
        <v>1835000</v>
      </c>
      <c r="E10" s="61" t="s">
        <v>459</v>
      </c>
      <c r="F10" s="131"/>
      <c r="G10" s="134"/>
      <c r="H10" s="134"/>
      <c r="I10" s="135">
        <f>+SWE.WS.F.BPU.ATRR.Projected!K17</f>
        <v>2019</v>
      </c>
      <c r="J10" s="130"/>
      <c r="K10" s="111" t="s">
        <v>48</v>
      </c>
      <c r="O10" s="4"/>
      <c r="P10" s="4"/>
    </row>
    <row r="11" spans="1:16">
      <c r="C11" s="136" t="s">
        <v>49</v>
      </c>
      <c r="D11" s="137">
        <v>2017</v>
      </c>
      <c r="E11" s="136" t="s">
        <v>50</v>
      </c>
      <c r="F11" s="134"/>
      <c r="G11" s="7"/>
      <c r="H11" s="7"/>
      <c r="I11" s="138">
        <f>IF(G5="",0,SWE.WS.F.BPU.ATRR.Projected!F$11)</f>
        <v>0</v>
      </c>
      <c r="J11" s="139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4"/>
      <c r="P11" s="4"/>
    </row>
    <row r="12" spans="1:16">
      <c r="C12" s="136" t="s">
        <v>51</v>
      </c>
      <c r="D12" s="133">
        <v>11</v>
      </c>
      <c r="E12" s="136" t="s">
        <v>52</v>
      </c>
      <c r="F12" s="134"/>
      <c r="G12" s="7"/>
      <c r="H12" s="7"/>
      <c r="I12" s="140">
        <f>SWE.WS.F.BPU.ATRR.Projected!$F$76</f>
        <v>9.9555672459071778E-2</v>
      </c>
      <c r="J12" s="141"/>
      <c r="K12" t="s">
        <v>53</v>
      </c>
      <c r="O12" s="4"/>
      <c r="P12" s="4"/>
    </row>
    <row r="13" spans="1:16">
      <c r="C13" s="136" t="s">
        <v>54</v>
      </c>
      <c r="D13" s="138">
        <f>+SWE.WS.F.BPU.ATRR.Projected!F$87</f>
        <v>43</v>
      </c>
      <c r="E13" s="136" t="s">
        <v>55</v>
      </c>
      <c r="F13" s="134"/>
      <c r="G13" s="7"/>
      <c r="H13" s="7"/>
      <c r="I13" s="140">
        <f>IF(G5="",I12,SWE.WS.F.BPU.ATRR.Projected!$F$75)</f>
        <v>9.9555672459071778E-2</v>
      </c>
      <c r="J13" s="141"/>
      <c r="K13" s="111" t="s">
        <v>56</v>
      </c>
      <c r="L13" s="58"/>
      <c r="M13" s="58"/>
      <c r="N13" s="58"/>
      <c r="O13" s="4"/>
      <c r="P13" s="4"/>
    </row>
    <row r="14" spans="1:16" ht="13.5" thickBot="1">
      <c r="C14" s="136" t="s">
        <v>57</v>
      </c>
      <c r="D14" s="137" t="s">
        <v>58</v>
      </c>
      <c r="E14" s="4" t="s">
        <v>59</v>
      </c>
      <c r="F14" s="134"/>
      <c r="G14" s="7"/>
      <c r="H14" s="7"/>
      <c r="I14" s="142">
        <f>IF(D10=0,0,D10/D13)</f>
        <v>42674.41860465116</v>
      </c>
      <c r="J14" s="111"/>
      <c r="K14" s="111"/>
      <c r="L14" s="111"/>
      <c r="M14" s="111"/>
      <c r="N14" s="111"/>
      <c r="O14" s="4"/>
      <c r="P14" s="4"/>
    </row>
    <row r="15" spans="1:16" ht="38.25">
      <c r="C15" s="143" t="s">
        <v>47</v>
      </c>
      <c r="D15" s="144" t="s">
        <v>60</v>
      </c>
      <c r="E15" s="144" t="s">
        <v>61</v>
      </c>
      <c r="F15" s="144" t="s">
        <v>62</v>
      </c>
      <c r="G15" s="434" t="s">
        <v>378</v>
      </c>
      <c r="H15" s="435" t="s">
        <v>379</v>
      </c>
      <c r="I15" s="143" t="s">
        <v>63</v>
      </c>
      <c r="J15" s="145"/>
      <c r="K15" s="271" t="s">
        <v>219</v>
      </c>
      <c r="L15" s="146" t="s">
        <v>64</v>
      </c>
      <c r="M15" s="271" t="s">
        <v>219</v>
      </c>
      <c r="N15" s="146" t="s">
        <v>64</v>
      </c>
      <c r="O15" s="146" t="s">
        <v>65</v>
      </c>
      <c r="P15" s="4"/>
    </row>
    <row r="16" spans="1:16" ht="13.5" thickBot="1">
      <c r="C16" s="147" t="s">
        <v>66</v>
      </c>
      <c r="D16" s="147" t="s">
        <v>67</v>
      </c>
      <c r="E16" s="147" t="s">
        <v>68</v>
      </c>
      <c r="F16" s="147" t="s">
        <v>67</v>
      </c>
      <c r="G16" s="408" t="s">
        <v>69</v>
      </c>
      <c r="H16" s="148" t="s">
        <v>70</v>
      </c>
      <c r="I16" s="149" t="s">
        <v>89</v>
      </c>
      <c r="J16" s="150" t="s">
        <v>71</v>
      </c>
      <c r="K16" s="151" t="s">
        <v>72</v>
      </c>
      <c r="L16" s="151" t="s">
        <v>72</v>
      </c>
      <c r="M16" s="151" t="s">
        <v>90</v>
      </c>
      <c r="N16" s="152" t="s">
        <v>90</v>
      </c>
      <c r="O16" s="151" t="s">
        <v>90</v>
      </c>
      <c r="P16" s="4"/>
    </row>
    <row r="17" spans="2:16">
      <c r="C17" s="153">
        <f>IF(D11= "","-",D11)</f>
        <v>2017</v>
      </c>
      <c r="D17" s="360">
        <v>0</v>
      </c>
      <c r="E17" s="360">
        <v>0</v>
      </c>
      <c r="F17" s="360">
        <v>1835000</v>
      </c>
      <c r="G17" s="360">
        <v>113671.39959306066</v>
      </c>
      <c r="H17" s="360">
        <v>113671.39959306066</v>
      </c>
      <c r="I17" s="156">
        <v>0</v>
      </c>
      <c r="J17" s="156"/>
      <c r="K17" s="258">
        <f>+G17</f>
        <v>113671.39959306066</v>
      </c>
      <c r="L17" s="257">
        <f>IF(K17&lt;&gt;0,+G17-K17,0)</f>
        <v>0</v>
      </c>
      <c r="M17" s="258">
        <f>+H17</f>
        <v>113671.39959306066</v>
      </c>
      <c r="N17" s="158">
        <f>IF(M17&lt;&gt;0,+H17-M17,0)</f>
        <v>0</v>
      </c>
      <c r="O17" s="158">
        <f>+N17-L17</f>
        <v>0</v>
      </c>
      <c r="P17" s="4"/>
    </row>
    <row r="18" spans="2:16">
      <c r="B18" s="9" t="str">
        <f>IF(D18=F17,"","IU")</f>
        <v/>
      </c>
      <c r="C18" s="153">
        <f>IF(D11="","-",+C17+1)</f>
        <v>2018</v>
      </c>
      <c r="D18" s="360">
        <v>1835000</v>
      </c>
      <c r="E18" s="360">
        <v>44756.097560975613</v>
      </c>
      <c r="F18" s="360">
        <v>1790243.9024390243</v>
      </c>
      <c r="G18" s="360">
        <v>247559.87267195253</v>
      </c>
      <c r="H18" s="360">
        <v>247559.87267195253</v>
      </c>
      <c r="I18" s="156">
        <f t="shared" ref="I18:I72" si="0">H18-G18</f>
        <v>0</v>
      </c>
      <c r="J18" s="156"/>
      <c r="K18" s="258">
        <f>+G18</f>
        <v>247559.87267195253</v>
      </c>
      <c r="L18" s="257">
        <f>IF(K18&lt;&gt;0,+G18-K18,0)</f>
        <v>0</v>
      </c>
      <c r="M18" s="258">
        <f>+H18</f>
        <v>247559.87267195253</v>
      </c>
      <c r="N18" s="158">
        <f>IF(M18&lt;&gt;0,+H18-M18,0)</f>
        <v>0</v>
      </c>
      <c r="O18" s="158">
        <f>+N18-L18</f>
        <v>0</v>
      </c>
      <c r="P18" s="4"/>
    </row>
    <row r="19" spans="2:16">
      <c r="B19" s="9" t="str">
        <f>IF(D19=F18,"","IU")</f>
        <v/>
      </c>
      <c r="C19" s="153">
        <f>IF(D11="","-",+C18+1)</f>
        <v>2019</v>
      </c>
      <c r="D19" s="159">
        <f>IF(F18+SUM(E$17:E18)=D$10,F18,D$10-SUM(E$17:E18))</f>
        <v>1790243.9024390243</v>
      </c>
      <c r="E19" s="160">
        <f>IF(+I14&lt;F18,I14,D19)</f>
        <v>42674.41860465116</v>
      </c>
      <c r="F19" s="159">
        <f t="shared" ref="F19:F72" si="1">+D19-E19</f>
        <v>1747569.4838343731</v>
      </c>
      <c r="G19" s="161">
        <f t="shared" ref="G19:G48" si="2">+I$12*((D19+F19)/2)+E19</f>
        <v>218779.11395722814</v>
      </c>
      <c r="H19" s="142">
        <f t="shared" ref="H19:H48" si="3">+I$13*((D19+F19)/2)+E19</f>
        <v>218779.11395722814</v>
      </c>
      <c r="I19" s="156">
        <f t="shared" si="0"/>
        <v>0</v>
      </c>
      <c r="J19" s="156"/>
      <c r="K19" s="334"/>
      <c r="L19" s="158">
        <f t="shared" ref="L19:L72" si="4">IF(K19&lt;&gt;0,+G19-K19,0)</f>
        <v>0</v>
      </c>
      <c r="M19" s="334"/>
      <c r="N19" s="158">
        <f t="shared" ref="N19:N72" si="5">IF(M19&lt;&gt;0,+H19-M19,0)</f>
        <v>0</v>
      </c>
      <c r="O19" s="158">
        <f t="shared" ref="O19:O72" si="6">+N19-L19</f>
        <v>0</v>
      </c>
      <c r="P19" s="4"/>
    </row>
    <row r="20" spans="2:16">
      <c r="B20" s="9" t="str">
        <f t="shared" ref="B20:B72" si="7">IF(D20=F19,"","IU")</f>
        <v/>
      </c>
      <c r="C20" s="153">
        <f>IF(D11="","-",+C19+1)</f>
        <v>2020</v>
      </c>
      <c r="D20" s="159">
        <f>IF(F19+SUM(E$17:E19)=D$10,F19,D$10-SUM(E$17:E19))</f>
        <v>1747569.4838343731</v>
      </c>
      <c r="E20" s="160">
        <f>IF(+I14&lt;F19,I14,D20)</f>
        <v>42674.41860465116</v>
      </c>
      <c r="F20" s="159">
        <f t="shared" si="1"/>
        <v>1704895.0652297218</v>
      </c>
      <c r="G20" s="161">
        <f t="shared" si="2"/>
        <v>214530.63351624215</v>
      </c>
      <c r="H20" s="142">
        <f t="shared" si="3"/>
        <v>214530.63351624215</v>
      </c>
      <c r="I20" s="156">
        <f t="shared" si="0"/>
        <v>0</v>
      </c>
      <c r="J20" s="156"/>
      <c r="K20" s="334"/>
      <c r="L20" s="158">
        <f t="shared" si="4"/>
        <v>0</v>
      </c>
      <c r="M20" s="334"/>
      <c r="N20" s="158">
        <f t="shared" si="5"/>
        <v>0</v>
      </c>
      <c r="O20" s="158">
        <f t="shared" si="6"/>
        <v>0</v>
      </c>
      <c r="P20" s="4"/>
    </row>
    <row r="21" spans="2:16">
      <c r="B21" s="9" t="str">
        <f t="shared" si="7"/>
        <v/>
      </c>
      <c r="C21" s="153">
        <f>IF(D11="","-",+C20+1)</f>
        <v>2021</v>
      </c>
      <c r="D21" s="159">
        <f>IF(F20+SUM(E$17:E20)=D$10,F20,D$10-SUM(E$17:E20))</f>
        <v>1704895.0652297218</v>
      </c>
      <c r="E21" s="160">
        <f>IF(+I14&lt;F20,I14,D21)</f>
        <v>42674.41860465116</v>
      </c>
      <c r="F21" s="159">
        <f t="shared" si="1"/>
        <v>1662220.6466250706</v>
      </c>
      <c r="G21" s="161">
        <f t="shared" si="2"/>
        <v>210282.15307525615</v>
      </c>
      <c r="H21" s="142">
        <f t="shared" si="3"/>
        <v>210282.15307525615</v>
      </c>
      <c r="I21" s="156">
        <f t="shared" si="0"/>
        <v>0</v>
      </c>
      <c r="J21" s="156"/>
      <c r="K21" s="334"/>
      <c r="L21" s="158">
        <f t="shared" si="4"/>
        <v>0</v>
      </c>
      <c r="M21" s="334"/>
      <c r="N21" s="158">
        <f t="shared" si="5"/>
        <v>0</v>
      </c>
      <c r="O21" s="158">
        <f t="shared" si="6"/>
        <v>0</v>
      </c>
      <c r="P21" s="4"/>
    </row>
    <row r="22" spans="2:16">
      <c r="B22" s="9" t="str">
        <f t="shared" si="7"/>
        <v/>
      </c>
      <c r="C22" s="153">
        <f>IF(D11="","-",+C21+1)</f>
        <v>2022</v>
      </c>
      <c r="D22" s="159">
        <f>IF(F21+SUM(E$17:E21)=D$10,F21,D$10-SUM(E$17:E21))</f>
        <v>1662220.6466250706</v>
      </c>
      <c r="E22" s="160">
        <f>IF(+I14&lt;F21,I14,D22)</f>
        <v>42674.41860465116</v>
      </c>
      <c r="F22" s="159">
        <f t="shared" si="1"/>
        <v>1619546.2280204194</v>
      </c>
      <c r="G22" s="161">
        <f t="shared" si="2"/>
        <v>206033.67263427022</v>
      </c>
      <c r="H22" s="142">
        <f t="shared" si="3"/>
        <v>206033.67263427022</v>
      </c>
      <c r="I22" s="156">
        <f t="shared" si="0"/>
        <v>0</v>
      </c>
      <c r="J22" s="156"/>
      <c r="K22" s="334"/>
      <c r="L22" s="158">
        <f t="shared" si="4"/>
        <v>0</v>
      </c>
      <c r="M22" s="334"/>
      <c r="N22" s="158">
        <f t="shared" si="5"/>
        <v>0</v>
      </c>
      <c r="O22" s="158">
        <f t="shared" si="6"/>
        <v>0</v>
      </c>
      <c r="P22" s="4"/>
    </row>
    <row r="23" spans="2:16">
      <c r="B23" s="9" t="str">
        <f t="shared" si="7"/>
        <v/>
      </c>
      <c r="C23" s="153">
        <f>IF(D11="","-",+C22+1)</f>
        <v>2023</v>
      </c>
      <c r="D23" s="159">
        <f>IF(F22+SUM(E$17:E22)=D$10,F22,D$10-SUM(E$17:E22))</f>
        <v>1619546.2280204194</v>
      </c>
      <c r="E23" s="160">
        <f>IF(+I14&lt;F22,I14,D23)</f>
        <v>42674.41860465116</v>
      </c>
      <c r="F23" s="159">
        <f t="shared" si="1"/>
        <v>1576871.8094157681</v>
      </c>
      <c r="G23" s="161">
        <f t="shared" si="2"/>
        <v>201785.19219328422</v>
      </c>
      <c r="H23" s="142">
        <f t="shared" si="3"/>
        <v>201785.19219328422</v>
      </c>
      <c r="I23" s="156">
        <f t="shared" si="0"/>
        <v>0</v>
      </c>
      <c r="J23" s="156"/>
      <c r="K23" s="334"/>
      <c r="L23" s="158">
        <f t="shared" si="4"/>
        <v>0</v>
      </c>
      <c r="M23" s="334"/>
      <c r="N23" s="158">
        <f t="shared" si="5"/>
        <v>0</v>
      </c>
      <c r="O23" s="158">
        <f t="shared" si="6"/>
        <v>0</v>
      </c>
      <c r="P23" s="4"/>
    </row>
    <row r="24" spans="2:16">
      <c r="B24" s="9" t="str">
        <f t="shared" si="7"/>
        <v/>
      </c>
      <c r="C24" s="153">
        <f>IF(D11="","-",+C23+1)</f>
        <v>2024</v>
      </c>
      <c r="D24" s="159">
        <f>IF(F23+SUM(E$17:E23)=D$10,F23,D$10-SUM(E$17:E23))</f>
        <v>1576871.8094157681</v>
      </c>
      <c r="E24" s="160">
        <f>IF(+I14&lt;F23,I14,D24)</f>
        <v>42674.41860465116</v>
      </c>
      <c r="F24" s="159">
        <f t="shared" si="1"/>
        <v>1534197.3908111169</v>
      </c>
      <c r="G24" s="161">
        <f t="shared" si="2"/>
        <v>197536.71175229823</v>
      </c>
      <c r="H24" s="142">
        <f t="shared" si="3"/>
        <v>197536.71175229823</v>
      </c>
      <c r="I24" s="156">
        <f t="shared" si="0"/>
        <v>0</v>
      </c>
      <c r="J24" s="156"/>
      <c r="K24" s="334"/>
      <c r="L24" s="158">
        <f t="shared" si="4"/>
        <v>0</v>
      </c>
      <c r="M24" s="334"/>
      <c r="N24" s="158">
        <f t="shared" si="5"/>
        <v>0</v>
      </c>
      <c r="O24" s="158">
        <f t="shared" si="6"/>
        <v>0</v>
      </c>
      <c r="P24" s="4"/>
    </row>
    <row r="25" spans="2:16">
      <c r="B25" s="9" t="str">
        <f t="shared" si="7"/>
        <v/>
      </c>
      <c r="C25" s="153">
        <f>IF(D11="","-",+C24+1)</f>
        <v>2025</v>
      </c>
      <c r="D25" s="159">
        <f>IF(F24+SUM(E$17:E24)=D$10,F24,D$10-SUM(E$17:E24))</f>
        <v>1534197.3908111169</v>
      </c>
      <c r="E25" s="160">
        <f>IF(+I14&lt;F24,I14,D25)</f>
        <v>42674.41860465116</v>
      </c>
      <c r="F25" s="159">
        <f t="shared" si="1"/>
        <v>1491522.9722064657</v>
      </c>
      <c r="G25" s="161">
        <f t="shared" si="2"/>
        <v>193288.23131131224</v>
      </c>
      <c r="H25" s="142">
        <f t="shared" si="3"/>
        <v>193288.23131131224</v>
      </c>
      <c r="I25" s="156">
        <f t="shared" si="0"/>
        <v>0</v>
      </c>
      <c r="J25" s="156"/>
      <c r="K25" s="334"/>
      <c r="L25" s="158">
        <f t="shared" si="4"/>
        <v>0</v>
      </c>
      <c r="M25" s="334"/>
      <c r="N25" s="158">
        <f t="shared" si="5"/>
        <v>0</v>
      </c>
      <c r="O25" s="158">
        <f t="shared" si="6"/>
        <v>0</v>
      </c>
      <c r="P25" s="4"/>
    </row>
    <row r="26" spans="2:16">
      <c r="B26" s="9" t="str">
        <f t="shared" si="7"/>
        <v/>
      </c>
      <c r="C26" s="153">
        <f>IF(D11="","-",+C25+1)</f>
        <v>2026</v>
      </c>
      <c r="D26" s="159">
        <f>IF(F25+SUM(E$17:E25)=D$10,F25,D$10-SUM(E$17:E25))</f>
        <v>1491522.9722064657</v>
      </c>
      <c r="E26" s="160">
        <f>IF(+I14&lt;F25,I14,D26)</f>
        <v>42674.41860465116</v>
      </c>
      <c r="F26" s="159">
        <f t="shared" si="1"/>
        <v>1448848.5536018144</v>
      </c>
      <c r="G26" s="161">
        <f t="shared" si="2"/>
        <v>189039.7508703263</v>
      </c>
      <c r="H26" s="142">
        <f t="shared" si="3"/>
        <v>189039.7508703263</v>
      </c>
      <c r="I26" s="156">
        <f t="shared" si="0"/>
        <v>0</v>
      </c>
      <c r="J26" s="156"/>
      <c r="K26" s="334"/>
      <c r="L26" s="158">
        <f t="shared" si="4"/>
        <v>0</v>
      </c>
      <c r="M26" s="334"/>
      <c r="N26" s="158">
        <f t="shared" si="5"/>
        <v>0</v>
      </c>
      <c r="O26" s="158">
        <f t="shared" si="6"/>
        <v>0</v>
      </c>
      <c r="P26" s="4"/>
    </row>
    <row r="27" spans="2:16">
      <c r="B27" s="9" t="str">
        <f t="shared" si="7"/>
        <v/>
      </c>
      <c r="C27" s="153">
        <f>IF(D11="","-",+C26+1)</f>
        <v>2027</v>
      </c>
      <c r="D27" s="159">
        <f>IF(F26+SUM(E$17:E26)=D$10,F26,D$10-SUM(E$17:E26))</f>
        <v>1448848.5536018144</v>
      </c>
      <c r="E27" s="160">
        <f>IF(+I14&lt;F26,I14,D27)</f>
        <v>42674.41860465116</v>
      </c>
      <c r="F27" s="159">
        <f t="shared" si="1"/>
        <v>1406174.1349971632</v>
      </c>
      <c r="G27" s="161">
        <f t="shared" si="2"/>
        <v>184791.27042934031</v>
      </c>
      <c r="H27" s="142">
        <f t="shared" si="3"/>
        <v>184791.27042934031</v>
      </c>
      <c r="I27" s="156">
        <f t="shared" si="0"/>
        <v>0</v>
      </c>
      <c r="J27" s="156"/>
      <c r="K27" s="334"/>
      <c r="L27" s="158">
        <f t="shared" si="4"/>
        <v>0</v>
      </c>
      <c r="M27" s="334"/>
      <c r="N27" s="158">
        <f t="shared" si="5"/>
        <v>0</v>
      </c>
      <c r="O27" s="158">
        <f t="shared" si="6"/>
        <v>0</v>
      </c>
      <c r="P27" s="4"/>
    </row>
    <row r="28" spans="2:16">
      <c r="B28" s="9" t="str">
        <f t="shared" si="7"/>
        <v/>
      </c>
      <c r="C28" s="153">
        <f>IF(D11="","-",+C27+1)</f>
        <v>2028</v>
      </c>
      <c r="D28" s="159">
        <f>IF(F27+SUM(E$17:E27)=D$10,F27,D$10-SUM(E$17:E27))</f>
        <v>1406174.1349971632</v>
      </c>
      <c r="E28" s="160">
        <f>IF(+I14&lt;F27,I14,D28)</f>
        <v>42674.41860465116</v>
      </c>
      <c r="F28" s="159">
        <f t="shared" si="1"/>
        <v>1363499.716392512</v>
      </c>
      <c r="G28" s="161">
        <f t="shared" si="2"/>
        <v>180542.78998835437</v>
      </c>
      <c r="H28" s="142">
        <f t="shared" si="3"/>
        <v>180542.78998835437</v>
      </c>
      <c r="I28" s="156">
        <f t="shared" si="0"/>
        <v>0</v>
      </c>
      <c r="J28" s="156"/>
      <c r="K28" s="334"/>
      <c r="L28" s="158">
        <f t="shared" si="4"/>
        <v>0</v>
      </c>
      <c r="M28" s="334"/>
      <c r="N28" s="158">
        <f t="shared" si="5"/>
        <v>0</v>
      </c>
      <c r="O28" s="158">
        <f t="shared" si="6"/>
        <v>0</v>
      </c>
      <c r="P28" s="4"/>
    </row>
    <row r="29" spans="2:16">
      <c r="B29" s="9" t="str">
        <f t="shared" si="7"/>
        <v/>
      </c>
      <c r="C29" s="153">
        <f>IF(D11="","-",+C28+1)</f>
        <v>2029</v>
      </c>
      <c r="D29" s="159">
        <f>IF(F28+SUM(E$17:E28)=D$10,F28,D$10-SUM(E$17:E28))</f>
        <v>1363499.716392512</v>
      </c>
      <c r="E29" s="160">
        <f>IF(+I14&lt;F28,I14,D29)</f>
        <v>42674.41860465116</v>
      </c>
      <c r="F29" s="159">
        <f t="shared" si="1"/>
        <v>1320825.2977878607</v>
      </c>
      <c r="G29" s="161">
        <f t="shared" si="2"/>
        <v>176294.30954736832</v>
      </c>
      <c r="H29" s="142">
        <f t="shared" si="3"/>
        <v>176294.30954736832</v>
      </c>
      <c r="I29" s="156">
        <f t="shared" si="0"/>
        <v>0</v>
      </c>
      <c r="J29" s="156"/>
      <c r="K29" s="334"/>
      <c r="L29" s="158">
        <f t="shared" si="4"/>
        <v>0</v>
      </c>
      <c r="M29" s="334"/>
      <c r="N29" s="158">
        <f t="shared" si="5"/>
        <v>0</v>
      </c>
      <c r="O29" s="158">
        <f t="shared" si="6"/>
        <v>0</v>
      </c>
      <c r="P29" s="4"/>
    </row>
    <row r="30" spans="2:16">
      <c r="B30" s="9" t="str">
        <f t="shared" si="7"/>
        <v/>
      </c>
      <c r="C30" s="153">
        <f>IF(D11="","-",+C29+1)</f>
        <v>2030</v>
      </c>
      <c r="D30" s="159">
        <f>IF(F29+SUM(E$17:E29)=D$10,F29,D$10-SUM(E$17:E29))</f>
        <v>1320825.2977878607</v>
      </c>
      <c r="E30" s="160">
        <f>IF(+I14&lt;F29,I14,D30)</f>
        <v>42674.41860465116</v>
      </c>
      <c r="F30" s="159">
        <f t="shared" si="1"/>
        <v>1278150.8791832095</v>
      </c>
      <c r="G30" s="161">
        <f t="shared" si="2"/>
        <v>172045.82910638239</v>
      </c>
      <c r="H30" s="142">
        <f t="shared" si="3"/>
        <v>172045.82910638239</v>
      </c>
      <c r="I30" s="156">
        <f t="shared" si="0"/>
        <v>0</v>
      </c>
      <c r="J30" s="156"/>
      <c r="K30" s="334"/>
      <c r="L30" s="158">
        <f t="shared" si="4"/>
        <v>0</v>
      </c>
      <c r="M30" s="334"/>
      <c r="N30" s="158">
        <f t="shared" si="5"/>
        <v>0</v>
      </c>
      <c r="O30" s="158">
        <f t="shared" si="6"/>
        <v>0</v>
      </c>
      <c r="P30" s="4"/>
    </row>
    <row r="31" spans="2:16">
      <c r="B31" s="9" t="str">
        <f t="shared" si="7"/>
        <v/>
      </c>
      <c r="C31" s="153">
        <f>IF(D11="","-",+C30+1)</f>
        <v>2031</v>
      </c>
      <c r="D31" s="159">
        <f>IF(F30+SUM(E$17:E30)=D$10,F30,D$10-SUM(E$17:E30))</f>
        <v>1278150.8791832095</v>
      </c>
      <c r="E31" s="160">
        <f>IF(+I14&lt;F30,I14,D31)</f>
        <v>42674.41860465116</v>
      </c>
      <c r="F31" s="159">
        <f t="shared" si="1"/>
        <v>1235476.4605785583</v>
      </c>
      <c r="G31" s="161">
        <f t="shared" si="2"/>
        <v>167797.34866539639</v>
      </c>
      <c r="H31" s="142">
        <f t="shared" si="3"/>
        <v>167797.34866539639</v>
      </c>
      <c r="I31" s="156">
        <f t="shared" si="0"/>
        <v>0</v>
      </c>
      <c r="J31" s="156"/>
      <c r="K31" s="334"/>
      <c r="L31" s="158">
        <f t="shared" si="4"/>
        <v>0</v>
      </c>
      <c r="M31" s="334"/>
      <c r="N31" s="158">
        <f t="shared" si="5"/>
        <v>0</v>
      </c>
      <c r="O31" s="158">
        <f t="shared" si="6"/>
        <v>0</v>
      </c>
      <c r="P31" s="4"/>
    </row>
    <row r="32" spans="2:16">
      <c r="B32" s="9" t="str">
        <f t="shared" si="7"/>
        <v/>
      </c>
      <c r="C32" s="153">
        <f>IF(D11="","-",+C31+1)</f>
        <v>2032</v>
      </c>
      <c r="D32" s="159">
        <f>IF(F31+SUM(E$17:E31)=D$10,F31,D$10-SUM(E$17:E31))</f>
        <v>1235476.4605785583</v>
      </c>
      <c r="E32" s="160">
        <f>IF(+I14&lt;F31,I14,D32)</f>
        <v>42674.41860465116</v>
      </c>
      <c r="F32" s="159">
        <f t="shared" si="1"/>
        <v>1192802.041973907</v>
      </c>
      <c r="G32" s="161">
        <f t="shared" si="2"/>
        <v>163548.86822441046</v>
      </c>
      <c r="H32" s="142">
        <f t="shared" si="3"/>
        <v>163548.86822441046</v>
      </c>
      <c r="I32" s="156">
        <f t="shared" si="0"/>
        <v>0</v>
      </c>
      <c r="J32" s="156"/>
      <c r="K32" s="334"/>
      <c r="L32" s="158">
        <f t="shared" si="4"/>
        <v>0</v>
      </c>
      <c r="M32" s="334"/>
      <c r="N32" s="158">
        <f t="shared" si="5"/>
        <v>0</v>
      </c>
      <c r="O32" s="158">
        <f t="shared" si="6"/>
        <v>0</v>
      </c>
      <c r="P32" s="4"/>
    </row>
    <row r="33" spans="2:16">
      <c r="B33" s="9" t="str">
        <f t="shared" si="7"/>
        <v/>
      </c>
      <c r="C33" s="153">
        <f>IF(D11="","-",+C32+1)</f>
        <v>2033</v>
      </c>
      <c r="D33" s="159">
        <f>IF(F32+SUM(E$17:E32)=D$10,F32,D$10-SUM(E$17:E32))</f>
        <v>1192802.041973907</v>
      </c>
      <c r="E33" s="160">
        <f>IF(+I14&lt;F32,I14,D33)</f>
        <v>42674.41860465116</v>
      </c>
      <c r="F33" s="159">
        <f t="shared" si="1"/>
        <v>1150127.6233692558</v>
      </c>
      <c r="G33" s="161">
        <f t="shared" si="2"/>
        <v>159300.38778342443</v>
      </c>
      <c r="H33" s="142">
        <f t="shared" si="3"/>
        <v>159300.38778342443</v>
      </c>
      <c r="I33" s="156">
        <f t="shared" si="0"/>
        <v>0</v>
      </c>
      <c r="J33" s="156"/>
      <c r="K33" s="334"/>
      <c r="L33" s="158">
        <f t="shared" si="4"/>
        <v>0</v>
      </c>
      <c r="M33" s="334"/>
      <c r="N33" s="158">
        <f t="shared" si="5"/>
        <v>0</v>
      </c>
      <c r="O33" s="158">
        <f t="shared" si="6"/>
        <v>0</v>
      </c>
      <c r="P33" s="4"/>
    </row>
    <row r="34" spans="2:16">
      <c r="B34" s="9" t="str">
        <f t="shared" si="7"/>
        <v/>
      </c>
      <c r="C34" s="153">
        <f>IF(D11="","-",+C33+1)</f>
        <v>2034</v>
      </c>
      <c r="D34" s="159">
        <f>IF(F33+SUM(E$17:E33)=D$10,F33,D$10-SUM(E$17:E33))</f>
        <v>1150127.6233692558</v>
      </c>
      <c r="E34" s="160">
        <f>IF(+I14&lt;F33,I14,D34)</f>
        <v>42674.41860465116</v>
      </c>
      <c r="F34" s="159">
        <f t="shared" si="1"/>
        <v>1107453.2047646046</v>
      </c>
      <c r="G34" s="161">
        <f t="shared" si="2"/>
        <v>155051.90734243847</v>
      </c>
      <c r="H34" s="142">
        <f t="shared" si="3"/>
        <v>155051.90734243847</v>
      </c>
      <c r="I34" s="156">
        <f t="shared" si="0"/>
        <v>0</v>
      </c>
      <c r="J34" s="156"/>
      <c r="K34" s="334"/>
      <c r="L34" s="158">
        <f t="shared" si="4"/>
        <v>0</v>
      </c>
      <c r="M34" s="334"/>
      <c r="N34" s="158">
        <f t="shared" si="5"/>
        <v>0</v>
      </c>
      <c r="O34" s="158">
        <f t="shared" si="6"/>
        <v>0</v>
      </c>
      <c r="P34" s="4"/>
    </row>
    <row r="35" spans="2:16">
      <c r="B35" s="9" t="str">
        <f t="shared" si="7"/>
        <v/>
      </c>
      <c r="C35" s="153">
        <f>IF(D11="","-",+C34+1)</f>
        <v>2035</v>
      </c>
      <c r="D35" s="159">
        <f>IF(F34+SUM(E$17:E34)=D$10,F34,D$10-SUM(E$17:E34))</f>
        <v>1107453.2047646046</v>
      </c>
      <c r="E35" s="160">
        <f>IF(+I14&lt;F34,I14,D35)</f>
        <v>42674.41860465116</v>
      </c>
      <c r="F35" s="159">
        <f t="shared" si="1"/>
        <v>1064778.7861599533</v>
      </c>
      <c r="G35" s="161">
        <f t="shared" si="2"/>
        <v>150803.42690145248</v>
      </c>
      <c r="H35" s="142">
        <f t="shared" si="3"/>
        <v>150803.42690145248</v>
      </c>
      <c r="I35" s="156">
        <f t="shared" si="0"/>
        <v>0</v>
      </c>
      <c r="J35" s="156"/>
      <c r="K35" s="334"/>
      <c r="L35" s="158">
        <f t="shared" si="4"/>
        <v>0</v>
      </c>
      <c r="M35" s="334"/>
      <c r="N35" s="158">
        <f t="shared" si="5"/>
        <v>0</v>
      </c>
      <c r="O35" s="158">
        <f t="shared" si="6"/>
        <v>0</v>
      </c>
      <c r="P35" s="4"/>
    </row>
    <row r="36" spans="2:16">
      <c r="B36" s="9" t="str">
        <f t="shared" si="7"/>
        <v/>
      </c>
      <c r="C36" s="153">
        <f>IF(D11="","-",+C35+1)</f>
        <v>2036</v>
      </c>
      <c r="D36" s="159">
        <f>IF(F35+SUM(E$17:E35)=D$10,F35,D$10-SUM(E$17:E35))</f>
        <v>1064778.7861599533</v>
      </c>
      <c r="E36" s="160">
        <f>IF(+I14&lt;F35,I14,D36)</f>
        <v>42674.41860465116</v>
      </c>
      <c r="F36" s="159">
        <f t="shared" si="1"/>
        <v>1022104.3675553022</v>
      </c>
      <c r="G36" s="161">
        <f t="shared" si="2"/>
        <v>146554.94646046654</v>
      </c>
      <c r="H36" s="142">
        <f t="shared" si="3"/>
        <v>146554.94646046654</v>
      </c>
      <c r="I36" s="156">
        <f t="shared" si="0"/>
        <v>0</v>
      </c>
      <c r="J36" s="156"/>
      <c r="K36" s="334"/>
      <c r="L36" s="158">
        <f t="shared" si="4"/>
        <v>0</v>
      </c>
      <c r="M36" s="334"/>
      <c r="N36" s="158">
        <f t="shared" si="5"/>
        <v>0</v>
      </c>
      <c r="O36" s="158">
        <f t="shared" si="6"/>
        <v>0</v>
      </c>
      <c r="P36" s="4"/>
    </row>
    <row r="37" spans="2:16">
      <c r="B37" s="9" t="str">
        <f t="shared" si="7"/>
        <v/>
      </c>
      <c r="C37" s="153">
        <f>IF(D11="","-",+C36+1)</f>
        <v>2037</v>
      </c>
      <c r="D37" s="159">
        <f>IF(F36+SUM(E$17:E36)=D$10,F36,D$10-SUM(E$17:E36))</f>
        <v>1022104.3675553022</v>
      </c>
      <c r="E37" s="160">
        <f>IF(+I14&lt;F36,I14,D37)</f>
        <v>42674.41860465116</v>
      </c>
      <c r="F37" s="159">
        <f t="shared" si="1"/>
        <v>979429.9489506511</v>
      </c>
      <c r="G37" s="161">
        <f t="shared" si="2"/>
        <v>142306.46601948055</v>
      </c>
      <c r="H37" s="142">
        <f t="shared" si="3"/>
        <v>142306.46601948055</v>
      </c>
      <c r="I37" s="156">
        <f t="shared" si="0"/>
        <v>0</v>
      </c>
      <c r="J37" s="156"/>
      <c r="K37" s="334"/>
      <c r="L37" s="158">
        <f t="shared" si="4"/>
        <v>0</v>
      </c>
      <c r="M37" s="334"/>
      <c r="N37" s="158">
        <f t="shared" si="5"/>
        <v>0</v>
      </c>
      <c r="O37" s="158">
        <f t="shared" si="6"/>
        <v>0</v>
      </c>
      <c r="P37" s="4"/>
    </row>
    <row r="38" spans="2:16">
      <c r="B38" s="9" t="str">
        <f t="shared" si="7"/>
        <v/>
      </c>
      <c r="C38" s="153">
        <f>IF(D11="","-",+C37+1)</f>
        <v>2038</v>
      </c>
      <c r="D38" s="159">
        <f>IF(F37+SUM(E$17:E37)=D$10,F37,D$10-SUM(E$17:E37))</f>
        <v>979429.9489506511</v>
      </c>
      <c r="E38" s="160">
        <f>IF(+I14&lt;F37,I14,D38)</f>
        <v>42674.41860465116</v>
      </c>
      <c r="F38" s="159">
        <f t="shared" si="1"/>
        <v>936755.53034599999</v>
      </c>
      <c r="G38" s="161">
        <f t="shared" si="2"/>
        <v>138057.98557849461</v>
      </c>
      <c r="H38" s="142">
        <f t="shared" si="3"/>
        <v>138057.98557849461</v>
      </c>
      <c r="I38" s="156">
        <f t="shared" si="0"/>
        <v>0</v>
      </c>
      <c r="J38" s="156"/>
      <c r="K38" s="334"/>
      <c r="L38" s="158">
        <f t="shared" si="4"/>
        <v>0</v>
      </c>
      <c r="M38" s="334"/>
      <c r="N38" s="158">
        <f t="shared" si="5"/>
        <v>0</v>
      </c>
      <c r="O38" s="158">
        <f t="shared" si="6"/>
        <v>0</v>
      </c>
      <c r="P38" s="4"/>
    </row>
    <row r="39" spans="2:16">
      <c r="B39" s="9" t="str">
        <f t="shared" si="7"/>
        <v/>
      </c>
      <c r="C39" s="153">
        <f>IF(D11="","-",+C38+1)</f>
        <v>2039</v>
      </c>
      <c r="D39" s="159">
        <f>IF(F38+SUM(E$17:E38)=D$10,F38,D$10-SUM(E$17:E38))</f>
        <v>936755.53034599999</v>
      </c>
      <c r="E39" s="160">
        <f>IF(+I14&lt;F38,I14,D39)</f>
        <v>42674.41860465116</v>
      </c>
      <c r="F39" s="159">
        <f t="shared" si="1"/>
        <v>894081.11174134887</v>
      </c>
      <c r="G39" s="161">
        <f t="shared" si="2"/>
        <v>133809.50513750862</v>
      </c>
      <c r="H39" s="142">
        <f t="shared" si="3"/>
        <v>133809.50513750862</v>
      </c>
      <c r="I39" s="156">
        <f t="shared" si="0"/>
        <v>0</v>
      </c>
      <c r="J39" s="156"/>
      <c r="K39" s="334"/>
      <c r="L39" s="158">
        <f t="shared" si="4"/>
        <v>0</v>
      </c>
      <c r="M39" s="334"/>
      <c r="N39" s="158">
        <f t="shared" si="5"/>
        <v>0</v>
      </c>
      <c r="O39" s="158">
        <f t="shared" si="6"/>
        <v>0</v>
      </c>
      <c r="P39" s="4"/>
    </row>
    <row r="40" spans="2:16">
      <c r="B40" s="9" t="str">
        <f t="shared" si="7"/>
        <v/>
      </c>
      <c r="C40" s="153">
        <f>IF(D11="","-",+C39+1)</f>
        <v>2040</v>
      </c>
      <c r="D40" s="159">
        <f>IF(F39+SUM(E$17:E39)=D$10,F39,D$10-SUM(E$17:E39))</f>
        <v>894081.11174134887</v>
      </c>
      <c r="E40" s="160">
        <f>IF(+I14&lt;F39,I14,D40)</f>
        <v>42674.41860465116</v>
      </c>
      <c r="F40" s="159">
        <f t="shared" si="1"/>
        <v>851406.69313669775</v>
      </c>
      <c r="G40" s="161">
        <f t="shared" si="2"/>
        <v>129561.02469652267</v>
      </c>
      <c r="H40" s="142">
        <f t="shared" si="3"/>
        <v>129561.02469652267</v>
      </c>
      <c r="I40" s="156">
        <f t="shared" si="0"/>
        <v>0</v>
      </c>
      <c r="J40" s="156"/>
      <c r="K40" s="334"/>
      <c r="L40" s="158">
        <f t="shared" si="4"/>
        <v>0</v>
      </c>
      <c r="M40" s="334"/>
      <c r="N40" s="158">
        <f t="shared" si="5"/>
        <v>0</v>
      </c>
      <c r="O40" s="158">
        <f t="shared" si="6"/>
        <v>0</v>
      </c>
      <c r="P40" s="4"/>
    </row>
    <row r="41" spans="2:16">
      <c r="B41" s="9" t="str">
        <f t="shared" si="7"/>
        <v/>
      </c>
      <c r="C41" s="153">
        <f>IF(D11="","-",+C40+1)</f>
        <v>2041</v>
      </c>
      <c r="D41" s="159">
        <f>IF(F40+SUM(E$17:E40)=D$10,F40,D$10-SUM(E$17:E40))</f>
        <v>851406.69313669775</v>
      </c>
      <c r="E41" s="160">
        <f>IF(+I14&lt;F40,I14,D41)</f>
        <v>42674.41860465116</v>
      </c>
      <c r="F41" s="159">
        <f t="shared" si="1"/>
        <v>808732.27453204663</v>
      </c>
      <c r="G41" s="161">
        <f t="shared" si="2"/>
        <v>125312.54425553669</v>
      </c>
      <c r="H41" s="142">
        <f t="shared" si="3"/>
        <v>125312.54425553669</v>
      </c>
      <c r="I41" s="156">
        <f t="shared" si="0"/>
        <v>0</v>
      </c>
      <c r="J41" s="156"/>
      <c r="K41" s="334"/>
      <c r="L41" s="158">
        <f t="shared" si="4"/>
        <v>0</v>
      </c>
      <c r="M41" s="334"/>
      <c r="N41" s="158">
        <f t="shared" si="5"/>
        <v>0</v>
      </c>
      <c r="O41" s="158">
        <f t="shared" si="6"/>
        <v>0</v>
      </c>
      <c r="P41" s="4"/>
    </row>
    <row r="42" spans="2:16">
      <c r="B42" s="9" t="str">
        <f t="shared" si="7"/>
        <v/>
      </c>
      <c r="C42" s="153">
        <f>IF(D11="","-",+C41+1)</f>
        <v>2042</v>
      </c>
      <c r="D42" s="159">
        <f>IF(F41+SUM(E$17:E41)=D$10,F41,D$10-SUM(E$17:E41))</f>
        <v>808732.27453204663</v>
      </c>
      <c r="E42" s="160">
        <f>IF(+I14&lt;F41,I14,D42)</f>
        <v>42674.41860465116</v>
      </c>
      <c r="F42" s="159">
        <f t="shared" si="1"/>
        <v>766057.85592739552</v>
      </c>
      <c r="G42" s="161">
        <f t="shared" si="2"/>
        <v>121064.06381455074</v>
      </c>
      <c r="H42" s="142">
        <f t="shared" si="3"/>
        <v>121064.06381455074</v>
      </c>
      <c r="I42" s="156">
        <f t="shared" si="0"/>
        <v>0</v>
      </c>
      <c r="J42" s="156"/>
      <c r="K42" s="334"/>
      <c r="L42" s="158">
        <f t="shared" si="4"/>
        <v>0</v>
      </c>
      <c r="M42" s="334"/>
      <c r="N42" s="158">
        <f t="shared" si="5"/>
        <v>0</v>
      </c>
      <c r="O42" s="158">
        <f t="shared" si="6"/>
        <v>0</v>
      </c>
      <c r="P42" s="4"/>
    </row>
    <row r="43" spans="2:16">
      <c r="B43" s="9" t="str">
        <f t="shared" si="7"/>
        <v/>
      </c>
      <c r="C43" s="153">
        <f>IF(D11="","-",+C42+1)</f>
        <v>2043</v>
      </c>
      <c r="D43" s="159">
        <f>IF(F42+SUM(E$17:E42)=D$10,F42,D$10-SUM(E$17:E42))</f>
        <v>766057.85592739552</v>
      </c>
      <c r="E43" s="160">
        <f>IF(+I14&lt;F42,I14,D43)</f>
        <v>42674.41860465116</v>
      </c>
      <c r="F43" s="159">
        <f t="shared" si="1"/>
        <v>723383.4373227444</v>
      </c>
      <c r="G43" s="161">
        <f t="shared" si="2"/>
        <v>116815.58337356476</v>
      </c>
      <c r="H43" s="142">
        <f t="shared" si="3"/>
        <v>116815.58337356476</v>
      </c>
      <c r="I43" s="156">
        <f t="shared" si="0"/>
        <v>0</v>
      </c>
      <c r="J43" s="156"/>
      <c r="K43" s="334"/>
      <c r="L43" s="158">
        <f t="shared" si="4"/>
        <v>0</v>
      </c>
      <c r="M43" s="334"/>
      <c r="N43" s="158">
        <f t="shared" si="5"/>
        <v>0</v>
      </c>
      <c r="O43" s="158">
        <f t="shared" si="6"/>
        <v>0</v>
      </c>
      <c r="P43" s="4"/>
    </row>
    <row r="44" spans="2:16">
      <c r="B44" s="9" t="str">
        <f t="shared" si="7"/>
        <v/>
      </c>
      <c r="C44" s="153">
        <f>IF(D11="","-",+C43+1)</f>
        <v>2044</v>
      </c>
      <c r="D44" s="159">
        <f>IF(F43+SUM(E$17:E43)=D$10,F43,D$10-SUM(E$17:E43))</f>
        <v>723383.4373227444</v>
      </c>
      <c r="E44" s="160">
        <f>IF(+I14&lt;F43,I14,D44)</f>
        <v>42674.41860465116</v>
      </c>
      <c r="F44" s="159">
        <f t="shared" si="1"/>
        <v>680709.01871809328</v>
      </c>
      <c r="G44" s="161">
        <f t="shared" si="2"/>
        <v>112567.10293257881</v>
      </c>
      <c r="H44" s="142">
        <f t="shared" si="3"/>
        <v>112567.10293257881</v>
      </c>
      <c r="I44" s="156">
        <f t="shared" si="0"/>
        <v>0</v>
      </c>
      <c r="J44" s="156"/>
      <c r="K44" s="334"/>
      <c r="L44" s="158">
        <f t="shared" si="4"/>
        <v>0</v>
      </c>
      <c r="M44" s="334"/>
      <c r="N44" s="158">
        <f t="shared" si="5"/>
        <v>0</v>
      </c>
      <c r="O44" s="158">
        <f t="shared" si="6"/>
        <v>0</v>
      </c>
      <c r="P44" s="4"/>
    </row>
    <row r="45" spans="2:16">
      <c r="B45" s="9" t="str">
        <f t="shared" si="7"/>
        <v/>
      </c>
      <c r="C45" s="153">
        <f>IF(D11="","-",+C44+1)</f>
        <v>2045</v>
      </c>
      <c r="D45" s="159">
        <f>IF(F44+SUM(E$17:E44)=D$10,F44,D$10-SUM(E$17:E44))</f>
        <v>680709.01871809328</v>
      </c>
      <c r="E45" s="160">
        <f>IF(+I14&lt;F44,I14,D45)</f>
        <v>42674.41860465116</v>
      </c>
      <c r="F45" s="159">
        <f t="shared" si="1"/>
        <v>638034.60011344217</v>
      </c>
      <c r="G45" s="161">
        <f t="shared" si="2"/>
        <v>108318.62249159283</v>
      </c>
      <c r="H45" s="142">
        <f t="shared" si="3"/>
        <v>108318.62249159283</v>
      </c>
      <c r="I45" s="156">
        <f t="shared" si="0"/>
        <v>0</v>
      </c>
      <c r="J45" s="156"/>
      <c r="K45" s="334"/>
      <c r="L45" s="158">
        <f t="shared" si="4"/>
        <v>0</v>
      </c>
      <c r="M45" s="334"/>
      <c r="N45" s="158">
        <f t="shared" si="5"/>
        <v>0</v>
      </c>
      <c r="O45" s="158">
        <f t="shared" si="6"/>
        <v>0</v>
      </c>
      <c r="P45" s="4"/>
    </row>
    <row r="46" spans="2:16">
      <c r="B46" s="9" t="str">
        <f t="shared" si="7"/>
        <v/>
      </c>
      <c r="C46" s="153">
        <f>IF(D11="","-",+C45+1)</f>
        <v>2046</v>
      </c>
      <c r="D46" s="159">
        <f>IF(F45+SUM(E$17:E45)=D$10,F45,D$10-SUM(E$17:E45))</f>
        <v>638034.60011344217</v>
      </c>
      <c r="E46" s="160">
        <f>IF(+I14&lt;F45,I14,D46)</f>
        <v>42674.41860465116</v>
      </c>
      <c r="F46" s="159">
        <f t="shared" si="1"/>
        <v>595360.18150879105</v>
      </c>
      <c r="G46" s="161">
        <f t="shared" si="2"/>
        <v>104070.14205060687</v>
      </c>
      <c r="H46" s="142">
        <f t="shared" si="3"/>
        <v>104070.14205060687</v>
      </c>
      <c r="I46" s="156">
        <f t="shared" si="0"/>
        <v>0</v>
      </c>
      <c r="J46" s="156"/>
      <c r="K46" s="334"/>
      <c r="L46" s="158">
        <f t="shared" si="4"/>
        <v>0</v>
      </c>
      <c r="M46" s="334"/>
      <c r="N46" s="158">
        <f t="shared" si="5"/>
        <v>0</v>
      </c>
      <c r="O46" s="158">
        <f t="shared" si="6"/>
        <v>0</v>
      </c>
      <c r="P46" s="4"/>
    </row>
    <row r="47" spans="2:16">
      <c r="B47" s="9" t="str">
        <f t="shared" si="7"/>
        <v/>
      </c>
      <c r="C47" s="153">
        <f>IF(D11="","-",+C46+1)</f>
        <v>2047</v>
      </c>
      <c r="D47" s="159">
        <f>IF(F46+SUM(E$17:E46)=D$10,F46,D$10-SUM(E$17:E46))</f>
        <v>595360.18150879105</v>
      </c>
      <c r="E47" s="160">
        <f>IF(+I14&lt;F46,I14,D47)</f>
        <v>42674.41860465116</v>
      </c>
      <c r="F47" s="159">
        <f t="shared" si="1"/>
        <v>552685.76290413993</v>
      </c>
      <c r="G47" s="161">
        <f t="shared" si="2"/>
        <v>99821.661609620904</v>
      </c>
      <c r="H47" s="142">
        <f t="shared" si="3"/>
        <v>99821.661609620904</v>
      </c>
      <c r="I47" s="156">
        <f t="shared" si="0"/>
        <v>0</v>
      </c>
      <c r="J47" s="156"/>
      <c r="K47" s="334"/>
      <c r="L47" s="158">
        <f t="shared" si="4"/>
        <v>0</v>
      </c>
      <c r="M47" s="334"/>
      <c r="N47" s="158">
        <f t="shared" si="5"/>
        <v>0</v>
      </c>
      <c r="O47" s="158">
        <f t="shared" si="6"/>
        <v>0</v>
      </c>
      <c r="P47" s="4"/>
    </row>
    <row r="48" spans="2:16">
      <c r="B48" s="9" t="str">
        <f t="shared" si="7"/>
        <v/>
      </c>
      <c r="C48" s="153">
        <f>IF(D11="","-",+C47+1)</f>
        <v>2048</v>
      </c>
      <c r="D48" s="159">
        <f>IF(F47+SUM(E$17:E47)=D$10,F47,D$10-SUM(E$17:E47))</f>
        <v>552685.76290413993</v>
      </c>
      <c r="E48" s="160">
        <f>IF(+I14&lt;F47,I14,D48)</f>
        <v>42674.41860465116</v>
      </c>
      <c r="F48" s="159">
        <f t="shared" si="1"/>
        <v>510011.34429948876</v>
      </c>
      <c r="G48" s="161">
        <f t="shared" si="2"/>
        <v>95573.181168634939</v>
      </c>
      <c r="H48" s="142">
        <f t="shared" si="3"/>
        <v>95573.181168634939</v>
      </c>
      <c r="I48" s="156">
        <f t="shared" si="0"/>
        <v>0</v>
      </c>
      <c r="J48" s="156"/>
      <c r="K48" s="334"/>
      <c r="L48" s="158">
        <f t="shared" si="4"/>
        <v>0</v>
      </c>
      <c r="M48" s="334"/>
      <c r="N48" s="158">
        <f t="shared" si="5"/>
        <v>0</v>
      </c>
      <c r="O48" s="158">
        <f t="shared" si="6"/>
        <v>0</v>
      </c>
      <c r="P48" s="4"/>
    </row>
    <row r="49" spans="2:16">
      <c r="B49" s="9" t="str">
        <f t="shared" si="7"/>
        <v/>
      </c>
      <c r="C49" s="153">
        <f>IF(D11="","-",+C48+1)</f>
        <v>2049</v>
      </c>
      <c r="D49" s="159">
        <f>IF(F48+SUM(E$17:E48)=D$10,F48,D$10-SUM(E$17:E48))</f>
        <v>510011.34429948876</v>
      </c>
      <c r="E49" s="160">
        <f>IF(+I14&lt;F48,I14,D49)</f>
        <v>42674.41860465116</v>
      </c>
      <c r="F49" s="159">
        <f t="shared" si="1"/>
        <v>467336.92569483758</v>
      </c>
      <c r="G49" s="161">
        <f t="shared" ref="G49:G72" si="8">+I$12*((D49+F49)/2)+E49</f>
        <v>91324.700727648975</v>
      </c>
      <c r="H49" s="142">
        <f t="shared" ref="H49:H72" si="9">+I$13*((D49+F49)/2)+E49</f>
        <v>91324.700727648975</v>
      </c>
      <c r="I49" s="156">
        <f t="shared" si="0"/>
        <v>0</v>
      </c>
      <c r="J49" s="156"/>
      <c r="K49" s="334"/>
      <c r="L49" s="158">
        <f t="shared" si="4"/>
        <v>0</v>
      </c>
      <c r="M49" s="334"/>
      <c r="N49" s="158">
        <f t="shared" si="5"/>
        <v>0</v>
      </c>
      <c r="O49" s="158">
        <f t="shared" si="6"/>
        <v>0</v>
      </c>
      <c r="P49" s="4"/>
    </row>
    <row r="50" spans="2:16">
      <c r="B50" s="9" t="str">
        <f t="shared" si="7"/>
        <v/>
      </c>
      <c r="C50" s="153">
        <f>IF(D11="","-",+C49+1)</f>
        <v>2050</v>
      </c>
      <c r="D50" s="159">
        <f>IF(F49+SUM(E$17:E49)=D$10,F49,D$10-SUM(E$17:E49))</f>
        <v>467336.92569483758</v>
      </c>
      <c r="E50" s="160">
        <f>IF(+I14&lt;F49,I14,D50)</f>
        <v>42674.41860465116</v>
      </c>
      <c r="F50" s="159">
        <f t="shared" si="1"/>
        <v>424662.50709018641</v>
      </c>
      <c r="G50" s="161">
        <f t="shared" si="8"/>
        <v>87076.220286662981</v>
      </c>
      <c r="H50" s="142">
        <f t="shared" si="9"/>
        <v>87076.220286662981</v>
      </c>
      <c r="I50" s="156">
        <f t="shared" si="0"/>
        <v>0</v>
      </c>
      <c r="J50" s="156"/>
      <c r="K50" s="334"/>
      <c r="L50" s="158">
        <f t="shared" si="4"/>
        <v>0</v>
      </c>
      <c r="M50" s="334"/>
      <c r="N50" s="158">
        <f t="shared" si="5"/>
        <v>0</v>
      </c>
      <c r="O50" s="158">
        <f t="shared" si="6"/>
        <v>0</v>
      </c>
      <c r="P50" s="4"/>
    </row>
    <row r="51" spans="2:16">
      <c r="B51" s="9" t="str">
        <f t="shared" si="7"/>
        <v/>
      </c>
      <c r="C51" s="153">
        <f>IF(D11="","-",+C50+1)</f>
        <v>2051</v>
      </c>
      <c r="D51" s="159">
        <f>IF(F50+SUM(E$17:E50)=D$10,F50,D$10-SUM(E$17:E50))</f>
        <v>424662.50709018641</v>
      </c>
      <c r="E51" s="160">
        <f>IF(+I14&lt;F50,I14,D51)</f>
        <v>42674.41860465116</v>
      </c>
      <c r="F51" s="159">
        <f t="shared" si="1"/>
        <v>381988.08848553523</v>
      </c>
      <c r="G51" s="161">
        <f t="shared" si="8"/>
        <v>82827.739845677017</v>
      </c>
      <c r="H51" s="142">
        <f t="shared" si="9"/>
        <v>82827.739845677017</v>
      </c>
      <c r="I51" s="156">
        <f t="shared" si="0"/>
        <v>0</v>
      </c>
      <c r="J51" s="156"/>
      <c r="K51" s="334"/>
      <c r="L51" s="158">
        <f t="shared" si="4"/>
        <v>0</v>
      </c>
      <c r="M51" s="334"/>
      <c r="N51" s="158">
        <f t="shared" si="5"/>
        <v>0</v>
      </c>
      <c r="O51" s="158">
        <f t="shared" si="6"/>
        <v>0</v>
      </c>
      <c r="P51" s="4"/>
    </row>
    <row r="52" spans="2:16">
      <c r="B52" s="9" t="str">
        <f t="shared" si="7"/>
        <v/>
      </c>
      <c r="C52" s="153">
        <f>IF(D11="","-",+C51+1)</f>
        <v>2052</v>
      </c>
      <c r="D52" s="159">
        <f>IF(F51+SUM(E$17:E51)=D$10,F51,D$10-SUM(E$17:E51))</f>
        <v>381988.08848553523</v>
      </c>
      <c r="E52" s="160">
        <f>IF(+I14&lt;F51,I14,D52)</f>
        <v>42674.41860465116</v>
      </c>
      <c r="F52" s="159">
        <f t="shared" si="1"/>
        <v>339313.66988088406</v>
      </c>
      <c r="G52" s="161">
        <f t="shared" si="8"/>
        <v>78579.259404691053</v>
      </c>
      <c r="H52" s="142">
        <f t="shared" si="9"/>
        <v>78579.259404691053</v>
      </c>
      <c r="I52" s="156">
        <f t="shared" si="0"/>
        <v>0</v>
      </c>
      <c r="J52" s="156"/>
      <c r="K52" s="334"/>
      <c r="L52" s="158">
        <f t="shared" si="4"/>
        <v>0</v>
      </c>
      <c r="M52" s="334"/>
      <c r="N52" s="158">
        <f t="shared" si="5"/>
        <v>0</v>
      </c>
      <c r="O52" s="158">
        <f t="shared" si="6"/>
        <v>0</v>
      </c>
      <c r="P52" s="4"/>
    </row>
    <row r="53" spans="2:16">
      <c r="B53" s="9" t="str">
        <f t="shared" si="7"/>
        <v/>
      </c>
      <c r="C53" s="153">
        <f>IF(D11="","-",+C52+1)</f>
        <v>2053</v>
      </c>
      <c r="D53" s="159">
        <f>IF(F52+SUM(E$17:E52)=D$10,F52,D$10-SUM(E$17:E52))</f>
        <v>339313.66988088406</v>
      </c>
      <c r="E53" s="160">
        <f>IF(+I14&lt;F52,I14,D53)</f>
        <v>42674.41860465116</v>
      </c>
      <c r="F53" s="159">
        <f t="shared" si="1"/>
        <v>296639.25127623288</v>
      </c>
      <c r="G53" s="161">
        <f t="shared" si="8"/>
        <v>74330.778963705088</v>
      </c>
      <c r="H53" s="142">
        <f t="shared" si="9"/>
        <v>74330.778963705088</v>
      </c>
      <c r="I53" s="156">
        <f t="shared" si="0"/>
        <v>0</v>
      </c>
      <c r="J53" s="156"/>
      <c r="K53" s="334"/>
      <c r="L53" s="158">
        <f t="shared" si="4"/>
        <v>0</v>
      </c>
      <c r="M53" s="334"/>
      <c r="N53" s="158">
        <f t="shared" si="5"/>
        <v>0</v>
      </c>
      <c r="O53" s="158">
        <f t="shared" si="6"/>
        <v>0</v>
      </c>
      <c r="P53" s="4"/>
    </row>
    <row r="54" spans="2:16">
      <c r="B54" s="9" t="str">
        <f t="shared" si="7"/>
        <v/>
      </c>
      <c r="C54" s="153">
        <f>IF(D11="","-",+C53+1)</f>
        <v>2054</v>
      </c>
      <c r="D54" s="159">
        <f>IF(F53+SUM(E$17:E53)=D$10,F53,D$10-SUM(E$17:E53))</f>
        <v>296639.25127623288</v>
      </c>
      <c r="E54" s="160">
        <f>IF(+I14&lt;F53,I14,D54)</f>
        <v>42674.41860465116</v>
      </c>
      <c r="F54" s="159">
        <f t="shared" si="1"/>
        <v>253964.83267158171</v>
      </c>
      <c r="G54" s="161">
        <f t="shared" si="8"/>
        <v>70082.298522719095</v>
      </c>
      <c r="H54" s="142">
        <f t="shared" si="9"/>
        <v>70082.298522719095</v>
      </c>
      <c r="I54" s="156">
        <f t="shared" si="0"/>
        <v>0</v>
      </c>
      <c r="J54" s="156"/>
      <c r="K54" s="334"/>
      <c r="L54" s="158">
        <f t="shared" si="4"/>
        <v>0</v>
      </c>
      <c r="M54" s="334"/>
      <c r="N54" s="158">
        <f t="shared" si="5"/>
        <v>0</v>
      </c>
      <c r="O54" s="158">
        <f t="shared" si="6"/>
        <v>0</v>
      </c>
      <c r="P54" s="4"/>
    </row>
    <row r="55" spans="2:16">
      <c r="B55" s="9" t="str">
        <f t="shared" si="7"/>
        <v/>
      </c>
      <c r="C55" s="153">
        <f>IF(D11="","-",+C54+1)</f>
        <v>2055</v>
      </c>
      <c r="D55" s="159">
        <f>IF(F54+SUM(E$17:E54)=D$10,F54,D$10-SUM(E$17:E54))</f>
        <v>253964.83267158171</v>
      </c>
      <c r="E55" s="160">
        <f>IF(+I14&lt;F54,I14,D55)</f>
        <v>42674.41860465116</v>
      </c>
      <c r="F55" s="159">
        <f t="shared" si="1"/>
        <v>211290.41406693053</v>
      </c>
      <c r="G55" s="161">
        <f t="shared" si="8"/>
        <v>65833.81808173313</v>
      </c>
      <c r="H55" s="142">
        <f t="shared" si="9"/>
        <v>65833.81808173313</v>
      </c>
      <c r="I55" s="156">
        <f t="shared" si="0"/>
        <v>0</v>
      </c>
      <c r="J55" s="156"/>
      <c r="K55" s="334"/>
      <c r="L55" s="158">
        <f t="shared" si="4"/>
        <v>0</v>
      </c>
      <c r="M55" s="334"/>
      <c r="N55" s="158">
        <f t="shared" si="5"/>
        <v>0</v>
      </c>
      <c r="O55" s="158">
        <f t="shared" si="6"/>
        <v>0</v>
      </c>
      <c r="P55" s="4"/>
    </row>
    <row r="56" spans="2:16">
      <c r="B56" s="9" t="str">
        <f t="shared" si="7"/>
        <v/>
      </c>
      <c r="C56" s="153">
        <f>IF(D11="","-",+C55+1)</f>
        <v>2056</v>
      </c>
      <c r="D56" s="159">
        <f>IF(F55+SUM(E$17:E55)=D$10,F55,D$10-SUM(E$17:E55))</f>
        <v>211290.41406693053</v>
      </c>
      <c r="E56" s="160">
        <f>IF(+I14&lt;F55,I14,D56)</f>
        <v>42674.41860465116</v>
      </c>
      <c r="F56" s="159">
        <f t="shared" si="1"/>
        <v>168615.99546227936</v>
      </c>
      <c r="G56" s="161">
        <f t="shared" si="8"/>
        <v>61585.337640747166</v>
      </c>
      <c r="H56" s="142">
        <f t="shared" si="9"/>
        <v>61585.337640747166</v>
      </c>
      <c r="I56" s="156">
        <f t="shared" si="0"/>
        <v>0</v>
      </c>
      <c r="J56" s="156"/>
      <c r="K56" s="334"/>
      <c r="L56" s="158">
        <f t="shared" si="4"/>
        <v>0</v>
      </c>
      <c r="M56" s="334"/>
      <c r="N56" s="158">
        <f t="shared" si="5"/>
        <v>0</v>
      </c>
      <c r="O56" s="158">
        <f t="shared" si="6"/>
        <v>0</v>
      </c>
      <c r="P56" s="4"/>
    </row>
    <row r="57" spans="2:16">
      <c r="B57" s="9" t="str">
        <f t="shared" si="7"/>
        <v/>
      </c>
      <c r="C57" s="153">
        <f>IF(D11="","-",+C56+1)</f>
        <v>2057</v>
      </c>
      <c r="D57" s="159">
        <f>IF(F56+SUM(E$17:E56)=D$10,F56,D$10-SUM(E$17:E56))</f>
        <v>168615.99546227936</v>
      </c>
      <c r="E57" s="160">
        <f>IF(+I14&lt;F56,I14,D57)</f>
        <v>42674.41860465116</v>
      </c>
      <c r="F57" s="159">
        <f t="shared" si="1"/>
        <v>125941.5768576282</v>
      </c>
      <c r="G57" s="161">
        <f t="shared" si="8"/>
        <v>57336.857199761194</v>
      </c>
      <c r="H57" s="142">
        <f t="shared" si="9"/>
        <v>57336.857199761194</v>
      </c>
      <c r="I57" s="156">
        <f t="shared" si="0"/>
        <v>0</v>
      </c>
      <c r="J57" s="156"/>
      <c r="K57" s="334"/>
      <c r="L57" s="158">
        <f t="shared" si="4"/>
        <v>0</v>
      </c>
      <c r="M57" s="334"/>
      <c r="N57" s="158">
        <f t="shared" si="5"/>
        <v>0</v>
      </c>
      <c r="O57" s="158">
        <f t="shared" si="6"/>
        <v>0</v>
      </c>
      <c r="P57" s="4"/>
    </row>
    <row r="58" spans="2:16">
      <c r="B58" s="9" t="str">
        <f t="shared" si="7"/>
        <v/>
      </c>
      <c r="C58" s="153">
        <f>IF(D11="","-",+C57+1)</f>
        <v>2058</v>
      </c>
      <c r="D58" s="159">
        <f>IF(F57+SUM(E$17:E57)=D$10,F57,D$10-SUM(E$17:E57))</f>
        <v>125941.5768576282</v>
      </c>
      <c r="E58" s="160">
        <f>IF(+I14&lt;F57,I14,D58)</f>
        <v>42674.41860465116</v>
      </c>
      <c r="F58" s="159">
        <f t="shared" si="1"/>
        <v>83267.158252977039</v>
      </c>
      <c r="G58" s="161">
        <f t="shared" si="8"/>
        <v>53088.376758775223</v>
      </c>
      <c r="H58" s="142">
        <f t="shared" si="9"/>
        <v>53088.376758775223</v>
      </c>
      <c r="I58" s="156">
        <f t="shared" si="0"/>
        <v>0</v>
      </c>
      <c r="J58" s="156"/>
      <c r="K58" s="334"/>
      <c r="L58" s="158">
        <f t="shared" si="4"/>
        <v>0</v>
      </c>
      <c r="M58" s="334"/>
      <c r="N58" s="158">
        <f t="shared" si="5"/>
        <v>0</v>
      </c>
      <c r="O58" s="158">
        <f t="shared" si="6"/>
        <v>0</v>
      </c>
      <c r="P58" s="4"/>
    </row>
    <row r="59" spans="2:16">
      <c r="B59" s="9" t="str">
        <f t="shared" si="7"/>
        <v/>
      </c>
      <c r="C59" s="153">
        <f>IF(D11="","-",+C58+1)</f>
        <v>2059</v>
      </c>
      <c r="D59" s="159">
        <f>IF(F58+SUM(E$17:E58)=D$10,F58,D$10-SUM(E$17:E58))</f>
        <v>83267.158252977039</v>
      </c>
      <c r="E59" s="160">
        <f>IF(+I14&lt;F58,I14,D59)</f>
        <v>42674.41860465116</v>
      </c>
      <c r="F59" s="159">
        <f t="shared" si="1"/>
        <v>40592.739648325878</v>
      </c>
      <c r="G59" s="161">
        <f t="shared" si="8"/>
        <v>48839.896317789251</v>
      </c>
      <c r="H59" s="142">
        <f t="shared" si="9"/>
        <v>48839.896317789251</v>
      </c>
      <c r="I59" s="156">
        <f t="shared" si="0"/>
        <v>0</v>
      </c>
      <c r="J59" s="156"/>
      <c r="K59" s="334"/>
      <c r="L59" s="158">
        <f t="shared" si="4"/>
        <v>0</v>
      </c>
      <c r="M59" s="334"/>
      <c r="N59" s="158">
        <f t="shared" si="5"/>
        <v>0</v>
      </c>
      <c r="O59" s="158">
        <f t="shared" si="6"/>
        <v>0</v>
      </c>
      <c r="P59" s="4"/>
    </row>
    <row r="60" spans="2:16">
      <c r="B60" s="9" t="str">
        <f t="shared" si="7"/>
        <v/>
      </c>
      <c r="C60" s="153">
        <f>IF(D11="","-",+C59+1)</f>
        <v>2060</v>
      </c>
      <c r="D60" s="159">
        <f>IF(F59+SUM(E$17:E59)=D$10,F59,D$10-SUM(E$17:E59))</f>
        <v>40592.739648325878</v>
      </c>
      <c r="E60" s="160">
        <f>IF(+I14&lt;F59,I14,D60)</f>
        <v>40592.739648325878</v>
      </c>
      <c r="F60" s="159">
        <f t="shared" si="1"/>
        <v>0</v>
      </c>
      <c r="G60" s="161">
        <f t="shared" si="8"/>
        <v>42613.358394648429</v>
      </c>
      <c r="H60" s="142">
        <f t="shared" si="9"/>
        <v>42613.358394648429</v>
      </c>
      <c r="I60" s="156">
        <f t="shared" si="0"/>
        <v>0</v>
      </c>
      <c r="J60" s="156"/>
      <c r="K60" s="334"/>
      <c r="L60" s="158">
        <f t="shared" si="4"/>
        <v>0</v>
      </c>
      <c r="M60" s="334"/>
      <c r="N60" s="158">
        <f t="shared" si="5"/>
        <v>0</v>
      </c>
      <c r="O60" s="158">
        <f t="shared" si="6"/>
        <v>0</v>
      </c>
      <c r="P60" s="4"/>
    </row>
    <row r="61" spans="2:16">
      <c r="B61" s="9" t="str">
        <f t="shared" si="7"/>
        <v/>
      </c>
      <c r="C61" s="153">
        <f>IF(D11="","-",+C60+1)</f>
        <v>2061</v>
      </c>
      <c r="D61" s="159">
        <f>IF(F60+SUM(E$17:E60)=D$10,F60,D$10-SUM(E$17:E60))</f>
        <v>0</v>
      </c>
      <c r="E61" s="160">
        <f>IF(+I14&lt;F60,I14,D61)</f>
        <v>0</v>
      </c>
      <c r="F61" s="159">
        <f t="shared" si="1"/>
        <v>0</v>
      </c>
      <c r="G61" s="163">
        <f t="shared" si="8"/>
        <v>0</v>
      </c>
      <c r="H61" s="142">
        <f t="shared" si="9"/>
        <v>0</v>
      </c>
      <c r="I61" s="156">
        <f t="shared" si="0"/>
        <v>0</v>
      </c>
      <c r="J61" s="156"/>
      <c r="K61" s="334"/>
      <c r="L61" s="158">
        <f t="shared" si="4"/>
        <v>0</v>
      </c>
      <c r="M61" s="334"/>
      <c r="N61" s="158">
        <f t="shared" si="5"/>
        <v>0</v>
      </c>
      <c r="O61" s="158">
        <f t="shared" si="6"/>
        <v>0</v>
      </c>
      <c r="P61" s="4"/>
    </row>
    <row r="62" spans="2:16">
      <c r="B62" s="9" t="str">
        <f t="shared" si="7"/>
        <v/>
      </c>
      <c r="C62" s="153">
        <f>IF(D11="","-",+C61+1)</f>
        <v>2062</v>
      </c>
      <c r="D62" s="159">
        <f>IF(F61+SUM(E$17:E61)=D$10,F61,D$10-SUM(E$17:E61))</f>
        <v>0</v>
      </c>
      <c r="E62" s="160">
        <f>IF(+I14&lt;F61,I14,D62)</f>
        <v>0</v>
      </c>
      <c r="F62" s="159">
        <f t="shared" si="1"/>
        <v>0</v>
      </c>
      <c r="G62" s="163">
        <f t="shared" si="8"/>
        <v>0</v>
      </c>
      <c r="H62" s="142">
        <f t="shared" si="9"/>
        <v>0</v>
      </c>
      <c r="I62" s="156">
        <f t="shared" si="0"/>
        <v>0</v>
      </c>
      <c r="J62" s="156"/>
      <c r="K62" s="334"/>
      <c r="L62" s="158">
        <f t="shared" si="4"/>
        <v>0</v>
      </c>
      <c r="M62" s="334"/>
      <c r="N62" s="158">
        <f t="shared" si="5"/>
        <v>0</v>
      </c>
      <c r="O62" s="158">
        <f t="shared" si="6"/>
        <v>0</v>
      </c>
      <c r="P62" s="4"/>
    </row>
    <row r="63" spans="2:16">
      <c r="B63" s="9" t="str">
        <f t="shared" si="7"/>
        <v/>
      </c>
      <c r="C63" s="153">
        <f>IF(D11="","-",+C62+1)</f>
        <v>2063</v>
      </c>
      <c r="D63" s="159">
        <f>IF(F62+SUM(E$17:E62)=D$10,F62,D$10-SUM(E$17:E62))</f>
        <v>0</v>
      </c>
      <c r="E63" s="160">
        <f>IF(+I14&lt;F62,I14,D63)</f>
        <v>0</v>
      </c>
      <c r="F63" s="159">
        <f t="shared" si="1"/>
        <v>0</v>
      </c>
      <c r="G63" s="163">
        <f t="shared" si="8"/>
        <v>0</v>
      </c>
      <c r="H63" s="142">
        <f t="shared" si="9"/>
        <v>0</v>
      </c>
      <c r="I63" s="156">
        <f t="shared" si="0"/>
        <v>0</v>
      </c>
      <c r="J63" s="156"/>
      <c r="K63" s="334"/>
      <c r="L63" s="158">
        <f t="shared" si="4"/>
        <v>0</v>
      </c>
      <c r="M63" s="334"/>
      <c r="N63" s="158">
        <f t="shared" si="5"/>
        <v>0</v>
      </c>
      <c r="O63" s="158">
        <f t="shared" si="6"/>
        <v>0</v>
      </c>
      <c r="P63" s="4"/>
    </row>
    <row r="64" spans="2:16">
      <c r="B64" s="9" t="str">
        <f t="shared" si="7"/>
        <v/>
      </c>
      <c r="C64" s="153">
        <f>IF(D11="","-",+C63+1)</f>
        <v>2064</v>
      </c>
      <c r="D64" s="159">
        <f>IF(F63+SUM(E$17:E63)=D$10,F63,D$10-SUM(E$17:E63))</f>
        <v>0</v>
      </c>
      <c r="E64" s="160">
        <f>IF(+I14&lt;F63,I14,D64)</f>
        <v>0</v>
      </c>
      <c r="F64" s="159">
        <f t="shared" si="1"/>
        <v>0</v>
      </c>
      <c r="G64" s="163">
        <f t="shared" si="8"/>
        <v>0</v>
      </c>
      <c r="H64" s="142">
        <f t="shared" si="9"/>
        <v>0</v>
      </c>
      <c r="I64" s="156">
        <f t="shared" si="0"/>
        <v>0</v>
      </c>
      <c r="J64" s="156"/>
      <c r="K64" s="334"/>
      <c r="L64" s="158">
        <f t="shared" si="4"/>
        <v>0</v>
      </c>
      <c r="M64" s="334"/>
      <c r="N64" s="158">
        <f t="shared" si="5"/>
        <v>0</v>
      </c>
      <c r="O64" s="158">
        <f t="shared" si="6"/>
        <v>0</v>
      </c>
      <c r="P64" s="4"/>
    </row>
    <row r="65" spans="2:16">
      <c r="B65" s="9" t="str">
        <f t="shared" si="7"/>
        <v/>
      </c>
      <c r="C65" s="153">
        <f>IF(D11="","-",+C64+1)</f>
        <v>2065</v>
      </c>
      <c r="D65" s="159">
        <f>IF(F64+SUM(E$17:E64)=D$10,F64,D$10-SUM(E$17:E64))</f>
        <v>0</v>
      </c>
      <c r="E65" s="160">
        <f>IF(+I14&lt;F64,I14,D65)</f>
        <v>0</v>
      </c>
      <c r="F65" s="159">
        <f t="shared" si="1"/>
        <v>0</v>
      </c>
      <c r="G65" s="163">
        <f t="shared" si="8"/>
        <v>0</v>
      </c>
      <c r="H65" s="142">
        <f t="shared" si="9"/>
        <v>0</v>
      </c>
      <c r="I65" s="156">
        <f t="shared" si="0"/>
        <v>0</v>
      </c>
      <c r="J65" s="156"/>
      <c r="K65" s="334"/>
      <c r="L65" s="158">
        <f t="shared" si="4"/>
        <v>0</v>
      </c>
      <c r="M65" s="334"/>
      <c r="N65" s="158">
        <f t="shared" si="5"/>
        <v>0</v>
      </c>
      <c r="O65" s="158">
        <f t="shared" si="6"/>
        <v>0</v>
      </c>
      <c r="P65" s="4"/>
    </row>
    <row r="66" spans="2:16">
      <c r="B66" s="9" t="str">
        <f t="shared" si="7"/>
        <v/>
      </c>
      <c r="C66" s="153">
        <f>IF(D11="","-",+C65+1)</f>
        <v>2066</v>
      </c>
      <c r="D66" s="159">
        <f>IF(F65+SUM(E$17:E65)=D$10,F65,D$10-SUM(E$17:E65))</f>
        <v>0</v>
      </c>
      <c r="E66" s="160">
        <f>IF(+I14&lt;F65,I14,D66)</f>
        <v>0</v>
      </c>
      <c r="F66" s="159">
        <f t="shared" si="1"/>
        <v>0</v>
      </c>
      <c r="G66" s="163">
        <f t="shared" si="8"/>
        <v>0</v>
      </c>
      <c r="H66" s="142">
        <f t="shared" si="9"/>
        <v>0</v>
      </c>
      <c r="I66" s="156">
        <f t="shared" si="0"/>
        <v>0</v>
      </c>
      <c r="J66" s="156"/>
      <c r="K66" s="334"/>
      <c r="L66" s="158">
        <f t="shared" si="4"/>
        <v>0</v>
      </c>
      <c r="M66" s="334"/>
      <c r="N66" s="158">
        <f t="shared" si="5"/>
        <v>0</v>
      </c>
      <c r="O66" s="158">
        <f t="shared" si="6"/>
        <v>0</v>
      </c>
      <c r="P66" s="4"/>
    </row>
    <row r="67" spans="2:16">
      <c r="B67" s="9" t="str">
        <f t="shared" si="7"/>
        <v/>
      </c>
      <c r="C67" s="153">
        <f>IF(D11="","-",+C66+1)</f>
        <v>2067</v>
      </c>
      <c r="D67" s="159">
        <f>IF(F66+SUM(E$17:E66)=D$10,F66,D$10-SUM(E$17:E66))</f>
        <v>0</v>
      </c>
      <c r="E67" s="160">
        <f>IF(+I14&lt;F66,I14,D67)</f>
        <v>0</v>
      </c>
      <c r="F67" s="159">
        <f t="shared" si="1"/>
        <v>0</v>
      </c>
      <c r="G67" s="163">
        <f t="shared" si="8"/>
        <v>0</v>
      </c>
      <c r="H67" s="142">
        <f t="shared" si="9"/>
        <v>0</v>
      </c>
      <c r="I67" s="156">
        <f t="shared" si="0"/>
        <v>0</v>
      </c>
      <c r="J67" s="156"/>
      <c r="K67" s="334"/>
      <c r="L67" s="158">
        <f t="shared" si="4"/>
        <v>0</v>
      </c>
      <c r="M67" s="334"/>
      <c r="N67" s="158">
        <f t="shared" si="5"/>
        <v>0</v>
      </c>
      <c r="O67" s="158">
        <f t="shared" si="6"/>
        <v>0</v>
      </c>
      <c r="P67" s="4"/>
    </row>
    <row r="68" spans="2:16">
      <c r="B68" s="9" t="str">
        <f t="shared" si="7"/>
        <v/>
      </c>
      <c r="C68" s="153">
        <f>IF(D11="","-",+C67+1)</f>
        <v>2068</v>
      </c>
      <c r="D68" s="159">
        <f>IF(F67+SUM(E$17:E67)=D$10,F67,D$10-SUM(E$17:E67))</f>
        <v>0</v>
      </c>
      <c r="E68" s="160">
        <f>IF(+I14&lt;F67,I14,D68)</f>
        <v>0</v>
      </c>
      <c r="F68" s="159">
        <f t="shared" si="1"/>
        <v>0</v>
      </c>
      <c r="G68" s="163">
        <f t="shared" si="8"/>
        <v>0</v>
      </c>
      <c r="H68" s="142">
        <f t="shared" si="9"/>
        <v>0</v>
      </c>
      <c r="I68" s="156">
        <f t="shared" si="0"/>
        <v>0</v>
      </c>
      <c r="J68" s="156"/>
      <c r="K68" s="334"/>
      <c r="L68" s="158">
        <f t="shared" si="4"/>
        <v>0</v>
      </c>
      <c r="M68" s="334"/>
      <c r="N68" s="158">
        <f t="shared" si="5"/>
        <v>0</v>
      </c>
      <c r="O68" s="158">
        <f t="shared" si="6"/>
        <v>0</v>
      </c>
      <c r="P68" s="4"/>
    </row>
    <row r="69" spans="2:16">
      <c r="B69" s="9" t="str">
        <f t="shared" si="7"/>
        <v/>
      </c>
      <c r="C69" s="153">
        <f>IF(D11="","-",+C68+1)</f>
        <v>2069</v>
      </c>
      <c r="D69" s="159">
        <f>IF(F68+SUM(E$17:E68)=D$10,F68,D$10-SUM(E$17:E68))</f>
        <v>0</v>
      </c>
      <c r="E69" s="160">
        <f>IF(+I14&lt;F68,I14,D69)</f>
        <v>0</v>
      </c>
      <c r="F69" s="159">
        <f t="shared" si="1"/>
        <v>0</v>
      </c>
      <c r="G69" s="163">
        <f t="shared" si="8"/>
        <v>0</v>
      </c>
      <c r="H69" s="142">
        <f t="shared" si="9"/>
        <v>0</v>
      </c>
      <c r="I69" s="156">
        <f t="shared" si="0"/>
        <v>0</v>
      </c>
      <c r="J69" s="156"/>
      <c r="K69" s="334"/>
      <c r="L69" s="158">
        <f t="shared" si="4"/>
        <v>0</v>
      </c>
      <c r="M69" s="334"/>
      <c r="N69" s="158">
        <f t="shared" si="5"/>
        <v>0</v>
      </c>
      <c r="O69" s="158">
        <f t="shared" si="6"/>
        <v>0</v>
      </c>
      <c r="P69" s="4"/>
    </row>
    <row r="70" spans="2:16">
      <c r="B70" s="9" t="str">
        <f t="shared" si="7"/>
        <v/>
      </c>
      <c r="C70" s="153">
        <f>IF(D11="","-",+C69+1)</f>
        <v>2070</v>
      </c>
      <c r="D70" s="159">
        <f>IF(F69+SUM(E$17:E69)=D$10,F69,D$10-SUM(E$17:E69))</f>
        <v>0</v>
      </c>
      <c r="E70" s="160">
        <f>IF(+I14&lt;F69,I14,D70)</f>
        <v>0</v>
      </c>
      <c r="F70" s="159">
        <f t="shared" si="1"/>
        <v>0</v>
      </c>
      <c r="G70" s="163">
        <f t="shared" si="8"/>
        <v>0</v>
      </c>
      <c r="H70" s="142">
        <f t="shared" si="9"/>
        <v>0</v>
      </c>
      <c r="I70" s="156">
        <f t="shared" si="0"/>
        <v>0</v>
      </c>
      <c r="J70" s="156"/>
      <c r="K70" s="334"/>
      <c r="L70" s="158">
        <f t="shared" si="4"/>
        <v>0</v>
      </c>
      <c r="M70" s="334"/>
      <c r="N70" s="158">
        <f t="shared" si="5"/>
        <v>0</v>
      </c>
      <c r="O70" s="158">
        <f t="shared" si="6"/>
        <v>0</v>
      </c>
      <c r="P70" s="4"/>
    </row>
    <row r="71" spans="2:16">
      <c r="B71" s="9" t="str">
        <f t="shared" si="7"/>
        <v/>
      </c>
      <c r="C71" s="153">
        <f>IF(D11="","-",+C70+1)</f>
        <v>2071</v>
      </c>
      <c r="D71" s="159">
        <f>IF(F70+SUM(E$17:E70)=D$10,F70,D$10-SUM(E$17:E70))</f>
        <v>0</v>
      </c>
      <c r="E71" s="160">
        <f>IF(+I14&lt;F70,I14,D71)</f>
        <v>0</v>
      </c>
      <c r="F71" s="159">
        <f t="shared" si="1"/>
        <v>0</v>
      </c>
      <c r="G71" s="163">
        <f t="shared" si="8"/>
        <v>0</v>
      </c>
      <c r="H71" s="142">
        <f t="shared" si="9"/>
        <v>0</v>
      </c>
      <c r="I71" s="156">
        <f t="shared" si="0"/>
        <v>0</v>
      </c>
      <c r="J71" s="156"/>
      <c r="K71" s="334"/>
      <c r="L71" s="158">
        <f t="shared" si="4"/>
        <v>0</v>
      </c>
      <c r="M71" s="334"/>
      <c r="N71" s="158">
        <f t="shared" si="5"/>
        <v>0</v>
      </c>
      <c r="O71" s="158">
        <f t="shared" si="6"/>
        <v>0</v>
      </c>
      <c r="P71" s="4"/>
    </row>
    <row r="72" spans="2:16" ht="13.5" thickBot="1">
      <c r="B72" s="9" t="str">
        <f t="shared" si="7"/>
        <v/>
      </c>
      <c r="C72" s="164">
        <f>IF(D11="","-",+C71+1)</f>
        <v>2072</v>
      </c>
      <c r="D72" s="165">
        <f>IF(F71+SUM(E$17:E71)=D$10,F71,D$10-SUM(E$17:E71))</f>
        <v>0</v>
      </c>
      <c r="E72" s="166">
        <f>IF(+I14&lt;F71,I14,D72)</f>
        <v>0</v>
      </c>
      <c r="F72" s="165">
        <f t="shared" si="1"/>
        <v>0</v>
      </c>
      <c r="G72" s="167">
        <f t="shared" si="8"/>
        <v>0</v>
      </c>
      <c r="H72" s="124">
        <f t="shared" si="9"/>
        <v>0</v>
      </c>
      <c r="I72" s="168">
        <f t="shared" si="0"/>
        <v>0</v>
      </c>
      <c r="J72" s="156"/>
      <c r="K72" s="335"/>
      <c r="L72" s="169">
        <f t="shared" si="4"/>
        <v>0</v>
      </c>
      <c r="M72" s="335"/>
      <c r="N72" s="169">
        <f t="shared" si="5"/>
        <v>0</v>
      </c>
      <c r="O72" s="169">
        <f t="shared" si="6"/>
        <v>0</v>
      </c>
      <c r="P72" s="4"/>
    </row>
    <row r="73" spans="2:16">
      <c r="C73" s="154" t="s">
        <v>73</v>
      </c>
      <c r="D73" s="111"/>
      <c r="E73" s="111">
        <f>SUM(E17:E72)</f>
        <v>1835000</v>
      </c>
      <c r="F73" s="111"/>
      <c r="G73" s="111">
        <f>SUM(G17:G72)</f>
        <v>5890034.3412975185</v>
      </c>
      <c r="H73" s="111">
        <f>SUM(H17:H72)</f>
        <v>5890034.3412975185</v>
      </c>
      <c r="I73" s="111">
        <f>SUM(I17:I72)</f>
        <v>0</v>
      </c>
      <c r="J73" s="111"/>
      <c r="K73" s="111"/>
      <c r="L73" s="111"/>
      <c r="M73" s="111"/>
      <c r="N73" s="111"/>
      <c r="O73" s="4"/>
      <c r="P73" s="4"/>
    </row>
    <row r="74" spans="2:16">
      <c r="D74" s="2"/>
      <c r="E74" s="1"/>
      <c r="F74" s="1"/>
      <c r="G74" s="1"/>
      <c r="H74" s="3"/>
      <c r="I74" s="3"/>
      <c r="J74" s="111"/>
      <c r="K74" s="3"/>
      <c r="L74" s="3"/>
      <c r="M74" s="3"/>
      <c r="N74" s="3"/>
      <c r="O74" s="1"/>
      <c r="P74" s="1"/>
    </row>
    <row r="75" spans="2:16">
      <c r="C75" s="170" t="s">
        <v>91</v>
      </c>
      <c r="D75" s="2"/>
      <c r="E75" s="1"/>
      <c r="F75" s="1"/>
      <c r="G75" s="1"/>
      <c r="H75" s="3"/>
      <c r="I75" s="3"/>
      <c r="J75" s="111"/>
      <c r="K75" s="3"/>
      <c r="L75" s="3"/>
      <c r="M75" s="3"/>
      <c r="N75" s="3"/>
      <c r="O75" s="1"/>
      <c r="P75" s="1"/>
    </row>
    <row r="76" spans="2:16">
      <c r="C76" s="121" t="s">
        <v>74</v>
      </c>
      <c r="D76" s="2"/>
      <c r="E76" s="1"/>
      <c r="F76" s="1"/>
      <c r="G76" s="1"/>
      <c r="H76" s="3"/>
      <c r="I76" s="3"/>
      <c r="J76" s="111"/>
      <c r="K76" s="3"/>
      <c r="L76" s="3"/>
      <c r="M76" s="3"/>
      <c r="N76" s="3"/>
      <c r="O76" s="4"/>
      <c r="P76" s="4"/>
    </row>
    <row r="77" spans="2:16">
      <c r="C77" s="121" t="s">
        <v>75</v>
      </c>
      <c r="D77" s="154"/>
      <c r="E77" s="154"/>
      <c r="F77" s="154"/>
      <c r="G77" s="111"/>
      <c r="H77" s="111"/>
      <c r="I77" s="171"/>
      <c r="J77" s="171"/>
      <c r="K77" s="171"/>
      <c r="L77" s="171"/>
      <c r="M77" s="171"/>
      <c r="N77" s="171"/>
      <c r="O77" s="4"/>
      <c r="P77" s="4"/>
    </row>
    <row r="78" spans="2:16">
      <c r="C78" s="121"/>
      <c r="D78" s="154"/>
      <c r="E78" s="154"/>
      <c r="F78" s="154"/>
      <c r="G78" s="111"/>
      <c r="H78" s="111"/>
      <c r="I78" s="171"/>
      <c r="J78" s="171"/>
      <c r="K78" s="171"/>
      <c r="L78" s="171"/>
      <c r="M78" s="171"/>
      <c r="N78" s="171"/>
      <c r="O78" s="4"/>
      <c r="P78" s="1"/>
    </row>
    <row r="79" spans="2:16">
      <c r="B79" s="1"/>
      <c r="C79" s="21"/>
      <c r="D79" s="2"/>
      <c r="E79" s="1"/>
      <c r="F79" s="107"/>
      <c r="G79" s="1"/>
      <c r="H79" s="3"/>
      <c r="I79" s="1"/>
      <c r="J79" s="4"/>
      <c r="K79" s="1"/>
      <c r="L79" s="1"/>
      <c r="M79" s="1"/>
      <c r="N79" s="1"/>
      <c r="O79" s="1"/>
      <c r="P79" s="1"/>
    </row>
    <row r="80" spans="2:16" ht="18">
      <c r="B80" s="1"/>
      <c r="C80" s="242"/>
      <c r="D80" s="2"/>
      <c r="E80" s="1"/>
      <c r="F80" s="107"/>
      <c r="G80" s="1"/>
      <c r="H80" s="3"/>
      <c r="I80" s="1"/>
      <c r="J80" s="4"/>
      <c r="K80" s="1"/>
      <c r="L80" s="1"/>
      <c r="M80" s="1"/>
      <c r="N80" s="1"/>
      <c r="P80" s="244" t="s">
        <v>125</v>
      </c>
    </row>
    <row r="81" spans="1:16">
      <c r="B81" s="1"/>
      <c r="C81" s="21"/>
      <c r="D81" s="2"/>
      <c r="E81" s="1"/>
      <c r="F81" s="107"/>
      <c r="G81" s="1"/>
      <c r="H81" s="3"/>
      <c r="I81" s="1"/>
      <c r="J81" s="4"/>
      <c r="K81" s="1"/>
      <c r="L81" s="1"/>
      <c r="M81" s="1"/>
      <c r="N81" s="1"/>
      <c r="O81" s="1"/>
      <c r="P81" s="1"/>
    </row>
    <row r="82" spans="1:16">
      <c r="B82" s="1"/>
      <c r="C82" s="21"/>
      <c r="D82" s="2"/>
      <c r="E82" s="1"/>
      <c r="F82" s="107"/>
      <c r="G82" s="1"/>
      <c r="H82" s="3"/>
      <c r="I82" s="1"/>
      <c r="J82" s="4"/>
      <c r="K82" s="1"/>
      <c r="L82" s="1"/>
      <c r="M82" s="1"/>
      <c r="N82" s="1"/>
      <c r="O82" s="1"/>
      <c r="P82" s="1"/>
    </row>
    <row r="83" spans="1:16" ht="20.25">
      <c r="A83" s="243" t="s">
        <v>129</v>
      </c>
      <c r="B83" s="1"/>
      <c r="C83" s="21"/>
      <c r="D83" s="2"/>
      <c r="E83" s="1"/>
      <c r="F83" s="99"/>
      <c r="G83" s="99"/>
      <c r="H83" s="1"/>
      <c r="I83" s="3"/>
      <c r="K83" s="7"/>
      <c r="L83" s="109"/>
      <c r="M83" s="109"/>
      <c r="P83" s="109" t="str">
        <f ca="1">P1</f>
        <v>SWEPCO Project 65 of 73</v>
      </c>
    </row>
    <row r="84" spans="1:16" ht="18">
      <c r="B84" s="1"/>
      <c r="C84" s="1"/>
      <c r="D84" s="2"/>
      <c r="E84" s="1"/>
      <c r="F84" s="1"/>
      <c r="G84" s="1"/>
      <c r="H84" s="1"/>
      <c r="I84" s="3"/>
      <c r="J84" s="1"/>
      <c r="K84" s="4"/>
      <c r="L84" s="1"/>
      <c r="M84" s="1"/>
      <c r="P84" s="244" t="s">
        <v>123</v>
      </c>
    </row>
    <row r="85" spans="1:16" ht="18.75" thickBot="1">
      <c r="B85" s="5" t="s">
        <v>40</v>
      </c>
      <c r="C85" s="197" t="s">
        <v>78</v>
      </c>
      <c r="D85" s="2"/>
      <c r="E85" s="1"/>
      <c r="F85" s="1"/>
      <c r="G85" s="1"/>
      <c r="H85" s="1"/>
      <c r="I85" s="3"/>
      <c r="J85" s="3"/>
      <c r="K85" s="111"/>
      <c r="L85" s="3"/>
      <c r="M85" s="3"/>
      <c r="N85" s="3"/>
      <c r="O85" s="111"/>
      <c r="P85" s="1"/>
    </row>
    <row r="86" spans="1:16" ht="15.75" thickBot="1">
      <c r="C86" s="67"/>
      <c r="D86" s="2"/>
      <c r="E86" s="1"/>
      <c r="F86" s="1"/>
      <c r="G86" s="1"/>
      <c r="H86" s="1"/>
      <c r="I86" s="3"/>
      <c r="J86" s="3"/>
      <c r="K86" s="111"/>
      <c r="L86" s="265">
        <f>+J92</f>
        <v>2017</v>
      </c>
      <c r="M86" s="266" t="s">
        <v>7</v>
      </c>
      <c r="N86" s="270" t="s">
        <v>154</v>
      </c>
      <c r="O86" s="267" t="s">
        <v>9</v>
      </c>
      <c r="P86" s="1"/>
    </row>
    <row r="87" spans="1:16" ht="15">
      <c r="C87" s="235" t="s">
        <v>42</v>
      </c>
      <c r="D87" s="2"/>
      <c r="E87" s="1"/>
      <c r="F87" s="1"/>
      <c r="G87" s="1"/>
      <c r="H87" s="113"/>
      <c r="I87" s="1" t="s">
        <v>43</v>
      </c>
      <c r="J87" s="1"/>
      <c r="K87" s="261"/>
      <c r="L87" s="259" t="s">
        <v>381</v>
      </c>
      <c r="M87" s="198">
        <f>IF(J92&lt;D11,0,VLOOKUP(J92,C17:O72,9))</f>
        <v>113671.39959306066</v>
      </c>
      <c r="N87" s="198">
        <f>IF(J92&lt;D11,0,VLOOKUP(J92,C17:O72,11))</f>
        <v>113671.39959306066</v>
      </c>
      <c r="O87" s="199">
        <f>+N87-M87</f>
        <v>0</v>
      </c>
      <c r="P87" s="1"/>
    </row>
    <row r="88" spans="1:16" ht="15.75">
      <c r="C88" s="8"/>
      <c r="D88" s="2"/>
      <c r="E88" s="1"/>
      <c r="F88" s="1"/>
      <c r="G88" s="1"/>
      <c r="H88" s="1"/>
      <c r="I88" s="117"/>
      <c r="J88" s="117"/>
      <c r="K88" s="263"/>
      <c r="L88" s="264" t="s">
        <v>382</v>
      </c>
      <c r="M88" s="200">
        <f>IF(J92&lt;D11,0,VLOOKUP(J92,C99:P154,6))</f>
        <v>148292.66067911699</v>
      </c>
      <c r="N88" s="200">
        <f>IF(J92&lt;D11,0,VLOOKUP(J92,C99:P154,7))</f>
        <v>148292.66067911699</v>
      </c>
      <c r="O88" s="201">
        <f>+N88-M88</f>
        <v>0</v>
      </c>
      <c r="P88" s="1"/>
    </row>
    <row r="89" spans="1:16" ht="13.5" thickBot="1">
      <c r="C89" s="121" t="s">
        <v>79</v>
      </c>
      <c r="D89" s="246" t="str">
        <f>+D7</f>
        <v>Daingerfield - Jenkins Rebuild</v>
      </c>
      <c r="E89" s="1"/>
      <c r="F89" s="1"/>
      <c r="G89" s="1"/>
      <c r="H89" s="1"/>
      <c r="I89" s="3"/>
      <c r="J89" s="3"/>
      <c r="K89" s="262"/>
      <c r="L89" s="260" t="s">
        <v>151</v>
      </c>
      <c r="M89" s="203">
        <f>+M88-M87</f>
        <v>34621.261086056329</v>
      </c>
      <c r="N89" s="203">
        <f>+N88-N87</f>
        <v>34621.261086056329</v>
      </c>
      <c r="O89" s="204">
        <f>+O88-O87</f>
        <v>0</v>
      </c>
      <c r="P89" s="1"/>
    </row>
    <row r="90" spans="1:16" ht="13.5" thickBot="1">
      <c r="C90" s="170"/>
      <c r="D90" s="173" t="str">
        <f>D8</f>
        <v/>
      </c>
      <c r="E90" s="107"/>
      <c r="F90" s="107"/>
      <c r="G90" s="107"/>
      <c r="H90" s="126"/>
      <c r="I90" s="3"/>
      <c r="J90" s="3"/>
      <c r="K90" s="111"/>
      <c r="L90" s="3"/>
      <c r="M90" s="3"/>
      <c r="N90" s="3"/>
      <c r="O90" s="111"/>
      <c r="P90" s="1"/>
    </row>
    <row r="91" spans="1:16" ht="13.5" thickBot="1">
      <c r="A91" s="103"/>
      <c r="C91" s="205" t="s">
        <v>80</v>
      </c>
      <c r="D91" s="224" t="str">
        <f>+D9</f>
        <v>TP______</v>
      </c>
      <c r="E91" s="206"/>
      <c r="F91" s="206"/>
      <c r="G91" s="206"/>
      <c r="H91" s="206"/>
      <c r="I91" s="206"/>
      <c r="J91" s="206"/>
      <c r="K91" s="207"/>
      <c r="P91" s="131"/>
    </row>
    <row r="92" spans="1:16">
      <c r="C92" s="136" t="s">
        <v>47</v>
      </c>
      <c r="D92" s="218">
        <v>2368917</v>
      </c>
      <c r="E92" s="21" t="s">
        <v>81</v>
      </c>
      <c r="H92" s="134"/>
      <c r="I92" s="134"/>
      <c r="J92" s="135">
        <f>+'SWE.WS.G.BPU.ATRR.True-up'!M15</f>
        <v>2017</v>
      </c>
      <c r="K92" s="130"/>
      <c r="L92" s="111" t="s">
        <v>82</v>
      </c>
      <c r="P92" s="4"/>
    </row>
    <row r="93" spans="1:16">
      <c r="C93" s="136" t="s">
        <v>49</v>
      </c>
      <c r="D93" s="219">
        <f>IF(D11=I10,"",D11)</f>
        <v>2017</v>
      </c>
      <c r="E93" s="136" t="s">
        <v>50</v>
      </c>
      <c r="F93" s="134"/>
      <c r="G93" s="134"/>
      <c r="J93" s="138">
        <f>IF(H87="",0,'SWE.WS.G.BPU.ATRR.True-up'!$F$12)</f>
        <v>0</v>
      </c>
      <c r="K93" s="139"/>
      <c r="L93" t="str">
        <f>"          INPUT TRUE-UP ARR (WITH &amp; WITHOUT INCENTIVES) FROM EACH PRIOR YEAR"</f>
        <v xml:space="preserve">          INPUT TRUE-UP ARR (WITH &amp; WITHOUT INCENTIVES) FROM EACH PRIOR YEAR</v>
      </c>
      <c r="P93" s="4"/>
    </row>
    <row r="94" spans="1:16">
      <c r="C94" s="136" t="s">
        <v>51</v>
      </c>
      <c r="D94" s="218">
        <f>IF(D11=I10,"",D12)</f>
        <v>11</v>
      </c>
      <c r="E94" s="136" t="s">
        <v>52</v>
      </c>
      <c r="F94" s="134"/>
      <c r="G94" s="134"/>
      <c r="J94" s="140">
        <f>'SWE.WS.G.BPU.ATRR.True-up'!$F$80</f>
        <v>0.12147145768398206</v>
      </c>
      <c r="K94" s="141"/>
      <c r="L94" t="s">
        <v>83</v>
      </c>
      <c r="P94" s="4"/>
    </row>
    <row r="95" spans="1:16">
      <c r="C95" s="136" t="s">
        <v>54</v>
      </c>
      <c r="D95" s="138">
        <f>'SWE.WS.G.BPU.ATRR.True-up'!F$92</f>
        <v>42</v>
      </c>
      <c r="E95" s="136" t="s">
        <v>55</v>
      </c>
      <c r="F95" s="134"/>
      <c r="G95" s="134"/>
      <c r="J95" s="140">
        <f>IF(H87="",J94,'SWE.WS.G.BPU.ATRR.True-up'!$F$79)</f>
        <v>0.12147145768398206</v>
      </c>
      <c r="K95" s="58"/>
      <c r="L95" s="111" t="s">
        <v>56</v>
      </c>
      <c r="M95" s="58"/>
      <c r="N95" s="58"/>
      <c r="O95" s="58"/>
      <c r="P95" s="4"/>
    </row>
    <row r="96" spans="1:16" ht="13.5" thickBot="1">
      <c r="C96" s="136" t="s">
        <v>57</v>
      </c>
      <c r="D96" s="220" t="str">
        <f>+D14</f>
        <v>No</v>
      </c>
      <c r="E96" s="202" t="s">
        <v>59</v>
      </c>
      <c r="F96" s="208"/>
      <c r="G96" s="208"/>
      <c r="H96" s="209"/>
      <c r="I96" s="209"/>
      <c r="J96" s="124">
        <f>IF(D92=0,0,D92/D95)</f>
        <v>56402.785714285717</v>
      </c>
      <c r="K96" s="111"/>
      <c r="L96" s="111"/>
      <c r="M96" s="111"/>
      <c r="N96" s="111"/>
      <c r="O96" s="111"/>
      <c r="P96" s="4"/>
    </row>
    <row r="97" spans="1:16" ht="38.25">
      <c r="A97" s="6"/>
      <c r="B97" s="6"/>
      <c r="C97" s="210" t="s">
        <v>47</v>
      </c>
      <c r="D97" s="211" t="s">
        <v>60</v>
      </c>
      <c r="E97" s="146" t="s">
        <v>61</v>
      </c>
      <c r="F97" s="146" t="s">
        <v>62</v>
      </c>
      <c r="G97" s="144" t="s">
        <v>84</v>
      </c>
      <c r="H97" s="434" t="s">
        <v>378</v>
      </c>
      <c r="I97" s="435" t="s">
        <v>379</v>
      </c>
      <c r="J97" s="210" t="s">
        <v>85</v>
      </c>
      <c r="K97" s="212"/>
      <c r="L97" s="271" t="s">
        <v>220</v>
      </c>
      <c r="M97" s="146" t="s">
        <v>86</v>
      </c>
      <c r="N97" s="271" t="s">
        <v>220</v>
      </c>
      <c r="O97" s="146" t="s">
        <v>86</v>
      </c>
      <c r="P97" s="146" t="s">
        <v>65</v>
      </c>
    </row>
    <row r="98" spans="1:16" ht="13.5" thickBot="1">
      <c r="C98" s="147" t="s">
        <v>66</v>
      </c>
      <c r="D98" s="213" t="s">
        <v>67</v>
      </c>
      <c r="E98" s="147" t="s">
        <v>68</v>
      </c>
      <c r="F98" s="147" t="s">
        <v>67</v>
      </c>
      <c r="G98" s="147" t="s">
        <v>67</v>
      </c>
      <c r="H98" s="255" t="s">
        <v>69</v>
      </c>
      <c r="I98" s="148" t="s">
        <v>70</v>
      </c>
      <c r="J98" s="149" t="s">
        <v>89</v>
      </c>
      <c r="K98" s="150"/>
      <c r="L98" s="151" t="s">
        <v>72</v>
      </c>
      <c r="M98" s="151" t="s">
        <v>72</v>
      </c>
      <c r="N98" s="151" t="s">
        <v>90</v>
      </c>
      <c r="O98" s="151" t="s">
        <v>90</v>
      </c>
      <c r="P98" s="151" t="s">
        <v>90</v>
      </c>
    </row>
    <row r="99" spans="1:16">
      <c r="C99" s="153">
        <f>IF(D93= "","-",D93)</f>
        <v>2017</v>
      </c>
      <c r="D99" s="154">
        <f>IF(D93=C99,0,D92)</f>
        <v>0</v>
      </c>
      <c r="E99" s="161">
        <f>IF(D11=I10,0,J96/12*(12-D94))</f>
        <v>4700.2321428571431</v>
      </c>
      <c r="F99" s="159">
        <f>IF(D93=C99,+D92-E99,+D99-E99)</f>
        <v>2364216.7678571427</v>
      </c>
      <c r="G99" s="214">
        <f t="shared" ref="G99:G130" si="10">+(F99+D99)/2</f>
        <v>1182108.3839285714</v>
      </c>
      <c r="H99" s="251">
        <f>+J94*G99+E99</f>
        <v>148292.66067911699</v>
      </c>
      <c r="I99" s="252">
        <f>+J95*G99+E99</f>
        <v>148292.66067911699</v>
      </c>
      <c r="J99" s="158">
        <f t="shared" ref="J99:J130" si="11">+I99-H99</f>
        <v>0</v>
      </c>
      <c r="K99" s="158"/>
      <c r="L99" s="333"/>
      <c r="M99" s="157">
        <f t="shared" ref="M99:M130" si="12">IF(L99&lt;&gt;0,+H99-L99,0)</f>
        <v>0</v>
      </c>
      <c r="N99" s="333"/>
      <c r="O99" s="157">
        <f t="shared" ref="O99:O130" si="13">IF(N99&lt;&gt;0,+I99-N99,0)</f>
        <v>0</v>
      </c>
      <c r="P99" s="157">
        <f t="shared" ref="P99:P130" si="14">+O99-M99</f>
        <v>0</v>
      </c>
    </row>
    <row r="100" spans="1:16">
      <c r="B100" s="9" t="str">
        <f>IF(D100=F99,"","IU")</f>
        <v/>
      </c>
      <c r="C100" s="153">
        <f>IF(D93="","-",+C99+1)</f>
        <v>2018</v>
      </c>
      <c r="D100" s="154">
        <f>IF(F99+SUM(E$99:E99)=D$92,F99,D$92-SUM(E$99:E99))</f>
        <v>2364216.7678571427</v>
      </c>
      <c r="E100" s="160">
        <f>IF(+J96&lt;F99,J96,D100)</f>
        <v>56402.785714285717</v>
      </c>
      <c r="F100" s="159">
        <f t="shared" ref="F100:F130" si="15">+D100-E100</f>
        <v>2307813.9821428568</v>
      </c>
      <c r="G100" s="159">
        <f t="shared" si="10"/>
        <v>2336015.375</v>
      </c>
      <c r="H100" s="163">
        <f t="shared" ref="H100:H154" si="16">+J$94*G100+E100</f>
        <v>340161.97848772974</v>
      </c>
      <c r="I100" s="253">
        <f t="shared" ref="I100:I154" si="17">+J$95*G100+E100</f>
        <v>340161.97848772974</v>
      </c>
      <c r="J100" s="158">
        <f t="shared" si="11"/>
        <v>0</v>
      </c>
      <c r="K100" s="158"/>
      <c r="L100" s="334"/>
      <c r="M100" s="158">
        <f t="shared" si="12"/>
        <v>0</v>
      </c>
      <c r="N100" s="334"/>
      <c r="O100" s="158">
        <f t="shared" si="13"/>
        <v>0</v>
      </c>
      <c r="P100" s="158">
        <f t="shared" si="14"/>
        <v>0</v>
      </c>
    </row>
    <row r="101" spans="1:16">
      <c r="B101" s="9" t="str">
        <f t="shared" ref="B101:B154" si="18">IF(D101=F100,"","IU")</f>
        <v/>
      </c>
      <c r="C101" s="153">
        <f>IF(D93="","-",+C100+1)</f>
        <v>2019</v>
      </c>
      <c r="D101" s="154">
        <f>IF(F100+SUM(E$99:E100)=D$92,F100,D$92-SUM(E$99:E100))</f>
        <v>2307813.9821428568</v>
      </c>
      <c r="E101" s="160">
        <f>IF(+J96&lt;F100,J96,D101)</f>
        <v>56402.785714285717</v>
      </c>
      <c r="F101" s="159">
        <f t="shared" si="15"/>
        <v>2251411.1964285709</v>
      </c>
      <c r="G101" s="159">
        <f t="shared" si="10"/>
        <v>2279612.5892857136</v>
      </c>
      <c r="H101" s="163">
        <f t="shared" si="16"/>
        <v>333310.64988957805</v>
      </c>
      <c r="I101" s="253">
        <f t="shared" si="17"/>
        <v>333310.64988957805</v>
      </c>
      <c r="J101" s="158">
        <f t="shared" si="11"/>
        <v>0</v>
      </c>
      <c r="K101" s="158"/>
      <c r="L101" s="334"/>
      <c r="M101" s="158">
        <f t="shared" si="12"/>
        <v>0</v>
      </c>
      <c r="N101" s="334"/>
      <c r="O101" s="158">
        <f t="shared" si="13"/>
        <v>0</v>
      </c>
      <c r="P101" s="158">
        <f t="shared" si="14"/>
        <v>0</v>
      </c>
    </row>
    <row r="102" spans="1:16">
      <c r="B102" s="9" t="str">
        <f t="shared" si="18"/>
        <v/>
      </c>
      <c r="C102" s="153">
        <f>IF(D93="","-",+C101+1)</f>
        <v>2020</v>
      </c>
      <c r="D102" s="154">
        <f>IF(F101+SUM(E$99:E101)=D$92,F101,D$92-SUM(E$99:E101))</f>
        <v>2251411.1964285709</v>
      </c>
      <c r="E102" s="160">
        <f>IF(+J96&lt;F101,J96,D102)</f>
        <v>56402.785714285717</v>
      </c>
      <c r="F102" s="159">
        <f t="shared" si="15"/>
        <v>2195008.410714285</v>
      </c>
      <c r="G102" s="159">
        <f t="shared" si="10"/>
        <v>2223209.8035714282</v>
      </c>
      <c r="H102" s="163">
        <f t="shared" si="16"/>
        <v>326459.32129142655</v>
      </c>
      <c r="I102" s="253">
        <f t="shared" si="17"/>
        <v>326459.32129142655</v>
      </c>
      <c r="J102" s="158">
        <f t="shared" si="11"/>
        <v>0</v>
      </c>
      <c r="K102" s="158"/>
      <c r="L102" s="334"/>
      <c r="M102" s="158">
        <f t="shared" si="12"/>
        <v>0</v>
      </c>
      <c r="N102" s="334"/>
      <c r="O102" s="158">
        <f t="shared" si="13"/>
        <v>0</v>
      </c>
      <c r="P102" s="158">
        <f t="shared" si="14"/>
        <v>0</v>
      </c>
    </row>
    <row r="103" spans="1:16">
      <c r="B103" s="9" t="str">
        <f t="shared" si="18"/>
        <v/>
      </c>
      <c r="C103" s="153">
        <f>IF(D93="","-",+C102+1)</f>
        <v>2021</v>
      </c>
      <c r="D103" s="154">
        <f>IF(F102+SUM(E$99:E102)=D$92,F102,D$92-SUM(E$99:E102))</f>
        <v>2195008.410714285</v>
      </c>
      <c r="E103" s="160">
        <f>IF(+J96&lt;F102,J96,D103)</f>
        <v>56402.785714285717</v>
      </c>
      <c r="F103" s="159">
        <f t="shared" si="15"/>
        <v>2138605.6249999991</v>
      </c>
      <c r="G103" s="159">
        <f t="shared" si="10"/>
        <v>2166807.0178571418</v>
      </c>
      <c r="H103" s="163">
        <f t="shared" si="16"/>
        <v>319607.99269327486</v>
      </c>
      <c r="I103" s="253">
        <f t="shared" si="17"/>
        <v>319607.99269327486</v>
      </c>
      <c r="J103" s="158">
        <f t="shared" si="11"/>
        <v>0</v>
      </c>
      <c r="K103" s="158"/>
      <c r="L103" s="334"/>
      <c r="M103" s="158">
        <f t="shared" si="12"/>
        <v>0</v>
      </c>
      <c r="N103" s="334"/>
      <c r="O103" s="158">
        <f t="shared" si="13"/>
        <v>0</v>
      </c>
      <c r="P103" s="158">
        <f t="shared" si="14"/>
        <v>0</v>
      </c>
    </row>
    <row r="104" spans="1:16">
      <c r="B104" s="9" t="str">
        <f t="shared" si="18"/>
        <v/>
      </c>
      <c r="C104" s="153">
        <f>IF(D93="","-",+C103+1)</f>
        <v>2022</v>
      </c>
      <c r="D104" s="154">
        <f>IF(F103+SUM(E$99:E103)=D$92,F103,D$92-SUM(E$99:E103))</f>
        <v>2138605.6249999991</v>
      </c>
      <c r="E104" s="160">
        <f>IF(+J96&lt;F103,J96,D104)</f>
        <v>56402.785714285717</v>
      </c>
      <c r="F104" s="159">
        <f t="shared" si="15"/>
        <v>2082202.8392857134</v>
      </c>
      <c r="G104" s="159">
        <f t="shared" si="10"/>
        <v>2110404.2321428563</v>
      </c>
      <c r="H104" s="163">
        <f t="shared" si="16"/>
        <v>312756.66409512336</v>
      </c>
      <c r="I104" s="253">
        <f t="shared" si="17"/>
        <v>312756.66409512336</v>
      </c>
      <c r="J104" s="158">
        <f t="shared" si="11"/>
        <v>0</v>
      </c>
      <c r="K104" s="158"/>
      <c r="L104" s="334"/>
      <c r="M104" s="158">
        <f t="shared" si="12"/>
        <v>0</v>
      </c>
      <c r="N104" s="334"/>
      <c r="O104" s="158">
        <f t="shared" si="13"/>
        <v>0</v>
      </c>
      <c r="P104" s="158">
        <f t="shared" si="14"/>
        <v>0</v>
      </c>
    </row>
    <row r="105" spans="1:16">
      <c r="B105" s="9" t="str">
        <f t="shared" si="18"/>
        <v/>
      </c>
      <c r="C105" s="153">
        <f>IF(D93="","-",+C104+1)</f>
        <v>2023</v>
      </c>
      <c r="D105" s="154">
        <f>IF(F104+SUM(E$99:E104)=D$92,F104,D$92-SUM(E$99:E104))</f>
        <v>2082202.8392857134</v>
      </c>
      <c r="E105" s="160">
        <f>IF(+J96&lt;F104,J96,D105)</f>
        <v>56402.785714285717</v>
      </c>
      <c r="F105" s="159">
        <f t="shared" si="15"/>
        <v>2025800.0535714277</v>
      </c>
      <c r="G105" s="159">
        <f t="shared" si="10"/>
        <v>2054001.4464285704</v>
      </c>
      <c r="H105" s="163">
        <f t="shared" si="16"/>
        <v>305905.33549697173</v>
      </c>
      <c r="I105" s="253">
        <f t="shared" si="17"/>
        <v>305905.33549697173</v>
      </c>
      <c r="J105" s="158">
        <f t="shared" si="11"/>
        <v>0</v>
      </c>
      <c r="K105" s="158"/>
      <c r="L105" s="334"/>
      <c r="M105" s="158">
        <f t="shared" si="12"/>
        <v>0</v>
      </c>
      <c r="N105" s="334"/>
      <c r="O105" s="158">
        <f t="shared" si="13"/>
        <v>0</v>
      </c>
      <c r="P105" s="158">
        <f t="shared" si="14"/>
        <v>0</v>
      </c>
    </row>
    <row r="106" spans="1:16">
      <c r="B106" s="9" t="str">
        <f t="shared" si="18"/>
        <v/>
      </c>
      <c r="C106" s="153">
        <f>IF(D93="","-",+C105+1)</f>
        <v>2024</v>
      </c>
      <c r="D106" s="154">
        <f>IF(F105+SUM(E$99:E105)=D$92,F105,D$92-SUM(E$99:E105))</f>
        <v>2025800.0535714277</v>
      </c>
      <c r="E106" s="160">
        <f>IF(+J96&lt;F105,J96,D106)</f>
        <v>56402.785714285717</v>
      </c>
      <c r="F106" s="159">
        <f t="shared" si="15"/>
        <v>1969397.267857142</v>
      </c>
      <c r="G106" s="159">
        <f t="shared" si="10"/>
        <v>1997598.660714285</v>
      </c>
      <c r="H106" s="163">
        <f t="shared" si="16"/>
        <v>299054.00689882023</v>
      </c>
      <c r="I106" s="253">
        <f t="shared" si="17"/>
        <v>299054.00689882023</v>
      </c>
      <c r="J106" s="158">
        <f t="shared" si="11"/>
        <v>0</v>
      </c>
      <c r="K106" s="158"/>
      <c r="L106" s="334"/>
      <c r="M106" s="158">
        <f t="shared" si="12"/>
        <v>0</v>
      </c>
      <c r="N106" s="334"/>
      <c r="O106" s="158">
        <f t="shared" si="13"/>
        <v>0</v>
      </c>
      <c r="P106" s="158">
        <f t="shared" si="14"/>
        <v>0</v>
      </c>
    </row>
    <row r="107" spans="1:16">
      <c r="B107" s="9" t="str">
        <f t="shared" si="18"/>
        <v/>
      </c>
      <c r="C107" s="153">
        <f>IF(D93="","-",+C106+1)</f>
        <v>2025</v>
      </c>
      <c r="D107" s="154">
        <f>IF(F106+SUM(E$99:E106)=D$92,F106,D$92-SUM(E$99:E106))</f>
        <v>1969397.267857142</v>
      </c>
      <c r="E107" s="160">
        <f>IF(+J96&lt;F106,J96,D107)</f>
        <v>56402.785714285717</v>
      </c>
      <c r="F107" s="159">
        <f t="shared" si="15"/>
        <v>1912994.4821428563</v>
      </c>
      <c r="G107" s="159">
        <f t="shared" si="10"/>
        <v>1941195.8749999991</v>
      </c>
      <c r="H107" s="163">
        <f t="shared" si="16"/>
        <v>292202.67830066866</v>
      </c>
      <c r="I107" s="253">
        <f t="shared" si="17"/>
        <v>292202.67830066866</v>
      </c>
      <c r="J107" s="158">
        <f t="shared" si="11"/>
        <v>0</v>
      </c>
      <c r="K107" s="158"/>
      <c r="L107" s="334"/>
      <c r="M107" s="158">
        <f t="shared" si="12"/>
        <v>0</v>
      </c>
      <c r="N107" s="334"/>
      <c r="O107" s="158">
        <f t="shared" si="13"/>
        <v>0</v>
      </c>
      <c r="P107" s="158">
        <f t="shared" si="14"/>
        <v>0</v>
      </c>
    </row>
    <row r="108" spans="1:16">
      <c r="B108" s="9" t="str">
        <f t="shared" si="18"/>
        <v/>
      </c>
      <c r="C108" s="153">
        <f>IF(D93="","-",+C107+1)</f>
        <v>2026</v>
      </c>
      <c r="D108" s="154">
        <f>IF(F107+SUM(E$99:E107)=D$92,F107,D$92-SUM(E$99:E107))</f>
        <v>1912994.4821428563</v>
      </c>
      <c r="E108" s="160">
        <f>IF(+J96&lt;F107,J96,D108)</f>
        <v>56402.785714285717</v>
      </c>
      <c r="F108" s="159">
        <f t="shared" si="15"/>
        <v>1856591.6964285707</v>
      </c>
      <c r="G108" s="159">
        <f t="shared" si="10"/>
        <v>1884793.0892857136</v>
      </c>
      <c r="H108" s="163">
        <f t="shared" si="16"/>
        <v>285351.34970251709</v>
      </c>
      <c r="I108" s="253">
        <f t="shared" si="17"/>
        <v>285351.34970251709</v>
      </c>
      <c r="J108" s="158">
        <f t="shared" si="11"/>
        <v>0</v>
      </c>
      <c r="K108" s="158"/>
      <c r="L108" s="334"/>
      <c r="M108" s="158">
        <f t="shared" si="12"/>
        <v>0</v>
      </c>
      <c r="N108" s="334"/>
      <c r="O108" s="158">
        <f t="shared" si="13"/>
        <v>0</v>
      </c>
      <c r="P108" s="158">
        <f t="shared" si="14"/>
        <v>0</v>
      </c>
    </row>
    <row r="109" spans="1:16">
      <c r="B109" s="9" t="str">
        <f t="shared" si="18"/>
        <v/>
      </c>
      <c r="C109" s="153">
        <f>IF(D93="","-",+C108+1)</f>
        <v>2027</v>
      </c>
      <c r="D109" s="154">
        <f>IF(F108+SUM(E$99:E108)=D$92,F108,D$92-SUM(E$99:E108))</f>
        <v>1856591.6964285707</v>
      </c>
      <c r="E109" s="160">
        <f>IF(+J96&lt;F108,J96,D109)</f>
        <v>56402.785714285717</v>
      </c>
      <c r="F109" s="159">
        <f t="shared" si="15"/>
        <v>1800188.910714285</v>
      </c>
      <c r="G109" s="159">
        <f t="shared" si="10"/>
        <v>1828390.3035714277</v>
      </c>
      <c r="H109" s="163">
        <f t="shared" si="16"/>
        <v>278500.02110436553</v>
      </c>
      <c r="I109" s="253">
        <f t="shared" si="17"/>
        <v>278500.02110436553</v>
      </c>
      <c r="J109" s="158">
        <f t="shared" si="11"/>
        <v>0</v>
      </c>
      <c r="K109" s="158"/>
      <c r="L109" s="334"/>
      <c r="M109" s="158">
        <f t="shared" si="12"/>
        <v>0</v>
      </c>
      <c r="N109" s="334"/>
      <c r="O109" s="158">
        <f t="shared" si="13"/>
        <v>0</v>
      </c>
      <c r="P109" s="158">
        <f t="shared" si="14"/>
        <v>0</v>
      </c>
    </row>
    <row r="110" spans="1:16">
      <c r="B110" s="9" t="str">
        <f t="shared" si="18"/>
        <v/>
      </c>
      <c r="C110" s="153">
        <f>IF(D93="","-",+C109+1)</f>
        <v>2028</v>
      </c>
      <c r="D110" s="154">
        <f>IF(F109+SUM(E$99:E109)=D$92,F109,D$92-SUM(E$99:E109))</f>
        <v>1800188.910714285</v>
      </c>
      <c r="E110" s="160">
        <f>IF(+J96&lt;F109,J96,D110)</f>
        <v>56402.785714285717</v>
      </c>
      <c r="F110" s="159">
        <f t="shared" si="15"/>
        <v>1743786.1249999993</v>
      </c>
      <c r="G110" s="159">
        <f t="shared" si="10"/>
        <v>1771987.5178571423</v>
      </c>
      <c r="H110" s="163">
        <f t="shared" si="16"/>
        <v>271648.69250621396</v>
      </c>
      <c r="I110" s="253">
        <f t="shared" si="17"/>
        <v>271648.69250621396</v>
      </c>
      <c r="J110" s="158">
        <f t="shared" si="11"/>
        <v>0</v>
      </c>
      <c r="K110" s="158"/>
      <c r="L110" s="334"/>
      <c r="M110" s="158">
        <f t="shared" si="12"/>
        <v>0</v>
      </c>
      <c r="N110" s="334"/>
      <c r="O110" s="158">
        <f t="shared" si="13"/>
        <v>0</v>
      </c>
      <c r="P110" s="158">
        <f t="shared" si="14"/>
        <v>0</v>
      </c>
    </row>
    <row r="111" spans="1:16">
      <c r="B111" s="9" t="str">
        <f t="shared" si="18"/>
        <v/>
      </c>
      <c r="C111" s="153">
        <f>IF(D93="","-",+C110+1)</f>
        <v>2029</v>
      </c>
      <c r="D111" s="154">
        <f>IF(F110+SUM(E$99:E110)=D$92,F110,D$92-SUM(E$99:E110))</f>
        <v>1743786.1249999993</v>
      </c>
      <c r="E111" s="160">
        <f>IF(+J96&lt;F110,J96,D111)</f>
        <v>56402.785714285717</v>
      </c>
      <c r="F111" s="159">
        <f t="shared" si="15"/>
        <v>1687383.3392857136</v>
      </c>
      <c r="G111" s="159">
        <f t="shared" si="10"/>
        <v>1715584.7321428563</v>
      </c>
      <c r="H111" s="163">
        <f t="shared" si="16"/>
        <v>264797.3639080624</v>
      </c>
      <c r="I111" s="253">
        <f t="shared" si="17"/>
        <v>264797.3639080624</v>
      </c>
      <c r="J111" s="158">
        <f t="shared" si="11"/>
        <v>0</v>
      </c>
      <c r="K111" s="158"/>
      <c r="L111" s="334"/>
      <c r="M111" s="158">
        <f t="shared" si="12"/>
        <v>0</v>
      </c>
      <c r="N111" s="334"/>
      <c r="O111" s="158">
        <f t="shared" si="13"/>
        <v>0</v>
      </c>
      <c r="P111" s="158">
        <f t="shared" si="14"/>
        <v>0</v>
      </c>
    </row>
    <row r="112" spans="1:16">
      <c r="B112" s="9" t="str">
        <f t="shared" si="18"/>
        <v/>
      </c>
      <c r="C112" s="153">
        <f>IF(D93="","-",+C111+1)</f>
        <v>2030</v>
      </c>
      <c r="D112" s="154">
        <f>IF(F111+SUM(E$99:E111)=D$92,F111,D$92-SUM(E$99:E111))</f>
        <v>1687383.3392857136</v>
      </c>
      <c r="E112" s="160">
        <f>IF(+J96&lt;F111,J96,D112)</f>
        <v>56402.785714285717</v>
      </c>
      <c r="F112" s="159">
        <f t="shared" si="15"/>
        <v>1630980.5535714279</v>
      </c>
      <c r="G112" s="159">
        <f t="shared" si="10"/>
        <v>1659181.9464285709</v>
      </c>
      <c r="H112" s="163">
        <f t="shared" si="16"/>
        <v>257946.03530991083</v>
      </c>
      <c r="I112" s="253">
        <f t="shared" si="17"/>
        <v>257946.03530991083</v>
      </c>
      <c r="J112" s="158">
        <f t="shared" si="11"/>
        <v>0</v>
      </c>
      <c r="K112" s="158"/>
      <c r="L112" s="334"/>
      <c r="M112" s="158">
        <f t="shared" si="12"/>
        <v>0</v>
      </c>
      <c r="N112" s="334"/>
      <c r="O112" s="158">
        <f t="shared" si="13"/>
        <v>0</v>
      </c>
      <c r="P112" s="158">
        <f t="shared" si="14"/>
        <v>0</v>
      </c>
    </row>
    <row r="113" spans="2:16">
      <c r="B113" s="9" t="str">
        <f t="shared" si="18"/>
        <v/>
      </c>
      <c r="C113" s="153">
        <f>IF(D93="","-",+C112+1)</f>
        <v>2031</v>
      </c>
      <c r="D113" s="154">
        <f>IF(F112+SUM(E$99:E112)=D$92,F112,D$92-SUM(E$99:E112))</f>
        <v>1630980.5535714279</v>
      </c>
      <c r="E113" s="160">
        <f>IF(+J96&lt;F112,J96,D113)</f>
        <v>56402.785714285717</v>
      </c>
      <c r="F113" s="159">
        <f t="shared" si="15"/>
        <v>1574577.7678571423</v>
      </c>
      <c r="G113" s="159">
        <f t="shared" si="10"/>
        <v>1602779.160714285</v>
      </c>
      <c r="H113" s="163">
        <f t="shared" si="16"/>
        <v>251094.70671175927</v>
      </c>
      <c r="I113" s="253">
        <f t="shared" si="17"/>
        <v>251094.70671175927</v>
      </c>
      <c r="J113" s="158">
        <f t="shared" si="11"/>
        <v>0</v>
      </c>
      <c r="K113" s="158"/>
      <c r="L113" s="334"/>
      <c r="M113" s="158">
        <f t="shared" si="12"/>
        <v>0</v>
      </c>
      <c r="N113" s="334"/>
      <c r="O113" s="158">
        <f t="shared" si="13"/>
        <v>0</v>
      </c>
      <c r="P113" s="158">
        <f t="shared" si="14"/>
        <v>0</v>
      </c>
    </row>
    <row r="114" spans="2:16">
      <c r="B114" s="9" t="str">
        <f t="shared" si="18"/>
        <v/>
      </c>
      <c r="C114" s="153">
        <f>IF(D93="","-",+C113+1)</f>
        <v>2032</v>
      </c>
      <c r="D114" s="154">
        <f>IF(F113+SUM(E$99:E113)=D$92,F113,D$92-SUM(E$99:E113))</f>
        <v>1574577.7678571423</v>
      </c>
      <c r="E114" s="160">
        <f>IF(+J96&lt;F113,J96,D114)</f>
        <v>56402.785714285717</v>
      </c>
      <c r="F114" s="159">
        <f t="shared" si="15"/>
        <v>1518174.9821428566</v>
      </c>
      <c r="G114" s="159">
        <f t="shared" si="10"/>
        <v>1546376.3749999995</v>
      </c>
      <c r="H114" s="163">
        <f t="shared" si="16"/>
        <v>244243.37811360773</v>
      </c>
      <c r="I114" s="253">
        <f t="shared" si="17"/>
        <v>244243.37811360773</v>
      </c>
      <c r="J114" s="158">
        <f t="shared" si="11"/>
        <v>0</v>
      </c>
      <c r="K114" s="158"/>
      <c r="L114" s="334"/>
      <c r="M114" s="158">
        <f t="shared" si="12"/>
        <v>0</v>
      </c>
      <c r="N114" s="334"/>
      <c r="O114" s="158">
        <f t="shared" si="13"/>
        <v>0</v>
      </c>
      <c r="P114" s="158">
        <f t="shared" si="14"/>
        <v>0</v>
      </c>
    </row>
    <row r="115" spans="2:16">
      <c r="B115" s="9" t="str">
        <f t="shared" si="18"/>
        <v/>
      </c>
      <c r="C115" s="153">
        <f>IF(D93="","-",+C114+1)</f>
        <v>2033</v>
      </c>
      <c r="D115" s="154">
        <f>IF(F114+SUM(E$99:E114)=D$92,F114,D$92-SUM(E$99:E114))</f>
        <v>1518174.9821428566</v>
      </c>
      <c r="E115" s="160">
        <f>IF(+J96&lt;F114,J96,D115)</f>
        <v>56402.785714285717</v>
      </c>
      <c r="F115" s="159">
        <f t="shared" si="15"/>
        <v>1461772.1964285709</v>
      </c>
      <c r="G115" s="159">
        <f t="shared" si="10"/>
        <v>1489973.5892857136</v>
      </c>
      <c r="H115" s="163">
        <f t="shared" si="16"/>
        <v>237392.04951545614</v>
      </c>
      <c r="I115" s="253">
        <f t="shared" si="17"/>
        <v>237392.04951545614</v>
      </c>
      <c r="J115" s="158">
        <f t="shared" si="11"/>
        <v>0</v>
      </c>
      <c r="K115" s="158"/>
      <c r="L115" s="334"/>
      <c r="M115" s="158">
        <f t="shared" si="12"/>
        <v>0</v>
      </c>
      <c r="N115" s="334"/>
      <c r="O115" s="158">
        <f t="shared" si="13"/>
        <v>0</v>
      </c>
      <c r="P115" s="158">
        <f t="shared" si="14"/>
        <v>0</v>
      </c>
    </row>
    <row r="116" spans="2:16">
      <c r="B116" s="9" t="str">
        <f t="shared" si="18"/>
        <v/>
      </c>
      <c r="C116" s="153">
        <f>IF(D93="","-",+C115+1)</f>
        <v>2034</v>
      </c>
      <c r="D116" s="154">
        <f>IF(F115+SUM(E$99:E115)=D$92,F115,D$92-SUM(E$99:E115))</f>
        <v>1461772.1964285709</v>
      </c>
      <c r="E116" s="160">
        <f>IF(+J96&lt;F115,J96,D116)</f>
        <v>56402.785714285717</v>
      </c>
      <c r="F116" s="159">
        <f t="shared" si="15"/>
        <v>1405369.4107142852</v>
      </c>
      <c r="G116" s="159">
        <f t="shared" si="10"/>
        <v>1433570.8035714282</v>
      </c>
      <c r="H116" s="163">
        <f t="shared" si="16"/>
        <v>230540.7209173046</v>
      </c>
      <c r="I116" s="253">
        <f t="shared" si="17"/>
        <v>230540.7209173046</v>
      </c>
      <c r="J116" s="158">
        <f t="shared" si="11"/>
        <v>0</v>
      </c>
      <c r="K116" s="158"/>
      <c r="L116" s="334"/>
      <c r="M116" s="158">
        <f t="shared" si="12"/>
        <v>0</v>
      </c>
      <c r="N116" s="334"/>
      <c r="O116" s="158">
        <f t="shared" si="13"/>
        <v>0</v>
      </c>
      <c r="P116" s="158">
        <f t="shared" si="14"/>
        <v>0</v>
      </c>
    </row>
    <row r="117" spans="2:16">
      <c r="B117" s="9" t="str">
        <f t="shared" si="18"/>
        <v/>
      </c>
      <c r="C117" s="153">
        <f>IF(D93="","-",+C116+1)</f>
        <v>2035</v>
      </c>
      <c r="D117" s="154">
        <f>IF(F116+SUM(E$99:E116)=D$92,F116,D$92-SUM(E$99:E116))</f>
        <v>1405369.4107142852</v>
      </c>
      <c r="E117" s="160">
        <f>IF(+J96&lt;F116,J96,D117)</f>
        <v>56402.785714285717</v>
      </c>
      <c r="F117" s="159">
        <f t="shared" si="15"/>
        <v>1348966.6249999995</v>
      </c>
      <c r="G117" s="159">
        <f t="shared" si="10"/>
        <v>1377168.0178571423</v>
      </c>
      <c r="H117" s="163">
        <f t="shared" si="16"/>
        <v>223689.392319153</v>
      </c>
      <c r="I117" s="253">
        <f t="shared" si="17"/>
        <v>223689.392319153</v>
      </c>
      <c r="J117" s="158">
        <f t="shared" si="11"/>
        <v>0</v>
      </c>
      <c r="K117" s="158"/>
      <c r="L117" s="334"/>
      <c r="M117" s="158">
        <f t="shared" si="12"/>
        <v>0</v>
      </c>
      <c r="N117" s="334"/>
      <c r="O117" s="158">
        <f t="shared" si="13"/>
        <v>0</v>
      </c>
      <c r="P117" s="158">
        <f t="shared" si="14"/>
        <v>0</v>
      </c>
    </row>
    <row r="118" spans="2:16">
      <c r="B118" s="9" t="str">
        <f t="shared" si="18"/>
        <v/>
      </c>
      <c r="C118" s="153">
        <f>IF(D93="","-",+C117+1)</f>
        <v>2036</v>
      </c>
      <c r="D118" s="154">
        <f>IF(F117+SUM(E$99:E117)=D$92,F117,D$92-SUM(E$99:E117))</f>
        <v>1348966.6249999995</v>
      </c>
      <c r="E118" s="160">
        <f>IF(+J96&lt;F117,J96,D118)</f>
        <v>56402.785714285717</v>
      </c>
      <c r="F118" s="159">
        <f t="shared" si="15"/>
        <v>1292563.8392857139</v>
      </c>
      <c r="G118" s="159">
        <f t="shared" si="10"/>
        <v>1320765.2321428568</v>
      </c>
      <c r="H118" s="163">
        <f t="shared" si="16"/>
        <v>216838.06372100147</v>
      </c>
      <c r="I118" s="253">
        <f t="shared" si="17"/>
        <v>216838.06372100147</v>
      </c>
      <c r="J118" s="158">
        <f t="shared" si="11"/>
        <v>0</v>
      </c>
      <c r="K118" s="158"/>
      <c r="L118" s="334"/>
      <c r="M118" s="158">
        <f t="shared" si="12"/>
        <v>0</v>
      </c>
      <c r="N118" s="334"/>
      <c r="O118" s="158">
        <f t="shared" si="13"/>
        <v>0</v>
      </c>
      <c r="P118" s="158">
        <f t="shared" si="14"/>
        <v>0</v>
      </c>
    </row>
    <row r="119" spans="2:16">
      <c r="B119" s="9" t="str">
        <f t="shared" si="18"/>
        <v/>
      </c>
      <c r="C119" s="153">
        <f>IF(D93="","-",+C118+1)</f>
        <v>2037</v>
      </c>
      <c r="D119" s="154">
        <f>IF(F118+SUM(E$99:E118)=D$92,F118,D$92-SUM(E$99:E118))</f>
        <v>1292563.8392857139</v>
      </c>
      <c r="E119" s="160">
        <f>IF(+J96&lt;F118,J96,D119)</f>
        <v>56402.785714285717</v>
      </c>
      <c r="F119" s="159">
        <f t="shared" si="15"/>
        <v>1236161.0535714282</v>
      </c>
      <c r="G119" s="159">
        <f t="shared" si="10"/>
        <v>1264362.4464285709</v>
      </c>
      <c r="H119" s="163">
        <f t="shared" si="16"/>
        <v>209986.7351228499</v>
      </c>
      <c r="I119" s="253">
        <f t="shared" si="17"/>
        <v>209986.7351228499</v>
      </c>
      <c r="J119" s="158">
        <f t="shared" si="11"/>
        <v>0</v>
      </c>
      <c r="K119" s="158"/>
      <c r="L119" s="334"/>
      <c r="M119" s="158">
        <f t="shared" si="12"/>
        <v>0</v>
      </c>
      <c r="N119" s="334"/>
      <c r="O119" s="158">
        <f t="shared" si="13"/>
        <v>0</v>
      </c>
      <c r="P119" s="158">
        <f t="shared" si="14"/>
        <v>0</v>
      </c>
    </row>
    <row r="120" spans="2:16">
      <c r="B120" s="9" t="str">
        <f t="shared" si="18"/>
        <v/>
      </c>
      <c r="C120" s="153">
        <f>IF(D93="","-",+C119+1)</f>
        <v>2038</v>
      </c>
      <c r="D120" s="154">
        <f>IF(F119+SUM(E$99:E119)=D$92,F119,D$92-SUM(E$99:E119))</f>
        <v>1236161.0535714282</v>
      </c>
      <c r="E120" s="160">
        <f>IF(+J96&lt;F119,J96,D120)</f>
        <v>56402.785714285717</v>
      </c>
      <c r="F120" s="159">
        <f t="shared" si="15"/>
        <v>1179758.2678571425</v>
      </c>
      <c r="G120" s="159">
        <f t="shared" si="10"/>
        <v>1207959.6607142854</v>
      </c>
      <c r="H120" s="163">
        <f t="shared" si="16"/>
        <v>203135.40652469837</v>
      </c>
      <c r="I120" s="253">
        <f t="shared" si="17"/>
        <v>203135.40652469837</v>
      </c>
      <c r="J120" s="158">
        <f t="shared" si="11"/>
        <v>0</v>
      </c>
      <c r="K120" s="158"/>
      <c r="L120" s="334"/>
      <c r="M120" s="158">
        <f t="shared" si="12"/>
        <v>0</v>
      </c>
      <c r="N120" s="334"/>
      <c r="O120" s="158">
        <f t="shared" si="13"/>
        <v>0</v>
      </c>
      <c r="P120" s="158">
        <f t="shared" si="14"/>
        <v>0</v>
      </c>
    </row>
    <row r="121" spans="2:16">
      <c r="B121" s="9" t="str">
        <f t="shared" si="18"/>
        <v/>
      </c>
      <c r="C121" s="153">
        <f>IF(D93="","-",+C120+1)</f>
        <v>2039</v>
      </c>
      <c r="D121" s="154">
        <f>IF(F120+SUM(E$99:E120)=D$92,F120,D$92-SUM(E$99:E120))</f>
        <v>1179758.2678571425</v>
      </c>
      <c r="E121" s="160">
        <f>IF(+J96&lt;F120,J96,D121)</f>
        <v>56402.785714285717</v>
      </c>
      <c r="F121" s="159">
        <f t="shared" si="15"/>
        <v>1123355.4821428568</v>
      </c>
      <c r="G121" s="159">
        <f t="shared" si="10"/>
        <v>1151556.8749999995</v>
      </c>
      <c r="H121" s="163">
        <f t="shared" si="16"/>
        <v>196284.07792654677</v>
      </c>
      <c r="I121" s="253">
        <f t="shared" si="17"/>
        <v>196284.07792654677</v>
      </c>
      <c r="J121" s="158">
        <f t="shared" si="11"/>
        <v>0</v>
      </c>
      <c r="K121" s="158"/>
      <c r="L121" s="334"/>
      <c r="M121" s="158">
        <f t="shared" si="12"/>
        <v>0</v>
      </c>
      <c r="N121" s="334"/>
      <c r="O121" s="158">
        <f t="shared" si="13"/>
        <v>0</v>
      </c>
      <c r="P121" s="158">
        <f t="shared" si="14"/>
        <v>0</v>
      </c>
    </row>
    <row r="122" spans="2:16">
      <c r="B122" s="9" t="str">
        <f t="shared" si="18"/>
        <v/>
      </c>
      <c r="C122" s="153">
        <f>IF(D93="","-",+C121+1)</f>
        <v>2040</v>
      </c>
      <c r="D122" s="154">
        <f>IF(F121+SUM(E$99:E121)=D$92,F121,D$92-SUM(E$99:E121))</f>
        <v>1123355.4821428568</v>
      </c>
      <c r="E122" s="160">
        <f>IF(+J96&lt;F121,J96,D122)</f>
        <v>56402.785714285717</v>
      </c>
      <c r="F122" s="159">
        <f t="shared" si="15"/>
        <v>1066952.6964285711</v>
      </c>
      <c r="G122" s="159">
        <f t="shared" si="10"/>
        <v>1095154.0892857141</v>
      </c>
      <c r="H122" s="163">
        <f t="shared" si="16"/>
        <v>189432.74932839524</v>
      </c>
      <c r="I122" s="253">
        <f t="shared" si="17"/>
        <v>189432.74932839524</v>
      </c>
      <c r="J122" s="158">
        <f t="shared" si="11"/>
        <v>0</v>
      </c>
      <c r="K122" s="158"/>
      <c r="L122" s="334"/>
      <c r="M122" s="158">
        <f t="shared" si="12"/>
        <v>0</v>
      </c>
      <c r="N122" s="334"/>
      <c r="O122" s="158">
        <f t="shared" si="13"/>
        <v>0</v>
      </c>
      <c r="P122" s="158">
        <f t="shared" si="14"/>
        <v>0</v>
      </c>
    </row>
    <row r="123" spans="2:16">
      <c r="B123" s="9" t="str">
        <f t="shared" si="18"/>
        <v/>
      </c>
      <c r="C123" s="153">
        <f>IF(D93="","-",+C122+1)</f>
        <v>2041</v>
      </c>
      <c r="D123" s="154">
        <f>IF(F122+SUM(E$99:E122)=D$92,F122,D$92-SUM(E$99:E122))</f>
        <v>1066952.6964285711</v>
      </c>
      <c r="E123" s="160">
        <f>IF(+J96&lt;F122,J96,D123)</f>
        <v>56402.785714285717</v>
      </c>
      <c r="F123" s="159">
        <f t="shared" si="15"/>
        <v>1010549.9107142854</v>
      </c>
      <c r="G123" s="159">
        <f t="shared" si="10"/>
        <v>1038751.3035714283</v>
      </c>
      <c r="H123" s="163">
        <f t="shared" si="16"/>
        <v>182581.42073024367</v>
      </c>
      <c r="I123" s="253">
        <f t="shared" si="17"/>
        <v>182581.42073024367</v>
      </c>
      <c r="J123" s="158">
        <f t="shared" si="11"/>
        <v>0</v>
      </c>
      <c r="K123" s="158"/>
      <c r="L123" s="334"/>
      <c r="M123" s="158">
        <f t="shared" si="12"/>
        <v>0</v>
      </c>
      <c r="N123" s="334"/>
      <c r="O123" s="158">
        <f t="shared" si="13"/>
        <v>0</v>
      </c>
      <c r="P123" s="158">
        <f t="shared" si="14"/>
        <v>0</v>
      </c>
    </row>
    <row r="124" spans="2:16">
      <c r="B124" s="9" t="str">
        <f t="shared" si="18"/>
        <v/>
      </c>
      <c r="C124" s="153">
        <f>IF(D93="","-",+C123+1)</f>
        <v>2042</v>
      </c>
      <c r="D124" s="154">
        <f>IF(F123+SUM(E$99:E123)=D$92,F123,D$92-SUM(E$99:E123))</f>
        <v>1010549.9107142854</v>
      </c>
      <c r="E124" s="160">
        <f>IF(+J96&lt;F123,J96,D124)</f>
        <v>56402.785714285717</v>
      </c>
      <c r="F124" s="159">
        <f t="shared" si="15"/>
        <v>954147.12499999977</v>
      </c>
      <c r="G124" s="159">
        <f t="shared" si="10"/>
        <v>982348.51785714261</v>
      </c>
      <c r="H124" s="163">
        <f t="shared" si="16"/>
        <v>175730.0921320921</v>
      </c>
      <c r="I124" s="253">
        <f t="shared" si="17"/>
        <v>175730.0921320921</v>
      </c>
      <c r="J124" s="158">
        <f t="shared" si="11"/>
        <v>0</v>
      </c>
      <c r="K124" s="158"/>
      <c r="L124" s="334"/>
      <c r="M124" s="158">
        <f t="shared" si="12"/>
        <v>0</v>
      </c>
      <c r="N124" s="334"/>
      <c r="O124" s="158">
        <f t="shared" si="13"/>
        <v>0</v>
      </c>
      <c r="P124" s="158">
        <f t="shared" si="14"/>
        <v>0</v>
      </c>
    </row>
    <row r="125" spans="2:16">
      <c r="B125" s="9" t="str">
        <f t="shared" si="18"/>
        <v/>
      </c>
      <c r="C125" s="153">
        <f>IF(D93="","-",+C124+1)</f>
        <v>2043</v>
      </c>
      <c r="D125" s="154">
        <f>IF(F124+SUM(E$99:E124)=D$92,F124,D$92-SUM(E$99:E124))</f>
        <v>954147.12499999977</v>
      </c>
      <c r="E125" s="160">
        <f>IF(+J96&lt;F124,J96,D125)</f>
        <v>56402.785714285717</v>
      </c>
      <c r="F125" s="159">
        <f t="shared" si="15"/>
        <v>897744.33928571409</v>
      </c>
      <c r="G125" s="159">
        <f t="shared" si="10"/>
        <v>925945.73214285693</v>
      </c>
      <c r="H125" s="163">
        <f t="shared" si="16"/>
        <v>168878.76353394054</v>
      </c>
      <c r="I125" s="253">
        <f t="shared" si="17"/>
        <v>168878.76353394054</v>
      </c>
      <c r="J125" s="158">
        <f t="shared" si="11"/>
        <v>0</v>
      </c>
      <c r="K125" s="158"/>
      <c r="L125" s="334"/>
      <c r="M125" s="158">
        <f t="shared" si="12"/>
        <v>0</v>
      </c>
      <c r="N125" s="334"/>
      <c r="O125" s="158">
        <f t="shared" si="13"/>
        <v>0</v>
      </c>
      <c r="P125" s="158">
        <f t="shared" si="14"/>
        <v>0</v>
      </c>
    </row>
    <row r="126" spans="2:16">
      <c r="B126" s="9" t="str">
        <f t="shared" si="18"/>
        <v/>
      </c>
      <c r="C126" s="153">
        <f>IF(D93="","-",+C125+1)</f>
        <v>2044</v>
      </c>
      <c r="D126" s="154">
        <f>IF(F125+SUM(E$99:E125)=D$92,F125,D$92-SUM(E$99:E125))</f>
        <v>897744.33928571409</v>
      </c>
      <c r="E126" s="160">
        <f>IF(+J96&lt;F125,J96,D126)</f>
        <v>56402.785714285717</v>
      </c>
      <c r="F126" s="159">
        <f t="shared" si="15"/>
        <v>841341.55357142841</v>
      </c>
      <c r="G126" s="159">
        <f t="shared" si="10"/>
        <v>869542.94642857125</v>
      </c>
      <c r="H126" s="163">
        <f t="shared" si="16"/>
        <v>162027.43493578897</v>
      </c>
      <c r="I126" s="253">
        <f t="shared" si="17"/>
        <v>162027.43493578897</v>
      </c>
      <c r="J126" s="158">
        <f t="shared" si="11"/>
        <v>0</v>
      </c>
      <c r="K126" s="158"/>
      <c r="L126" s="334"/>
      <c r="M126" s="158">
        <f t="shared" si="12"/>
        <v>0</v>
      </c>
      <c r="N126" s="334"/>
      <c r="O126" s="158">
        <f t="shared" si="13"/>
        <v>0</v>
      </c>
      <c r="P126" s="158">
        <f t="shared" si="14"/>
        <v>0</v>
      </c>
    </row>
    <row r="127" spans="2:16">
      <c r="B127" s="9" t="str">
        <f t="shared" si="18"/>
        <v/>
      </c>
      <c r="C127" s="153">
        <f>IF(D93="","-",+C126+1)</f>
        <v>2045</v>
      </c>
      <c r="D127" s="154">
        <f>IF(F126+SUM(E$99:E126)=D$92,F126,D$92-SUM(E$99:E126))</f>
        <v>841341.55357142841</v>
      </c>
      <c r="E127" s="160">
        <f>IF(+J96&lt;F126,J96,D127)</f>
        <v>56402.785714285717</v>
      </c>
      <c r="F127" s="159">
        <f t="shared" si="15"/>
        <v>784938.76785714272</v>
      </c>
      <c r="G127" s="159">
        <f t="shared" si="10"/>
        <v>813140.16071428556</v>
      </c>
      <c r="H127" s="163">
        <f t="shared" si="16"/>
        <v>155176.10633763744</v>
      </c>
      <c r="I127" s="253">
        <f t="shared" si="17"/>
        <v>155176.10633763744</v>
      </c>
      <c r="J127" s="158">
        <f t="shared" si="11"/>
        <v>0</v>
      </c>
      <c r="K127" s="158"/>
      <c r="L127" s="334"/>
      <c r="M127" s="158">
        <f t="shared" si="12"/>
        <v>0</v>
      </c>
      <c r="N127" s="334"/>
      <c r="O127" s="158">
        <f t="shared" si="13"/>
        <v>0</v>
      </c>
      <c r="P127" s="158">
        <f t="shared" si="14"/>
        <v>0</v>
      </c>
    </row>
    <row r="128" spans="2:16">
      <c r="B128" s="9" t="str">
        <f t="shared" si="18"/>
        <v/>
      </c>
      <c r="C128" s="153">
        <f>IF(D93="","-",+C127+1)</f>
        <v>2046</v>
      </c>
      <c r="D128" s="154">
        <f>IF(F127+SUM(E$99:E127)=D$92,F127,D$92-SUM(E$99:E127))</f>
        <v>784938.76785714272</v>
      </c>
      <c r="E128" s="160">
        <f>IF(+J96&lt;F127,J96,D128)</f>
        <v>56402.785714285717</v>
      </c>
      <c r="F128" s="159">
        <f t="shared" si="15"/>
        <v>728535.98214285704</v>
      </c>
      <c r="G128" s="159">
        <f t="shared" si="10"/>
        <v>756737.37499999988</v>
      </c>
      <c r="H128" s="163">
        <f t="shared" si="16"/>
        <v>148324.77773948587</v>
      </c>
      <c r="I128" s="253">
        <f t="shared" si="17"/>
        <v>148324.77773948587</v>
      </c>
      <c r="J128" s="158">
        <f t="shared" si="11"/>
        <v>0</v>
      </c>
      <c r="K128" s="158"/>
      <c r="L128" s="334"/>
      <c r="M128" s="158">
        <f t="shared" si="12"/>
        <v>0</v>
      </c>
      <c r="N128" s="334"/>
      <c r="O128" s="158">
        <f t="shared" si="13"/>
        <v>0</v>
      </c>
      <c r="P128" s="158">
        <f t="shared" si="14"/>
        <v>0</v>
      </c>
    </row>
    <row r="129" spans="2:16">
      <c r="B129" s="9" t="str">
        <f t="shared" si="18"/>
        <v/>
      </c>
      <c r="C129" s="153">
        <f>IF(D93="","-",+C128+1)</f>
        <v>2047</v>
      </c>
      <c r="D129" s="154">
        <f>IF(F128+SUM(E$99:E128)=D$92,F128,D$92-SUM(E$99:E128))</f>
        <v>728535.98214285704</v>
      </c>
      <c r="E129" s="160">
        <f>IF(+J96&lt;F128,J96,D129)</f>
        <v>56402.785714285717</v>
      </c>
      <c r="F129" s="159">
        <f t="shared" si="15"/>
        <v>672133.19642857136</v>
      </c>
      <c r="G129" s="159">
        <f t="shared" si="10"/>
        <v>700334.5892857142</v>
      </c>
      <c r="H129" s="163">
        <f t="shared" si="16"/>
        <v>141473.44914133431</v>
      </c>
      <c r="I129" s="253">
        <f t="shared" si="17"/>
        <v>141473.44914133431</v>
      </c>
      <c r="J129" s="158">
        <f t="shared" si="11"/>
        <v>0</v>
      </c>
      <c r="K129" s="158"/>
      <c r="L129" s="334"/>
      <c r="M129" s="158">
        <f t="shared" si="12"/>
        <v>0</v>
      </c>
      <c r="N129" s="334"/>
      <c r="O129" s="158">
        <f t="shared" si="13"/>
        <v>0</v>
      </c>
      <c r="P129" s="158">
        <f t="shared" si="14"/>
        <v>0</v>
      </c>
    </row>
    <row r="130" spans="2:16">
      <c r="B130" s="9" t="str">
        <f t="shared" si="18"/>
        <v/>
      </c>
      <c r="C130" s="153">
        <f>IF(D93="","-",+C129+1)</f>
        <v>2048</v>
      </c>
      <c r="D130" s="154">
        <f>IF(F129+SUM(E$99:E129)=D$92,F129,D$92-SUM(E$99:E129))</f>
        <v>672133.19642857136</v>
      </c>
      <c r="E130" s="160">
        <f>IF(+J96&lt;F129,J96,D130)</f>
        <v>56402.785714285717</v>
      </c>
      <c r="F130" s="159">
        <f t="shared" si="15"/>
        <v>615730.41071428568</v>
      </c>
      <c r="G130" s="159">
        <f t="shared" si="10"/>
        <v>643931.80357142852</v>
      </c>
      <c r="H130" s="163">
        <f t="shared" si="16"/>
        <v>134622.12054318274</v>
      </c>
      <c r="I130" s="253">
        <f t="shared" si="17"/>
        <v>134622.12054318274</v>
      </c>
      <c r="J130" s="158">
        <f t="shared" si="11"/>
        <v>0</v>
      </c>
      <c r="K130" s="158"/>
      <c r="L130" s="334"/>
      <c r="M130" s="158">
        <f t="shared" si="12"/>
        <v>0</v>
      </c>
      <c r="N130" s="334"/>
      <c r="O130" s="158">
        <f t="shared" si="13"/>
        <v>0</v>
      </c>
      <c r="P130" s="158">
        <f t="shared" si="14"/>
        <v>0</v>
      </c>
    </row>
    <row r="131" spans="2:16">
      <c r="B131" s="9" t="str">
        <f t="shared" si="18"/>
        <v/>
      </c>
      <c r="C131" s="153">
        <f>IF(D93="","-",+C130+1)</f>
        <v>2049</v>
      </c>
      <c r="D131" s="154">
        <f>IF(F130+SUM(E$99:E130)=D$92,F130,D$92-SUM(E$99:E130))</f>
        <v>615730.41071428568</v>
      </c>
      <c r="E131" s="160">
        <f>IF(+J96&lt;F130,J96,D131)</f>
        <v>56402.785714285717</v>
      </c>
      <c r="F131" s="159">
        <f t="shared" ref="F131:F154" si="19">+D131-E131</f>
        <v>559327.625</v>
      </c>
      <c r="G131" s="159">
        <f t="shared" ref="G131:G154" si="20">+(F131+D131)/2</f>
        <v>587529.01785714284</v>
      </c>
      <c r="H131" s="163">
        <f t="shared" si="16"/>
        <v>127770.79194503117</v>
      </c>
      <c r="I131" s="253">
        <f t="shared" si="17"/>
        <v>127770.79194503117</v>
      </c>
      <c r="J131" s="158">
        <f t="shared" ref="J131:J154" si="21">+I541-H541</f>
        <v>0</v>
      </c>
      <c r="K131" s="158"/>
      <c r="L131" s="334"/>
      <c r="M131" s="158">
        <f t="shared" ref="M131:M154" si="22">IF(L541&lt;&gt;0,+H541-L541,0)</f>
        <v>0</v>
      </c>
      <c r="N131" s="334"/>
      <c r="O131" s="158">
        <f t="shared" ref="O131:O154" si="23">IF(N541&lt;&gt;0,+I541-N541,0)</f>
        <v>0</v>
      </c>
      <c r="P131" s="158">
        <f t="shared" ref="P131:P154" si="24">+O541-M541</f>
        <v>0</v>
      </c>
    </row>
    <row r="132" spans="2:16">
      <c r="B132" s="9" t="str">
        <f t="shared" si="18"/>
        <v/>
      </c>
      <c r="C132" s="153">
        <f>IF(D93="","-",+C131+1)</f>
        <v>2050</v>
      </c>
      <c r="D132" s="154">
        <f>IF(F131+SUM(E$99:E131)=D$92,F131,D$92-SUM(E$99:E131))</f>
        <v>559327.625</v>
      </c>
      <c r="E132" s="160">
        <f>IF(+J96&lt;F131,J96,D132)</f>
        <v>56402.785714285717</v>
      </c>
      <c r="F132" s="159">
        <f t="shared" si="19"/>
        <v>502924.83928571426</v>
      </c>
      <c r="G132" s="159">
        <f t="shared" si="20"/>
        <v>531126.23214285716</v>
      </c>
      <c r="H132" s="163">
        <f t="shared" si="16"/>
        <v>120919.46334687962</v>
      </c>
      <c r="I132" s="253">
        <f t="shared" si="17"/>
        <v>120919.46334687962</v>
      </c>
      <c r="J132" s="158">
        <f t="shared" si="21"/>
        <v>0</v>
      </c>
      <c r="K132" s="158"/>
      <c r="L132" s="334"/>
      <c r="M132" s="158">
        <f t="shared" si="22"/>
        <v>0</v>
      </c>
      <c r="N132" s="334"/>
      <c r="O132" s="158">
        <f t="shared" si="23"/>
        <v>0</v>
      </c>
      <c r="P132" s="158">
        <f t="shared" si="24"/>
        <v>0</v>
      </c>
    </row>
    <row r="133" spans="2:16">
      <c r="B133" s="9" t="str">
        <f t="shared" si="18"/>
        <v/>
      </c>
      <c r="C133" s="153">
        <f>IF(D93="","-",+C132+1)</f>
        <v>2051</v>
      </c>
      <c r="D133" s="154">
        <f>IF(F132+SUM(E$99:E132)=D$92,F132,D$92-SUM(E$99:E132))</f>
        <v>502924.83928571426</v>
      </c>
      <c r="E133" s="160">
        <f>IF(+J96&lt;F132,J96,D133)</f>
        <v>56402.785714285717</v>
      </c>
      <c r="F133" s="159">
        <f t="shared" si="19"/>
        <v>446522.05357142852</v>
      </c>
      <c r="G133" s="159">
        <f t="shared" si="20"/>
        <v>474723.44642857136</v>
      </c>
      <c r="H133" s="163">
        <f t="shared" si="16"/>
        <v>114068.13474872804</v>
      </c>
      <c r="I133" s="253">
        <f t="shared" si="17"/>
        <v>114068.13474872804</v>
      </c>
      <c r="J133" s="158">
        <f t="shared" si="21"/>
        <v>0</v>
      </c>
      <c r="K133" s="158"/>
      <c r="L133" s="334"/>
      <c r="M133" s="158">
        <f t="shared" si="22"/>
        <v>0</v>
      </c>
      <c r="N133" s="334"/>
      <c r="O133" s="158">
        <f t="shared" si="23"/>
        <v>0</v>
      </c>
      <c r="P133" s="158">
        <f t="shared" si="24"/>
        <v>0</v>
      </c>
    </row>
    <row r="134" spans="2:16">
      <c r="B134" s="9" t="str">
        <f t="shared" si="18"/>
        <v/>
      </c>
      <c r="C134" s="153">
        <f>IF(D93="","-",+C133+1)</f>
        <v>2052</v>
      </c>
      <c r="D134" s="154">
        <f>IF(F133+SUM(E$99:E133)=D$92,F133,D$92-SUM(E$99:E133))</f>
        <v>446522.05357142852</v>
      </c>
      <c r="E134" s="160">
        <f>IF(+J96&lt;F133,J96,D134)</f>
        <v>56402.785714285717</v>
      </c>
      <c r="F134" s="159">
        <f t="shared" si="19"/>
        <v>390119.26785714278</v>
      </c>
      <c r="G134" s="159">
        <f t="shared" si="20"/>
        <v>418320.66071428568</v>
      </c>
      <c r="H134" s="163">
        <f t="shared" si="16"/>
        <v>107216.80615057648</v>
      </c>
      <c r="I134" s="253">
        <f t="shared" si="17"/>
        <v>107216.80615057648</v>
      </c>
      <c r="J134" s="158">
        <f t="shared" si="21"/>
        <v>0</v>
      </c>
      <c r="K134" s="158"/>
      <c r="L134" s="334"/>
      <c r="M134" s="158">
        <f t="shared" si="22"/>
        <v>0</v>
      </c>
      <c r="N134" s="334"/>
      <c r="O134" s="158">
        <f t="shared" si="23"/>
        <v>0</v>
      </c>
      <c r="P134" s="158">
        <f t="shared" si="24"/>
        <v>0</v>
      </c>
    </row>
    <row r="135" spans="2:16">
      <c r="B135" s="9" t="str">
        <f t="shared" si="18"/>
        <v/>
      </c>
      <c r="C135" s="153">
        <f>IF(D93="","-",+C134+1)</f>
        <v>2053</v>
      </c>
      <c r="D135" s="154">
        <f>IF(F134+SUM(E$99:E134)=D$92,F134,D$92-SUM(E$99:E134))</f>
        <v>390119.26785714278</v>
      </c>
      <c r="E135" s="160">
        <f>IF(+J96&lt;F134,J96,D135)</f>
        <v>56402.785714285717</v>
      </c>
      <c r="F135" s="159">
        <f t="shared" si="19"/>
        <v>333716.48214285704</v>
      </c>
      <c r="G135" s="159">
        <f t="shared" si="20"/>
        <v>361917.87499999988</v>
      </c>
      <c r="H135" s="163">
        <f t="shared" si="16"/>
        <v>100365.47755242491</v>
      </c>
      <c r="I135" s="253">
        <f t="shared" si="17"/>
        <v>100365.47755242491</v>
      </c>
      <c r="J135" s="158">
        <f t="shared" si="21"/>
        <v>0</v>
      </c>
      <c r="K135" s="158"/>
      <c r="L135" s="334"/>
      <c r="M135" s="158">
        <f t="shared" si="22"/>
        <v>0</v>
      </c>
      <c r="N135" s="334"/>
      <c r="O135" s="158">
        <f t="shared" si="23"/>
        <v>0</v>
      </c>
      <c r="P135" s="158">
        <f t="shared" si="24"/>
        <v>0</v>
      </c>
    </row>
    <row r="136" spans="2:16">
      <c r="B136" s="9" t="str">
        <f t="shared" si="18"/>
        <v/>
      </c>
      <c r="C136" s="153">
        <f>IF(D93="","-",+C135+1)</f>
        <v>2054</v>
      </c>
      <c r="D136" s="154">
        <f>IF(F135+SUM(E$99:E135)=D$92,F135,D$92-SUM(E$99:E135))</f>
        <v>333716.48214285704</v>
      </c>
      <c r="E136" s="160">
        <f>IF(+J96&lt;F135,J96,D136)</f>
        <v>56402.785714285717</v>
      </c>
      <c r="F136" s="159">
        <f t="shared" si="19"/>
        <v>277313.6964285713</v>
      </c>
      <c r="G136" s="159">
        <f t="shared" si="20"/>
        <v>305515.0892857142</v>
      </c>
      <c r="H136" s="163">
        <f t="shared" si="16"/>
        <v>93514.148954273347</v>
      </c>
      <c r="I136" s="253">
        <f t="shared" si="17"/>
        <v>93514.148954273347</v>
      </c>
      <c r="J136" s="158">
        <f t="shared" si="21"/>
        <v>0</v>
      </c>
      <c r="K136" s="158"/>
      <c r="L136" s="334"/>
      <c r="M136" s="158">
        <f t="shared" si="22"/>
        <v>0</v>
      </c>
      <c r="N136" s="334"/>
      <c r="O136" s="158">
        <f t="shared" si="23"/>
        <v>0</v>
      </c>
      <c r="P136" s="158">
        <f t="shared" si="24"/>
        <v>0</v>
      </c>
    </row>
    <row r="137" spans="2:16">
      <c r="B137" s="9" t="str">
        <f t="shared" si="18"/>
        <v/>
      </c>
      <c r="C137" s="153">
        <f>IF(D93="","-",+C136+1)</f>
        <v>2055</v>
      </c>
      <c r="D137" s="154">
        <f>IF(F136+SUM(E$99:E136)=D$92,F136,D$92-SUM(E$99:E136))</f>
        <v>277313.6964285713</v>
      </c>
      <c r="E137" s="160">
        <f>IF(+J96&lt;F136,J96,D137)</f>
        <v>56402.785714285717</v>
      </c>
      <c r="F137" s="159">
        <f t="shared" si="19"/>
        <v>220910.91071428559</v>
      </c>
      <c r="G137" s="159">
        <f t="shared" si="20"/>
        <v>249112.30357142846</v>
      </c>
      <c r="H137" s="163">
        <f t="shared" si="16"/>
        <v>86662.820356121782</v>
      </c>
      <c r="I137" s="253">
        <f t="shared" si="17"/>
        <v>86662.820356121782</v>
      </c>
      <c r="J137" s="158">
        <f t="shared" si="21"/>
        <v>0</v>
      </c>
      <c r="K137" s="158"/>
      <c r="L137" s="334"/>
      <c r="M137" s="158">
        <f t="shared" si="22"/>
        <v>0</v>
      </c>
      <c r="N137" s="334"/>
      <c r="O137" s="158">
        <f t="shared" si="23"/>
        <v>0</v>
      </c>
      <c r="P137" s="158">
        <f t="shared" si="24"/>
        <v>0</v>
      </c>
    </row>
    <row r="138" spans="2:16">
      <c r="B138" s="9" t="str">
        <f t="shared" si="18"/>
        <v/>
      </c>
      <c r="C138" s="153">
        <f>IF(D93="","-",+C137+1)</f>
        <v>2056</v>
      </c>
      <c r="D138" s="154">
        <f>IF(F137+SUM(E$99:E137)=D$92,F137,D$92-SUM(E$99:E137))</f>
        <v>220910.91071428559</v>
      </c>
      <c r="E138" s="160">
        <f>IF(+J96&lt;F137,J96,D138)</f>
        <v>56402.785714285717</v>
      </c>
      <c r="F138" s="159">
        <f t="shared" si="19"/>
        <v>164508.12499999988</v>
      </c>
      <c r="G138" s="159">
        <f t="shared" si="20"/>
        <v>192709.51785714272</v>
      </c>
      <c r="H138" s="163">
        <f t="shared" si="16"/>
        <v>79811.491757970216</v>
      </c>
      <c r="I138" s="253">
        <f t="shared" si="17"/>
        <v>79811.491757970216</v>
      </c>
      <c r="J138" s="158">
        <f t="shared" si="21"/>
        <v>0</v>
      </c>
      <c r="K138" s="158"/>
      <c r="L138" s="334"/>
      <c r="M138" s="158">
        <f t="shared" si="22"/>
        <v>0</v>
      </c>
      <c r="N138" s="334"/>
      <c r="O138" s="158">
        <f t="shared" si="23"/>
        <v>0</v>
      </c>
      <c r="P138" s="158">
        <f t="shared" si="24"/>
        <v>0</v>
      </c>
    </row>
    <row r="139" spans="2:16">
      <c r="B139" s="9" t="str">
        <f t="shared" si="18"/>
        <v/>
      </c>
      <c r="C139" s="153">
        <f>IF(D93="","-",+C138+1)</f>
        <v>2057</v>
      </c>
      <c r="D139" s="154">
        <f>IF(F138+SUM(E$99:E138)=D$92,F138,D$92-SUM(E$99:E138))</f>
        <v>164508.12499999988</v>
      </c>
      <c r="E139" s="160">
        <f>IF(+J96&lt;F138,J96,D139)</f>
        <v>56402.785714285717</v>
      </c>
      <c r="F139" s="159">
        <f t="shared" si="19"/>
        <v>108105.33928571417</v>
      </c>
      <c r="G139" s="159">
        <f t="shared" si="20"/>
        <v>136306.73214285704</v>
      </c>
      <c r="H139" s="163">
        <f t="shared" si="16"/>
        <v>72960.16315981865</v>
      </c>
      <c r="I139" s="253">
        <f t="shared" si="17"/>
        <v>72960.16315981865</v>
      </c>
      <c r="J139" s="158">
        <f t="shared" si="21"/>
        <v>0</v>
      </c>
      <c r="K139" s="158"/>
      <c r="L139" s="334"/>
      <c r="M139" s="158">
        <f t="shared" si="22"/>
        <v>0</v>
      </c>
      <c r="N139" s="334"/>
      <c r="O139" s="158">
        <f t="shared" si="23"/>
        <v>0</v>
      </c>
      <c r="P139" s="158">
        <f t="shared" si="24"/>
        <v>0</v>
      </c>
    </row>
    <row r="140" spans="2:16">
      <c r="B140" s="9" t="str">
        <f t="shared" si="18"/>
        <v/>
      </c>
      <c r="C140" s="153">
        <f>IF(D93="","-",+C139+1)</f>
        <v>2058</v>
      </c>
      <c r="D140" s="154">
        <f>IF(F139+SUM(E$99:E139)=D$92,F139,D$92-SUM(E$99:E139))</f>
        <v>108105.33928571417</v>
      </c>
      <c r="E140" s="160">
        <f>IF(+J96&lt;F139,J96,D140)</f>
        <v>56402.785714285717</v>
      </c>
      <c r="F140" s="159">
        <f t="shared" si="19"/>
        <v>51702.553571428456</v>
      </c>
      <c r="G140" s="159">
        <f t="shared" si="20"/>
        <v>79903.946428571318</v>
      </c>
      <c r="H140" s="163">
        <f t="shared" si="16"/>
        <v>66108.834561667085</v>
      </c>
      <c r="I140" s="253">
        <f t="shared" si="17"/>
        <v>66108.834561667085</v>
      </c>
      <c r="J140" s="158">
        <f t="shared" si="21"/>
        <v>0</v>
      </c>
      <c r="K140" s="158"/>
      <c r="L140" s="334"/>
      <c r="M140" s="158">
        <f t="shared" si="22"/>
        <v>0</v>
      </c>
      <c r="N140" s="334"/>
      <c r="O140" s="158">
        <f t="shared" si="23"/>
        <v>0</v>
      </c>
      <c r="P140" s="158">
        <f t="shared" si="24"/>
        <v>0</v>
      </c>
    </row>
    <row r="141" spans="2:16">
      <c r="B141" s="9" t="str">
        <f t="shared" si="18"/>
        <v/>
      </c>
      <c r="C141" s="153">
        <f>IF(D93="","-",+C140+1)</f>
        <v>2059</v>
      </c>
      <c r="D141" s="154">
        <f>IF(F140+SUM(E$99:E140)=D$92,F140,D$92-SUM(E$99:E140))</f>
        <v>51702.553571428456</v>
      </c>
      <c r="E141" s="160">
        <f>IF(+J96&lt;F140,J96,D141)</f>
        <v>51702.553571428456</v>
      </c>
      <c r="F141" s="159">
        <f t="shared" si="19"/>
        <v>0</v>
      </c>
      <c r="G141" s="159">
        <f t="shared" si="20"/>
        <v>25851.276785714228</v>
      </c>
      <c r="H141" s="163">
        <f t="shared" si="16"/>
        <v>54842.745845581252</v>
      </c>
      <c r="I141" s="253">
        <f t="shared" si="17"/>
        <v>54842.745845581252</v>
      </c>
      <c r="J141" s="158">
        <f t="shared" si="21"/>
        <v>0</v>
      </c>
      <c r="K141" s="158"/>
      <c r="L141" s="334"/>
      <c r="M141" s="158">
        <f t="shared" si="22"/>
        <v>0</v>
      </c>
      <c r="N141" s="334"/>
      <c r="O141" s="158">
        <f t="shared" si="23"/>
        <v>0</v>
      </c>
      <c r="P141" s="158">
        <f t="shared" si="24"/>
        <v>0</v>
      </c>
    </row>
    <row r="142" spans="2:16">
      <c r="B142" s="9" t="str">
        <f t="shared" si="18"/>
        <v/>
      </c>
      <c r="C142" s="153">
        <f>IF(D93="","-",+C141+1)</f>
        <v>2060</v>
      </c>
      <c r="D142" s="154">
        <f>IF(F141+SUM(E$99:E141)=D$92,F141,D$92-SUM(E$99:E141))</f>
        <v>0</v>
      </c>
      <c r="E142" s="160">
        <f>IF(+J96&lt;F141,J96,D142)</f>
        <v>0</v>
      </c>
      <c r="F142" s="159">
        <f t="shared" si="19"/>
        <v>0</v>
      </c>
      <c r="G142" s="159">
        <f t="shared" si="20"/>
        <v>0</v>
      </c>
      <c r="H142" s="163">
        <f t="shared" si="16"/>
        <v>0</v>
      </c>
      <c r="I142" s="253">
        <f t="shared" si="17"/>
        <v>0</v>
      </c>
      <c r="J142" s="158">
        <f t="shared" si="21"/>
        <v>0</v>
      </c>
      <c r="K142" s="158"/>
      <c r="L142" s="334"/>
      <c r="M142" s="158">
        <f t="shared" si="22"/>
        <v>0</v>
      </c>
      <c r="N142" s="334"/>
      <c r="O142" s="158">
        <f t="shared" si="23"/>
        <v>0</v>
      </c>
      <c r="P142" s="158">
        <f t="shared" si="24"/>
        <v>0</v>
      </c>
    </row>
    <row r="143" spans="2:16">
      <c r="B143" s="9" t="str">
        <f t="shared" si="18"/>
        <v/>
      </c>
      <c r="C143" s="153">
        <f>IF(D93="","-",+C142+1)</f>
        <v>2061</v>
      </c>
      <c r="D143" s="154">
        <f>IF(F142+SUM(E$99:E142)=D$92,F142,D$92-SUM(E$99:E142))</f>
        <v>0</v>
      </c>
      <c r="E143" s="160">
        <f>IF(+J96&lt;F142,J96,D143)</f>
        <v>0</v>
      </c>
      <c r="F143" s="159">
        <f t="shared" si="19"/>
        <v>0</v>
      </c>
      <c r="G143" s="159">
        <f t="shared" si="20"/>
        <v>0</v>
      </c>
      <c r="H143" s="163">
        <f t="shared" si="16"/>
        <v>0</v>
      </c>
      <c r="I143" s="253">
        <f t="shared" si="17"/>
        <v>0</v>
      </c>
      <c r="J143" s="158">
        <f t="shared" si="21"/>
        <v>0</v>
      </c>
      <c r="K143" s="158"/>
      <c r="L143" s="334"/>
      <c r="M143" s="158">
        <f t="shared" si="22"/>
        <v>0</v>
      </c>
      <c r="N143" s="334"/>
      <c r="O143" s="158">
        <f t="shared" si="23"/>
        <v>0</v>
      </c>
      <c r="P143" s="158">
        <f t="shared" si="24"/>
        <v>0</v>
      </c>
    </row>
    <row r="144" spans="2:16">
      <c r="B144" s="9" t="str">
        <f t="shared" si="18"/>
        <v/>
      </c>
      <c r="C144" s="153">
        <f>IF(D93="","-",+C143+1)</f>
        <v>2062</v>
      </c>
      <c r="D144" s="154">
        <f>IF(F143+SUM(E$99:E143)=D$92,F143,D$92-SUM(E$99:E143))</f>
        <v>0</v>
      </c>
      <c r="E144" s="160">
        <f>IF(+J96&lt;F143,J96,D144)</f>
        <v>0</v>
      </c>
      <c r="F144" s="159">
        <f t="shared" si="19"/>
        <v>0</v>
      </c>
      <c r="G144" s="159">
        <f t="shared" si="20"/>
        <v>0</v>
      </c>
      <c r="H144" s="163">
        <f t="shared" si="16"/>
        <v>0</v>
      </c>
      <c r="I144" s="253">
        <f t="shared" si="17"/>
        <v>0</v>
      </c>
      <c r="J144" s="158">
        <f t="shared" si="21"/>
        <v>0</v>
      </c>
      <c r="K144" s="158"/>
      <c r="L144" s="334"/>
      <c r="M144" s="158">
        <f t="shared" si="22"/>
        <v>0</v>
      </c>
      <c r="N144" s="334"/>
      <c r="O144" s="158">
        <f t="shared" si="23"/>
        <v>0</v>
      </c>
      <c r="P144" s="158">
        <f t="shared" si="24"/>
        <v>0</v>
      </c>
    </row>
    <row r="145" spans="2:16">
      <c r="B145" s="9" t="str">
        <f t="shared" si="18"/>
        <v/>
      </c>
      <c r="C145" s="153">
        <f>IF(D93="","-",+C144+1)</f>
        <v>2063</v>
      </c>
      <c r="D145" s="154">
        <f>IF(F144+SUM(E$99:E144)=D$92,F144,D$92-SUM(E$99:E144))</f>
        <v>0</v>
      </c>
      <c r="E145" s="160">
        <f>IF(+J96&lt;F144,J96,D145)</f>
        <v>0</v>
      </c>
      <c r="F145" s="159">
        <f t="shared" si="19"/>
        <v>0</v>
      </c>
      <c r="G145" s="159">
        <f t="shared" si="20"/>
        <v>0</v>
      </c>
      <c r="H145" s="163">
        <f t="shared" si="16"/>
        <v>0</v>
      </c>
      <c r="I145" s="253">
        <f t="shared" si="17"/>
        <v>0</v>
      </c>
      <c r="J145" s="158">
        <f t="shared" si="21"/>
        <v>0</v>
      </c>
      <c r="K145" s="158"/>
      <c r="L145" s="334"/>
      <c r="M145" s="158">
        <f t="shared" si="22"/>
        <v>0</v>
      </c>
      <c r="N145" s="334"/>
      <c r="O145" s="158">
        <f t="shared" si="23"/>
        <v>0</v>
      </c>
      <c r="P145" s="158">
        <f t="shared" si="24"/>
        <v>0</v>
      </c>
    </row>
    <row r="146" spans="2:16">
      <c r="B146" s="9" t="str">
        <f t="shared" si="18"/>
        <v/>
      </c>
      <c r="C146" s="153">
        <f>IF(D93="","-",+C145+1)</f>
        <v>2064</v>
      </c>
      <c r="D146" s="154">
        <f>IF(F145+SUM(E$99:E145)=D$92,F145,D$92-SUM(E$99:E145))</f>
        <v>0</v>
      </c>
      <c r="E146" s="160">
        <f>IF(+J96&lt;F145,J96,D146)</f>
        <v>0</v>
      </c>
      <c r="F146" s="159">
        <f t="shared" si="19"/>
        <v>0</v>
      </c>
      <c r="G146" s="159">
        <f t="shared" si="20"/>
        <v>0</v>
      </c>
      <c r="H146" s="163">
        <f t="shared" si="16"/>
        <v>0</v>
      </c>
      <c r="I146" s="253">
        <f t="shared" si="17"/>
        <v>0</v>
      </c>
      <c r="J146" s="158">
        <f t="shared" si="21"/>
        <v>0</v>
      </c>
      <c r="K146" s="158"/>
      <c r="L146" s="334"/>
      <c r="M146" s="158">
        <f t="shared" si="22"/>
        <v>0</v>
      </c>
      <c r="N146" s="334"/>
      <c r="O146" s="158">
        <f t="shared" si="23"/>
        <v>0</v>
      </c>
      <c r="P146" s="158">
        <f t="shared" si="24"/>
        <v>0</v>
      </c>
    </row>
    <row r="147" spans="2:16">
      <c r="B147" s="9" t="str">
        <f t="shared" si="18"/>
        <v/>
      </c>
      <c r="C147" s="153">
        <f>IF(D93="","-",+C146+1)</f>
        <v>2065</v>
      </c>
      <c r="D147" s="154">
        <f>IF(F146+SUM(E$99:E146)=D$92,F146,D$92-SUM(E$99:E146))</f>
        <v>0</v>
      </c>
      <c r="E147" s="160">
        <f>IF(+J96&lt;F146,J96,D147)</f>
        <v>0</v>
      </c>
      <c r="F147" s="159">
        <f t="shared" si="19"/>
        <v>0</v>
      </c>
      <c r="G147" s="159">
        <f t="shared" si="20"/>
        <v>0</v>
      </c>
      <c r="H147" s="163">
        <f t="shared" si="16"/>
        <v>0</v>
      </c>
      <c r="I147" s="253">
        <f t="shared" si="17"/>
        <v>0</v>
      </c>
      <c r="J147" s="158">
        <f t="shared" si="21"/>
        <v>0</v>
      </c>
      <c r="K147" s="158"/>
      <c r="L147" s="334"/>
      <c r="M147" s="158">
        <f t="shared" si="22"/>
        <v>0</v>
      </c>
      <c r="N147" s="334"/>
      <c r="O147" s="158">
        <f t="shared" si="23"/>
        <v>0</v>
      </c>
      <c r="P147" s="158">
        <f t="shared" si="24"/>
        <v>0</v>
      </c>
    </row>
    <row r="148" spans="2:16">
      <c r="B148" s="9" t="str">
        <f t="shared" si="18"/>
        <v/>
      </c>
      <c r="C148" s="153">
        <f>IF(D93="","-",+C147+1)</f>
        <v>2066</v>
      </c>
      <c r="D148" s="154">
        <f>IF(F147+SUM(E$99:E147)=D$92,F147,D$92-SUM(E$99:E147))</f>
        <v>0</v>
      </c>
      <c r="E148" s="160">
        <f>IF(+J96&lt;F147,J96,D148)</f>
        <v>0</v>
      </c>
      <c r="F148" s="159">
        <f t="shared" si="19"/>
        <v>0</v>
      </c>
      <c r="G148" s="159">
        <f t="shared" si="20"/>
        <v>0</v>
      </c>
      <c r="H148" s="163">
        <f t="shared" si="16"/>
        <v>0</v>
      </c>
      <c r="I148" s="253">
        <f t="shared" si="17"/>
        <v>0</v>
      </c>
      <c r="J148" s="158">
        <f t="shared" si="21"/>
        <v>0</v>
      </c>
      <c r="K148" s="158"/>
      <c r="L148" s="334"/>
      <c r="M148" s="158">
        <f t="shared" si="22"/>
        <v>0</v>
      </c>
      <c r="N148" s="334"/>
      <c r="O148" s="158">
        <f t="shared" si="23"/>
        <v>0</v>
      </c>
      <c r="P148" s="158">
        <f t="shared" si="24"/>
        <v>0</v>
      </c>
    </row>
    <row r="149" spans="2:16">
      <c r="B149" s="9" t="str">
        <f t="shared" si="18"/>
        <v/>
      </c>
      <c r="C149" s="153">
        <f>IF(D93="","-",+C148+1)</f>
        <v>2067</v>
      </c>
      <c r="D149" s="154">
        <f>IF(F148+SUM(E$99:E148)=D$92,F148,D$92-SUM(E$99:E148))</f>
        <v>0</v>
      </c>
      <c r="E149" s="160">
        <f>IF(+J96&lt;F148,J96,D149)</f>
        <v>0</v>
      </c>
      <c r="F149" s="159">
        <f t="shared" si="19"/>
        <v>0</v>
      </c>
      <c r="G149" s="159">
        <f t="shared" si="20"/>
        <v>0</v>
      </c>
      <c r="H149" s="163">
        <f t="shared" si="16"/>
        <v>0</v>
      </c>
      <c r="I149" s="253">
        <f t="shared" si="17"/>
        <v>0</v>
      </c>
      <c r="J149" s="158">
        <f t="shared" si="21"/>
        <v>0</v>
      </c>
      <c r="K149" s="158"/>
      <c r="L149" s="334"/>
      <c r="M149" s="158">
        <f t="shared" si="22"/>
        <v>0</v>
      </c>
      <c r="N149" s="334"/>
      <c r="O149" s="158">
        <f t="shared" si="23"/>
        <v>0</v>
      </c>
      <c r="P149" s="158">
        <f t="shared" si="24"/>
        <v>0</v>
      </c>
    </row>
    <row r="150" spans="2:16">
      <c r="B150" s="9" t="str">
        <f t="shared" si="18"/>
        <v/>
      </c>
      <c r="C150" s="153">
        <f>IF(D93="","-",+C149+1)</f>
        <v>2068</v>
      </c>
      <c r="D150" s="154">
        <f>IF(F149+SUM(E$99:E149)=D$92,F149,D$92-SUM(E$99:E149))</f>
        <v>0</v>
      </c>
      <c r="E150" s="160">
        <f>IF(+J96&lt;F149,J96,D150)</f>
        <v>0</v>
      </c>
      <c r="F150" s="159">
        <f t="shared" si="19"/>
        <v>0</v>
      </c>
      <c r="G150" s="159">
        <f t="shared" si="20"/>
        <v>0</v>
      </c>
      <c r="H150" s="163">
        <f t="shared" si="16"/>
        <v>0</v>
      </c>
      <c r="I150" s="253">
        <f t="shared" si="17"/>
        <v>0</v>
      </c>
      <c r="J150" s="158">
        <f t="shared" si="21"/>
        <v>0</v>
      </c>
      <c r="K150" s="158"/>
      <c r="L150" s="334"/>
      <c r="M150" s="158">
        <f t="shared" si="22"/>
        <v>0</v>
      </c>
      <c r="N150" s="334"/>
      <c r="O150" s="158">
        <f t="shared" si="23"/>
        <v>0</v>
      </c>
      <c r="P150" s="158">
        <f t="shared" si="24"/>
        <v>0</v>
      </c>
    </row>
    <row r="151" spans="2:16">
      <c r="B151" s="9" t="str">
        <f t="shared" si="18"/>
        <v/>
      </c>
      <c r="C151" s="153">
        <f>IF(D93="","-",+C150+1)</f>
        <v>2069</v>
      </c>
      <c r="D151" s="154">
        <f>IF(F150+SUM(E$99:E150)=D$92,F150,D$92-SUM(E$99:E150))</f>
        <v>0</v>
      </c>
      <c r="E151" s="160">
        <f>IF(+J96&lt;F150,J96,D151)</f>
        <v>0</v>
      </c>
      <c r="F151" s="159">
        <f t="shared" si="19"/>
        <v>0</v>
      </c>
      <c r="G151" s="159">
        <f t="shared" si="20"/>
        <v>0</v>
      </c>
      <c r="H151" s="163">
        <f t="shared" si="16"/>
        <v>0</v>
      </c>
      <c r="I151" s="253">
        <f t="shared" si="17"/>
        <v>0</v>
      </c>
      <c r="J151" s="158">
        <f t="shared" si="21"/>
        <v>0</v>
      </c>
      <c r="K151" s="158"/>
      <c r="L151" s="334"/>
      <c r="M151" s="158">
        <f t="shared" si="22"/>
        <v>0</v>
      </c>
      <c r="N151" s="334"/>
      <c r="O151" s="158">
        <f t="shared" si="23"/>
        <v>0</v>
      </c>
      <c r="P151" s="158">
        <f t="shared" si="24"/>
        <v>0</v>
      </c>
    </row>
    <row r="152" spans="2:16">
      <c r="B152" s="9" t="str">
        <f t="shared" si="18"/>
        <v/>
      </c>
      <c r="C152" s="153">
        <f>IF(D93="","-",+C151+1)</f>
        <v>2070</v>
      </c>
      <c r="D152" s="154">
        <f>IF(F151+SUM(E$99:E151)=D$92,F151,D$92-SUM(E$99:E151))</f>
        <v>0</v>
      </c>
      <c r="E152" s="160">
        <f>IF(+J96&lt;F151,J96,D152)</f>
        <v>0</v>
      </c>
      <c r="F152" s="159">
        <f t="shared" si="19"/>
        <v>0</v>
      </c>
      <c r="G152" s="159">
        <f t="shared" si="20"/>
        <v>0</v>
      </c>
      <c r="H152" s="163">
        <f t="shared" si="16"/>
        <v>0</v>
      </c>
      <c r="I152" s="253">
        <f t="shared" si="17"/>
        <v>0</v>
      </c>
      <c r="J152" s="158">
        <f t="shared" si="21"/>
        <v>0</v>
      </c>
      <c r="K152" s="158"/>
      <c r="L152" s="334"/>
      <c r="M152" s="158">
        <f t="shared" si="22"/>
        <v>0</v>
      </c>
      <c r="N152" s="334"/>
      <c r="O152" s="158">
        <f t="shared" si="23"/>
        <v>0</v>
      </c>
      <c r="P152" s="158">
        <f t="shared" si="24"/>
        <v>0</v>
      </c>
    </row>
    <row r="153" spans="2:16">
      <c r="B153" s="9" t="str">
        <f t="shared" si="18"/>
        <v/>
      </c>
      <c r="C153" s="153">
        <f>IF(D93="","-",+C152+1)</f>
        <v>2071</v>
      </c>
      <c r="D153" s="154">
        <f>IF(F152+SUM(E$99:E152)=D$92,F152,D$92-SUM(E$99:E152))</f>
        <v>0</v>
      </c>
      <c r="E153" s="160">
        <f>IF(+J96&lt;F152,J96,D153)</f>
        <v>0</v>
      </c>
      <c r="F153" s="159">
        <f t="shared" si="19"/>
        <v>0</v>
      </c>
      <c r="G153" s="159">
        <f t="shared" si="20"/>
        <v>0</v>
      </c>
      <c r="H153" s="163">
        <f t="shared" si="16"/>
        <v>0</v>
      </c>
      <c r="I153" s="253">
        <f t="shared" si="17"/>
        <v>0</v>
      </c>
      <c r="J153" s="158">
        <f t="shared" si="21"/>
        <v>0</v>
      </c>
      <c r="K153" s="158"/>
      <c r="L153" s="334"/>
      <c r="M153" s="158">
        <f t="shared" si="22"/>
        <v>0</v>
      </c>
      <c r="N153" s="334"/>
      <c r="O153" s="158">
        <f t="shared" si="23"/>
        <v>0</v>
      </c>
      <c r="P153" s="158">
        <f t="shared" si="24"/>
        <v>0</v>
      </c>
    </row>
    <row r="154" spans="2:16" ht="13.5" thickBot="1">
      <c r="B154" s="9" t="str">
        <f t="shared" si="18"/>
        <v/>
      </c>
      <c r="C154" s="164">
        <f>IF(D93="","-",+C153+1)</f>
        <v>2072</v>
      </c>
      <c r="D154" s="215">
        <f>IF(F153+SUM(E$99:E153)=D$92,F153,D$92-SUM(E$99:E153))</f>
        <v>0</v>
      </c>
      <c r="E154" s="166">
        <f>IF(+J96&lt;F153,J96,D154)</f>
        <v>0</v>
      </c>
      <c r="F154" s="165">
        <f t="shared" si="19"/>
        <v>0</v>
      </c>
      <c r="G154" s="165">
        <f t="shared" si="20"/>
        <v>0</v>
      </c>
      <c r="H154" s="167">
        <f t="shared" si="16"/>
        <v>0</v>
      </c>
      <c r="I154" s="254">
        <f t="shared" si="17"/>
        <v>0</v>
      </c>
      <c r="J154" s="169">
        <f t="shared" si="21"/>
        <v>0</v>
      </c>
      <c r="K154" s="158"/>
      <c r="L154" s="335"/>
      <c r="M154" s="169">
        <f t="shared" si="22"/>
        <v>0</v>
      </c>
      <c r="N154" s="335"/>
      <c r="O154" s="169">
        <f t="shared" si="23"/>
        <v>0</v>
      </c>
      <c r="P154" s="169">
        <f t="shared" si="24"/>
        <v>0</v>
      </c>
    </row>
    <row r="155" spans="2:16">
      <c r="C155" s="154" t="s">
        <v>73</v>
      </c>
      <c r="D155" s="111"/>
      <c r="E155" s="111">
        <f>SUM(E99:E154)</f>
        <v>2368917</v>
      </c>
      <c r="F155" s="111"/>
      <c r="G155" s="111"/>
      <c r="H155" s="111">
        <f>SUM(H99:H154)</f>
        <v>8531687.0740373302</v>
      </c>
      <c r="I155" s="111">
        <f>SUM(I99:I154)</f>
        <v>8531687.0740373302</v>
      </c>
      <c r="J155" s="111">
        <f>SUM(J99:J154)</f>
        <v>0</v>
      </c>
      <c r="K155" s="111"/>
      <c r="L155" s="111"/>
      <c r="M155" s="111"/>
      <c r="N155" s="111"/>
      <c r="O155" s="111"/>
      <c r="P155" s="1"/>
    </row>
    <row r="156" spans="2:16">
      <c r="C156" t="s">
        <v>87</v>
      </c>
      <c r="D156" s="2"/>
      <c r="E156" s="1"/>
      <c r="F156" s="1"/>
      <c r="G156" s="1"/>
      <c r="H156" s="1"/>
      <c r="I156" s="3"/>
      <c r="J156" s="3"/>
      <c r="K156" s="111"/>
      <c r="L156" s="3"/>
      <c r="M156" s="3"/>
      <c r="N156" s="3"/>
      <c r="O156" s="3"/>
      <c r="P156" s="1"/>
    </row>
    <row r="157" spans="2:16">
      <c r="C157" s="216"/>
      <c r="D157" s="2"/>
      <c r="E157" s="1"/>
      <c r="F157" s="1"/>
      <c r="G157" s="1"/>
      <c r="H157" s="1"/>
      <c r="I157" s="3"/>
      <c r="J157" s="3"/>
      <c r="K157" s="111"/>
      <c r="L157" s="3"/>
      <c r="M157" s="3"/>
      <c r="N157" s="3"/>
      <c r="O157" s="3"/>
      <c r="P157" s="1"/>
    </row>
    <row r="158" spans="2:16">
      <c r="C158" s="248" t="s">
        <v>127</v>
      </c>
      <c r="D158" s="2"/>
      <c r="E158" s="1"/>
      <c r="F158" s="1"/>
      <c r="G158" s="1"/>
      <c r="H158" s="1"/>
      <c r="I158" s="3"/>
      <c r="J158" s="3"/>
      <c r="K158" s="111"/>
      <c r="L158" s="3"/>
      <c r="M158" s="3"/>
      <c r="N158" s="3"/>
      <c r="O158" s="3"/>
      <c r="P158" s="1"/>
    </row>
    <row r="159" spans="2:16">
      <c r="C159" s="121" t="s">
        <v>74</v>
      </c>
      <c r="D159" s="154"/>
      <c r="E159" s="154"/>
      <c r="F159" s="154"/>
      <c r="G159" s="154"/>
      <c r="H159" s="111"/>
      <c r="I159" s="111"/>
      <c r="J159" s="171"/>
      <c r="K159" s="171"/>
      <c r="L159" s="171"/>
      <c r="M159" s="171"/>
      <c r="N159" s="171"/>
      <c r="O159" s="171"/>
      <c r="P159" s="1"/>
    </row>
    <row r="160" spans="2:16">
      <c r="C160" s="217" t="s">
        <v>75</v>
      </c>
      <c r="D160" s="154"/>
      <c r="E160" s="154"/>
      <c r="F160" s="154"/>
      <c r="G160" s="154"/>
      <c r="H160" s="111"/>
      <c r="I160" s="111"/>
      <c r="J160" s="171"/>
      <c r="K160" s="171"/>
      <c r="L160" s="171"/>
      <c r="M160" s="171"/>
      <c r="N160" s="171"/>
      <c r="O160" s="171"/>
      <c r="P160" s="1"/>
    </row>
    <row r="161" spans="3:16">
      <c r="C161" s="217"/>
      <c r="D161" s="154"/>
      <c r="E161" s="154"/>
      <c r="F161" s="154"/>
      <c r="G161" s="154"/>
      <c r="H161" s="111"/>
      <c r="I161" s="111"/>
      <c r="J161" s="171"/>
      <c r="K161" s="171"/>
      <c r="L161" s="171"/>
      <c r="M161" s="171"/>
      <c r="N161" s="171"/>
      <c r="O161" s="171"/>
      <c r="P161" s="1"/>
    </row>
    <row r="162" spans="3:16" ht="18">
      <c r="C162" s="217"/>
      <c r="D162" s="154"/>
      <c r="E162" s="154"/>
      <c r="F162" s="154"/>
      <c r="G162" s="154"/>
      <c r="H162" s="111"/>
      <c r="I162" s="111"/>
      <c r="J162" s="171"/>
      <c r="K162" s="171"/>
      <c r="L162" s="171"/>
      <c r="M162" s="171"/>
      <c r="N162" s="171"/>
      <c r="P162" s="245" t="s">
        <v>126</v>
      </c>
    </row>
  </sheetData>
  <conditionalFormatting sqref="C18:C72">
    <cfRule type="cellIs" dxfId="28" priority="2" stopIfTrue="1" operator="equal">
      <formula>$I$10</formula>
    </cfRule>
  </conditionalFormatting>
  <conditionalFormatting sqref="C99:C154">
    <cfRule type="cellIs" dxfId="27" priority="3" stopIfTrue="1" operator="equal">
      <formula>$J$92</formula>
    </cfRule>
  </conditionalFormatting>
  <conditionalFormatting sqref="C17">
    <cfRule type="cellIs" dxfId="26" priority="1" stopIfTrue="1" operator="equal">
      <formula>$I$10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5"/>
  <dimension ref="A1:P162"/>
  <sheetViews>
    <sheetView view="pageBreakPreview" topLeftCell="A49" zoomScale="80" zoomScaleNormal="100" zoomScaleSheetLayoutView="80" workbookViewId="0">
      <selection activeCell="C19" sqref="C19"/>
    </sheetView>
  </sheetViews>
  <sheetFormatPr defaultRowHeight="12.75" customHeight="1"/>
  <cols>
    <col min="1" max="1" width="4.7109375" customWidth="1"/>
    <col min="2" max="2" width="6.7109375" customWidth="1"/>
    <col min="3" max="3" width="23.28515625" customWidth="1"/>
    <col min="4" max="8" width="17.7109375" customWidth="1"/>
    <col min="9" max="9" width="20.42578125" customWidth="1"/>
    <col min="10" max="10" width="16.42578125" customWidth="1"/>
    <col min="11" max="11" width="17.7109375" customWidth="1"/>
    <col min="12" max="12" width="16.140625" customWidth="1"/>
    <col min="13" max="13" width="17.7109375" customWidth="1"/>
    <col min="14" max="14" width="16.7109375" customWidth="1"/>
    <col min="15" max="15" width="16.85546875" customWidth="1"/>
    <col min="16" max="16" width="24.42578125" customWidth="1"/>
    <col min="17" max="17" width="9.140625" customWidth="1"/>
    <col min="23" max="23" width="9.140625" customWidth="1"/>
  </cols>
  <sheetData>
    <row r="1" spans="1:16" ht="20.25">
      <c r="A1" s="243" t="s">
        <v>128</v>
      </c>
      <c r="B1" s="1"/>
      <c r="C1" s="21"/>
      <c r="D1" s="2"/>
      <c r="E1" s="1"/>
      <c r="F1" s="99"/>
      <c r="G1" s="1"/>
      <c r="H1" s="3"/>
      <c r="J1" s="7"/>
      <c r="K1" s="109"/>
      <c r="L1" s="109"/>
      <c r="M1" s="109"/>
      <c r="P1" s="249" t="str">
        <f ca="1">"SWEPCO Project "&amp;RIGHT(MID(CELL("filename",$A$1),FIND("]",CELL("filename",$A$1))+1,256),2)&amp;" of "&amp;COUNT('S.001:S.xyz - blank'!$P$3)-1</f>
        <v>SWEPCO Project 66 of 73</v>
      </c>
    </row>
    <row r="2" spans="1:16" ht="18">
      <c r="B2" s="1"/>
      <c r="C2" s="1"/>
      <c r="D2" s="2"/>
      <c r="E2" s="1"/>
      <c r="F2" s="1"/>
      <c r="G2" s="1"/>
      <c r="H2" s="3"/>
      <c r="I2" s="1"/>
      <c r="J2" s="4"/>
      <c r="K2" s="1"/>
      <c r="L2" s="1"/>
      <c r="M2" s="1"/>
      <c r="N2" s="1"/>
      <c r="P2" s="244" t="s">
        <v>124</v>
      </c>
    </row>
    <row r="3" spans="1:16" ht="18.75">
      <c r="B3" s="5" t="s">
        <v>40</v>
      </c>
      <c r="C3" s="68" t="s">
        <v>41</v>
      </c>
      <c r="D3" s="2"/>
      <c r="E3" s="1"/>
      <c r="F3" s="1"/>
      <c r="G3" s="1"/>
      <c r="H3" s="3"/>
      <c r="I3" s="3"/>
      <c r="J3" s="111"/>
      <c r="K3" s="3"/>
      <c r="L3" s="3"/>
      <c r="M3" s="3"/>
      <c r="N3" s="3"/>
      <c r="O3" s="1"/>
      <c r="P3" s="240">
        <v>1</v>
      </c>
    </row>
    <row r="4" spans="1:16" ht="15.75" thickBot="1">
      <c r="C4" s="67"/>
      <c r="D4" s="2"/>
      <c r="E4" s="1"/>
      <c r="F4" s="1"/>
      <c r="G4" s="1"/>
      <c r="H4" s="3"/>
      <c r="I4" s="3"/>
      <c r="J4" s="111"/>
      <c r="K4" s="3"/>
      <c r="L4" s="3"/>
      <c r="M4" s="3"/>
      <c r="N4" s="3"/>
      <c r="O4" s="1"/>
      <c r="P4" s="1"/>
    </row>
    <row r="5" spans="1:16" ht="15">
      <c r="C5" s="112" t="s">
        <v>42</v>
      </c>
      <c r="D5" s="2"/>
      <c r="E5" s="1"/>
      <c r="F5" s="1"/>
      <c r="G5" s="113"/>
      <c r="H5" s="1" t="s">
        <v>43</v>
      </c>
      <c r="I5" s="1"/>
      <c r="J5" s="4"/>
      <c r="K5" s="268" t="s">
        <v>152</v>
      </c>
      <c r="L5" s="114"/>
      <c r="M5" s="115"/>
      <c r="N5" s="116">
        <f>VLOOKUP(I10,C17:I72,5)</f>
        <v>766024.96303825104</v>
      </c>
      <c r="P5" s="1"/>
    </row>
    <row r="6" spans="1:16" ht="15.75">
      <c r="C6" s="8"/>
      <c r="D6" s="2"/>
      <c r="E6" s="1"/>
      <c r="F6" s="1"/>
      <c r="G6" s="1"/>
      <c r="H6" s="117"/>
      <c r="I6" s="117"/>
      <c r="J6" s="118"/>
      <c r="K6" s="269" t="s">
        <v>153</v>
      </c>
      <c r="L6" s="119"/>
      <c r="M6" s="4"/>
      <c r="N6" s="120">
        <f>VLOOKUP(I10,C17:I72,6)</f>
        <v>766024.96303825104</v>
      </c>
      <c r="O6" s="1"/>
      <c r="P6" s="1"/>
    </row>
    <row r="7" spans="1:16" ht="13.5" thickBot="1">
      <c r="C7" s="121" t="s">
        <v>44</v>
      </c>
      <c r="D7" s="223" t="s">
        <v>376</v>
      </c>
      <c r="E7" s="1"/>
      <c r="F7" s="1"/>
      <c r="G7" s="1"/>
      <c r="H7" s="3"/>
      <c r="I7" s="3"/>
      <c r="J7" s="111"/>
      <c r="K7" s="122" t="s">
        <v>45</v>
      </c>
      <c r="L7" s="123"/>
      <c r="M7" s="123"/>
      <c r="N7" s="124">
        <f>+N6-N5</f>
        <v>0</v>
      </c>
      <c r="O7" s="1"/>
      <c r="P7" s="1"/>
    </row>
    <row r="8" spans="1:16" ht="13.5" thickBot="1">
      <c r="C8" s="125"/>
      <c r="D8" s="352" t="str">
        <f>IF(D10&lt;100000,"DOES NOT MEET SPP $100,000 MINIMUM INVESTMENT FOR REGIONAL BPU SHARING.","")</f>
        <v/>
      </c>
      <c r="E8" s="126"/>
      <c r="F8" s="126"/>
      <c r="G8" s="126"/>
      <c r="H8" s="126"/>
      <c r="I8" s="126"/>
      <c r="J8" s="101"/>
      <c r="K8" s="126"/>
      <c r="L8" s="126"/>
      <c r="M8" s="126"/>
      <c r="N8" s="126"/>
      <c r="O8" s="101"/>
      <c r="P8" s="21"/>
    </row>
    <row r="9" spans="1:16" ht="13.5" thickBot="1">
      <c r="C9" s="127" t="s">
        <v>46</v>
      </c>
      <c r="D9" s="225" t="s">
        <v>252</v>
      </c>
      <c r="E9" s="401" t="s">
        <v>453</v>
      </c>
      <c r="F9" s="128"/>
      <c r="G9" s="128"/>
      <c r="H9" s="128"/>
      <c r="I9" s="129"/>
      <c r="J9" s="130"/>
      <c r="O9" s="131"/>
      <c r="P9" s="4"/>
    </row>
    <row r="10" spans="1:16">
      <c r="C10" s="132" t="s">
        <v>47</v>
      </c>
      <c r="D10" s="133">
        <v>6425000</v>
      </c>
      <c r="E10" s="61" t="s">
        <v>459</v>
      </c>
      <c r="F10" s="131"/>
      <c r="G10" s="134"/>
      <c r="H10" s="134"/>
      <c r="I10" s="135">
        <f>+SWE.WS.F.BPU.ATRR.Projected!K17</f>
        <v>2019</v>
      </c>
      <c r="J10" s="130"/>
      <c r="K10" s="111" t="s">
        <v>48</v>
      </c>
      <c r="O10" s="4"/>
      <c r="P10" s="4"/>
    </row>
    <row r="11" spans="1:16">
      <c r="C11" s="136" t="s">
        <v>49</v>
      </c>
      <c r="D11" s="137">
        <v>2017</v>
      </c>
      <c r="E11" s="136" t="s">
        <v>50</v>
      </c>
      <c r="F11" s="134"/>
      <c r="G11" s="7"/>
      <c r="H11" s="7"/>
      <c r="I11" s="138">
        <f>IF(G5="",0,SWE.WS.F.BPU.ATRR.Projected!F$11)</f>
        <v>0</v>
      </c>
      <c r="J11" s="139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4"/>
      <c r="P11" s="4"/>
    </row>
    <row r="12" spans="1:16">
      <c r="C12" s="136" t="s">
        <v>51</v>
      </c>
      <c r="D12" s="133">
        <v>6</v>
      </c>
      <c r="E12" s="136" t="s">
        <v>52</v>
      </c>
      <c r="F12" s="134"/>
      <c r="G12" s="7"/>
      <c r="H12" s="7"/>
      <c r="I12" s="140">
        <f>SWE.WS.F.BPU.ATRR.Projected!$F$76</f>
        <v>9.9555672459071778E-2</v>
      </c>
      <c r="J12" s="141"/>
      <c r="K12" t="s">
        <v>53</v>
      </c>
      <c r="O12" s="4"/>
      <c r="P12" s="4"/>
    </row>
    <row r="13" spans="1:16">
      <c r="C13" s="136" t="s">
        <v>54</v>
      </c>
      <c r="D13" s="138">
        <f>+SWE.WS.F.BPU.ATRR.Projected!F$87</f>
        <v>43</v>
      </c>
      <c r="E13" s="136" t="s">
        <v>55</v>
      </c>
      <c r="F13" s="134"/>
      <c r="G13" s="7"/>
      <c r="H13" s="7"/>
      <c r="I13" s="140">
        <f>IF(G5="",I12,SWE.WS.F.BPU.ATRR.Projected!$F$75)</f>
        <v>9.9555672459071778E-2</v>
      </c>
      <c r="J13" s="141"/>
      <c r="K13" s="111" t="s">
        <v>56</v>
      </c>
      <c r="L13" s="58"/>
      <c r="M13" s="58"/>
      <c r="N13" s="58"/>
      <c r="O13" s="4"/>
      <c r="P13" s="4"/>
    </row>
    <row r="14" spans="1:16" ht="13.5" thickBot="1">
      <c r="C14" s="136" t="s">
        <v>57</v>
      </c>
      <c r="D14" s="137" t="s">
        <v>58</v>
      </c>
      <c r="E14" s="4" t="s">
        <v>59</v>
      </c>
      <c r="F14" s="134"/>
      <c r="G14" s="7"/>
      <c r="H14" s="7"/>
      <c r="I14" s="142">
        <f>IF(D10=0,0,D10/D13)</f>
        <v>149418.60465116278</v>
      </c>
      <c r="J14" s="111"/>
      <c r="K14" s="111"/>
      <c r="L14" s="111"/>
      <c r="M14" s="111"/>
      <c r="N14" s="111"/>
      <c r="O14" s="4"/>
      <c r="P14" s="4"/>
    </row>
    <row r="15" spans="1:16" ht="38.25">
      <c r="C15" s="143" t="s">
        <v>47</v>
      </c>
      <c r="D15" s="144" t="s">
        <v>60</v>
      </c>
      <c r="E15" s="144" t="s">
        <v>61</v>
      </c>
      <c r="F15" s="144" t="s">
        <v>62</v>
      </c>
      <c r="G15" s="434" t="s">
        <v>378</v>
      </c>
      <c r="H15" s="435" t="s">
        <v>379</v>
      </c>
      <c r="I15" s="143" t="s">
        <v>63</v>
      </c>
      <c r="J15" s="145"/>
      <c r="K15" s="271" t="s">
        <v>219</v>
      </c>
      <c r="L15" s="146" t="s">
        <v>64</v>
      </c>
      <c r="M15" s="271" t="s">
        <v>219</v>
      </c>
      <c r="N15" s="146" t="s">
        <v>64</v>
      </c>
      <c r="O15" s="146" t="s">
        <v>65</v>
      </c>
      <c r="P15" s="4"/>
    </row>
    <row r="16" spans="1:16" ht="13.5" thickBot="1">
      <c r="C16" s="147" t="s">
        <v>66</v>
      </c>
      <c r="D16" s="147" t="s">
        <v>67</v>
      </c>
      <c r="E16" s="147" t="s">
        <v>68</v>
      </c>
      <c r="F16" s="147" t="s">
        <v>67</v>
      </c>
      <c r="G16" s="408" t="s">
        <v>69</v>
      </c>
      <c r="H16" s="148" t="s">
        <v>70</v>
      </c>
      <c r="I16" s="149" t="s">
        <v>89</v>
      </c>
      <c r="J16" s="150" t="s">
        <v>71</v>
      </c>
      <c r="K16" s="151" t="s">
        <v>72</v>
      </c>
      <c r="L16" s="151" t="s">
        <v>72</v>
      </c>
      <c r="M16" s="151" t="s">
        <v>90</v>
      </c>
      <c r="N16" s="152" t="s">
        <v>90</v>
      </c>
      <c r="O16" s="151" t="s">
        <v>90</v>
      </c>
      <c r="P16" s="4"/>
    </row>
    <row r="17" spans="2:16">
      <c r="C17" s="153">
        <f>IF(D11= "","-",D11)</f>
        <v>2017</v>
      </c>
      <c r="D17" s="360">
        <v>0</v>
      </c>
      <c r="E17" s="360">
        <v>0</v>
      </c>
      <c r="F17" s="360">
        <v>6425000</v>
      </c>
      <c r="G17" s="360">
        <v>398004.76424273284</v>
      </c>
      <c r="H17" s="360">
        <v>398004.76424273284</v>
      </c>
      <c r="I17" s="156">
        <v>0</v>
      </c>
      <c r="J17" s="156"/>
      <c r="K17" s="258">
        <f>+G17</f>
        <v>398004.76424273284</v>
      </c>
      <c r="L17" s="257">
        <f>IF(K17&lt;&gt;0,+G17-K17,0)</f>
        <v>0</v>
      </c>
      <c r="M17" s="258">
        <f>+H17</f>
        <v>398004.76424273284</v>
      </c>
      <c r="N17" s="158">
        <f>IF(M17&lt;&gt;0,+H17-M17,0)</f>
        <v>0</v>
      </c>
      <c r="O17" s="158">
        <f>+N17-L17</f>
        <v>0</v>
      </c>
      <c r="P17" s="4"/>
    </row>
    <row r="18" spans="2:16">
      <c r="B18" s="9" t="str">
        <f>IF(D18=F17,"","IU")</f>
        <v/>
      </c>
      <c r="C18" s="153">
        <f>IF(D11="","-",+C17+1)</f>
        <v>2018</v>
      </c>
      <c r="D18" s="360">
        <v>6425000</v>
      </c>
      <c r="E18" s="360">
        <v>156707.31707317074</v>
      </c>
      <c r="F18" s="360">
        <v>6268292.682926829</v>
      </c>
      <c r="G18" s="360">
        <v>866796.82938272203</v>
      </c>
      <c r="H18" s="360">
        <v>866796.82938272203</v>
      </c>
      <c r="I18" s="156">
        <f t="shared" ref="I18:I72" si="0">H18-G18</f>
        <v>0</v>
      </c>
      <c r="J18" s="156"/>
      <c r="K18" s="258">
        <f>+G18</f>
        <v>866796.82938272203</v>
      </c>
      <c r="L18" s="257">
        <f>IF(K18&lt;&gt;0,+G18-K18,0)</f>
        <v>0</v>
      </c>
      <c r="M18" s="258">
        <f>+H18</f>
        <v>866796.82938272203</v>
      </c>
      <c r="N18" s="158">
        <f>IF(M18&lt;&gt;0,+H18-M18,0)</f>
        <v>0</v>
      </c>
      <c r="O18" s="158">
        <f>+N18-L18</f>
        <v>0</v>
      </c>
      <c r="P18" s="4"/>
    </row>
    <row r="19" spans="2:16">
      <c r="B19" s="9" t="str">
        <f>IF(D19=F18,"","IU")</f>
        <v/>
      </c>
      <c r="C19" s="153">
        <f>IF(D11="","-",+C18+1)</f>
        <v>2019</v>
      </c>
      <c r="D19" s="159">
        <f>IF(F18+SUM(E$17:E18)=D$10,F18,D$10-SUM(E$17:E18))</f>
        <v>6268292.682926829</v>
      </c>
      <c r="E19" s="160">
        <f>IF(+I14&lt;F18,I14,D19)</f>
        <v>149418.60465116278</v>
      </c>
      <c r="F19" s="159">
        <f t="shared" ref="F19:F72" si="1">+D19-E19</f>
        <v>6118874.0782756666</v>
      </c>
      <c r="G19" s="161">
        <f t="shared" ref="G19:G48" si="2">+I$12*((D19+F19)/2)+E19</f>
        <v>766024.96303825104</v>
      </c>
      <c r="H19" s="142">
        <f t="shared" ref="H19:H48" si="3">+I$13*((D19+F19)/2)+E19</f>
        <v>766024.96303825104</v>
      </c>
      <c r="I19" s="156">
        <f t="shared" si="0"/>
        <v>0</v>
      </c>
      <c r="J19" s="156"/>
      <c r="K19" s="334"/>
      <c r="L19" s="158">
        <f t="shared" ref="L19:L72" si="4">IF(K19&lt;&gt;0,+G19-K19,0)</f>
        <v>0</v>
      </c>
      <c r="M19" s="334"/>
      <c r="N19" s="158">
        <f t="shared" ref="N19:N72" si="5">IF(M19&lt;&gt;0,+H19-M19,0)</f>
        <v>0</v>
      </c>
      <c r="O19" s="158">
        <f t="shared" ref="O19:O72" si="6">+N19-L19</f>
        <v>0</v>
      </c>
      <c r="P19" s="4"/>
    </row>
    <row r="20" spans="2:16">
      <c r="B20" s="9" t="str">
        <f t="shared" ref="B20:B72" si="7">IF(D20=F19,"","IU")</f>
        <v/>
      </c>
      <c r="C20" s="153">
        <f>IF(D11="","-",+C19+1)</f>
        <v>2020</v>
      </c>
      <c r="D20" s="159">
        <f>IF(F19+SUM(E$17:E19)=D$10,F19,D$10-SUM(E$17:E19))</f>
        <v>6118874.0782756666</v>
      </c>
      <c r="E20" s="160">
        <f>IF(+I14&lt;F19,I14,D20)</f>
        <v>149418.60465116278</v>
      </c>
      <c r="F20" s="159">
        <f t="shared" si="1"/>
        <v>5969455.4736245042</v>
      </c>
      <c r="G20" s="161">
        <f t="shared" si="2"/>
        <v>751149.49337430845</v>
      </c>
      <c r="H20" s="142">
        <f t="shared" si="3"/>
        <v>751149.49337430845</v>
      </c>
      <c r="I20" s="156">
        <f t="shared" si="0"/>
        <v>0</v>
      </c>
      <c r="J20" s="156"/>
      <c r="K20" s="334"/>
      <c r="L20" s="158">
        <f t="shared" si="4"/>
        <v>0</v>
      </c>
      <c r="M20" s="334"/>
      <c r="N20" s="158">
        <f t="shared" si="5"/>
        <v>0</v>
      </c>
      <c r="O20" s="158">
        <f t="shared" si="6"/>
        <v>0</v>
      </c>
      <c r="P20" s="4"/>
    </row>
    <row r="21" spans="2:16">
      <c r="B21" s="9" t="str">
        <f t="shared" si="7"/>
        <v/>
      </c>
      <c r="C21" s="153">
        <f>IF(D11="","-",+C20+1)</f>
        <v>2021</v>
      </c>
      <c r="D21" s="159">
        <f>IF(F20+SUM(E$17:E20)=D$10,F20,D$10-SUM(E$17:E20))</f>
        <v>5969455.4736245042</v>
      </c>
      <c r="E21" s="160">
        <f>IF(+I14&lt;F20,I14,D21)</f>
        <v>149418.60465116278</v>
      </c>
      <c r="F21" s="159">
        <f t="shared" si="1"/>
        <v>5820036.8689733418</v>
      </c>
      <c r="G21" s="161">
        <f t="shared" si="2"/>
        <v>736274.02371036576</v>
      </c>
      <c r="H21" s="142">
        <f t="shared" si="3"/>
        <v>736274.02371036576</v>
      </c>
      <c r="I21" s="156">
        <f t="shared" si="0"/>
        <v>0</v>
      </c>
      <c r="J21" s="156"/>
      <c r="K21" s="334"/>
      <c r="L21" s="158">
        <f t="shared" si="4"/>
        <v>0</v>
      </c>
      <c r="M21" s="334"/>
      <c r="N21" s="158">
        <f t="shared" si="5"/>
        <v>0</v>
      </c>
      <c r="O21" s="158">
        <f t="shared" si="6"/>
        <v>0</v>
      </c>
      <c r="P21" s="4"/>
    </row>
    <row r="22" spans="2:16">
      <c r="B22" s="9" t="str">
        <f t="shared" si="7"/>
        <v/>
      </c>
      <c r="C22" s="153">
        <f>IF(D11="","-",+C21+1)</f>
        <v>2022</v>
      </c>
      <c r="D22" s="159">
        <f>IF(F21+SUM(E$17:E21)=D$10,F21,D$10-SUM(E$17:E21))</f>
        <v>5820036.8689733418</v>
      </c>
      <c r="E22" s="160">
        <f>IF(+I14&lt;F21,I14,D22)</f>
        <v>149418.60465116278</v>
      </c>
      <c r="F22" s="159">
        <f t="shared" si="1"/>
        <v>5670618.2643221794</v>
      </c>
      <c r="G22" s="161">
        <f t="shared" si="2"/>
        <v>721398.55404642306</v>
      </c>
      <c r="H22" s="142">
        <f t="shared" si="3"/>
        <v>721398.55404642306</v>
      </c>
      <c r="I22" s="156">
        <f t="shared" si="0"/>
        <v>0</v>
      </c>
      <c r="J22" s="156"/>
      <c r="K22" s="334"/>
      <c r="L22" s="158">
        <f t="shared" si="4"/>
        <v>0</v>
      </c>
      <c r="M22" s="334"/>
      <c r="N22" s="158">
        <f t="shared" si="5"/>
        <v>0</v>
      </c>
      <c r="O22" s="158">
        <f t="shared" si="6"/>
        <v>0</v>
      </c>
      <c r="P22" s="4"/>
    </row>
    <row r="23" spans="2:16">
      <c r="B23" s="9" t="str">
        <f t="shared" si="7"/>
        <v/>
      </c>
      <c r="C23" s="153">
        <f>IF(D11="","-",+C22+1)</f>
        <v>2023</v>
      </c>
      <c r="D23" s="159">
        <f>IF(F22+SUM(E$17:E22)=D$10,F22,D$10-SUM(E$17:E22))</f>
        <v>5670618.2643221794</v>
      </c>
      <c r="E23" s="160">
        <f>IF(+I14&lt;F22,I14,D23)</f>
        <v>149418.60465116278</v>
      </c>
      <c r="F23" s="159">
        <f t="shared" si="1"/>
        <v>5521199.659671017</v>
      </c>
      <c r="G23" s="161">
        <f t="shared" si="2"/>
        <v>706523.08438248048</v>
      </c>
      <c r="H23" s="142">
        <f t="shared" si="3"/>
        <v>706523.08438248048</v>
      </c>
      <c r="I23" s="156">
        <f t="shared" si="0"/>
        <v>0</v>
      </c>
      <c r="J23" s="156"/>
      <c r="K23" s="334"/>
      <c r="L23" s="158">
        <f t="shared" si="4"/>
        <v>0</v>
      </c>
      <c r="M23" s="334"/>
      <c r="N23" s="158">
        <f t="shared" si="5"/>
        <v>0</v>
      </c>
      <c r="O23" s="158">
        <f t="shared" si="6"/>
        <v>0</v>
      </c>
      <c r="P23" s="4"/>
    </row>
    <row r="24" spans="2:16">
      <c r="B24" s="9" t="str">
        <f t="shared" si="7"/>
        <v/>
      </c>
      <c r="C24" s="153">
        <f>IF(D11="","-",+C23+1)</f>
        <v>2024</v>
      </c>
      <c r="D24" s="159">
        <f>IF(F23+SUM(E$17:E23)=D$10,F23,D$10-SUM(E$17:E23))</f>
        <v>5521199.659671017</v>
      </c>
      <c r="E24" s="160">
        <f>IF(+I14&lt;F23,I14,D24)</f>
        <v>149418.60465116278</v>
      </c>
      <c r="F24" s="159">
        <f t="shared" si="1"/>
        <v>5371781.0550198546</v>
      </c>
      <c r="G24" s="161">
        <f t="shared" si="2"/>
        <v>691647.61471853778</v>
      </c>
      <c r="H24" s="142">
        <f t="shared" si="3"/>
        <v>691647.61471853778</v>
      </c>
      <c r="I24" s="156">
        <f t="shared" si="0"/>
        <v>0</v>
      </c>
      <c r="J24" s="156"/>
      <c r="K24" s="334"/>
      <c r="L24" s="158">
        <f t="shared" si="4"/>
        <v>0</v>
      </c>
      <c r="M24" s="334"/>
      <c r="N24" s="158">
        <f t="shared" si="5"/>
        <v>0</v>
      </c>
      <c r="O24" s="158">
        <f t="shared" si="6"/>
        <v>0</v>
      </c>
      <c r="P24" s="4"/>
    </row>
    <row r="25" spans="2:16">
      <c r="B25" s="9" t="str">
        <f t="shared" si="7"/>
        <v/>
      </c>
      <c r="C25" s="153">
        <f>IF(D11="","-",+C24+1)</f>
        <v>2025</v>
      </c>
      <c r="D25" s="159">
        <f>IF(F24+SUM(E$17:E24)=D$10,F24,D$10-SUM(E$17:E24))</f>
        <v>5371781.0550198546</v>
      </c>
      <c r="E25" s="160">
        <f>IF(+I14&lt;F24,I14,D25)</f>
        <v>149418.60465116278</v>
      </c>
      <c r="F25" s="159">
        <f t="shared" si="1"/>
        <v>5222362.4503686922</v>
      </c>
      <c r="G25" s="161">
        <f t="shared" si="2"/>
        <v>676772.14505459508</v>
      </c>
      <c r="H25" s="142">
        <f t="shared" si="3"/>
        <v>676772.14505459508</v>
      </c>
      <c r="I25" s="156">
        <f t="shared" si="0"/>
        <v>0</v>
      </c>
      <c r="J25" s="156"/>
      <c r="K25" s="334"/>
      <c r="L25" s="158">
        <f t="shared" si="4"/>
        <v>0</v>
      </c>
      <c r="M25" s="334"/>
      <c r="N25" s="158">
        <f t="shared" si="5"/>
        <v>0</v>
      </c>
      <c r="O25" s="158">
        <f t="shared" si="6"/>
        <v>0</v>
      </c>
      <c r="P25" s="4"/>
    </row>
    <row r="26" spans="2:16">
      <c r="B26" s="9" t="str">
        <f t="shared" si="7"/>
        <v/>
      </c>
      <c r="C26" s="153">
        <f>IF(D11="","-",+C25+1)</f>
        <v>2026</v>
      </c>
      <c r="D26" s="159">
        <f>IF(F25+SUM(E$17:E25)=D$10,F25,D$10-SUM(E$17:E25))</f>
        <v>5222362.4503686922</v>
      </c>
      <c r="E26" s="160">
        <f>IF(+I14&lt;F25,I14,D26)</f>
        <v>149418.60465116278</v>
      </c>
      <c r="F26" s="159">
        <f t="shared" si="1"/>
        <v>5072943.8457175298</v>
      </c>
      <c r="G26" s="161">
        <f t="shared" si="2"/>
        <v>661896.6753906525</v>
      </c>
      <c r="H26" s="142">
        <f t="shared" si="3"/>
        <v>661896.6753906525</v>
      </c>
      <c r="I26" s="156">
        <f t="shared" si="0"/>
        <v>0</v>
      </c>
      <c r="J26" s="156"/>
      <c r="K26" s="334"/>
      <c r="L26" s="158">
        <f t="shared" si="4"/>
        <v>0</v>
      </c>
      <c r="M26" s="334"/>
      <c r="N26" s="158">
        <f t="shared" si="5"/>
        <v>0</v>
      </c>
      <c r="O26" s="158">
        <f t="shared" si="6"/>
        <v>0</v>
      </c>
      <c r="P26" s="4"/>
    </row>
    <row r="27" spans="2:16">
      <c r="B27" s="9" t="str">
        <f t="shared" si="7"/>
        <v/>
      </c>
      <c r="C27" s="153">
        <f>IF(D11="","-",+C26+1)</f>
        <v>2027</v>
      </c>
      <c r="D27" s="159">
        <f>IF(F26+SUM(E$17:E26)=D$10,F26,D$10-SUM(E$17:E26))</f>
        <v>5072943.8457175298</v>
      </c>
      <c r="E27" s="160">
        <f>IF(+I14&lt;F26,I14,D27)</f>
        <v>149418.60465116278</v>
      </c>
      <c r="F27" s="159">
        <f t="shared" si="1"/>
        <v>4923525.2410663674</v>
      </c>
      <c r="G27" s="161">
        <f t="shared" si="2"/>
        <v>647021.2057267098</v>
      </c>
      <c r="H27" s="142">
        <f t="shared" si="3"/>
        <v>647021.2057267098</v>
      </c>
      <c r="I27" s="156">
        <f t="shared" si="0"/>
        <v>0</v>
      </c>
      <c r="J27" s="156"/>
      <c r="K27" s="334"/>
      <c r="L27" s="158">
        <f t="shared" si="4"/>
        <v>0</v>
      </c>
      <c r="M27" s="334"/>
      <c r="N27" s="158">
        <f t="shared" si="5"/>
        <v>0</v>
      </c>
      <c r="O27" s="158">
        <f t="shared" si="6"/>
        <v>0</v>
      </c>
      <c r="P27" s="4"/>
    </row>
    <row r="28" spans="2:16">
      <c r="B28" s="9" t="str">
        <f t="shared" si="7"/>
        <v/>
      </c>
      <c r="C28" s="153">
        <f>IF(D11="","-",+C27+1)</f>
        <v>2028</v>
      </c>
      <c r="D28" s="159">
        <f>IF(F27+SUM(E$17:E27)=D$10,F27,D$10-SUM(E$17:E27))</f>
        <v>4923525.2410663674</v>
      </c>
      <c r="E28" s="160">
        <f>IF(+I14&lt;F27,I14,D28)</f>
        <v>149418.60465116278</v>
      </c>
      <c r="F28" s="159">
        <f t="shared" si="1"/>
        <v>4774106.636415205</v>
      </c>
      <c r="G28" s="161">
        <f t="shared" si="2"/>
        <v>632145.7360627671</v>
      </c>
      <c r="H28" s="142">
        <f t="shared" si="3"/>
        <v>632145.7360627671</v>
      </c>
      <c r="I28" s="156">
        <f t="shared" si="0"/>
        <v>0</v>
      </c>
      <c r="J28" s="156"/>
      <c r="K28" s="334"/>
      <c r="L28" s="158">
        <f t="shared" si="4"/>
        <v>0</v>
      </c>
      <c r="M28" s="334"/>
      <c r="N28" s="158">
        <f t="shared" si="5"/>
        <v>0</v>
      </c>
      <c r="O28" s="158">
        <f t="shared" si="6"/>
        <v>0</v>
      </c>
      <c r="P28" s="4"/>
    </row>
    <row r="29" spans="2:16">
      <c r="B29" s="9" t="str">
        <f t="shared" si="7"/>
        <v/>
      </c>
      <c r="C29" s="153">
        <f>IF(D11="","-",+C28+1)</f>
        <v>2029</v>
      </c>
      <c r="D29" s="159">
        <f>IF(F28+SUM(E$17:E28)=D$10,F28,D$10-SUM(E$17:E28))</f>
        <v>4774106.636415205</v>
      </c>
      <c r="E29" s="160">
        <f>IF(+I14&lt;F28,I14,D29)</f>
        <v>149418.60465116278</v>
      </c>
      <c r="F29" s="159">
        <f t="shared" si="1"/>
        <v>4624688.0317640426</v>
      </c>
      <c r="G29" s="161">
        <f t="shared" si="2"/>
        <v>617270.26639882452</v>
      </c>
      <c r="H29" s="142">
        <f t="shared" si="3"/>
        <v>617270.26639882452</v>
      </c>
      <c r="I29" s="156">
        <f t="shared" si="0"/>
        <v>0</v>
      </c>
      <c r="J29" s="156"/>
      <c r="K29" s="334"/>
      <c r="L29" s="158">
        <f t="shared" si="4"/>
        <v>0</v>
      </c>
      <c r="M29" s="334"/>
      <c r="N29" s="158">
        <f t="shared" si="5"/>
        <v>0</v>
      </c>
      <c r="O29" s="158">
        <f t="shared" si="6"/>
        <v>0</v>
      </c>
      <c r="P29" s="4"/>
    </row>
    <row r="30" spans="2:16">
      <c r="B30" s="9" t="str">
        <f t="shared" si="7"/>
        <v/>
      </c>
      <c r="C30" s="153">
        <f>IF(D11="","-",+C29+1)</f>
        <v>2030</v>
      </c>
      <c r="D30" s="159">
        <f>IF(F29+SUM(E$17:E29)=D$10,F29,D$10-SUM(E$17:E29))</f>
        <v>4624688.0317640426</v>
      </c>
      <c r="E30" s="160">
        <f>IF(+I14&lt;F29,I14,D30)</f>
        <v>149418.60465116278</v>
      </c>
      <c r="F30" s="159">
        <f t="shared" si="1"/>
        <v>4475269.4271128802</v>
      </c>
      <c r="G30" s="161">
        <f t="shared" si="2"/>
        <v>602394.79673488182</v>
      </c>
      <c r="H30" s="142">
        <f t="shared" si="3"/>
        <v>602394.79673488182</v>
      </c>
      <c r="I30" s="156">
        <f t="shared" si="0"/>
        <v>0</v>
      </c>
      <c r="J30" s="156"/>
      <c r="K30" s="334"/>
      <c r="L30" s="158">
        <f t="shared" si="4"/>
        <v>0</v>
      </c>
      <c r="M30" s="334"/>
      <c r="N30" s="158">
        <f t="shared" si="5"/>
        <v>0</v>
      </c>
      <c r="O30" s="158">
        <f t="shared" si="6"/>
        <v>0</v>
      </c>
      <c r="P30" s="4"/>
    </row>
    <row r="31" spans="2:16">
      <c r="B31" s="9" t="str">
        <f t="shared" si="7"/>
        <v/>
      </c>
      <c r="C31" s="153">
        <f>IF(D11="","-",+C30+1)</f>
        <v>2031</v>
      </c>
      <c r="D31" s="159">
        <f>IF(F30+SUM(E$17:E30)=D$10,F30,D$10-SUM(E$17:E30))</f>
        <v>4475269.4271128802</v>
      </c>
      <c r="E31" s="160">
        <f>IF(+I14&lt;F30,I14,D31)</f>
        <v>149418.60465116278</v>
      </c>
      <c r="F31" s="159">
        <f t="shared" si="1"/>
        <v>4325850.8224617178</v>
      </c>
      <c r="G31" s="161">
        <f t="shared" si="2"/>
        <v>587519.32707093912</v>
      </c>
      <c r="H31" s="142">
        <f t="shared" si="3"/>
        <v>587519.32707093912</v>
      </c>
      <c r="I31" s="156">
        <f t="shared" si="0"/>
        <v>0</v>
      </c>
      <c r="J31" s="156"/>
      <c r="K31" s="334"/>
      <c r="L31" s="158">
        <f t="shared" si="4"/>
        <v>0</v>
      </c>
      <c r="M31" s="334"/>
      <c r="N31" s="158">
        <f t="shared" si="5"/>
        <v>0</v>
      </c>
      <c r="O31" s="158">
        <f t="shared" si="6"/>
        <v>0</v>
      </c>
      <c r="P31" s="4"/>
    </row>
    <row r="32" spans="2:16">
      <c r="B32" s="9" t="str">
        <f t="shared" si="7"/>
        <v>IU</v>
      </c>
      <c r="C32" s="153">
        <f>IF(D11="","-",+C31+1)</f>
        <v>2032</v>
      </c>
      <c r="D32" s="159">
        <f>IF(F31+SUM(E$17:E31)=D$10,F31,D$10-SUM(E$17:E31))</f>
        <v>4325850.8224617131</v>
      </c>
      <c r="E32" s="160">
        <f>IF(+I14&lt;F31,I14,D32)</f>
        <v>149418.60465116278</v>
      </c>
      <c r="F32" s="159">
        <f t="shared" si="1"/>
        <v>4176432.2178105502</v>
      </c>
      <c r="G32" s="161">
        <f t="shared" si="2"/>
        <v>572643.85740699607</v>
      </c>
      <c r="H32" s="142">
        <f t="shared" si="3"/>
        <v>572643.85740699607</v>
      </c>
      <c r="I32" s="156">
        <f t="shared" si="0"/>
        <v>0</v>
      </c>
      <c r="J32" s="156"/>
      <c r="K32" s="334"/>
      <c r="L32" s="158">
        <f t="shared" si="4"/>
        <v>0</v>
      </c>
      <c r="M32" s="334"/>
      <c r="N32" s="158">
        <f t="shared" si="5"/>
        <v>0</v>
      </c>
      <c r="O32" s="158">
        <f t="shared" si="6"/>
        <v>0</v>
      </c>
      <c r="P32" s="4"/>
    </row>
    <row r="33" spans="2:16">
      <c r="B33" s="9" t="str">
        <f t="shared" si="7"/>
        <v/>
      </c>
      <c r="C33" s="153">
        <f>IF(D11="","-",+C32+1)</f>
        <v>2033</v>
      </c>
      <c r="D33" s="159">
        <f>IF(F32+SUM(E$17:E32)=D$10,F32,D$10-SUM(E$17:E32))</f>
        <v>4176432.2178105502</v>
      </c>
      <c r="E33" s="160">
        <f>IF(+I14&lt;F32,I14,D33)</f>
        <v>149418.60465116278</v>
      </c>
      <c r="F33" s="159">
        <f t="shared" si="1"/>
        <v>4027013.6131593874</v>
      </c>
      <c r="G33" s="161">
        <f t="shared" si="2"/>
        <v>557768.38774305326</v>
      </c>
      <c r="H33" s="142">
        <f t="shared" si="3"/>
        <v>557768.38774305326</v>
      </c>
      <c r="I33" s="156">
        <f t="shared" si="0"/>
        <v>0</v>
      </c>
      <c r="J33" s="156"/>
      <c r="K33" s="334"/>
      <c r="L33" s="158">
        <f t="shared" si="4"/>
        <v>0</v>
      </c>
      <c r="M33" s="334"/>
      <c r="N33" s="158">
        <f t="shared" si="5"/>
        <v>0</v>
      </c>
      <c r="O33" s="158">
        <f t="shared" si="6"/>
        <v>0</v>
      </c>
      <c r="P33" s="4"/>
    </row>
    <row r="34" spans="2:16">
      <c r="B34" s="9" t="str">
        <f t="shared" si="7"/>
        <v/>
      </c>
      <c r="C34" s="153">
        <f>IF(D11="","-",+C33+1)</f>
        <v>2034</v>
      </c>
      <c r="D34" s="159">
        <f>IF(F33+SUM(E$17:E33)=D$10,F33,D$10-SUM(E$17:E33))</f>
        <v>4027013.6131593874</v>
      </c>
      <c r="E34" s="160">
        <f>IF(+I14&lt;F33,I14,D34)</f>
        <v>149418.60465116278</v>
      </c>
      <c r="F34" s="159">
        <f t="shared" si="1"/>
        <v>3877595.0085082245</v>
      </c>
      <c r="G34" s="161">
        <f t="shared" si="2"/>
        <v>542892.91807911056</v>
      </c>
      <c r="H34" s="142">
        <f t="shared" si="3"/>
        <v>542892.91807911056</v>
      </c>
      <c r="I34" s="156">
        <f t="shared" si="0"/>
        <v>0</v>
      </c>
      <c r="J34" s="156"/>
      <c r="K34" s="334"/>
      <c r="L34" s="158">
        <f t="shared" si="4"/>
        <v>0</v>
      </c>
      <c r="M34" s="334"/>
      <c r="N34" s="158">
        <f t="shared" si="5"/>
        <v>0</v>
      </c>
      <c r="O34" s="158">
        <f t="shared" si="6"/>
        <v>0</v>
      </c>
      <c r="P34" s="4"/>
    </row>
    <row r="35" spans="2:16">
      <c r="B35" s="9" t="str">
        <f t="shared" si="7"/>
        <v/>
      </c>
      <c r="C35" s="153">
        <f>IF(D11="","-",+C34+1)</f>
        <v>2035</v>
      </c>
      <c r="D35" s="159">
        <f>IF(F34+SUM(E$17:E34)=D$10,F34,D$10-SUM(E$17:E34))</f>
        <v>3877595.0085082245</v>
      </c>
      <c r="E35" s="160">
        <f>IF(+I14&lt;F34,I14,D35)</f>
        <v>149418.60465116278</v>
      </c>
      <c r="F35" s="159">
        <f t="shared" si="1"/>
        <v>3728176.4038570616</v>
      </c>
      <c r="G35" s="161">
        <f t="shared" si="2"/>
        <v>528017.44841516786</v>
      </c>
      <c r="H35" s="142">
        <f t="shared" si="3"/>
        <v>528017.44841516786</v>
      </c>
      <c r="I35" s="156">
        <f t="shared" si="0"/>
        <v>0</v>
      </c>
      <c r="J35" s="156"/>
      <c r="K35" s="334"/>
      <c r="L35" s="158">
        <f t="shared" si="4"/>
        <v>0</v>
      </c>
      <c r="M35" s="334"/>
      <c r="N35" s="158">
        <f t="shared" si="5"/>
        <v>0</v>
      </c>
      <c r="O35" s="158">
        <f t="shared" si="6"/>
        <v>0</v>
      </c>
      <c r="P35" s="4"/>
    </row>
    <row r="36" spans="2:16">
      <c r="B36" s="9" t="str">
        <f t="shared" si="7"/>
        <v/>
      </c>
      <c r="C36" s="153">
        <f>IF(D11="","-",+C35+1)</f>
        <v>2036</v>
      </c>
      <c r="D36" s="159">
        <f>IF(F35+SUM(E$17:E35)=D$10,F35,D$10-SUM(E$17:E35))</f>
        <v>3728176.4038570616</v>
      </c>
      <c r="E36" s="160">
        <f>IF(+I14&lt;F35,I14,D36)</f>
        <v>149418.60465116278</v>
      </c>
      <c r="F36" s="159">
        <f t="shared" si="1"/>
        <v>3578757.7992058988</v>
      </c>
      <c r="G36" s="161">
        <f t="shared" si="2"/>
        <v>513141.97875122516</v>
      </c>
      <c r="H36" s="142">
        <f t="shared" si="3"/>
        <v>513141.97875122516</v>
      </c>
      <c r="I36" s="156">
        <f t="shared" si="0"/>
        <v>0</v>
      </c>
      <c r="J36" s="156"/>
      <c r="K36" s="334"/>
      <c r="L36" s="158">
        <f t="shared" si="4"/>
        <v>0</v>
      </c>
      <c r="M36" s="334"/>
      <c r="N36" s="158">
        <f t="shared" si="5"/>
        <v>0</v>
      </c>
      <c r="O36" s="158">
        <f t="shared" si="6"/>
        <v>0</v>
      </c>
      <c r="P36" s="4"/>
    </row>
    <row r="37" spans="2:16">
      <c r="B37" s="9" t="str">
        <f t="shared" si="7"/>
        <v/>
      </c>
      <c r="C37" s="153">
        <f>IF(D11="","-",+C36+1)</f>
        <v>2037</v>
      </c>
      <c r="D37" s="159">
        <f>IF(F36+SUM(E$17:E36)=D$10,F36,D$10-SUM(E$17:E36))</f>
        <v>3578757.7992058988</v>
      </c>
      <c r="E37" s="160">
        <f>IF(+I14&lt;F36,I14,D37)</f>
        <v>149418.60465116278</v>
      </c>
      <c r="F37" s="159">
        <f t="shared" si="1"/>
        <v>3429339.1945547359</v>
      </c>
      <c r="G37" s="161">
        <f t="shared" si="2"/>
        <v>498266.50908728247</v>
      </c>
      <c r="H37" s="142">
        <f t="shared" si="3"/>
        <v>498266.50908728247</v>
      </c>
      <c r="I37" s="156">
        <f t="shared" si="0"/>
        <v>0</v>
      </c>
      <c r="J37" s="156"/>
      <c r="K37" s="334"/>
      <c r="L37" s="158">
        <f t="shared" si="4"/>
        <v>0</v>
      </c>
      <c r="M37" s="334"/>
      <c r="N37" s="158">
        <f t="shared" si="5"/>
        <v>0</v>
      </c>
      <c r="O37" s="158">
        <f t="shared" si="6"/>
        <v>0</v>
      </c>
      <c r="P37" s="4"/>
    </row>
    <row r="38" spans="2:16">
      <c r="B38" s="9" t="str">
        <f t="shared" si="7"/>
        <v/>
      </c>
      <c r="C38" s="153">
        <f>IF(D11="","-",+C37+1)</f>
        <v>2038</v>
      </c>
      <c r="D38" s="159">
        <f>IF(F37+SUM(E$17:E37)=D$10,F37,D$10-SUM(E$17:E37))</f>
        <v>3429339.1945547359</v>
      </c>
      <c r="E38" s="160">
        <f>IF(+I14&lt;F37,I14,D38)</f>
        <v>149418.60465116278</v>
      </c>
      <c r="F38" s="159">
        <f t="shared" si="1"/>
        <v>3279920.589903573</v>
      </c>
      <c r="G38" s="161">
        <f t="shared" si="2"/>
        <v>483391.03942333977</v>
      </c>
      <c r="H38" s="142">
        <f t="shared" si="3"/>
        <v>483391.03942333977</v>
      </c>
      <c r="I38" s="156">
        <f t="shared" si="0"/>
        <v>0</v>
      </c>
      <c r="J38" s="156"/>
      <c r="K38" s="334"/>
      <c r="L38" s="158">
        <f t="shared" si="4"/>
        <v>0</v>
      </c>
      <c r="M38" s="334"/>
      <c r="N38" s="158">
        <f t="shared" si="5"/>
        <v>0</v>
      </c>
      <c r="O38" s="158">
        <f t="shared" si="6"/>
        <v>0</v>
      </c>
      <c r="P38" s="4"/>
    </row>
    <row r="39" spans="2:16">
      <c r="B39" s="9" t="str">
        <f t="shared" si="7"/>
        <v/>
      </c>
      <c r="C39" s="153">
        <f>IF(D11="","-",+C38+1)</f>
        <v>2039</v>
      </c>
      <c r="D39" s="159">
        <f>IF(F38+SUM(E$17:E38)=D$10,F38,D$10-SUM(E$17:E38))</f>
        <v>3279920.589903573</v>
      </c>
      <c r="E39" s="160">
        <f>IF(+I14&lt;F38,I14,D39)</f>
        <v>149418.60465116278</v>
      </c>
      <c r="F39" s="159">
        <f t="shared" si="1"/>
        <v>3130501.9852524102</v>
      </c>
      <c r="G39" s="161">
        <f t="shared" si="2"/>
        <v>468515.56975939695</v>
      </c>
      <c r="H39" s="142">
        <f t="shared" si="3"/>
        <v>468515.56975939695</v>
      </c>
      <c r="I39" s="156">
        <f t="shared" si="0"/>
        <v>0</v>
      </c>
      <c r="J39" s="156"/>
      <c r="K39" s="334"/>
      <c r="L39" s="158">
        <f t="shared" si="4"/>
        <v>0</v>
      </c>
      <c r="M39" s="334"/>
      <c r="N39" s="158">
        <f t="shared" si="5"/>
        <v>0</v>
      </c>
      <c r="O39" s="158">
        <f t="shared" si="6"/>
        <v>0</v>
      </c>
      <c r="P39" s="4"/>
    </row>
    <row r="40" spans="2:16">
      <c r="B40" s="9" t="str">
        <f t="shared" si="7"/>
        <v/>
      </c>
      <c r="C40" s="153">
        <f>IF(D11="","-",+C39+1)</f>
        <v>2040</v>
      </c>
      <c r="D40" s="159">
        <f>IF(F39+SUM(E$17:E39)=D$10,F39,D$10-SUM(E$17:E39))</f>
        <v>3130501.9852524102</v>
      </c>
      <c r="E40" s="160">
        <f>IF(+I14&lt;F39,I14,D40)</f>
        <v>149418.60465116278</v>
      </c>
      <c r="F40" s="159">
        <f t="shared" si="1"/>
        <v>2981083.3806012473</v>
      </c>
      <c r="G40" s="161">
        <f t="shared" si="2"/>
        <v>453640.10009545437</v>
      </c>
      <c r="H40" s="142">
        <f t="shared" si="3"/>
        <v>453640.10009545437</v>
      </c>
      <c r="I40" s="156">
        <f t="shared" si="0"/>
        <v>0</v>
      </c>
      <c r="J40" s="156"/>
      <c r="K40" s="334"/>
      <c r="L40" s="158">
        <f t="shared" si="4"/>
        <v>0</v>
      </c>
      <c r="M40" s="334"/>
      <c r="N40" s="158">
        <f t="shared" si="5"/>
        <v>0</v>
      </c>
      <c r="O40" s="158">
        <f t="shared" si="6"/>
        <v>0</v>
      </c>
      <c r="P40" s="4"/>
    </row>
    <row r="41" spans="2:16">
      <c r="B41" s="9" t="str">
        <f t="shared" si="7"/>
        <v/>
      </c>
      <c r="C41" s="153">
        <f>IF(D11="","-",+C40+1)</f>
        <v>2041</v>
      </c>
      <c r="D41" s="159">
        <f>IF(F40+SUM(E$17:E40)=D$10,F40,D$10-SUM(E$17:E40))</f>
        <v>2981083.3806012473</v>
      </c>
      <c r="E41" s="160">
        <f>IF(+I14&lt;F40,I14,D41)</f>
        <v>149418.60465116278</v>
      </c>
      <c r="F41" s="159">
        <f t="shared" si="1"/>
        <v>2831664.7759500844</v>
      </c>
      <c r="G41" s="161">
        <f t="shared" si="2"/>
        <v>438764.63043151156</v>
      </c>
      <c r="H41" s="142">
        <f t="shared" si="3"/>
        <v>438764.63043151156</v>
      </c>
      <c r="I41" s="156">
        <f t="shared" si="0"/>
        <v>0</v>
      </c>
      <c r="J41" s="156"/>
      <c r="K41" s="334"/>
      <c r="L41" s="158">
        <f t="shared" si="4"/>
        <v>0</v>
      </c>
      <c r="M41" s="334"/>
      <c r="N41" s="158">
        <f t="shared" si="5"/>
        <v>0</v>
      </c>
      <c r="O41" s="158">
        <f t="shared" si="6"/>
        <v>0</v>
      </c>
      <c r="P41" s="4"/>
    </row>
    <row r="42" spans="2:16">
      <c r="B42" s="9" t="str">
        <f t="shared" si="7"/>
        <v/>
      </c>
      <c r="C42" s="153">
        <f>IF(D11="","-",+C41+1)</f>
        <v>2042</v>
      </c>
      <c r="D42" s="159">
        <f>IF(F41+SUM(E$17:E41)=D$10,F41,D$10-SUM(E$17:E41))</f>
        <v>2831664.7759500844</v>
      </c>
      <c r="E42" s="160">
        <f>IF(+I14&lt;F41,I14,D42)</f>
        <v>149418.60465116278</v>
      </c>
      <c r="F42" s="159">
        <f t="shared" si="1"/>
        <v>2682246.1712989216</v>
      </c>
      <c r="G42" s="161">
        <f t="shared" si="2"/>
        <v>423889.16076756897</v>
      </c>
      <c r="H42" s="142">
        <f t="shared" si="3"/>
        <v>423889.16076756897</v>
      </c>
      <c r="I42" s="156">
        <f t="shared" si="0"/>
        <v>0</v>
      </c>
      <c r="J42" s="156"/>
      <c r="K42" s="334"/>
      <c r="L42" s="158">
        <f t="shared" si="4"/>
        <v>0</v>
      </c>
      <c r="M42" s="334"/>
      <c r="N42" s="158">
        <f t="shared" si="5"/>
        <v>0</v>
      </c>
      <c r="O42" s="158">
        <f t="shared" si="6"/>
        <v>0</v>
      </c>
      <c r="P42" s="4"/>
    </row>
    <row r="43" spans="2:16">
      <c r="B43" s="9" t="str">
        <f t="shared" si="7"/>
        <v/>
      </c>
      <c r="C43" s="153">
        <f>IF(D11="","-",+C42+1)</f>
        <v>2043</v>
      </c>
      <c r="D43" s="159">
        <f>IF(F42+SUM(E$17:E42)=D$10,F42,D$10-SUM(E$17:E42))</f>
        <v>2682246.1712989216</v>
      </c>
      <c r="E43" s="160">
        <f>IF(+I14&lt;F42,I14,D43)</f>
        <v>149418.60465116278</v>
      </c>
      <c r="F43" s="159">
        <f t="shared" si="1"/>
        <v>2532827.5666477587</v>
      </c>
      <c r="G43" s="161">
        <f t="shared" si="2"/>
        <v>409013.69110362616</v>
      </c>
      <c r="H43" s="142">
        <f t="shared" si="3"/>
        <v>409013.69110362616</v>
      </c>
      <c r="I43" s="156">
        <f t="shared" si="0"/>
        <v>0</v>
      </c>
      <c r="J43" s="156"/>
      <c r="K43" s="334"/>
      <c r="L43" s="158">
        <f t="shared" si="4"/>
        <v>0</v>
      </c>
      <c r="M43" s="334"/>
      <c r="N43" s="158">
        <f t="shared" si="5"/>
        <v>0</v>
      </c>
      <c r="O43" s="158">
        <f t="shared" si="6"/>
        <v>0</v>
      </c>
      <c r="P43" s="4"/>
    </row>
    <row r="44" spans="2:16">
      <c r="B44" s="9" t="str">
        <f t="shared" si="7"/>
        <v/>
      </c>
      <c r="C44" s="153">
        <f>IF(D11="","-",+C43+1)</f>
        <v>2044</v>
      </c>
      <c r="D44" s="159">
        <f>IF(F43+SUM(E$17:E43)=D$10,F43,D$10-SUM(E$17:E43))</f>
        <v>2532827.5666477587</v>
      </c>
      <c r="E44" s="160">
        <f>IF(+I14&lt;F43,I14,D44)</f>
        <v>149418.60465116278</v>
      </c>
      <c r="F44" s="159">
        <f t="shared" si="1"/>
        <v>2383408.9619965958</v>
      </c>
      <c r="G44" s="161">
        <f t="shared" si="2"/>
        <v>394138.22143968352</v>
      </c>
      <c r="H44" s="142">
        <f t="shared" si="3"/>
        <v>394138.22143968352</v>
      </c>
      <c r="I44" s="156">
        <f t="shared" si="0"/>
        <v>0</v>
      </c>
      <c r="J44" s="156"/>
      <c r="K44" s="334"/>
      <c r="L44" s="158">
        <f t="shared" si="4"/>
        <v>0</v>
      </c>
      <c r="M44" s="334"/>
      <c r="N44" s="158">
        <f t="shared" si="5"/>
        <v>0</v>
      </c>
      <c r="O44" s="158">
        <f t="shared" si="6"/>
        <v>0</v>
      </c>
      <c r="P44" s="4"/>
    </row>
    <row r="45" spans="2:16">
      <c r="B45" s="9" t="str">
        <f t="shared" si="7"/>
        <v/>
      </c>
      <c r="C45" s="153">
        <f>IF(D11="","-",+C44+1)</f>
        <v>2045</v>
      </c>
      <c r="D45" s="159">
        <f>IF(F44+SUM(E$17:E44)=D$10,F44,D$10-SUM(E$17:E44))</f>
        <v>2383408.9619965958</v>
      </c>
      <c r="E45" s="160">
        <f>IF(+I14&lt;F44,I14,D45)</f>
        <v>149418.60465116278</v>
      </c>
      <c r="F45" s="159">
        <f t="shared" si="1"/>
        <v>2233990.357345433</v>
      </c>
      <c r="G45" s="161">
        <f t="shared" si="2"/>
        <v>379262.75177574076</v>
      </c>
      <c r="H45" s="142">
        <f t="shared" si="3"/>
        <v>379262.75177574076</v>
      </c>
      <c r="I45" s="156">
        <f t="shared" si="0"/>
        <v>0</v>
      </c>
      <c r="J45" s="156"/>
      <c r="K45" s="334"/>
      <c r="L45" s="158">
        <f t="shared" si="4"/>
        <v>0</v>
      </c>
      <c r="M45" s="334"/>
      <c r="N45" s="158">
        <f t="shared" si="5"/>
        <v>0</v>
      </c>
      <c r="O45" s="158">
        <f t="shared" si="6"/>
        <v>0</v>
      </c>
      <c r="P45" s="4"/>
    </row>
    <row r="46" spans="2:16">
      <c r="B46" s="9" t="str">
        <f t="shared" si="7"/>
        <v/>
      </c>
      <c r="C46" s="153">
        <f>IF(D11="","-",+C45+1)</f>
        <v>2046</v>
      </c>
      <c r="D46" s="159">
        <f>IF(F45+SUM(E$17:E45)=D$10,F45,D$10-SUM(E$17:E45))</f>
        <v>2233990.357345433</v>
      </c>
      <c r="E46" s="160">
        <f>IF(+I14&lt;F45,I14,D46)</f>
        <v>149418.60465116278</v>
      </c>
      <c r="F46" s="159">
        <f t="shared" si="1"/>
        <v>2084571.7526942701</v>
      </c>
      <c r="G46" s="161">
        <f t="shared" si="2"/>
        <v>364387.28211179806</v>
      </c>
      <c r="H46" s="142">
        <f t="shared" si="3"/>
        <v>364387.28211179806</v>
      </c>
      <c r="I46" s="156">
        <f t="shared" si="0"/>
        <v>0</v>
      </c>
      <c r="J46" s="156"/>
      <c r="K46" s="334"/>
      <c r="L46" s="158">
        <f t="shared" si="4"/>
        <v>0</v>
      </c>
      <c r="M46" s="334"/>
      <c r="N46" s="158">
        <f t="shared" si="5"/>
        <v>0</v>
      </c>
      <c r="O46" s="158">
        <f t="shared" si="6"/>
        <v>0</v>
      </c>
      <c r="P46" s="4"/>
    </row>
    <row r="47" spans="2:16">
      <c r="B47" s="9" t="str">
        <f t="shared" si="7"/>
        <v/>
      </c>
      <c r="C47" s="153">
        <f>IF(D11="","-",+C46+1)</f>
        <v>2047</v>
      </c>
      <c r="D47" s="159">
        <f>IF(F46+SUM(E$17:E46)=D$10,F46,D$10-SUM(E$17:E46))</f>
        <v>2084571.7526942701</v>
      </c>
      <c r="E47" s="160">
        <f>IF(+I14&lt;F46,I14,D47)</f>
        <v>149418.60465116278</v>
      </c>
      <c r="F47" s="159">
        <f t="shared" si="1"/>
        <v>1935153.1480431072</v>
      </c>
      <c r="G47" s="161">
        <f t="shared" si="2"/>
        <v>349511.81244785537</v>
      </c>
      <c r="H47" s="142">
        <f t="shared" si="3"/>
        <v>349511.81244785537</v>
      </c>
      <c r="I47" s="156">
        <f t="shared" si="0"/>
        <v>0</v>
      </c>
      <c r="J47" s="156"/>
      <c r="K47" s="334"/>
      <c r="L47" s="158">
        <f t="shared" si="4"/>
        <v>0</v>
      </c>
      <c r="M47" s="334"/>
      <c r="N47" s="158">
        <f t="shared" si="5"/>
        <v>0</v>
      </c>
      <c r="O47" s="158">
        <f t="shared" si="6"/>
        <v>0</v>
      </c>
      <c r="P47" s="4"/>
    </row>
    <row r="48" spans="2:16">
      <c r="B48" s="9" t="str">
        <f t="shared" si="7"/>
        <v/>
      </c>
      <c r="C48" s="153">
        <f>IF(D11="","-",+C47+1)</f>
        <v>2048</v>
      </c>
      <c r="D48" s="159">
        <f>IF(F47+SUM(E$17:E47)=D$10,F47,D$10-SUM(E$17:E47))</f>
        <v>1935153.1480431072</v>
      </c>
      <c r="E48" s="160">
        <f>IF(+I14&lt;F47,I14,D48)</f>
        <v>149418.60465116278</v>
      </c>
      <c r="F48" s="159">
        <f t="shared" si="1"/>
        <v>1785734.5433919444</v>
      </c>
      <c r="G48" s="161">
        <f t="shared" si="2"/>
        <v>334636.34278391267</v>
      </c>
      <c r="H48" s="142">
        <f t="shared" si="3"/>
        <v>334636.34278391267</v>
      </c>
      <c r="I48" s="156">
        <f t="shared" si="0"/>
        <v>0</v>
      </c>
      <c r="J48" s="156"/>
      <c r="K48" s="334"/>
      <c r="L48" s="158">
        <f t="shared" si="4"/>
        <v>0</v>
      </c>
      <c r="M48" s="334"/>
      <c r="N48" s="158">
        <f t="shared" si="5"/>
        <v>0</v>
      </c>
      <c r="O48" s="158">
        <f t="shared" si="6"/>
        <v>0</v>
      </c>
      <c r="P48" s="4"/>
    </row>
    <row r="49" spans="2:16">
      <c r="B49" s="9" t="str">
        <f t="shared" si="7"/>
        <v/>
      </c>
      <c r="C49" s="153">
        <f>IF(D11="","-",+C48+1)</f>
        <v>2049</v>
      </c>
      <c r="D49" s="159">
        <f>IF(F48+SUM(E$17:E48)=D$10,F48,D$10-SUM(E$17:E48))</f>
        <v>1785734.5433919444</v>
      </c>
      <c r="E49" s="160">
        <f>IF(+I14&lt;F48,I14,D49)</f>
        <v>149418.60465116278</v>
      </c>
      <c r="F49" s="159">
        <f t="shared" si="1"/>
        <v>1636315.9387407815</v>
      </c>
      <c r="G49" s="161">
        <f t="shared" ref="G49:G72" si="8">+I$12*((D49+F49)/2)+E49</f>
        <v>319760.87311996997</v>
      </c>
      <c r="H49" s="142">
        <f t="shared" ref="H49:H72" si="9">+I$13*((D49+F49)/2)+E49</f>
        <v>319760.87311996997</v>
      </c>
      <c r="I49" s="156">
        <f t="shared" si="0"/>
        <v>0</v>
      </c>
      <c r="J49" s="156"/>
      <c r="K49" s="334"/>
      <c r="L49" s="158">
        <f t="shared" si="4"/>
        <v>0</v>
      </c>
      <c r="M49" s="334"/>
      <c r="N49" s="158">
        <f t="shared" si="5"/>
        <v>0</v>
      </c>
      <c r="O49" s="158">
        <f t="shared" si="6"/>
        <v>0</v>
      </c>
      <c r="P49" s="4"/>
    </row>
    <row r="50" spans="2:16">
      <c r="B50" s="9" t="str">
        <f t="shared" si="7"/>
        <v/>
      </c>
      <c r="C50" s="153">
        <f>IF(D11="","-",+C49+1)</f>
        <v>2050</v>
      </c>
      <c r="D50" s="159">
        <f>IF(F49+SUM(E$17:E49)=D$10,F49,D$10-SUM(E$17:E49))</f>
        <v>1636315.9387407815</v>
      </c>
      <c r="E50" s="160">
        <f>IF(+I14&lt;F49,I14,D50)</f>
        <v>149418.60465116278</v>
      </c>
      <c r="F50" s="159">
        <f t="shared" si="1"/>
        <v>1486897.3340896186</v>
      </c>
      <c r="G50" s="161">
        <f t="shared" si="8"/>
        <v>304885.40345602727</v>
      </c>
      <c r="H50" s="142">
        <f t="shared" si="9"/>
        <v>304885.40345602727</v>
      </c>
      <c r="I50" s="156">
        <f t="shared" si="0"/>
        <v>0</v>
      </c>
      <c r="J50" s="156"/>
      <c r="K50" s="334"/>
      <c r="L50" s="158">
        <f t="shared" si="4"/>
        <v>0</v>
      </c>
      <c r="M50" s="334"/>
      <c r="N50" s="158">
        <f t="shared" si="5"/>
        <v>0</v>
      </c>
      <c r="O50" s="158">
        <f t="shared" si="6"/>
        <v>0</v>
      </c>
      <c r="P50" s="4"/>
    </row>
    <row r="51" spans="2:16">
      <c r="B51" s="9" t="str">
        <f t="shared" si="7"/>
        <v/>
      </c>
      <c r="C51" s="153">
        <f>IF(D11="","-",+C50+1)</f>
        <v>2051</v>
      </c>
      <c r="D51" s="159">
        <f>IF(F50+SUM(E$17:E50)=D$10,F50,D$10-SUM(E$17:E50))</f>
        <v>1486897.3340896186</v>
      </c>
      <c r="E51" s="160">
        <f>IF(+I14&lt;F50,I14,D51)</f>
        <v>149418.60465116278</v>
      </c>
      <c r="F51" s="159">
        <f t="shared" si="1"/>
        <v>1337478.7294384558</v>
      </c>
      <c r="G51" s="161">
        <f t="shared" si="8"/>
        <v>290009.93379208451</v>
      </c>
      <c r="H51" s="142">
        <f t="shared" si="9"/>
        <v>290009.93379208451</v>
      </c>
      <c r="I51" s="156">
        <f t="shared" si="0"/>
        <v>0</v>
      </c>
      <c r="J51" s="156"/>
      <c r="K51" s="334"/>
      <c r="L51" s="158">
        <f t="shared" si="4"/>
        <v>0</v>
      </c>
      <c r="M51" s="334"/>
      <c r="N51" s="158">
        <f t="shared" si="5"/>
        <v>0</v>
      </c>
      <c r="O51" s="158">
        <f t="shared" si="6"/>
        <v>0</v>
      </c>
      <c r="P51" s="4"/>
    </row>
    <row r="52" spans="2:16">
      <c r="B52" s="9" t="str">
        <f t="shared" si="7"/>
        <v/>
      </c>
      <c r="C52" s="153">
        <f>IF(D11="","-",+C51+1)</f>
        <v>2052</v>
      </c>
      <c r="D52" s="159">
        <f>IF(F51+SUM(E$17:E51)=D$10,F51,D$10-SUM(E$17:E51))</f>
        <v>1337478.7294384558</v>
      </c>
      <c r="E52" s="160">
        <f>IF(+I14&lt;F51,I14,D52)</f>
        <v>149418.60465116278</v>
      </c>
      <c r="F52" s="159">
        <f t="shared" si="1"/>
        <v>1188060.1247872929</v>
      </c>
      <c r="G52" s="161">
        <f t="shared" si="8"/>
        <v>275134.46412814182</v>
      </c>
      <c r="H52" s="142">
        <f t="shared" si="9"/>
        <v>275134.46412814182</v>
      </c>
      <c r="I52" s="156">
        <f t="shared" si="0"/>
        <v>0</v>
      </c>
      <c r="J52" s="156"/>
      <c r="K52" s="334"/>
      <c r="L52" s="158">
        <f t="shared" si="4"/>
        <v>0</v>
      </c>
      <c r="M52" s="334"/>
      <c r="N52" s="158">
        <f t="shared" si="5"/>
        <v>0</v>
      </c>
      <c r="O52" s="158">
        <f t="shared" si="6"/>
        <v>0</v>
      </c>
      <c r="P52" s="4"/>
    </row>
    <row r="53" spans="2:16">
      <c r="B53" s="9" t="str">
        <f t="shared" si="7"/>
        <v/>
      </c>
      <c r="C53" s="153">
        <f>IF(D11="","-",+C52+1)</f>
        <v>2053</v>
      </c>
      <c r="D53" s="159">
        <f>IF(F52+SUM(E$17:E52)=D$10,F52,D$10-SUM(E$17:E52))</f>
        <v>1188060.1247872929</v>
      </c>
      <c r="E53" s="160">
        <f>IF(+I14&lt;F52,I14,D53)</f>
        <v>149418.60465116278</v>
      </c>
      <c r="F53" s="159">
        <f t="shared" si="1"/>
        <v>1038641.5201361302</v>
      </c>
      <c r="G53" s="161">
        <f t="shared" si="8"/>
        <v>260258.99446419912</v>
      </c>
      <c r="H53" s="142">
        <f t="shared" si="9"/>
        <v>260258.99446419912</v>
      </c>
      <c r="I53" s="156">
        <f t="shared" si="0"/>
        <v>0</v>
      </c>
      <c r="J53" s="156"/>
      <c r="K53" s="334"/>
      <c r="L53" s="158">
        <f t="shared" si="4"/>
        <v>0</v>
      </c>
      <c r="M53" s="334"/>
      <c r="N53" s="158">
        <f t="shared" si="5"/>
        <v>0</v>
      </c>
      <c r="O53" s="158">
        <f t="shared" si="6"/>
        <v>0</v>
      </c>
      <c r="P53" s="4"/>
    </row>
    <row r="54" spans="2:16">
      <c r="B54" s="9" t="str">
        <f t="shared" si="7"/>
        <v/>
      </c>
      <c r="C54" s="153">
        <f>IF(D11="","-",+C53+1)</f>
        <v>2054</v>
      </c>
      <c r="D54" s="159">
        <f>IF(F53+SUM(E$17:E53)=D$10,F53,D$10-SUM(E$17:E53))</f>
        <v>1038641.5201361302</v>
      </c>
      <c r="E54" s="160">
        <f>IF(+I14&lt;F53,I14,D54)</f>
        <v>149418.60465116278</v>
      </c>
      <c r="F54" s="159">
        <f t="shared" si="1"/>
        <v>889222.91548496741</v>
      </c>
      <c r="G54" s="161">
        <f t="shared" si="8"/>
        <v>245383.52480025642</v>
      </c>
      <c r="H54" s="142">
        <f t="shared" si="9"/>
        <v>245383.52480025642</v>
      </c>
      <c r="I54" s="156">
        <f t="shared" si="0"/>
        <v>0</v>
      </c>
      <c r="J54" s="156"/>
      <c r="K54" s="334"/>
      <c r="L54" s="158">
        <f t="shared" si="4"/>
        <v>0</v>
      </c>
      <c r="M54" s="334"/>
      <c r="N54" s="158">
        <f t="shared" si="5"/>
        <v>0</v>
      </c>
      <c r="O54" s="158">
        <f t="shared" si="6"/>
        <v>0</v>
      </c>
      <c r="P54" s="4"/>
    </row>
    <row r="55" spans="2:16">
      <c r="B55" s="9" t="str">
        <f t="shared" si="7"/>
        <v/>
      </c>
      <c r="C55" s="153">
        <f>IF(D11="","-",+C54+1)</f>
        <v>2055</v>
      </c>
      <c r="D55" s="159">
        <f>IF(F54+SUM(E$17:E54)=D$10,F54,D$10-SUM(E$17:E54))</f>
        <v>889222.91548496741</v>
      </c>
      <c r="E55" s="160">
        <f>IF(+I14&lt;F54,I14,D55)</f>
        <v>149418.60465116278</v>
      </c>
      <c r="F55" s="159">
        <f t="shared" si="1"/>
        <v>739804.31083380466</v>
      </c>
      <c r="G55" s="161">
        <f t="shared" si="8"/>
        <v>230508.05513631372</v>
      </c>
      <c r="H55" s="142">
        <f t="shared" si="9"/>
        <v>230508.05513631372</v>
      </c>
      <c r="I55" s="156">
        <f t="shared" si="0"/>
        <v>0</v>
      </c>
      <c r="J55" s="156"/>
      <c r="K55" s="334"/>
      <c r="L55" s="158">
        <f t="shared" si="4"/>
        <v>0</v>
      </c>
      <c r="M55" s="334"/>
      <c r="N55" s="158">
        <f t="shared" si="5"/>
        <v>0</v>
      </c>
      <c r="O55" s="158">
        <f t="shared" si="6"/>
        <v>0</v>
      </c>
      <c r="P55" s="4"/>
    </row>
    <row r="56" spans="2:16">
      <c r="B56" s="9" t="str">
        <f t="shared" si="7"/>
        <v/>
      </c>
      <c r="C56" s="153">
        <f>IF(D11="","-",+C55+1)</f>
        <v>2056</v>
      </c>
      <c r="D56" s="159">
        <f>IF(F55+SUM(E$17:E55)=D$10,F55,D$10-SUM(E$17:E55))</f>
        <v>739804.31083380466</v>
      </c>
      <c r="E56" s="160">
        <f>IF(+I14&lt;F55,I14,D56)</f>
        <v>149418.60465116278</v>
      </c>
      <c r="F56" s="159">
        <f t="shared" si="1"/>
        <v>590385.70618264191</v>
      </c>
      <c r="G56" s="161">
        <f t="shared" si="8"/>
        <v>215632.58547237102</v>
      </c>
      <c r="H56" s="142">
        <f t="shared" si="9"/>
        <v>215632.58547237102</v>
      </c>
      <c r="I56" s="156">
        <f t="shared" si="0"/>
        <v>0</v>
      </c>
      <c r="J56" s="156"/>
      <c r="K56" s="334"/>
      <c r="L56" s="158">
        <f t="shared" si="4"/>
        <v>0</v>
      </c>
      <c r="M56" s="334"/>
      <c r="N56" s="158">
        <f t="shared" si="5"/>
        <v>0</v>
      </c>
      <c r="O56" s="158">
        <f t="shared" si="6"/>
        <v>0</v>
      </c>
      <c r="P56" s="4"/>
    </row>
    <row r="57" spans="2:16">
      <c r="B57" s="9" t="str">
        <f t="shared" si="7"/>
        <v/>
      </c>
      <c r="C57" s="153">
        <f>IF(D11="","-",+C56+1)</f>
        <v>2057</v>
      </c>
      <c r="D57" s="159">
        <f>IF(F56+SUM(E$17:E56)=D$10,F56,D$10-SUM(E$17:E56))</f>
        <v>590385.70618264191</v>
      </c>
      <c r="E57" s="160">
        <f>IF(+I14&lt;F56,I14,D57)</f>
        <v>149418.60465116278</v>
      </c>
      <c r="F57" s="159">
        <f t="shared" si="1"/>
        <v>440967.10153147916</v>
      </c>
      <c r="G57" s="161">
        <f t="shared" si="8"/>
        <v>200757.11580842832</v>
      </c>
      <c r="H57" s="142">
        <f t="shared" si="9"/>
        <v>200757.11580842832</v>
      </c>
      <c r="I57" s="156">
        <f t="shared" si="0"/>
        <v>0</v>
      </c>
      <c r="J57" s="156"/>
      <c r="K57" s="334"/>
      <c r="L57" s="158">
        <f t="shared" si="4"/>
        <v>0</v>
      </c>
      <c r="M57" s="334"/>
      <c r="N57" s="158">
        <f t="shared" si="5"/>
        <v>0</v>
      </c>
      <c r="O57" s="158">
        <f t="shared" si="6"/>
        <v>0</v>
      </c>
      <c r="P57" s="4"/>
    </row>
    <row r="58" spans="2:16">
      <c r="B58" s="9" t="str">
        <f t="shared" si="7"/>
        <v/>
      </c>
      <c r="C58" s="153">
        <f>IF(D11="","-",+C57+1)</f>
        <v>2058</v>
      </c>
      <c r="D58" s="159">
        <f>IF(F57+SUM(E$17:E57)=D$10,F57,D$10-SUM(E$17:E57))</f>
        <v>440967.10153147916</v>
      </c>
      <c r="E58" s="160">
        <f>IF(+I14&lt;F57,I14,D58)</f>
        <v>149418.60465116278</v>
      </c>
      <c r="F58" s="159">
        <f t="shared" si="1"/>
        <v>291548.49688031641</v>
      </c>
      <c r="G58" s="161">
        <f t="shared" si="8"/>
        <v>185881.64614448562</v>
      </c>
      <c r="H58" s="142">
        <f t="shared" si="9"/>
        <v>185881.64614448562</v>
      </c>
      <c r="I58" s="156">
        <f t="shared" si="0"/>
        <v>0</v>
      </c>
      <c r="J58" s="156"/>
      <c r="K58" s="334"/>
      <c r="L58" s="158">
        <f t="shared" si="4"/>
        <v>0</v>
      </c>
      <c r="M58" s="334"/>
      <c r="N58" s="158">
        <f t="shared" si="5"/>
        <v>0</v>
      </c>
      <c r="O58" s="158">
        <f t="shared" si="6"/>
        <v>0</v>
      </c>
      <c r="P58" s="4"/>
    </row>
    <row r="59" spans="2:16">
      <c r="B59" s="9" t="str">
        <f t="shared" si="7"/>
        <v/>
      </c>
      <c r="C59" s="153">
        <f>IF(D11="","-",+C58+1)</f>
        <v>2059</v>
      </c>
      <c r="D59" s="159">
        <f>IF(F58+SUM(E$17:E58)=D$10,F58,D$10-SUM(E$17:E58))</f>
        <v>291548.49688031641</v>
      </c>
      <c r="E59" s="160">
        <f>IF(+I14&lt;F58,I14,D59)</f>
        <v>149418.60465116278</v>
      </c>
      <c r="F59" s="159">
        <f t="shared" si="1"/>
        <v>142129.89222915363</v>
      </c>
      <c r="G59" s="161">
        <f t="shared" si="8"/>
        <v>171006.17648054293</v>
      </c>
      <c r="H59" s="142">
        <f t="shared" si="9"/>
        <v>171006.17648054293</v>
      </c>
      <c r="I59" s="156">
        <f t="shared" si="0"/>
        <v>0</v>
      </c>
      <c r="J59" s="156"/>
      <c r="K59" s="334"/>
      <c r="L59" s="158">
        <f t="shared" si="4"/>
        <v>0</v>
      </c>
      <c r="M59" s="334"/>
      <c r="N59" s="158">
        <f t="shared" si="5"/>
        <v>0</v>
      </c>
      <c r="O59" s="158">
        <f t="shared" si="6"/>
        <v>0</v>
      </c>
      <c r="P59" s="4"/>
    </row>
    <row r="60" spans="2:16">
      <c r="B60" s="9" t="str">
        <f t="shared" si="7"/>
        <v/>
      </c>
      <c r="C60" s="153">
        <f>IF(D11="","-",+C59+1)</f>
        <v>2060</v>
      </c>
      <c r="D60" s="159">
        <f>IF(F59+SUM(E$17:E59)=D$10,F59,D$10-SUM(E$17:E59))</f>
        <v>142129.89222915363</v>
      </c>
      <c r="E60" s="160">
        <f>IF(+I14&lt;F59,I14,D60)</f>
        <v>142129.89222915363</v>
      </c>
      <c r="F60" s="159">
        <f t="shared" si="1"/>
        <v>0</v>
      </c>
      <c r="G60" s="161">
        <f t="shared" si="8"/>
        <v>149204.81072785801</v>
      </c>
      <c r="H60" s="142">
        <f t="shared" si="9"/>
        <v>149204.81072785801</v>
      </c>
      <c r="I60" s="156">
        <f t="shared" si="0"/>
        <v>0</v>
      </c>
      <c r="J60" s="156"/>
      <c r="K60" s="334"/>
      <c r="L60" s="158">
        <f t="shared" si="4"/>
        <v>0</v>
      </c>
      <c r="M60" s="334"/>
      <c r="N60" s="158">
        <f t="shared" si="5"/>
        <v>0</v>
      </c>
      <c r="O60" s="158">
        <f t="shared" si="6"/>
        <v>0</v>
      </c>
      <c r="P60" s="4"/>
    </row>
    <row r="61" spans="2:16">
      <c r="B61" s="9" t="str">
        <f t="shared" si="7"/>
        <v/>
      </c>
      <c r="C61" s="153">
        <f>IF(D11="","-",+C60+1)</f>
        <v>2061</v>
      </c>
      <c r="D61" s="159">
        <f>IF(F60+SUM(E$17:E60)=D$10,F60,D$10-SUM(E$17:E60))</f>
        <v>0</v>
      </c>
      <c r="E61" s="160">
        <f>IF(+I14&lt;F60,I14,D61)</f>
        <v>0</v>
      </c>
      <c r="F61" s="159">
        <f t="shared" si="1"/>
        <v>0</v>
      </c>
      <c r="G61" s="163">
        <f t="shared" si="8"/>
        <v>0</v>
      </c>
      <c r="H61" s="142">
        <f t="shared" si="9"/>
        <v>0</v>
      </c>
      <c r="I61" s="156">
        <f t="shared" si="0"/>
        <v>0</v>
      </c>
      <c r="J61" s="156"/>
      <c r="K61" s="334"/>
      <c r="L61" s="158">
        <f t="shared" si="4"/>
        <v>0</v>
      </c>
      <c r="M61" s="334"/>
      <c r="N61" s="158">
        <f t="shared" si="5"/>
        <v>0</v>
      </c>
      <c r="O61" s="158">
        <f t="shared" si="6"/>
        <v>0</v>
      </c>
      <c r="P61" s="4"/>
    </row>
    <row r="62" spans="2:16">
      <c r="B62" s="9" t="str">
        <f t="shared" si="7"/>
        <v/>
      </c>
      <c r="C62" s="153">
        <f>IF(D11="","-",+C61+1)</f>
        <v>2062</v>
      </c>
      <c r="D62" s="159">
        <f>IF(F61+SUM(E$17:E61)=D$10,F61,D$10-SUM(E$17:E61))</f>
        <v>0</v>
      </c>
      <c r="E62" s="160">
        <f>IF(+I14&lt;F61,I14,D62)</f>
        <v>0</v>
      </c>
      <c r="F62" s="159">
        <f t="shared" si="1"/>
        <v>0</v>
      </c>
      <c r="G62" s="163">
        <f t="shared" si="8"/>
        <v>0</v>
      </c>
      <c r="H62" s="142">
        <f t="shared" si="9"/>
        <v>0</v>
      </c>
      <c r="I62" s="156">
        <f t="shared" si="0"/>
        <v>0</v>
      </c>
      <c r="J62" s="156"/>
      <c r="K62" s="334"/>
      <c r="L62" s="158">
        <f t="shared" si="4"/>
        <v>0</v>
      </c>
      <c r="M62" s="334"/>
      <c r="N62" s="158">
        <f t="shared" si="5"/>
        <v>0</v>
      </c>
      <c r="O62" s="158">
        <f t="shared" si="6"/>
        <v>0</v>
      </c>
      <c r="P62" s="4"/>
    </row>
    <row r="63" spans="2:16">
      <c r="B63" s="9" t="str">
        <f t="shared" si="7"/>
        <v/>
      </c>
      <c r="C63" s="153">
        <f>IF(D11="","-",+C62+1)</f>
        <v>2063</v>
      </c>
      <c r="D63" s="159">
        <f>IF(F62+SUM(E$17:E62)=D$10,F62,D$10-SUM(E$17:E62))</f>
        <v>0</v>
      </c>
      <c r="E63" s="160">
        <f>IF(+I14&lt;F62,I14,D63)</f>
        <v>0</v>
      </c>
      <c r="F63" s="159">
        <f t="shared" si="1"/>
        <v>0</v>
      </c>
      <c r="G63" s="163">
        <f t="shared" si="8"/>
        <v>0</v>
      </c>
      <c r="H63" s="142">
        <f t="shared" si="9"/>
        <v>0</v>
      </c>
      <c r="I63" s="156">
        <f t="shared" si="0"/>
        <v>0</v>
      </c>
      <c r="J63" s="156"/>
      <c r="K63" s="334"/>
      <c r="L63" s="158">
        <f t="shared" si="4"/>
        <v>0</v>
      </c>
      <c r="M63" s="334"/>
      <c r="N63" s="158">
        <f t="shared" si="5"/>
        <v>0</v>
      </c>
      <c r="O63" s="158">
        <f t="shared" si="6"/>
        <v>0</v>
      </c>
      <c r="P63" s="4"/>
    </row>
    <row r="64" spans="2:16">
      <c r="B64" s="9" t="str">
        <f t="shared" si="7"/>
        <v/>
      </c>
      <c r="C64" s="153">
        <f>IF(D11="","-",+C63+1)</f>
        <v>2064</v>
      </c>
      <c r="D64" s="159">
        <f>IF(F63+SUM(E$17:E63)=D$10,F63,D$10-SUM(E$17:E63))</f>
        <v>0</v>
      </c>
      <c r="E64" s="160">
        <f>IF(+I14&lt;F63,I14,D64)</f>
        <v>0</v>
      </c>
      <c r="F64" s="159">
        <f t="shared" si="1"/>
        <v>0</v>
      </c>
      <c r="G64" s="163">
        <f t="shared" si="8"/>
        <v>0</v>
      </c>
      <c r="H64" s="142">
        <f t="shared" si="9"/>
        <v>0</v>
      </c>
      <c r="I64" s="156">
        <f t="shared" si="0"/>
        <v>0</v>
      </c>
      <c r="J64" s="156"/>
      <c r="K64" s="334"/>
      <c r="L64" s="158">
        <f t="shared" si="4"/>
        <v>0</v>
      </c>
      <c r="M64" s="334"/>
      <c r="N64" s="158">
        <f t="shared" si="5"/>
        <v>0</v>
      </c>
      <c r="O64" s="158">
        <f t="shared" si="6"/>
        <v>0</v>
      </c>
      <c r="P64" s="4"/>
    </row>
    <row r="65" spans="2:16">
      <c r="B65" s="9" t="str">
        <f t="shared" si="7"/>
        <v/>
      </c>
      <c r="C65" s="153">
        <f>IF(D11="","-",+C64+1)</f>
        <v>2065</v>
      </c>
      <c r="D65" s="159">
        <f>IF(F64+SUM(E$17:E64)=D$10,F64,D$10-SUM(E$17:E64))</f>
        <v>0</v>
      </c>
      <c r="E65" s="160">
        <f>IF(+I14&lt;F64,I14,D65)</f>
        <v>0</v>
      </c>
      <c r="F65" s="159">
        <f t="shared" si="1"/>
        <v>0</v>
      </c>
      <c r="G65" s="163">
        <f t="shared" si="8"/>
        <v>0</v>
      </c>
      <c r="H65" s="142">
        <f t="shared" si="9"/>
        <v>0</v>
      </c>
      <c r="I65" s="156">
        <f t="shared" si="0"/>
        <v>0</v>
      </c>
      <c r="J65" s="156"/>
      <c r="K65" s="334"/>
      <c r="L65" s="158">
        <f t="shared" si="4"/>
        <v>0</v>
      </c>
      <c r="M65" s="334"/>
      <c r="N65" s="158">
        <f t="shared" si="5"/>
        <v>0</v>
      </c>
      <c r="O65" s="158">
        <f t="shared" si="6"/>
        <v>0</v>
      </c>
      <c r="P65" s="4"/>
    </row>
    <row r="66" spans="2:16">
      <c r="B66" s="9" t="str">
        <f t="shared" si="7"/>
        <v/>
      </c>
      <c r="C66" s="153">
        <f>IF(D11="","-",+C65+1)</f>
        <v>2066</v>
      </c>
      <c r="D66" s="159">
        <f>IF(F65+SUM(E$17:E65)=D$10,F65,D$10-SUM(E$17:E65))</f>
        <v>0</v>
      </c>
      <c r="E66" s="160">
        <f>IF(+I14&lt;F65,I14,D66)</f>
        <v>0</v>
      </c>
      <c r="F66" s="159">
        <f t="shared" si="1"/>
        <v>0</v>
      </c>
      <c r="G66" s="163">
        <f t="shared" si="8"/>
        <v>0</v>
      </c>
      <c r="H66" s="142">
        <f t="shared" si="9"/>
        <v>0</v>
      </c>
      <c r="I66" s="156">
        <f t="shared" si="0"/>
        <v>0</v>
      </c>
      <c r="J66" s="156"/>
      <c r="K66" s="334"/>
      <c r="L66" s="158">
        <f t="shared" si="4"/>
        <v>0</v>
      </c>
      <c r="M66" s="334"/>
      <c r="N66" s="158">
        <f t="shared" si="5"/>
        <v>0</v>
      </c>
      <c r="O66" s="158">
        <f t="shared" si="6"/>
        <v>0</v>
      </c>
      <c r="P66" s="4"/>
    </row>
    <row r="67" spans="2:16">
      <c r="B67" s="9" t="str">
        <f t="shared" si="7"/>
        <v/>
      </c>
      <c r="C67" s="153">
        <f>IF(D11="","-",+C66+1)</f>
        <v>2067</v>
      </c>
      <c r="D67" s="159">
        <f>IF(F66+SUM(E$17:E66)=D$10,F66,D$10-SUM(E$17:E66))</f>
        <v>0</v>
      </c>
      <c r="E67" s="160">
        <f>IF(+I14&lt;F66,I14,D67)</f>
        <v>0</v>
      </c>
      <c r="F67" s="159">
        <f t="shared" si="1"/>
        <v>0</v>
      </c>
      <c r="G67" s="163">
        <f t="shared" si="8"/>
        <v>0</v>
      </c>
      <c r="H67" s="142">
        <f t="shared" si="9"/>
        <v>0</v>
      </c>
      <c r="I67" s="156">
        <f t="shared" si="0"/>
        <v>0</v>
      </c>
      <c r="J67" s="156"/>
      <c r="K67" s="334"/>
      <c r="L67" s="158">
        <f t="shared" si="4"/>
        <v>0</v>
      </c>
      <c r="M67" s="334"/>
      <c r="N67" s="158">
        <f t="shared" si="5"/>
        <v>0</v>
      </c>
      <c r="O67" s="158">
        <f t="shared" si="6"/>
        <v>0</v>
      </c>
      <c r="P67" s="4"/>
    </row>
    <row r="68" spans="2:16">
      <c r="B68" s="9" t="str">
        <f t="shared" si="7"/>
        <v/>
      </c>
      <c r="C68" s="153">
        <f>IF(D11="","-",+C67+1)</f>
        <v>2068</v>
      </c>
      <c r="D68" s="159">
        <f>IF(F67+SUM(E$17:E67)=D$10,F67,D$10-SUM(E$17:E67))</f>
        <v>0</v>
      </c>
      <c r="E68" s="160">
        <f>IF(+I14&lt;F67,I14,D68)</f>
        <v>0</v>
      </c>
      <c r="F68" s="159">
        <f t="shared" si="1"/>
        <v>0</v>
      </c>
      <c r="G68" s="163">
        <f t="shared" si="8"/>
        <v>0</v>
      </c>
      <c r="H68" s="142">
        <f t="shared" si="9"/>
        <v>0</v>
      </c>
      <c r="I68" s="156">
        <f t="shared" si="0"/>
        <v>0</v>
      </c>
      <c r="J68" s="156"/>
      <c r="K68" s="334"/>
      <c r="L68" s="158">
        <f t="shared" si="4"/>
        <v>0</v>
      </c>
      <c r="M68" s="334"/>
      <c r="N68" s="158">
        <f t="shared" si="5"/>
        <v>0</v>
      </c>
      <c r="O68" s="158">
        <f t="shared" si="6"/>
        <v>0</v>
      </c>
      <c r="P68" s="4"/>
    </row>
    <row r="69" spans="2:16">
      <c r="B69" s="9" t="str">
        <f t="shared" si="7"/>
        <v/>
      </c>
      <c r="C69" s="153">
        <f>IF(D11="","-",+C68+1)</f>
        <v>2069</v>
      </c>
      <c r="D69" s="159">
        <f>IF(F68+SUM(E$17:E68)=D$10,F68,D$10-SUM(E$17:E68))</f>
        <v>0</v>
      </c>
      <c r="E69" s="160">
        <f>IF(+I14&lt;F68,I14,D69)</f>
        <v>0</v>
      </c>
      <c r="F69" s="159">
        <f t="shared" si="1"/>
        <v>0</v>
      </c>
      <c r="G69" s="163">
        <f t="shared" si="8"/>
        <v>0</v>
      </c>
      <c r="H69" s="142">
        <f t="shared" si="9"/>
        <v>0</v>
      </c>
      <c r="I69" s="156">
        <f t="shared" si="0"/>
        <v>0</v>
      </c>
      <c r="J69" s="156"/>
      <c r="K69" s="334"/>
      <c r="L69" s="158">
        <f t="shared" si="4"/>
        <v>0</v>
      </c>
      <c r="M69" s="334"/>
      <c r="N69" s="158">
        <f t="shared" si="5"/>
        <v>0</v>
      </c>
      <c r="O69" s="158">
        <f t="shared" si="6"/>
        <v>0</v>
      </c>
      <c r="P69" s="4"/>
    </row>
    <row r="70" spans="2:16">
      <c r="B70" s="9" t="str">
        <f t="shared" si="7"/>
        <v/>
      </c>
      <c r="C70" s="153">
        <f>IF(D11="","-",+C69+1)</f>
        <v>2070</v>
      </c>
      <c r="D70" s="159">
        <f>IF(F69+SUM(E$17:E69)=D$10,F69,D$10-SUM(E$17:E69))</f>
        <v>0</v>
      </c>
      <c r="E70" s="160">
        <f>IF(+I14&lt;F69,I14,D70)</f>
        <v>0</v>
      </c>
      <c r="F70" s="159">
        <f t="shared" si="1"/>
        <v>0</v>
      </c>
      <c r="G70" s="163">
        <f t="shared" si="8"/>
        <v>0</v>
      </c>
      <c r="H70" s="142">
        <f t="shared" si="9"/>
        <v>0</v>
      </c>
      <c r="I70" s="156">
        <f t="shared" si="0"/>
        <v>0</v>
      </c>
      <c r="J70" s="156"/>
      <c r="K70" s="334"/>
      <c r="L70" s="158">
        <f t="shared" si="4"/>
        <v>0</v>
      </c>
      <c r="M70" s="334"/>
      <c r="N70" s="158">
        <f t="shared" si="5"/>
        <v>0</v>
      </c>
      <c r="O70" s="158">
        <f t="shared" si="6"/>
        <v>0</v>
      </c>
      <c r="P70" s="4"/>
    </row>
    <row r="71" spans="2:16">
      <c r="B71" s="9" t="str">
        <f t="shared" si="7"/>
        <v/>
      </c>
      <c r="C71" s="153">
        <f>IF(D11="","-",+C70+1)</f>
        <v>2071</v>
      </c>
      <c r="D71" s="159">
        <f>IF(F70+SUM(E$17:E70)=D$10,F70,D$10-SUM(E$17:E70))</f>
        <v>0</v>
      </c>
      <c r="E71" s="160">
        <f>IF(+I14&lt;F70,I14,D71)</f>
        <v>0</v>
      </c>
      <c r="F71" s="159">
        <f t="shared" si="1"/>
        <v>0</v>
      </c>
      <c r="G71" s="163">
        <f t="shared" si="8"/>
        <v>0</v>
      </c>
      <c r="H71" s="142">
        <f t="shared" si="9"/>
        <v>0</v>
      </c>
      <c r="I71" s="156">
        <f t="shared" si="0"/>
        <v>0</v>
      </c>
      <c r="J71" s="156"/>
      <c r="K71" s="334"/>
      <c r="L71" s="158">
        <f t="shared" si="4"/>
        <v>0</v>
      </c>
      <c r="M71" s="334"/>
      <c r="N71" s="158">
        <f t="shared" si="5"/>
        <v>0</v>
      </c>
      <c r="O71" s="158">
        <f t="shared" si="6"/>
        <v>0</v>
      </c>
      <c r="P71" s="4"/>
    </row>
    <row r="72" spans="2:16" ht="13.5" thickBot="1">
      <c r="B72" s="9" t="str">
        <f t="shared" si="7"/>
        <v/>
      </c>
      <c r="C72" s="164">
        <f>IF(D11="","-",+C71+1)</f>
        <v>2072</v>
      </c>
      <c r="D72" s="165">
        <f>IF(F71+SUM(E$17:E71)=D$10,F71,D$10-SUM(E$17:E71))</f>
        <v>0</v>
      </c>
      <c r="E72" s="166">
        <f>IF(+I14&lt;F71,I14,D72)</f>
        <v>0</v>
      </c>
      <c r="F72" s="165">
        <f t="shared" si="1"/>
        <v>0</v>
      </c>
      <c r="G72" s="167">
        <f t="shared" si="8"/>
        <v>0</v>
      </c>
      <c r="H72" s="124">
        <f t="shared" si="9"/>
        <v>0</v>
      </c>
      <c r="I72" s="168">
        <f t="shared" si="0"/>
        <v>0</v>
      </c>
      <c r="J72" s="156"/>
      <c r="K72" s="335"/>
      <c r="L72" s="169">
        <f t="shared" si="4"/>
        <v>0</v>
      </c>
      <c r="M72" s="335"/>
      <c r="N72" s="169">
        <f t="shared" si="5"/>
        <v>0</v>
      </c>
      <c r="O72" s="169">
        <f t="shared" si="6"/>
        <v>0</v>
      </c>
      <c r="P72" s="4"/>
    </row>
    <row r="73" spans="2:16">
      <c r="C73" s="154" t="s">
        <v>73</v>
      </c>
      <c r="D73" s="111"/>
      <c r="E73" s="111">
        <f>SUM(E17:E72)</f>
        <v>6424999.9999999953</v>
      </c>
      <c r="F73" s="111"/>
      <c r="G73" s="111">
        <f>SUM(G17:G72)</f>
        <v>20623144.7644886</v>
      </c>
      <c r="H73" s="111">
        <f>SUM(H17:H72)</f>
        <v>20623144.7644886</v>
      </c>
      <c r="I73" s="111">
        <f>SUM(I17:I72)</f>
        <v>0</v>
      </c>
      <c r="J73" s="111"/>
      <c r="K73" s="111"/>
      <c r="L73" s="111"/>
      <c r="M73" s="111"/>
      <c r="N73" s="111"/>
      <c r="O73" s="4"/>
      <c r="P73" s="4"/>
    </row>
    <row r="74" spans="2:16">
      <c r="D74" s="2"/>
      <c r="E74" s="1"/>
      <c r="F74" s="1"/>
      <c r="G74" s="1"/>
      <c r="H74" s="3"/>
      <c r="I74" s="3"/>
      <c r="J74" s="111"/>
      <c r="K74" s="3"/>
      <c r="L74" s="3"/>
      <c r="M74" s="3"/>
      <c r="N74" s="3"/>
      <c r="O74" s="1"/>
      <c r="P74" s="1"/>
    </row>
    <row r="75" spans="2:16">
      <c r="C75" s="170" t="s">
        <v>91</v>
      </c>
      <c r="D75" s="2"/>
      <c r="E75" s="1"/>
      <c r="F75" s="1"/>
      <c r="G75" s="1"/>
      <c r="H75" s="3"/>
      <c r="I75" s="3"/>
      <c r="J75" s="111"/>
      <c r="K75" s="3"/>
      <c r="L75" s="3"/>
      <c r="M75" s="3"/>
      <c r="N75" s="3"/>
      <c r="O75" s="1"/>
      <c r="P75" s="1"/>
    </row>
    <row r="76" spans="2:16">
      <c r="C76" s="121" t="s">
        <v>74</v>
      </c>
      <c r="D76" s="2"/>
      <c r="E76" s="1"/>
      <c r="F76" s="1"/>
      <c r="G76" s="1"/>
      <c r="H76" s="3"/>
      <c r="I76" s="3"/>
      <c r="J76" s="111"/>
      <c r="K76" s="3"/>
      <c r="L76" s="3"/>
      <c r="M76" s="3"/>
      <c r="N76" s="3"/>
      <c r="O76" s="4"/>
      <c r="P76" s="4"/>
    </row>
    <row r="77" spans="2:16">
      <c r="C77" s="121" t="s">
        <v>75</v>
      </c>
      <c r="D77" s="154"/>
      <c r="E77" s="154"/>
      <c r="F77" s="154"/>
      <c r="G77" s="111"/>
      <c r="H77" s="111"/>
      <c r="I77" s="171"/>
      <c r="J77" s="171"/>
      <c r="K77" s="171"/>
      <c r="L77" s="171"/>
      <c r="M77" s="171"/>
      <c r="N77" s="171"/>
      <c r="O77" s="4"/>
      <c r="P77" s="4"/>
    </row>
    <row r="78" spans="2:16">
      <c r="C78" s="121"/>
      <c r="D78" s="154"/>
      <c r="E78" s="154"/>
      <c r="F78" s="154"/>
      <c r="G78" s="111"/>
      <c r="H78" s="111"/>
      <c r="I78" s="171"/>
      <c r="J78" s="171"/>
      <c r="K78" s="171"/>
      <c r="L78" s="171"/>
      <c r="M78" s="171"/>
      <c r="N78" s="171"/>
      <c r="O78" s="4"/>
      <c r="P78" s="1"/>
    </row>
    <row r="79" spans="2:16">
      <c r="B79" s="1"/>
      <c r="C79" s="21"/>
      <c r="D79" s="2"/>
      <c r="E79" s="1"/>
      <c r="F79" s="107"/>
      <c r="G79" s="1"/>
      <c r="H79" s="3"/>
      <c r="I79" s="1"/>
      <c r="J79" s="4"/>
      <c r="K79" s="1"/>
      <c r="L79" s="1"/>
      <c r="M79" s="1"/>
      <c r="N79" s="1"/>
      <c r="O79" s="1"/>
      <c r="P79" s="1"/>
    </row>
    <row r="80" spans="2:16" ht="18">
      <c r="B80" s="1"/>
      <c r="C80" s="242"/>
      <c r="D80" s="2"/>
      <c r="E80" s="1"/>
      <c r="F80" s="107"/>
      <c r="G80" s="1"/>
      <c r="H80" s="3"/>
      <c r="I80" s="1"/>
      <c r="J80" s="4"/>
      <c r="K80" s="1"/>
      <c r="L80" s="1"/>
      <c r="M80" s="1"/>
      <c r="N80" s="1"/>
      <c r="P80" s="244" t="s">
        <v>125</v>
      </c>
    </row>
    <row r="81" spans="1:16">
      <c r="B81" s="1"/>
      <c r="C81" s="21"/>
      <c r="D81" s="2"/>
      <c r="E81" s="1"/>
      <c r="F81" s="107"/>
      <c r="G81" s="1"/>
      <c r="H81" s="3"/>
      <c r="I81" s="1"/>
      <c r="J81" s="4"/>
      <c r="K81" s="1"/>
      <c r="L81" s="1"/>
      <c r="M81" s="1"/>
      <c r="N81" s="1"/>
      <c r="O81" s="1"/>
      <c r="P81" s="1"/>
    </row>
    <row r="82" spans="1:16">
      <c r="B82" s="1"/>
      <c r="C82" s="21"/>
      <c r="D82" s="2"/>
      <c r="E82" s="1"/>
      <c r="F82" s="107"/>
      <c r="G82" s="1"/>
      <c r="H82" s="3"/>
      <c r="I82" s="1"/>
      <c r="J82" s="4"/>
      <c r="K82" s="1"/>
      <c r="L82" s="1"/>
      <c r="M82" s="1"/>
      <c r="N82" s="1"/>
      <c r="O82" s="1"/>
      <c r="P82" s="1"/>
    </row>
    <row r="83" spans="1:16" ht="20.25">
      <c r="A83" s="243" t="s">
        <v>129</v>
      </c>
      <c r="B83" s="1"/>
      <c r="C83" s="21"/>
      <c r="D83" s="2"/>
      <c r="E83" s="1"/>
      <c r="F83" s="99"/>
      <c r="G83" s="99"/>
      <c r="H83" s="1"/>
      <c r="I83" s="3"/>
      <c r="K83" s="7"/>
      <c r="L83" s="109"/>
      <c r="M83" s="109"/>
      <c r="P83" s="109" t="str">
        <f ca="1">P1</f>
        <v>SWEPCO Project 66 of 73</v>
      </c>
    </row>
    <row r="84" spans="1:16" ht="18">
      <c r="B84" s="1"/>
      <c r="C84" s="1"/>
      <c r="D84" s="2"/>
      <c r="E84" s="1"/>
      <c r="F84" s="1"/>
      <c r="G84" s="1"/>
      <c r="H84" s="1"/>
      <c r="I84" s="3"/>
      <c r="J84" s="1"/>
      <c r="K84" s="4"/>
      <c r="L84" s="1"/>
      <c r="M84" s="1"/>
      <c r="P84" s="244" t="s">
        <v>123</v>
      </c>
    </row>
    <row r="85" spans="1:16" ht="18.75" thickBot="1">
      <c r="B85" s="5" t="s">
        <v>40</v>
      </c>
      <c r="C85" s="197" t="s">
        <v>78</v>
      </c>
      <c r="D85" s="2"/>
      <c r="E85" s="1"/>
      <c r="F85" s="1"/>
      <c r="G85" s="1"/>
      <c r="H85" s="1"/>
      <c r="I85" s="3"/>
      <c r="J85" s="3"/>
      <c r="K85" s="111"/>
      <c r="L85" s="3"/>
      <c r="M85" s="3"/>
      <c r="N85" s="3"/>
      <c r="O85" s="111"/>
      <c r="P85" s="1"/>
    </row>
    <row r="86" spans="1:16" ht="15.75" thickBot="1">
      <c r="C86" s="67"/>
      <c r="D86" s="2"/>
      <c r="E86" s="1"/>
      <c r="F86" s="1"/>
      <c r="G86" s="1"/>
      <c r="H86" s="1"/>
      <c r="I86" s="3"/>
      <c r="J86" s="3"/>
      <c r="K86" s="111"/>
      <c r="L86" s="265">
        <f>+J92</f>
        <v>2017</v>
      </c>
      <c r="M86" s="266" t="s">
        <v>7</v>
      </c>
      <c r="N86" s="270" t="s">
        <v>154</v>
      </c>
      <c r="O86" s="267" t="s">
        <v>9</v>
      </c>
      <c r="P86" s="1"/>
    </row>
    <row r="87" spans="1:16" ht="15">
      <c r="C87" s="235" t="s">
        <v>42</v>
      </c>
      <c r="D87" s="2"/>
      <c r="E87" s="1"/>
      <c r="F87" s="1"/>
      <c r="G87" s="1"/>
      <c r="H87" s="113"/>
      <c r="I87" s="1" t="s">
        <v>43</v>
      </c>
      <c r="J87" s="1"/>
      <c r="K87" s="261"/>
      <c r="L87" s="259" t="s">
        <v>381</v>
      </c>
      <c r="M87" s="198">
        <f>IF(J92&lt;D11,0,VLOOKUP(J92,C17:O72,9))</f>
        <v>398004.76424273284</v>
      </c>
      <c r="N87" s="198">
        <f>IF(J92&lt;D11,0,VLOOKUP(J92,C17:O72,11))</f>
        <v>398004.76424273284</v>
      </c>
      <c r="O87" s="199">
        <f>+N87-M87</f>
        <v>0</v>
      </c>
      <c r="P87" s="1"/>
    </row>
    <row r="88" spans="1:16" ht="15.75">
      <c r="C88" s="8"/>
      <c r="D88" s="2"/>
      <c r="E88" s="1"/>
      <c r="F88" s="1"/>
      <c r="G88" s="1"/>
      <c r="H88" s="1"/>
      <c r="I88" s="117"/>
      <c r="J88" s="117"/>
      <c r="K88" s="263"/>
      <c r="L88" s="264" t="s">
        <v>382</v>
      </c>
      <c r="M88" s="200">
        <f>IF(J92&lt;D11,0,VLOOKUP(J92,C99:P154,6))</f>
        <v>466053.74744652997</v>
      </c>
      <c r="N88" s="200">
        <f>IF(J92&lt;D11,0,VLOOKUP(J92,C99:P154,7))</f>
        <v>466053.74744652997</v>
      </c>
      <c r="O88" s="201">
        <f>+N88-M88</f>
        <v>0</v>
      </c>
      <c r="P88" s="1"/>
    </row>
    <row r="89" spans="1:16" ht="13.5" thickBot="1">
      <c r="C89" s="121" t="s">
        <v>79</v>
      </c>
      <c r="D89" s="246" t="str">
        <f>+D7</f>
        <v>Broadmoor - Fort Humbug Rebuild</v>
      </c>
      <c r="E89" s="1"/>
      <c r="F89" s="1"/>
      <c r="G89" s="1"/>
      <c r="H89" s="1"/>
      <c r="I89" s="3"/>
      <c r="J89" s="3"/>
      <c r="K89" s="262"/>
      <c r="L89" s="260" t="s">
        <v>151</v>
      </c>
      <c r="M89" s="203">
        <f>+M88-M87</f>
        <v>68048.983203797136</v>
      </c>
      <c r="N89" s="203">
        <f>+N88-N87</f>
        <v>68048.983203797136</v>
      </c>
      <c r="O89" s="204">
        <f>+O88-O87</f>
        <v>0</v>
      </c>
      <c r="P89" s="1"/>
    </row>
    <row r="90" spans="1:16" ht="13.5" thickBot="1">
      <c r="C90" s="170"/>
      <c r="D90" s="173" t="str">
        <f>D8</f>
        <v/>
      </c>
      <c r="E90" s="107"/>
      <c r="F90" s="107"/>
      <c r="G90" s="107"/>
      <c r="H90" s="126"/>
      <c r="I90" s="3"/>
      <c r="J90" s="3"/>
      <c r="K90" s="111"/>
      <c r="L90" s="3"/>
      <c r="M90" s="3"/>
      <c r="N90" s="3"/>
      <c r="O90" s="111"/>
      <c r="P90" s="1"/>
    </row>
    <row r="91" spans="1:16" ht="13.5" thickBot="1">
      <c r="A91" s="103"/>
      <c r="C91" s="205" t="s">
        <v>80</v>
      </c>
      <c r="D91" s="224" t="str">
        <f>+D9</f>
        <v>TP______</v>
      </c>
      <c r="E91" s="206"/>
      <c r="F91" s="206"/>
      <c r="G91" s="206"/>
      <c r="H91" s="206"/>
      <c r="I91" s="206"/>
      <c r="J91" s="206"/>
      <c r="K91" s="207"/>
      <c r="P91" s="131"/>
    </row>
    <row r="92" spans="1:16">
      <c r="C92" s="136" t="s">
        <v>47</v>
      </c>
      <c r="D92" s="218">
        <v>6480399</v>
      </c>
      <c r="E92" s="21" t="s">
        <v>81</v>
      </c>
      <c r="H92" s="134"/>
      <c r="I92" s="134"/>
      <c r="J92" s="135">
        <f>+'SWE.WS.G.BPU.ATRR.True-up'!M15</f>
        <v>2017</v>
      </c>
      <c r="K92" s="130"/>
      <c r="L92" s="111" t="s">
        <v>82</v>
      </c>
      <c r="P92" s="4"/>
    </row>
    <row r="93" spans="1:16">
      <c r="C93" s="136" t="s">
        <v>49</v>
      </c>
      <c r="D93" s="219">
        <f>IF(D11=I10,"",D11)</f>
        <v>2017</v>
      </c>
      <c r="E93" s="136" t="s">
        <v>50</v>
      </c>
      <c r="F93" s="134"/>
      <c r="G93" s="134"/>
      <c r="J93" s="138">
        <f>IF(H87="",0,'SWE.WS.G.BPU.ATRR.True-up'!$F$12)</f>
        <v>0</v>
      </c>
      <c r="K93" s="139"/>
      <c r="L93" t="str">
        <f>"          INPUT TRUE-UP ARR (WITH &amp; WITHOUT INCENTIVES) FROM EACH PRIOR YEAR"</f>
        <v xml:space="preserve">          INPUT TRUE-UP ARR (WITH &amp; WITHOUT INCENTIVES) FROM EACH PRIOR YEAR</v>
      </c>
      <c r="P93" s="4"/>
    </row>
    <row r="94" spans="1:16">
      <c r="C94" s="136" t="s">
        <v>51</v>
      </c>
      <c r="D94" s="218">
        <f>IF(D11=I10,"",D12)</f>
        <v>6</v>
      </c>
      <c r="E94" s="136" t="s">
        <v>52</v>
      </c>
      <c r="F94" s="134"/>
      <c r="G94" s="134"/>
      <c r="J94" s="140">
        <f>'SWE.WS.G.BPU.ATRR.True-up'!$F$80</f>
        <v>0.12147145768398206</v>
      </c>
      <c r="K94" s="141"/>
      <c r="L94" t="s">
        <v>83</v>
      </c>
      <c r="P94" s="4"/>
    </row>
    <row r="95" spans="1:16">
      <c r="C95" s="136" t="s">
        <v>54</v>
      </c>
      <c r="D95" s="138">
        <f>'SWE.WS.G.BPU.ATRR.True-up'!F$92</f>
        <v>42</v>
      </c>
      <c r="E95" s="136" t="s">
        <v>55</v>
      </c>
      <c r="F95" s="134"/>
      <c r="G95" s="134"/>
      <c r="J95" s="140">
        <f>IF(H87="",J94,'SWE.WS.G.BPU.ATRR.True-up'!$F$79)</f>
        <v>0.12147145768398206</v>
      </c>
      <c r="K95" s="58"/>
      <c r="L95" s="111" t="s">
        <v>56</v>
      </c>
      <c r="M95" s="58"/>
      <c r="N95" s="58"/>
      <c r="O95" s="58"/>
      <c r="P95" s="4"/>
    </row>
    <row r="96" spans="1:16" ht="13.5" thickBot="1">
      <c r="C96" s="136" t="s">
        <v>57</v>
      </c>
      <c r="D96" s="220" t="str">
        <f>+D14</f>
        <v>No</v>
      </c>
      <c r="E96" s="202" t="s">
        <v>59</v>
      </c>
      <c r="F96" s="208"/>
      <c r="G96" s="208"/>
      <c r="H96" s="209"/>
      <c r="I96" s="209"/>
      <c r="J96" s="124">
        <f>IF(D92=0,0,D92/D95)</f>
        <v>154295.21428571429</v>
      </c>
      <c r="K96" s="111"/>
      <c r="L96" s="111"/>
      <c r="M96" s="111"/>
      <c r="N96" s="111"/>
      <c r="O96" s="111"/>
      <c r="P96" s="4"/>
    </row>
    <row r="97" spans="1:16" ht="38.25">
      <c r="A97" s="6"/>
      <c r="B97" s="6"/>
      <c r="C97" s="210" t="s">
        <v>47</v>
      </c>
      <c r="D97" s="211" t="s">
        <v>60</v>
      </c>
      <c r="E97" s="146" t="s">
        <v>61</v>
      </c>
      <c r="F97" s="146" t="s">
        <v>62</v>
      </c>
      <c r="G97" s="144" t="s">
        <v>84</v>
      </c>
      <c r="H97" s="434" t="s">
        <v>378</v>
      </c>
      <c r="I97" s="435" t="s">
        <v>379</v>
      </c>
      <c r="J97" s="210" t="s">
        <v>85</v>
      </c>
      <c r="K97" s="212"/>
      <c r="L97" s="271" t="s">
        <v>220</v>
      </c>
      <c r="M97" s="146" t="s">
        <v>86</v>
      </c>
      <c r="N97" s="271" t="s">
        <v>220</v>
      </c>
      <c r="O97" s="146" t="s">
        <v>86</v>
      </c>
      <c r="P97" s="146" t="s">
        <v>65</v>
      </c>
    </row>
    <row r="98" spans="1:16" ht="13.5" thickBot="1">
      <c r="C98" s="147" t="s">
        <v>66</v>
      </c>
      <c r="D98" s="213" t="s">
        <v>67</v>
      </c>
      <c r="E98" s="147" t="s">
        <v>68</v>
      </c>
      <c r="F98" s="147" t="s">
        <v>67</v>
      </c>
      <c r="G98" s="147" t="s">
        <v>67</v>
      </c>
      <c r="H98" s="255" t="s">
        <v>69</v>
      </c>
      <c r="I98" s="148" t="s">
        <v>70</v>
      </c>
      <c r="J98" s="149" t="s">
        <v>89</v>
      </c>
      <c r="K98" s="150"/>
      <c r="L98" s="151" t="s">
        <v>72</v>
      </c>
      <c r="M98" s="151" t="s">
        <v>72</v>
      </c>
      <c r="N98" s="151" t="s">
        <v>90</v>
      </c>
      <c r="O98" s="151" t="s">
        <v>90</v>
      </c>
      <c r="P98" s="151" t="s">
        <v>90</v>
      </c>
    </row>
    <row r="99" spans="1:16">
      <c r="C99" s="153">
        <f>IF(D93= "","-",D93)</f>
        <v>2017</v>
      </c>
      <c r="D99" s="154">
        <f>IF(D93=C99,0,D92)</f>
        <v>0</v>
      </c>
      <c r="E99" s="161">
        <f>IF(D11=I10,0,J96/12*(12-D94))</f>
        <v>77147.607142857145</v>
      </c>
      <c r="F99" s="159">
        <f>IF(D93=C99,+D92-E99,+D99-E99)</f>
        <v>6403251.3928571427</v>
      </c>
      <c r="G99" s="214">
        <f t="shared" ref="G99:G130" si="10">+(F99+D99)/2</f>
        <v>3201625.6964285714</v>
      </c>
      <c r="H99" s="251">
        <f>+J94*G99+E99</f>
        <v>466053.74744652997</v>
      </c>
      <c r="I99" s="252">
        <f>+J95*G99+E99</f>
        <v>466053.74744652997</v>
      </c>
      <c r="J99" s="158">
        <f t="shared" ref="J99:J130" si="11">+I99-H99</f>
        <v>0</v>
      </c>
      <c r="K99" s="158"/>
      <c r="L99" s="333"/>
      <c r="M99" s="157">
        <f t="shared" ref="M99:M130" si="12">IF(L99&lt;&gt;0,+H99-L99,0)</f>
        <v>0</v>
      </c>
      <c r="N99" s="333"/>
      <c r="O99" s="157">
        <f t="shared" ref="O99:O130" si="13">IF(N99&lt;&gt;0,+I99-N99,0)</f>
        <v>0</v>
      </c>
      <c r="P99" s="157">
        <f t="shared" ref="P99:P130" si="14">+O99-M99</f>
        <v>0</v>
      </c>
    </row>
    <row r="100" spans="1:16">
      <c r="B100" s="9" t="str">
        <f>IF(D100=F99,"","IU")</f>
        <v/>
      </c>
      <c r="C100" s="153">
        <f>IF(D93="","-",+C99+1)</f>
        <v>2018</v>
      </c>
      <c r="D100" s="154">
        <f>IF(F99+SUM(E$99:E99)=D$92,F99,D$92-SUM(E$99:E99))</f>
        <v>6403251.3928571427</v>
      </c>
      <c r="E100" s="160">
        <f>IF(+J96&lt;F99,J96,D100)</f>
        <v>154295.21428571429</v>
      </c>
      <c r="F100" s="159">
        <f t="shared" ref="F100:F130" si="15">+D100-E100</f>
        <v>6248956.1785714282</v>
      </c>
      <c r="G100" s="159">
        <f t="shared" si="10"/>
        <v>6326103.7857142854</v>
      </c>
      <c r="H100" s="163">
        <f t="shared" ref="H100:H154" si="16">+J$94*G100+E100</f>
        <v>922736.26259658579</v>
      </c>
      <c r="I100" s="253">
        <f t="shared" ref="I100:I154" si="17">+J$95*G100+E100</f>
        <v>922736.26259658579</v>
      </c>
      <c r="J100" s="158">
        <f t="shared" si="11"/>
        <v>0</v>
      </c>
      <c r="K100" s="158"/>
      <c r="L100" s="334"/>
      <c r="M100" s="158">
        <f t="shared" si="12"/>
        <v>0</v>
      </c>
      <c r="N100" s="334"/>
      <c r="O100" s="158">
        <f t="shared" si="13"/>
        <v>0</v>
      </c>
      <c r="P100" s="158">
        <f t="shared" si="14"/>
        <v>0</v>
      </c>
    </row>
    <row r="101" spans="1:16">
      <c r="B101" s="9" t="str">
        <f t="shared" ref="B101:B154" si="18">IF(D101=F100,"","IU")</f>
        <v/>
      </c>
      <c r="C101" s="153">
        <f>IF(D93="","-",+C100+1)</f>
        <v>2019</v>
      </c>
      <c r="D101" s="154">
        <f>IF(F100+SUM(E$99:E100)=D$92,F100,D$92-SUM(E$99:E100))</f>
        <v>6248956.1785714282</v>
      </c>
      <c r="E101" s="160">
        <f>IF(+J96&lt;F100,J96,D101)</f>
        <v>154295.21428571429</v>
      </c>
      <c r="F101" s="159">
        <f t="shared" si="15"/>
        <v>6094660.9642857136</v>
      </c>
      <c r="G101" s="159">
        <f t="shared" si="10"/>
        <v>6171808.5714285709</v>
      </c>
      <c r="H101" s="163">
        <f t="shared" si="16"/>
        <v>903993.7980036377</v>
      </c>
      <c r="I101" s="253">
        <f t="shared" si="17"/>
        <v>903993.7980036377</v>
      </c>
      <c r="J101" s="158">
        <f t="shared" si="11"/>
        <v>0</v>
      </c>
      <c r="K101" s="158"/>
      <c r="L101" s="334"/>
      <c r="M101" s="158">
        <f t="shared" si="12"/>
        <v>0</v>
      </c>
      <c r="N101" s="334"/>
      <c r="O101" s="158">
        <f t="shared" si="13"/>
        <v>0</v>
      </c>
      <c r="P101" s="158">
        <f t="shared" si="14"/>
        <v>0</v>
      </c>
    </row>
    <row r="102" spans="1:16">
      <c r="B102" s="9" t="str">
        <f t="shared" si="18"/>
        <v/>
      </c>
      <c r="C102" s="153">
        <f>IF(D93="","-",+C101+1)</f>
        <v>2020</v>
      </c>
      <c r="D102" s="154">
        <f>IF(F101+SUM(E$99:E101)=D$92,F101,D$92-SUM(E$99:E101))</f>
        <v>6094660.9642857136</v>
      </c>
      <c r="E102" s="160">
        <f>IF(+J96&lt;F101,J96,D102)</f>
        <v>154295.21428571429</v>
      </c>
      <c r="F102" s="159">
        <f t="shared" si="15"/>
        <v>5940365.7499999991</v>
      </c>
      <c r="G102" s="159">
        <f t="shared" si="10"/>
        <v>6017513.3571428563</v>
      </c>
      <c r="H102" s="163">
        <f t="shared" si="16"/>
        <v>885251.33341068961</v>
      </c>
      <c r="I102" s="253">
        <f t="shared" si="17"/>
        <v>885251.33341068961</v>
      </c>
      <c r="J102" s="158">
        <f t="shared" si="11"/>
        <v>0</v>
      </c>
      <c r="K102" s="158"/>
      <c r="L102" s="334"/>
      <c r="M102" s="158">
        <f t="shared" si="12"/>
        <v>0</v>
      </c>
      <c r="N102" s="334"/>
      <c r="O102" s="158">
        <f t="shared" si="13"/>
        <v>0</v>
      </c>
      <c r="P102" s="158">
        <f t="shared" si="14"/>
        <v>0</v>
      </c>
    </row>
    <row r="103" spans="1:16">
      <c r="B103" s="9" t="str">
        <f t="shared" si="18"/>
        <v/>
      </c>
      <c r="C103" s="153">
        <f>IF(D93="","-",+C102+1)</f>
        <v>2021</v>
      </c>
      <c r="D103" s="154">
        <f>IF(F102+SUM(E$99:E102)=D$92,F102,D$92-SUM(E$99:E102))</f>
        <v>5940365.7499999991</v>
      </c>
      <c r="E103" s="160">
        <f>IF(+J96&lt;F102,J96,D103)</f>
        <v>154295.21428571429</v>
      </c>
      <c r="F103" s="159">
        <f t="shared" si="15"/>
        <v>5786070.5357142845</v>
      </c>
      <c r="G103" s="159">
        <f t="shared" si="10"/>
        <v>5863218.1428571418</v>
      </c>
      <c r="H103" s="163">
        <f t="shared" si="16"/>
        <v>866508.86881774152</v>
      </c>
      <c r="I103" s="253">
        <f t="shared" si="17"/>
        <v>866508.86881774152</v>
      </c>
      <c r="J103" s="158">
        <f t="shared" si="11"/>
        <v>0</v>
      </c>
      <c r="K103" s="158"/>
      <c r="L103" s="334"/>
      <c r="M103" s="158">
        <f t="shared" si="12"/>
        <v>0</v>
      </c>
      <c r="N103" s="334"/>
      <c r="O103" s="158">
        <f t="shared" si="13"/>
        <v>0</v>
      </c>
      <c r="P103" s="158">
        <f t="shared" si="14"/>
        <v>0</v>
      </c>
    </row>
    <row r="104" spans="1:16">
      <c r="B104" s="9" t="str">
        <f t="shared" si="18"/>
        <v/>
      </c>
      <c r="C104" s="153">
        <f>IF(D93="","-",+C103+1)</f>
        <v>2022</v>
      </c>
      <c r="D104" s="154">
        <f>IF(F103+SUM(E$99:E103)=D$92,F103,D$92-SUM(E$99:E103))</f>
        <v>5786070.5357142845</v>
      </c>
      <c r="E104" s="160">
        <f>IF(+J96&lt;F103,J96,D104)</f>
        <v>154295.21428571429</v>
      </c>
      <c r="F104" s="159">
        <f t="shared" si="15"/>
        <v>5631775.32142857</v>
      </c>
      <c r="G104" s="159">
        <f t="shared" si="10"/>
        <v>5708922.9285714272</v>
      </c>
      <c r="H104" s="163">
        <f t="shared" si="16"/>
        <v>847766.40422479331</v>
      </c>
      <c r="I104" s="253">
        <f t="shared" si="17"/>
        <v>847766.40422479331</v>
      </c>
      <c r="J104" s="158">
        <f t="shared" si="11"/>
        <v>0</v>
      </c>
      <c r="K104" s="158"/>
      <c r="L104" s="334"/>
      <c r="M104" s="158">
        <f t="shared" si="12"/>
        <v>0</v>
      </c>
      <c r="N104" s="334"/>
      <c r="O104" s="158">
        <f t="shared" si="13"/>
        <v>0</v>
      </c>
      <c r="P104" s="158">
        <f t="shared" si="14"/>
        <v>0</v>
      </c>
    </row>
    <row r="105" spans="1:16">
      <c r="B105" s="9" t="str">
        <f t="shared" si="18"/>
        <v/>
      </c>
      <c r="C105" s="153">
        <f>IF(D93="","-",+C104+1)</f>
        <v>2023</v>
      </c>
      <c r="D105" s="154">
        <f>IF(F104+SUM(E$99:E104)=D$92,F104,D$92-SUM(E$99:E104))</f>
        <v>5631775.32142857</v>
      </c>
      <c r="E105" s="160">
        <f>IF(+J96&lt;F104,J96,D105)</f>
        <v>154295.21428571429</v>
      </c>
      <c r="F105" s="159">
        <f t="shared" si="15"/>
        <v>5477480.1071428554</v>
      </c>
      <c r="G105" s="159">
        <f t="shared" si="10"/>
        <v>5554627.7142857127</v>
      </c>
      <c r="H105" s="163">
        <f t="shared" si="16"/>
        <v>829023.93963184522</v>
      </c>
      <c r="I105" s="253">
        <f t="shared" si="17"/>
        <v>829023.93963184522</v>
      </c>
      <c r="J105" s="158">
        <f t="shared" si="11"/>
        <v>0</v>
      </c>
      <c r="K105" s="158"/>
      <c r="L105" s="334"/>
      <c r="M105" s="158">
        <f t="shared" si="12"/>
        <v>0</v>
      </c>
      <c r="N105" s="334"/>
      <c r="O105" s="158">
        <f t="shared" si="13"/>
        <v>0</v>
      </c>
      <c r="P105" s="158">
        <f t="shared" si="14"/>
        <v>0</v>
      </c>
    </row>
    <row r="106" spans="1:16">
      <c r="B106" s="9" t="str">
        <f t="shared" si="18"/>
        <v/>
      </c>
      <c r="C106" s="153">
        <f>IF(D93="","-",+C105+1)</f>
        <v>2024</v>
      </c>
      <c r="D106" s="154">
        <f>IF(F105+SUM(E$99:E105)=D$92,F105,D$92-SUM(E$99:E105))</f>
        <v>5477480.1071428554</v>
      </c>
      <c r="E106" s="160">
        <f>IF(+J96&lt;F105,J96,D106)</f>
        <v>154295.21428571429</v>
      </c>
      <c r="F106" s="159">
        <f t="shared" si="15"/>
        <v>5323184.8928571409</v>
      </c>
      <c r="G106" s="159">
        <f t="shared" si="10"/>
        <v>5400332.4999999981</v>
      </c>
      <c r="H106" s="163">
        <f t="shared" si="16"/>
        <v>810281.47503889713</v>
      </c>
      <c r="I106" s="253">
        <f t="shared" si="17"/>
        <v>810281.47503889713</v>
      </c>
      <c r="J106" s="158">
        <f t="shared" si="11"/>
        <v>0</v>
      </c>
      <c r="K106" s="158"/>
      <c r="L106" s="334"/>
      <c r="M106" s="158">
        <f t="shared" si="12"/>
        <v>0</v>
      </c>
      <c r="N106" s="334"/>
      <c r="O106" s="158">
        <f t="shared" si="13"/>
        <v>0</v>
      </c>
      <c r="P106" s="158">
        <f t="shared" si="14"/>
        <v>0</v>
      </c>
    </row>
    <row r="107" spans="1:16">
      <c r="B107" s="9" t="str">
        <f t="shared" si="18"/>
        <v/>
      </c>
      <c r="C107" s="153">
        <f>IF(D93="","-",+C106+1)</f>
        <v>2025</v>
      </c>
      <c r="D107" s="154">
        <f>IF(F106+SUM(E$99:E106)=D$92,F106,D$92-SUM(E$99:E106))</f>
        <v>5323184.8928571409</v>
      </c>
      <c r="E107" s="160">
        <f>IF(+J96&lt;F106,J96,D107)</f>
        <v>154295.21428571429</v>
      </c>
      <c r="F107" s="159">
        <f t="shared" si="15"/>
        <v>5168889.6785714263</v>
      </c>
      <c r="G107" s="159">
        <f t="shared" si="10"/>
        <v>5246037.2857142836</v>
      </c>
      <c r="H107" s="163">
        <f t="shared" si="16"/>
        <v>791539.01044594904</v>
      </c>
      <c r="I107" s="253">
        <f t="shared" si="17"/>
        <v>791539.01044594904</v>
      </c>
      <c r="J107" s="158">
        <f t="shared" si="11"/>
        <v>0</v>
      </c>
      <c r="K107" s="158"/>
      <c r="L107" s="334"/>
      <c r="M107" s="158">
        <f t="shared" si="12"/>
        <v>0</v>
      </c>
      <c r="N107" s="334"/>
      <c r="O107" s="158">
        <f t="shared" si="13"/>
        <v>0</v>
      </c>
      <c r="P107" s="158">
        <f t="shared" si="14"/>
        <v>0</v>
      </c>
    </row>
    <row r="108" spans="1:16">
      <c r="B108" s="9" t="str">
        <f t="shared" si="18"/>
        <v/>
      </c>
      <c r="C108" s="153">
        <f>IF(D93="","-",+C107+1)</f>
        <v>2026</v>
      </c>
      <c r="D108" s="154">
        <f>IF(F107+SUM(E$99:E107)=D$92,F107,D$92-SUM(E$99:E107))</f>
        <v>5168889.6785714263</v>
      </c>
      <c r="E108" s="160">
        <f>IF(+J96&lt;F107,J96,D108)</f>
        <v>154295.21428571429</v>
      </c>
      <c r="F108" s="159">
        <f t="shared" si="15"/>
        <v>5014594.4642857118</v>
      </c>
      <c r="G108" s="159">
        <f t="shared" si="10"/>
        <v>5091742.071428569</v>
      </c>
      <c r="H108" s="163">
        <f t="shared" si="16"/>
        <v>772796.54585300083</v>
      </c>
      <c r="I108" s="253">
        <f t="shared" si="17"/>
        <v>772796.54585300083</v>
      </c>
      <c r="J108" s="158">
        <f t="shared" si="11"/>
        <v>0</v>
      </c>
      <c r="K108" s="158"/>
      <c r="L108" s="334"/>
      <c r="M108" s="158">
        <f t="shared" si="12"/>
        <v>0</v>
      </c>
      <c r="N108" s="334"/>
      <c r="O108" s="158">
        <f t="shared" si="13"/>
        <v>0</v>
      </c>
      <c r="P108" s="158">
        <f t="shared" si="14"/>
        <v>0</v>
      </c>
    </row>
    <row r="109" spans="1:16">
      <c r="B109" s="9" t="str">
        <f t="shared" si="18"/>
        <v/>
      </c>
      <c r="C109" s="153">
        <f>IF(D93="","-",+C108+1)</f>
        <v>2027</v>
      </c>
      <c r="D109" s="154">
        <f>IF(F108+SUM(E$99:E108)=D$92,F108,D$92-SUM(E$99:E108))</f>
        <v>5014594.4642857118</v>
      </c>
      <c r="E109" s="160">
        <f>IF(+J96&lt;F108,J96,D109)</f>
        <v>154295.21428571429</v>
      </c>
      <c r="F109" s="159">
        <f t="shared" si="15"/>
        <v>4860299.2499999972</v>
      </c>
      <c r="G109" s="159">
        <f t="shared" si="10"/>
        <v>4937446.8571428545</v>
      </c>
      <c r="H109" s="163">
        <f t="shared" si="16"/>
        <v>754054.08126005274</v>
      </c>
      <c r="I109" s="253">
        <f t="shared" si="17"/>
        <v>754054.08126005274</v>
      </c>
      <c r="J109" s="158">
        <f t="shared" si="11"/>
        <v>0</v>
      </c>
      <c r="K109" s="158"/>
      <c r="L109" s="334"/>
      <c r="M109" s="158">
        <f t="shared" si="12"/>
        <v>0</v>
      </c>
      <c r="N109" s="334"/>
      <c r="O109" s="158">
        <f t="shared" si="13"/>
        <v>0</v>
      </c>
      <c r="P109" s="158">
        <f t="shared" si="14"/>
        <v>0</v>
      </c>
    </row>
    <row r="110" spans="1:16">
      <c r="B110" s="9" t="str">
        <f t="shared" si="18"/>
        <v/>
      </c>
      <c r="C110" s="153">
        <f>IF(D93="","-",+C109+1)</f>
        <v>2028</v>
      </c>
      <c r="D110" s="154">
        <f>IF(F109+SUM(E$99:E109)=D$92,F109,D$92-SUM(E$99:E109))</f>
        <v>4860299.2499999972</v>
      </c>
      <c r="E110" s="160">
        <f>IF(+J96&lt;F109,J96,D110)</f>
        <v>154295.21428571429</v>
      </c>
      <c r="F110" s="159">
        <f t="shared" si="15"/>
        <v>4706004.0357142827</v>
      </c>
      <c r="G110" s="159">
        <f t="shared" si="10"/>
        <v>4783151.6428571399</v>
      </c>
      <c r="H110" s="163">
        <f t="shared" si="16"/>
        <v>735311.61666710465</v>
      </c>
      <c r="I110" s="253">
        <f t="shared" si="17"/>
        <v>735311.61666710465</v>
      </c>
      <c r="J110" s="158">
        <f t="shared" si="11"/>
        <v>0</v>
      </c>
      <c r="K110" s="158"/>
      <c r="L110" s="334"/>
      <c r="M110" s="158">
        <f t="shared" si="12"/>
        <v>0</v>
      </c>
      <c r="N110" s="334"/>
      <c r="O110" s="158">
        <f t="shared" si="13"/>
        <v>0</v>
      </c>
      <c r="P110" s="158">
        <f t="shared" si="14"/>
        <v>0</v>
      </c>
    </row>
    <row r="111" spans="1:16">
      <c r="B111" s="9" t="str">
        <f t="shared" si="18"/>
        <v/>
      </c>
      <c r="C111" s="153">
        <f>IF(D93="","-",+C110+1)</f>
        <v>2029</v>
      </c>
      <c r="D111" s="154">
        <f>IF(F110+SUM(E$99:E110)=D$92,F110,D$92-SUM(E$99:E110))</f>
        <v>4706004.0357142827</v>
      </c>
      <c r="E111" s="160">
        <f>IF(+J96&lt;F110,J96,D111)</f>
        <v>154295.21428571429</v>
      </c>
      <c r="F111" s="159">
        <f t="shared" si="15"/>
        <v>4551708.8214285681</v>
      </c>
      <c r="G111" s="159">
        <f t="shared" si="10"/>
        <v>4628856.4285714254</v>
      </c>
      <c r="H111" s="163">
        <f t="shared" si="16"/>
        <v>716569.15207415656</v>
      </c>
      <c r="I111" s="253">
        <f t="shared" si="17"/>
        <v>716569.15207415656</v>
      </c>
      <c r="J111" s="158">
        <f t="shared" si="11"/>
        <v>0</v>
      </c>
      <c r="K111" s="158"/>
      <c r="L111" s="334"/>
      <c r="M111" s="158">
        <f t="shared" si="12"/>
        <v>0</v>
      </c>
      <c r="N111" s="334"/>
      <c r="O111" s="158">
        <f t="shared" si="13"/>
        <v>0</v>
      </c>
      <c r="P111" s="158">
        <f t="shared" si="14"/>
        <v>0</v>
      </c>
    </row>
    <row r="112" spans="1:16">
      <c r="B112" s="9" t="str">
        <f t="shared" si="18"/>
        <v/>
      </c>
      <c r="C112" s="153">
        <f>IF(D93="","-",+C111+1)</f>
        <v>2030</v>
      </c>
      <c r="D112" s="154">
        <f>IF(F111+SUM(E$99:E111)=D$92,F111,D$92-SUM(E$99:E111))</f>
        <v>4551708.8214285681</v>
      </c>
      <c r="E112" s="160">
        <f>IF(+J96&lt;F111,J96,D112)</f>
        <v>154295.21428571429</v>
      </c>
      <c r="F112" s="159">
        <f t="shared" si="15"/>
        <v>4397413.6071428536</v>
      </c>
      <c r="G112" s="159">
        <f t="shared" si="10"/>
        <v>4474561.2142857108</v>
      </c>
      <c r="H112" s="163">
        <f t="shared" si="16"/>
        <v>697826.68748120836</v>
      </c>
      <c r="I112" s="253">
        <f t="shared" si="17"/>
        <v>697826.68748120836</v>
      </c>
      <c r="J112" s="158">
        <f t="shared" si="11"/>
        <v>0</v>
      </c>
      <c r="K112" s="158"/>
      <c r="L112" s="334"/>
      <c r="M112" s="158">
        <f t="shared" si="12"/>
        <v>0</v>
      </c>
      <c r="N112" s="334"/>
      <c r="O112" s="158">
        <f t="shared" si="13"/>
        <v>0</v>
      </c>
      <c r="P112" s="158">
        <f t="shared" si="14"/>
        <v>0</v>
      </c>
    </row>
    <row r="113" spans="2:16">
      <c r="B113" s="9" t="str">
        <f t="shared" si="18"/>
        <v/>
      </c>
      <c r="C113" s="153">
        <f>IF(D93="","-",+C112+1)</f>
        <v>2031</v>
      </c>
      <c r="D113" s="154">
        <f>IF(F112+SUM(E$99:E112)=D$92,F112,D$92-SUM(E$99:E112))</f>
        <v>4397413.6071428536</v>
      </c>
      <c r="E113" s="160">
        <f>IF(+J96&lt;F112,J96,D113)</f>
        <v>154295.21428571429</v>
      </c>
      <c r="F113" s="159">
        <f t="shared" si="15"/>
        <v>4243118.392857139</v>
      </c>
      <c r="G113" s="159">
        <f t="shared" si="10"/>
        <v>4320265.9999999963</v>
      </c>
      <c r="H113" s="163">
        <f t="shared" si="16"/>
        <v>679084.22288826026</v>
      </c>
      <c r="I113" s="253">
        <f t="shared" si="17"/>
        <v>679084.22288826026</v>
      </c>
      <c r="J113" s="158">
        <f t="shared" si="11"/>
        <v>0</v>
      </c>
      <c r="K113" s="158"/>
      <c r="L113" s="334"/>
      <c r="M113" s="158">
        <f t="shared" si="12"/>
        <v>0</v>
      </c>
      <c r="N113" s="334"/>
      <c r="O113" s="158">
        <f t="shared" si="13"/>
        <v>0</v>
      </c>
      <c r="P113" s="158">
        <f t="shared" si="14"/>
        <v>0</v>
      </c>
    </row>
    <row r="114" spans="2:16">
      <c r="B114" s="9" t="str">
        <f t="shared" si="18"/>
        <v/>
      </c>
      <c r="C114" s="153">
        <f>IF(D93="","-",+C113+1)</f>
        <v>2032</v>
      </c>
      <c r="D114" s="154">
        <f>IF(F113+SUM(E$99:E113)=D$92,F113,D$92-SUM(E$99:E113))</f>
        <v>4243118.392857139</v>
      </c>
      <c r="E114" s="160">
        <f>IF(+J96&lt;F113,J96,D114)</f>
        <v>154295.21428571429</v>
      </c>
      <c r="F114" s="159">
        <f t="shared" si="15"/>
        <v>4088823.1785714249</v>
      </c>
      <c r="G114" s="159">
        <f t="shared" si="10"/>
        <v>4165970.7857142817</v>
      </c>
      <c r="H114" s="163">
        <f t="shared" si="16"/>
        <v>660341.75829531217</v>
      </c>
      <c r="I114" s="253">
        <f t="shared" si="17"/>
        <v>660341.75829531217</v>
      </c>
      <c r="J114" s="158">
        <f t="shared" si="11"/>
        <v>0</v>
      </c>
      <c r="K114" s="158"/>
      <c r="L114" s="334"/>
      <c r="M114" s="158">
        <f t="shared" si="12"/>
        <v>0</v>
      </c>
      <c r="N114" s="334"/>
      <c r="O114" s="158">
        <f t="shared" si="13"/>
        <v>0</v>
      </c>
      <c r="P114" s="158">
        <f t="shared" si="14"/>
        <v>0</v>
      </c>
    </row>
    <row r="115" spans="2:16">
      <c r="B115" s="9" t="str">
        <f t="shared" si="18"/>
        <v/>
      </c>
      <c r="C115" s="153">
        <f>IF(D93="","-",+C114+1)</f>
        <v>2033</v>
      </c>
      <c r="D115" s="154">
        <f>IF(F114+SUM(E$99:E114)=D$92,F114,D$92-SUM(E$99:E114))</f>
        <v>4088823.1785714249</v>
      </c>
      <c r="E115" s="160">
        <f>IF(+J96&lt;F114,J96,D115)</f>
        <v>154295.21428571429</v>
      </c>
      <c r="F115" s="159">
        <f t="shared" si="15"/>
        <v>3934527.9642857108</v>
      </c>
      <c r="G115" s="159">
        <f t="shared" si="10"/>
        <v>4011675.5714285681</v>
      </c>
      <c r="H115" s="163">
        <f t="shared" si="16"/>
        <v>641599.29370236408</v>
      </c>
      <c r="I115" s="253">
        <f t="shared" si="17"/>
        <v>641599.29370236408</v>
      </c>
      <c r="J115" s="158">
        <f t="shared" si="11"/>
        <v>0</v>
      </c>
      <c r="K115" s="158"/>
      <c r="L115" s="334"/>
      <c r="M115" s="158">
        <f t="shared" si="12"/>
        <v>0</v>
      </c>
      <c r="N115" s="334"/>
      <c r="O115" s="158">
        <f t="shared" si="13"/>
        <v>0</v>
      </c>
      <c r="P115" s="158">
        <f t="shared" si="14"/>
        <v>0</v>
      </c>
    </row>
    <row r="116" spans="2:16">
      <c r="B116" s="9" t="str">
        <f t="shared" si="18"/>
        <v/>
      </c>
      <c r="C116" s="153">
        <f>IF(D93="","-",+C115+1)</f>
        <v>2034</v>
      </c>
      <c r="D116" s="154">
        <f>IF(F115+SUM(E$99:E115)=D$92,F115,D$92-SUM(E$99:E115))</f>
        <v>3934527.9642857108</v>
      </c>
      <c r="E116" s="160">
        <f>IF(+J96&lt;F115,J96,D116)</f>
        <v>154295.21428571429</v>
      </c>
      <c r="F116" s="159">
        <f t="shared" si="15"/>
        <v>3780232.7499999967</v>
      </c>
      <c r="G116" s="159">
        <f t="shared" si="10"/>
        <v>3857380.3571428536</v>
      </c>
      <c r="H116" s="163">
        <f t="shared" si="16"/>
        <v>622856.82910941599</v>
      </c>
      <c r="I116" s="253">
        <f t="shared" si="17"/>
        <v>622856.82910941599</v>
      </c>
      <c r="J116" s="158">
        <f t="shared" si="11"/>
        <v>0</v>
      </c>
      <c r="K116" s="158"/>
      <c r="L116" s="334"/>
      <c r="M116" s="158">
        <f t="shared" si="12"/>
        <v>0</v>
      </c>
      <c r="N116" s="334"/>
      <c r="O116" s="158">
        <f t="shared" si="13"/>
        <v>0</v>
      </c>
      <c r="P116" s="158">
        <f t="shared" si="14"/>
        <v>0</v>
      </c>
    </row>
    <row r="117" spans="2:16">
      <c r="B117" s="9" t="str">
        <f t="shared" si="18"/>
        <v/>
      </c>
      <c r="C117" s="153">
        <f>IF(D93="","-",+C116+1)</f>
        <v>2035</v>
      </c>
      <c r="D117" s="154">
        <f>IF(F116+SUM(E$99:E116)=D$92,F116,D$92-SUM(E$99:E116))</f>
        <v>3780232.7499999967</v>
      </c>
      <c r="E117" s="160">
        <f>IF(+J96&lt;F116,J96,D117)</f>
        <v>154295.21428571429</v>
      </c>
      <c r="F117" s="159">
        <f t="shared" si="15"/>
        <v>3625937.5357142827</v>
      </c>
      <c r="G117" s="159">
        <f t="shared" si="10"/>
        <v>3703085.1428571399</v>
      </c>
      <c r="H117" s="163">
        <f t="shared" si="16"/>
        <v>604114.36451646802</v>
      </c>
      <c r="I117" s="253">
        <f t="shared" si="17"/>
        <v>604114.36451646802</v>
      </c>
      <c r="J117" s="158">
        <f t="shared" si="11"/>
        <v>0</v>
      </c>
      <c r="K117" s="158"/>
      <c r="L117" s="334"/>
      <c r="M117" s="158">
        <f t="shared" si="12"/>
        <v>0</v>
      </c>
      <c r="N117" s="334"/>
      <c r="O117" s="158">
        <f t="shared" si="13"/>
        <v>0</v>
      </c>
      <c r="P117" s="158">
        <f t="shared" si="14"/>
        <v>0</v>
      </c>
    </row>
    <row r="118" spans="2:16">
      <c r="B118" s="9" t="str">
        <f t="shared" si="18"/>
        <v/>
      </c>
      <c r="C118" s="153">
        <f>IF(D93="","-",+C117+1)</f>
        <v>2036</v>
      </c>
      <c r="D118" s="154">
        <f>IF(F117+SUM(E$99:E117)=D$92,F117,D$92-SUM(E$99:E117))</f>
        <v>3625937.5357142827</v>
      </c>
      <c r="E118" s="160">
        <f>IF(+J96&lt;F117,J96,D118)</f>
        <v>154295.21428571429</v>
      </c>
      <c r="F118" s="159">
        <f t="shared" si="15"/>
        <v>3471642.3214285686</v>
      </c>
      <c r="G118" s="159">
        <f t="shared" si="10"/>
        <v>3548789.9285714254</v>
      </c>
      <c r="H118" s="163">
        <f t="shared" si="16"/>
        <v>585371.89992351993</v>
      </c>
      <c r="I118" s="253">
        <f t="shared" si="17"/>
        <v>585371.89992351993</v>
      </c>
      <c r="J118" s="158">
        <f t="shared" si="11"/>
        <v>0</v>
      </c>
      <c r="K118" s="158"/>
      <c r="L118" s="334"/>
      <c r="M118" s="158">
        <f t="shared" si="12"/>
        <v>0</v>
      </c>
      <c r="N118" s="334"/>
      <c r="O118" s="158">
        <f t="shared" si="13"/>
        <v>0</v>
      </c>
      <c r="P118" s="158">
        <f t="shared" si="14"/>
        <v>0</v>
      </c>
    </row>
    <row r="119" spans="2:16">
      <c r="B119" s="9" t="str">
        <f t="shared" si="18"/>
        <v/>
      </c>
      <c r="C119" s="153">
        <f>IF(D93="","-",+C118+1)</f>
        <v>2037</v>
      </c>
      <c r="D119" s="154">
        <f>IF(F118+SUM(E$99:E118)=D$92,F118,D$92-SUM(E$99:E118))</f>
        <v>3471642.3214285686</v>
      </c>
      <c r="E119" s="160">
        <f>IF(+J96&lt;F118,J96,D119)</f>
        <v>154295.21428571429</v>
      </c>
      <c r="F119" s="159">
        <f t="shared" si="15"/>
        <v>3317347.1071428545</v>
      </c>
      <c r="G119" s="159">
        <f t="shared" si="10"/>
        <v>3394494.7142857118</v>
      </c>
      <c r="H119" s="163">
        <f t="shared" si="16"/>
        <v>566629.43533057184</v>
      </c>
      <c r="I119" s="253">
        <f t="shared" si="17"/>
        <v>566629.43533057184</v>
      </c>
      <c r="J119" s="158">
        <f t="shared" si="11"/>
        <v>0</v>
      </c>
      <c r="K119" s="158"/>
      <c r="L119" s="334"/>
      <c r="M119" s="158">
        <f t="shared" si="12"/>
        <v>0</v>
      </c>
      <c r="N119" s="334"/>
      <c r="O119" s="158">
        <f t="shared" si="13"/>
        <v>0</v>
      </c>
      <c r="P119" s="158">
        <f t="shared" si="14"/>
        <v>0</v>
      </c>
    </row>
    <row r="120" spans="2:16">
      <c r="B120" s="9" t="str">
        <f t="shared" si="18"/>
        <v/>
      </c>
      <c r="C120" s="153">
        <f>IF(D93="","-",+C119+1)</f>
        <v>2038</v>
      </c>
      <c r="D120" s="154">
        <f>IF(F119+SUM(E$99:E119)=D$92,F119,D$92-SUM(E$99:E119))</f>
        <v>3317347.1071428545</v>
      </c>
      <c r="E120" s="160">
        <f>IF(+J96&lt;F119,J96,D120)</f>
        <v>154295.21428571429</v>
      </c>
      <c r="F120" s="159">
        <f t="shared" si="15"/>
        <v>3163051.8928571404</v>
      </c>
      <c r="G120" s="159">
        <f t="shared" si="10"/>
        <v>3240199.4999999972</v>
      </c>
      <c r="H120" s="163">
        <f t="shared" si="16"/>
        <v>547886.97073762375</v>
      </c>
      <c r="I120" s="253">
        <f t="shared" si="17"/>
        <v>547886.97073762375</v>
      </c>
      <c r="J120" s="158">
        <f t="shared" si="11"/>
        <v>0</v>
      </c>
      <c r="K120" s="158"/>
      <c r="L120" s="334"/>
      <c r="M120" s="158">
        <f t="shared" si="12"/>
        <v>0</v>
      </c>
      <c r="N120" s="334"/>
      <c r="O120" s="158">
        <f t="shared" si="13"/>
        <v>0</v>
      </c>
      <c r="P120" s="158">
        <f t="shared" si="14"/>
        <v>0</v>
      </c>
    </row>
    <row r="121" spans="2:16">
      <c r="B121" s="9" t="str">
        <f t="shared" si="18"/>
        <v/>
      </c>
      <c r="C121" s="153">
        <f>IF(D93="","-",+C120+1)</f>
        <v>2039</v>
      </c>
      <c r="D121" s="154">
        <f>IF(F120+SUM(E$99:E120)=D$92,F120,D$92-SUM(E$99:E120))</f>
        <v>3163051.8928571404</v>
      </c>
      <c r="E121" s="160">
        <f>IF(+J96&lt;F120,J96,D121)</f>
        <v>154295.21428571429</v>
      </c>
      <c r="F121" s="159">
        <f t="shared" si="15"/>
        <v>3008756.6785714263</v>
      </c>
      <c r="G121" s="159">
        <f t="shared" si="10"/>
        <v>3085904.2857142836</v>
      </c>
      <c r="H121" s="163">
        <f t="shared" si="16"/>
        <v>529144.50614467578</v>
      </c>
      <c r="I121" s="253">
        <f t="shared" si="17"/>
        <v>529144.50614467578</v>
      </c>
      <c r="J121" s="158">
        <f t="shared" si="11"/>
        <v>0</v>
      </c>
      <c r="K121" s="158"/>
      <c r="L121" s="334"/>
      <c r="M121" s="158">
        <f t="shared" si="12"/>
        <v>0</v>
      </c>
      <c r="N121" s="334"/>
      <c r="O121" s="158">
        <f t="shared" si="13"/>
        <v>0</v>
      </c>
      <c r="P121" s="158">
        <f t="shared" si="14"/>
        <v>0</v>
      </c>
    </row>
    <row r="122" spans="2:16">
      <c r="B122" s="9" t="str">
        <f t="shared" si="18"/>
        <v/>
      </c>
      <c r="C122" s="153">
        <f>IF(D93="","-",+C121+1)</f>
        <v>2040</v>
      </c>
      <c r="D122" s="154">
        <f>IF(F121+SUM(E$99:E121)=D$92,F121,D$92-SUM(E$99:E121))</f>
        <v>3008756.6785714263</v>
      </c>
      <c r="E122" s="160">
        <f>IF(+J96&lt;F121,J96,D122)</f>
        <v>154295.21428571429</v>
      </c>
      <c r="F122" s="159">
        <f t="shared" si="15"/>
        <v>2854461.4642857122</v>
      </c>
      <c r="G122" s="159">
        <f t="shared" si="10"/>
        <v>2931609.071428569</v>
      </c>
      <c r="H122" s="163">
        <f t="shared" si="16"/>
        <v>510402.04155172769</v>
      </c>
      <c r="I122" s="253">
        <f t="shared" si="17"/>
        <v>510402.04155172769</v>
      </c>
      <c r="J122" s="158">
        <f t="shared" si="11"/>
        <v>0</v>
      </c>
      <c r="K122" s="158"/>
      <c r="L122" s="334"/>
      <c r="M122" s="158">
        <f t="shared" si="12"/>
        <v>0</v>
      </c>
      <c r="N122" s="334"/>
      <c r="O122" s="158">
        <f t="shared" si="13"/>
        <v>0</v>
      </c>
      <c r="P122" s="158">
        <f t="shared" si="14"/>
        <v>0</v>
      </c>
    </row>
    <row r="123" spans="2:16">
      <c r="B123" s="9" t="str">
        <f t="shared" si="18"/>
        <v/>
      </c>
      <c r="C123" s="153">
        <f>IF(D93="","-",+C122+1)</f>
        <v>2041</v>
      </c>
      <c r="D123" s="154">
        <f>IF(F122+SUM(E$99:E122)=D$92,F122,D$92-SUM(E$99:E122))</f>
        <v>2854461.4642857122</v>
      </c>
      <c r="E123" s="160">
        <f>IF(+J96&lt;F122,J96,D123)</f>
        <v>154295.21428571429</v>
      </c>
      <c r="F123" s="159">
        <f t="shared" si="15"/>
        <v>2700166.2499999981</v>
      </c>
      <c r="G123" s="159">
        <f t="shared" si="10"/>
        <v>2777313.8571428554</v>
      </c>
      <c r="H123" s="163">
        <f t="shared" si="16"/>
        <v>491659.57695877959</v>
      </c>
      <c r="I123" s="253">
        <f t="shared" si="17"/>
        <v>491659.57695877959</v>
      </c>
      <c r="J123" s="158">
        <f t="shared" si="11"/>
        <v>0</v>
      </c>
      <c r="K123" s="158"/>
      <c r="L123" s="334"/>
      <c r="M123" s="158">
        <f t="shared" si="12"/>
        <v>0</v>
      </c>
      <c r="N123" s="334"/>
      <c r="O123" s="158">
        <f t="shared" si="13"/>
        <v>0</v>
      </c>
      <c r="P123" s="158">
        <f t="shared" si="14"/>
        <v>0</v>
      </c>
    </row>
    <row r="124" spans="2:16">
      <c r="B124" s="9" t="str">
        <f t="shared" si="18"/>
        <v/>
      </c>
      <c r="C124" s="153">
        <f>IF(D93="","-",+C123+1)</f>
        <v>2042</v>
      </c>
      <c r="D124" s="154">
        <f>IF(F123+SUM(E$99:E123)=D$92,F123,D$92-SUM(E$99:E123))</f>
        <v>2700166.2499999981</v>
      </c>
      <c r="E124" s="160">
        <f>IF(+J96&lt;F123,J96,D124)</f>
        <v>154295.21428571429</v>
      </c>
      <c r="F124" s="159">
        <f t="shared" si="15"/>
        <v>2545871.0357142841</v>
      </c>
      <c r="G124" s="159">
        <f t="shared" si="10"/>
        <v>2623018.6428571409</v>
      </c>
      <c r="H124" s="163">
        <f t="shared" si="16"/>
        <v>472917.1123658315</v>
      </c>
      <c r="I124" s="253">
        <f t="shared" si="17"/>
        <v>472917.1123658315</v>
      </c>
      <c r="J124" s="158">
        <f t="shared" si="11"/>
        <v>0</v>
      </c>
      <c r="K124" s="158"/>
      <c r="L124" s="334"/>
      <c r="M124" s="158">
        <f t="shared" si="12"/>
        <v>0</v>
      </c>
      <c r="N124" s="334"/>
      <c r="O124" s="158">
        <f t="shared" si="13"/>
        <v>0</v>
      </c>
      <c r="P124" s="158">
        <f t="shared" si="14"/>
        <v>0</v>
      </c>
    </row>
    <row r="125" spans="2:16">
      <c r="B125" s="9" t="str">
        <f t="shared" si="18"/>
        <v/>
      </c>
      <c r="C125" s="153">
        <f>IF(D93="","-",+C124+1)</f>
        <v>2043</v>
      </c>
      <c r="D125" s="154">
        <f>IF(F124+SUM(E$99:E124)=D$92,F124,D$92-SUM(E$99:E124))</f>
        <v>2545871.0357142841</v>
      </c>
      <c r="E125" s="160">
        <f>IF(+J96&lt;F124,J96,D125)</f>
        <v>154295.21428571429</v>
      </c>
      <c r="F125" s="159">
        <f t="shared" si="15"/>
        <v>2391575.82142857</v>
      </c>
      <c r="G125" s="159">
        <f t="shared" si="10"/>
        <v>2468723.4285714272</v>
      </c>
      <c r="H125" s="163">
        <f t="shared" si="16"/>
        <v>454174.64777288353</v>
      </c>
      <c r="I125" s="253">
        <f t="shared" si="17"/>
        <v>454174.64777288353</v>
      </c>
      <c r="J125" s="158">
        <f t="shared" si="11"/>
        <v>0</v>
      </c>
      <c r="K125" s="158"/>
      <c r="L125" s="334"/>
      <c r="M125" s="158">
        <f t="shared" si="12"/>
        <v>0</v>
      </c>
      <c r="N125" s="334"/>
      <c r="O125" s="158">
        <f t="shared" si="13"/>
        <v>0</v>
      </c>
      <c r="P125" s="158">
        <f t="shared" si="14"/>
        <v>0</v>
      </c>
    </row>
    <row r="126" spans="2:16">
      <c r="B126" s="9" t="str">
        <f t="shared" si="18"/>
        <v/>
      </c>
      <c r="C126" s="153">
        <f>IF(D93="","-",+C125+1)</f>
        <v>2044</v>
      </c>
      <c r="D126" s="154">
        <f>IF(F125+SUM(E$99:E125)=D$92,F125,D$92-SUM(E$99:E125))</f>
        <v>2391575.82142857</v>
      </c>
      <c r="E126" s="160">
        <f>IF(+J96&lt;F125,J96,D126)</f>
        <v>154295.21428571429</v>
      </c>
      <c r="F126" s="159">
        <f t="shared" si="15"/>
        <v>2237280.6071428559</v>
      </c>
      <c r="G126" s="159">
        <f t="shared" si="10"/>
        <v>2314428.2142857127</v>
      </c>
      <c r="H126" s="163">
        <f t="shared" si="16"/>
        <v>435432.18317993544</v>
      </c>
      <c r="I126" s="253">
        <f t="shared" si="17"/>
        <v>435432.18317993544</v>
      </c>
      <c r="J126" s="158">
        <f t="shared" si="11"/>
        <v>0</v>
      </c>
      <c r="K126" s="158"/>
      <c r="L126" s="334"/>
      <c r="M126" s="158">
        <f t="shared" si="12"/>
        <v>0</v>
      </c>
      <c r="N126" s="334"/>
      <c r="O126" s="158">
        <f t="shared" si="13"/>
        <v>0</v>
      </c>
      <c r="P126" s="158">
        <f t="shared" si="14"/>
        <v>0</v>
      </c>
    </row>
    <row r="127" spans="2:16">
      <c r="B127" s="9" t="str">
        <f t="shared" si="18"/>
        <v/>
      </c>
      <c r="C127" s="153">
        <f>IF(D93="","-",+C126+1)</f>
        <v>2045</v>
      </c>
      <c r="D127" s="154">
        <f>IF(F126+SUM(E$99:E126)=D$92,F126,D$92-SUM(E$99:E126))</f>
        <v>2237280.6071428559</v>
      </c>
      <c r="E127" s="160">
        <f>IF(+J96&lt;F126,J96,D127)</f>
        <v>154295.21428571429</v>
      </c>
      <c r="F127" s="159">
        <f t="shared" si="15"/>
        <v>2082985.3928571416</v>
      </c>
      <c r="G127" s="159">
        <f t="shared" si="10"/>
        <v>2160132.9999999986</v>
      </c>
      <c r="H127" s="163">
        <f t="shared" si="16"/>
        <v>416689.71858698735</v>
      </c>
      <c r="I127" s="253">
        <f t="shared" si="17"/>
        <v>416689.71858698735</v>
      </c>
      <c r="J127" s="158">
        <f t="shared" si="11"/>
        <v>0</v>
      </c>
      <c r="K127" s="158"/>
      <c r="L127" s="334"/>
      <c r="M127" s="158">
        <f t="shared" si="12"/>
        <v>0</v>
      </c>
      <c r="N127" s="334"/>
      <c r="O127" s="158">
        <f t="shared" si="13"/>
        <v>0</v>
      </c>
      <c r="P127" s="158">
        <f t="shared" si="14"/>
        <v>0</v>
      </c>
    </row>
    <row r="128" spans="2:16">
      <c r="B128" s="9" t="str">
        <f t="shared" si="18"/>
        <v/>
      </c>
      <c r="C128" s="153">
        <f>IF(D93="","-",+C127+1)</f>
        <v>2046</v>
      </c>
      <c r="D128" s="154">
        <f>IF(F127+SUM(E$99:E127)=D$92,F127,D$92-SUM(E$99:E127))</f>
        <v>2082985.3928571416</v>
      </c>
      <c r="E128" s="160">
        <f>IF(+J96&lt;F127,J96,D128)</f>
        <v>154295.21428571429</v>
      </c>
      <c r="F128" s="159">
        <f t="shared" si="15"/>
        <v>1928690.1785714272</v>
      </c>
      <c r="G128" s="159">
        <f t="shared" si="10"/>
        <v>2005837.7857142845</v>
      </c>
      <c r="H128" s="163">
        <f t="shared" si="16"/>
        <v>397947.25399403926</v>
      </c>
      <c r="I128" s="253">
        <f t="shared" si="17"/>
        <v>397947.25399403926</v>
      </c>
      <c r="J128" s="158">
        <f t="shared" si="11"/>
        <v>0</v>
      </c>
      <c r="K128" s="158"/>
      <c r="L128" s="334"/>
      <c r="M128" s="158">
        <f t="shared" si="12"/>
        <v>0</v>
      </c>
      <c r="N128" s="334"/>
      <c r="O128" s="158">
        <f t="shared" si="13"/>
        <v>0</v>
      </c>
      <c r="P128" s="158">
        <f t="shared" si="14"/>
        <v>0</v>
      </c>
    </row>
    <row r="129" spans="2:16">
      <c r="B129" s="9" t="str">
        <f t="shared" si="18"/>
        <v/>
      </c>
      <c r="C129" s="153">
        <f>IF(D93="","-",+C128+1)</f>
        <v>2047</v>
      </c>
      <c r="D129" s="154">
        <f>IF(F128+SUM(E$99:E128)=D$92,F128,D$92-SUM(E$99:E128))</f>
        <v>1928690.1785714272</v>
      </c>
      <c r="E129" s="160">
        <f>IF(+J96&lt;F128,J96,D129)</f>
        <v>154295.21428571429</v>
      </c>
      <c r="F129" s="159">
        <f t="shared" si="15"/>
        <v>1774394.9642857129</v>
      </c>
      <c r="G129" s="159">
        <f t="shared" si="10"/>
        <v>1851542.57142857</v>
      </c>
      <c r="H129" s="163">
        <f t="shared" si="16"/>
        <v>379204.78940109117</v>
      </c>
      <c r="I129" s="253">
        <f t="shared" si="17"/>
        <v>379204.78940109117</v>
      </c>
      <c r="J129" s="158">
        <f t="shared" si="11"/>
        <v>0</v>
      </c>
      <c r="K129" s="158"/>
      <c r="L129" s="334"/>
      <c r="M129" s="158">
        <f t="shared" si="12"/>
        <v>0</v>
      </c>
      <c r="N129" s="334"/>
      <c r="O129" s="158">
        <f t="shared" si="13"/>
        <v>0</v>
      </c>
      <c r="P129" s="158">
        <f t="shared" si="14"/>
        <v>0</v>
      </c>
    </row>
    <row r="130" spans="2:16">
      <c r="B130" s="9" t="str">
        <f t="shared" si="18"/>
        <v/>
      </c>
      <c r="C130" s="153">
        <f>IF(D93="","-",+C129+1)</f>
        <v>2048</v>
      </c>
      <c r="D130" s="154">
        <f>IF(F129+SUM(E$99:E129)=D$92,F129,D$92-SUM(E$99:E129))</f>
        <v>1774394.9642857129</v>
      </c>
      <c r="E130" s="160">
        <f>IF(+J96&lt;F129,J96,D130)</f>
        <v>154295.21428571429</v>
      </c>
      <c r="F130" s="159">
        <f t="shared" si="15"/>
        <v>1620099.7499999986</v>
      </c>
      <c r="G130" s="159">
        <f t="shared" si="10"/>
        <v>1697247.3571428559</v>
      </c>
      <c r="H130" s="163">
        <f t="shared" si="16"/>
        <v>360462.32480814308</v>
      </c>
      <c r="I130" s="253">
        <f t="shared" si="17"/>
        <v>360462.32480814308</v>
      </c>
      <c r="J130" s="158">
        <f t="shared" si="11"/>
        <v>0</v>
      </c>
      <c r="K130" s="158"/>
      <c r="L130" s="334"/>
      <c r="M130" s="158">
        <f t="shared" si="12"/>
        <v>0</v>
      </c>
      <c r="N130" s="334"/>
      <c r="O130" s="158">
        <f t="shared" si="13"/>
        <v>0</v>
      </c>
      <c r="P130" s="158">
        <f t="shared" si="14"/>
        <v>0</v>
      </c>
    </row>
    <row r="131" spans="2:16">
      <c r="B131" s="9" t="str">
        <f t="shared" si="18"/>
        <v/>
      </c>
      <c r="C131" s="153">
        <f>IF(D93="","-",+C130+1)</f>
        <v>2049</v>
      </c>
      <c r="D131" s="154">
        <f>IF(F130+SUM(E$99:E130)=D$92,F130,D$92-SUM(E$99:E130))</f>
        <v>1620099.7499999986</v>
      </c>
      <c r="E131" s="160">
        <f>IF(+J96&lt;F130,J96,D131)</f>
        <v>154295.21428571429</v>
      </c>
      <c r="F131" s="159">
        <f t="shared" ref="F131:F154" si="19">+D131-E131</f>
        <v>1465804.5357142843</v>
      </c>
      <c r="G131" s="159">
        <f t="shared" ref="G131:G154" si="20">+(F131+D131)/2</f>
        <v>1542952.1428571413</v>
      </c>
      <c r="H131" s="163">
        <f t="shared" si="16"/>
        <v>341719.86021519499</v>
      </c>
      <c r="I131" s="253">
        <f t="shared" si="17"/>
        <v>341719.86021519499</v>
      </c>
      <c r="J131" s="158">
        <f t="shared" ref="J131:J154" si="21">+I541-H541</f>
        <v>0</v>
      </c>
      <c r="K131" s="158"/>
      <c r="L131" s="334"/>
      <c r="M131" s="158">
        <f t="shared" ref="M131:M154" si="22">IF(L541&lt;&gt;0,+H541-L541,0)</f>
        <v>0</v>
      </c>
      <c r="N131" s="334"/>
      <c r="O131" s="158">
        <f t="shared" ref="O131:O154" si="23">IF(N541&lt;&gt;0,+I541-N541,0)</f>
        <v>0</v>
      </c>
      <c r="P131" s="158">
        <f t="shared" ref="P131:P154" si="24">+O541-M541</f>
        <v>0</v>
      </c>
    </row>
    <row r="132" spans="2:16">
      <c r="B132" s="9" t="str">
        <f t="shared" si="18"/>
        <v/>
      </c>
      <c r="C132" s="153">
        <f>IF(D93="","-",+C131+1)</f>
        <v>2050</v>
      </c>
      <c r="D132" s="154">
        <f>IF(F131+SUM(E$99:E131)=D$92,F131,D$92-SUM(E$99:E131))</f>
        <v>1465804.5357142843</v>
      </c>
      <c r="E132" s="160">
        <f>IF(+J96&lt;F131,J96,D132)</f>
        <v>154295.21428571429</v>
      </c>
      <c r="F132" s="159">
        <f t="shared" si="19"/>
        <v>1311509.32142857</v>
      </c>
      <c r="G132" s="159">
        <f t="shared" si="20"/>
        <v>1388656.9285714272</v>
      </c>
      <c r="H132" s="163">
        <f t="shared" si="16"/>
        <v>322977.3956222469</v>
      </c>
      <c r="I132" s="253">
        <f t="shared" si="17"/>
        <v>322977.3956222469</v>
      </c>
      <c r="J132" s="158">
        <f t="shared" si="21"/>
        <v>0</v>
      </c>
      <c r="K132" s="158"/>
      <c r="L132" s="334"/>
      <c r="M132" s="158">
        <f t="shared" si="22"/>
        <v>0</v>
      </c>
      <c r="N132" s="334"/>
      <c r="O132" s="158">
        <f t="shared" si="23"/>
        <v>0</v>
      </c>
      <c r="P132" s="158">
        <f t="shared" si="24"/>
        <v>0</v>
      </c>
    </row>
    <row r="133" spans="2:16">
      <c r="B133" s="9" t="str">
        <f t="shared" si="18"/>
        <v/>
      </c>
      <c r="C133" s="153">
        <f>IF(D93="","-",+C132+1)</f>
        <v>2051</v>
      </c>
      <c r="D133" s="154">
        <f>IF(F132+SUM(E$99:E132)=D$92,F132,D$92-SUM(E$99:E132))</f>
        <v>1311509.32142857</v>
      </c>
      <c r="E133" s="160">
        <f>IF(+J96&lt;F132,J96,D133)</f>
        <v>154295.21428571429</v>
      </c>
      <c r="F133" s="159">
        <f t="shared" si="19"/>
        <v>1157214.1071428556</v>
      </c>
      <c r="G133" s="159">
        <f t="shared" si="20"/>
        <v>1234361.7142857127</v>
      </c>
      <c r="H133" s="163">
        <f t="shared" si="16"/>
        <v>304234.93102929881</v>
      </c>
      <c r="I133" s="253">
        <f t="shared" si="17"/>
        <v>304234.93102929881</v>
      </c>
      <c r="J133" s="158">
        <f t="shared" si="21"/>
        <v>0</v>
      </c>
      <c r="K133" s="158"/>
      <c r="L133" s="334"/>
      <c r="M133" s="158">
        <f t="shared" si="22"/>
        <v>0</v>
      </c>
      <c r="N133" s="334"/>
      <c r="O133" s="158">
        <f t="shared" si="23"/>
        <v>0</v>
      </c>
      <c r="P133" s="158">
        <f t="shared" si="24"/>
        <v>0</v>
      </c>
    </row>
    <row r="134" spans="2:16">
      <c r="B134" s="9" t="str">
        <f t="shared" si="18"/>
        <v/>
      </c>
      <c r="C134" s="153">
        <f>IF(D93="","-",+C133+1)</f>
        <v>2052</v>
      </c>
      <c r="D134" s="154">
        <f>IF(F133+SUM(E$99:E133)=D$92,F133,D$92-SUM(E$99:E133))</f>
        <v>1157214.1071428556</v>
      </c>
      <c r="E134" s="160">
        <f>IF(+J96&lt;F133,J96,D134)</f>
        <v>154295.21428571429</v>
      </c>
      <c r="F134" s="159">
        <f t="shared" si="19"/>
        <v>1002918.8928571413</v>
      </c>
      <c r="G134" s="159">
        <f t="shared" si="20"/>
        <v>1080066.4999999986</v>
      </c>
      <c r="H134" s="163">
        <f t="shared" si="16"/>
        <v>285492.46643635072</v>
      </c>
      <c r="I134" s="253">
        <f t="shared" si="17"/>
        <v>285492.46643635072</v>
      </c>
      <c r="J134" s="158">
        <f t="shared" si="21"/>
        <v>0</v>
      </c>
      <c r="K134" s="158"/>
      <c r="L134" s="334"/>
      <c r="M134" s="158">
        <f t="shared" si="22"/>
        <v>0</v>
      </c>
      <c r="N134" s="334"/>
      <c r="O134" s="158">
        <f t="shared" si="23"/>
        <v>0</v>
      </c>
      <c r="P134" s="158">
        <f t="shared" si="24"/>
        <v>0</v>
      </c>
    </row>
    <row r="135" spans="2:16">
      <c r="B135" s="9" t="str">
        <f t="shared" si="18"/>
        <v/>
      </c>
      <c r="C135" s="153">
        <f>IF(D93="","-",+C134+1)</f>
        <v>2053</v>
      </c>
      <c r="D135" s="154">
        <f>IF(F134+SUM(E$99:E134)=D$92,F134,D$92-SUM(E$99:E134))</f>
        <v>1002918.8928571413</v>
      </c>
      <c r="E135" s="160">
        <f>IF(+J96&lt;F134,J96,D135)</f>
        <v>154295.21428571429</v>
      </c>
      <c r="F135" s="159">
        <f t="shared" si="19"/>
        <v>848623.67857142701</v>
      </c>
      <c r="G135" s="159">
        <f t="shared" si="20"/>
        <v>925771.28571428417</v>
      </c>
      <c r="H135" s="163">
        <f t="shared" si="16"/>
        <v>266750.00184340263</v>
      </c>
      <c r="I135" s="253">
        <f t="shared" si="17"/>
        <v>266750.00184340263</v>
      </c>
      <c r="J135" s="158">
        <f t="shared" si="21"/>
        <v>0</v>
      </c>
      <c r="K135" s="158"/>
      <c r="L135" s="334"/>
      <c r="M135" s="158">
        <f t="shared" si="22"/>
        <v>0</v>
      </c>
      <c r="N135" s="334"/>
      <c r="O135" s="158">
        <f t="shared" si="23"/>
        <v>0</v>
      </c>
      <c r="P135" s="158">
        <f t="shared" si="24"/>
        <v>0</v>
      </c>
    </row>
    <row r="136" spans="2:16">
      <c r="B136" s="9" t="str">
        <f t="shared" si="18"/>
        <v/>
      </c>
      <c r="C136" s="153">
        <f>IF(D93="","-",+C135+1)</f>
        <v>2054</v>
      </c>
      <c r="D136" s="154">
        <f>IF(F135+SUM(E$99:E135)=D$92,F135,D$92-SUM(E$99:E135))</f>
        <v>848623.67857142701</v>
      </c>
      <c r="E136" s="160">
        <f>IF(+J96&lt;F135,J96,D136)</f>
        <v>154295.21428571429</v>
      </c>
      <c r="F136" s="159">
        <f t="shared" si="19"/>
        <v>694328.46428571269</v>
      </c>
      <c r="G136" s="159">
        <f t="shared" si="20"/>
        <v>771476.07142856985</v>
      </c>
      <c r="H136" s="163">
        <f t="shared" si="16"/>
        <v>248007.53725045454</v>
      </c>
      <c r="I136" s="253">
        <f t="shared" si="17"/>
        <v>248007.53725045454</v>
      </c>
      <c r="J136" s="158">
        <f t="shared" si="21"/>
        <v>0</v>
      </c>
      <c r="K136" s="158"/>
      <c r="L136" s="334"/>
      <c r="M136" s="158">
        <f t="shared" si="22"/>
        <v>0</v>
      </c>
      <c r="N136" s="334"/>
      <c r="O136" s="158">
        <f t="shared" si="23"/>
        <v>0</v>
      </c>
      <c r="P136" s="158">
        <f t="shared" si="24"/>
        <v>0</v>
      </c>
    </row>
    <row r="137" spans="2:16">
      <c r="B137" s="9" t="str">
        <f t="shared" si="18"/>
        <v/>
      </c>
      <c r="C137" s="153">
        <f>IF(D93="","-",+C136+1)</f>
        <v>2055</v>
      </c>
      <c r="D137" s="154">
        <f>IF(F136+SUM(E$99:E136)=D$92,F136,D$92-SUM(E$99:E136))</f>
        <v>694328.46428571269</v>
      </c>
      <c r="E137" s="160">
        <f>IF(+J96&lt;F136,J96,D137)</f>
        <v>154295.21428571429</v>
      </c>
      <c r="F137" s="159">
        <f t="shared" si="19"/>
        <v>540033.24999999837</v>
      </c>
      <c r="G137" s="159">
        <f t="shared" si="20"/>
        <v>617180.85714285553</v>
      </c>
      <c r="H137" s="163">
        <f t="shared" si="16"/>
        <v>229265.07265750645</v>
      </c>
      <c r="I137" s="253">
        <f t="shared" si="17"/>
        <v>229265.07265750645</v>
      </c>
      <c r="J137" s="158">
        <f t="shared" si="21"/>
        <v>0</v>
      </c>
      <c r="K137" s="158"/>
      <c r="L137" s="334"/>
      <c r="M137" s="158">
        <f t="shared" si="22"/>
        <v>0</v>
      </c>
      <c r="N137" s="334"/>
      <c r="O137" s="158">
        <f t="shared" si="23"/>
        <v>0</v>
      </c>
      <c r="P137" s="158">
        <f t="shared" si="24"/>
        <v>0</v>
      </c>
    </row>
    <row r="138" spans="2:16">
      <c r="B138" s="9" t="str">
        <f t="shared" si="18"/>
        <v/>
      </c>
      <c r="C138" s="153">
        <f>IF(D93="","-",+C137+1)</f>
        <v>2056</v>
      </c>
      <c r="D138" s="154">
        <f>IF(F137+SUM(E$99:E137)=D$92,F137,D$92-SUM(E$99:E137))</f>
        <v>540033.24999999837</v>
      </c>
      <c r="E138" s="160">
        <f>IF(+J96&lt;F137,J96,D138)</f>
        <v>154295.21428571429</v>
      </c>
      <c r="F138" s="159">
        <f t="shared" si="19"/>
        <v>385738.03571428405</v>
      </c>
      <c r="G138" s="159">
        <f t="shared" si="20"/>
        <v>462885.64285714121</v>
      </c>
      <c r="H138" s="163">
        <f t="shared" si="16"/>
        <v>210522.60806455836</v>
      </c>
      <c r="I138" s="253">
        <f t="shared" si="17"/>
        <v>210522.60806455836</v>
      </c>
      <c r="J138" s="158">
        <f t="shared" si="21"/>
        <v>0</v>
      </c>
      <c r="K138" s="158"/>
      <c r="L138" s="334"/>
      <c r="M138" s="158">
        <f t="shared" si="22"/>
        <v>0</v>
      </c>
      <c r="N138" s="334"/>
      <c r="O138" s="158">
        <f t="shared" si="23"/>
        <v>0</v>
      </c>
      <c r="P138" s="158">
        <f t="shared" si="24"/>
        <v>0</v>
      </c>
    </row>
    <row r="139" spans="2:16">
      <c r="B139" s="9" t="str">
        <f t="shared" si="18"/>
        <v/>
      </c>
      <c r="C139" s="153">
        <f>IF(D93="","-",+C138+1)</f>
        <v>2057</v>
      </c>
      <c r="D139" s="154">
        <f>IF(F138+SUM(E$99:E138)=D$92,F138,D$92-SUM(E$99:E138))</f>
        <v>385738.03571428405</v>
      </c>
      <c r="E139" s="160">
        <f>IF(+J96&lt;F138,J96,D139)</f>
        <v>154295.21428571429</v>
      </c>
      <c r="F139" s="159">
        <f t="shared" si="19"/>
        <v>231442.82142856976</v>
      </c>
      <c r="G139" s="159">
        <f t="shared" si="20"/>
        <v>308590.42857142689</v>
      </c>
      <c r="H139" s="163">
        <f t="shared" si="16"/>
        <v>191780.14347161027</v>
      </c>
      <c r="I139" s="253">
        <f t="shared" si="17"/>
        <v>191780.14347161027</v>
      </c>
      <c r="J139" s="158">
        <f t="shared" si="21"/>
        <v>0</v>
      </c>
      <c r="K139" s="158"/>
      <c r="L139" s="334"/>
      <c r="M139" s="158">
        <f t="shared" si="22"/>
        <v>0</v>
      </c>
      <c r="N139" s="334"/>
      <c r="O139" s="158">
        <f t="shared" si="23"/>
        <v>0</v>
      </c>
      <c r="P139" s="158">
        <f t="shared" si="24"/>
        <v>0</v>
      </c>
    </row>
    <row r="140" spans="2:16">
      <c r="B140" s="9" t="str">
        <f t="shared" si="18"/>
        <v/>
      </c>
      <c r="C140" s="153">
        <f>IF(D93="","-",+C139+1)</f>
        <v>2058</v>
      </c>
      <c r="D140" s="154">
        <f>IF(F139+SUM(E$99:E139)=D$92,F139,D$92-SUM(E$99:E139))</f>
        <v>231442.82142856976</v>
      </c>
      <c r="E140" s="160">
        <f>IF(+J96&lt;F139,J96,D140)</f>
        <v>154295.21428571429</v>
      </c>
      <c r="F140" s="159">
        <f t="shared" si="19"/>
        <v>77147.607142855471</v>
      </c>
      <c r="G140" s="159">
        <f t="shared" si="20"/>
        <v>154295.21428571263</v>
      </c>
      <c r="H140" s="163">
        <f t="shared" si="16"/>
        <v>173037.67887866218</v>
      </c>
      <c r="I140" s="253">
        <f t="shared" si="17"/>
        <v>173037.67887866218</v>
      </c>
      <c r="J140" s="158">
        <f t="shared" si="21"/>
        <v>0</v>
      </c>
      <c r="K140" s="158"/>
      <c r="L140" s="334"/>
      <c r="M140" s="158">
        <f t="shared" si="22"/>
        <v>0</v>
      </c>
      <c r="N140" s="334"/>
      <c r="O140" s="158">
        <f t="shared" si="23"/>
        <v>0</v>
      </c>
      <c r="P140" s="158">
        <f t="shared" si="24"/>
        <v>0</v>
      </c>
    </row>
    <row r="141" spans="2:16">
      <c r="B141" s="9" t="str">
        <f t="shared" si="18"/>
        <v/>
      </c>
      <c r="C141" s="153">
        <f>IF(D93="","-",+C140+1)</f>
        <v>2059</v>
      </c>
      <c r="D141" s="154">
        <f>IF(F140+SUM(E$99:E140)=D$92,F140,D$92-SUM(E$99:E140))</f>
        <v>77147.607142855471</v>
      </c>
      <c r="E141" s="160">
        <f>IF(+J96&lt;F140,J96,D141)</f>
        <v>77147.607142855471</v>
      </c>
      <c r="F141" s="159">
        <f t="shared" si="19"/>
        <v>0</v>
      </c>
      <c r="G141" s="159">
        <f t="shared" si="20"/>
        <v>38573.803571427736</v>
      </c>
      <c r="H141" s="163">
        <f t="shared" si="16"/>
        <v>81833.223291092392</v>
      </c>
      <c r="I141" s="253">
        <f t="shared" si="17"/>
        <v>81833.223291092392</v>
      </c>
      <c r="J141" s="158">
        <f t="shared" si="21"/>
        <v>0</v>
      </c>
      <c r="K141" s="158"/>
      <c r="L141" s="334"/>
      <c r="M141" s="158">
        <f t="shared" si="22"/>
        <v>0</v>
      </c>
      <c r="N141" s="334"/>
      <c r="O141" s="158">
        <f t="shared" si="23"/>
        <v>0</v>
      </c>
      <c r="P141" s="158">
        <f t="shared" si="24"/>
        <v>0</v>
      </c>
    </row>
    <row r="142" spans="2:16">
      <c r="B142" s="9" t="str">
        <f t="shared" si="18"/>
        <v/>
      </c>
      <c r="C142" s="153">
        <f>IF(D93="","-",+C141+1)</f>
        <v>2060</v>
      </c>
      <c r="D142" s="154">
        <f>IF(F141+SUM(E$99:E141)=D$92,F141,D$92-SUM(E$99:E141))</f>
        <v>0</v>
      </c>
      <c r="E142" s="160">
        <f>IF(+J96&lt;F141,J96,D142)</f>
        <v>0</v>
      </c>
      <c r="F142" s="159">
        <f t="shared" si="19"/>
        <v>0</v>
      </c>
      <c r="G142" s="159">
        <f t="shared" si="20"/>
        <v>0</v>
      </c>
      <c r="H142" s="163">
        <f t="shared" si="16"/>
        <v>0</v>
      </c>
      <c r="I142" s="253">
        <f t="shared" si="17"/>
        <v>0</v>
      </c>
      <c r="J142" s="158">
        <f t="shared" si="21"/>
        <v>0</v>
      </c>
      <c r="K142" s="158"/>
      <c r="L142" s="334"/>
      <c r="M142" s="158">
        <f t="shared" si="22"/>
        <v>0</v>
      </c>
      <c r="N142" s="334"/>
      <c r="O142" s="158">
        <f t="shared" si="23"/>
        <v>0</v>
      </c>
      <c r="P142" s="158">
        <f t="shared" si="24"/>
        <v>0</v>
      </c>
    </row>
    <row r="143" spans="2:16">
      <c r="B143" s="9" t="str">
        <f t="shared" si="18"/>
        <v/>
      </c>
      <c r="C143" s="153">
        <f>IF(D93="","-",+C142+1)</f>
        <v>2061</v>
      </c>
      <c r="D143" s="154">
        <f>IF(F142+SUM(E$99:E142)=D$92,F142,D$92-SUM(E$99:E142))</f>
        <v>0</v>
      </c>
      <c r="E143" s="160">
        <f>IF(+J96&lt;F142,J96,D143)</f>
        <v>0</v>
      </c>
      <c r="F143" s="159">
        <f t="shared" si="19"/>
        <v>0</v>
      </c>
      <c r="G143" s="159">
        <f t="shared" si="20"/>
        <v>0</v>
      </c>
      <c r="H143" s="163">
        <f t="shared" si="16"/>
        <v>0</v>
      </c>
      <c r="I143" s="253">
        <f t="shared" si="17"/>
        <v>0</v>
      </c>
      <c r="J143" s="158">
        <f t="shared" si="21"/>
        <v>0</v>
      </c>
      <c r="K143" s="158"/>
      <c r="L143" s="334"/>
      <c r="M143" s="158">
        <f t="shared" si="22"/>
        <v>0</v>
      </c>
      <c r="N143" s="334"/>
      <c r="O143" s="158">
        <f t="shared" si="23"/>
        <v>0</v>
      </c>
      <c r="P143" s="158">
        <f t="shared" si="24"/>
        <v>0</v>
      </c>
    </row>
    <row r="144" spans="2:16">
      <c r="B144" s="9" t="str">
        <f t="shared" si="18"/>
        <v/>
      </c>
      <c r="C144" s="153">
        <f>IF(D93="","-",+C143+1)</f>
        <v>2062</v>
      </c>
      <c r="D144" s="154">
        <f>IF(F143+SUM(E$99:E143)=D$92,F143,D$92-SUM(E$99:E143))</f>
        <v>0</v>
      </c>
      <c r="E144" s="160">
        <f>IF(+J96&lt;F143,J96,D144)</f>
        <v>0</v>
      </c>
      <c r="F144" s="159">
        <f t="shared" si="19"/>
        <v>0</v>
      </c>
      <c r="G144" s="159">
        <f t="shared" si="20"/>
        <v>0</v>
      </c>
      <c r="H144" s="163">
        <f t="shared" si="16"/>
        <v>0</v>
      </c>
      <c r="I144" s="253">
        <f t="shared" si="17"/>
        <v>0</v>
      </c>
      <c r="J144" s="158">
        <f t="shared" si="21"/>
        <v>0</v>
      </c>
      <c r="K144" s="158"/>
      <c r="L144" s="334"/>
      <c r="M144" s="158">
        <f t="shared" si="22"/>
        <v>0</v>
      </c>
      <c r="N144" s="334"/>
      <c r="O144" s="158">
        <f t="shared" si="23"/>
        <v>0</v>
      </c>
      <c r="P144" s="158">
        <f t="shared" si="24"/>
        <v>0</v>
      </c>
    </row>
    <row r="145" spans="2:16">
      <c r="B145" s="9" t="str">
        <f t="shared" si="18"/>
        <v/>
      </c>
      <c r="C145" s="153">
        <f>IF(D93="","-",+C144+1)</f>
        <v>2063</v>
      </c>
      <c r="D145" s="154">
        <f>IF(F144+SUM(E$99:E144)=D$92,F144,D$92-SUM(E$99:E144))</f>
        <v>0</v>
      </c>
      <c r="E145" s="160">
        <f>IF(+J96&lt;F144,J96,D145)</f>
        <v>0</v>
      </c>
      <c r="F145" s="159">
        <f t="shared" si="19"/>
        <v>0</v>
      </c>
      <c r="G145" s="159">
        <f t="shared" si="20"/>
        <v>0</v>
      </c>
      <c r="H145" s="163">
        <f t="shared" si="16"/>
        <v>0</v>
      </c>
      <c r="I145" s="253">
        <f t="shared" si="17"/>
        <v>0</v>
      </c>
      <c r="J145" s="158">
        <f t="shared" si="21"/>
        <v>0</v>
      </c>
      <c r="K145" s="158"/>
      <c r="L145" s="334"/>
      <c r="M145" s="158">
        <f t="shared" si="22"/>
        <v>0</v>
      </c>
      <c r="N145" s="334"/>
      <c r="O145" s="158">
        <f t="shared" si="23"/>
        <v>0</v>
      </c>
      <c r="P145" s="158">
        <f t="shared" si="24"/>
        <v>0</v>
      </c>
    </row>
    <row r="146" spans="2:16">
      <c r="B146" s="9" t="str">
        <f t="shared" si="18"/>
        <v/>
      </c>
      <c r="C146" s="153">
        <f>IF(D93="","-",+C145+1)</f>
        <v>2064</v>
      </c>
      <c r="D146" s="154">
        <f>IF(F145+SUM(E$99:E145)=D$92,F145,D$92-SUM(E$99:E145))</f>
        <v>0</v>
      </c>
      <c r="E146" s="160">
        <f>IF(+J96&lt;F145,J96,D146)</f>
        <v>0</v>
      </c>
      <c r="F146" s="159">
        <f t="shared" si="19"/>
        <v>0</v>
      </c>
      <c r="G146" s="159">
        <f t="shared" si="20"/>
        <v>0</v>
      </c>
      <c r="H146" s="163">
        <f t="shared" si="16"/>
        <v>0</v>
      </c>
      <c r="I146" s="253">
        <f t="shared" si="17"/>
        <v>0</v>
      </c>
      <c r="J146" s="158">
        <f t="shared" si="21"/>
        <v>0</v>
      </c>
      <c r="K146" s="158"/>
      <c r="L146" s="334"/>
      <c r="M146" s="158">
        <f t="shared" si="22"/>
        <v>0</v>
      </c>
      <c r="N146" s="334"/>
      <c r="O146" s="158">
        <f t="shared" si="23"/>
        <v>0</v>
      </c>
      <c r="P146" s="158">
        <f t="shared" si="24"/>
        <v>0</v>
      </c>
    </row>
    <row r="147" spans="2:16">
      <c r="B147" s="9" t="str">
        <f t="shared" si="18"/>
        <v/>
      </c>
      <c r="C147" s="153">
        <f>IF(D93="","-",+C146+1)</f>
        <v>2065</v>
      </c>
      <c r="D147" s="154">
        <f>IF(F146+SUM(E$99:E146)=D$92,F146,D$92-SUM(E$99:E146))</f>
        <v>0</v>
      </c>
      <c r="E147" s="160">
        <f>IF(+J96&lt;F146,J96,D147)</f>
        <v>0</v>
      </c>
      <c r="F147" s="159">
        <f t="shared" si="19"/>
        <v>0</v>
      </c>
      <c r="G147" s="159">
        <f t="shared" si="20"/>
        <v>0</v>
      </c>
      <c r="H147" s="163">
        <f t="shared" si="16"/>
        <v>0</v>
      </c>
      <c r="I147" s="253">
        <f t="shared" si="17"/>
        <v>0</v>
      </c>
      <c r="J147" s="158">
        <f t="shared" si="21"/>
        <v>0</v>
      </c>
      <c r="K147" s="158"/>
      <c r="L147" s="334"/>
      <c r="M147" s="158">
        <f t="shared" si="22"/>
        <v>0</v>
      </c>
      <c r="N147" s="334"/>
      <c r="O147" s="158">
        <f t="shared" si="23"/>
        <v>0</v>
      </c>
      <c r="P147" s="158">
        <f t="shared" si="24"/>
        <v>0</v>
      </c>
    </row>
    <row r="148" spans="2:16">
      <c r="B148" s="9" t="str">
        <f t="shared" si="18"/>
        <v/>
      </c>
      <c r="C148" s="153">
        <f>IF(D93="","-",+C147+1)</f>
        <v>2066</v>
      </c>
      <c r="D148" s="154">
        <f>IF(F147+SUM(E$99:E147)=D$92,F147,D$92-SUM(E$99:E147))</f>
        <v>0</v>
      </c>
      <c r="E148" s="160">
        <f>IF(+J96&lt;F147,J96,D148)</f>
        <v>0</v>
      </c>
      <c r="F148" s="159">
        <f t="shared" si="19"/>
        <v>0</v>
      </c>
      <c r="G148" s="159">
        <f t="shared" si="20"/>
        <v>0</v>
      </c>
      <c r="H148" s="163">
        <f t="shared" si="16"/>
        <v>0</v>
      </c>
      <c r="I148" s="253">
        <f t="shared" si="17"/>
        <v>0</v>
      </c>
      <c r="J148" s="158">
        <f t="shared" si="21"/>
        <v>0</v>
      </c>
      <c r="K148" s="158"/>
      <c r="L148" s="334"/>
      <c r="M148" s="158">
        <f t="shared" si="22"/>
        <v>0</v>
      </c>
      <c r="N148" s="334"/>
      <c r="O148" s="158">
        <f t="shared" si="23"/>
        <v>0</v>
      </c>
      <c r="P148" s="158">
        <f t="shared" si="24"/>
        <v>0</v>
      </c>
    </row>
    <row r="149" spans="2:16">
      <c r="B149" s="9" t="str">
        <f t="shared" si="18"/>
        <v/>
      </c>
      <c r="C149" s="153">
        <f>IF(D93="","-",+C148+1)</f>
        <v>2067</v>
      </c>
      <c r="D149" s="154">
        <f>IF(F148+SUM(E$99:E148)=D$92,F148,D$92-SUM(E$99:E148))</f>
        <v>0</v>
      </c>
      <c r="E149" s="160">
        <f>IF(+J96&lt;F148,J96,D149)</f>
        <v>0</v>
      </c>
      <c r="F149" s="159">
        <f t="shared" si="19"/>
        <v>0</v>
      </c>
      <c r="G149" s="159">
        <f t="shared" si="20"/>
        <v>0</v>
      </c>
      <c r="H149" s="163">
        <f t="shared" si="16"/>
        <v>0</v>
      </c>
      <c r="I149" s="253">
        <f t="shared" si="17"/>
        <v>0</v>
      </c>
      <c r="J149" s="158">
        <f t="shared" si="21"/>
        <v>0</v>
      </c>
      <c r="K149" s="158"/>
      <c r="L149" s="334"/>
      <c r="M149" s="158">
        <f t="shared" si="22"/>
        <v>0</v>
      </c>
      <c r="N149" s="334"/>
      <c r="O149" s="158">
        <f t="shared" si="23"/>
        <v>0</v>
      </c>
      <c r="P149" s="158">
        <f t="shared" si="24"/>
        <v>0</v>
      </c>
    </row>
    <row r="150" spans="2:16">
      <c r="B150" s="9" t="str">
        <f t="shared" si="18"/>
        <v/>
      </c>
      <c r="C150" s="153">
        <f>IF(D93="","-",+C149+1)</f>
        <v>2068</v>
      </c>
      <c r="D150" s="154">
        <f>IF(F149+SUM(E$99:E149)=D$92,F149,D$92-SUM(E$99:E149))</f>
        <v>0</v>
      </c>
      <c r="E150" s="160">
        <f>IF(+J96&lt;F149,J96,D150)</f>
        <v>0</v>
      </c>
      <c r="F150" s="159">
        <f t="shared" si="19"/>
        <v>0</v>
      </c>
      <c r="G150" s="159">
        <f t="shared" si="20"/>
        <v>0</v>
      </c>
      <c r="H150" s="163">
        <f t="shared" si="16"/>
        <v>0</v>
      </c>
      <c r="I150" s="253">
        <f t="shared" si="17"/>
        <v>0</v>
      </c>
      <c r="J150" s="158">
        <f t="shared" si="21"/>
        <v>0</v>
      </c>
      <c r="K150" s="158"/>
      <c r="L150" s="334"/>
      <c r="M150" s="158">
        <f t="shared" si="22"/>
        <v>0</v>
      </c>
      <c r="N150" s="334"/>
      <c r="O150" s="158">
        <f t="shared" si="23"/>
        <v>0</v>
      </c>
      <c r="P150" s="158">
        <f t="shared" si="24"/>
        <v>0</v>
      </c>
    </row>
    <row r="151" spans="2:16">
      <c r="B151" s="9" t="str">
        <f t="shared" si="18"/>
        <v/>
      </c>
      <c r="C151" s="153">
        <f>IF(D93="","-",+C150+1)</f>
        <v>2069</v>
      </c>
      <c r="D151" s="154">
        <f>IF(F150+SUM(E$99:E150)=D$92,F150,D$92-SUM(E$99:E150))</f>
        <v>0</v>
      </c>
      <c r="E151" s="160">
        <f>IF(+J96&lt;F150,J96,D151)</f>
        <v>0</v>
      </c>
      <c r="F151" s="159">
        <f t="shared" si="19"/>
        <v>0</v>
      </c>
      <c r="G151" s="159">
        <f t="shared" si="20"/>
        <v>0</v>
      </c>
      <c r="H151" s="163">
        <f t="shared" si="16"/>
        <v>0</v>
      </c>
      <c r="I151" s="253">
        <f t="shared" si="17"/>
        <v>0</v>
      </c>
      <c r="J151" s="158">
        <f t="shared" si="21"/>
        <v>0</v>
      </c>
      <c r="K151" s="158"/>
      <c r="L151" s="334"/>
      <c r="M151" s="158">
        <f t="shared" si="22"/>
        <v>0</v>
      </c>
      <c r="N151" s="334"/>
      <c r="O151" s="158">
        <f t="shared" si="23"/>
        <v>0</v>
      </c>
      <c r="P151" s="158">
        <f t="shared" si="24"/>
        <v>0</v>
      </c>
    </row>
    <row r="152" spans="2:16">
      <c r="B152" s="9" t="str">
        <f t="shared" si="18"/>
        <v/>
      </c>
      <c r="C152" s="153">
        <f>IF(D93="","-",+C151+1)</f>
        <v>2070</v>
      </c>
      <c r="D152" s="154">
        <f>IF(F151+SUM(E$99:E151)=D$92,F151,D$92-SUM(E$99:E151))</f>
        <v>0</v>
      </c>
      <c r="E152" s="160">
        <f>IF(+J96&lt;F151,J96,D152)</f>
        <v>0</v>
      </c>
      <c r="F152" s="159">
        <f t="shared" si="19"/>
        <v>0</v>
      </c>
      <c r="G152" s="159">
        <f t="shared" si="20"/>
        <v>0</v>
      </c>
      <c r="H152" s="163">
        <f t="shared" si="16"/>
        <v>0</v>
      </c>
      <c r="I152" s="253">
        <f t="shared" si="17"/>
        <v>0</v>
      </c>
      <c r="J152" s="158">
        <f t="shared" si="21"/>
        <v>0</v>
      </c>
      <c r="K152" s="158"/>
      <c r="L152" s="334"/>
      <c r="M152" s="158">
        <f t="shared" si="22"/>
        <v>0</v>
      </c>
      <c r="N152" s="334"/>
      <c r="O152" s="158">
        <f t="shared" si="23"/>
        <v>0</v>
      </c>
      <c r="P152" s="158">
        <f t="shared" si="24"/>
        <v>0</v>
      </c>
    </row>
    <row r="153" spans="2:16">
      <c r="B153" s="9" t="str">
        <f t="shared" si="18"/>
        <v/>
      </c>
      <c r="C153" s="153">
        <f>IF(D93="","-",+C152+1)</f>
        <v>2071</v>
      </c>
      <c r="D153" s="154">
        <f>IF(F152+SUM(E$99:E152)=D$92,F152,D$92-SUM(E$99:E152))</f>
        <v>0</v>
      </c>
      <c r="E153" s="160">
        <f>IF(+J96&lt;F152,J96,D153)</f>
        <v>0</v>
      </c>
      <c r="F153" s="159">
        <f t="shared" si="19"/>
        <v>0</v>
      </c>
      <c r="G153" s="159">
        <f t="shared" si="20"/>
        <v>0</v>
      </c>
      <c r="H153" s="163">
        <f t="shared" si="16"/>
        <v>0</v>
      </c>
      <c r="I153" s="253">
        <f t="shared" si="17"/>
        <v>0</v>
      </c>
      <c r="J153" s="158">
        <f t="shared" si="21"/>
        <v>0</v>
      </c>
      <c r="K153" s="158"/>
      <c r="L153" s="334"/>
      <c r="M153" s="158">
        <f t="shared" si="22"/>
        <v>0</v>
      </c>
      <c r="N153" s="334"/>
      <c r="O153" s="158">
        <f t="shared" si="23"/>
        <v>0</v>
      </c>
      <c r="P153" s="158">
        <f t="shared" si="24"/>
        <v>0</v>
      </c>
    </row>
    <row r="154" spans="2:16" ht="13.5" thickBot="1">
      <c r="B154" s="9" t="str">
        <f t="shared" si="18"/>
        <v/>
      </c>
      <c r="C154" s="164">
        <f>IF(D93="","-",+C153+1)</f>
        <v>2072</v>
      </c>
      <c r="D154" s="215">
        <f>IF(F153+SUM(E$99:E153)=D$92,F153,D$92-SUM(E$99:E153))</f>
        <v>0</v>
      </c>
      <c r="E154" s="166">
        <f>IF(+J96&lt;F153,J96,D154)</f>
        <v>0</v>
      </c>
      <c r="F154" s="165">
        <f t="shared" si="19"/>
        <v>0</v>
      </c>
      <c r="G154" s="165">
        <f t="shared" si="20"/>
        <v>0</v>
      </c>
      <c r="H154" s="167">
        <f t="shared" si="16"/>
        <v>0</v>
      </c>
      <c r="I154" s="254">
        <f t="shared" si="17"/>
        <v>0</v>
      </c>
      <c r="J154" s="169">
        <f t="shared" si="21"/>
        <v>0</v>
      </c>
      <c r="K154" s="158"/>
      <c r="L154" s="335"/>
      <c r="M154" s="169">
        <f t="shared" si="22"/>
        <v>0</v>
      </c>
      <c r="N154" s="335"/>
      <c r="O154" s="169">
        <f t="shared" si="23"/>
        <v>0</v>
      </c>
      <c r="P154" s="169">
        <f t="shared" si="24"/>
        <v>0</v>
      </c>
    </row>
    <row r="155" spans="2:16">
      <c r="C155" s="154" t="s">
        <v>73</v>
      </c>
      <c r="D155" s="111"/>
      <c r="E155" s="111">
        <f>SUM(E99:E154)</f>
        <v>6480399</v>
      </c>
      <c r="F155" s="111"/>
      <c r="G155" s="111"/>
      <c r="H155" s="111">
        <f>SUM(H99:H154)</f>
        <v>23011252.770980194</v>
      </c>
      <c r="I155" s="111">
        <f>SUM(I99:I154)</f>
        <v>23011252.770980194</v>
      </c>
      <c r="J155" s="111">
        <f>SUM(J99:J154)</f>
        <v>0</v>
      </c>
      <c r="K155" s="111"/>
      <c r="L155" s="111"/>
      <c r="M155" s="111"/>
      <c r="N155" s="111"/>
      <c r="O155" s="111"/>
      <c r="P155" s="1"/>
    </row>
    <row r="156" spans="2:16">
      <c r="C156" t="s">
        <v>87</v>
      </c>
      <c r="D156" s="2"/>
      <c r="E156" s="1"/>
      <c r="F156" s="1"/>
      <c r="G156" s="1"/>
      <c r="H156" s="1"/>
      <c r="I156" s="3"/>
      <c r="J156" s="3"/>
      <c r="K156" s="111"/>
      <c r="L156" s="3"/>
      <c r="M156" s="3"/>
      <c r="N156" s="3"/>
      <c r="O156" s="3"/>
      <c r="P156" s="1"/>
    </row>
    <row r="157" spans="2:16">
      <c r="C157" s="216"/>
      <c r="D157" s="2"/>
      <c r="E157" s="1"/>
      <c r="F157" s="1"/>
      <c r="G157" s="1"/>
      <c r="H157" s="1"/>
      <c r="I157" s="3"/>
      <c r="J157" s="3"/>
      <c r="K157" s="111"/>
      <c r="L157" s="3"/>
      <c r="M157" s="3"/>
      <c r="N157" s="3"/>
      <c r="O157" s="3"/>
      <c r="P157" s="1"/>
    </row>
    <row r="158" spans="2:16">
      <c r="C158" s="248" t="s">
        <v>127</v>
      </c>
      <c r="D158" s="2"/>
      <c r="E158" s="1"/>
      <c r="F158" s="1"/>
      <c r="G158" s="1"/>
      <c r="H158" s="1"/>
      <c r="I158" s="3"/>
      <c r="J158" s="3"/>
      <c r="K158" s="111"/>
      <c r="L158" s="3"/>
      <c r="M158" s="3"/>
      <c r="N158" s="3"/>
      <c r="O158" s="3"/>
      <c r="P158" s="1"/>
    </row>
    <row r="159" spans="2:16">
      <c r="C159" s="121" t="s">
        <v>74</v>
      </c>
      <c r="D159" s="154"/>
      <c r="E159" s="154"/>
      <c r="F159" s="154"/>
      <c r="G159" s="154"/>
      <c r="H159" s="111"/>
      <c r="I159" s="111"/>
      <c r="J159" s="171"/>
      <c r="K159" s="171"/>
      <c r="L159" s="171"/>
      <c r="M159" s="171"/>
      <c r="N159" s="171"/>
      <c r="O159" s="171"/>
      <c r="P159" s="1"/>
    </row>
    <row r="160" spans="2:16">
      <c r="C160" s="217" t="s">
        <v>75</v>
      </c>
      <c r="D160" s="154"/>
      <c r="E160" s="154"/>
      <c r="F160" s="154"/>
      <c r="G160" s="154"/>
      <c r="H160" s="111"/>
      <c r="I160" s="111"/>
      <c r="J160" s="171"/>
      <c r="K160" s="171"/>
      <c r="L160" s="171"/>
      <c r="M160" s="171"/>
      <c r="N160" s="171"/>
      <c r="O160" s="171"/>
      <c r="P160" s="1"/>
    </row>
    <row r="161" spans="3:16">
      <c r="C161" s="217"/>
      <c r="D161" s="154"/>
      <c r="E161" s="154"/>
      <c r="F161" s="154"/>
      <c r="G161" s="154"/>
      <c r="H161" s="111"/>
      <c r="I161" s="111"/>
      <c r="J161" s="171"/>
      <c r="K161" s="171"/>
      <c r="L161" s="171"/>
      <c r="M161" s="171"/>
      <c r="N161" s="171"/>
      <c r="O161" s="171"/>
      <c r="P161" s="1"/>
    </row>
    <row r="162" spans="3:16" ht="18">
      <c r="C162" s="217"/>
      <c r="D162" s="154"/>
      <c r="E162" s="154"/>
      <c r="F162" s="154"/>
      <c r="G162" s="154"/>
      <c r="H162" s="111"/>
      <c r="I162" s="111"/>
      <c r="J162" s="171"/>
      <c r="K162" s="171"/>
      <c r="L162" s="171"/>
      <c r="M162" s="171"/>
      <c r="N162" s="171"/>
      <c r="P162" s="245" t="s">
        <v>126</v>
      </c>
    </row>
  </sheetData>
  <conditionalFormatting sqref="C18:C72">
    <cfRule type="cellIs" dxfId="25" priority="2" stopIfTrue="1" operator="equal">
      <formula>$I$10</formula>
    </cfRule>
  </conditionalFormatting>
  <conditionalFormatting sqref="C99:C154">
    <cfRule type="cellIs" dxfId="24" priority="3" stopIfTrue="1" operator="equal">
      <formula>$J$92</formula>
    </cfRule>
  </conditionalFormatting>
  <conditionalFormatting sqref="C17">
    <cfRule type="cellIs" dxfId="23" priority="1" stopIfTrue="1" operator="equal">
      <formula>$I$10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A1:Q162"/>
  <sheetViews>
    <sheetView view="pageBreakPreview" zoomScale="88" zoomScaleNormal="100" zoomScaleSheetLayoutView="88" workbookViewId="0">
      <selection activeCell="C19" sqref="C19"/>
    </sheetView>
  </sheetViews>
  <sheetFormatPr defaultRowHeight="12.75" customHeight="1"/>
  <cols>
    <col min="1" max="1" width="4.7109375" customWidth="1"/>
    <col min="2" max="2" width="6.7109375" customWidth="1"/>
    <col min="3" max="3" width="23.28515625" customWidth="1"/>
    <col min="4" max="8" width="17.7109375" customWidth="1"/>
    <col min="9" max="9" width="20.42578125" customWidth="1"/>
    <col min="10" max="10" width="16.42578125" customWidth="1"/>
    <col min="11" max="11" width="17.7109375" customWidth="1"/>
    <col min="12" max="12" width="16.140625" customWidth="1"/>
    <col min="13" max="13" width="17.7109375" customWidth="1"/>
    <col min="14" max="14" width="16.140625" customWidth="1"/>
    <col min="15" max="15" width="16.85546875" customWidth="1"/>
    <col min="16" max="16" width="24.42578125" customWidth="1"/>
    <col min="17" max="17" width="4.7109375" customWidth="1"/>
    <col min="23" max="23" width="9.140625" customWidth="1"/>
  </cols>
  <sheetData>
    <row r="1" spans="1:17" ht="20.25">
      <c r="A1" s="243" t="s">
        <v>128</v>
      </c>
      <c r="B1" s="1"/>
      <c r="C1" s="21"/>
      <c r="D1" s="2"/>
      <c r="E1" s="1"/>
      <c r="F1" s="99"/>
      <c r="G1" s="1"/>
      <c r="H1" s="3"/>
      <c r="J1" s="7"/>
      <c r="K1" s="109"/>
      <c r="L1" s="109"/>
      <c r="M1" s="109"/>
      <c r="P1" s="249" t="str">
        <f ca="1">"SWEPCO Project "&amp;RIGHT(MID(CELL("filename",$A$1),FIND("]",CELL("filename",$A$1))+1,256),1)&amp;" of "&amp;COUNT('S.001:S.xyz - blank'!$P$3)-1</f>
        <v>SWEPCO Project 4 of 73</v>
      </c>
      <c r="Q1" s="108"/>
    </row>
    <row r="2" spans="1:17" ht="18">
      <c r="B2" s="1"/>
      <c r="C2" s="1"/>
      <c r="D2" s="2"/>
      <c r="E2" s="1"/>
      <c r="F2" s="1"/>
      <c r="G2" s="1"/>
      <c r="H2" s="3"/>
      <c r="I2" s="1"/>
      <c r="J2" s="4"/>
      <c r="K2" s="1"/>
      <c r="L2" s="1"/>
      <c r="M2" s="1"/>
      <c r="N2" s="1"/>
      <c r="P2" s="237" t="s">
        <v>124</v>
      </c>
    </row>
    <row r="3" spans="1:17" ht="18.75">
      <c r="B3" s="5" t="s">
        <v>40</v>
      </c>
      <c r="C3" s="68" t="s">
        <v>41</v>
      </c>
      <c r="D3" s="2"/>
      <c r="E3" s="1"/>
      <c r="F3" s="1"/>
      <c r="G3" s="1"/>
      <c r="H3" s="3"/>
      <c r="I3" s="3"/>
      <c r="J3" s="111"/>
      <c r="K3" s="3"/>
      <c r="L3" s="3"/>
      <c r="M3" s="3"/>
      <c r="N3" s="3"/>
      <c r="O3" s="1" t="str">
        <f>RIGHT(N3,3)</f>
        <v/>
      </c>
      <c r="P3" s="239">
        <v>1</v>
      </c>
    </row>
    <row r="4" spans="1:17" ht="15.75" thickBot="1">
      <c r="C4" s="67"/>
      <c r="D4" s="2"/>
      <c r="E4" s="1"/>
      <c r="F4" s="1"/>
      <c r="G4" s="1"/>
      <c r="H4" s="3"/>
      <c r="I4" s="3"/>
      <c r="J4" s="111"/>
      <c r="K4" s="3"/>
      <c r="L4" s="3"/>
      <c r="M4" s="3"/>
      <c r="N4" s="3"/>
      <c r="O4" s="1"/>
      <c r="P4" s="1"/>
    </row>
    <row r="5" spans="1:17" ht="15">
      <c r="C5" s="112" t="s">
        <v>42</v>
      </c>
      <c r="D5" s="2"/>
      <c r="E5" s="1"/>
      <c r="F5" s="1"/>
      <c r="G5" s="113"/>
      <c r="H5" s="1" t="s">
        <v>43</v>
      </c>
      <c r="I5" s="1"/>
      <c r="J5" s="4"/>
      <c r="K5" s="268" t="s">
        <v>152</v>
      </c>
      <c r="L5" s="114"/>
      <c r="M5" s="115"/>
      <c r="N5" s="116">
        <f>VLOOKUP(I10,C17:I72,5)</f>
        <v>1151409.3290477241</v>
      </c>
      <c r="P5" s="1"/>
    </row>
    <row r="6" spans="1:17" ht="15.75">
      <c r="C6" s="8"/>
      <c r="D6" s="2"/>
      <c r="E6" s="1"/>
      <c r="F6" s="1"/>
      <c r="G6" s="1"/>
      <c r="H6" s="117"/>
      <c r="I6" s="117"/>
      <c r="J6" s="118"/>
      <c r="K6" s="269" t="s">
        <v>153</v>
      </c>
      <c r="L6" s="119"/>
      <c r="M6" s="4"/>
      <c r="N6" s="120">
        <f>VLOOKUP(I10,C17:I72,6)</f>
        <v>1151409.3290477241</v>
      </c>
      <c r="O6" s="1"/>
      <c r="P6" s="1"/>
    </row>
    <row r="7" spans="1:17" ht="13.5" thickBot="1">
      <c r="C7" s="121" t="s">
        <v>44</v>
      </c>
      <c r="D7" s="273" t="s">
        <v>221</v>
      </c>
      <c r="E7" s="1"/>
      <c r="F7" s="1"/>
      <c r="G7" s="1"/>
      <c r="H7" s="3"/>
      <c r="I7" s="3"/>
      <c r="J7" s="111"/>
      <c r="K7" s="122" t="s">
        <v>45</v>
      </c>
      <c r="L7" s="123"/>
      <c r="M7" s="123"/>
      <c r="N7" s="124">
        <f>+N6-N5</f>
        <v>0</v>
      </c>
      <c r="O7" s="1"/>
      <c r="P7" s="1"/>
    </row>
    <row r="8" spans="1:17" ht="13.5" thickBot="1">
      <c r="C8" s="125"/>
      <c r="D8" s="247" t="str">
        <f>IF(D10&lt;100000,"DOES NOT MEET SPP $100,000 MINIMUM INVESTMENT FOR REGIONAL BPU SHARING.","")</f>
        <v/>
      </c>
      <c r="E8" s="126"/>
      <c r="F8" s="126"/>
      <c r="G8" s="126"/>
      <c r="H8" s="126"/>
      <c r="I8" s="126"/>
      <c r="J8" s="101"/>
      <c r="K8" s="126"/>
      <c r="L8" s="126"/>
      <c r="M8" s="126"/>
      <c r="N8" s="126"/>
      <c r="O8" s="101"/>
      <c r="P8" s="21"/>
    </row>
    <row r="9" spans="1:17" ht="13.5" thickBot="1">
      <c r="A9" s="103"/>
      <c r="C9" s="127" t="s">
        <v>46</v>
      </c>
      <c r="D9" s="225" t="s">
        <v>138</v>
      </c>
      <c r="E9" s="401" t="s">
        <v>398</v>
      </c>
      <c r="F9" s="128"/>
      <c r="G9" s="128"/>
      <c r="H9" s="128"/>
      <c r="I9" s="129"/>
      <c r="J9" s="130"/>
      <c r="O9" s="131"/>
      <c r="P9" s="4"/>
    </row>
    <row r="10" spans="1:17">
      <c r="C10" s="132" t="s">
        <v>47</v>
      </c>
      <c r="D10" s="133">
        <v>11580311</v>
      </c>
      <c r="E10" s="61" t="s">
        <v>459</v>
      </c>
      <c r="F10" s="131"/>
      <c r="G10" s="134"/>
      <c r="H10" s="134"/>
      <c r="I10" s="135">
        <f>+SWE.WS.F.BPU.ATRR.Projected!K17</f>
        <v>2019</v>
      </c>
      <c r="J10" s="130"/>
      <c r="K10" s="111" t="s">
        <v>48</v>
      </c>
      <c r="O10" s="4"/>
      <c r="P10" s="4"/>
    </row>
    <row r="11" spans="1:17">
      <c r="C11" s="136" t="s">
        <v>49</v>
      </c>
      <c r="D11" s="137">
        <v>2009</v>
      </c>
      <c r="E11" s="136" t="s">
        <v>50</v>
      </c>
      <c r="F11" s="134"/>
      <c r="G11" s="7"/>
      <c r="H11" s="7"/>
      <c r="I11" s="138">
        <v>0</v>
      </c>
      <c r="J11" s="139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4"/>
      <c r="P11" s="4"/>
    </row>
    <row r="12" spans="1:17">
      <c r="C12" s="136" t="s">
        <v>51</v>
      </c>
      <c r="D12" s="133">
        <v>6</v>
      </c>
      <c r="E12" s="136" t="s">
        <v>52</v>
      </c>
      <c r="F12" s="134"/>
      <c r="G12" s="7"/>
      <c r="H12" s="7"/>
      <c r="I12" s="140">
        <f>SWE.WS.F.BPU.ATRR.Projected!$F$76</f>
        <v>9.9555672459071778E-2</v>
      </c>
      <c r="J12" s="141"/>
      <c r="K12" t="s">
        <v>53</v>
      </c>
      <c r="O12" s="4"/>
      <c r="P12" s="4"/>
    </row>
    <row r="13" spans="1:17">
      <c r="C13" s="136" t="s">
        <v>54</v>
      </c>
      <c r="D13" s="138">
        <f>+SWE.WS.F.BPU.ATRR.Projected!F$87</f>
        <v>43</v>
      </c>
      <c r="E13" s="136" t="s">
        <v>55</v>
      </c>
      <c r="F13" s="134"/>
      <c r="G13" s="7"/>
      <c r="H13" s="7"/>
      <c r="I13" s="140">
        <f>IF(G5="",I12,SWE.WS.F.BPU.ATRR.Projected!$F$75)</f>
        <v>9.9555672459071778E-2</v>
      </c>
      <c r="J13" s="141"/>
      <c r="K13" s="111" t="s">
        <v>56</v>
      </c>
      <c r="L13" s="58"/>
      <c r="M13" s="58"/>
      <c r="N13" s="58"/>
      <c r="O13" s="4"/>
      <c r="P13" s="4"/>
    </row>
    <row r="14" spans="1:17" ht="13.5" thickBot="1">
      <c r="C14" s="136" t="s">
        <v>57</v>
      </c>
      <c r="D14" s="137" t="s">
        <v>58</v>
      </c>
      <c r="E14" s="4" t="s">
        <v>59</v>
      </c>
      <c r="F14" s="134"/>
      <c r="G14" s="7"/>
      <c r="H14" s="7"/>
      <c r="I14" s="142">
        <f>IF(D10=0,0,D10/D13)</f>
        <v>269309.5581395349</v>
      </c>
      <c r="J14" s="111"/>
      <c r="K14" s="111"/>
      <c r="L14" s="111"/>
      <c r="M14" s="111"/>
      <c r="N14" s="111"/>
      <c r="O14" s="4"/>
      <c r="P14" s="4"/>
    </row>
    <row r="15" spans="1:17" ht="38.25">
      <c r="C15" s="143" t="s">
        <v>47</v>
      </c>
      <c r="D15" s="144" t="s">
        <v>60</v>
      </c>
      <c r="E15" s="144" t="s">
        <v>61</v>
      </c>
      <c r="F15" s="144" t="s">
        <v>62</v>
      </c>
      <c r="G15" s="434" t="s">
        <v>378</v>
      </c>
      <c r="H15" s="435" t="s">
        <v>379</v>
      </c>
      <c r="I15" s="351" t="s">
        <v>249</v>
      </c>
      <c r="J15" s="145"/>
      <c r="K15" s="271" t="s">
        <v>219</v>
      </c>
      <c r="L15" s="146" t="s">
        <v>64</v>
      </c>
      <c r="M15" s="271" t="s">
        <v>219</v>
      </c>
      <c r="N15" s="146" t="s">
        <v>64</v>
      </c>
      <c r="O15" s="146" t="s">
        <v>65</v>
      </c>
      <c r="P15" s="4"/>
    </row>
    <row r="16" spans="1:17" ht="13.5" thickBot="1">
      <c r="C16" s="147" t="s">
        <v>66</v>
      </c>
      <c r="D16" s="147" t="s">
        <v>67</v>
      </c>
      <c r="E16" s="147" t="s">
        <v>68</v>
      </c>
      <c r="F16" s="147" t="s">
        <v>67</v>
      </c>
      <c r="G16" s="408" t="s">
        <v>69</v>
      </c>
      <c r="H16" s="148" t="s">
        <v>70</v>
      </c>
      <c r="I16" s="149" t="s">
        <v>89</v>
      </c>
      <c r="J16" s="150" t="s">
        <v>71</v>
      </c>
      <c r="K16" s="151" t="s">
        <v>72</v>
      </c>
      <c r="L16" s="151" t="s">
        <v>72</v>
      </c>
      <c r="M16" s="151" t="s">
        <v>90</v>
      </c>
      <c r="N16" s="152" t="s">
        <v>90</v>
      </c>
      <c r="O16" s="151" t="s">
        <v>90</v>
      </c>
      <c r="P16" s="4"/>
    </row>
    <row r="17" spans="2:16">
      <c r="C17" s="153">
        <f>IF(D11= "","-",D11)</f>
        <v>2009</v>
      </c>
      <c r="D17" s="357">
        <v>5012222</v>
      </c>
      <c r="E17" s="358">
        <v>67733</v>
      </c>
      <c r="F17" s="357">
        <v>4944489</v>
      </c>
      <c r="G17" s="358">
        <v>509785</v>
      </c>
      <c r="H17" s="359">
        <v>509785</v>
      </c>
      <c r="I17" s="156">
        <f t="shared" ref="I17:I48" si="0">H17-G17</f>
        <v>0</v>
      </c>
      <c r="J17" s="156"/>
      <c r="K17" s="256">
        <v>509785</v>
      </c>
      <c r="L17" s="157">
        <f t="shared" ref="L17:L48" si="1">IF(K17&lt;&gt;0,+G17-K17,0)</f>
        <v>0</v>
      </c>
      <c r="M17" s="256">
        <v>509785</v>
      </c>
      <c r="N17" s="157">
        <f t="shared" ref="N17:N48" si="2">IF(M17&lt;&gt;0,+H17-M17,0)</f>
        <v>0</v>
      </c>
      <c r="O17" s="158">
        <f t="shared" ref="O17:O48" si="3">+N17-L17</f>
        <v>0</v>
      </c>
      <c r="P17" s="4"/>
    </row>
    <row r="18" spans="2:16">
      <c r="B18" s="9" t="str">
        <f>IF(D18=F17,"","IU")</f>
        <v>IU</v>
      </c>
      <c r="C18" s="153">
        <f>IF(D11="","-",+C17+1)</f>
        <v>2010</v>
      </c>
      <c r="D18" s="361">
        <v>11512579</v>
      </c>
      <c r="E18" s="360">
        <v>304745</v>
      </c>
      <c r="F18" s="361">
        <v>11207834</v>
      </c>
      <c r="G18" s="360">
        <v>1916039</v>
      </c>
      <c r="H18" s="359">
        <v>1916039</v>
      </c>
      <c r="I18" s="368">
        <v>0</v>
      </c>
      <c r="J18" s="156"/>
      <c r="K18" s="258">
        <f t="shared" ref="K18:K23" si="4">G18</f>
        <v>1916039</v>
      </c>
      <c r="L18" s="257">
        <f t="shared" si="1"/>
        <v>0</v>
      </c>
      <c r="M18" s="258">
        <f t="shared" ref="M18:M23" si="5">H18</f>
        <v>1916039</v>
      </c>
      <c r="N18" s="158">
        <f t="shared" si="2"/>
        <v>0</v>
      </c>
      <c r="O18" s="158">
        <f t="shared" si="3"/>
        <v>0</v>
      </c>
      <c r="P18" s="4"/>
    </row>
    <row r="19" spans="2:16">
      <c r="B19" s="9" t="str">
        <f>IF(D19=F18,"","IU")</f>
        <v>IU</v>
      </c>
      <c r="C19" s="153">
        <f>IF(D11="","-",+C18+1)</f>
        <v>2011</v>
      </c>
      <c r="D19" s="361">
        <v>11207834.940000001</v>
      </c>
      <c r="E19" s="360">
        <v>282446.65707317076</v>
      </c>
      <c r="F19" s="361">
        <v>10925388.282926831</v>
      </c>
      <c r="G19" s="360">
        <v>1988906.9183231383</v>
      </c>
      <c r="H19" s="359">
        <v>1988906.9183231383</v>
      </c>
      <c r="I19" s="368">
        <v>0</v>
      </c>
      <c r="J19" s="156"/>
      <c r="K19" s="258">
        <f t="shared" si="4"/>
        <v>1988906.9183231383</v>
      </c>
      <c r="L19" s="257">
        <f t="shared" si="1"/>
        <v>0</v>
      </c>
      <c r="M19" s="258">
        <f t="shared" si="5"/>
        <v>1988906.9183231383</v>
      </c>
      <c r="N19" s="158">
        <f t="shared" si="2"/>
        <v>0</v>
      </c>
      <c r="O19" s="158">
        <f t="shared" si="3"/>
        <v>0</v>
      </c>
      <c r="P19" s="4"/>
    </row>
    <row r="20" spans="2:16">
      <c r="B20" s="9" t="str">
        <f t="shared" ref="B20:B72" si="6">IF(D20=F19,"","IU")</f>
        <v/>
      </c>
      <c r="C20" s="153">
        <f>IF(D11="","-",+C19+1)</f>
        <v>2012</v>
      </c>
      <c r="D20" s="361">
        <v>10925388.282926831</v>
      </c>
      <c r="E20" s="377">
        <v>275721.73666666669</v>
      </c>
      <c r="F20" s="361">
        <v>10649666.546260165</v>
      </c>
      <c r="G20" s="360">
        <v>1859541.6370973894</v>
      </c>
      <c r="H20" s="359">
        <v>1859541.6370973894</v>
      </c>
      <c r="I20" s="368">
        <v>0</v>
      </c>
      <c r="J20" s="156"/>
      <c r="K20" s="258">
        <f t="shared" si="4"/>
        <v>1859541.6370973894</v>
      </c>
      <c r="L20" s="257">
        <f t="shared" si="1"/>
        <v>0</v>
      </c>
      <c r="M20" s="258">
        <f t="shared" si="5"/>
        <v>1859541.6370973894</v>
      </c>
      <c r="N20" s="158">
        <f t="shared" si="2"/>
        <v>0</v>
      </c>
      <c r="O20" s="158">
        <f t="shared" si="3"/>
        <v>0</v>
      </c>
      <c r="P20" s="4"/>
    </row>
    <row r="21" spans="2:16">
      <c r="B21" s="9" t="str">
        <f t="shared" si="6"/>
        <v/>
      </c>
      <c r="C21" s="153">
        <f>IF(D12="","-",+C20+1)</f>
        <v>2013</v>
      </c>
      <c r="D21" s="361">
        <v>10649666.546260165</v>
      </c>
      <c r="E21" s="377">
        <v>275721.73666666669</v>
      </c>
      <c r="F21" s="361">
        <v>10373944.809593499</v>
      </c>
      <c r="G21" s="360">
        <v>1727940.0001770738</v>
      </c>
      <c r="H21" s="359">
        <v>1727940.0001770738</v>
      </c>
      <c r="I21" s="156">
        <v>0</v>
      </c>
      <c r="J21" s="156"/>
      <c r="K21" s="258">
        <f t="shared" si="4"/>
        <v>1727940.0001770738</v>
      </c>
      <c r="L21" s="257">
        <f t="shared" ref="L21:L26" si="7">IF(K21&lt;&gt;0,+G21-K21,0)</f>
        <v>0</v>
      </c>
      <c r="M21" s="258">
        <f t="shared" si="5"/>
        <v>1727940.0001770738</v>
      </c>
      <c r="N21" s="158">
        <f t="shared" ref="N21:N26" si="8">IF(M21&lt;&gt;0,+H21-M21,0)</f>
        <v>0</v>
      </c>
      <c r="O21" s="158">
        <f t="shared" ref="O21:O26" si="9">+N21-L21</f>
        <v>0</v>
      </c>
      <c r="P21" s="4"/>
    </row>
    <row r="22" spans="2:16">
      <c r="B22" s="9" t="str">
        <f t="shared" si="6"/>
        <v/>
      </c>
      <c r="C22" s="153">
        <f>IF(D11="","-",+C21+1)</f>
        <v>2014</v>
      </c>
      <c r="D22" s="361">
        <v>10373944.809593499</v>
      </c>
      <c r="E22" s="377">
        <v>275721.73666666669</v>
      </c>
      <c r="F22" s="361">
        <v>10098223.072926832</v>
      </c>
      <c r="G22" s="360">
        <v>1638078.1438570484</v>
      </c>
      <c r="H22" s="359">
        <v>1638078.1438570484</v>
      </c>
      <c r="I22" s="156">
        <v>0</v>
      </c>
      <c r="J22" s="156"/>
      <c r="K22" s="258">
        <f t="shared" si="4"/>
        <v>1638078.1438570484</v>
      </c>
      <c r="L22" s="257">
        <f t="shared" si="7"/>
        <v>0</v>
      </c>
      <c r="M22" s="258">
        <f t="shared" si="5"/>
        <v>1638078.1438570484</v>
      </c>
      <c r="N22" s="158">
        <f t="shared" si="8"/>
        <v>0</v>
      </c>
      <c r="O22" s="158">
        <f t="shared" si="9"/>
        <v>0</v>
      </c>
      <c r="P22" s="4"/>
    </row>
    <row r="23" spans="2:16">
      <c r="B23" s="9" t="str">
        <f t="shared" si="6"/>
        <v/>
      </c>
      <c r="C23" s="153">
        <f>IF(D11="","-",+C22+1)</f>
        <v>2015</v>
      </c>
      <c r="D23" s="361">
        <v>10098223.072926832</v>
      </c>
      <c r="E23" s="377">
        <v>275721.73666666669</v>
      </c>
      <c r="F23" s="361">
        <v>9822501.336260166</v>
      </c>
      <c r="G23" s="360">
        <v>1569392.3202365767</v>
      </c>
      <c r="H23" s="359">
        <v>1569392.3202365767</v>
      </c>
      <c r="I23" s="156">
        <v>0</v>
      </c>
      <c r="J23" s="156"/>
      <c r="K23" s="258">
        <f t="shared" si="4"/>
        <v>1569392.3202365767</v>
      </c>
      <c r="L23" s="257">
        <f t="shared" si="7"/>
        <v>0</v>
      </c>
      <c r="M23" s="258">
        <f t="shared" si="5"/>
        <v>1569392.3202365767</v>
      </c>
      <c r="N23" s="158">
        <f t="shared" si="8"/>
        <v>0</v>
      </c>
      <c r="O23" s="158">
        <f t="shared" si="9"/>
        <v>0</v>
      </c>
      <c r="P23" s="4"/>
    </row>
    <row r="24" spans="2:16">
      <c r="B24" s="9" t="str">
        <f t="shared" si="6"/>
        <v>IU</v>
      </c>
      <c r="C24" s="153">
        <f>IF(D11="","-",+C23+1)</f>
        <v>2016</v>
      </c>
      <c r="D24" s="361">
        <v>9822499.3962601628</v>
      </c>
      <c r="E24" s="377">
        <v>275721.69047619047</v>
      </c>
      <c r="F24" s="361">
        <v>9546777.7057839725</v>
      </c>
      <c r="G24" s="360">
        <v>1517566.2959557369</v>
      </c>
      <c r="H24" s="359">
        <v>1517566.2959557369</v>
      </c>
      <c r="I24" s="156">
        <f t="shared" si="0"/>
        <v>0</v>
      </c>
      <c r="J24" s="156"/>
      <c r="K24" s="258">
        <f>G24</f>
        <v>1517566.2959557369</v>
      </c>
      <c r="L24" s="257">
        <f t="shared" si="7"/>
        <v>0</v>
      </c>
      <c r="M24" s="258">
        <f>H24</f>
        <v>1517566.2959557369</v>
      </c>
      <c r="N24" s="158">
        <f t="shared" si="8"/>
        <v>0</v>
      </c>
      <c r="O24" s="158">
        <f t="shared" si="9"/>
        <v>0</v>
      </c>
      <c r="P24" s="4"/>
    </row>
    <row r="25" spans="2:16">
      <c r="B25" s="9" t="str">
        <f t="shared" si="6"/>
        <v/>
      </c>
      <c r="C25" s="153">
        <f>IF(D11="","-",+C24+1)</f>
        <v>2017</v>
      </c>
      <c r="D25" s="361">
        <v>9546777.7057839725</v>
      </c>
      <c r="E25" s="377">
        <v>269309.5581395349</v>
      </c>
      <c r="F25" s="361">
        <v>9277468.1476444378</v>
      </c>
      <c r="G25" s="360">
        <v>1435401.3142393038</v>
      </c>
      <c r="H25" s="359">
        <v>1435401.3142393038</v>
      </c>
      <c r="I25" s="156">
        <v>0</v>
      </c>
      <c r="J25" s="156"/>
      <c r="K25" s="258">
        <f>G25</f>
        <v>1435401.3142393038</v>
      </c>
      <c r="L25" s="257">
        <f t="shared" si="7"/>
        <v>0</v>
      </c>
      <c r="M25" s="258">
        <f>H25</f>
        <v>1435401.3142393038</v>
      </c>
      <c r="N25" s="158">
        <f t="shared" si="8"/>
        <v>0</v>
      </c>
      <c r="O25" s="158">
        <f t="shared" si="9"/>
        <v>0</v>
      </c>
      <c r="P25" s="4"/>
    </row>
    <row r="26" spans="2:16">
      <c r="B26" s="9" t="str">
        <f t="shared" si="6"/>
        <v/>
      </c>
      <c r="C26" s="153">
        <f>IF(D11="","-",+C25+1)</f>
        <v>2018</v>
      </c>
      <c r="D26" s="361">
        <v>9277468.1476444378</v>
      </c>
      <c r="E26" s="377">
        <v>282446.60975609755</v>
      </c>
      <c r="F26" s="361">
        <v>8995021.5378883407</v>
      </c>
      <c r="G26" s="360">
        <v>1304648.1467090347</v>
      </c>
      <c r="H26" s="359">
        <v>1304648.1467090347</v>
      </c>
      <c r="I26" s="156">
        <f t="shared" si="0"/>
        <v>0</v>
      </c>
      <c r="J26" s="156"/>
      <c r="K26" s="258">
        <f>G26</f>
        <v>1304648.1467090347</v>
      </c>
      <c r="L26" s="257">
        <f t="shared" si="7"/>
        <v>0</v>
      </c>
      <c r="M26" s="258">
        <f>H26</f>
        <v>1304648.1467090347</v>
      </c>
      <c r="N26" s="158">
        <f t="shared" si="8"/>
        <v>0</v>
      </c>
      <c r="O26" s="158">
        <f t="shared" si="9"/>
        <v>0</v>
      </c>
      <c r="P26" s="4"/>
    </row>
    <row r="27" spans="2:16">
      <c r="B27" s="9" t="str">
        <f t="shared" si="6"/>
        <v/>
      </c>
      <c r="C27" s="153">
        <f>IF(D11="","-",+C26+1)</f>
        <v>2019</v>
      </c>
      <c r="D27" s="162">
        <f>IF(F26+SUM(E$17:E26)=D$10,F26,D$10-SUM(E$17:E26))</f>
        <v>8995021.5378883407</v>
      </c>
      <c r="E27" s="160">
        <f>IF(+I14&lt;F26,I14,D27)</f>
        <v>269309.5581395349</v>
      </c>
      <c r="F27" s="159">
        <f t="shared" ref="F27:F48" si="10">+D27-E27</f>
        <v>8725711.979748806</v>
      </c>
      <c r="G27" s="161">
        <f t="shared" ref="G27:G72" si="11">+I$12*((D27+F27)/2)+E27</f>
        <v>1151409.3290477241</v>
      </c>
      <c r="H27" s="142">
        <f t="shared" ref="H27:H72" si="12">+I$13*((D27+F27)/2)+E27</f>
        <v>1151409.3290477241</v>
      </c>
      <c r="I27" s="156">
        <f t="shared" si="0"/>
        <v>0</v>
      </c>
      <c r="J27" s="156"/>
      <c r="K27" s="334"/>
      <c r="L27" s="158">
        <f t="shared" si="1"/>
        <v>0</v>
      </c>
      <c r="M27" s="334"/>
      <c r="N27" s="158">
        <f t="shared" si="2"/>
        <v>0</v>
      </c>
      <c r="O27" s="158">
        <f t="shared" si="3"/>
        <v>0</v>
      </c>
      <c r="P27" s="4"/>
    </row>
    <row r="28" spans="2:16">
      <c r="B28" s="9" t="str">
        <f t="shared" si="6"/>
        <v/>
      </c>
      <c r="C28" s="153">
        <f>IF(D11="","-",+C27+1)</f>
        <v>2020</v>
      </c>
      <c r="D28" s="159">
        <f>IF(F27+SUM(E$17:E27)=D$10,F27,D$10-SUM(E$17:E27))</f>
        <v>8725711.979748806</v>
      </c>
      <c r="E28" s="160">
        <f>IF(+I14&lt;F27,I14,D28)</f>
        <v>269309.5581395349</v>
      </c>
      <c r="F28" s="159">
        <f t="shared" si="10"/>
        <v>8456402.4216092713</v>
      </c>
      <c r="G28" s="161">
        <f t="shared" si="11"/>
        <v>1124598.0348874873</v>
      </c>
      <c r="H28" s="142">
        <f t="shared" si="12"/>
        <v>1124598.0348874873</v>
      </c>
      <c r="I28" s="156">
        <f t="shared" si="0"/>
        <v>0</v>
      </c>
      <c r="J28" s="156"/>
      <c r="K28" s="334"/>
      <c r="L28" s="158">
        <f t="shared" si="1"/>
        <v>0</v>
      </c>
      <c r="M28" s="334"/>
      <c r="N28" s="158">
        <f t="shared" si="2"/>
        <v>0</v>
      </c>
      <c r="O28" s="158">
        <f t="shared" si="3"/>
        <v>0</v>
      </c>
      <c r="P28" s="4"/>
    </row>
    <row r="29" spans="2:16">
      <c r="B29" s="9" t="str">
        <f t="shared" si="6"/>
        <v/>
      </c>
      <c r="C29" s="153">
        <f>IF(D11="","-",+C28+1)</f>
        <v>2021</v>
      </c>
      <c r="D29" s="159">
        <f>IF(F28+SUM(E$17:E28)=D$10,F28,D$10-SUM(E$17:E28))</f>
        <v>8456402.4216092713</v>
      </c>
      <c r="E29" s="160">
        <f>IF(+I14&lt;F28,I14,D29)</f>
        <v>269309.5581395349</v>
      </c>
      <c r="F29" s="159">
        <f t="shared" si="10"/>
        <v>8187092.8634697367</v>
      </c>
      <c r="G29" s="161">
        <f t="shared" si="11"/>
        <v>1097786.7407272505</v>
      </c>
      <c r="H29" s="142">
        <f t="shared" si="12"/>
        <v>1097786.7407272505</v>
      </c>
      <c r="I29" s="156">
        <f t="shared" si="0"/>
        <v>0</v>
      </c>
      <c r="J29" s="156"/>
      <c r="K29" s="334"/>
      <c r="L29" s="158">
        <f t="shared" si="1"/>
        <v>0</v>
      </c>
      <c r="M29" s="334"/>
      <c r="N29" s="158">
        <f t="shared" si="2"/>
        <v>0</v>
      </c>
      <c r="O29" s="158">
        <f t="shared" si="3"/>
        <v>0</v>
      </c>
      <c r="P29" s="4"/>
    </row>
    <row r="30" spans="2:16">
      <c r="B30" s="9" t="str">
        <f t="shared" si="6"/>
        <v/>
      </c>
      <c r="C30" s="153">
        <f>IF(D11="","-",+C29+1)</f>
        <v>2022</v>
      </c>
      <c r="D30" s="159">
        <f>IF(F29+SUM(E$17:E29)=D$10,F29,D$10-SUM(E$17:E29))</f>
        <v>8187092.8634697367</v>
      </c>
      <c r="E30" s="160">
        <f>IF(+I14&lt;F29,I14,D30)</f>
        <v>269309.5581395349</v>
      </c>
      <c r="F30" s="159">
        <f t="shared" si="10"/>
        <v>7917783.305330202</v>
      </c>
      <c r="G30" s="161">
        <f t="shared" si="11"/>
        <v>1070975.4465670136</v>
      </c>
      <c r="H30" s="142">
        <f t="shared" si="12"/>
        <v>1070975.4465670136</v>
      </c>
      <c r="I30" s="156">
        <f t="shared" si="0"/>
        <v>0</v>
      </c>
      <c r="J30" s="156"/>
      <c r="K30" s="334"/>
      <c r="L30" s="158">
        <f t="shared" si="1"/>
        <v>0</v>
      </c>
      <c r="M30" s="334"/>
      <c r="N30" s="158">
        <f t="shared" si="2"/>
        <v>0</v>
      </c>
      <c r="O30" s="158">
        <f t="shared" si="3"/>
        <v>0</v>
      </c>
      <c r="P30" s="4"/>
    </row>
    <row r="31" spans="2:16">
      <c r="B31" s="9" t="str">
        <f t="shared" si="6"/>
        <v/>
      </c>
      <c r="C31" s="153">
        <f>IF(D11="","-",+C30+1)</f>
        <v>2023</v>
      </c>
      <c r="D31" s="159">
        <f>IF(F30+SUM(E$17:E30)=D$10,F30,D$10-SUM(E$17:E30))</f>
        <v>7917783.305330202</v>
      </c>
      <c r="E31" s="160">
        <f>IF(+I14&lt;F30,I14,D31)</f>
        <v>269309.5581395349</v>
      </c>
      <c r="F31" s="159">
        <f t="shared" si="10"/>
        <v>7648473.7471906673</v>
      </c>
      <c r="G31" s="161">
        <f t="shared" si="11"/>
        <v>1044164.1524067768</v>
      </c>
      <c r="H31" s="142">
        <f t="shared" si="12"/>
        <v>1044164.1524067768</v>
      </c>
      <c r="I31" s="156">
        <f t="shared" si="0"/>
        <v>0</v>
      </c>
      <c r="J31" s="156"/>
      <c r="K31" s="334"/>
      <c r="L31" s="158">
        <f t="shared" si="1"/>
        <v>0</v>
      </c>
      <c r="M31" s="334"/>
      <c r="N31" s="158">
        <f t="shared" si="2"/>
        <v>0</v>
      </c>
      <c r="O31" s="158">
        <f t="shared" si="3"/>
        <v>0</v>
      </c>
      <c r="P31" s="4"/>
    </row>
    <row r="32" spans="2:16">
      <c r="B32" s="9" t="str">
        <f t="shared" si="6"/>
        <v/>
      </c>
      <c r="C32" s="153">
        <f>IF(D11="","-",+C31+1)</f>
        <v>2024</v>
      </c>
      <c r="D32" s="159">
        <f>IF(F31+SUM(E$17:E31)=D$10,F31,D$10-SUM(E$17:E31))</f>
        <v>7648473.7471906673</v>
      </c>
      <c r="E32" s="160">
        <f>IF(+I14&lt;F31,I14,D32)</f>
        <v>269309.5581395349</v>
      </c>
      <c r="F32" s="159">
        <f t="shared" si="10"/>
        <v>7379164.1890511326</v>
      </c>
      <c r="G32" s="161">
        <f t="shared" si="11"/>
        <v>1017352.85824654</v>
      </c>
      <c r="H32" s="142">
        <f t="shared" si="12"/>
        <v>1017352.85824654</v>
      </c>
      <c r="I32" s="156">
        <f t="shared" si="0"/>
        <v>0</v>
      </c>
      <c r="J32" s="156"/>
      <c r="K32" s="334"/>
      <c r="L32" s="158">
        <f t="shared" si="1"/>
        <v>0</v>
      </c>
      <c r="M32" s="334"/>
      <c r="N32" s="158">
        <f t="shared" si="2"/>
        <v>0</v>
      </c>
      <c r="O32" s="158">
        <f t="shared" si="3"/>
        <v>0</v>
      </c>
      <c r="P32" s="4"/>
    </row>
    <row r="33" spans="2:16">
      <c r="B33" s="9" t="str">
        <f t="shared" si="6"/>
        <v/>
      </c>
      <c r="C33" s="153">
        <f>IF(D11="","-",+C32+1)</f>
        <v>2025</v>
      </c>
      <c r="D33" s="159">
        <f>IF(F32+SUM(E$17:E32)=D$10,F32,D$10-SUM(E$17:E32))</f>
        <v>7379164.1890511326</v>
      </c>
      <c r="E33" s="160">
        <f>IF(+I14&lt;F32,I14,D33)</f>
        <v>269309.5581395349</v>
      </c>
      <c r="F33" s="159">
        <f t="shared" si="10"/>
        <v>7109854.630911598</v>
      </c>
      <c r="G33" s="161">
        <f t="shared" si="11"/>
        <v>990541.564086303</v>
      </c>
      <c r="H33" s="142">
        <f t="shared" si="12"/>
        <v>990541.564086303</v>
      </c>
      <c r="I33" s="156">
        <f t="shared" si="0"/>
        <v>0</v>
      </c>
      <c r="J33" s="156"/>
      <c r="K33" s="334"/>
      <c r="L33" s="158">
        <f t="shared" si="1"/>
        <v>0</v>
      </c>
      <c r="M33" s="334"/>
      <c r="N33" s="158">
        <f t="shared" si="2"/>
        <v>0</v>
      </c>
      <c r="O33" s="158">
        <f t="shared" si="3"/>
        <v>0</v>
      </c>
      <c r="P33" s="4"/>
    </row>
    <row r="34" spans="2:16">
      <c r="B34" s="9" t="str">
        <f t="shared" si="6"/>
        <v/>
      </c>
      <c r="C34" s="153">
        <f>IF(D11="","-",+C33+1)</f>
        <v>2026</v>
      </c>
      <c r="D34" s="159">
        <f>IF(F33+SUM(E$17:E33)=D$10,F33,D$10-SUM(E$17:E33))</f>
        <v>7109854.630911598</v>
      </c>
      <c r="E34" s="160">
        <f>IF(+I14&lt;F33,I14,D34)</f>
        <v>269309.5581395349</v>
      </c>
      <c r="F34" s="159">
        <f t="shared" si="10"/>
        <v>6840545.0727720633</v>
      </c>
      <c r="G34" s="161">
        <f t="shared" si="11"/>
        <v>963730.26992606616</v>
      </c>
      <c r="H34" s="142">
        <f t="shared" si="12"/>
        <v>963730.26992606616</v>
      </c>
      <c r="I34" s="156">
        <f t="shared" si="0"/>
        <v>0</v>
      </c>
      <c r="J34" s="156"/>
      <c r="K34" s="334"/>
      <c r="L34" s="158">
        <f t="shared" si="1"/>
        <v>0</v>
      </c>
      <c r="M34" s="334"/>
      <c r="N34" s="158">
        <f t="shared" si="2"/>
        <v>0</v>
      </c>
      <c r="O34" s="158">
        <f t="shared" si="3"/>
        <v>0</v>
      </c>
      <c r="P34" s="4"/>
    </row>
    <row r="35" spans="2:16">
      <c r="B35" s="9" t="str">
        <f t="shared" si="6"/>
        <v/>
      </c>
      <c r="C35" s="153">
        <f>IF(D11="","-",+C34+1)</f>
        <v>2027</v>
      </c>
      <c r="D35" s="159">
        <f>IF(F34+SUM(E$17:E34)=D$10,F34,D$10-SUM(E$17:E34))</f>
        <v>6840545.0727720633</v>
      </c>
      <c r="E35" s="160">
        <f>IF(+I14&lt;F34,I14,D35)</f>
        <v>269309.5581395349</v>
      </c>
      <c r="F35" s="159">
        <f t="shared" si="10"/>
        <v>6571235.5146325286</v>
      </c>
      <c r="G35" s="161">
        <f t="shared" si="11"/>
        <v>936918.97576582932</v>
      </c>
      <c r="H35" s="142">
        <f t="shared" si="12"/>
        <v>936918.97576582932</v>
      </c>
      <c r="I35" s="156">
        <f t="shared" si="0"/>
        <v>0</v>
      </c>
      <c r="J35" s="156"/>
      <c r="K35" s="334"/>
      <c r="L35" s="158">
        <f t="shared" si="1"/>
        <v>0</v>
      </c>
      <c r="M35" s="334"/>
      <c r="N35" s="158">
        <f t="shared" si="2"/>
        <v>0</v>
      </c>
      <c r="O35" s="158">
        <f t="shared" si="3"/>
        <v>0</v>
      </c>
      <c r="P35" s="4"/>
    </row>
    <row r="36" spans="2:16">
      <c r="B36" s="9" t="str">
        <f t="shared" si="6"/>
        <v/>
      </c>
      <c r="C36" s="153">
        <f>IF(D11="","-",+C35+1)</f>
        <v>2028</v>
      </c>
      <c r="D36" s="159">
        <f>IF(F35+SUM(E$17:E35)=D$10,F35,D$10-SUM(E$17:E35))</f>
        <v>6571235.5146325286</v>
      </c>
      <c r="E36" s="160">
        <f>IF(+I14&lt;F35,I14,D36)</f>
        <v>269309.5581395349</v>
      </c>
      <c r="F36" s="159">
        <f t="shared" si="10"/>
        <v>6301925.956492994</v>
      </c>
      <c r="G36" s="161">
        <f t="shared" si="11"/>
        <v>910107.68160559249</v>
      </c>
      <c r="H36" s="142">
        <f t="shared" si="12"/>
        <v>910107.68160559249</v>
      </c>
      <c r="I36" s="156">
        <f t="shared" si="0"/>
        <v>0</v>
      </c>
      <c r="J36" s="156"/>
      <c r="K36" s="334"/>
      <c r="L36" s="158">
        <f t="shared" si="1"/>
        <v>0</v>
      </c>
      <c r="M36" s="334"/>
      <c r="N36" s="158">
        <f t="shared" si="2"/>
        <v>0</v>
      </c>
      <c r="O36" s="158">
        <f t="shared" si="3"/>
        <v>0</v>
      </c>
      <c r="P36" s="4"/>
    </row>
    <row r="37" spans="2:16">
      <c r="B37" s="9" t="str">
        <f t="shared" si="6"/>
        <v/>
      </c>
      <c r="C37" s="153">
        <f>IF(D11="","-",+C36+1)</f>
        <v>2029</v>
      </c>
      <c r="D37" s="159">
        <f>IF(F36+SUM(E$17:E36)=D$10,F36,D$10-SUM(E$17:E36))</f>
        <v>6301925.956492994</v>
      </c>
      <c r="E37" s="160">
        <f>IF(+I14&lt;F36,I14,D37)</f>
        <v>269309.5581395349</v>
      </c>
      <c r="F37" s="159">
        <f t="shared" si="10"/>
        <v>6032616.3983534593</v>
      </c>
      <c r="G37" s="161">
        <f t="shared" si="11"/>
        <v>883296.38744535565</v>
      </c>
      <c r="H37" s="142">
        <f t="shared" si="12"/>
        <v>883296.38744535565</v>
      </c>
      <c r="I37" s="156">
        <f t="shared" si="0"/>
        <v>0</v>
      </c>
      <c r="J37" s="156"/>
      <c r="K37" s="334"/>
      <c r="L37" s="158">
        <f t="shared" si="1"/>
        <v>0</v>
      </c>
      <c r="M37" s="334"/>
      <c r="N37" s="158">
        <f t="shared" si="2"/>
        <v>0</v>
      </c>
      <c r="O37" s="158">
        <f t="shared" si="3"/>
        <v>0</v>
      </c>
      <c r="P37" s="4"/>
    </row>
    <row r="38" spans="2:16">
      <c r="B38" s="9" t="str">
        <f t="shared" si="6"/>
        <v/>
      </c>
      <c r="C38" s="153">
        <f>IF(D11="","-",+C37+1)</f>
        <v>2030</v>
      </c>
      <c r="D38" s="159">
        <f>IF(F37+SUM(E$17:E37)=D$10,F37,D$10-SUM(E$17:E37))</f>
        <v>6032616.3983534593</v>
      </c>
      <c r="E38" s="160">
        <f>IF(+I14&lt;F37,I14,D38)</f>
        <v>269309.5581395349</v>
      </c>
      <c r="F38" s="159">
        <f t="shared" si="10"/>
        <v>5763306.8402139246</v>
      </c>
      <c r="G38" s="161">
        <f t="shared" si="11"/>
        <v>856485.0932851187</v>
      </c>
      <c r="H38" s="142">
        <f t="shared" si="12"/>
        <v>856485.0932851187</v>
      </c>
      <c r="I38" s="156">
        <f t="shared" si="0"/>
        <v>0</v>
      </c>
      <c r="J38" s="156"/>
      <c r="K38" s="334"/>
      <c r="L38" s="158">
        <f t="shared" si="1"/>
        <v>0</v>
      </c>
      <c r="M38" s="334"/>
      <c r="N38" s="158">
        <f t="shared" si="2"/>
        <v>0</v>
      </c>
      <c r="O38" s="158">
        <f t="shared" si="3"/>
        <v>0</v>
      </c>
      <c r="P38" s="4"/>
    </row>
    <row r="39" spans="2:16">
      <c r="B39" s="9" t="str">
        <f t="shared" si="6"/>
        <v/>
      </c>
      <c r="C39" s="153">
        <f>IF(D11="","-",+C38+1)</f>
        <v>2031</v>
      </c>
      <c r="D39" s="159">
        <f>IF(F38+SUM(E$17:E38)=D$10,F38,D$10-SUM(E$17:E38))</f>
        <v>5763306.8402139246</v>
      </c>
      <c r="E39" s="160">
        <f>IF(+I14&lt;F38,I14,D39)</f>
        <v>269309.5581395349</v>
      </c>
      <c r="F39" s="159">
        <f t="shared" si="10"/>
        <v>5493997.28207439</v>
      </c>
      <c r="G39" s="161">
        <f t="shared" si="11"/>
        <v>829673.79912488186</v>
      </c>
      <c r="H39" s="142">
        <f t="shared" si="12"/>
        <v>829673.79912488186</v>
      </c>
      <c r="I39" s="156">
        <f t="shared" si="0"/>
        <v>0</v>
      </c>
      <c r="J39" s="156"/>
      <c r="K39" s="334"/>
      <c r="L39" s="158">
        <f t="shared" si="1"/>
        <v>0</v>
      </c>
      <c r="M39" s="334"/>
      <c r="N39" s="158">
        <f t="shared" si="2"/>
        <v>0</v>
      </c>
      <c r="O39" s="158">
        <f t="shared" si="3"/>
        <v>0</v>
      </c>
      <c r="P39" s="4"/>
    </row>
    <row r="40" spans="2:16">
      <c r="B40" s="9" t="str">
        <f t="shared" si="6"/>
        <v/>
      </c>
      <c r="C40" s="153">
        <f>IF(D11="","-",+C39+1)</f>
        <v>2032</v>
      </c>
      <c r="D40" s="159">
        <f>IF(F39+SUM(E$17:E39)=D$10,F39,D$10-SUM(E$17:E39))</f>
        <v>5493997.28207439</v>
      </c>
      <c r="E40" s="160">
        <f>IF(+I14&lt;F39,I14,D40)</f>
        <v>269309.5581395349</v>
      </c>
      <c r="F40" s="159">
        <f t="shared" si="10"/>
        <v>5224687.7239348553</v>
      </c>
      <c r="G40" s="161">
        <f t="shared" si="11"/>
        <v>802862.50496464502</v>
      </c>
      <c r="H40" s="142">
        <f t="shared" si="12"/>
        <v>802862.50496464502</v>
      </c>
      <c r="I40" s="156">
        <f t="shared" si="0"/>
        <v>0</v>
      </c>
      <c r="J40" s="156"/>
      <c r="K40" s="334"/>
      <c r="L40" s="158">
        <f t="shared" si="1"/>
        <v>0</v>
      </c>
      <c r="M40" s="334"/>
      <c r="N40" s="158">
        <f t="shared" si="2"/>
        <v>0</v>
      </c>
      <c r="O40" s="158">
        <f t="shared" si="3"/>
        <v>0</v>
      </c>
      <c r="P40" s="4"/>
    </row>
    <row r="41" spans="2:16">
      <c r="B41" s="9" t="str">
        <f t="shared" si="6"/>
        <v/>
      </c>
      <c r="C41" s="153">
        <f>IF(D11="","-",+C40+1)</f>
        <v>2033</v>
      </c>
      <c r="D41" s="159">
        <f>IF(F40+SUM(E$17:E40)=D$10,F40,D$10-SUM(E$17:E40))</f>
        <v>5224687.7239348553</v>
      </c>
      <c r="E41" s="160">
        <f>IF(+I14&lt;F40,I14,D41)</f>
        <v>269309.5581395349</v>
      </c>
      <c r="F41" s="159">
        <f t="shared" si="10"/>
        <v>4955378.1657953206</v>
      </c>
      <c r="G41" s="161">
        <f t="shared" si="11"/>
        <v>776051.21080440818</v>
      </c>
      <c r="H41" s="142">
        <f t="shared" si="12"/>
        <v>776051.21080440818</v>
      </c>
      <c r="I41" s="156">
        <f t="shared" si="0"/>
        <v>0</v>
      </c>
      <c r="J41" s="156"/>
      <c r="K41" s="334"/>
      <c r="L41" s="158">
        <f t="shared" si="1"/>
        <v>0</v>
      </c>
      <c r="M41" s="334"/>
      <c r="N41" s="158">
        <f t="shared" si="2"/>
        <v>0</v>
      </c>
      <c r="O41" s="158">
        <f t="shared" si="3"/>
        <v>0</v>
      </c>
      <c r="P41" s="4"/>
    </row>
    <row r="42" spans="2:16">
      <c r="B42" s="9" t="str">
        <f t="shared" si="6"/>
        <v/>
      </c>
      <c r="C42" s="153">
        <f>IF(D11="","-",+C41+1)</f>
        <v>2034</v>
      </c>
      <c r="D42" s="159">
        <f>IF(F41+SUM(E$17:E41)=D$10,F41,D$10-SUM(E$17:E41))</f>
        <v>4955378.1657953206</v>
      </c>
      <c r="E42" s="160">
        <f>IF(+I14&lt;F41,I14,D42)</f>
        <v>269309.5581395349</v>
      </c>
      <c r="F42" s="159">
        <f t="shared" si="10"/>
        <v>4686068.607655786</v>
      </c>
      <c r="G42" s="161">
        <f t="shared" si="11"/>
        <v>749239.91664417135</v>
      </c>
      <c r="H42" s="142">
        <f t="shared" si="12"/>
        <v>749239.91664417135</v>
      </c>
      <c r="I42" s="156">
        <f t="shared" si="0"/>
        <v>0</v>
      </c>
      <c r="J42" s="156"/>
      <c r="K42" s="334"/>
      <c r="L42" s="158">
        <f t="shared" si="1"/>
        <v>0</v>
      </c>
      <c r="M42" s="334"/>
      <c r="N42" s="158">
        <f t="shared" si="2"/>
        <v>0</v>
      </c>
      <c r="O42" s="158">
        <f t="shared" si="3"/>
        <v>0</v>
      </c>
      <c r="P42" s="4"/>
    </row>
    <row r="43" spans="2:16">
      <c r="B43" s="9" t="str">
        <f t="shared" si="6"/>
        <v/>
      </c>
      <c r="C43" s="153">
        <f>IF(D11="","-",+C42+1)</f>
        <v>2035</v>
      </c>
      <c r="D43" s="159">
        <f>IF(F42+SUM(E$17:E42)=D$10,F42,D$10-SUM(E$17:E42))</f>
        <v>4686068.607655786</v>
      </c>
      <c r="E43" s="160">
        <f>IF(+I14&lt;F42,I14,D43)</f>
        <v>269309.5581395349</v>
      </c>
      <c r="F43" s="159">
        <f t="shared" si="10"/>
        <v>4416759.0495162513</v>
      </c>
      <c r="G43" s="161">
        <f t="shared" si="11"/>
        <v>722428.62248393451</v>
      </c>
      <c r="H43" s="142">
        <f t="shared" si="12"/>
        <v>722428.62248393451</v>
      </c>
      <c r="I43" s="156">
        <f t="shared" si="0"/>
        <v>0</v>
      </c>
      <c r="J43" s="156"/>
      <c r="K43" s="334"/>
      <c r="L43" s="158">
        <f t="shared" si="1"/>
        <v>0</v>
      </c>
      <c r="M43" s="334"/>
      <c r="N43" s="158">
        <f t="shared" si="2"/>
        <v>0</v>
      </c>
      <c r="O43" s="158">
        <f t="shared" si="3"/>
        <v>0</v>
      </c>
      <c r="P43" s="4"/>
    </row>
    <row r="44" spans="2:16">
      <c r="B44" s="9" t="str">
        <f t="shared" si="6"/>
        <v/>
      </c>
      <c r="C44" s="153">
        <f>IF(D11="","-",+C43+1)</f>
        <v>2036</v>
      </c>
      <c r="D44" s="159">
        <f>IF(F43+SUM(E$17:E43)=D$10,F43,D$10-SUM(E$17:E43))</f>
        <v>4416759.0495162513</v>
      </c>
      <c r="E44" s="160">
        <f>IF(+I14&lt;F43,I14,D44)</f>
        <v>269309.5581395349</v>
      </c>
      <c r="F44" s="159">
        <f t="shared" si="10"/>
        <v>4147449.4913767166</v>
      </c>
      <c r="G44" s="161">
        <f t="shared" si="11"/>
        <v>695617.32832369755</v>
      </c>
      <c r="H44" s="142">
        <f t="shared" si="12"/>
        <v>695617.32832369755</v>
      </c>
      <c r="I44" s="156">
        <f t="shared" si="0"/>
        <v>0</v>
      </c>
      <c r="J44" s="156"/>
      <c r="K44" s="334"/>
      <c r="L44" s="158">
        <f t="shared" si="1"/>
        <v>0</v>
      </c>
      <c r="M44" s="334"/>
      <c r="N44" s="158">
        <f t="shared" si="2"/>
        <v>0</v>
      </c>
      <c r="O44" s="158">
        <f t="shared" si="3"/>
        <v>0</v>
      </c>
      <c r="P44" s="4"/>
    </row>
    <row r="45" spans="2:16">
      <c r="B45" s="9" t="str">
        <f t="shared" si="6"/>
        <v/>
      </c>
      <c r="C45" s="153">
        <f>IF(D11="","-",+C44+1)</f>
        <v>2037</v>
      </c>
      <c r="D45" s="159">
        <f>IF(F44+SUM(E$17:E44)=D$10,F44,D$10-SUM(E$17:E44))</f>
        <v>4147449.4913767166</v>
      </c>
      <c r="E45" s="160">
        <f>IF(+I14&lt;F44,I14,D45)</f>
        <v>269309.5581395349</v>
      </c>
      <c r="F45" s="159">
        <f t="shared" si="10"/>
        <v>3878139.933237182</v>
      </c>
      <c r="G45" s="161">
        <f t="shared" si="11"/>
        <v>668806.03416346072</v>
      </c>
      <c r="H45" s="142">
        <f t="shared" si="12"/>
        <v>668806.03416346072</v>
      </c>
      <c r="I45" s="156">
        <f t="shared" si="0"/>
        <v>0</v>
      </c>
      <c r="J45" s="156"/>
      <c r="K45" s="334"/>
      <c r="L45" s="158">
        <f t="shared" si="1"/>
        <v>0</v>
      </c>
      <c r="M45" s="334"/>
      <c r="N45" s="158">
        <f t="shared" si="2"/>
        <v>0</v>
      </c>
      <c r="O45" s="158">
        <f t="shared" si="3"/>
        <v>0</v>
      </c>
      <c r="P45" s="4"/>
    </row>
    <row r="46" spans="2:16">
      <c r="B46" s="9" t="str">
        <f t="shared" si="6"/>
        <v/>
      </c>
      <c r="C46" s="153">
        <f>IF(D11="","-",+C45+1)</f>
        <v>2038</v>
      </c>
      <c r="D46" s="159">
        <f>IF(F45+SUM(E$17:E45)=D$10,F45,D$10-SUM(E$17:E45))</f>
        <v>3878139.933237182</v>
      </c>
      <c r="E46" s="160">
        <f>IF(+I14&lt;F45,I14,D46)</f>
        <v>269309.5581395349</v>
      </c>
      <c r="F46" s="159">
        <f t="shared" si="10"/>
        <v>3608830.3750976473</v>
      </c>
      <c r="G46" s="161">
        <f t="shared" si="11"/>
        <v>641994.74000322388</v>
      </c>
      <c r="H46" s="142">
        <f t="shared" si="12"/>
        <v>641994.74000322388</v>
      </c>
      <c r="I46" s="156">
        <f t="shared" si="0"/>
        <v>0</v>
      </c>
      <c r="J46" s="156"/>
      <c r="K46" s="334"/>
      <c r="L46" s="158">
        <f t="shared" si="1"/>
        <v>0</v>
      </c>
      <c r="M46" s="334"/>
      <c r="N46" s="158">
        <f t="shared" si="2"/>
        <v>0</v>
      </c>
      <c r="O46" s="158">
        <f t="shared" si="3"/>
        <v>0</v>
      </c>
      <c r="P46" s="4"/>
    </row>
    <row r="47" spans="2:16">
      <c r="B47" s="9" t="str">
        <f t="shared" si="6"/>
        <v/>
      </c>
      <c r="C47" s="153">
        <f>IF(D11="","-",+C46+1)</f>
        <v>2039</v>
      </c>
      <c r="D47" s="159">
        <f>IF(F46+SUM(E$17:E46)=D$10,F46,D$10-SUM(E$17:E46))</f>
        <v>3608830.3750976473</v>
      </c>
      <c r="E47" s="160">
        <f>IF(+I14&lt;F46,I14,D47)</f>
        <v>269309.5581395349</v>
      </c>
      <c r="F47" s="159">
        <f t="shared" si="10"/>
        <v>3339520.8169581126</v>
      </c>
      <c r="G47" s="161">
        <f t="shared" si="11"/>
        <v>615183.44584298693</v>
      </c>
      <c r="H47" s="142">
        <f t="shared" si="12"/>
        <v>615183.44584298693</v>
      </c>
      <c r="I47" s="156">
        <f t="shared" si="0"/>
        <v>0</v>
      </c>
      <c r="J47" s="156"/>
      <c r="K47" s="334"/>
      <c r="L47" s="158">
        <f t="shared" si="1"/>
        <v>0</v>
      </c>
      <c r="M47" s="334"/>
      <c r="N47" s="158">
        <f t="shared" si="2"/>
        <v>0</v>
      </c>
      <c r="O47" s="158">
        <f t="shared" si="3"/>
        <v>0</v>
      </c>
      <c r="P47" s="4"/>
    </row>
    <row r="48" spans="2:16">
      <c r="B48" s="9" t="str">
        <f t="shared" si="6"/>
        <v/>
      </c>
      <c r="C48" s="153">
        <f>IF(D11="","-",+C47+1)</f>
        <v>2040</v>
      </c>
      <c r="D48" s="159">
        <f>IF(F47+SUM(E$17:E47)=D$10,F47,D$10-SUM(E$17:E47))</f>
        <v>3339520.8169581126</v>
      </c>
      <c r="E48" s="160">
        <f>IF(+I14&lt;F47,I14,D48)</f>
        <v>269309.5581395349</v>
      </c>
      <c r="F48" s="159">
        <f t="shared" si="10"/>
        <v>3070211.258818578</v>
      </c>
      <c r="G48" s="161">
        <f t="shared" si="11"/>
        <v>588372.15168275009</v>
      </c>
      <c r="H48" s="142">
        <f t="shared" si="12"/>
        <v>588372.15168275009</v>
      </c>
      <c r="I48" s="156">
        <f t="shared" si="0"/>
        <v>0</v>
      </c>
      <c r="J48" s="156"/>
      <c r="K48" s="334"/>
      <c r="L48" s="158">
        <f t="shared" si="1"/>
        <v>0</v>
      </c>
      <c r="M48" s="334"/>
      <c r="N48" s="158">
        <f t="shared" si="2"/>
        <v>0</v>
      </c>
      <c r="O48" s="158">
        <f t="shared" si="3"/>
        <v>0</v>
      </c>
      <c r="P48" s="4"/>
    </row>
    <row r="49" spans="2:17">
      <c r="B49" s="9" t="str">
        <f t="shared" si="6"/>
        <v/>
      </c>
      <c r="C49" s="153">
        <f>IF(D11="","-",+C48+1)</f>
        <v>2041</v>
      </c>
      <c r="D49" s="159">
        <f>IF(F48+SUM(E$17:E48)=D$10,F48,D$10-SUM(E$17:E48))</f>
        <v>3070211.258818578</v>
      </c>
      <c r="E49" s="160">
        <f>IF(+I14&lt;F48,I14,D49)</f>
        <v>269309.5581395349</v>
      </c>
      <c r="F49" s="159">
        <f t="shared" ref="F49:F72" si="13">+D49-E49</f>
        <v>2800901.7006790433</v>
      </c>
      <c r="G49" s="161">
        <f t="shared" si="11"/>
        <v>561560.85752251325</v>
      </c>
      <c r="H49" s="142">
        <f t="shared" si="12"/>
        <v>561560.85752251325</v>
      </c>
      <c r="I49" s="156">
        <f t="shared" ref="I49:I72" si="14">H49-G49</f>
        <v>0</v>
      </c>
      <c r="J49" s="156"/>
      <c r="K49" s="334"/>
      <c r="L49" s="158">
        <f t="shared" ref="L49:L72" si="15">IF(K49&lt;&gt;0,+G49-K49,0)</f>
        <v>0</v>
      </c>
      <c r="M49" s="334"/>
      <c r="N49" s="158">
        <f t="shared" ref="N49:N72" si="16">IF(M49&lt;&gt;0,+H49-M49,0)</f>
        <v>0</v>
      </c>
      <c r="O49" s="158">
        <f t="shared" ref="O49:O72" si="17">+N49-L49</f>
        <v>0</v>
      </c>
      <c r="P49" s="4"/>
    </row>
    <row r="50" spans="2:17">
      <c r="B50" s="9" t="str">
        <f t="shared" si="6"/>
        <v/>
      </c>
      <c r="C50" s="153">
        <f>IF(D11="","-",+C49+1)</f>
        <v>2042</v>
      </c>
      <c r="D50" s="159">
        <f>IF(F49+SUM(E$17:E49)=D$10,F49,D$10-SUM(E$17:E49))</f>
        <v>2800901.7006790433</v>
      </c>
      <c r="E50" s="160">
        <f>IF(+I14&lt;F49,I14,D50)</f>
        <v>269309.5581395349</v>
      </c>
      <c r="F50" s="159">
        <f t="shared" si="13"/>
        <v>2531592.1425395086</v>
      </c>
      <c r="G50" s="161">
        <f t="shared" si="11"/>
        <v>534749.56336227641</v>
      </c>
      <c r="H50" s="142">
        <f t="shared" si="12"/>
        <v>534749.56336227641</v>
      </c>
      <c r="I50" s="156">
        <f t="shared" si="14"/>
        <v>0</v>
      </c>
      <c r="J50" s="156"/>
      <c r="K50" s="334"/>
      <c r="L50" s="158">
        <f t="shared" si="15"/>
        <v>0</v>
      </c>
      <c r="M50" s="334"/>
      <c r="N50" s="158">
        <f t="shared" si="16"/>
        <v>0</v>
      </c>
      <c r="O50" s="158">
        <f t="shared" si="17"/>
        <v>0</v>
      </c>
      <c r="P50" s="4"/>
    </row>
    <row r="51" spans="2:17">
      <c r="B51" s="9" t="str">
        <f t="shared" si="6"/>
        <v/>
      </c>
      <c r="C51" s="153">
        <f>IF(D11="","-",+C50+1)</f>
        <v>2043</v>
      </c>
      <c r="D51" s="159">
        <f>IF(F50+SUM(E$17:E50)=D$10,F50,D$10-SUM(E$17:E50))</f>
        <v>2531592.1425395086</v>
      </c>
      <c r="E51" s="160">
        <f>IF(+I14&lt;F50,I14,D51)</f>
        <v>269309.5581395349</v>
      </c>
      <c r="F51" s="159">
        <f t="shared" si="13"/>
        <v>2262282.584399974</v>
      </c>
      <c r="G51" s="161">
        <f t="shared" si="11"/>
        <v>507938.26920203958</v>
      </c>
      <c r="H51" s="142">
        <f t="shared" si="12"/>
        <v>507938.26920203958</v>
      </c>
      <c r="I51" s="156">
        <f t="shared" si="14"/>
        <v>0</v>
      </c>
      <c r="J51" s="156"/>
      <c r="K51" s="334"/>
      <c r="L51" s="158">
        <f t="shared" si="15"/>
        <v>0</v>
      </c>
      <c r="M51" s="334"/>
      <c r="N51" s="158">
        <f t="shared" si="16"/>
        <v>0</v>
      </c>
      <c r="O51" s="158">
        <f t="shared" si="17"/>
        <v>0</v>
      </c>
      <c r="P51" s="4"/>
    </row>
    <row r="52" spans="2:17">
      <c r="B52" s="9" t="str">
        <f t="shared" si="6"/>
        <v/>
      </c>
      <c r="C52" s="153">
        <f>IF(D11="","-",+C51+1)</f>
        <v>2044</v>
      </c>
      <c r="D52" s="159">
        <f>IF(F51+SUM(E$17:E51)=D$10,F51,D$10-SUM(E$17:E51))</f>
        <v>2262282.584399974</v>
      </c>
      <c r="E52" s="160">
        <f>IF(+I14&lt;F51,I14,D52)</f>
        <v>269309.5581395349</v>
      </c>
      <c r="F52" s="159">
        <f t="shared" si="13"/>
        <v>1992973.0262604391</v>
      </c>
      <c r="G52" s="161">
        <f t="shared" si="11"/>
        <v>481126.97504180268</v>
      </c>
      <c r="H52" s="142">
        <f t="shared" si="12"/>
        <v>481126.97504180268</v>
      </c>
      <c r="I52" s="156">
        <f t="shared" si="14"/>
        <v>0</v>
      </c>
      <c r="J52" s="156"/>
      <c r="K52" s="334"/>
      <c r="L52" s="158">
        <f t="shared" si="15"/>
        <v>0</v>
      </c>
      <c r="M52" s="334"/>
      <c r="N52" s="158">
        <f t="shared" si="16"/>
        <v>0</v>
      </c>
      <c r="O52" s="158">
        <f t="shared" si="17"/>
        <v>0</v>
      </c>
      <c r="P52" s="4"/>
    </row>
    <row r="53" spans="2:17">
      <c r="B53" s="9" t="str">
        <f t="shared" si="6"/>
        <v/>
      </c>
      <c r="C53" s="153">
        <f>IF(D11="","-",+C52+1)</f>
        <v>2045</v>
      </c>
      <c r="D53" s="159">
        <f>IF(F52+SUM(E$17:E52)=D$10,F52,D$10-SUM(E$17:E52))</f>
        <v>1992973.0262604391</v>
      </c>
      <c r="E53" s="160">
        <f>IF(+I14&lt;F52,I14,D53)</f>
        <v>269309.5581395349</v>
      </c>
      <c r="F53" s="159">
        <f t="shared" si="13"/>
        <v>1723663.4681209042</v>
      </c>
      <c r="G53" s="161">
        <f t="shared" si="11"/>
        <v>454315.68088156579</v>
      </c>
      <c r="H53" s="142">
        <f t="shared" si="12"/>
        <v>454315.68088156579</v>
      </c>
      <c r="I53" s="156">
        <f t="shared" si="14"/>
        <v>0</v>
      </c>
      <c r="J53" s="156"/>
      <c r="K53" s="334"/>
      <c r="L53" s="158">
        <f t="shared" si="15"/>
        <v>0</v>
      </c>
      <c r="M53" s="334"/>
      <c r="N53" s="158">
        <f t="shared" si="16"/>
        <v>0</v>
      </c>
      <c r="O53" s="158">
        <f t="shared" si="17"/>
        <v>0</v>
      </c>
      <c r="P53" s="4"/>
    </row>
    <row r="54" spans="2:17">
      <c r="B54" s="9" t="str">
        <f t="shared" si="6"/>
        <v/>
      </c>
      <c r="C54" s="153">
        <f>IF(D11="","-",+C53+1)</f>
        <v>2046</v>
      </c>
      <c r="D54" s="159">
        <f>IF(F53+SUM(E$17:E53)=D$10,F53,D$10-SUM(E$17:E53))</f>
        <v>1723663.4681209042</v>
      </c>
      <c r="E54" s="160">
        <f>IF(+I14&lt;F53,I14,D54)</f>
        <v>269309.5581395349</v>
      </c>
      <c r="F54" s="159">
        <f t="shared" si="13"/>
        <v>1454353.9099813693</v>
      </c>
      <c r="G54" s="161">
        <f t="shared" si="11"/>
        <v>427504.38672132895</v>
      </c>
      <c r="H54" s="142">
        <f t="shared" si="12"/>
        <v>427504.38672132895</v>
      </c>
      <c r="I54" s="156">
        <f t="shared" si="14"/>
        <v>0</v>
      </c>
      <c r="J54" s="156"/>
      <c r="K54" s="334"/>
      <c r="L54" s="158">
        <f t="shared" si="15"/>
        <v>0</v>
      </c>
      <c r="M54" s="334"/>
      <c r="N54" s="158">
        <f t="shared" si="16"/>
        <v>0</v>
      </c>
      <c r="O54" s="158">
        <f t="shared" si="17"/>
        <v>0</v>
      </c>
      <c r="P54" s="4"/>
    </row>
    <row r="55" spans="2:17">
      <c r="B55" s="9" t="str">
        <f t="shared" si="6"/>
        <v/>
      </c>
      <c r="C55" s="153">
        <f>IF(D11="","-",+C54+1)</f>
        <v>2047</v>
      </c>
      <c r="D55" s="159">
        <f>IF(F54+SUM(E$17:E54)=D$10,F54,D$10-SUM(E$17:E54))</f>
        <v>1454353.9099813693</v>
      </c>
      <c r="E55" s="160">
        <f>IF(+I14&lt;F54,I14,D55)</f>
        <v>269309.5581395349</v>
      </c>
      <c r="F55" s="159">
        <f t="shared" si="13"/>
        <v>1185044.3518418344</v>
      </c>
      <c r="G55" s="161">
        <f t="shared" si="11"/>
        <v>400693.09256109199</v>
      </c>
      <c r="H55" s="142">
        <f t="shared" si="12"/>
        <v>400693.09256109199</v>
      </c>
      <c r="I55" s="156">
        <f t="shared" si="14"/>
        <v>0</v>
      </c>
      <c r="J55" s="156"/>
      <c r="K55" s="334"/>
      <c r="L55" s="158">
        <f t="shared" si="15"/>
        <v>0</v>
      </c>
      <c r="M55" s="334"/>
      <c r="N55" s="158">
        <f t="shared" si="16"/>
        <v>0</v>
      </c>
      <c r="O55" s="158">
        <f t="shared" si="17"/>
        <v>0</v>
      </c>
      <c r="P55" s="4"/>
    </row>
    <row r="56" spans="2:17">
      <c r="B56" s="9" t="str">
        <f t="shared" si="6"/>
        <v/>
      </c>
      <c r="C56" s="153">
        <f>IF(D11="","-",+C55+1)</f>
        <v>2048</v>
      </c>
      <c r="D56" s="159">
        <f>IF(F55+SUM(E$17:E55)=D$10,F55,D$10-SUM(E$17:E55))</f>
        <v>1185044.3518418344</v>
      </c>
      <c r="E56" s="160">
        <f>IF(+I14&lt;F55,I14,D56)</f>
        <v>269309.5581395349</v>
      </c>
      <c r="F56" s="159">
        <f t="shared" si="13"/>
        <v>915734.79370229947</v>
      </c>
      <c r="G56" s="161">
        <f t="shared" si="11"/>
        <v>373881.79840085516</v>
      </c>
      <c r="H56" s="142">
        <f t="shared" si="12"/>
        <v>373881.79840085516</v>
      </c>
      <c r="I56" s="156">
        <f t="shared" si="14"/>
        <v>0</v>
      </c>
      <c r="J56" s="156"/>
      <c r="K56" s="334"/>
      <c r="L56" s="158">
        <f t="shared" si="15"/>
        <v>0</v>
      </c>
      <c r="M56" s="334"/>
      <c r="N56" s="158">
        <f t="shared" si="16"/>
        <v>0</v>
      </c>
      <c r="O56" s="158">
        <f t="shared" si="17"/>
        <v>0</v>
      </c>
      <c r="P56" s="4"/>
    </row>
    <row r="57" spans="2:17">
      <c r="B57" s="9" t="str">
        <f t="shared" si="6"/>
        <v/>
      </c>
      <c r="C57" s="153">
        <f>IF(D11="","-",+C56+1)</f>
        <v>2049</v>
      </c>
      <c r="D57" s="159">
        <f>IF(F56+SUM(E$17:E56)=D$10,F56,D$10-SUM(E$17:E56))</f>
        <v>915734.79370229947</v>
      </c>
      <c r="E57" s="160">
        <f>IF(+I14&lt;F56,I14,D57)</f>
        <v>269309.5581395349</v>
      </c>
      <c r="F57" s="159">
        <f t="shared" si="13"/>
        <v>646425.23556276457</v>
      </c>
      <c r="G57" s="161">
        <f t="shared" si="11"/>
        <v>347070.50424061826</v>
      </c>
      <c r="H57" s="142">
        <f t="shared" si="12"/>
        <v>347070.50424061826</v>
      </c>
      <c r="I57" s="156">
        <f t="shared" si="14"/>
        <v>0</v>
      </c>
      <c r="J57" s="156"/>
      <c r="K57" s="334"/>
      <c r="L57" s="158">
        <f t="shared" si="15"/>
        <v>0</v>
      </c>
      <c r="M57" s="334"/>
      <c r="N57" s="158">
        <f t="shared" si="16"/>
        <v>0</v>
      </c>
      <c r="O57" s="158">
        <f t="shared" si="17"/>
        <v>0</v>
      </c>
      <c r="P57" s="4"/>
    </row>
    <row r="58" spans="2:17">
      <c r="B58" s="9" t="str">
        <f t="shared" si="6"/>
        <v/>
      </c>
      <c r="C58" s="153">
        <f>IF(D11="","-",+C57+1)</f>
        <v>2050</v>
      </c>
      <c r="D58" s="159">
        <f>IF(F57+SUM(E$17:E57)=D$10,F57,D$10-SUM(E$17:E57))</f>
        <v>646425.23556276457</v>
      </c>
      <c r="E58" s="160">
        <f>IF(+I14&lt;F57,I14,D58)</f>
        <v>269309.5581395349</v>
      </c>
      <c r="F58" s="159">
        <f t="shared" si="13"/>
        <v>377115.67742322967</v>
      </c>
      <c r="G58" s="161">
        <f t="shared" si="11"/>
        <v>320259.21008038137</v>
      </c>
      <c r="H58" s="142">
        <f t="shared" si="12"/>
        <v>320259.21008038137</v>
      </c>
      <c r="I58" s="156">
        <f t="shared" si="14"/>
        <v>0</v>
      </c>
      <c r="J58" s="156"/>
      <c r="K58" s="334"/>
      <c r="L58" s="158">
        <f t="shared" si="15"/>
        <v>0</v>
      </c>
      <c r="M58" s="334"/>
      <c r="N58" s="158">
        <f t="shared" si="16"/>
        <v>0</v>
      </c>
      <c r="O58" s="158">
        <f t="shared" si="17"/>
        <v>0</v>
      </c>
      <c r="P58" s="4"/>
      <c r="Q58" t="str">
        <f>IF(ROUND(Q57,0)=ROUND(SUM(Q18:Q56),0),"","Error -- check allocations above).")</f>
        <v/>
      </c>
    </row>
    <row r="59" spans="2:17">
      <c r="B59" s="9" t="str">
        <f t="shared" si="6"/>
        <v/>
      </c>
      <c r="C59" s="153">
        <f>IF(D11="","-",+C58+1)</f>
        <v>2051</v>
      </c>
      <c r="D59" s="159">
        <f>IF(F58+SUM(E$17:E58)=D$10,F58,D$10-SUM(E$17:E58))</f>
        <v>377115.67742322967</v>
      </c>
      <c r="E59" s="160">
        <f>IF(+I14&lt;F58,I14,D59)</f>
        <v>269309.5581395349</v>
      </c>
      <c r="F59" s="159">
        <f t="shared" si="13"/>
        <v>107806.11928369477</v>
      </c>
      <c r="G59" s="161">
        <f t="shared" si="11"/>
        <v>293447.91592014447</v>
      </c>
      <c r="H59" s="142">
        <f t="shared" si="12"/>
        <v>293447.91592014447</v>
      </c>
      <c r="I59" s="156">
        <f t="shared" si="14"/>
        <v>0</v>
      </c>
      <c r="J59" s="156"/>
      <c r="K59" s="334"/>
      <c r="L59" s="158">
        <f t="shared" si="15"/>
        <v>0</v>
      </c>
      <c r="M59" s="334"/>
      <c r="N59" s="158">
        <f t="shared" si="16"/>
        <v>0</v>
      </c>
      <c r="O59" s="158">
        <f t="shared" si="17"/>
        <v>0</v>
      </c>
      <c r="P59" s="4"/>
    </row>
    <row r="60" spans="2:17">
      <c r="B60" s="9" t="str">
        <f t="shared" si="6"/>
        <v/>
      </c>
      <c r="C60" s="153">
        <f>IF(D11="","-",+C59+1)</f>
        <v>2052</v>
      </c>
      <c r="D60" s="159">
        <f>IF(F59+SUM(E$17:E59)=D$10,F59,D$10-SUM(E$17:E59))</f>
        <v>107806.11928369477</v>
      </c>
      <c r="E60" s="160">
        <f>IF(+I14&lt;F59,I14,D60)</f>
        <v>107806.11928369477</v>
      </c>
      <c r="F60" s="159">
        <f t="shared" si="13"/>
        <v>0</v>
      </c>
      <c r="G60" s="161">
        <f t="shared" si="11"/>
        <v>113172.47463394035</v>
      </c>
      <c r="H60" s="142">
        <f t="shared" si="12"/>
        <v>113172.47463394035</v>
      </c>
      <c r="I60" s="156">
        <f t="shared" si="14"/>
        <v>0</v>
      </c>
      <c r="J60" s="156"/>
      <c r="K60" s="334"/>
      <c r="L60" s="158">
        <f t="shared" si="15"/>
        <v>0</v>
      </c>
      <c r="M60" s="334"/>
      <c r="N60" s="158">
        <f t="shared" si="16"/>
        <v>0</v>
      </c>
      <c r="O60" s="158">
        <f t="shared" si="17"/>
        <v>0</v>
      </c>
      <c r="P60" s="4"/>
    </row>
    <row r="61" spans="2:17">
      <c r="B61" s="9" t="str">
        <f t="shared" si="6"/>
        <v/>
      </c>
      <c r="C61" s="153">
        <f>IF(D11="","-",+C60+1)</f>
        <v>2053</v>
      </c>
      <c r="D61" s="159">
        <f>IF(F60+SUM(E$17:E60)=D$10,F60,D$10-SUM(E$17:E60))</f>
        <v>0</v>
      </c>
      <c r="E61" s="160">
        <f>IF(+I14&lt;F60,I14,D61)</f>
        <v>0</v>
      </c>
      <c r="F61" s="159">
        <f t="shared" si="13"/>
        <v>0</v>
      </c>
      <c r="G61" s="161">
        <f t="shared" si="11"/>
        <v>0</v>
      </c>
      <c r="H61" s="142">
        <f t="shared" si="12"/>
        <v>0</v>
      </c>
      <c r="I61" s="156">
        <f t="shared" si="14"/>
        <v>0</v>
      </c>
      <c r="J61" s="156"/>
      <c r="K61" s="334"/>
      <c r="L61" s="158">
        <f t="shared" si="15"/>
        <v>0</v>
      </c>
      <c r="M61" s="334"/>
      <c r="N61" s="158">
        <f t="shared" si="16"/>
        <v>0</v>
      </c>
      <c r="O61" s="158">
        <f t="shared" si="17"/>
        <v>0</v>
      </c>
      <c r="P61" s="4"/>
    </row>
    <row r="62" spans="2:17">
      <c r="B62" s="9" t="str">
        <f t="shared" si="6"/>
        <v/>
      </c>
      <c r="C62" s="153">
        <f>IF(D11="","-",+C61+1)</f>
        <v>2054</v>
      </c>
      <c r="D62" s="159">
        <f>IF(F61+SUM(E$17:E61)=D$10,F61,D$10-SUM(E$17:E61))</f>
        <v>0</v>
      </c>
      <c r="E62" s="160">
        <f>IF(+I14&lt;F61,I14,D62)</f>
        <v>0</v>
      </c>
      <c r="F62" s="159">
        <f t="shared" si="13"/>
        <v>0</v>
      </c>
      <c r="G62" s="161">
        <f t="shared" si="11"/>
        <v>0</v>
      </c>
      <c r="H62" s="142">
        <f t="shared" si="12"/>
        <v>0</v>
      </c>
      <c r="I62" s="156">
        <f t="shared" si="14"/>
        <v>0</v>
      </c>
      <c r="J62" s="156"/>
      <c r="K62" s="334"/>
      <c r="L62" s="158">
        <f t="shared" si="15"/>
        <v>0</v>
      </c>
      <c r="M62" s="334"/>
      <c r="N62" s="158">
        <f t="shared" si="16"/>
        <v>0</v>
      </c>
      <c r="O62" s="158">
        <f t="shared" si="17"/>
        <v>0</v>
      </c>
      <c r="P62" s="4"/>
    </row>
    <row r="63" spans="2:17">
      <c r="B63" s="9" t="str">
        <f t="shared" si="6"/>
        <v/>
      </c>
      <c r="C63" s="153">
        <f>IF(D11="","-",+C62+1)</f>
        <v>2055</v>
      </c>
      <c r="D63" s="159">
        <f>IF(F62+SUM(E$17:E62)=D$10,F62,D$10-SUM(E$17:E62))</f>
        <v>0</v>
      </c>
      <c r="E63" s="160">
        <f>IF(+I14&lt;F62,I14,D63)</f>
        <v>0</v>
      </c>
      <c r="F63" s="159">
        <f t="shared" si="13"/>
        <v>0</v>
      </c>
      <c r="G63" s="161">
        <f t="shared" si="11"/>
        <v>0</v>
      </c>
      <c r="H63" s="142">
        <f t="shared" si="12"/>
        <v>0</v>
      </c>
      <c r="I63" s="156">
        <f t="shared" si="14"/>
        <v>0</v>
      </c>
      <c r="J63" s="156"/>
      <c r="K63" s="334"/>
      <c r="L63" s="158">
        <f t="shared" si="15"/>
        <v>0</v>
      </c>
      <c r="M63" s="334"/>
      <c r="N63" s="158">
        <f t="shared" si="16"/>
        <v>0</v>
      </c>
      <c r="O63" s="158">
        <f t="shared" si="17"/>
        <v>0</v>
      </c>
      <c r="P63" s="4"/>
    </row>
    <row r="64" spans="2:17">
      <c r="B64" s="9" t="str">
        <f t="shared" si="6"/>
        <v/>
      </c>
      <c r="C64" s="153">
        <f>IF(D11="","-",+C63+1)</f>
        <v>2056</v>
      </c>
      <c r="D64" s="159">
        <f>IF(F63+SUM(E$17:E63)=D$10,F63,D$10-SUM(E$17:E63))</f>
        <v>0</v>
      </c>
      <c r="E64" s="160">
        <f>IF(+I14&lt;F63,I14,D64)</f>
        <v>0</v>
      </c>
      <c r="F64" s="159">
        <f t="shared" si="13"/>
        <v>0</v>
      </c>
      <c r="G64" s="161">
        <f t="shared" si="11"/>
        <v>0</v>
      </c>
      <c r="H64" s="142">
        <f t="shared" si="12"/>
        <v>0</v>
      </c>
      <c r="I64" s="156">
        <f t="shared" si="14"/>
        <v>0</v>
      </c>
      <c r="J64" s="156"/>
      <c r="K64" s="334"/>
      <c r="L64" s="158">
        <f t="shared" si="15"/>
        <v>0</v>
      </c>
      <c r="M64" s="334"/>
      <c r="N64" s="158">
        <f t="shared" si="16"/>
        <v>0</v>
      </c>
      <c r="O64" s="158">
        <f t="shared" si="17"/>
        <v>0</v>
      </c>
      <c r="P64" s="4"/>
    </row>
    <row r="65" spans="1:16">
      <c r="B65" s="9" t="str">
        <f t="shared" si="6"/>
        <v/>
      </c>
      <c r="C65" s="153">
        <f>IF(D11="","-",+C64+1)</f>
        <v>2057</v>
      </c>
      <c r="D65" s="159">
        <f>IF(F64+SUM(E$17:E64)=D$10,F64,D$10-SUM(E$17:E64))</f>
        <v>0</v>
      </c>
      <c r="E65" s="160">
        <f>IF(+I14&lt;F64,I14,D65)</f>
        <v>0</v>
      </c>
      <c r="F65" s="159">
        <f t="shared" si="13"/>
        <v>0</v>
      </c>
      <c r="G65" s="161">
        <f t="shared" si="11"/>
        <v>0</v>
      </c>
      <c r="H65" s="142">
        <f t="shared" si="12"/>
        <v>0</v>
      </c>
      <c r="I65" s="156">
        <f t="shared" si="14"/>
        <v>0</v>
      </c>
      <c r="J65" s="156"/>
      <c r="K65" s="334"/>
      <c r="L65" s="158">
        <f t="shared" si="15"/>
        <v>0</v>
      </c>
      <c r="M65" s="334"/>
      <c r="N65" s="158">
        <f t="shared" si="16"/>
        <v>0</v>
      </c>
      <c r="O65" s="158">
        <f t="shared" si="17"/>
        <v>0</v>
      </c>
      <c r="P65" s="4"/>
    </row>
    <row r="66" spans="1:16">
      <c r="B66" s="9" t="str">
        <f t="shared" si="6"/>
        <v/>
      </c>
      <c r="C66" s="153">
        <f>IF(D11="","-",+C65+1)</f>
        <v>2058</v>
      </c>
      <c r="D66" s="159">
        <f>IF(F65+SUM(E$17:E65)=D$10,F65,D$10-SUM(E$17:E65))</f>
        <v>0</v>
      </c>
      <c r="E66" s="160">
        <f>IF(+I14&lt;F65,I14,D66)</f>
        <v>0</v>
      </c>
      <c r="F66" s="159">
        <f t="shared" si="13"/>
        <v>0</v>
      </c>
      <c r="G66" s="161">
        <f t="shared" si="11"/>
        <v>0</v>
      </c>
      <c r="H66" s="142">
        <f t="shared" si="12"/>
        <v>0</v>
      </c>
      <c r="I66" s="156">
        <f t="shared" si="14"/>
        <v>0</v>
      </c>
      <c r="J66" s="156"/>
      <c r="K66" s="334"/>
      <c r="L66" s="158">
        <f t="shared" si="15"/>
        <v>0</v>
      </c>
      <c r="M66" s="334"/>
      <c r="N66" s="158">
        <f t="shared" si="16"/>
        <v>0</v>
      </c>
      <c r="O66" s="158">
        <f t="shared" si="17"/>
        <v>0</v>
      </c>
      <c r="P66" s="4"/>
    </row>
    <row r="67" spans="1:16">
      <c r="B67" s="9" t="str">
        <f t="shared" si="6"/>
        <v/>
      </c>
      <c r="C67" s="153">
        <f>IF(D11="","-",+C66+1)</f>
        <v>2059</v>
      </c>
      <c r="D67" s="159">
        <f>IF(F66+SUM(E$17:E66)=D$10,F66,D$10-SUM(E$17:E66))</f>
        <v>0</v>
      </c>
      <c r="E67" s="160">
        <f>IF(+I14&lt;F66,I14,D67)</f>
        <v>0</v>
      </c>
      <c r="F67" s="159">
        <f t="shared" si="13"/>
        <v>0</v>
      </c>
      <c r="G67" s="161">
        <f t="shared" si="11"/>
        <v>0</v>
      </c>
      <c r="H67" s="142">
        <f t="shared" si="12"/>
        <v>0</v>
      </c>
      <c r="I67" s="156">
        <f t="shared" si="14"/>
        <v>0</v>
      </c>
      <c r="J67" s="156"/>
      <c r="K67" s="334"/>
      <c r="L67" s="158">
        <f t="shared" si="15"/>
        <v>0</v>
      </c>
      <c r="M67" s="334"/>
      <c r="N67" s="158">
        <f t="shared" si="16"/>
        <v>0</v>
      </c>
      <c r="O67" s="158">
        <f t="shared" si="17"/>
        <v>0</v>
      </c>
      <c r="P67" s="4"/>
    </row>
    <row r="68" spans="1:16">
      <c r="B68" s="9" t="str">
        <f t="shared" si="6"/>
        <v/>
      </c>
      <c r="C68" s="153">
        <f>IF(D11="","-",+C67+1)</f>
        <v>2060</v>
      </c>
      <c r="D68" s="159">
        <f>IF(F67+SUM(E$17:E67)=D$10,F67,D$10-SUM(E$17:E67))</f>
        <v>0</v>
      </c>
      <c r="E68" s="160">
        <f>IF(+I14&lt;F67,I14,D68)</f>
        <v>0</v>
      </c>
      <c r="F68" s="159">
        <f t="shared" si="13"/>
        <v>0</v>
      </c>
      <c r="G68" s="161">
        <f t="shared" si="11"/>
        <v>0</v>
      </c>
      <c r="H68" s="142">
        <f t="shared" si="12"/>
        <v>0</v>
      </c>
      <c r="I68" s="156">
        <f t="shared" si="14"/>
        <v>0</v>
      </c>
      <c r="J68" s="156"/>
      <c r="K68" s="334"/>
      <c r="L68" s="158">
        <f t="shared" si="15"/>
        <v>0</v>
      </c>
      <c r="M68" s="334"/>
      <c r="N68" s="158">
        <f t="shared" si="16"/>
        <v>0</v>
      </c>
      <c r="O68" s="158">
        <f t="shared" si="17"/>
        <v>0</v>
      </c>
      <c r="P68" s="4"/>
    </row>
    <row r="69" spans="1:16">
      <c r="B69" s="9" t="str">
        <f t="shared" si="6"/>
        <v/>
      </c>
      <c r="C69" s="153">
        <f>IF(D11="","-",+C68+1)</f>
        <v>2061</v>
      </c>
      <c r="D69" s="159">
        <f>IF(F68+SUM(E$17:E68)=D$10,F68,D$10-SUM(E$17:E68))</f>
        <v>0</v>
      </c>
      <c r="E69" s="160">
        <f>IF(+I14&lt;F68,I14,D69)</f>
        <v>0</v>
      </c>
      <c r="F69" s="159">
        <f t="shared" si="13"/>
        <v>0</v>
      </c>
      <c r="G69" s="161">
        <f t="shared" si="11"/>
        <v>0</v>
      </c>
      <c r="H69" s="142">
        <f t="shared" si="12"/>
        <v>0</v>
      </c>
      <c r="I69" s="156">
        <f t="shared" si="14"/>
        <v>0</v>
      </c>
      <c r="J69" s="156"/>
      <c r="K69" s="334"/>
      <c r="L69" s="158">
        <f t="shared" si="15"/>
        <v>0</v>
      </c>
      <c r="M69" s="334"/>
      <c r="N69" s="158">
        <f t="shared" si="16"/>
        <v>0</v>
      </c>
      <c r="O69" s="158">
        <f t="shared" si="17"/>
        <v>0</v>
      </c>
      <c r="P69" s="4"/>
    </row>
    <row r="70" spans="1:16">
      <c r="B70" s="9" t="str">
        <f t="shared" si="6"/>
        <v/>
      </c>
      <c r="C70" s="153">
        <f>IF(D11="","-",+C69+1)</f>
        <v>2062</v>
      </c>
      <c r="D70" s="159">
        <f>IF(F69+SUM(E$17:E69)=D$10,F69,D$10-SUM(E$17:E69))</f>
        <v>0</v>
      </c>
      <c r="E70" s="160">
        <f>IF(+I14&lt;F69,I14,D70)</f>
        <v>0</v>
      </c>
      <c r="F70" s="159">
        <f t="shared" si="13"/>
        <v>0</v>
      </c>
      <c r="G70" s="161">
        <f t="shared" si="11"/>
        <v>0</v>
      </c>
      <c r="H70" s="142">
        <f t="shared" si="12"/>
        <v>0</v>
      </c>
      <c r="I70" s="156">
        <f t="shared" si="14"/>
        <v>0</v>
      </c>
      <c r="J70" s="156"/>
      <c r="K70" s="334"/>
      <c r="L70" s="158">
        <f t="shared" si="15"/>
        <v>0</v>
      </c>
      <c r="M70" s="334"/>
      <c r="N70" s="158">
        <f t="shared" si="16"/>
        <v>0</v>
      </c>
      <c r="O70" s="158">
        <f t="shared" si="17"/>
        <v>0</v>
      </c>
      <c r="P70" s="4"/>
    </row>
    <row r="71" spans="1:16">
      <c r="B71" s="9" t="str">
        <f t="shared" si="6"/>
        <v/>
      </c>
      <c r="C71" s="153">
        <f>IF(D11="","-",+C70+1)</f>
        <v>2063</v>
      </c>
      <c r="D71" s="159">
        <f>IF(F70+SUM(E$17:E70)=D$10,F70,D$10-SUM(E$17:E70))</f>
        <v>0</v>
      </c>
      <c r="E71" s="160">
        <f>IF(+I14&lt;F70,I14,D71)</f>
        <v>0</v>
      </c>
      <c r="F71" s="159">
        <f t="shared" si="13"/>
        <v>0</v>
      </c>
      <c r="G71" s="161">
        <f t="shared" si="11"/>
        <v>0</v>
      </c>
      <c r="H71" s="142">
        <f t="shared" si="12"/>
        <v>0</v>
      </c>
      <c r="I71" s="156">
        <f t="shared" si="14"/>
        <v>0</v>
      </c>
      <c r="J71" s="156"/>
      <c r="K71" s="334"/>
      <c r="L71" s="158">
        <f t="shared" si="15"/>
        <v>0</v>
      </c>
      <c r="M71" s="334"/>
      <c r="N71" s="158">
        <f t="shared" si="16"/>
        <v>0</v>
      </c>
      <c r="O71" s="158">
        <f t="shared" si="17"/>
        <v>0</v>
      </c>
      <c r="P71" s="4"/>
    </row>
    <row r="72" spans="1:16" ht="13.5" thickBot="1">
      <c r="B72" s="9" t="str">
        <f t="shared" si="6"/>
        <v/>
      </c>
      <c r="C72" s="164">
        <f>IF(D11="","-",+C71+1)</f>
        <v>2064</v>
      </c>
      <c r="D72" s="165">
        <f>IF(F71+SUM(E$17:E71)=D$10,F71,D$10-SUM(E$17:E71))</f>
        <v>0</v>
      </c>
      <c r="E72" s="166">
        <f>IF(+I14&lt;F71,I14,D72)</f>
        <v>0</v>
      </c>
      <c r="F72" s="165">
        <f t="shared" si="13"/>
        <v>0</v>
      </c>
      <c r="G72" s="161">
        <f t="shared" si="11"/>
        <v>0</v>
      </c>
      <c r="H72" s="142">
        <f t="shared" si="12"/>
        <v>0</v>
      </c>
      <c r="I72" s="168">
        <f t="shared" si="14"/>
        <v>0</v>
      </c>
      <c r="J72" s="156"/>
      <c r="K72" s="335"/>
      <c r="L72" s="169">
        <f t="shared" si="15"/>
        <v>0</v>
      </c>
      <c r="M72" s="335"/>
      <c r="N72" s="169">
        <f t="shared" si="16"/>
        <v>0</v>
      </c>
      <c r="O72" s="169">
        <f t="shared" si="17"/>
        <v>0</v>
      </c>
      <c r="P72" s="4"/>
    </row>
    <row r="73" spans="1:16">
      <c r="C73" s="154" t="s">
        <v>73</v>
      </c>
      <c r="D73" s="111"/>
      <c r="E73" s="111">
        <f>SUM(E17:E72)</f>
        <v>11580311</v>
      </c>
      <c r="F73" s="111"/>
      <c r="G73" s="111">
        <f>SUM(G17:G72)</f>
        <v>39420615.793199062</v>
      </c>
      <c r="H73" s="111">
        <f>SUM(H17:H72)</f>
        <v>39420615.793199062</v>
      </c>
      <c r="I73" s="111">
        <f>SUM(I17:I72)</f>
        <v>0</v>
      </c>
      <c r="J73" s="111"/>
      <c r="K73" s="111"/>
      <c r="L73" s="111"/>
      <c r="M73" s="111"/>
      <c r="N73" s="111"/>
      <c r="O73" s="4"/>
      <c r="P73" s="4"/>
    </row>
    <row r="74" spans="1:16">
      <c r="D74" s="2"/>
      <c r="E74" s="1"/>
      <c r="F74" s="1"/>
      <c r="G74" s="1"/>
      <c r="H74" s="3"/>
      <c r="I74" s="3"/>
      <c r="J74" s="111"/>
      <c r="K74" s="3"/>
      <c r="L74" s="3"/>
      <c r="M74" s="3"/>
      <c r="N74" s="3"/>
      <c r="O74" s="1"/>
      <c r="P74" s="1"/>
    </row>
    <row r="75" spans="1:16">
      <c r="C75" s="170" t="s">
        <v>91</v>
      </c>
      <c r="D75" s="2"/>
      <c r="E75" s="1"/>
      <c r="F75" s="1"/>
      <c r="G75" s="1"/>
      <c r="H75" s="3"/>
      <c r="I75" s="3"/>
      <c r="J75" s="111"/>
      <c r="K75" s="3"/>
      <c r="L75" s="3"/>
      <c r="M75" s="3"/>
      <c r="N75" s="3"/>
      <c r="O75" s="1"/>
      <c r="P75" s="1"/>
    </row>
    <row r="76" spans="1:16">
      <c r="C76" s="121" t="s">
        <v>74</v>
      </c>
      <c r="D76" s="2"/>
      <c r="E76" s="1"/>
      <c r="F76" s="1"/>
      <c r="G76" s="1"/>
      <c r="H76" s="3"/>
      <c r="I76" s="3"/>
      <c r="J76" s="111"/>
      <c r="K76" s="3"/>
      <c r="L76" s="3"/>
      <c r="M76" s="3"/>
      <c r="N76" s="3"/>
      <c r="O76" s="4"/>
      <c r="P76" s="4"/>
    </row>
    <row r="77" spans="1:16" ht="18">
      <c r="C77" s="121" t="s">
        <v>75</v>
      </c>
      <c r="D77" s="154"/>
      <c r="E77" s="154"/>
      <c r="F77" s="154"/>
      <c r="G77" s="111"/>
      <c r="H77" s="111"/>
      <c r="I77" s="171"/>
      <c r="J77" s="171"/>
      <c r="K77" s="171"/>
      <c r="L77" s="171"/>
      <c r="M77" s="171"/>
      <c r="N77" s="171"/>
      <c r="O77" s="110"/>
      <c r="P77" s="4"/>
    </row>
    <row r="78" spans="1:16">
      <c r="C78" s="121"/>
      <c r="D78" s="154"/>
      <c r="E78" s="154"/>
      <c r="F78" s="154"/>
      <c r="G78" s="111"/>
      <c r="H78" s="111"/>
      <c r="I78" s="171"/>
      <c r="J78" s="171"/>
      <c r="K78" s="171"/>
      <c r="L78" s="171"/>
      <c r="M78" s="171"/>
      <c r="N78" s="171"/>
      <c r="O78" s="4"/>
      <c r="P78" s="1"/>
    </row>
    <row r="79" spans="1:16" ht="15">
      <c r="A79" s="241"/>
      <c r="B79" s="1"/>
      <c r="C79" s="21"/>
      <c r="D79" s="2"/>
      <c r="E79" s="1"/>
      <c r="F79" s="107"/>
      <c r="G79" s="1"/>
      <c r="H79" s="3"/>
      <c r="I79" s="1"/>
      <c r="J79" s="4"/>
      <c r="K79" s="1"/>
      <c r="L79" s="1"/>
      <c r="M79" s="1"/>
      <c r="N79" s="1"/>
    </row>
    <row r="80" spans="1:16" ht="18">
      <c r="B80" s="1"/>
      <c r="C80" s="242"/>
      <c r="D80" s="2"/>
      <c r="E80" s="1"/>
      <c r="F80" s="107"/>
      <c r="G80" s="1"/>
      <c r="H80" s="3"/>
      <c r="I80" s="1"/>
      <c r="J80" s="4"/>
      <c r="K80" s="1"/>
      <c r="L80" s="1"/>
      <c r="M80" s="1"/>
      <c r="N80" s="1"/>
      <c r="P80" s="244" t="s">
        <v>125</v>
      </c>
    </row>
    <row r="81" spans="1:17">
      <c r="B81" s="1"/>
      <c r="C81" s="242"/>
      <c r="D81" s="2"/>
      <c r="E81" s="1"/>
      <c r="F81" s="107"/>
      <c r="G81" s="1"/>
      <c r="H81" s="3"/>
      <c r="I81" s="1"/>
      <c r="J81" s="4"/>
      <c r="K81" s="1"/>
      <c r="L81" s="1"/>
      <c r="M81" s="1"/>
      <c r="N81" s="1"/>
      <c r="O81" s="1"/>
      <c r="P81" s="1"/>
    </row>
    <row r="82" spans="1:17">
      <c r="B82" s="1"/>
      <c r="C82" s="21"/>
      <c r="D82" s="2"/>
      <c r="E82" s="1"/>
      <c r="F82" s="107"/>
      <c r="G82" s="1"/>
      <c r="H82" s="3"/>
      <c r="I82" s="1"/>
      <c r="J82" s="4"/>
      <c r="K82" s="1"/>
      <c r="L82" s="1"/>
      <c r="M82" s="1"/>
      <c r="N82" s="1"/>
      <c r="O82" s="1"/>
      <c r="P82" s="1"/>
      <c r="Q82" s="1"/>
    </row>
    <row r="83" spans="1:17" ht="20.25">
      <c r="A83" s="243" t="s">
        <v>129</v>
      </c>
      <c r="B83" s="1"/>
      <c r="C83" s="21"/>
      <c r="D83" s="2"/>
      <c r="E83" s="1"/>
      <c r="F83" s="99"/>
      <c r="G83" s="99"/>
      <c r="H83" s="1"/>
      <c r="I83" s="3"/>
      <c r="K83" s="7"/>
      <c r="L83" s="109"/>
      <c r="M83" s="109"/>
      <c r="P83" s="110" t="str">
        <f ca="1">P1</f>
        <v>SWEPCO Project 4 of 73</v>
      </c>
      <c r="Q83" s="1"/>
    </row>
    <row r="84" spans="1:17" ht="18">
      <c r="B84" s="1"/>
      <c r="C84" s="1"/>
      <c r="D84" s="2"/>
      <c r="E84" s="1"/>
      <c r="F84" s="1"/>
      <c r="G84" s="1"/>
      <c r="H84" s="1"/>
      <c r="I84" s="3"/>
      <c r="J84" s="1"/>
      <c r="K84" s="4"/>
      <c r="L84" s="1"/>
      <c r="M84" s="1"/>
      <c r="P84" s="237" t="s">
        <v>123</v>
      </c>
      <c r="Q84" s="1"/>
    </row>
    <row r="85" spans="1:17" ht="18.75" thickBot="1">
      <c r="B85" s="5" t="s">
        <v>40</v>
      </c>
      <c r="C85" s="197" t="s">
        <v>78</v>
      </c>
      <c r="D85" s="2"/>
      <c r="E85" s="1"/>
      <c r="F85" s="1"/>
      <c r="G85" s="1"/>
      <c r="H85" s="1"/>
      <c r="I85" s="3"/>
      <c r="J85" s="3"/>
      <c r="K85" s="111"/>
      <c r="L85" s="3"/>
      <c r="M85" s="3"/>
      <c r="N85" s="3"/>
      <c r="O85" s="111"/>
      <c r="P85" s="1"/>
      <c r="Q85" s="1"/>
    </row>
    <row r="86" spans="1:17" ht="15.75" thickBot="1">
      <c r="C86" s="67"/>
      <c r="D86" s="2"/>
      <c r="E86" s="1"/>
      <c r="F86" s="1"/>
      <c r="G86" s="1"/>
      <c r="H86" s="1"/>
      <c r="I86" s="3"/>
      <c r="J86" s="3"/>
      <c r="K86" s="111"/>
      <c r="L86" s="265">
        <f>+J92</f>
        <v>2017</v>
      </c>
      <c r="M86" s="266" t="s">
        <v>7</v>
      </c>
      <c r="N86" s="270" t="s">
        <v>154</v>
      </c>
      <c r="O86" s="267" t="s">
        <v>9</v>
      </c>
      <c r="P86" s="1"/>
      <c r="Q86" s="1"/>
    </row>
    <row r="87" spans="1:17" ht="15">
      <c r="C87" s="235" t="s">
        <v>42</v>
      </c>
      <c r="D87" s="2"/>
      <c r="E87" s="1"/>
      <c r="F87" s="1"/>
      <c r="G87" s="1"/>
      <c r="H87" s="113"/>
      <c r="I87" s="1" t="s">
        <v>43</v>
      </c>
      <c r="J87" s="1"/>
      <c r="K87" s="261"/>
      <c r="L87" s="259" t="s">
        <v>381</v>
      </c>
      <c r="M87" s="198">
        <f>IF(J92&lt;D11,0,VLOOKUP(J92,C17:O72,9))</f>
        <v>1435401.3142393038</v>
      </c>
      <c r="N87" s="198">
        <f>IF(J92&lt;D11,0,VLOOKUP(J92,C17:O72,11))</f>
        <v>1435401.3142393038</v>
      </c>
      <c r="O87" s="199">
        <f>+N87-M87</f>
        <v>0</v>
      </c>
      <c r="P87" s="1"/>
      <c r="Q87" s="1"/>
    </row>
    <row r="88" spans="1:17" ht="15.75">
      <c r="C88" s="8"/>
      <c r="D88" s="2"/>
      <c r="E88" s="1"/>
      <c r="F88" s="1"/>
      <c r="G88" s="1"/>
      <c r="H88" s="1"/>
      <c r="I88" s="117"/>
      <c r="J88" s="117"/>
      <c r="K88" s="263"/>
      <c r="L88" s="264" t="s">
        <v>382</v>
      </c>
      <c r="M88" s="200">
        <f>IF(J92&lt;D11,0,VLOOKUP(J92,C99:P154,6))</f>
        <v>1412659.7088236467</v>
      </c>
      <c r="N88" s="200">
        <f>IF(J92&lt;D11,0,VLOOKUP(J92,C99:P154,7))</f>
        <v>1412659.7088236467</v>
      </c>
      <c r="O88" s="201">
        <f>+N88-M88</f>
        <v>0</v>
      </c>
      <c r="P88" s="1"/>
      <c r="Q88" s="1"/>
    </row>
    <row r="89" spans="1:17" ht="13.5" thickBot="1">
      <c r="C89" s="121" t="s">
        <v>79</v>
      </c>
      <c r="D89" s="246" t="str">
        <f>+D7</f>
        <v>Rebuild N. Magazine - Danville 161 kV Line</v>
      </c>
      <c r="E89" s="1"/>
      <c r="F89" s="1"/>
      <c r="G89" s="1"/>
      <c r="H89" s="1"/>
      <c r="I89" s="3"/>
      <c r="J89" s="3"/>
      <c r="K89" s="262"/>
      <c r="L89" s="260" t="s">
        <v>151</v>
      </c>
      <c r="M89" s="203">
        <f>+M88-M87</f>
        <v>-22741.605415657163</v>
      </c>
      <c r="N89" s="203">
        <f>+N88-N87</f>
        <v>-22741.605415657163</v>
      </c>
      <c r="O89" s="204">
        <f>+O88-O87</f>
        <v>0</v>
      </c>
      <c r="P89" s="1"/>
      <c r="Q89" s="1"/>
    </row>
    <row r="90" spans="1:17" ht="13.5" thickBot="1">
      <c r="C90" s="170"/>
      <c r="D90" s="173" t="str">
        <f>D8</f>
        <v/>
      </c>
      <c r="E90" s="107"/>
      <c r="F90" s="107"/>
      <c r="G90" s="107"/>
      <c r="H90" s="126"/>
      <c r="I90" s="3"/>
      <c r="J90" s="3"/>
      <c r="K90" s="111"/>
      <c r="L90" s="3"/>
      <c r="M90" s="3"/>
      <c r="N90" s="3"/>
      <c r="O90" s="111"/>
      <c r="P90" s="1"/>
      <c r="Q90" s="1"/>
    </row>
    <row r="91" spans="1:17" ht="13.5" thickBot="1">
      <c r="A91" s="103"/>
      <c r="C91" s="205" t="s">
        <v>80</v>
      </c>
      <c r="D91" s="224" t="str">
        <f>+D9</f>
        <v>TP2007114</v>
      </c>
      <c r="E91" s="206"/>
      <c r="F91" s="206"/>
      <c r="G91" s="206"/>
      <c r="H91" s="206"/>
      <c r="I91" s="206"/>
      <c r="J91" s="238"/>
      <c r="K91" s="207"/>
      <c r="P91" s="131"/>
      <c r="Q91" s="1"/>
    </row>
    <row r="92" spans="1:17">
      <c r="C92" s="136" t="s">
        <v>47</v>
      </c>
      <c r="D92" s="133">
        <v>11580311</v>
      </c>
      <c r="E92" s="21" t="s">
        <v>81</v>
      </c>
      <c r="H92" s="134"/>
      <c r="I92" s="134"/>
      <c r="J92" s="135">
        <f>+'SWE.WS.G.BPU.ATRR.True-up'!M15</f>
        <v>2017</v>
      </c>
      <c r="K92" s="130"/>
      <c r="L92" s="111" t="s">
        <v>82</v>
      </c>
      <c r="P92" s="4"/>
      <c r="Q92" s="1"/>
    </row>
    <row r="93" spans="1:17">
      <c r="C93" s="136" t="s">
        <v>49</v>
      </c>
      <c r="D93" s="219">
        <f>IF(D11=I10,"",D11)</f>
        <v>2009</v>
      </c>
      <c r="E93" s="136" t="s">
        <v>50</v>
      </c>
      <c r="F93" s="134"/>
      <c r="G93" s="134"/>
      <c r="J93" s="138">
        <f>IF(H87="",0,'SWE.WS.G.BPU.ATRR.True-up'!$F$12)</f>
        <v>0</v>
      </c>
      <c r="K93" s="139"/>
      <c r="L93" t="str">
        <f>"          INPUT TRUE-UP ARR (WITH &amp; WITHOUT INCENTIVES) FROM EACH PRIOR YEAR"</f>
        <v xml:space="preserve">          INPUT TRUE-UP ARR (WITH &amp; WITHOUT INCENTIVES) FROM EACH PRIOR YEAR</v>
      </c>
      <c r="P93" s="4"/>
      <c r="Q93" s="1"/>
    </row>
    <row r="94" spans="1:17">
      <c r="C94" s="136" t="s">
        <v>51</v>
      </c>
      <c r="D94" s="218">
        <f>IF(D11=I10,"",D12)</f>
        <v>6</v>
      </c>
      <c r="E94" s="136" t="s">
        <v>52</v>
      </c>
      <c r="F94" s="134"/>
      <c r="G94" s="134"/>
      <c r="J94" s="140">
        <f>'SWE.WS.G.BPU.ATRR.True-up'!$F$80</f>
        <v>0.12147145768398206</v>
      </c>
      <c r="K94" s="141"/>
      <c r="L94" t="s">
        <v>83</v>
      </c>
      <c r="P94" s="4"/>
      <c r="Q94" s="1"/>
    </row>
    <row r="95" spans="1:17">
      <c r="C95" s="136" t="s">
        <v>54</v>
      </c>
      <c r="D95" s="138">
        <f>'SWE.WS.G.BPU.ATRR.True-up'!F$92</f>
        <v>42</v>
      </c>
      <c r="E95" s="136" t="s">
        <v>55</v>
      </c>
      <c r="F95" s="134"/>
      <c r="G95" s="134"/>
      <c r="J95" s="140">
        <f>IF(H87="",J94,'SWE.WS.G.BPU.ATRR.True-up'!$F$79)</f>
        <v>0.12147145768398206</v>
      </c>
      <c r="K95" s="58"/>
      <c r="L95" s="111" t="s">
        <v>56</v>
      </c>
      <c r="M95" s="58"/>
      <c r="N95" s="58"/>
      <c r="O95" s="58"/>
      <c r="P95" s="4"/>
      <c r="Q95" s="1"/>
    </row>
    <row r="96" spans="1:17" ht="13.5" thickBot="1">
      <c r="C96" s="136" t="s">
        <v>57</v>
      </c>
      <c r="D96" s="220" t="str">
        <f>+D14</f>
        <v>No</v>
      </c>
      <c r="E96" s="202" t="s">
        <v>59</v>
      </c>
      <c r="F96" s="208"/>
      <c r="G96" s="208"/>
      <c r="H96" s="209"/>
      <c r="I96" s="209"/>
      <c r="J96" s="124">
        <f>IF(D92=0,0,D92/D95)</f>
        <v>275721.69047619047</v>
      </c>
      <c r="K96" s="111"/>
      <c r="L96" s="111"/>
      <c r="M96" s="111"/>
      <c r="N96" s="111"/>
      <c r="O96" s="111"/>
      <c r="P96" s="4"/>
      <c r="Q96" s="1"/>
    </row>
    <row r="97" spans="1:17" ht="38.25">
      <c r="A97" s="6"/>
      <c r="B97" s="6"/>
      <c r="C97" s="210" t="s">
        <v>47</v>
      </c>
      <c r="D97" s="211" t="s">
        <v>60</v>
      </c>
      <c r="E97" s="146" t="s">
        <v>61</v>
      </c>
      <c r="F97" s="146" t="s">
        <v>62</v>
      </c>
      <c r="G97" s="144" t="s">
        <v>84</v>
      </c>
      <c r="H97" s="434" t="s">
        <v>378</v>
      </c>
      <c r="I97" s="435" t="s">
        <v>379</v>
      </c>
      <c r="J97" s="210" t="s">
        <v>85</v>
      </c>
      <c r="K97" s="212"/>
      <c r="L97" s="271" t="s">
        <v>220</v>
      </c>
      <c r="M97" s="146" t="s">
        <v>86</v>
      </c>
      <c r="N97" s="271" t="s">
        <v>220</v>
      </c>
      <c r="O97" s="146" t="s">
        <v>86</v>
      </c>
      <c r="P97" s="146" t="s">
        <v>65</v>
      </c>
      <c r="Q97" s="1"/>
    </row>
    <row r="98" spans="1:17" ht="13.5" thickBot="1">
      <c r="C98" s="147" t="s">
        <v>66</v>
      </c>
      <c r="D98" s="213" t="s">
        <v>67</v>
      </c>
      <c r="E98" s="147" t="s">
        <v>68</v>
      </c>
      <c r="F98" s="147" t="s">
        <v>67</v>
      </c>
      <c r="G98" s="147" t="s">
        <v>67</v>
      </c>
      <c r="H98" s="407" t="s">
        <v>69</v>
      </c>
      <c r="I98" s="148" t="s">
        <v>70</v>
      </c>
      <c r="J98" s="149" t="s">
        <v>89</v>
      </c>
      <c r="K98" s="150"/>
      <c r="L98" s="151" t="s">
        <v>72</v>
      </c>
      <c r="M98" s="151" t="s">
        <v>72</v>
      </c>
      <c r="N98" s="151" t="s">
        <v>90</v>
      </c>
      <c r="O98" s="151" t="s">
        <v>90</v>
      </c>
      <c r="P98" s="151" t="s">
        <v>90</v>
      </c>
      <c r="Q98" s="1"/>
    </row>
    <row r="99" spans="1:17">
      <c r="C99" s="153">
        <f>IF(D93= "","-",D93)</f>
        <v>2009</v>
      </c>
      <c r="D99" s="357">
        <v>0</v>
      </c>
      <c r="E99" s="360">
        <v>152372</v>
      </c>
      <c r="F99" s="361">
        <v>11427940</v>
      </c>
      <c r="G99" s="365">
        <v>5713970</v>
      </c>
      <c r="H99" s="362">
        <v>979399</v>
      </c>
      <c r="I99" s="363">
        <v>979399</v>
      </c>
      <c r="J99" s="158">
        <f t="shared" ref="J99:J130" si="18">+I99-H99</f>
        <v>0</v>
      </c>
      <c r="K99" s="158"/>
      <c r="L99" s="256">
        <f t="shared" ref="L99:L104" si="19">H99</f>
        <v>979399</v>
      </c>
      <c r="M99" s="157">
        <f t="shared" ref="M99:M130" si="20">IF(L99&lt;&gt;0,+H99-L99,0)</f>
        <v>0</v>
      </c>
      <c r="N99" s="256">
        <f t="shared" ref="N99:N104" si="21">I99</f>
        <v>979399</v>
      </c>
      <c r="O99" s="157">
        <f t="shared" ref="O99:O130" si="22">IF(N99&lt;&gt;0,+I99-N99,0)</f>
        <v>0</v>
      </c>
      <c r="P99" s="157">
        <f t="shared" ref="P99:P130" si="23">+O99-M99</f>
        <v>0</v>
      </c>
      <c r="Q99" s="1"/>
    </row>
    <row r="100" spans="1:17">
      <c r="B100" s="9" t="str">
        <f>IF(D100=F99,"","IU")</f>
        <v>IU</v>
      </c>
      <c r="C100" s="153">
        <f>IF(D93="","-",+C99+1)</f>
        <v>2010</v>
      </c>
      <c r="D100" s="357">
        <v>11427940.940000001</v>
      </c>
      <c r="E100" s="360">
        <v>282446.65707317076</v>
      </c>
      <c r="F100" s="361">
        <v>11145494.282926831</v>
      </c>
      <c r="G100" s="361">
        <v>11286717.611463416</v>
      </c>
      <c r="H100" s="360">
        <v>2145726.6474616765</v>
      </c>
      <c r="I100" s="359">
        <v>2145726.6474616765</v>
      </c>
      <c r="J100" s="158">
        <f t="shared" si="18"/>
        <v>0</v>
      </c>
      <c r="K100" s="158"/>
      <c r="L100" s="258">
        <f t="shared" si="19"/>
        <v>2145726.6474616765</v>
      </c>
      <c r="M100" s="257">
        <f t="shared" si="20"/>
        <v>0</v>
      </c>
      <c r="N100" s="258">
        <f t="shared" si="21"/>
        <v>2145726.6474616765</v>
      </c>
      <c r="O100" s="158">
        <f t="shared" si="22"/>
        <v>0</v>
      </c>
      <c r="P100" s="158">
        <f t="shared" si="23"/>
        <v>0</v>
      </c>
      <c r="Q100" s="1"/>
    </row>
    <row r="101" spans="1:17">
      <c r="B101" s="9" t="str">
        <f t="shared" ref="B101:B154" si="24">IF(D101=F100,"","IU")</f>
        <v/>
      </c>
      <c r="C101" s="153">
        <f>IF(D93="","-",+C100+1)</f>
        <v>2011</v>
      </c>
      <c r="D101" s="357">
        <v>11145494.282926831</v>
      </c>
      <c r="E101" s="377">
        <v>275721.73666666669</v>
      </c>
      <c r="F101" s="361">
        <v>10869772.546260165</v>
      </c>
      <c r="G101" s="361">
        <v>11007633.414593499</v>
      </c>
      <c r="H101" s="360">
        <v>1931048.5627447576</v>
      </c>
      <c r="I101" s="359">
        <v>1931048.5627447576</v>
      </c>
      <c r="J101" s="158">
        <f t="shared" si="18"/>
        <v>0</v>
      </c>
      <c r="K101" s="158"/>
      <c r="L101" s="258">
        <f t="shared" si="19"/>
        <v>1931048.5627447576</v>
      </c>
      <c r="M101" s="257">
        <f t="shared" si="20"/>
        <v>0</v>
      </c>
      <c r="N101" s="258">
        <f t="shared" si="21"/>
        <v>1931048.5627447576</v>
      </c>
      <c r="O101" s="158">
        <f t="shared" si="22"/>
        <v>0</v>
      </c>
      <c r="P101" s="158">
        <f t="shared" si="23"/>
        <v>0</v>
      </c>
      <c r="Q101" s="1"/>
    </row>
    <row r="102" spans="1:17">
      <c r="B102" s="9" t="str">
        <f t="shared" si="24"/>
        <v/>
      </c>
      <c r="C102" s="153">
        <f>IF(D93="","-",+C101+1)</f>
        <v>2012</v>
      </c>
      <c r="D102" s="357">
        <v>10869772.546260165</v>
      </c>
      <c r="E102" s="360">
        <v>275721.73666666669</v>
      </c>
      <c r="F102" s="361">
        <v>10594050.809593499</v>
      </c>
      <c r="G102" s="361">
        <v>10731911.677926831</v>
      </c>
      <c r="H102" s="360">
        <v>1854964.7357626334</v>
      </c>
      <c r="I102" s="359">
        <v>1854964.7357626334</v>
      </c>
      <c r="J102" s="158">
        <f t="shared" si="18"/>
        <v>0</v>
      </c>
      <c r="K102" s="158"/>
      <c r="L102" s="258">
        <f t="shared" si="19"/>
        <v>1854964.7357626334</v>
      </c>
      <c r="M102" s="257">
        <f t="shared" si="20"/>
        <v>0</v>
      </c>
      <c r="N102" s="258">
        <f t="shared" si="21"/>
        <v>1854964.7357626334</v>
      </c>
      <c r="O102" s="158">
        <f t="shared" si="22"/>
        <v>0</v>
      </c>
      <c r="P102" s="158">
        <f t="shared" si="23"/>
        <v>0</v>
      </c>
      <c r="Q102" s="1"/>
    </row>
    <row r="103" spans="1:17">
      <c r="B103" s="9" t="str">
        <f t="shared" si="24"/>
        <v/>
      </c>
      <c r="C103" s="153">
        <f>IF(D93="","-",+C102+1)</f>
        <v>2013</v>
      </c>
      <c r="D103" s="357">
        <v>10594050.809593499</v>
      </c>
      <c r="E103" s="360">
        <v>275721.73666666669</v>
      </c>
      <c r="F103" s="361">
        <v>10318329.072926832</v>
      </c>
      <c r="G103" s="361">
        <v>10456189.941260166</v>
      </c>
      <c r="H103" s="360">
        <v>1690357.4734906773</v>
      </c>
      <c r="I103" s="359">
        <v>1690357.4734906773</v>
      </c>
      <c r="J103" s="158">
        <v>0</v>
      </c>
      <c r="K103" s="158"/>
      <c r="L103" s="258">
        <f t="shared" si="19"/>
        <v>1690357.4734906773</v>
      </c>
      <c r="M103" s="257">
        <f>IF(L103&lt;&gt;0,+H103-L103,0)</f>
        <v>0</v>
      </c>
      <c r="N103" s="258">
        <f t="shared" si="21"/>
        <v>1690357.4734906773</v>
      </c>
      <c r="O103" s="158">
        <f>IF(N103&lt;&gt;0,+I103-N103,0)</f>
        <v>0</v>
      </c>
      <c r="P103" s="158">
        <f>+O103-M103</f>
        <v>0</v>
      </c>
      <c r="Q103" s="1"/>
    </row>
    <row r="104" spans="1:17">
      <c r="B104" s="9" t="str">
        <f t="shared" si="24"/>
        <v/>
      </c>
      <c r="C104" s="153">
        <f>IF(D93="","-",+C103+1)</f>
        <v>2014</v>
      </c>
      <c r="D104" s="357">
        <v>10318329.072926832</v>
      </c>
      <c r="E104" s="360">
        <v>275721.73666666669</v>
      </c>
      <c r="F104" s="361">
        <v>10042607.336260166</v>
      </c>
      <c r="G104" s="361">
        <v>10180468.204593498</v>
      </c>
      <c r="H104" s="360">
        <v>1659486.1970572667</v>
      </c>
      <c r="I104" s="359">
        <v>1659486.1970572667</v>
      </c>
      <c r="J104" s="158">
        <v>0</v>
      </c>
      <c r="K104" s="158"/>
      <c r="L104" s="258">
        <f t="shared" si="19"/>
        <v>1659486.1970572667</v>
      </c>
      <c r="M104" s="257">
        <f>IF(L104&lt;&gt;0,+H104-L104,0)</f>
        <v>0</v>
      </c>
      <c r="N104" s="258">
        <f t="shared" si="21"/>
        <v>1659486.1970572667</v>
      </c>
      <c r="O104" s="158">
        <f>IF(N104&lt;&gt;0,+I104-N104,0)</f>
        <v>0</v>
      </c>
      <c r="P104" s="158">
        <f>+O104-M104</f>
        <v>0</v>
      </c>
      <c r="Q104" s="1"/>
    </row>
    <row r="105" spans="1:17">
      <c r="B105" s="9" t="str">
        <f t="shared" si="24"/>
        <v>IU</v>
      </c>
      <c r="C105" s="153">
        <f>IF(D93="","-",+C104+1)</f>
        <v>2015</v>
      </c>
      <c r="D105" s="357">
        <v>10042605.396260163</v>
      </c>
      <c r="E105" s="360">
        <v>275721.69047619047</v>
      </c>
      <c r="F105" s="361">
        <v>9766883.7057839725</v>
      </c>
      <c r="G105" s="361">
        <v>9904744.5510220677</v>
      </c>
      <c r="H105" s="360">
        <v>1580858.7656028033</v>
      </c>
      <c r="I105" s="359">
        <v>1580858.7656028033</v>
      </c>
      <c r="J105" s="158">
        <f t="shared" si="18"/>
        <v>0</v>
      </c>
      <c r="K105" s="158"/>
      <c r="L105" s="258">
        <f>H105</f>
        <v>1580858.7656028033</v>
      </c>
      <c r="M105" s="257">
        <f>IF(L105&lt;&gt;0,+H105-L105,0)</f>
        <v>0</v>
      </c>
      <c r="N105" s="258">
        <f>I105</f>
        <v>1580858.7656028033</v>
      </c>
      <c r="O105" s="158">
        <f>IF(N105&lt;&gt;0,+I105-N105,0)</f>
        <v>0</v>
      </c>
      <c r="P105" s="158">
        <f>+O105-M105</f>
        <v>0</v>
      </c>
      <c r="Q105" s="1"/>
    </row>
    <row r="106" spans="1:17">
      <c r="B106" s="9" t="str">
        <f t="shared" si="24"/>
        <v/>
      </c>
      <c r="C106" s="153">
        <f>IF(D93="","-",+C105+1)</f>
        <v>2016</v>
      </c>
      <c r="D106" s="357">
        <v>9766883.7057839725</v>
      </c>
      <c r="E106" s="360">
        <v>269309.5581395349</v>
      </c>
      <c r="F106" s="361">
        <v>9497574.1476444378</v>
      </c>
      <c r="G106" s="361">
        <v>9632228.9267142043</v>
      </c>
      <c r="H106" s="360">
        <v>1492120.9075767242</v>
      </c>
      <c r="I106" s="359">
        <v>1492120.9075767242</v>
      </c>
      <c r="J106" s="158">
        <v>0</v>
      </c>
      <c r="K106" s="158"/>
      <c r="L106" s="258">
        <f>H106</f>
        <v>1492120.9075767242</v>
      </c>
      <c r="M106" s="257">
        <f>IF(L106&lt;&gt;0,+H106-L106,0)</f>
        <v>0</v>
      </c>
      <c r="N106" s="258">
        <f>I106</f>
        <v>1492120.9075767242</v>
      </c>
      <c r="O106" s="158">
        <f>IF(N106&lt;&gt;0,+I106-N106,0)</f>
        <v>0</v>
      </c>
      <c r="P106" s="158">
        <f>+O106-M106</f>
        <v>0</v>
      </c>
      <c r="Q106" s="1"/>
    </row>
    <row r="107" spans="1:17">
      <c r="B107" s="9" t="str">
        <f t="shared" si="24"/>
        <v/>
      </c>
      <c r="C107" s="153">
        <f>IF(D93="","-",+C106+1)</f>
        <v>2017</v>
      </c>
      <c r="D107" s="154">
        <f>IF(F106+SUM(E$99:E106)=D$92,F106,D$92-SUM(E$99:E106))</f>
        <v>9497574.1476444378</v>
      </c>
      <c r="E107" s="160">
        <f>IF(+J96&lt;F106,J96,D107)</f>
        <v>275721.69047619047</v>
      </c>
      <c r="F107" s="159">
        <f t="shared" ref="F107:F130" si="25">+D107-E107</f>
        <v>9221852.4571682476</v>
      </c>
      <c r="G107" s="159">
        <f t="shared" ref="G107:G130" si="26">+(F107+D107)/2</f>
        <v>9359713.3024063427</v>
      </c>
      <c r="H107" s="163">
        <f t="shared" ref="H107:H112" si="27">+J$94*G107+E107</f>
        <v>1412659.7088236467</v>
      </c>
      <c r="I107" s="253">
        <f t="shared" ref="I107:I112" si="28">+J$95*G107+E107</f>
        <v>1412659.7088236467</v>
      </c>
      <c r="J107" s="158">
        <f t="shared" si="18"/>
        <v>0</v>
      </c>
      <c r="K107" s="158"/>
      <c r="L107" s="334"/>
      <c r="M107" s="158">
        <f t="shared" si="20"/>
        <v>0</v>
      </c>
      <c r="N107" s="334"/>
      <c r="O107" s="158">
        <f t="shared" si="22"/>
        <v>0</v>
      </c>
      <c r="P107" s="158">
        <f t="shared" si="23"/>
        <v>0</v>
      </c>
      <c r="Q107" s="1"/>
    </row>
    <row r="108" spans="1:17">
      <c r="B108" s="9" t="str">
        <f t="shared" si="24"/>
        <v/>
      </c>
      <c r="C108" s="153">
        <f>IF(D93="","-",+C107+1)</f>
        <v>2018</v>
      </c>
      <c r="D108" s="154">
        <f>IF(F107+SUM(E$99:E107)=D$92,F107,D$92-SUM(E$99:E107))</f>
        <v>9221852.4571682476</v>
      </c>
      <c r="E108" s="160">
        <f>IF(+J96&lt;F107,J96,D108)</f>
        <v>275721.69047619047</v>
      </c>
      <c r="F108" s="159">
        <f t="shared" si="25"/>
        <v>8946130.7666920573</v>
      </c>
      <c r="G108" s="159">
        <f t="shared" si="26"/>
        <v>9083991.6119301524</v>
      </c>
      <c r="H108" s="163">
        <f t="shared" si="27"/>
        <v>1379167.3931664119</v>
      </c>
      <c r="I108" s="253">
        <f t="shared" si="28"/>
        <v>1379167.3931664119</v>
      </c>
      <c r="J108" s="158">
        <f t="shared" si="18"/>
        <v>0</v>
      </c>
      <c r="K108" s="158"/>
      <c r="L108" s="334"/>
      <c r="M108" s="158">
        <f t="shared" si="20"/>
        <v>0</v>
      </c>
      <c r="N108" s="334"/>
      <c r="O108" s="158">
        <f t="shared" si="22"/>
        <v>0</v>
      </c>
      <c r="P108" s="158">
        <f t="shared" si="23"/>
        <v>0</v>
      </c>
      <c r="Q108" s="1"/>
    </row>
    <row r="109" spans="1:17">
      <c r="B109" s="9" t="str">
        <f t="shared" si="24"/>
        <v/>
      </c>
      <c r="C109" s="153">
        <f>IF(D93="","-",+C108+1)</f>
        <v>2019</v>
      </c>
      <c r="D109" s="154">
        <f>IF(F108+SUM(E$99:E108)=D$92,F108,D$92-SUM(E$99:E108))</f>
        <v>8946130.7666920573</v>
      </c>
      <c r="E109" s="160">
        <f>IF(+J96&lt;F108,J96,D109)</f>
        <v>275721.69047619047</v>
      </c>
      <c r="F109" s="159">
        <f t="shared" si="25"/>
        <v>8670409.076215867</v>
      </c>
      <c r="G109" s="159">
        <f t="shared" si="26"/>
        <v>8808269.9214539621</v>
      </c>
      <c r="H109" s="163">
        <f t="shared" si="27"/>
        <v>1345675.0775091774</v>
      </c>
      <c r="I109" s="253">
        <f t="shared" si="28"/>
        <v>1345675.0775091774</v>
      </c>
      <c r="J109" s="158">
        <f t="shared" si="18"/>
        <v>0</v>
      </c>
      <c r="K109" s="158"/>
      <c r="L109" s="334"/>
      <c r="M109" s="158">
        <f t="shared" si="20"/>
        <v>0</v>
      </c>
      <c r="N109" s="334"/>
      <c r="O109" s="158">
        <f t="shared" si="22"/>
        <v>0</v>
      </c>
      <c r="P109" s="158">
        <f t="shared" si="23"/>
        <v>0</v>
      </c>
      <c r="Q109" s="1"/>
    </row>
    <row r="110" spans="1:17">
      <c r="B110" s="9" t="str">
        <f t="shared" si="24"/>
        <v/>
      </c>
      <c r="C110" s="153">
        <f>IF(D93="","-",+C109+1)</f>
        <v>2020</v>
      </c>
      <c r="D110" s="154">
        <f>IF(F109+SUM(E$99:E109)=D$92,F109,D$92-SUM(E$99:E109))</f>
        <v>8670409.076215867</v>
      </c>
      <c r="E110" s="160">
        <f>IF(+J96&lt;F109,J96,D110)</f>
        <v>275721.69047619047</v>
      </c>
      <c r="F110" s="159">
        <f t="shared" si="25"/>
        <v>8394687.3857396767</v>
      </c>
      <c r="G110" s="159">
        <f t="shared" si="26"/>
        <v>8532548.2309777718</v>
      </c>
      <c r="H110" s="163">
        <f t="shared" si="27"/>
        <v>1312182.7618519429</v>
      </c>
      <c r="I110" s="253">
        <f t="shared" si="28"/>
        <v>1312182.7618519429</v>
      </c>
      <c r="J110" s="158">
        <f t="shared" si="18"/>
        <v>0</v>
      </c>
      <c r="K110" s="158"/>
      <c r="L110" s="334"/>
      <c r="M110" s="158">
        <f t="shared" si="20"/>
        <v>0</v>
      </c>
      <c r="N110" s="334"/>
      <c r="O110" s="158">
        <f t="shared" si="22"/>
        <v>0</v>
      </c>
      <c r="P110" s="158">
        <f t="shared" si="23"/>
        <v>0</v>
      </c>
      <c r="Q110" s="1"/>
    </row>
    <row r="111" spans="1:17">
      <c r="B111" s="9" t="str">
        <f t="shared" si="24"/>
        <v/>
      </c>
      <c r="C111" s="153">
        <f>IF(D93="","-",+C110+1)</f>
        <v>2021</v>
      </c>
      <c r="D111" s="154">
        <f>IF(F110+SUM(E$99:E110)=D$92,F110,D$92-SUM(E$99:E110))</f>
        <v>8394687.3857396767</v>
      </c>
      <c r="E111" s="160">
        <f>IF(+J96&lt;F110,J96,D111)</f>
        <v>275721.69047619047</v>
      </c>
      <c r="F111" s="159">
        <f t="shared" si="25"/>
        <v>8118965.6952634864</v>
      </c>
      <c r="G111" s="159">
        <f t="shared" si="26"/>
        <v>8256826.5405015815</v>
      </c>
      <c r="H111" s="163">
        <f t="shared" si="27"/>
        <v>1278690.4461947083</v>
      </c>
      <c r="I111" s="253">
        <f t="shared" si="28"/>
        <v>1278690.4461947083</v>
      </c>
      <c r="J111" s="158">
        <f t="shared" si="18"/>
        <v>0</v>
      </c>
      <c r="K111" s="158"/>
      <c r="L111" s="334"/>
      <c r="M111" s="158">
        <f t="shared" si="20"/>
        <v>0</v>
      </c>
      <c r="N111" s="334"/>
      <c r="O111" s="158">
        <f t="shared" si="22"/>
        <v>0</v>
      </c>
      <c r="P111" s="158">
        <f t="shared" si="23"/>
        <v>0</v>
      </c>
      <c r="Q111" s="1"/>
    </row>
    <row r="112" spans="1:17">
      <c r="B112" s="9" t="str">
        <f t="shared" si="24"/>
        <v/>
      </c>
      <c r="C112" s="153">
        <f>IF(D93="","-",+C111+1)</f>
        <v>2022</v>
      </c>
      <c r="D112" s="154">
        <f>IF(F111+SUM(E$99:E111)=D$92,F111,D$92-SUM(E$99:E111))</f>
        <v>8118965.6952634864</v>
      </c>
      <c r="E112" s="160">
        <f>IF(+J96&lt;F111,J96,D112)</f>
        <v>275721.69047619047</v>
      </c>
      <c r="F112" s="159">
        <f t="shared" si="25"/>
        <v>7843244.0047872961</v>
      </c>
      <c r="G112" s="159">
        <f t="shared" si="26"/>
        <v>7981104.8500253912</v>
      </c>
      <c r="H112" s="163">
        <f t="shared" si="27"/>
        <v>1245198.1305374738</v>
      </c>
      <c r="I112" s="253">
        <f t="shared" si="28"/>
        <v>1245198.1305374738</v>
      </c>
      <c r="J112" s="158">
        <f t="shared" si="18"/>
        <v>0</v>
      </c>
      <c r="K112" s="158"/>
      <c r="L112" s="334"/>
      <c r="M112" s="158">
        <f t="shared" si="20"/>
        <v>0</v>
      </c>
      <c r="N112" s="334"/>
      <c r="O112" s="158">
        <f t="shared" si="22"/>
        <v>0</v>
      </c>
      <c r="P112" s="158">
        <f t="shared" si="23"/>
        <v>0</v>
      </c>
      <c r="Q112" s="1"/>
    </row>
    <row r="113" spans="2:17">
      <c r="B113" s="9" t="str">
        <f t="shared" si="24"/>
        <v/>
      </c>
      <c r="C113" s="153">
        <f>IF(D93="","-",+C112+1)</f>
        <v>2023</v>
      </c>
      <c r="D113" s="154">
        <f>IF(F112+SUM(E$99:E112)=D$92,F112,D$92-SUM(E$99:E112))</f>
        <v>7843244.0047872961</v>
      </c>
      <c r="E113" s="160">
        <f>IF(+J96&lt;F112,J96,D113)</f>
        <v>275721.69047619047</v>
      </c>
      <c r="F113" s="159">
        <f t="shared" si="25"/>
        <v>7567522.3143111058</v>
      </c>
      <c r="G113" s="159">
        <f t="shared" si="26"/>
        <v>7705383.1595492009</v>
      </c>
      <c r="H113" s="163">
        <f t="shared" ref="H113:H154" si="29">+J$94*G113+E113</f>
        <v>1211705.8148802391</v>
      </c>
      <c r="I113" s="253">
        <f t="shared" ref="I113:I154" si="30">+J$95*G113+E113</f>
        <v>1211705.8148802391</v>
      </c>
      <c r="J113" s="158">
        <f t="shared" si="18"/>
        <v>0</v>
      </c>
      <c r="K113" s="158"/>
      <c r="L113" s="334"/>
      <c r="M113" s="158">
        <f t="shared" si="20"/>
        <v>0</v>
      </c>
      <c r="N113" s="334"/>
      <c r="O113" s="158">
        <f t="shared" si="22"/>
        <v>0</v>
      </c>
      <c r="P113" s="158">
        <f t="shared" si="23"/>
        <v>0</v>
      </c>
      <c r="Q113" s="1"/>
    </row>
    <row r="114" spans="2:17">
      <c r="B114" s="9" t="str">
        <f t="shared" si="24"/>
        <v/>
      </c>
      <c r="C114" s="153">
        <f>IF(D93="","-",+C113+1)</f>
        <v>2024</v>
      </c>
      <c r="D114" s="154">
        <f>IF(F113+SUM(E$99:E113)=D$92,F113,D$92-SUM(E$99:E113))</f>
        <v>7567522.3143111058</v>
      </c>
      <c r="E114" s="160">
        <f>IF(+J96&lt;F113,J96,D114)</f>
        <v>275721.69047619047</v>
      </c>
      <c r="F114" s="159">
        <f t="shared" si="25"/>
        <v>7291800.6238349155</v>
      </c>
      <c r="G114" s="159">
        <f t="shared" si="26"/>
        <v>7429661.4690730106</v>
      </c>
      <c r="H114" s="163">
        <f t="shared" si="29"/>
        <v>1178213.4992230046</v>
      </c>
      <c r="I114" s="253">
        <f t="shared" si="30"/>
        <v>1178213.4992230046</v>
      </c>
      <c r="J114" s="158">
        <f t="shared" si="18"/>
        <v>0</v>
      </c>
      <c r="K114" s="158"/>
      <c r="L114" s="334"/>
      <c r="M114" s="158">
        <f t="shared" si="20"/>
        <v>0</v>
      </c>
      <c r="N114" s="334"/>
      <c r="O114" s="158">
        <f t="shared" si="22"/>
        <v>0</v>
      </c>
      <c r="P114" s="158">
        <f t="shared" si="23"/>
        <v>0</v>
      </c>
      <c r="Q114" s="1"/>
    </row>
    <row r="115" spans="2:17">
      <c r="B115" s="9" t="str">
        <f t="shared" si="24"/>
        <v/>
      </c>
      <c r="C115" s="153">
        <f>IF(D93="","-",+C114+1)</f>
        <v>2025</v>
      </c>
      <c r="D115" s="154">
        <f>IF(F114+SUM(E$99:E114)=D$92,F114,D$92-SUM(E$99:E114))</f>
        <v>7291800.6238349155</v>
      </c>
      <c r="E115" s="160">
        <f>IF(+J96&lt;F114,J96,D115)</f>
        <v>275721.69047619047</v>
      </c>
      <c r="F115" s="159">
        <f t="shared" si="25"/>
        <v>7016078.9333587252</v>
      </c>
      <c r="G115" s="159">
        <f t="shared" si="26"/>
        <v>7153939.7785968203</v>
      </c>
      <c r="H115" s="163">
        <f t="shared" si="29"/>
        <v>1144721.18356577</v>
      </c>
      <c r="I115" s="253">
        <f t="shared" si="30"/>
        <v>1144721.18356577</v>
      </c>
      <c r="J115" s="158">
        <f t="shared" si="18"/>
        <v>0</v>
      </c>
      <c r="K115" s="158"/>
      <c r="L115" s="334"/>
      <c r="M115" s="158">
        <f t="shared" si="20"/>
        <v>0</v>
      </c>
      <c r="N115" s="334"/>
      <c r="O115" s="158">
        <f t="shared" si="22"/>
        <v>0</v>
      </c>
      <c r="P115" s="158">
        <f t="shared" si="23"/>
        <v>0</v>
      </c>
      <c r="Q115" s="1"/>
    </row>
    <row r="116" spans="2:17">
      <c r="B116" s="9" t="str">
        <f t="shared" si="24"/>
        <v/>
      </c>
      <c r="C116" s="153">
        <f>IF(D93="","-",+C115+1)</f>
        <v>2026</v>
      </c>
      <c r="D116" s="154">
        <f>IF(F115+SUM(E$99:E115)=D$92,F115,D$92-SUM(E$99:E115))</f>
        <v>7016078.9333587252</v>
      </c>
      <c r="E116" s="160">
        <f>IF(+J96&lt;F115,J96,D116)</f>
        <v>275721.69047619047</v>
      </c>
      <c r="F116" s="159">
        <f t="shared" si="25"/>
        <v>6740357.2428825349</v>
      </c>
      <c r="G116" s="159">
        <f t="shared" si="26"/>
        <v>6878218.08812063</v>
      </c>
      <c r="H116" s="163">
        <f t="shared" si="29"/>
        <v>1111228.8679085355</v>
      </c>
      <c r="I116" s="253">
        <f t="shared" si="30"/>
        <v>1111228.8679085355</v>
      </c>
      <c r="J116" s="158">
        <f t="shared" si="18"/>
        <v>0</v>
      </c>
      <c r="K116" s="158"/>
      <c r="L116" s="334"/>
      <c r="M116" s="158">
        <f t="shared" si="20"/>
        <v>0</v>
      </c>
      <c r="N116" s="334"/>
      <c r="O116" s="158">
        <f t="shared" si="22"/>
        <v>0</v>
      </c>
      <c r="P116" s="158">
        <f t="shared" si="23"/>
        <v>0</v>
      </c>
      <c r="Q116" s="1"/>
    </row>
    <row r="117" spans="2:17">
      <c r="B117" s="9" t="str">
        <f t="shared" si="24"/>
        <v/>
      </c>
      <c r="C117" s="153">
        <f>IF(D93="","-",+C116+1)</f>
        <v>2027</v>
      </c>
      <c r="D117" s="154">
        <f>IF(F116+SUM(E$99:E116)=D$92,F116,D$92-SUM(E$99:E116))</f>
        <v>6740357.2428825349</v>
      </c>
      <c r="E117" s="160">
        <f>IF(+J96&lt;F116,J96,D117)</f>
        <v>275721.69047619047</v>
      </c>
      <c r="F117" s="159">
        <f t="shared" si="25"/>
        <v>6464635.5524063446</v>
      </c>
      <c r="G117" s="159">
        <f t="shared" si="26"/>
        <v>6602496.3976444397</v>
      </c>
      <c r="H117" s="163">
        <f t="shared" si="29"/>
        <v>1077736.552251301</v>
      </c>
      <c r="I117" s="253">
        <f t="shared" si="30"/>
        <v>1077736.552251301</v>
      </c>
      <c r="J117" s="158">
        <f t="shared" si="18"/>
        <v>0</v>
      </c>
      <c r="K117" s="158"/>
      <c r="L117" s="334"/>
      <c r="M117" s="158">
        <f t="shared" si="20"/>
        <v>0</v>
      </c>
      <c r="N117" s="334"/>
      <c r="O117" s="158">
        <f t="shared" si="22"/>
        <v>0</v>
      </c>
      <c r="P117" s="158">
        <f t="shared" si="23"/>
        <v>0</v>
      </c>
      <c r="Q117" s="1"/>
    </row>
    <row r="118" spans="2:17">
      <c r="B118" s="9" t="str">
        <f t="shared" si="24"/>
        <v/>
      </c>
      <c r="C118" s="153">
        <f>IF(D93="","-",+C117+1)</f>
        <v>2028</v>
      </c>
      <c r="D118" s="154">
        <f>IF(F117+SUM(E$99:E117)=D$92,F117,D$92-SUM(E$99:E117))</f>
        <v>6464635.5524063446</v>
      </c>
      <c r="E118" s="160">
        <f>IF(+J96&lt;F117,J96,D118)</f>
        <v>275721.69047619047</v>
      </c>
      <c r="F118" s="159">
        <f t="shared" si="25"/>
        <v>6188913.8619301543</v>
      </c>
      <c r="G118" s="159">
        <f t="shared" si="26"/>
        <v>6326774.7071682494</v>
      </c>
      <c r="H118" s="163">
        <f t="shared" si="29"/>
        <v>1044244.2365940665</v>
      </c>
      <c r="I118" s="253">
        <f t="shared" si="30"/>
        <v>1044244.2365940665</v>
      </c>
      <c r="J118" s="158">
        <f t="shared" si="18"/>
        <v>0</v>
      </c>
      <c r="K118" s="158"/>
      <c r="L118" s="334"/>
      <c r="M118" s="158">
        <f t="shared" si="20"/>
        <v>0</v>
      </c>
      <c r="N118" s="334"/>
      <c r="O118" s="158">
        <f t="shared" si="22"/>
        <v>0</v>
      </c>
      <c r="P118" s="158">
        <f t="shared" si="23"/>
        <v>0</v>
      </c>
      <c r="Q118" s="1"/>
    </row>
    <row r="119" spans="2:17">
      <c r="B119" s="9" t="str">
        <f t="shared" si="24"/>
        <v/>
      </c>
      <c r="C119" s="153">
        <f>IF(D93="","-",+C118+1)</f>
        <v>2029</v>
      </c>
      <c r="D119" s="154">
        <f>IF(F118+SUM(E$99:E118)=D$92,F118,D$92-SUM(E$99:E118))</f>
        <v>6188913.8619301543</v>
      </c>
      <c r="E119" s="160">
        <f>IF(+J96&lt;F118,J96,D119)</f>
        <v>275721.69047619047</v>
      </c>
      <c r="F119" s="159">
        <f t="shared" si="25"/>
        <v>5913192.171453964</v>
      </c>
      <c r="G119" s="159">
        <f t="shared" si="26"/>
        <v>6051053.0166920591</v>
      </c>
      <c r="H119" s="163">
        <f t="shared" si="29"/>
        <v>1010751.920936832</v>
      </c>
      <c r="I119" s="253">
        <f t="shared" si="30"/>
        <v>1010751.920936832</v>
      </c>
      <c r="J119" s="158">
        <f t="shared" si="18"/>
        <v>0</v>
      </c>
      <c r="K119" s="158"/>
      <c r="L119" s="334"/>
      <c r="M119" s="158">
        <f t="shared" si="20"/>
        <v>0</v>
      </c>
      <c r="N119" s="334"/>
      <c r="O119" s="158">
        <f t="shared" si="22"/>
        <v>0</v>
      </c>
      <c r="P119" s="158">
        <f t="shared" si="23"/>
        <v>0</v>
      </c>
      <c r="Q119" s="1"/>
    </row>
    <row r="120" spans="2:17">
      <c r="B120" s="9" t="str">
        <f t="shared" si="24"/>
        <v/>
      </c>
      <c r="C120" s="153">
        <f>IF(D93="","-",+C119+1)</f>
        <v>2030</v>
      </c>
      <c r="D120" s="154">
        <f>IF(F119+SUM(E$99:E119)=D$92,F119,D$92-SUM(E$99:E119))</f>
        <v>5913192.171453964</v>
      </c>
      <c r="E120" s="160">
        <f>IF(+J96&lt;F119,J96,D120)</f>
        <v>275721.69047619047</v>
      </c>
      <c r="F120" s="159">
        <f t="shared" si="25"/>
        <v>5637470.4809777737</v>
      </c>
      <c r="G120" s="159">
        <f t="shared" si="26"/>
        <v>5775331.3262158688</v>
      </c>
      <c r="H120" s="163">
        <f t="shared" si="29"/>
        <v>977259.60527959745</v>
      </c>
      <c r="I120" s="253">
        <f t="shared" si="30"/>
        <v>977259.60527959745</v>
      </c>
      <c r="J120" s="158">
        <f t="shared" si="18"/>
        <v>0</v>
      </c>
      <c r="K120" s="158"/>
      <c r="L120" s="334"/>
      <c r="M120" s="158">
        <f t="shared" si="20"/>
        <v>0</v>
      </c>
      <c r="N120" s="334"/>
      <c r="O120" s="158">
        <f t="shared" si="22"/>
        <v>0</v>
      </c>
      <c r="P120" s="158">
        <f t="shared" si="23"/>
        <v>0</v>
      </c>
      <c r="Q120" s="1"/>
    </row>
    <row r="121" spans="2:17">
      <c r="B121" s="9" t="str">
        <f t="shared" si="24"/>
        <v/>
      </c>
      <c r="C121" s="153">
        <f>IF(D93="","-",+C120+1)</f>
        <v>2031</v>
      </c>
      <c r="D121" s="154">
        <f>IF(F120+SUM(E$99:E120)=D$92,F120,D$92-SUM(E$99:E120))</f>
        <v>5637470.4809777737</v>
      </c>
      <c r="E121" s="160">
        <f>IF(+J96&lt;F120,J96,D121)</f>
        <v>275721.69047619047</v>
      </c>
      <c r="F121" s="159">
        <f t="shared" si="25"/>
        <v>5361748.7905015834</v>
      </c>
      <c r="G121" s="159">
        <f t="shared" si="26"/>
        <v>5499609.6357396785</v>
      </c>
      <c r="H121" s="163">
        <f t="shared" si="29"/>
        <v>943767.2896223627</v>
      </c>
      <c r="I121" s="253">
        <f t="shared" si="30"/>
        <v>943767.2896223627</v>
      </c>
      <c r="J121" s="158">
        <f t="shared" si="18"/>
        <v>0</v>
      </c>
      <c r="K121" s="158"/>
      <c r="L121" s="334"/>
      <c r="M121" s="158">
        <f t="shared" si="20"/>
        <v>0</v>
      </c>
      <c r="N121" s="334"/>
      <c r="O121" s="158">
        <f t="shared" si="22"/>
        <v>0</v>
      </c>
      <c r="P121" s="158">
        <f t="shared" si="23"/>
        <v>0</v>
      </c>
      <c r="Q121" s="1"/>
    </row>
    <row r="122" spans="2:17">
      <c r="B122" s="9" t="str">
        <f t="shared" si="24"/>
        <v/>
      </c>
      <c r="C122" s="153">
        <f>IF(D93="","-",+C121+1)</f>
        <v>2032</v>
      </c>
      <c r="D122" s="154">
        <f>IF(F121+SUM(E$99:E121)=D$92,F121,D$92-SUM(E$99:E121))</f>
        <v>5361748.7905015834</v>
      </c>
      <c r="E122" s="160">
        <f>IF(+J96&lt;F121,J96,D122)</f>
        <v>275721.69047619047</v>
      </c>
      <c r="F122" s="159">
        <f t="shared" si="25"/>
        <v>5086027.1000253931</v>
      </c>
      <c r="G122" s="159">
        <f t="shared" si="26"/>
        <v>5223887.9452634882</v>
      </c>
      <c r="H122" s="163">
        <f t="shared" si="29"/>
        <v>910274.97396512819</v>
      </c>
      <c r="I122" s="253">
        <f t="shared" si="30"/>
        <v>910274.97396512819</v>
      </c>
      <c r="J122" s="158">
        <f t="shared" si="18"/>
        <v>0</v>
      </c>
      <c r="K122" s="158"/>
      <c r="L122" s="334"/>
      <c r="M122" s="158">
        <f t="shared" si="20"/>
        <v>0</v>
      </c>
      <c r="N122" s="334"/>
      <c r="O122" s="158">
        <f t="shared" si="22"/>
        <v>0</v>
      </c>
      <c r="P122" s="158">
        <f t="shared" si="23"/>
        <v>0</v>
      </c>
      <c r="Q122" s="1"/>
    </row>
    <row r="123" spans="2:17">
      <c r="B123" s="9" t="str">
        <f t="shared" si="24"/>
        <v/>
      </c>
      <c r="C123" s="153">
        <f>IF(D93="","-",+C122+1)</f>
        <v>2033</v>
      </c>
      <c r="D123" s="154">
        <f>IF(F122+SUM(E$99:E122)=D$92,F122,D$92-SUM(E$99:E122))</f>
        <v>5086027.1000253931</v>
      </c>
      <c r="E123" s="160">
        <f>IF(+J96&lt;F122,J96,D123)</f>
        <v>275721.69047619047</v>
      </c>
      <c r="F123" s="159">
        <f t="shared" si="25"/>
        <v>4810305.4095492028</v>
      </c>
      <c r="G123" s="159">
        <f t="shared" si="26"/>
        <v>4948166.2547872979</v>
      </c>
      <c r="H123" s="163">
        <f t="shared" si="29"/>
        <v>876782.65830789367</v>
      </c>
      <c r="I123" s="253">
        <f t="shared" si="30"/>
        <v>876782.65830789367</v>
      </c>
      <c r="J123" s="158">
        <f t="shared" si="18"/>
        <v>0</v>
      </c>
      <c r="K123" s="158"/>
      <c r="L123" s="334"/>
      <c r="M123" s="158">
        <f t="shared" si="20"/>
        <v>0</v>
      </c>
      <c r="N123" s="334"/>
      <c r="O123" s="158">
        <f t="shared" si="22"/>
        <v>0</v>
      </c>
      <c r="P123" s="158">
        <f t="shared" si="23"/>
        <v>0</v>
      </c>
      <c r="Q123" s="1"/>
    </row>
    <row r="124" spans="2:17">
      <c r="B124" s="9" t="str">
        <f t="shared" si="24"/>
        <v/>
      </c>
      <c r="C124" s="153">
        <f>IF(D93="","-",+C123+1)</f>
        <v>2034</v>
      </c>
      <c r="D124" s="154">
        <f>IF(F123+SUM(E$99:E123)=D$92,F123,D$92-SUM(E$99:E123))</f>
        <v>4810305.4095492028</v>
      </c>
      <c r="E124" s="160">
        <f>IF(+J96&lt;F123,J96,D124)</f>
        <v>275721.69047619047</v>
      </c>
      <c r="F124" s="159">
        <f t="shared" si="25"/>
        <v>4534583.7190730125</v>
      </c>
      <c r="G124" s="159">
        <f t="shared" si="26"/>
        <v>4672444.5643111076</v>
      </c>
      <c r="H124" s="163">
        <f t="shared" si="29"/>
        <v>843290.34265065915</v>
      </c>
      <c r="I124" s="253">
        <f t="shared" si="30"/>
        <v>843290.34265065915</v>
      </c>
      <c r="J124" s="158">
        <f t="shared" si="18"/>
        <v>0</v>
      </c>
      <c r="K124" s="158"/>
      <c r="L124" s="334"/>
      <c r="M124" s="158">
        <f t="shared" si="20"/>
        <v>0</v>
      </c>
      <c r="N124" s="334"/>
      <c r="O124" s="158">
        <f t="shared" si="22"/>
        <v>0</v>
      </c>
      <c r="P124" s="158">
        <f t="shared" si="23"/>
        <v>0</v>
      </c>
      <c r="Q124" s="1"/>
    </row>
    <row r="125" spans="2:17">
      <c r="B125" s="9" t="str">
        <f t="shared" si="24"/>
        <v/>
      </c>
      <c r="C125" s="153">
        <f>IF(D93="","-",+C124+1)</f>
        <v>2035</v>
      </c>
      <c r="D125" s="154">
        <f>IF(F124+SUM(E$99:E124)=D$92,F124,D$92-SUM(E$99:E124))</f>
        <v>4534583.7190730125</v>
      </c>
      <c r="E125" s="160">
        <f>IF(+J96&lt;F124,J96,D125)</f>
        <v>275721.69047619047</v>
      </c>
      <c r="F125" s="159">
        <f t="shared" si="25"/>
        <v>4258862.0285968222</v>
      </c>
      <c r="G125" s="159">
        <f t="shared" si="26"/>
        <v>4396722.8738349173</v>
      </c>
      <c r="H125" s="163">
        <f t="shared" si="29"/>
        <v>809798.02699342463</v>
      </c>
      <c r="I125" s="253">
        <f t="shared" si="30"/>
        <v>809798.02699342463</v>
      </c>
      <c r="J125" s="158">
        <f t="shared" si="18"/>
        <v>0</v>
      </c>
      <c r="K125" s="158"/>
      <c r="L125" s="334"/>
      <c r="M125" s="158">
        <f t="shared" si="20"/>
        <v>0</v>
      </c>
      <c r="N125" s="334"/>
      <c r="O125" s="158">
        <f t="shared" si="22"/>
        <v>0</v>
      </c>
      <c r="P125" s="158">
        <f t="shared" si="23"/>
        <v>0</v>
      </c>
      <c r="Q125" s="1"/>
    </row>
    <row r="126" spans="2:17">
      <c r="B126" s="9" t="str">
        <f t="shared" si="24"/>
        <v/>
      </c>
      <c r="C126" s="153">
        <f>IF(D93="","-",+C125+1)</f>
        <v>2036</v>
      </c>
      <c r="D126" s="154">
        <f>IF(F125+SUM(E$99:E125)=D$92,F125,D$92-SUM(E$99:E125))</f>
        <v>4258862.0285968222</v>
      </c>
      <c r="E126" s="160">
        <f>IF(+J96&lt;F125,J96,D126)</f>
        <v>275721.69047619047</v>
      </c>
      <c r="F126" s="159">
        <f t="shared" si="25"/>
        <v>3983140.3381206319</v>
      </c>
      <c r="G126" s="159">
        <f t="shared" si="26"/>
        <v>4121001.183358727</v>
      </c>
      <c r="H126" s="163">
        <f t="shared" si="29"/>
        <v>776305.71133619011</v>
      </c>
      <c r="I126" s="253">
        <f t="shared" si="30"/>
        <v>776305.71133619011</v>
      </c>
      <c r="J126" s="158">
        <f t="shared" si="18"/>
        <v>0</v>
      </c>
      <c r="K126" s="158"/>
      <c r="L126" s="334"/>
      <c r="M126" s="158">
        <f t="shared" si="20"/>
        <v>0</v>
      </c>
      <c r="N126" s="334"/>
      <c r="O126" s="158">
        <f t="shared" si="22"/>
        <v>0</v>
      </c>
      <c r="P126" s="158">
        <f t="shared" si="23"/>
        <v>0</v>
      </c>
      <c r="Q126" s="1"/>
    </row>
    <row r="127" spans="2:17">
      <c r="B127" s="9" t="str">
        <f t="shared" si="24"/>
        <v/>
      </c>
      <c r="C127" s="153">
        <f>IF(D93="","-",+C126+1)</f>
        <v>2037</v>
      </c>
      <c r="D127" s="154">
        <f>IF(F126+SUM(E$99:E126)=D$92,F126,D$92-SUM(E$99:E126))</f>
        <v>3983140.3381206319</v>
      </c>
      <c r="E127" s="160">
        <f>IF(+J96&lt;F126,J96,D127)</f>
        <v>275721.69047619047</v>
      </c>
      <c r="F127" s="159">
        <f t="shared" si="25"/>
        <v>3707418.6476444416</v>
      </c>
      <c r="G127" s="159">
        <f t="shared" si="26"/>
        <v>3845279.4928825367</v>
      </c>
      <c r="H127" s="163">
        <f t="shared" si="29"/>
        <v>742813.3956789556</v>
      </c>
      <c r="I127" s="253">
        <f t="shared" si="30"/>
        <v>742813.3956789556</v>
      </c>
      <c r="J127" s="158">
        <f t="shared" si="18"/>
        <v>0</v>
      </c>
      <c r="K127" s="158"/>
      <c r="L127" s="334"/>
      <c r="M127" s="158">
        <f t="shared" si="20"/>
        <v>0</v>
      </c>
      <c r="N127" s="334"/>
      <c r="O127" s="158">
        <f t="shared" si="22"/>
        <v>0</v>
      </c>
      <c r="P127" s="158">
        <f t="shared" si="23"/>
        <v>0</v>
      </c>
      <c r="Q127" s="1"/>
    </row>
    <row r="128" spans="2:17">
      <c r="B128" s="9" t="str">
        <f t="shared" si="24"/>
        <v/>
      </c>
      <c r="C128" s="153">
        <f>IF(D93="","-",+C127+1)</f>
        <v>2038</v>
      </c>
      <c r="D128" s="154">
        <f>IF(F127+SUM(E$99:E127)=D$92,F127,D$92-SUM(E$99:E127))</f>
        <v>3707418.6476444416</v>
      </c>
      <c r="E128" s="160">
        <f>IF(+J96&lt;F127,J96,D128)</f>
        <v>275721.69047619047</v>
      </c>
      <c r="F128" s="159">
        <f t="shared" si="25"/>
        <v>3431696.9571682513</v>
      </c>
      <c r="G128" s="159">
        <f t="shared" si="26"/>
        <v>3569557.8024063464</v>
      </c>
      <c r="H128" s="163">
        <f t="shared" si="29"/>
        <v>709321.08002172096</v>
      </c>
      <c r="I128" s="253">
        <f t="shared" si="30"/>
        <v>709321.08002172096</v>
      </c>
      <c r="J128" s="158">
        <f t="shared" si="18"/>
        <v>0</v>
      </c>
      <c r="K128" s="158"/>
      <c r="L128" s="334"/>
      <c r="M128" s="158">
        <f t="shared" si="20"/>
        <v>0</v>
      </c>
      <c r="N128" s="334"/>
      <c r="O128" s="158">
        <f t="shared" si="22"/>
        <v>0</v>
      </c>
      <c r="P128" s="158">
        <f t="shared" si="23"/>
        <v>0</v>
      </c>
      <c r="Q128" s="1"/>
    </row>
    <row r="129" spans="2:17">
      <c r="B129" s="9" t="str">
        <f t="shared" si="24"/>
        <v/>
      </c>
      <c r="C129" s="153">
        <f>IF(D93="","-",+C128+1)</f>
        <v>2039</v>
      </c>
      <c r="D129" s="154">
        <f>IF(F128+SUM(E$99:E128)=D$92,F128,D$92-SUM(E$99:E128))</f>
        <v>3431696.9571682513</v>
      </c>
      <c r="E129" s="160">
        <f>IF(+J96&lt;F128,J96,D129)</f>
        <v>275721.69047619047</v>
      </c>
      <c r="F129" s="159">
        <f t="shared" si="25"/>
        <v>3155975.266692061</v>
      </c>
      <c r="G129" s="159">
        <f t="shared" si="26"/>
        <v>3293836.1119301561</v>
      </c>
      <c r="H129" s="163">
        <f t="shared" si="29"/>
        <v>675828.76436448644</v>
      </c>
      <c r="I129" s="253">
        <f t="shared" si="30"/>
        <v>675828.76436448644</v>
      </c>
      <c r="J129" s="158">
        <f t="shared" si="18"/>
        <v>0</v>
      </c>
      <c r="K129" s="158"/>
      <c r="L129" s="334"/>
      <c r="M129" s="158">
        <f t="shared" si="20"/>
        <v>0</v>
      </c>
      <c r="N129" s="334"/>
      <c r="O129" s="158">
        <f t="shared" si="22"/>
        <v>0</v>
      </c>
      <c r="P129" s="158">
        <f t="shared" si="23"/>
        <v>0</v>
      </c>
      <c r="Q129" s="1"/>
    </row>
    <row r="130" spans="2:17">
      <c r="B130" s="9" t="str">
        <f t="shared" si="24"/>
        <v/>
      </c>
      <c r="C130" s="153">
        <f>IF(D93="","-",+C129+1)</f>
        <v>2040</v>
      </c>
      <c r="D130" s="154">
        <f>IF(F129+SUM(E$99:E129)=D$92,F129,D$92-SUM(E$99:E129))</f>
        <v>3155975.266692061</v>
      </c>
      <c r="E130" s="160">
        <f>IF(+J96&lt;F129,J96,D130)</f>
        <v>275721.69047619047</v>
      </c>
      <c r="F130" s="159">
        <f t="shared" si="25"/>
        <v>2880253.5762158707</v>
      </c>
      <c r="G130" s="159">
        <f t="shared" si="26"/>
        <v>3018114.4214539658</v>
      </c>
      <c r="H130" s="163">
        <f t="shared" si="29"/>
        <v>642336.44870725181</v>
      </c>
      <c r="I130" s="253">
        <f t="shared" si="30"/>
        <v>642336.44870725181</v>
      </c>
      <c r="J130" s="158">
        <f t="shared" si="18"/>
        <v>0</v>
      </c>
      <c r="K130" s="158"/>
      <c r="L130" s="334"/>
      <c r="M130" s="158">
        <f t="shared" si="20"/>
        <v>0</v>
      </c>
      <c r="N130" s="334"/>
      <c r="O130" s="158">
        <f t="shared" si="22"/>
        <v>0</v>
      </c>
      <c r="P130" s="158">
        <f t="shared" si="23"/>
        <v>0</v>
      </c>
      <c r="Q130" s="1"/>
    </row>
    <row r="131" spans="2:17">
      <c r="B131" s="9" t="str">
        <f t="shared" si="24"/>
        <v/>
      </c>
      <c r="C131" s="153">
        <f>IF(D93="","-",+C130+1)</f>
        <v>2041</v>
      </c>
      <c r="D131" s="154">
        <f>IF(F130+SUM(E$99:E130)=D$92,F130,D$92-SUM(E$99:E130))</f>
        <v>2880253.5762158707</v>
      </c>
      <c r="E131" s="160">
        <f>IF(+J96&lt;F130,J96,D131)</f>
        <v>275721.69047619047</v>
      </c>
      <c r="F131" s="159">
        <f t="shared" ref="F131:F154" si="31">+D131-E131</f>
        <v>2604531.8857396804</v>
      </c>
      <c r="G131" s="159">
        <f t="shared" ref="G131:G154" si="32">+(F131+D131)/2</f>
        <v>2742392.7309777755</v>
      </c>
      <c r="H131" s="163">
        <f t="shared" si="29"/>
        <v>608844.13305001729</v>
      </c>
      <c r="I131" s="253">
        <f t="shared" si="30"/>
        <v>608844.13305001729</v>
      </c>
      <c r="J131" s="158">
        <f t="shared" ref="J131:J154" si="33">+I131-H131</f>
        <v>0</v>
      </c>
      <c r="K131" s="158"/>
      <c r="L131" s="334"/>
      <c r="M131" s="158">
        <f t="shared" ref="M131:M154" si="34">IF(L131&lt;&gt;0,+H131-L131,0)</f>
        <v>0</v>
      </c>
      <c r="N131" s="334"/>
      <c r="O131" s="158">
        <f t="shared" ref="O131:O154" si="35">IF(N131&lt;&gt;0,+I131-N131,0)</f>
        <v>0</v>
      </c>
      <c r="P131" s="158">
        <f t="shared" ref="P131:P154" si="36">+O131-M131</f>
        <v>0</v>
      </c>
      <c r="Q131" s="1"/>
    </row>
    <row r="132" spans="2:17">
      <c r="B132" s="9" t="str">
        <f t="shared" si="24"/>
        <v/>
      </c>
      <c r="C132" s="153">
        <f>IF(D93="","-",+C131+1)</f>
        <v>2042</v>
      </c>
      <c r="D132" s="154">
        <f>IF(F131+SUM(E$99:E131)=D$92,F131,D$92-SUM(E$99:E131))</f>
        <v>2604531.8857396804</v>
      </c>
      <c r="E132" s="160">
        <f>IF(+J96&lt;F131,J96,D132)</f>
        <v>275721.69047619047</v>
      </c>
      <c r="F132" s="159">
        <f t="shared" si="31"/>
        <v>2328810.1952634901</v>
      </c>
      <c r="G132" s="159">
        <f t="shared" si="32"/>
        <v>2466671.0405015852</v>
      </c>
      <c r="H132" s="163">
        <f t="shared" si="29"/>
        <v>575351.81739278277</v>
      </c>
      <c r="I132" s="253">
        <f t="shared" si="30"/>
        <v>575351.81739278277</v>
      </c>
      <c r="J132" s="158">
        <f t="shared" si="33"/>
        <v>0</v>
      </c>
      <c r="K132" s="158"/>
      <c r="L132" s="334"/>
      <c r="M132" s="158">
        <f t="shared" si="34"/>
        <v>0</v>
      </c>
      <c r="N132" s="334"/>
      <c r="O132" s="158">
        <f t="shared" si="35"/>
        <v>0</v>
      </c>
      <c r="P132" s="158">
        <f t="shared" si="36"/>
        <v>0</v>
      </c>
      <c r="Q132" s="1"/>
    </row>
    <row r="133" spans="2:17">
      <c r="B133" s="9" t="str">
        <f t="shared" si="24"/>
        <v/>
      </c>
      <c r="C133" s="153">
        <f>IF(D93="","-",+C132+1)</f>
        <v>2043</v>
      </c>
      <c r="D133" s="154">
        <f>IF(F132+SUM(E$99:E132)=D$92,F132,D$92-SUM(E$99:E132))</f>
        <v>2328810.1952634901</v>
      </c>
      <c r="E133" s="160">
        <f>IF(+J96&lt;F132,J96,D133)</f>
        <v>275721.69047619047</v>
      </c>
      <c r="F133" s="159">
        <f t="shared" si="31"/>
        <v>2053088.5047872995</v>
      </c>
      <c r="G133" s="159">
        <f t="shared" si="32"/>
        <v>2190949.3500253949</v>
      </c>
      <c r="H133" s="163">
        <f t="shared" si="29"/>
        <v>541859.50173554826</v>
      </c>
      <c r="I133" s="253">
        <f t="shared" si="30"/>
        <v>541859.50173554826</v>
      </c>
      <c r="J133" s="158">
        <f t="shared" si="33"/>
        <v>0</v>
      </c>
      <c r="K133" s="158"/>
      <c r="L133" s="334"/>
      <c r="M133" s="158">
        <f t="shared" si="34"/>
        <v>0</v>
      </c>
      <c r="N133" s="334"/>
      <c r="O133" s="158">
        <f t="shared" si="35"/>
        <v>0</v>
      </c>
      <c r="P133" s="158">
        <f t="shared" si="36"/>
        <v>0</v>
      </c>
      <c r="Q133" s="1"/>
    </row>
    <row r="134" spans="2:17">
      <c r="B134" s="9" t="str">
        <f t="shared" si="24"/>
        <v/>
      </c>
      <c r="C134" s="153">
        <f>IF(D93="","-",+C133+1)</f>
        <v>2044</v>
      </c>
      <c r="D134" s="154">
        <f>IF(F133+SUM(E$99:E133)=D$92,F133,D$92-SUM(E$99:E133))</f>
        <v>2053088.5047872995</v>
      </c>
      <c r="E134" s="160">
        <f>IF(+J96&lt;F133,J96,D134)</f>
        <v>275721.69047619047</v>
      </c>
      <c r="F134" s="159">
        <f t="shared" si="31"/>
        <v>1777366.814311109</v>
      </c>
      <c r="G134" s="159">
        <f t="shared" si="32"/>
        <v>1915227.6595492042</v>
      </c>
      <c r="H134" s="163">
        <f t="shared" si="29"/>
        <v>508367.18607831362</v>
      </c>
      <c r="I134" s="253">
        <f t="shared" si="30"/>
        <v>508367.18607831362</v>
      </c>
      <c r="J134" s="158">
        <f t="shared" si="33"/>
        <v>0</v>
      </c>
      <c r="K134" s="158"/>
      <c r="L134" s="334"/>
      <c r="M134" s="158">
        <f t="shared" si="34"/>
        <v>0</v>
      </c>
      <c r="N134" s="334"/>
      <c r="O134" s="158">
        <f t="shared" si="35"/>
        <v>0</v>
      </c>
      <c r="P134" s="158">
        <f t="shared" si="36"/>
        <v>0</v>
      </c>
      <c r="Q134" s="1"/>
    </row>
    <row r="135" spans="2:17">
      <c r="B135" s="9" t="str">
        <f t="shared" si="24"/>
        <v/>
      </c>
      <c r="C135" s="153">
        <f>IF(D93="","-",+C134+1)</f>
        <v>2045</v>
      </c>
      <c r="D135" s="154">
        <f>IF(F134+SUM(E$99:E134)=D$92,F134,D$92-SUM(E$99:E134))</f>
        <v>1777366.814311109</v>
      </c>
      <c r="E135" s="160">
        <f>IF(+J96&lt;F134,J96,D135)</f>
        <v>275721.69047619047</v>
      </c>
      <c r="F135" s="159">
        <f t="shared" si="31"/>
        <v>1501645.1238349185</v>
      </c>
      <c r="G135" s="159">
        <f t="shared" si="32"/>
        <v>1639505.9690730139</v>
      </c>
      <c r="H135" s="163">
        <f t="shared" si="29"/>
        <v>474874.8704210791</v>
      </c>
      <c r="I135" s="253">
        <f t="shared" si="30"/>
        <v>474874.8704210791</v>
      </c>
      <c r="J135" s="158">
        <f t="shared" si="33"/>
        <v>0</v>
      </c>
      <c r="K135" s="158"/>
      <c r="L135" s="334"/>
      <c r="M135" s="158">
        <f t="shared" si="34"/>
        <v>0</v>
      </c>
      <c r="N135" s="334"/>
      <c r="O135" s="158">
        <f t="shared" si="35"/>
        <v>0</v>
      </c>
      <c r="P135" s="158">
        <f t="shared" si="36"/>
        <v>0</v>
      </c>
      <c r="Q135" s="1"/>
    </row>
    <row r="136" spans="2:17">
      <c r="B136" s="9" t="str">
        <f t="shared" si="24"/>
        <v/>
      </c>
      <c r="C136" s="153">
        <f>IF(D93="","-",+C135+1)</f>
        <v>2046</v>
      </c>
      <c r="D136" s="154">
        <f>IF(F135+SUM(E$99:E135)=D$92,F135,D$92-SUM(E$99:E135))</f>
        <v>1501645.1238349185</v>
      </c>
      <c r="E136" s="160">
        <f>IF(+J96&lt;F135,J96,D136)</f>
        <v>275721.69047619047</v>
      </c>
      <c r="F136" s="159">
        <f t="shared" si="31"/>
        <v>1225923.433358728</v>
      </c>
      <c r="G136" s="159">
        <f t="shared" si="32"/>
        <v>1363784.2785968231</v>
      </c>
      <c r="H136" s="163">
        <f t="shared" si="29"/>
        <v>441382.55476384447</v>
      </c>
      <c r="I136" s="253">
        <f t="shared" si="30"/>
        <v>441382.55476384447</v>
      </c>
      <c r="J136" s="158">
        <f t="shared" si="33"/>
        <v>0</v>
      </c>
      <c r="K136" s="158"/>
      <c r="L136" s="334"/>
      <c r="M136" s="158">
        <f t="shared" si="34"/>
        <v>0</v>
      </c>
      <c r="N136" s="334"/>
      <c r="O136" s="158">
        <f t="shared" si="35"/>
        <v>0</v>
      </c>
      <c r="P136" s="158">
        <f t="shared" si="36"/>
        <v>0</v>
      </c>
      <c r="Q136" s="1"/>
    </row>
    <row r="137" spans="2:17">
      <c r="B137" s="9" t="str">
        <f t="shared" si="24"/>
        <v/>
      </c>
      <c r="C137" s="153">
        <f>IF(D93="","-",+C136+1)</f>
        <v>2047</v>
      </c>
      <c r="D137" s="154">
        <f>IF(F136+SUM(E$99:E136)=D$92,F136,D$92-SUM(E$99:E136))</f>
        <v>1225923.433358728</v>
      </c>
      <c r="E137" s="160">
        <f>IF(+J96&lt;F136,J96,D137)</f>
        <v>275721.69047619047</v>
      </c>
      <c r="F137" s="159">
        <f t="shared" si="31"/>
        <v>950201.74288253742</v>
      </c>
      <c r="G137" s="159">
        <f t="shared" si="32"/>
        <v>1088062.5881206328</v>
      </c>
      <c r="H137" s="163">
        <f t="shared" si="29"/>
        <v>407890.23910660995</v>
      </c>
      <c r="I137" s="253">
        <f t="shared" si="30"/>
        <v>407890.23910660995</v>
      </c>
      <c r="J137" s="158">
        <f t="shared" si="33"/>
        <v>0</v>
      </c>
      <c r="K137" s="158"/>
      <c r="L137" s="334"/>
      <c r="M137" s="158">
        <f t="shared" si="34"/>
        <v>0</v>
      </c>
      <c r="N137" s="334"/>
      <c r="O137" s="158">
        <f t="shared" si="35"/>
        <v>0</v>
      </c>
      <c r="P137" s="158">
        <f t="shared" si="36"/>
        <v>0</v>
      </c>
      <c r="Q137" s="1"/>
    </row>
    <row r="138" spans="2:17">
      <c r="B138" s="9" t="str">
        <f t="shared" si="24"/>
        <v/>
      </c>
      <c r="C138" s="153">
        <f>IF(D93="","-",+C137+1)</f>
        <v>2048</v>
      </c>
      <c r="D138" s="154">
        <f>IF(F137+SUM(E$99:E137)=D$92,F137,D$92-SUM(E$99:E137))</f>
        <v>950201.74288253742</v>
      </c>
      <c r="E138" s="160">
        <f>IF(+J96&lt;F137,J96,D138)</f>
        <v>275721.69047619047</v>
      </c>
      <c r="F138" s="159">
        <f t="shared" si="31"/>
        <v>674480.05240634689</v>
      </c>
      <c r="G138" s="159">
        <f t="shared" si="32"/>
        <v>812340.89764444216</v>
      </c>
      <c r="H138" s="163">
        <f t="shared" si="29"/>
        <v>374397.92344937532</v>
      </c>
      <c r="I138" s="253">
        <f t="shared" si="30"/>
        <v>374397.92344937532</v>
      </c>
      <c r="J138" s="158">
        <f t="shared" si="33"/>
        <v>0</v>
      </c>
      <c r="K138" s="158"/>
      <c r="L138" s="334"/>
      <c r="M138" s="158">
        <f t="shared" si="34"/>
        <v>0</v>
      </c>
      <c r="N138" s="334"/>
      <c r="O138" s="158">
        <f t="shared" si="35"/>
        <v>0</v>
      </c>
      <c r="P138" s="158">
        <f t="shared" si="36"/>
        <v>0</v>
      </c>
      <c r="Q138" s="1"/>
    </row>
    <row r="139" spans="2:17">
      <c r="B139" s="9" t="str">
        <f t="shared" si="24"/>
        <v/>
      </c>
      <c r="C139" s="153">
        <f>IF(D93="","-",+C138+1)</f>
        <v>2049</v>
      </c>
      <c r="D139" s="154">
        <f>IF(F138+SUM(E$99:E138)=D$92,F138,D$92-SUM(E$99:E138))</f>
        <v>674480.05240634689</v>
      </c>
      <c r="E139" s="160">
        <f>IF(+J96&lt;F138,J96,D139)</f>
        <v>275721.69047619047</v>
      </c>
      <c r="F139" s="159">
        <f t="shared" si="31"/>
        <v>398758.36193015642</v>
      </c>
      <c r="G139" s="159">
        <f t="shared" si="32"/>
        <v>536619.20716825163</v>
      </c>
      <c r="H139" s="163">
        <f t="shared" si="29"/>
        <v>340905.60779214074</v>
      </c>
      <c r="I139" s="253">
        <f t="shared" si="30"/>
        <v>340905.60779214074</v>
      </c>
      <c r="J139" s="158">
        <f t="shared" si="33"/>
        <v>0</v>
      </c>
      <c r="K139" s="158"/>
      <c r="L139" s="334"/>
      <c r="M139" s="158">
        <f t="shared" si="34"/>
        <v>0</v>
      </c>
      <c r="N139" s="334"/>
      <c r="O139" s="158">
        <f t="shared" si="35"/>
        <v>0</v>
      </c>
      <c r="P139" s="158">
        <f t="shared" si="36"/>
        <v>0</v>
      </c>
      <c r="Q139" s="1"/>
    </row>
    <row r="140" spans="2:17">
      <c r="B140" s="9" t="str">
        <f t="shared" si="24"/>
        <v/>
      </c>
      <c r="C140" s="153">
        <f>IF(D93="","-",+C139+1)</f>
        <v>2050</v>
      </c>
      <c r="D140" s="154">
        <f>IF(F139+SUM(E$99:E139)=D$92,F139,D$92-SUM(E$99:E139))</f>
        <v>398758.36193015642</v>
      </c>
      <c r="E140" s="160">
        <f>IF(+J96&lt;F139,J96,D140)</f>
        <v>275721.69047619047</v>
      </c>
      <c r="F140" s="159">
        <f t="shared" si="31"/>
        <v>123036.67145396594</v>
      </c>
      <c r="G140" s="159">
        <f t="shared" si="32"/>
        <v>260897.51669206118</v>
      </c>
      <c r="H140" s="163">
        <f t="shared" si="29"/>
        <v>307413.29213490617</v>
      </c>
      <c r="I140" s="253">
        <f t="shared" si="30"/>
        <v>307413.29213490617</v>
      </c>
      <c r="J140" s="158">
        <f t="shared" si="33"/>
        <v>0</v>
      </c>
      <c r="K140" s="158"/>
      <c r="L140" s="334"/>
      <c r="M140" s="158">
        <f t="shared" si="34"/>
        <v>0</v>
      </c>
      <c r="N140" s="334"/>
      <c r="O140" s="158">
        <f t="shared" si="35"/>
        <v>0</v>
      </c>
      <c r="P140" s="158">
        <f t="shared" si="36"/>
        <v>0</v>
      </c>
      <c r="Q140" s="1"/>
    </row>
    <row r="141" spans="2:17">
      <c r="B141" s="9" t="str">
        <f t="shared" si="24"/>
        <v/>
      </c>
      <c r="C141" s="153">
        <f>IF(D93="","-",+C140+1)</f>
        <v>2051</v>
      </c>
      <c r="D141" s="154">
        <f>IF(F140+SUM(E$99:E140)=D$92,F140,D$92-SUM(E$99:E140))</f>
        <v>123036.67145396594</v>
      </c>
      <c r="E141" s="160">
        <f>IF(+J96&lt;F140,J96,D141)</f>
        <v>123036.67145396594</v>
      </c>
      <c r="F141" s="159">
        <f t="shared" si="31"/>
        <v>0</v>
      </c>
      <c r="G141" s="159">
        <f t="shared" si="32"/>
        <v>61518.335726982972</v>
      </c>
      <c r="H141" s="163">
        <f t="shared" si="29"/>
        <v>130509.39336901516</v>
      </c>
      <c r="I141" s="253">
        <f t="shared" si="30"/>
        <v>130509.39336901516</v>
      </c>
      <c r="J141" s="158">
        <f t="shared" si="33"/>
        <v>0</v>
      </c>
      <c r="K141" s="158"/>
      <c r="L141" s="334"/>
      <c r="M141" s="158">
        <f t="shared" si="34"/>
        <v>0</v>
      </c>
      <c r="N141" s="334"/>
      <c r="O141" s="158">
        <f t="shared" si="35"/>
        <v>0</v>
      </c>
      <c r="P141" s="158">
        <f t="shared" si="36"/>
        <v>0</v>
      </c>
      <c r="Q141" s="1"/>
    </row>
    <row r="142" spans="2:17">
      <c r="B142" s="9" t="str">
        <f t="shared" si="24"/>
        <v/>
      </c>
      <c r="C142" s="153">
        <f>IF(D93="","-",+C141+1)</f>
        <v>2052</v>
      </c>
      <c r="D142" s="154">
        <f>IF(F141+SUM(E$99:E141)=D$92,F141,D$92-SUM(E$99:E141))</f>
        <v>0</v>
      </c>
      <c r="E142" s="160">
        <f>IF(+J96&lt;F141,J96,D142)</f>
        <v>0</v>
      </c>
      <c r="F142" s="159">
        <f t="shared" si="31"/>
        <v>0</v>
      </c>
      <c r="G142" s="159">
        <f t="shared" si="32"/>
        <v>0</v>
      </c>
      <c r="H142" s="163">
        <f t="shared" si="29"/>
        <v>0</v>
      </c>
      <c r="I142" s="253">
        <f t="shared" si="30"/>
        <v>0</v>
      </c>
      <c r="J142" s="158">
        <f t="shared" si="33"/>
        <v>0</v>
      </c>
      <c r="K142" s="158"/>
      <c r="L142" s="334"/>
      <c r="M142" s="158">
        <f t="shared" si="34"/>
        <v>0</v>
      </c>
      <c r="N142" s="334"/>
      <c r="O142" s="158">
        <f t="shared" si="35"/>
        <v>0</v>
      </c>
      <c r="P142" s="158">
        <f t="shared" si="36"/>
        <v>0</v>
      </c>
      <c r="Q142" s="1"/>
    </row>
    <row r="143" spans="2:17">
      <c r="B143" s="9" t="str">
        <f t="shared" si="24"/>
        <v/>
      </c>
      <c r="C143" s="153">
        <f>IF(D93="","-",+C142+1)</f>
        <v>2053</v>
      </c>
      <c r="D143" s="154">
        <f>IF(F142+SUM(E$99:E142)=D$92,F142,D$92-SUM(E$99:E142))</f>
        <v>0</v>
      </c>
      <c r="E143" s="160">
        <f>IF(+J96&lt;F142,J96,D143)</f>
        <v>0</v>
      </c>
      <c r="F143" s="159">
        <f t="shared" si="31"/>
        <v>0</v>
      </c>
      <c r="G143" s="159">
        <f t="shared" si="32"/>
        <v>0</v>
      </c>
      <c r="H143" s="163">
        <f t="shared" si="29"/>
        <v>0</v>
      </c>
      <c r="I143" s="253">
        <f t="shared" si="30"/>
        <v>0</v>
      </c>
      <c r="J143" s="158">
        <f t="shared" si="33"/>
        <v>0</v>
      </c>
      <c r="K143" s="158"/>
      <c r="L143" s="334"/>
      <c r="M143" s="158">
        <f t="shared" si="34"/>
        <v>0</v>
      </c>
      <c r="N143" s="334"/>
      <c r="O143" s="158">
        <f t="shared" si="35"/>
        <v>0</v>
      </c>
      <c r="P143" s="158">
        <f t="shared" si="36"/>
        <v>0</v>
      </c>
      <c r="Q143" s="1"/>
    </row>
    <row r="144" spans="2:17">
      <c r="B144" s="9" t="str">
        <f t="shared" si="24"/>
        <v/>
      </c>
      <c r="C144" s="153">
        <f>IF(D93="","-",+C143+1)</f>
        <v>2054</v>
      </c>
      <c r="D144" s="154">
        <f>IF(F143+SUM(E$99:E143)=D$92,F143,D$92-SUM(E$99:E143))</f>
        <v>0</v>
      </c>
      <c r="E144" s="160">
        <f>IF(+J96&lt;F143,J96,D144)</f>
        <v>0</v>
      </c>
      <c r="F144" s="159">
        <f t="shared" si="31"/>
        <v>0</v>
      </c>
      <c r="G144" s="159">
        <f t="shared" si="32"/>
        <v>0</v>
      </c>
      <c r="H144" s="163">
        <f t="shared" si="29"/>
        <v>0</v>
      </c>
      <c r="I144" s="253">
        <f t="shared" si="30"/>
        <v>0</v>
      </c>
      <c r="J144" s="158">
        <f t="shared" si="33"/>
        <v>0</v>
      </c>
      <c r="K144" s="158"/>
      <c r="L144" s="334"/>
      <c r="M144" s="158">
        <f t="shared" si="34"/>
        <v>0</v>
      </c>
      <c r="N144" s="334"/>
      <c r="O144" s="158">
        <f t="shared" si="35"/>
        <v>0</v>
      </c>
      <c r="P144" s="158">
        <f t="shared" si="36"/>
        <v>0</v>
      </c>
      <c r="Q144" s="1"/>
    </row>
    <row r="145" spans="2:17">
      <c r="B145" s="9" t="str">
        <f t="shared" si="24"/>
        <v/>
      </c>
      <c r="C145" s="153">
        <f>IF(D93="","-",+C144+1)</f>
        <v>2055</v>
      </c>
      <c r="D145" s="154">
        <f>IF(F144+SUM(E$99:E144)=D$92,F144,D$92-SUM(E$99:E144))</f>
        <v>0</v>
      </c>
      <c r="E145" s="160">
        <f>IF(+J96&lt;F144,J96,D145)</f>
        <v>0</v>
      </c>
      <c r="F145" s="159">
        <f t="shared" si="31"/>
        <v>0</v>
      </c>
      <c r="G145" s="159">
        <f t="shared" si="32"/>
        <v>0</v>
      </c>
      <c r="H145" s="163">
        <f t="shared" si="29"/>
        <v>0</v>
      </c>
      <c r="I145" s="253">
        <f t="shared" si="30"/>
        <v>0</v>
      </c>
      <c r="J145" s="158">
        <f t="shared" si="33"/>
        <v>0</v>
      </c>
      <c r="K145" s="158"/>
      <c r="L145" s="334"/>
      <c r="M145" s="158">
        <f t="shared" si="34"/>
        <v>0</v>
      </c>
      <c r="N145" s="334"/>
      <c r="O145" s="158">
        <f t="shared" si="35"/>
        <v>0</v>
      </c>
      <c r="P145" s="158">
        <f t="shared" si="36"/>
        <v>0</v>
      </c>
      <c r="Q145" s="1"/>
    </row>
    <row r="146" spans="2:17">
      <c r="B146" s="9" t="str">
        <f t="shared" si="24"/>
        <v/>
      </c>
      <c r="C146" s="153">
        <f>IF(D93="","-",+C145+1)</f>
        <v>2056</v>
      </c>
      <c r="D146" s="154">
        <f>IF(F145+SUM(E$99:E145)=D$92,F145,D$92-SUM(E$99:E145))</f>
        <v>0</v>
      </c>
      <c r="E146" s="160">
        <f>IF(+J96&lt;F145,J96,D146)</f>
        <v>0</v>
      </c>
      <c r="F146" s="159">
        <f t="shared" si="31"/>
        <v>0</v>
      </c>
      <c r="G146" s="159">
        <f t="shared" si="32"/>
        <v>0</v>
      </c>
      <c r="H146" s="163">
        <f t="shared" si="29"/>
        <v>0</v>
      </c>
      <c r="I146" s="253">
        <f t="shared" si="30"/>
        <v>0</v>
      </c>
      <c r="J146" s="158">
        <f t="shared" si="33"/>
        <v>0</v>
      </c>
      <c r="K146" s="158"/>
      <c r="L146" s="334"/>
      <c r="M146" s="158">
        <f t="shared" si="34"/>
        <v>0</v>
      </c>
      <c r="N146" s="334"/>
      <c r="O146" s="158">
        <f t="shared" si="35"/>
        <v>0</v>
      </c>
      <c r="P146" s="158">
        <f t="shared" si="36"/>
        <v>0</v>
      </c>
      <c r="Q146" s="1"/>
    </row>
    <row r="147" spans="2:17">
      <c r="B147" s="9" t="str">
        <f t="shared" si="24"/>
        <v/>
      </c>
      <c r="C147" s="153">
        <f>IF(D93="","-",+C146+1)</f>
        <v>2057</v>
      </c>
      <c r="D147" s="154">
        <f>IF(F146+SUM(E$99:E146)=D$92,F146,D$92-SUM(E$99:E146))</f>
        <v>0</v>
      </c>
      <c r="E147" s="160">
        <f>IF(+J96&lt;F146,J96,D147)</f>
        <v>0</v>
      </c>
      <c r="F147" s="159">
        <f t="shared" si="31"/>
        <v>0</v>
      </c>
      <c r="G147" s="159">
        <f t="shared" si="32"/>
        <v>0</v>
      </c>
      <c r="H147" s="163">
        <f t="shared" si="29"/>
        <v>0</v>
      </c>
      <c r="I147" s="253">
        <f t="shared" si="30"/>
        <v>0</v>
      </c>
      <c r="J147" s="158">
        <f t="shared" si="33"/>
        <v>0</v>
      </c>
      <c r="K147" s="158"/>
      <c r="L147" s="334"/>
      <c r="M147" s="158">
        <f t="shared" si="34"/>
        <v>0</v>
      </c>
      <c r="N147" s="334"/>
      <c r="O147" s="158">
        <f t="shared" si="35"/>
        <v>0</v>
      </c>
      <c r="P147" s="158">
        <f t="shared" si="36"/>
        <v>0</v>
      </c>
      <c r="Q147" s="1"/>
    </row>
    <row r="148" spans="2:17">
      <c r="B148" s="9" t="str">
        <f t="shared" si="24"/>
        <v/>
      </c>
      <c r="C148" s="153">
        <f>IF(D93="","-",+C147+1)</f>
        <v>2058</v>
      </c>
      <c r="D148" s="154">
        <f>IF(F147+SUM(E$99:E147)=D$92,F147,D$92-SUM(E$99:E147))</f>
        <v>0</v>
      </c>
      <c r="E148" s="160">
        <f>IF(+J96&lt;F147,J96,D148)</f>
        <v>0</v>
      </c>
      <c r="F148" s="159">
        <f t="shared" si="31"/>
        <v>0</v>
      </c>
      <c r="G148" s="159">
        <f t="shared" si="32"/>
        <v>0</v>
      </c>
      <c r="H148" s="163">
        <f t="shared" si="29"/>
        <v>0</v>
      </c>
      <c r="I148" s="253">
        <f t="shared" si="30"/>
        <v>0</v>
      </c>
      <c r="J148" s="158">
        <f t="shared" si="33"/>
        <v>0</v>
      </c>
      <c r="K148" s="158"/>
      <c r="L148" s="334"/>
      <c r="M148" s="158">
        <f t="shared" si="34"/>
        <v>0</v>
      </c>
      <c r="N148" s="334"/>
      <c r="O148" s="158">
        <f t="shared" si="35"/>
        <v>0</v>
      </c>
      <c r="P148" s="158">
        <f t="shared" si="36"/>
        <v>0</v>
      </c>
      <c r="Q148" s="1"/>
    </row>
    <row r="149" spans="2:17">
      <c r="B149" s="9" t="str">
        <f t="shared" si="24"/>
        <v/>
      </c>
      <c r="C149" s="153">
        <f>IF(D93="","-",+C148+1)</f>
        <v>2059</v>
      </c>
      <c r="D149" s="154">
        <f>IF(F148+SUM(E$99:E148)=D$92,F148,D$92-SUM(E$99:E148))</f>
        <v>0</v>
      </c>
      <c r="E149" s="160">
        <f>IF(+J96&lt;F148,J96,D149)</f>
        <v>0</v>
      </c>
      <c r="F149" s="159">
        <f t="shared" si="31"/>
        <v>0</v>
      </c>
      <c r="G149" s="159">
        <f t="shared" si="32"/>
        <v>0</v>
      </c>
      <c r="H149" s="163">
        <f t="shared" si="29"/>
        <v>0</v>
      </c>
      <c r="I149" s="253">
        <f t="shared" si="30"/>
        <v>0</v>
      </c>
      <c r="J149" s="158">
        <f t="shared" si="33"/>
        <v>0</v>
      </c>
      <c r="K149" s="158"/>
      <c r="L149" s="334"/>
      <c r="M149" s="158">
        <f t="shared" si="34"/>
        <v>0</v>
      </c>
      <c r="N149" s="334"/>
      <c r="O149" s="158">
        <f t="shared" si="35"/>
        <v>0</v>
      </c>
      <c r="P149" s="158">
        <f t="shared" si="36"/>
        <v>0</v>
      </c>
      <c r="Q149" s="1"/>
    </row>
    <row r="150" spans="2:17">
      <c r="B150" s="9" t="str">
        <f t="shared" si="24"/>
        <v/>
      </c>
      <c r="C150" s="153">
        <f>IF(D93="","-",+C149+1)</f>
        <v>2060</v>
      </c>
      <c r="D150" s="154">
        <f>IF(F149+SUM(E$99:E149)=D$92,F149,D$92-SUM(E$99:E149))</f>
        <v>0</v>
      </c>
      <c r="E150" s="160">
        <f>IF(+J96&lt;F149,J96,D150)</f>
        <v>0</v>
      </c>
      <c r="F150" s="159">
        <f t="shared" si="31"/>
        <v>0</v>
      </c>
      <c r="G150" s="159">
        <f t="shared" si="32"/>
        <v>0</v>
      </c>
      <c r="H150" s="163">
        <f t="shared" si="29"/>
        <v>0</v>
      </c>
      <c r="I150" s="253">
        <f t="shared" si="30"/>
        <v>0</v>
      </c>
      <c r="J150" s="158">
        <f t="shared" si="33"/>
        <v>0</v>
      </c>
      <c r="K150" s="158"/>
      <c r="L150" s="334"/>
      <c r="M150" s="158">
        <f t="shared" si="34"/>
        <v>0</v>
      </c>
      <c r="N150" s="334"/>
      <c r="O150" s="158">
        <f t="shared" si="35"/>
        <v>0</v>
      </c>
      <c r="P150" s="158">
        <f t="shared" si="36"/>
        <v>0</v>
      </c>
      <c r="Q150" s="1"/>
    </row>
    <row r="151" spans="2:17">
      <c r="B151" s="9" t="str">
        <f t="shared" si="24"/>
        <v/>
      </c>
      <c r="C151" s="153">
        <f>IF(D93="","-",+C150+1)</f>
        <v>2061</v>
      </c>
      <c r="D151" s="154">
        <f>IF(F150+SUM(E$99:E150)=D$92,F150,D$92-SUM(E$99:E150))</f>
        <v>0</v>
      </c>
      <c r="E151" s="160">
        <f>IF(+J96&lt;F150,J96,D151)</f>
        <v>0</v>
      </c>
      <c r="F151" s="159">
        <f t="shared" si="31"/>
        <v>0</v>
      </c>
      <c r="G151" s="159">
        <f t="shared" si="32"/>
        <v>0</v>
      </c>
      <c r="H151" s="163">
        <f t="shared" si="29"/>
        <v>0</v>
      </c>
      <c r="I151" s="253">
        <f t="shared" si="30"/>
        <v>0</v>
      </c>
      <c r="J151" s="158">
        <f t="shared" si="33"/>
        <v>0</v>
      </c>
      <c r="K151" s="158"/>
      <c r="L151" s="334"/>
      <c r="M151" s="158">
        <f t="shared" si="34"/>
        <v>0</v>
      </c>
      <c r="N151" s="334"/>
      <c r="O151" s="158">
        <f t="shared" si="35"/>
        <v>0</v>
      </c>
      <c r="P151" s="158">
        <f t="shared" si="36"/>
        <v>0</v>
      </c>
      <c r="Q151" s="1"/>
    </row>
    <row r="152" spans="2:17">
      <c r="B152" s="9" t="str">
        <f t="shared" si="24"/>
        <v/>
      </c>
      <c r="C152" s="153">
        <f>IF(D93="","-",+C151+1)</f>
        <v>2062</v>
      </c>
      <c r="D152" s="154">
        <f>IF(F151+SUM(E$99:E151)=D$92,F151,D$92-SUM(E$99:E151))</f>
        <v>0</v>
      </c>
      <c r="E152" s="160">
        <f>IF(+J96&lt;F151,J96,D152)</f>
        <v>0</v>
      </c>
      <c r="F152" s="159">
        <f t="shared" si="31"/>
        <v>0</v>
      </c>
      <c r="G152" s="159">
        <f t="shared" si="32"/>
        <v>0</v>
      </c>
      <c r="H152" s="163">
        <f t="shared" si="29"/>
        <v>0</v>
      </c>
      <c r="I152" s="253">
        <f t="shared" si="30"/>
        <v>0</v>
      </c>
      <c r="J152" s="158">
        <f t="shared" si="33"/>
        <v>0</v>
      </c>
      <c r="K152" s="158"/>
      <c r="L152" s="334"/>
      <c r="M152" s="158">
        <f t="shared" si="34"/>
        <v>0</v>
      </c>
      <c r="N152" s="334"/>
      <c r="O152" s="158">
        <f t="shared" si="35"/>
        <v>0</v>
      </c>
      <c r="P152" s="158">
        <f t="shared" si="36"/>
        <v>0</v>
      </c>
      <c r="Q152" s="1"/>
    </row>
    <row r="153" spans="2:17">
      <c r="B153" s="9" t="str">
        <f t="shared" si="24"/>
        <v/>
      </c>
      <c r="C153" s="153">
        <f>IF(D93="","-",+C152+1)</f>
        <v>2063</v>
      </c>
      <c r="D153" s="154">
        <f>IF(F152+SUM(E$99:E152)=D$92,F152,D$92-SUM(E$99:E152))</f>
        <v>0</v>
      </c>
      <c r="E153" s="160">
        <f>IF(+J96&lt;F152,J96,D153)</f>
        <v>0</v>
      </c>
      <c r="F153" s="159">
        <f t="shared" si="31"/>
        <v>0</v>
      </c>
      <c r="G153" s="159">
        <f t="shared" si="32"/>
        <v>0</v>
      </c>
      <c r="H153" s="163">
        <f t="shared" si="29"/>
        <v>0</v>
      </c>
      <c r="I153" s="253">
        <f t="shared" si="30"/>
        <v>0</v>
      </c>
      <c r="J153" s="158">
        <f t="shared" si="33"/>
        <v>0</v>
      </c>
      <c r="K153" s="158"/>
      <c r="L153" s="334"/>
      <c r="M153" s="158">
        <f t="shared" si="34"/>
        <v>0</v>
      </c>
      <c r="N153" s="334"/>
      <c r="O153" s="158">
        <f t="shared" si="35"/>
        <v>0</v>
      </c>
      <c r="P153" s="158">
        <f t="shared" si="36"/>
        <v>0</v>
      </c>
      <c r="Q153" s="1"/>
    </row>
    <row r="154" spans="2:17" ht="13.5" thickBot="1">
      <c r="B154" s="9" t="str">
        <f t="shared" si="24"/>
        <v/>
      </c>
      <c r="C154" s="164">
        <f>IF(D93="","-",+C153+1)</f>
        <v>2064</v>
      </c>
      <c r="D154" s="215">
        <f>IF(F153+SUM(E$99:E153)=D$92,F153,D$92-SUM(E$99:E153))</f>
        <v>0</v>
      </c>
      <c r="E154" s="166">
        <f>IF(+J96&lt;F153,J96,D154)</f>
        <v>0</v>
      </c>
      <c r="F154" s="165">
        <f t="shared" si="31"/>
        <v>0</v>
      </c>
      <c r="G154" s="165">
        <f t="shared" si="32"/>
        <v>0</v>
      </c>
      <c r="H154" s="167">
        <f t="shared" si="29"/>
        <v>0</v>
      </c>
      <c r="I154" s="254">
        <f t="shared" si="30"/>
        <v>0</v>
      </c>
      <c r="J154" s="169">
        <f t="shared" si="33"/>
        <v>0</v>
      </c>
      <c r="K154" s="158"/>
      <c r="L154" s="335"/>
      <c r="M154" s="169">
        <f t="shared" si="34"/>
        <v>0</v>
      </c>
      <c r="N154" s="335"/>
      <c r="O154" s="169">
        <f t="shared" si="35"/>
        <v>0</v>
      </c>
      <c r="P154" s="169">
        <f t="shared" si="36"/>
        <v>0</v>
      </c>
      <c r="Q154" s="1"/>
    </row>
    <row r="155" spans="2:17">
      <c r="C155" s="154" t="s">
        <v>73</v>
      </c>
      <c r="D155" s="111"/>
      <c r="E155" s="111">
        <f>SUM(E99:E154)</f>
        <v>11580311</v>
      </c>
      <c r="F155" s="111"/>
      <c r="G155" s="111"/>
      <c r="H155" s="111">
        <f>SUM(H99:H154)</f>
        <v>42705712.699360937</v>
      </c>
      <c r="I155" s="111">
        <f>SUM(I99:I154)</f>
        <v>42705712.699360937</v>
      </c>
      <c r="J155" s="111">
        <f>SUM(J99:J154)</f>
        <v>0</v>
      </c>
      <c r="K155" s="111"/>
      <c r="L155" s="111"/>
      <c r="M155" s="111"/>
      <c r="N155" s="111"/>
      <c r="O155" s="111"/>
      <c r="P155" s="1"/>
      <c r="Q155" s="1"/>
    </row>
    <row r="156" spans="2:17">
      <c r="D156" s="2"/>
      <c r="E156" s="1"/>
      <c r="F156" s="1"/>
      <c r="G156" s="1"/>
      <c r="H156" s="1"/>
      <c r="I156" s="3"/>
      <c r="J156" s="3"/>
      <c r="K156" s="111"/>
      <c r="L156" s="3"/>
      <c r="M156" s="3"/>
      <c r="N156" s="3"/>
      <c r="O156" s="3"/>
      <c r="P156" s="1"/>
      <c r="Q156" s="1"/>
    </row>
    <row r="157" spans="2:17">
      <c r="C157" s="216" t="s">
        <v>87</v>
      </c>
      <c r="D157" s="2"/>
      <c r="E157" s="1"/>
      <c r="F157" s="1"/>
      <c r="G157" s="1"/>
      <c r="H157" s="1"/>
      <c r="I157" s="3"/>
      <c r="J157" s="3"/>
      <c r="K157" s="111"/>
      <c r="L157" s="3"/>
      <c r="M157" s="3"/>
      <c r="N157" s="3"/>
      <c r="O157" s="3"/>
      <c r="P157" s="1"/>
      <c r="Q157" s="1"/>
    </row>
    <row r="158" spans="2:17">
      <c r="D158" s="2"/>
      <c r="E158" s="1"/>
      <c r="F158" s="1"/>
      <c r="G158" s="1"/>
      <c r="H158" s="1"/>
      <c r="I158" s="3"/>
      <c r="J158" s="3"/>
      <c r="K158" s="111"/>
      <c r="L158" s="3"/>
      <c r="M158" s="3"/>
      <c r="N158" s="3"/>
      <c r="O158" s="3"/>
      <c r="P158" s="1"/>
      <c r="Q158" s="1"/>
    </row>
    <row r="159" spans="2:17">
      <c r="C159" s="170" t="s">
        <v>92</v>
      </c>
      <c r="D159" s="154"/>
      <c r="E159" s="154"/>
      <c r="F159" s="154"/>
      <c r="G159" s="154"/>
      <c r="H159" s="111"/>
      <c r="I159" s="111"/>
      <c r="J159" s="171"/>
      <c r="K159" s="171"/>
      <c r="L159" s="171"/>
      <c r="M159" s="171"/>
      <c r="N159" s="171"/>
      <c r="O159" s="171"/>
      <c r="P159" s="1"/>
      <c r="Q159" s="1"/>
    </row>
    <row r="160" spans="2:17">
      <c r="C160" s="217" t="s">
        <v>74</v>
      </c>
      <c r="D160" s="154"/>
      <c r="E160" s="154"/>
      <c r="F160" s="154"/>
      <c r="G160" s="154"/>
      <c r="H160" s="111"/>
      <c r="I160" s="111"/>
      <c r="J160" s="171"/>
      <c r="K160" s="171"/>
      <c r="L160" s="171"/>
      <c r="M160" s="171"/>
      <c r="N160" s="171"/>
      <c r="O160" s="171"/>
      <c r="P160" s="1"/>
      <c r="Q160" s="1"/>
    </row>
    <row r="161" spans="3:17">
      <c r="C161" s="217" t="s">
        <v>75</v>
      </c>
      <c r="D161" s="154"/>
      <c r="E161" s="154"/>
      <c r="F161" s="154"/>
      <c r="G161" s="154"/>
      <c r="H161" s="111"/>
      <c r="I161" s="111"/>
      <c r="J161" s="171"/>
      <c r="K161" s="171"/>
      <c r="L161" s="171"/>
      <c r="M161" s="171"/>
      <c r="N161" s="171"/>
      <c r="O161" s="171"/>
      <c r="P161" s="1"/>
      <c r="Q161" s="1"/>
    </row>
    <row r="162" spans="3:17" ht="18">
      <c r="C162" s="217"/>
      <c r="D162" s="154"/>
      <c r="E162" s="154"/>
      <c r="F162" s="154"/>
      <c r="G162" s="154"/>
      <c r="H162" s="111"/>
      <c r="I162" s="111"/>
      <c r="J162" s="171"/>
      <c r="K162" s="171"/>
      <c r="L162" s="171"/>
      <c r="M162" s="171"/>
      <c r="N162" s="171"/>
      <c r="P162" s="237" t="s">
        <v>126</v>
      </c>
      <c r="Q162" s="1"/>
    </row>
  </sheetData>
  <phoneticPr fontId="0" type="noConversion"/>
  <conditionalFormatting sqref="C17:C72">
    <cfRule type="cellIs" dxfId="157" priority="1" stopIfTrue="1" operator="equal">
      <formula>$I$10</formula>
    </cfRule>
  </conditionalFormatting>
  <conditionalFormatting sqref="C99:C154">
    <cfRule type="cellIs" dxfId="156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6"/>
  <dimension ref="A1:P162"/>
  <sheetViews>
    <sheetView view="pageBreakPreview" topLeftCell="A55" zoomScale="80" zoomScaleNormal="100" zoomScaleSheetLayoutView="80" workbookViewId="0">
      <selection activeCell="C19" sqref="C19"/>
    </sheetView>
  </sheetViews>
  <sheetFormatPr defaultRowHeight="12.75" customHeight="1"/>
  <cols>
    <col min="1" max="1" width="4.7109375" customWidth="1"/>
    <col min="2" max="2" width="6.7109375" customWidth="1"/>
    <col min="3" max="3" width="23.28515625" customWidth="1"/>
    <col min="4" max="8" width="17.7109375" customWidth="1"/>
    <col min="9" max="9" width="20.42578125" customWidth="1"/>
    <col min="10" max="10" width="16.42578125" customWidth="1"/>
    <col min="11" max="11" width="17.7109375" customWidth="1"/>
    <col min="12" max="12" width="16.140625" customWidth="1"/>
    <col min="13" max="13" width="17.7109375" customWidth="1"/>
    <col min="14" max="14" width="16.7109375" customWidth="1"/>
    <col min="15" max="15" width="16.85546875" customWidth="1"/>
    <col min="16" max="16" width="24.42578125" customWidth="1"/>
    <col min="17" max="17" width="9.140625" customWidth="1"/>
    <col min="23" max="23" width="9.140625" customWidth="1"/>
  </cols>
  <sheetData>
    <row r="1" spans="1:16" ht="20.25">
      <c r="A1" s="243" t="s">
        <v>128</v>
      </c>
      <c r="B1" s="1"/>
      <c r="C1" s="21"/>
      <c r="D1" s="2"/>
      <c r="E1" s="1"/>
      <c r="F1" s="99"/>
      <c r="G1" s="1"/>
      <c r="H1" s="3"/>
      <c r="J1" s="7"/>
      <c r="K1" s="109"/>
      <c r="L1" s="109"/>
      <c r="M1" s="109"/>
      <c r="P1" s="249" t="str">
        <f ca="1">"SWEPCO Project "&amp;RIGHT(MID(CELL("filename",$A$1),FIND("]",CELL("filename",$A$1))+1,256),2)&amp;" of "&amp;COUNT('S.001:S.xyz - blank'!$P$3)-1</f>
        <v>SWEPCO Project 67 of 73</v>
      </c>
    </row>
    <row r="2" spans="1:16" ht="18">
      <c r="B2" s="1"/>
      <c r="C2" s="1"/>
      <c r="D2" s="2"/>
      <c r="E2" s="1"/>
      <c r="F2" s="1"/>
      <c r="G2" s="1"/>
      <c r="H2" s="3"/>
      <c r="I2" s="1"/>
      <c r="J2" s="4"/>
      <c r="K2" s="1"/>
      <c r="L2" s="1"/>
      <c r="M2" s="1"/>
      <c r="N2" s="1"/>
      <c r="P2" s="244" t="s">
        <v>124</v>
      </c>
    </row>
    <row r="3" spans="1:16" ht="18.75">
      <c r="B3" s="5" t="s">
        <v>40</v>
      </c>
      <c r="C3" s="68" t="s">
        <v>41</v>
      </c>
      <c r="D3" s="2"/>
      <c r="E3" s="1"/>
      <c r="F3" s="1"/>
      <c r="G3" s="1"/>
      <c r="H3" s="3"/>
      <c r="I3" s="3"/>
      <c r="J3" s="111"/>
      <c r="K3" s="3"/>
      <c r="L3" s="3"/>
      <c r="M3" s="3"/>
      <c r="N3" s="3"/>
      <c r="O3" s="1"/>
      <c r="P3" s="240">
        <v>1</v>
      </c>
    </row>
    <row r="4" spans="1:16" ht="15.75" thickBot="1">
      <c r="C4" s="67"/>
      <c r="D4" s="2"/>
      <c r="E4" s="1"/>
      <c r="F4" s="1"/>
      <c r="G4" s="1"/>
      <c r="H4" s="3"/>
      <c r="I4" s="3"/>
      <c r="J4" s="111"/>
      <c r="K4" s="3"/>
      <c r="L4" s="3"/>
      <c r="M4" s="3"/>
      <c r="N4" s="3"/>
      <c r="O4" s="1"/>
      <c r="P4" s="1"/>
    </row>
    <row r="5" spans="1:16" ht="15">
      <c r="C5" s="112" t="s">
        <v>42</v>
      </c>
      <c r="D5" s="2"/>
      <c r="E5" s="1"/>
      <c r="F5" s="1"/>
      <c r="G5" s="113"/>
      <c r="H5" s="1" t="s">
        <v>43</v>
      </c>
      <c r="I5" s="1"/>
      <c r="J5" s="4"/>
      <c r="K5" s="268" t="s">
        <v>152</v>
      </c>
      <c r="L5" s="114"/>
      <c r="M5" s="115"/>
      <c r="N5" s="116">
        <f>VLOOKUP(I10,C17:I72,5)</f>
        <v>1081638.2440832164</v>
      </c>
      <c r="P5" s="1"/>
    </row>
    <row r="6" spans="1:16" ht="15.75">
      <c r="C6" s="8"/>
      <c r="D6" s="2"/>
      <c r="E6" s="1"/>
      <c r="F6" s="1"/>
      <c r="G6" s="1"/>
      <c r="H6" s="117"/>
      <c r="I6" s="117"/>
      <c r="J6" s="118"/>
      <c r="K6" s="269" t="s">
        <v>153</v>
      </c>
      <c r="L6" s="119"/>
      <c r="M6" s="4"/>
      <c r="N6" s="120">
        <f>VLOOKUP(I10,C17:I72,6)</f>
        <v>1081638.2440832164</v>
      </c>
      <c r="O6" s="1"/>
      <c r="P6" s="1"/>
    </row>
    <row r="7" spans="1:16" ht="13.5" thickBot="1">
      <c r="C7" s="121" t="s">
        <v>44</v>
      </c>
      <c r="D7" s="223" t="s">
        <v>377</v>
      </c>
      <c r="E7" s="1"/>
      <c r="F7" s="1"/>
      <c r="G7" s="1"/>
      <c r="H7" s="3"/>
      <c r="I7" s="3"/>
      <c r="J7" s="111"/>
      <c r="K7" s="122" t="s">
        <v>45</v>
      </c>
      <c r="L7" s="123"/>
      <c r="M7" s="123"/>
      <c r="N7" s="124">
        <f>+N6-N5</f>
        <v>0</v>
      </c>
      <c r="O7" s="1"/>
      <c r="P7" s="1"/>
    </row>
    <row r="8" spans="1:16" ht="13.5" thickBot="1">
      <c r="C8" s="125"/>
      <c r="D8" s="352" t="str">
        <f>IF(D10&lt;100000,"DOES NOT MEET SPP $100,000 MINIMUM INVESTMENT FOR REGIONAL BPU SHARING.","")</f>
        <v/>
      </c>
      <c r="E8" s="126"/>
      <c r="F8" s="126"/>
      <c r="G8" s="126"/>
      <c r="H8" s="126"/>
      <c r="I8" s="126"/>
      <c r="J8" s="101"/>
      <c r="K8" s="126"/>
      <c r="L8" s="126"/>
      <c r="M8" s="126"/>
      <c r="N8" s="126"/>
      <c r="O8" s="101"/>
      <c r="P8" s="21"/>
    </row>
    <row r="9" spans="1:16" ht="13.5" thickBot="1">
      <c r="C9" s="127" t="s">
        <v>46</v>
      </c>
      <c r="D9" s="225" t="s">
        <v>252</v>
      </c>
      <c r="E9" s="401" t="s">
        <v>454</v>
      </c>
      <c r="F9" s="128"/>
      <c r="G9" s="128"/>
      <c r="H9" s="128"/>
      <c r="I9" s="129"/>
      <c r="J9" s="130"/>
      <c r="O9" s="131"/>
      <c r="P9" s="4"/>
    </row>
    <row r="10" spans="1:16">
      <c r="C10" s="132" t="s">
        <v>47</v>
      </c>
      <c r="D10" s="133">
        <v>9206275</v>
      </c>
      <c r="E10" s="61" t="s">
        <v>459</v>
      </c>
      <c r="F10" s="131"/>
      <c r="G10" s="134"/>
      <c r="H10" s="134"/>
      <c r="I10" s="135">
        <f>+SWE.WS.F.BPU.ATRR.Projected!K17</f>
        <v>2019</v>
      </c>
      <c r="J10" s="130"/>
      <c r="K10" s="111" t="s">
        <v>48</v>
      </c>
      <c r="O10" s="4"/>
      <c r="P10" s="4"/>
    </row>
    <row r="11" spans="1:16">
      <c r="C11" s="136" t="s">
        <v>49</v>
      </c>
      <c r="D11" s="137">
        <v>2017</v>
      </c>
      <c r="E11" s="136" t="s">
        <v>50</v>
      </c>
      <c r="F11" s="134"/>
      <c r="G11" s="7"/>
      <c r="H11" s="7"/>
      <c r="I11" s="138">
        <f>IF(G5="",0,SWE.WS.F.BPU.ATRR.Projected!F$11)</f>
        <v>0</v>
      </c>
      <c r="J11" s="139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4"/>
      <c r="P11" s="4"/>
    </row>
    <row r="12" spans="1:16">
      <c r="C12" s="136" t="s">
        <v>51</v>
      </c>
      <c r="D12" s="133">
        <v>3</v>
      </c>
      <c r="E12" s="136" t="s">
        <v>52</v>
      </c>
      <c r="F12" s="134"/>
      <c r="G12" s="7"/>
      <c r="H12" s="7"/>
      <c r="I12" s="140">
        <f>SWE.WS.F.BPU.ATRR.Projected!$F$76</f>
        <v>9.9555672459071778E-2</v>
      </c>
      <c r="J12" s="141"/>
      <c r="K12" t="s">
        <v>53</v>
      </c>
      <c r="O12" s="4"/>
      <c r="P12" s="4"/>
    </row>
    <row r="13" spans="1:16">
      <c r="C13" s="136" t="s">
        <v>54</v>
      </c>
      <c r="D13" s="138">
        <f>+SWE.WS.F.BPU.ATRR.Projected!F$87</f>
        <v>43</v>
      </c>
      <c r="E13" s="136" t="s">
        <v>55</v>
      </c>
      <c r="F13" s="134"/>
      <c r="G13" s="7"/>
      <c r="H13" s="7"/>
      <c r="I13" s="140">
        <f>IF(G5="",I12,SWE.WS.F.BPU.ATRR.Projected!$F$75)</f>
        <v>9.9555672459071778E-2</v>
      </c>
      <c r="J13" s="141"/>
      <c r="K13" s="111" t="s">
        <v>56</v>
      </c>
      <c r="L13" s="58"/>
      <c r="M13" s="58"/>
      <c r="N13" s="58"/>
      <c r="O13" s="4"/>
      <c r="P13" s="4"/>
    </row>
    <row r="14" spans="1:16" ht="13.5" thickBot="1">
      <c r="C14" s="136" t="s">
        <v>57</v>
      </c>
      <c r="D14" s="137" t="s">
        <v>58</v>
      </c>
      <c r="E14" s="4" t="s">
        <v>59</v>
      </c>
      <c r="F14" s="134"/>
      <c r="G14" s="7"/>
      <c r="H14" s="7"/>
      <c r="I14" s="142">
        <f>IF(D10=0,0,D10/D13)</f>
        <v>214099.41860465117</v>
      </c>
      <c r="J14" s="111"/>
      <c r="K14" s="111"/>
      <c r="L14" s="111"/>
      <c r="M14" s="111"/>
      <c r="N14" s="111"/>
      <c r="O14" s="4"/>
      <c r="P14" s="4"/>
    </row>
    <row r="15" spans="1:16" ht="38.25">
      <c r="C15" s="143" t="s">
        <v>47</v>
      </c>
      <c r="D15" s="144" t="s">
        <v>60</v>
      </c>
      <c r="E15" s="144" t="s">
        <v>61</v>
      </c>
      <c r="F15" s="144" t="s">
        <v>62</v>
      </c>
      <c r="G15" s="434" t="s">
        <v>378</v>
      </c>
      <c r="H15" s="435" t="s">
        <v>379</v>
      </c>
      <c r="I15" s="143" t="s">
        <v>63</v>
      </c>
      <c r="J15" s="145"/>
      <c r="K15" s="271" t="s">
        <v>219</v>
      </c>
      <c r="L15" s="146" t="s">
        <v>64</v>
      </c>
      <c r="M15" s="271" t="s">
        <v>219</v>
      </c>
      <c r="N15" s="146" t="s">
        <v>64</v>
      </c>
      <c r="O15" s="146" t="s">
        <v>65</v>
      </c>
      <c r="P15" s="4"/>
    </row>
    <row r="16" spans="1:16" ht="13.5" thickBot="1">
      <c r="C16" s="147" t="s">
        <v>66</v>
      </c>
      <c r="D16" s="147" t="s">
        <v>67</v>
      </c>
      <c r="E16" s="147" t="s">
        <v>68</v>
      </c>
      <c r="F16" s="147" t="s">
        <v>67</v>
      </c>
      <c r="G16" s="408" t="s">
        <v>69</v>
      </c>
      <c r="H16" s="148" t="s">
        <v>70</v>
      </c>
      <c r="I16" s="149" t="s">
        <v>89</v>
      </c>
      <c r="J16" s="150" t="s">
        <v>71</v>
      </c>
      <c r="K16" s="151" t="s">
        <v>72</v>
      </c>
      <c r="L16" s="151" t="s">
        <v>72</v>
      </c>
      <c r="M16" s="151" t="s">
        <v>90</v>
      </c>
      <c r="N16" s="152" t="s">
        <v>90</v>
      </c>
      <c r="O16" s="151" t="s">
        <v>90</v>
      </c>
      <c r="P16" s="4"/>
    </row>
    <row r="17" spans="2:16">
      <c r="C17" s="153">
        <f>IF(D11= "","-",D11)</f>
        <v>2017</v>
      </c>
      <c r="D17" s="360">
        <v>0</v>
      </c>
      <c r="E17" s="360">
        <v>160574.56395348837</v>
      </c>
      <c r="F17" s="360">
        <v>9045700.4360465109</v>
      </c>
      <c r="G17" s="360">
        <v>720921.93663194391</v>
      </c>
      <c r="H17" s="360">
        <v>720921.93663194391</v>
      </c>
      <c r="I17" s="156">
        <v>0</v>
      </c>
      <c r="J17" s="156"/>
      <c r="K17" s="258">
        <f>+G17</f>
        <v>720921.93663194391</v>
      </c>
      <c r="L17" s="257">
        <f t="shared" ref="L17:L72" si="0">IF(K17&lt;&gt;0,+G17-K17,0)</f>
        <v>0</v>
      </c>
      <c r="M17" s="258">
        <f>+H17</f>
        <v>720921.93663194391</v>
      </c>
      <c r="N17" s="158">
        <f t="shared" ref="N17:N72" si="1">IF(M17&lt;&gt;0,+H17-M17,0)</f>
        <v>0</v>
      </c>
      <c r="O17" s="158">
        <f t="shared" ref="O17:O72" si="2">+N17-L17</f>
        <v>0</v>
      </c>
      <c r="P17" s="4"/>
    </row>
    <row r="18" spans="2:16">
      <c r="B18" s="9" t="str">
        <f>IF(D18=F17,"","IU")</f>
        <v/>
      </c>
      <c r="C18" s="153">
        <f>IF(D11="","-",+C17+1)</f>
        <v>2018</v>
      </c>
      <c r="D18" s="360">
        <v>9045700.4360465109</v>
      </c>
      <c r="E18" s="360">
        <v>224543.29268292684</v>
      </c>
      <c r="F18" s="360">
        <v>8821157.1433635838</v>
      </c>
      <c r="G18" s="360">
        <v>1224052.9157559315</v>
      </c>
      <c r="H18" s="360">
        <v>1224052.9157559315</v>
      </c>
      <c r="I18" s="156">
        <f t="shared" ref="I18:I72" si="3">H18-G18</f>
        <v>0</v>
      </c>
      <c r="J18" s="156"/>
      <c r="K18" s="258">
        <f>+G18</f>
        <v>1224052.9157559315</v>
      </c>
      <c r="L18" s="257">
        <f>IF(K18&lt;&gt;0,+G18-K18,0)</f>
        <v>0</v>
      </c>
      <c r="M18" s="258">
        <f>+H18</f>
        <v>1224052.9157559315</v>
      </c>
      <c r="N18" s="158">
        <f>IF(M18&lt;&gt;0,+H18-M18,0)</f>
        <v>0</v>
      </c>
      <c r="O18" s="158">
        <f>+N18-L18</f>
        <v>0</v>
      </c>
      <c r="P18" s="4"/>
    </row>
    <row r="19" spans="2:16">
      <c r="B19" s="9" t="str">
        <f>IF(D19=F18,"","IU")</f>
        <v/>
      </c>
      <c r="C19" s="153">
        <f>IF(D11="","-",+C18+1)</f>
        <v>2019</v>
      </c>
      <c r="D19" s="159">
        <f>IF(F18+SUM(E$17:E18)=D$10,F18,D$10-SUM(E$17:E18))</f>
        <v>8821157.1433635838</v>
      </c>
      <c r="E19" s="160">
        <f>IF(+I14&lt;F18,I14,D19)</f>
        <v>214099.41860465117</v>
      </c>
      <c r="F19" s="159">
        <f t="shared" ref="F19:F72" si="4">+D19-E19</f>
        <v>8607057.7247589324</v>
      </c>
      <c r="G19" s="161">
        <f t="shared" ref="G19:G48" si="5">+I$12*((D19+F19)/2)+E19</f>
        <v>1081638.2440832164</v>
      </c>
      <c r="H19" s="142">
        <f t="shared" ref="H19:H48" si="6">+I$13*((D19+F19)/2)+E19</f>
        <v>1081638.2440832164</v>
      </c>
      <c r="I19" s="156">
        <f t="shared" si="3"/>
        <v>0</v>
      </c>
      <c r="J19" s="156"/>
      <c r="K19" s="334"/>
      <c r="L19" s="158">
        <f t="shared" si="0"/>
        <v>0</v>
      </c>
      <c r="M19" s="334"/>
      <c r="N19" s="158">
        <f t="shared" si="1"/>
        <v>0</v>
      </c>
      <c r="O19" s="158">
        <f t="shared" si="2"/>
        <v>0</v>
      </c>
      <c r="P19" s="4"/>
    </row>
    <row r="20" spans="2:16">
      <c r="B20" s="9" t="str">
        <f t="shared" ref="B20:B72" si="7">IF(D20=F19,"","IU")</f>
        <v/>
      </c>
      <c r="C20" s="153">
        <f>IF(D11="","-",+C19+1)</f>
        <v>2020</v>
      </c>
      <c r="D20" s="159">
        <f>IF(F19+SUM(E$17:E19)=D$10,F19,D$10-SUM(E$17:E19))</f>
        <v>8607057.7247589324</v>
      </c>
      <c r="E20" s="160">
        <f>IF(+I14&lt;F19,I14,D20)</f>
        <v>214099.41860465117</v>
      </c>
      <c r="F20" s="159">
        <f t="shared" si="4"/>
        <v>8392958.3061542809</v>
      </c>
      <c r="G20" s="161">
        <f t="shared" si="5"/>
        <v>1060323.4324909337</v>
      </c>
      <c r="H20" s="142">
        <f t="shared" si="6"/>
        <v>1060323.4324909337</v>
      </c>
      <c r="I20" s="156">
        <f t="shared" si="3"/>
        <v>0</v>
      </c>
      <c r="J20" s="156"/>
      <c r="K20" s="334"/>
      <c r="L20" s="158">
        <f t="shared" si="0"/>
        <v>0</v>
      </c>
      <c r="M20" s="334"/>
      <c r="N20" s="158">
        <f t="shared" si="1"/>
        <v>0</v>
      </c>
      <c r="O20" s="158">
        <f t="shared" si="2"/>
        <v>0</v>
      </c>
      <c r="P20" s="4"/>
    </row>
    <row r="21" spans="2:16">
      <c r="B21" s="9" t="str">
        <f t="shared" si="7"/>
        <v/>
      </c>
      <c r="C21" s="153">
        <f>IF(D11="","-",+C20+1)</f>
        <v>2021</v>
      </c>
      <c r="D21" s="159">
        <f>IF(F20+SUM(E$17:E20)=D$10,F20,D$10-SUM(E$17:E20))</f>
        <v>8392958.3061542809</v>
      </c>
      <c r="E21" s="160">
        <f>IF(+I14&lt;F20,I14,D21)</f>
        <v>214099.41860465117</v>
      </c>
      <c r="F21" s="159">
        <f t="shared" si="4"/>
        <v>8178858.8875496294</v>
      </c>
      <c r="G21" s="161">
        <f t="shared" si="5"/>
        <v>1039008.6208986514</v>
      </c>
      <c r="H21" s="142">
        <f t="shared" si="6"/>
        <v>1039008.6208986514</v>
      </c>
      <c r="I21" s="156">
        <f t="shared" si="3"/>
        <v>0</v>
      </c>
      <c r="J21" s="156"/>
      <c r="K21" s="334"/>
      <c r="L21" s="158">
        <f t="shared" si="0"/>
        <v>0</v>
      </c>
      <c r="M21" s="334"/>
      <c r="N21" s="158">
        <f t="shared" si="1"/>
        <v>0</v>
      </c>
      <c r="O21" s="158">
        <f t="shared" si="2"/>
        <v>0</v>
      </c>
      <c r="P21" s="4"/>
    </row>
    <row r="22" spans="2:16">
      <c r="B22" s="9" t="str">
        <f t="shared" si="7"/>
        <v/>
      </c>
      <c r="C22" s="153">
        <f>IF(D11="","-",+C21+1)</f>
        <v>2022</v>
      </c>
      <c r="D22" s="159">
        <f>IF(F21+SUM(E$17:E21)=D$10,F21,D$10-SUM(E$17:E21))</f>
        <v>8178858.8875496294</v>
      </c>
      <c r="E22" s="160">
        <f>IF(+I14&lt;F21,I14,D22)</f>
        <v>214099.41860465117</v>
      </c>
      <c r="F22" s="159">
        <f t="shared" si="4"/>
        <v>7964759.468944978</v>
      </c>
      <c r="G22" s="161">
        <f t="shared" si="5"/>
        <v>1017693.8093063692</v>
      </c>
      <c r="H22" s="142">
        <f t="shared" si="6"/>
        <v>1017693.8093063692</v>
      </c>
      <c r="I22" s="156">
        <f t="shared" si="3"/>
        <v>0</v>
      </c>
      <c r="J22" s="156"/>
      <c r="K22" s="334"/>
      <c r="L22" s="158">
        <f t="shared" si="0"/>
        <v>0</v>
      </c>
      <c r="M22" s="334"/>
      <c r="N22" s="158">
        <f t="shared" si="1"/>
        <v>0</v>
      </c>
      <c r="O22" s="158">
        <f t="shared" si="2"/>
        <v>0</v>
      </c>
      <c r="P22" s="4"/>
    </row>
    <row r="23" spans="2:16">
      <c r="B23" s="9" t="str">
        <f t="shared" si="7"/>
        <v/>
      </c>
      <c r="C23" s="153">
        <f>IF(D11="","-",+C22+1)</f>
        <v>2023</v>
      </c>
      <c r="D23" s="159">
        <f>IF(F22+SUM(E$17:E22)=D$10,F22,D$10-SUM(E$17:E22))</f>
        <v>7964759.468944978</v>
      </c>
      <c r="E23" s="160">
        <f>IF(+I14&lt;F22,I14,D23)</f>
        <v>214099.41860465117</v>
      </c>
      <c r="F23" s="159">
        <f t="shared" si="4"/>
        <v>7750660.0503403265</v>
      </c>
      <c r="G23" s="161">
        <f t="shared" si="5"/>
        <v>996378.99771408667</v>
      </c>
      <c r="H23" s="142">
        <f t="shared" si="6"/>
        <v>996378.99771408667</v>
      </c>
      <c r="I23" s="156">
        <f t="shared" si="3"/>
        <v>0</v>
      </c>
      <c r="J23" s="156"/>
      <c r="K23" s="334"/>
      <c r="L23" s="158">
        <f t="shared" si="0"/>
        <v>0</v>
      </c>
      <c r="M23" s="334"/>
      <c r="N23" s="158">
        <f t="shared" si="1"/>
        <v>0</v>
      </c>
      <c r="O23" s="158">
        <f t="shared" si="2"/>
        <v>0</v>
      </c>
      <c r="P23" s="4"/>
    </row>
    <row r="24" spans="2:16">
      <c r="B24" s="9" t="str">
        <f t="shared" si="7"/>
        <v/>
      </c>
      <c r="C24" s="153">
        <f>IF(D11="","-",+C23+1)</f>
        <v>2024</v>
      </c>
      <c r="D24" s="159">
        <f>IF(F23+SUM(E$17:E23)=D$10,F23,D$10-SUM(E$17:E23))</f>
        <v>7750660.0503403265</v>
      </c>
      <c r="E24" s="160">
        <f>IF(+I14&lt;F23,I14,D24)</f>
        <v>214099.41860465117</v>
      </c>
      <c r="F24" s="159">
        <f t="shared" si="4"/>
        <v>7536560.631735675</v>
      </c>
      <c r="G24" s="161">
        <f t="shared" si="5"/>
        <v>975064.18612180441</v>
      </c>
      <c r="H24" s="142">
        <f t="shared" si="6"/>
        <v>975064.18612180441</v>
      </c>
      <c r="I24" s="156">
        <f t="shared" si="3"/>
        <v>0</v>
      </c>
      <c r="J24" s="156"/>
      <c r="K24" s="334"/>
      <c r="L24" s="158">
        <f t="shared" si="0"/>
        <v>0</v>
      </c>
      <c r="M24" s="334"/>
      <c r="N24" s="158">
        <f t="shared" si="1"/>
        <v>0</v>
      </c>
      <c r="O24" s="158">
        <f t="shared" si="2"/>
        <v>0</v>
      </c>
      <c r="P24" s="4"/>
    </row>
    <row r="25" spans="2:16">
      <c r="B25" s="9" t="str">
        <f t="shared" si="7"/>
        <v/>
      </c>
      <c r="C25" s="153">
        <f>IF(D11="","-",+C24+1)</f>
        <v>2025</v>
      </c>
      <c r="D25" s="159">
        <f>IF(F24+SUM(E$17:E24)=D$10,F24,D$10-SUM(E$17:E24))</f>
        <v>7536560.631735675</v>
      </c>
      <c r="E25" s="160">
        <f>IF(+I14&lt;F24,I14,D25)</f>
        <v>214099.41860465117</v>
      </c>
      <c r="F25" s="159">
        <f t="shared" si="4"/>
        <v>7322461.2131310236</v>
      </c>
      <c r="G25" s="161">
        <f t="shared" si="5"/>
        <v>953749.37452952191</v>
      </c>
      <c r="H25" s="142">
        <f t="shared" si="6"/>
        <v>953749.37452952191</v>
      </c>
      <c r="I25" s="156">
        <f t="shared" si="3"/>
        <v>0</v>
      </c>
      <c r="J25" s="156"/>
      <c r="K25" s="334"/>
      <c r="L25" s="158">
        <f t="shared" si="0"/>
        <v>0</v>
      </c>
      <c r="M25" s="334"/>
      <c r="N25" s="158">
        <f t="shared" si="1"/>
        <v>0</v>
      </c>
      <c r="O25" s="158">
        <f t="shared" si="2"/>
        <v>0</v>
      </c>
      <c r="P25" s="4"/>
    </row>
    <row r="26" spans="2:16">
      <c r="B26" s="9" t="str">
        <f t="shared" si="7"/>
        <v/>
      </c>
      <c r="C26" s="153">
        <f>IF(D11="","-",+C25+1)</f>
        <v>2026</v>
      </c>
      <c r="D26" s="159">
        <f>IF(F25+SUM(E$17:E25)=D$10,F25,D$10-SUM(E$17:E25))</f>
        <v>7322461.2131310236</v>
      </c>
      <c r="E26" s="160">
        <f>IF(+I14&lt;F25,I14,D26)</f>
        <v>214099.41860465117</v>
      </c>
      <c r="F26" s="159">
        <f t="shared" si="4"/>
        <v>7108361.7945263721</v>
      </c>
      <c r="G26" s="161">
        <f t="shared" si="5"/>
        <v>932434.56293723965</v>
      </c>
      <c r="H26" s="142">
        <f t="shared" si="6"/>
        <v>932434.56293723965</v>
      </c>
      <c r="I26" s="156">
        <f t="shared" si="3"/>
        <v>0</v>
      </c>
      <c r="J26" s="156"/>
      <c r="K26" s="334"/>
      <c r="L26" s="158">
        <f t="shared" si="0"/>
        <v>0</v>
      </c>
      <c r="M26" s="334"/>
      <c r="N26" s="158">
        <f t="shared" si="1"/>
        <v>0</v>
      </c>
      <c r="O26" s="158">
        <f t="shared" si="2"/>
        <v>0</v>
      </c>
      <c r="P26" s="4"/>
    </row>
    <row r="27" spans="2:16">
      <c r="B27" s="9" t="str">
        <f t="shared" si="7"/>
        <v/>
      </c>
      <c r="C27" s="153">
        <f>IF(D11="","-",+C26+1)</f>
        <v>2027</v>
      </c>
      <c r="D27" s="159">
        <f>IF(F26+SUM(E$17:E26)=D$10,F26,D$10-SUM(E$17:E26))</f>
        <v>7108361.7945263721</v>
      </c>
      <c r="E27" s="160">
        <f>IF(+I14&lt;F26,I14,D27)</f>
        <v>214099.41860465117</v>
      </c>
      <c r="F27" s="159">
        <f t="shared" si="4"/>
        <v>6894262.3759217206</v>
      </c>
      <c r="G27" s="161">
        <f t="shared" si="5"/>
        <v>911119.75134495716</v>
      </c>
      <c r="H27" s="142">
        <f t="shared" si="6"/>
        <v>911119.75134495716</v>
      </c>
      <c r="I27" s="156">
        <f t="shared" si="3"/>
        <v>0</v>
      </c>
      <c r="J27" s="156"/>
      <c r="K27" s="334"/>
      <c r="L27" s="158">
        <f t="shared" si="0"/>
        <v>0</v>
      </c>
      <c r="M27" s="334"/>
      <c r="N27" s="158">
        <f t="shared" si="1"/>
        <v>0</v>
      </c>
      <c r="O27" s="158">
        <f t="shared" si="2"/>
        <v>0</v>
      </c>
      <c r="P27" s="4"/>
    </row>
    <row r="28" spans="2:16">
      <c r="B28" s="9" t="str">
        <f t="shared" si="7"/>
        <v/>
      </c>
      <c r="C28" s="153">
        <f>IF(D11="","-",+C27+1)</f>
        <v>2028</v>
      </c>
      <c r="D28" s="159">
        <f>IF(F27+SUM(E$17:E27)=D$10,F27,D$10-SUM(E$17:E27))</f>
        <v>6894262.3759217206</v>
      </c>
      <c r="E28" s="160">
        <f>IF(+I14&lt;F27,I14,D28)</f>
        <v>214099.41860465117</v>
      </c>
      <c r="F28" s="159">
        <f t="shared" si="4"/>
        <v>6680162.9573170692</v>
      </c>
      <c r="G28" s="161">
        <f t="shared" si="5"/>
        <v>889804.93975267489</v>
      </c>
      <c r="H28" s="142">
        <f t="shared" si="6"/>
        <v>889804.93975267489</v>
      </c>
      <c r="I28" s="156">
        <f t="shared" si="3"/>
        <v>0</v>
      </c>
      <c r="J28" s="156"/>
      <c r="K28" s="334"/>
      <c r="L28" s="158">
        <f t="shared" si="0"/>
        <v>0</v>
      </c>
      <c r="M28" s="334"/>
      <c r="N28" s="158">
        <f t="shared" si="1"/>
        <v>0</v>
      </c>
      <c r="O28" s="158">
        <f t="shared" si="2"/>
        <v>0</v>
      </c>
      <c r="P28" s="4"/>
    </row>
    <row r="29" spans="2:16">
      <c r="B29" s="9" t="str">
        <f t="shared" si="7"/>
        <v/>
      </c>
      <c r="C29" s="153">
        <f>IF(D11="","-",+C28+1)</f>
        <v>2029</v>
      </c>
      <c r="D29" s="159">
        <f>IF(F28+SUM(E$17:E28)=D$10,F28,D$10-SUM(E$17:E28))</f>
        <v>6680162.9573170692</v>
      </c>
      <c r="E29" s="160">
        <f>IF(+I14&lt;F28,I14,D29)</f>
        <v>214099.41860465117</v>
      </c>
      <c r="F29" s="159">
        <f t="shared" si="4"/>
        <v>6466063.5387124177</v>
      </c>
      <c r="G29" s="161">
        <f t="shared" si="5"/>
        <v>868490.1281603924</v>
      </c>
      <c r="H29" s="142">
        <f t="shared" si="6"/>
        <v>868490.1281603924</v>
      </c>
      <c r="I29" s="156">
        <f t="shared" si="3"/>
        <v>0</v>
      </c>
      <c r="J29" s="156"/>
      <c r="K29" s="334"/>
      <c r="L29" s="158">
        <f t="shared" si="0"/>
        <v>0</v>
      </c>
      <c r="M29" s="334"/>
      <c r="N29" s="158">
        <f t="shared" si="1"/>
        <v>0</v>
      </c>
      <c r="O29" s="158">
        <f t="shared" si="2"/>
        <v>0</v>
      </c>
      <c r="P29" s="4"/>
    </row>
    <row r="30" spans="2:16">
      <c r="B30" s="9" t="str">
        <f t="shared" si="7"/>
        <v/>
      </c>
      <c r="C30" s="153">
        <f>IF(D11="","-",+C29+1)</f>
        <v>2030</v>
      </c>
      <c r="D30" s="159">
        <f>IF(F29+SUM(E$17:E29)=D$10,F29,D$10-SUM(E$17:E29))</f>
        <v>6466063.5387124177</v>
      </c>
      <c r="E30" s="160">
        <f>IF(+I14&lt;F29,I14,D30)</f>
        <v>214099.41860465117</v>
      </c>
      <c r="F30" s="159">
        <f t="shared" si="4"/>
        <v>6251964.1201077662</v>
      </c>
      <c r="G30" s="161">
        <f t="shared" si="5"/>
        <v>847175.31656811014</v>
      </c>
      <c r="H30" s="142">
        <f t="shared" si="6"/>
        <v>847175.31656811014</v>
      </c>
      <c r="I30" s="156">
        <f t="shared" si="3"/>
        <v>0</v>
      </c>
      <c r="J30" s="156"/>
      <c r="K30" s="334"/>
      <c r="L30" s="158">
        <f t="shared" si="0"/>
        <v>0</v>
      </c>
      <c r="M30" s="334"/>
      <c r="N30" s="158">
        <f t="shared" si="1"/>
        <v>0</v>
      </c>
      <c r="O30" s="158">
        <f t="shared" si="2"/>
        <v>0</v>
      </c>
      <c r="P30" s="4"/>
    </row>
    <row r="31" spans="2:16">
      <c r="B31" s="9" t="str">
        <f t="shared" si="7"/>
        <v/>
      </c>
      <c r="C31" s="153">
        <f>IF(D11="","-",+C30+1)</f>
        <v>2031</v>
      </c>
      <c r="D31" s="159">
        <f>IF(F30+SUM(E$17:E30)=D$10,F30,D$10-SUM(E$17:E30))</f>
        <v>6251964.1201077662</v>
      </c>
      <c r="E31" s="160">
        <f>IF(+I14&lt;F30,I14,D31)</f>
        <v>214099.41860465117</v>
      </c>
      <c r="F31" s="159">
        <f t="shared" si="4"/>
        <v>6037864.7015031148</v>
      </c>
      <c r="G31" s="161">
        <f t="shared" si="5"/>
        <v>825860.50497582764</v>
      </c>
      <c r="H31" s="142">
        <f t="shared" si="6"/>
        <v>825860.50497582764</v>
      </c>
      <c r="I31" s="156">
        <f t="shared" si="3"/>
        <v>0</v>
      </c>
      <c r="J31" s="156"/>
      <c r="K31" s="334"/>
      <c r="L31" s="158">
        <f t="shared" si="0"/>
        <v>0</v>
      </c>
      <c r="M31" s="334"/>
      <c r="N31" s="158">
        <f t="shared" si="1"/>
        <v>0</v>
      </c>
      <c r="O31" s="158">
        <f t="shared" si="2"/>
        <v>0</v>
      </c>
      <c r="P31" s="4"/>
    </row>
    <row r="32" spans="2:16">
      <c r="B32" s="9" t="str">
        <f t="shared" si="7"/>
        <v>IU</v>
      </c>
      <c r="C32" s="153">
        <f>IF(D11="","-",+C31+1)</f>
        <v>2032</v>
      </c>
      <c r="D32" s="159">
        <f>IF(F31+SUM(E$17:E31)=D$10,F31,D$10-SUM(E$17:E31))</f>
        <v>6037864.7015031204</v>
      </c>
      <c r="E32" s="160">
        <f>IF(+I14&lt;F31,I14,D32)</f>
        <v>214099.41860465117</v>
      </c>
      <c r="F32" s="159">
        <f t="shared" si="4"/>
        <v>5823765.2828984689</v>
      </c>
      <c r="G32" s="161">
        <f t="shared" si="5"/>
        <v>804545.69338354585</v>
      </c>
      <c r="H32" s="142">
        <f t="shared" si="6"/>
        <v>804545.69338354585</v>
      </c>
      <c r="I32" s="156">
        <f t="shared" si="3"/>
        <v>0</v>
      </c>
      <c r="J32" s="156"/>
      <c r="K32" s="334"/>
      <c r="L32" s="158">
        <f t="shared" si="0"/>
        <v>0</v>
      </c>
      <c r="M32" s="334"/>
      <c r="N32" s="158">
        <f t="shared" si="1"/>
        <v>0</v>
      </c>
      <c r="O32" s="158">
        <f t="shared" si="2"/>
        <v>0</v>
      </c>
      <c r="P32" s="4"/>
    </row>
    <row r="33" spans="2:16">
      <c r="B33" s="9" t="str">
        <f t="shared" si="7"/>
        <v/>
      </c>
      <c r="C33" s="153">
        <f>IF(D11="","-",+C32+1)</f>
        <v>2033</v>
      </c>
      <c r="D33" s="159">
        <f>IF(F32+SUM(E$17:E32)=D$10,F32,D$10-SUM(E$17:E32))</f>
        <v>5823765.2828984689</v>
      </c>
      <c r="E33" s="160">
        <f>IF(+I14&lt;F32,I14,D33)</f>
        <v>214099.41860465117</v>
      </c>
      <c r="F33" s="159">
        <f t="shared" si="4"/>
        <v>5609665.8642938174</v>
      </c>
      <c r="G33" s="161">
        <f t="shared" si="5"/>
        <v>783230.88179126335</v>
      </c>
      <c r="H33" s="142">
        <f t="shared" si="6"/>
        <v>783230.88179126335</v>
      </c>
      <c r="I33" s="156">
        <f t="shared" si="3"/>
        <v>0</v>
      </c>
      <c r="J33" s="156"/>
      <c r="K33" s="334"/>
      <c r="L33" s="158">
        <f t="shared" si="0"/>
        <v>0</v>
      </c>
      <c r="M33" s="334"/>
      <c r="N33" s="158">
        <f t="shared" si="1"/>
        <v>0</v>
      </c>
      <c r="O33" s="158">
        <f t="shared" si="2"/>
        <v>0</v>
      </c>
      <c r="P33" s="4"/>
    </row>
    <row r="34" spans="2:16">
      <c r="B34" s="9" t="str">
        <f t="shared" si="7"/>
        <v/>
      </c>
      <c r="C34" s="153">
        <f>IF(D11="","-",+C33+1)</f>
        <v>2034</v>
      </c>
      <c r="D34" s="159">
        <f>IF(F33+SUM(E$17:E33)=D$10,F33,D$10-SUM(E$17:E33))</f>
        <v>5609665.8642938174</v>
      </c>
      <c r="E34" s="160">
        <f>IF(+I14&lt;F33,I14,D34)</f>
        <v>214099.41860465117</v>
      </c>
      <c r="F34" s="159">
        <f t="shared" si="4"/>
        <v>5395566.445689166</v>
      </c>
      <c r="G34" s="161">
        <f t="shared" si="5"/>
        <v>761916.07019898109</v>
      </c>
      <c r="H34" s="142">
        <f t="shared" si="6"/>
        <v>761916.07019898109</v>
      </c>
      <c r="I34" s="156">
        <f t="shared" si="3"/>
        <v>0</v>
      </c>
      <c r="J34" s="156"/>
      <c r="K34" s="334"/>
      <c r="L34" s="158">
        <f t="shared" si="0"/>
        <v>0</v>
      </c>
      <c r="M34" s="334"/>
      <c r="N34" s="158">
        <f t="shared" si="1"/>
        <v>0</v>
      </c>
      <c r="O34" s="158">
        <f t="shared" si="2"/>
        <v>0</v>
      </c>
      <c r="P34" s="4"/>
    </row>
    <row r="35" spans="2:16">
      <c r="B35" s="9" t="str">
        <f t="shared" si="7"/>
        <v/>
      </c>
      <c r="C35" s="153">
        <f>IF(D11="","-",+C34+1)</f>
        <v>2035</v>
      </c>
      <c r="D35" s="159">
        <f>IF(F34+SUM(E$17:E34)=D$10,F34,D$10-SUM(E$17:E34))</f>
        <v>5395566.445689166</v>
      </c>
      <c r="E35" s="160">
        <f>IF(+I14&lt;F34,I14,D35)</f>
        <v>214099.41860465117</v>
      </c>
      <c r="F35" s="159">
        <f t="shared" si="4"/>
        <v>5181467.0270845145</v>
      </c>
      <c r="G35" s="161">
        <f t="shared" si="5"/>
        <v>740601.2586066986</v>
      </c>
      <c r="H35" s="142">
        <f t="shared" si="6"/>
        <v>740601.2586066986</v>
      </c>
      <c r="I35" s="156">
        <f t="shared" si="3"/>
        <v>0</v>
      </c>
      <c r="J35" s="156"/>
      <c r="K35" s="334"/>
      <c r="L35" s="158">
        <f t="shared" si="0"/>
        <v>0</v>
      </c>
      <c r="M35" s="334"/>
      <c r="N35" s="158">
        <f t="shared" si="1"/>
        <v>0</v>
      </c>
      <c r="O35" s="158">
        <f t="shared" si="2"/>
        <v>0</v>
      </c>
      <c r="P35" s="4"/>
    </row>
    <row r="36" spans="2:16">
      <c r="B36" s="9" t="str">
        <f t="shared" si="7"/>
        <v/>
      </c>
      <c r="C36" s="153">
        <f>IF(D11="","-",+C35+1)</f>
        <v>2036</v>
      </c>
      <c r="D36" s="159">
        <f>IF(F35+SUM(E$17:E35)=D$10,F35,D$10-SUM(E$17:E35))</f>
        <v>5181467.0270845145</v>
      </c>
      <c r="E36" s="160">
        <f>IF(+I14&lt;F35,I14,D36)</f>
        <v>214099.41860465117</v>
      </c>
      <c r="F36" s="159">
        <f t="shared" si="4"/>
        <v>4967367.608479863</v>
      </c>
      <c r="G36" s="161">
        <f t="shared" si="5"/>
        <v>719286.44701441634</v>
      </c>
      <c r="H36" s="142">
        <f t="shared" si="6"/>
        <v>719286.44701441634</v>
      </c>
      <c r="I36" s="156">
        <f t="shared" si="3"/>
        <v>0</v>
      </c>
      <c r="J36" s="156"/>
      <c r="K36" s="334"/>
      <c r="L36" s="158">
        <f t="shared" si="0"/>
        <v>0</v>
      </c>
      <c r="M36" s="334"/>
      <c r="N36" s="158">
        <f t="shared" si="1"/>
        <v>0</v>
      </c>
      <c r="O36" s="158">
        <f t="shared" si="2"/>
        <v>0</v>
      </c>
      <c r="P36" s="4"/>
    </row>
    <row r="37" spans="2:16">
      <c r="B37" s="9" t="str">
        <f t="shared" si="7"/>
        <v/>
      </c>
      <c r="C37" s="153">
        <f>IF(D11="","-",+C36+1)</f>
        <v>2037</v>
      </c>
      <c r="D37" s="159">
        <f>IF(F36+SUM(E$17:E36)=D$10,F36,D$10-SUM(E$17:E36))</f>
        <v>4967367.608479863</v>
      </c>
      <c r="E37" s="160">
        <f>IF(+I14&lt;F36,I14,D37)</f>
        <v>214099.41860465117</v>
      </c>
      <c r="F37" s="159">
        <f t="shared" si="4"/>
        <v>4753268.1898752116</v>
      </c>
      <c r="G37" s="161">
        <f t="shared" si="5"/>
        <v>697971.63542213396</v>
      </c>
      <c r="H37" s="142">
        <f t="shared" si="6"/>
        <v>697971.63542213396</v>
      </c>
      <c r="I37" s="156">
        <f t="shared" si="3"/>
        <v>0</v>
      </c>
      <c r="J37" s="156"/>
      <c r="K37" s="334"/>
      <c r="L37" s="158">
        <f t="shared" si="0"/>
        <v>0</v>
      </c>
      <c r="M37" s="334"/>
      <c r="N37" s="158">
        <f t="shared" si="1"/>
        <v>0</v>
      </c>
      <c r="O37" s="158">
        <f t="shared" si="2"/>
        <v>0</v>
      </c>
      <c r="P37" s="4"/>
    </row>
    <row r="38" spans="2:16">
      <c r="B38" s="9" t="str">
        <f t="shared" si="7"/>
        <v/>
      </c>
      <c r="C38" s="153">
        <f>IF(D11="","-",+C37+1)</f>
        <v>2038</v>
      </c>
      <c r="D38" s="159">
        <f>IF(F37+SUM(E$17:E37)=D$10,F37,D$10-SUM(E$17:E37))</f>
        <v>4753268.1898752116</v>
      </c>
      <c r="E38" s="160">
        <f>IF(+I14&lt;F37,I14,D38)</f>
        <v>214099.41860465117</v>
      </c>
      <c r="F38" s="159">
        <f t="shared" si="4"/>
        <v>4539168.7712705601</v>
      </c>
      <c r="G38" s="161">
        <f t="shared" si="5"/>
        <v>676656.82382985158</v>
      </c>
      <c r="H38" s="142">
        <f t="shared" si="6"/>
        <v>676656.82382985158</v>
      </c>
      <c r="I38" s="156">
        <f t="shared" si="3"/>
        <v>0</v>
      </c>
      <c r="J38" s="156"/>
      <c r="K38" s="334"/>
      <c r="L38" s="158">
        <f t="shared" si="0"/>
        <v>0</v>
      </c>
      <c r="M38" s="334"/>
      <c r="N38" s="158">
        <f t="shared" si="1"/>
        <v>0</v>
      </c>
      <c r="O38" s="158">
        <f t="shared" si="2"/>
        <v>0</v>
      </c>
      <c r="P38" s="4"/>
    </row>
    <row r="39" spans="2:16">
      <c r="B39" s="9" t="str">
        <f t="shared" si="7"/>
        <v/>
      </c>
      <c r="C39" s="153">
        <f>IF(D11="","-",+C38+1)</f>
        <v>2039</v>
      </c>
      <c r="D39" s="159">
        <f>IF(F38+SUM(E$17:E38)=D$10,F38,D$10-SUM(E$17:E38))</f>
        <v>4539168.7712705601</v>
      </c>
      <c r="E39" s="160">
        <f>IF(+I14&lt;F38,I14,D39)</f>
        <v>214099.41860465117</v>
      </c>
      <c r="F39" s="159">
        <f t="shared" si="4"/>
        <v>4325069.3526659086</v>
      </c>
      <c r="G39" s="161">
        <f t="shared" si="5"/>
        <v>655342.01223756908</v>
      </c>
      <c r="H39" s="142">
        <f t="shared" si="6"/>
        <v>655342.01223756908</v>
      </c>
      <c r="I39" s="156">
        <f t="shared" si="3"/>
        <v>0</v>
      </c>
      <c r="J39" s="156"/>
      <c r="K39" s="334"/>
      <c r="L39" s="158">
        <f t="shared" si="0"/>
        <v>0</v>
      </c>
      <c r="M39" s="334"/>
      <c r="N39" s="158">
        <f t="shared" si="1"/>
        <v>0</v>
      </c>
      <c r="O39" s="158">
        <f t="shared" si="2"/>
        <v>0</v>
      </c>
      <c r="P39" s="4"/>
    </row>
    <row r="40" spans="2:16">
      <c r="B40" s="9" t="str">
        <f t="shared" si="7"/>
        <v/>
      </c>
      <c r="C40" s="153">
        <f>IF(D11="","-",+C39+1)</f>
        <v>2040</v>
      </c>
      <c r="D40" s="159">
        <f>IF(F39+SUM(E$17:E39)=D$10,F39,D$10-SUM(E$17:E39))</f>
        <v>4325069.3526659086</v>
      </c>
      <c r="E40" s="160">
        <f>IF(+I14&lt;F39,I14,D40)</f>
        <v>214099.41860465117</v>
      </c>
      <c r="F40" s="159">
        <f t="shared" si="4"/>
        <v>4110969.9340612576</v>
      </c>
      <c r="G40" s="161">
        <f t="shared" si="5"/>
        <v>634027.20064528682</v>
      </c>
      <c r="H40" s="142">
        <f t="shared" si="6"/>
        <v>634027.20064528682</v>
      </c>
      <c r="I40" s="156">
        <f t="shared" si="3"/>
        <v>0</v>
      </c>
      <c r="J40" s="156"/>
      <c r="K40" s="334"/>
      <c r="L40" s="158">
        <f t="shared" si="0"/>
        <v>0</v>
      </c>
      <c r="M40" s="334"/>
      <c r="N40" s="158">
        <f t="shared" si="1"/>
        <v>0</v>
      </c>
      <c r="O40" s="158">
        <f t="shared" si="2"/>
        <v>0</v>
      </c>
      <c r="P40" s="4"/>
    </row>
    <row r="41" spans="2:16">
      <c r="B41" s="9" t="str">
        <f t="shared" si="7"/>
        <v/>
      </c>
      <c r="C41" s="153">
        <f>IF(D11="","-",+C40+1)</f>
        <v>2041</v>
      </c>
      <c r="D41" s="159">
        <f>IF(F40+SUM(E$17:E40)=D$10,F40,D$10-SUM(E$17:E40))</f>
        <v>4110969.9340612576</v>
      </c>
      <c r="E41" s="160">
        <f>IF(+I14&lt;F40,I14,D41)</f>
        <v>214099.41860465117</v>
      </c>
      <c r="F41" s="159">
        <f t="shared" si="4"/>
        <v>3896870.5154566066</v>
      </c>
      <c r="G41" s="161">
        <f t="shared" si="5"/>
        <v>612712.38905300456</v>
      </c>
      <c r="H41" s="142">
        <f t="shared" si="6"/>
        <v>612712.38905300456</v>
      </c>
      <c r="I41" s="156">
        <f t="shared" si="3"/>
        <v>0</v>
      </c>
      <c r="J41" s="156"/>
      <c r="K41" s="334"/>
      <c r="L41" s="158">
        <f t="shared" si="0"/>
        <v>0</v>
      </c>
      <c r="M41" s="334"/>
      <c r="N41" s="158">
        <f t="shared" si="1"/>
        <v>0</v>
      </c>
      <c r="O41" s="158">
        <f t="shared" si="2"/>
        <v>0</v>
      </c>
      <c r="P41" s="4"/>
    </row>
    <row r="42" spans="2:16">
      <c r="B42" s="9" t="str">
        <f t="shared" si="7"/>
        <v/>
      </c>
      <c r="C42" s="153">
        <f>IF(D11="","-",+C41+1)</f>
        <v>2042</v>
      </c>
      <c r="D42" s="159">
        <f>IF(F41+SUM(E$17:E41)=D$10,F41,D$10-SUM(E$17:E41))</f>
        <v>3896870.5154566066</v>
      </c>
      <c r="E42" s="160">
        <f>IF(+I14&lt;F41,I14,D42)</f>
        <v>214099.41860465117</v>
      </c>
      <c r="F42" s="159">
        <f t="shared" si="4"/>
        <v>3682771.0968519556</v>
      </c>
      <c r="G42" s="161">
        <f t="shared" si="5"/>
        <v>591397.57746072207</v>
      </c>
      <c r="H42" s="142">
        <f t="shared" si="6"/>
        <v>591397.57746072207</v>
      </c>
      <c r="I42" s="156">
        <f t="shared" si="3"/>
        <v>0</v>
      </c>
      <c r="J42" s="156"/>
      <c r="K42" s="334"/>
      <c r="L42" s="158">
        <f t="shared" si="0"/>
        <v>0</v>
      </c>
      <c r="M42" s="334"/>
      <c r="N42" s="158">
        <f t="shared" si="1"/>
        <v>0</v>
      </c>
      <c r="O42" s="158">
        <f t="shared" si="2"/>
        <v>0</v>
      </c>
      <c r="P42" s="4"/>
    </row>
    <row r="43" spans="2:16">
      <c r="B43" s="9" t="str">
        <f t="shared" si="7"/>
        <v/>
      </c>
      <c r="C43" s="153">
        <f>IF(D11="","-",+C42+1)</f>
        <v>2043</v>
      </c>
      <c r="D43" s="159">
        <f>IF(F42+SUM(E$17:E42)=D$10,F42,D$10-SUM(E$17:E42))</f>
        <v>3682771.0968519556</v>
      </c>
      <c r="E43" s="160">
        <f>IF(+I14&lt;F42,I14,D43)</f>
        <v>214099.41860465117</v>
      </c>
      <c r="F43" s="159">
        <f t="shared" si="4"/>
        <v>3468671.6782473046</v>
      </c>
      <c r="G43" s="161">
        <f t="shared" si="5"/>
        <v>570082.7658684398</v>
      </c>
      <c r="H43" s="142">
        <f t="shared" si="6"/>
        <v>570082.7658684398</v>
      </c>
      <c r="I43" s="156">
        <f t="shared" si="3"/>
        <v>0</v>
      </c>
      <c r="J43" s="156"/>
      <c r="K43" s="334"/>
      <c r="L43" s="158">
        <f t="shared" si="0"/>
        <v>0</v>
      </c>
      <c r="M43" s="334"/>
      <c r="N43" s="158">
        <f t="shared" si="1"/>
        <v>0</v>
      </c>
      <c r="O43" s="158">
        <f t="shared" si="2"/>
        <v>0</v>
      </c>
      <c r="P43" s="4"/>
    </row>
    <row r="44" spans="2:16">
      <c r="B44" s="9" t="str">
        <f t="shared" si="7"/>
        <v/>
      </c>
      <c r="C44" s="153">
        <f>IF(D11="","-",+C43+1)</f>
        <v>2044</v>
      </c>
      <c r="D44" s="159">
        <f>IF(F43+SUM(E$17:E43)=D$10,F43,D$10-SUM(E$17:E43))</f>
        <v>3468671.6782473046</v>
      </c>
      <c r="E44" s="160">
        <f>IF(+I14&lt;F43,I14,D44)</f>
        <v>214099.41860465117</v>
      </c>
      <c r="F44" s="159">
        <f t="shared" si="4"/>
        <v>3254572.2596426536</v>
      </c>
      <c r="G44" s="161">
        <f t="shared" si="5"/>
        <v>548767.95427615754</v>
      </c>
      <c r="H44" s="142">
        <f t="shared" si="6"/>
        <v>548767.95427615754</v>
      </c>
      <c r="I44" s="156">
        <f t="shared" si="3"/>
        <v>0</v>
      </c>
      <c r="J44" s="156"/>
      <c r="K44" s="334"/>
      <c r="L44" s="158">
        <f t="shared" si="0"/>
        <v>0</v>
      </c>
      <c r="M44" s="334"/>
      <c r="N44" s="158">
        <f t="shared" si="1"/>
        <v>0</v>
      </c>
      <c r="O44" s="158">
        <f t="shared" si="2"/>
        <v>0</v>
      </c>
      <c r="P44" s="4"/>
    </row>
    <row r="45" spans="2:16">
      <c r="B45" s="9" t="str">
        <f t="shared" si="7"/>
        <v/>
      </c>
      <c r="C45" s="153">
        <f>IF(D11="","-",+C44+1)</f>
        <v>2045</v>
      </c>
      <c r="D45" s="159">
        <f>IF(F44+SUM(E$17:E44)=D$10,F44,D$10-SUM(E$17:E44))</f>
        <v>3254572.2596426536</v>
      </c>
      <c r="E45" s="160">
        <f>IF(+I14&lt;F44,I14,D45)</f>
        <v>214099.41860465117</v>
      </c>
      <c r="F45" s="159">
        <f t="shared" si="4"/>
        <v>3040472.8410380026</v>
      </c>
      <c r="G45" s="161">
        <f t="shared" si="5"/>
        <v>527453.14268387516</v>
      </c>
      <c r="H45" s="142">
        <f t="shared" si="6"/>
        <v>527453.14268387516</v>
      </c>
      <c r="I45" s="156">
        <f t="shared" si="3"/>
        <v>0</v>
      </c>
      <c r="J45" s="156"/>
      <c r="K45" s="334"/>
      <c r="L45" s="158">
        <f t="shared" si="0"/>
        <v>0</v>
      </c>
      <c r="M45" s="334"/>
      <c r="N45" s="158">
        <f t="shared" si="1"/>
        <v>0</v>
      </c>
      <c r="O45" s="158">
        <f t="shared" si="2"/>
        <v>0</v>
      </c>
      <c r="P45" s="4"/>
    </row>
    <row r="46" spans="2:16">
      <c r="B46" s="9" t="str">
        <f t="shared" si="7"/>
        <v/>
      </c>
      <c r="C46" s="153">
        <f>IF(D11="","-",+C45+1)</f>
        <v>2046</v>
      </c>
      <c r="D46" s="159">
        <f>IF(F45+SUM(E$17:E45)=D$10,F45,D$10-SUM(E$17:E45))</f>
        <v>3040472.8410380026</v>
      </c>
      <c r="E46" s="160">
        <f>IF(+I14&lt;F45,I14,D46)</f>
        <v>214099.41860465117</v>
      </c>
      <c r="F46" s="159">
        <f t="shared" si="4"/>
        <v>2826373.4224333516</v>
      </c>
      <c r="G46" s="161">
        <f t="shared" si="5"/>
        <v>506138.33109159279</v>
      </c>
      <c r="H46" s="142">
        <f t="shared" si="6"/>
        <v>506138.33109159279</v>
      </c>
      <c r="I46" s="156">
        <f t="shared" si="3"/>
        <v>0</v>
      </c>
      <c r="J46" s="156"/>
      <c r="K46" s="334"/>
      <c r="L46" s="158">
        <f t="shared" si="0"/>
        <v>0</v>
      </c>
      <c r="M46" s="334"/>
      <c r="N46" s="158">
        <f t="shared" si="1"/>
        <v>0</v>
      </c>
      <c r="O46" s="158">
        <f t="shared" si="2"/>
        <v>0</v>
      </c>
      <c r="P46" s="4"/>
    </row>
    <row r="47" spans="2:16">
      <c r="B47" s="9" t="str">
        <f t="shared" si="7"/>
        <v/>
      </c>
      <c r="C47" s="153">
        <f>IF(D11="","-",+C46+1)</f>
        <v>2047</v>
      </c>
      <c r="D47" s="159">
        <f>IF(F46+SUM(E$17:E46)=D$10,F46,D$10-SUM(E$17:E46))</f>
        <v>2826373.4224333516</v>
      </c>
      <c r="E47" s="160">
        <f>IF(+I14&lt;F46,I14,D47)</f>
        <v>214099.41860465117</v>
      </c>
      <c r="F47" s="159">
        <f t="shared" si="4"/>
        <v>2612274.0038287006</v>
      </c>
      <c r="G47" s="161">
        <f t="shared" si="5"/>
        <v>484823.51949931053</v>
      </c>
      <c r="H47" s="142">
        <f t="shared" si="6"/>
        <v>484823.51949931053</v>
      </c>
      <c r="I47" s="156">
        <f t="shared" si="3"/>
        <v>0</v>
      </c>
      <c r="J47" s="156"/>
      <c r="K47" s="334"/>
      <c r="L47" s="158">
        <f t="shared" si="0"/>
        <v>0</v>
      </c>
      <c r="M47" s="334"/>
      <c r="N47" s="158">
        <f t="shared" si="1"/>
        <v>0</v>
      </c>
      <c r="O47" s="158">
        <f t="shared" si="2"/>
        <v>0</v>
      </c>
      <c r="P47" s="4"/>
    </row>
    <row r="48" spans="2:16">
      <c r="B48" s="9" t="str">
        <f t="shared" si="7"/>
        <v/>
      </c>
      <c r="C48" s="153">
        <f>IF(D11="","-",+C47+1)</f>
        <v>2048</v>
      </c>
      <c r="D48" s="159">
        <f>IF(F47+SUM(E$17:E47)=D$10,F47,D$10-SUM(E$17:E47))</f>
        <v>2612274.0038287006</v>
      </c>
      <c r="E48" s="160">
        <f>IF(+I14&lt;F47,I14,D48)</f>
        <v>214099.41860465117</v>
      </c>
      <c r="F48" s="159">
        <f t="shared" si="4"/>
        <v>2398174.5852240496</v>
      </c>
      <c r="G48" s="161">
        <f t="shared" si="5"/>
        <v>463508.70790702815</v>
      </c>
      <c r="H48" s="142">
        <f t="shared" si="6"/>
        <v>463508.70790702815</v>
      </c>
      <c r="I48" s="156">
        <f t="shared" si="3"/>
        <v>0</v>
      </c>
      <c r="J48" s="156"/>
      <c r="K48" s="334"/>
      <c r="L48" s="158">
        <f t="shared" si="0"/>
        <v>0</v>
      </c>
      <c r="M48" s="334"/>
      <c r="N48" s="158">
        <f t="shared" si="1"/>
        <v>0</v>
      </c>
      <c r="O48" s="158">
        <f t="shared" si="2"/>
        <v>0</v>
      </c>
      <c r="P48" s="4"/>
    </row>
    <row r="49" spans="2:16">
      <c r="B49" s="9" t="str">
        <f t="shared" si="7"/>
        <v/>
      </c>
      <c r="C49" s="153">
        <f>IF(D11="","-",+C48+1)</f>
        <v>2049</v>
      </c>
      <c r="D49" s="159">
        <f>IF(F48+SUM(E$17:E48)=D$10,F48,D$10-SUM(E$17:E48))</f>
        <v>2398174.5852240496</v>
      </c>
      <c r="E49" s="160">
        <f>IF(+I14&lt;F48,I14,D49)</f>
        <v>214099.41860465117</v>
      </c>
      <c r="F49" s="159">
        <f t="shared" si="4"/>
        <v>2184075.1666193986</v>
      </c>
      <c r="G49" s="161">
        <f t="shared" ref="G49:G72" si="8">+I$12*((D49+F49)/2)+E49</f>
        <v>442193.89631474583</v>
      </c>
      <c r="H49" s="142">
        <f t="shared" ref="H49:H72" si="9">+I$13*((D49+F49)/2)+E49</f>
        <v>442193.89631474583</v>
      </c>
      <c r="I49" s="156">
        <f t="shared" si="3"/>
        <v>0</v>
      </c>
      <c r="J49" s="156"/>
      <c r="K49" s="334"/>
      <c r="L49" s="158">
        <f t="shared" si="0"/>
        <v>0</v>
      </c>
      <c r="M49" s="334"/>
      <c r="N49" s="158">
        <f t="shared" si="1"/>
        <v>0</v>
      </c>
      <c r="O49" s="158">
        <f t="shared" si="2"/>
        <v>0</v>
      </c>
      <c r="P49" s="4"/>
    </row>
    <row r="50" spans="2:16">
      <c r="B50" s="9" t="str">
        <f t="shared" si="7"/>
        <v/>
      </c>
      <c r="C50" s="153">
        <f>IF(D11="","-",+C49+1)</f>
        <v>2050</v>
      </c>
      <c r="D50" s="159">
        <f>IF(F49+SUM(E$17:E49)=D$10,F49,D$10-SUM(E$17:E49))</f>
        <v>2184075.1666193986</v>
      </c>
      <c r="E50" s="160">
        <f>IF(+I14&lt;F49,I14,D50)</f>
        <v>214099.41860465117</v>
      </c>
      <c r="F50" s="159">
        <f t="shared" si="4"/>
        <v>1969975.7480147474</v>
      </c>
      <c r="G50" s="161">
        <f t="shared" si="8"/>
        <v>420879.08472246345</v>
      </c>
      <c r="H50" s="142">
        <f t="shared" si="9"/>
        <v>420879.08472246345</v>
      </c>
      <c r="I50" s="156">
        <f t="shared" si="3"/>
        <v>0</v>
      </c>
      <c r="J50" s="156"/>
      <c r="K50" s="334"/>
      <c r="L50" s="158">
        <f t="shared" si="0"/>
        <v>0</v>
      </c>
      <c r="M50" s="334"/>
      <c r="N50" s="158">
        <f t="shared" si="1"/>
        <v>0</v>
      </c>
      <c r="O50" s="158">
        <f t="shared" si="2"/>
        <v>0</v>
      </c>
      <c r="P50" s="4"/>
    </row>
    <row r="51" spans="2:16">
      <c r="B51" s="9" t="str">
        <f t="shared" si="7"/>
        <v/>
      </c>
      <c r="C51" s="153">
        <f>IF(D11="","-",+C50+1)</f>
        <v>2051</v>
      </c>
      <c r="D51" s="159">
        <f>IF(F50+SUM(E$17:E50)=D$10,F50,D$10-SUM(E$17:E50))</f>
        <v>1969975.7480147474</v>
      </c>
      <c r="E51" s="160">
        <f>IF(+I14&lt;F50,I14,D51)</f>
        <v>214099.41860465117</v>
      </c>
      <c r="F51" s="159">
        <f t="shared" si="4"/>
        <v>1755876.3294100962</v>
      </c>
      <c r="G51" s="161">
        <f t="shared" si="8"/>
        <v>399564.27313018113</v>
      </c>
      <c r="H51" s="142">
        <f t="shared" si="9"/>
        <v>399564.27313018113</v>
      </c>
      <c r="I51" s="156">
        <f t="shared" si="3"/>
        <v>0</v>
      </c>
      <c r="J51" s="156"/>
      <c r="K51" s="334"/>
      <c r="L51" s="158">
        <f t="shared" si="0"/>
        <v>0</v>
      </c>
      <c r="M51" s="334"/>
      <c r="N51" s="158">
        <f t="shared" si="1"/>
        <v>0</v>
      </c>
      <c r="O51" s="158">
        <f t="shared" si="2"/>
        <v>0</v>
      </c>
      <c r="P51" s="4"/>
    </row>
    <row r="52" spans="2:16">
      <c r="B52" s="9" t="str">
        <f t="shared" si="7"/>
        <v/>
      </c>
      <c r="C52" s="153">
        <f>IF(D11="","-",+C51+1)</f>
        <v>2052</v>
      </c>
      <c r="D52" s="159">
        <f>IF(F51+SUM(E$17:E51)=D$10,F51,D$10-SUM(E$17:E51))</f>
        <v>1755876.3294100962</v>
      </c>
      <c r="E52" s="160">
        <f>IF(+I14&lt;F51,I14,D52)</f>
        <v>214099.41860465117</v>
      </c>
      <c r="F52" s="159">
        <f t="shared" si="4"/>
        <v>1541776.9108054449</v>
      </c>
      <c r="G52" s="161">
        <f t="shared" si="8"/>
        <v>378249.46153789875</v>
      </c>
      <c r="H52" s="142">
        <f t="shared" si="9"/>
        <v>378249.46153789875</v>
      </c>
      <c r="I52" s="156">
        <f t="shared" si="3"/>
        <v>0</v>
      </c>
      <c r="J52" s="156"/>
      <c r="K52" s="334"/>
      <c r="L52" s="158">
        <f t="shared" si="0"/>
        <v>0</v>
      </c>
      <c r="M52" s="334"/>
      <c r="N52" s="158">
        <f t="shared" si="1"/>
        <v>0</v>
      </c>
      <c r="O52" s="158">
        <f t="shared" si="2"/>
        <v>0</v>
      </c>
      <c r="P52" s="4"/>
    </row>
    <row r="53" spans="2:16">
      <c r="B53" s="9" t="str">
        <f t="shared" si="7"/>
        <v/>
      </c>
      <c r="C53" s="153">
        <f>IF(D11="","-",+C52+1)</f>
        <v>2053</v>
      </c>
      <c r="D53" s="159">
        <f>IF(F52+SUM(E$17:E52)=D$10,F52,D$10-SUM(E$17:E52))</f>
        <v>1541776.9108054449</v>
      </c>
      <c r="E53" s="160">
        <f>IF(+I14&lt;F52,I14,D53)</f>
        <v>214099.41860465117</v>
      </c>
      <c r="F53" s="159">
        <f t="shared" si="4"/>
        <v>1327677.4922007937</v>
      </c>
      <c r="G53" s="161">
        <f t="shared" si="8"/>
        <v>356934.64994561637</v>
      </c>
      <c r="H53" s="142">
        <f t="shared" si="9"/>
        <v>356934.64994561637</v>
      </c>
      <c r="I53" s="156">
        <f t="shared" si="3"/>
        <v>0</v>
      </c>
      <c r="J53" s="156"/>
      <c r="K53" s="334"/>
      <c r="L53" s="158">
        <f t="shared" si="0"/>
        <v>0</v>
      </c>
      <c r="M53" s="334"/>
      <c r="N53" s="158">
        <f t="shared" si="1"/>
        <v>0</v>
      </c>
      <c r="O53" s="158">
        <f t="shared" si="2"/>
        <v>0</v>
      </c>
      <c r="P53" s="4"/>
    </row>
    <row r="54" spans="2:16">
      <c r="B54" s="9" t="str">
        <f t="shared" si="7"/>
        <v/>
      </c>
      <c r="C54" s="153">
        <f>IF(D11="","-",+C53+1)</f>
        <v>2054</v>
      </c>
      <c r="D54" s="159">
        <f>IF(F53+SUM(E$17:E53)=D$10,F53,D$10-SUM(E$17:E53))</f>
        <v>1327677.4922007937</v>
      </c>
      <c r="E54" s="160">
        <f>IF(+I14&lt;F53,I14,D54)</f>
        <v>214099.41860465117</v>
      </c>
      <c r="F54" s="159">
        <f t="shared" si="4"/>
        <v>1113578.0735961425</v>
      </c>
      <c r="G54" s="161">
        <f t="shared" si="8"/>
        <v>335619.83835333399</v>
      </c>
      <c r="H54" s="142">
        <f t="shared" si="9"/>
        <v>335619.83835333399</v>
      </c>
      <c r="I54" s="156">
        <f t="shared" si="3"/>
        <v>0</v>
      </c>
      <c r="J54" s="156"/>
      <c r="K54" s="334"/>
      <c r="L54" s="158">
        <f t="shared" si="0"/>
        <v>0</v>
      </c>
      <c r="M54" s="334"/>
      <c r="N54" s="158">
        <f t="shared" si="1"/>
        <v>0</v>
      </c>
      <c r="O54" s="158">
        <f t="shared" si="2"/>
        <v>0</v>
      </c>
      <c r="P54" s="4"/>
    </row>
    <row r="55" spans="2:16">
      <c r="B55" s="9" t="str">
        <f t="shared" si="7"/>
        <v/>
      </c>
      <c r="C55" s="153">
        <f>IF(D11="","-",+C54+1)</f>
        <v>2055</v>
      </c>
      <c r="D55" s="159">
        <f>IF(F54+SUM(E$17:E54)=D$10,F54,D$10-SUM(E$17:E54))</f>
        <v>1113578.0735961425</v>
      </c>
      <c r="E55" s="160">
        <f>IF(+I14&lt;F54,I14,D55)</f>
        <v>214099.41860465117</v>
      </c>
      <c r="F55" s="159">
        <f t="shared" si="4"/>
        <v>899478.65499149123</v>
      </c>
      <c r="G55" s="161">
        <f t="shared" si="8"/>
        <v>314305.02676105167</v>
      </c>
      <c r="H55" s="142">
        <f t="shared" si="9"/>
        <v>314305.02676105167</v>
      </c>
      <c r="I55" s="156">
        <f t="shared" si="3"/>
        <v>0</v>
      </c>
      <c r="J55" s="156"/>
      <c r="K55" s="334"/>
      <c r="L55" s="158">
        <f t="shared" si="0"/>
        <v>0</v>
      </c>
      <c r="M55" s="334"/>
      <c r="N55" s="158">
        <f t="shared" si="1"/>
        <v>0</v>
      </c>
      <c r="O55" s="158">
        <f t="shared" si="2"/>
        <v>0</v>
      </c>
      <c r="P55" s="4"/>
    </row>
    <row r="56" spans="2:16">
      <c r="B56" s="9" t="str">
        <f t="shared" si="7"/>
        <v/>
      </c>
      <c r="C56" s="153">
        <f>IF(D11="","-",+C55+1)</f>
        <v>2056</v>
      </c>
      <c r="D56" s="159">
        <f>IF(F55+SUM(E$17:E55)=D$10,F55,D$10-SUM(E$17:E55))</f>
        <v>899478.65499149123</v>
      </c>
      <c r="E56" s="160">
        <f>IF(+I14&lt;F55,I14,D56)</f>
        <v>214099.41860465117</v>
      </c>
      <c r="F56" s="159">
        <f t="shared" si="4"/>
        <v>685379.23638684</v>
      </c>
      <c r="G56" s="161">
        <f t="shared" si="8"/>
        <v>292990.21516876935</v>
      </c>
      <c r="H56" s="142">
        <f t="shared" si="9"/>
        <v>292990.21516876935</v>
      </c>
      <c r="I56" s="156">
        <f t="shared" si="3"/>
        <v>0</v>
      </c>
      <c r="J56" s="156"/>
      <c r="K56" s="334"/>
      <c r="L56" s="158">
        <f t="shared" si="0"/>
        <v>0</v>
      </c>
      <c r="M56" s="334"/>
      <c r="N56" s="158">
        <f t="shared" si="1"/>
        <v>0</v>
      </c>
      <c r="O56" s="158">
        <f t="shared" si="2"/>
        <v>0</v>
      </c>
      <c r="P56" s="4"/>
    </row>
    <row r="57" spans="2:16">
      <c r="B57" s="9" t="str">
        <f t="shared" si="7"/>
        <v/>
      </c>
      <c r="C57" s="153">
        <f>IF(D11="","-",+C56+1)</f>
        <v>2057</v>
      </c>
      <c r="D57" s="159">
        <f>IF(F56+SUM(E$17:E56)=D$10,F56,D$10-SUM(E$17:E56))</f>
        <v>685379.23638684</v>
      </c>
      <c r="E57" s="160">
        <f>IF(+I14&lt;F56,I14,D57)</f>
        <v>214099.41860465117</v>
      </c>
      <c r="F57" s="159">
        <f t="shared" si="4"/>
        <v>471279.81778218882</v>
      </c>
      <c r="G57" s="161">
        <f t="shared" si="8"/>
        <v>271675.40357648698</v>
      </c>
      <c r="H57" s="142">
        <f t="shared" si="9"/>
        <v>271675.40357648698</v>
      </c>
      <c r="I57" s="156">
        <f t="shared" si="3"/>
        <v>0</v>
      </c>
      <c r="J57" s="156"/>
      <c r="K57" s="334"/>
      <c r="L57" s="158">
        <f t="shared" si="0"/>
        <v>0</v>
      </c>
      <c r="M57" s="334"/>
      <c r="N57" s="158">
        <f t="shared" si="1"/>
        <v>0</v>
      </c>
      <c r="O57" s="158">
        <f t="shared" si="2"/>
        <v>0</v>
      </c>
      <c r="P57" s="4"/>
    </row>
    <row r="58" spans="2:16">
      <c r="B58" s="9" t="str">
        <f t="shared" si="7"/>
        <v>IU</v>
      </c>
      <c r="C58" s="153">
        <f>IF(D11="","-",+C57+1)</f>
        <v>2058</v>
      </c>
      <c r="D58" s="159">
        <f>IF(F57+SUM(E$17:E57)=D$10,F57,D$10-SUM(E$17:E57))</f>
        <v>471279.81778218411</v>
      </c>
      <c r="E58" s="160">
        <f>IF(+I14&lt;F57,I14,D58)</f>
        <v>214099.41860465117</v>
      </c>
      <c r="F58" s="159">
        <f t="shared" si="4"/>
        <v>257180.39917753293</v>
      </c>
      <c r="G58" s="161">
        <f t="shared" si="8"/>
        <v>250360.59198420413</v>
      </c>
      <c r="H58" s="142">
        <f t="shared" si="9"/>
        <v>250360.59198420413</v>
      </c>
      <c r="I58" s="156">
        <f t="shared" si="3"/>
        <v>0</v>
      </c>
      <c r="J58" s="156"/>
      <c r="K58" s="334"/>
      <c r="L58" s="158">
        <f t="shared" si="0"/>
        <v>0</v>
      </c>
      <c r="M58" s="334"/>
      <c r="N58" s="158">
        <f t="shared" si="1"/>
        <v>0</v>
      </c>
      <c r="O58" s="158">
        <f t="shared" si="2"/>
        <v>0</v>
      </c>
      <c r="P58" s="4"/>
    </row>
    <row r="59" spans="2:16">
      <c r="B59" s="9" t="str">
        <f t="shared" si="7"/>
        <v/>
      </c>
      <c r="C59" s="153">
        <f>IF(D11="","-",+C58+1)</f>
        <v>2059</v>
      </c>
      <c r="D59" s="159">
        <f>IF(F58+SUM(E$17:E58)=D$10,F58,D$10-SUM(E$17:E58))</f>
        <v>257180.39917753293</v>
      </c>
      <c r="E59" s="160">
        <f>IF(+I14&lt;F58,I14,D59)</f>
        <v>214099.41860465117</v>
      </c>
      <c r="F59" s="159">
        <f t="shared" si="4"/>
        <v>43080.980572881759</v>
      </c>
      <c r="G59" s="161">
        <f t="shared" si="8"/>
        <v>229045.78039192181</v>
      </c>
      <c r="H59" s="142">
        <f t="shared" si="9"/>
        <v>229045.78039192181</v>
      </c>
      <c r="I59" s="156">
        <f t="shared" si="3"/>
        <v>0</v>
      </c>
      <c r="J59" s="156"/>
      <c r="K59" s="334"/>
      <c r="L59" s="158">
        <f t="shared" si="0"/>
        <v>0</v>
      </c>
      <c r="M59" s="334"/>
      <c r="N59" s="158">
        <f t="shared" si="1"/>
        <v>0</v>
      </c>
      <c r="O59" s="158">
        <f t="shared" si="2"/>
        <v>0</v>
      </c>
      <c r="P59" s="4"/>
    </row>
    <row r="60" spans="2:16">
      <c r="B60" s="9" t="str">
        <f t="shared" si="7"/>
        <v/>
      </c>
      <c r="C60" s="153">
        <f>IF(D11="","-",+C59+1)</f>
        <v>2060</v>
      </c>
      <c r="D60" s="159">
        <f>IF(F59+SUM(E$17:E59)=D$10,F59,D$10-SUM(E$17:E59))</f>
        <v>43080.980572881759</v>
      </c>
      <c r="E60" s="160">
        <f>IF(+I14&lt;F59,I14,D60)</f>
        <v>43080.980572881759</v>
      </c>
      <c r="F60" s="159">
        <f t="shared" si="4"/>
        <v>0</v>
      </c>
      <c r="G60" s="161">
        <f t="shared" si="8"/>
        <v>45225.458568446484</v>
      </c>
      <c r="H60" s="142">
        <f t="shared" si="9"/>
        <v>45225.458568446484</v>
      </c>
      <c r="I60" s="156">
        <f t="shared" si="3"/>
        <v>0</v>
      </c>
      <c r="J60" s="156"/>
      <c r="K60" s="334"/>
      <c r="L60" s="158">
        <f t="shared" si="0"/>
        <v>0</v>
      </c>
      <c r="M60" s="334"/>
      <c r="N60" s="158">
        <f t="shared" si="1"/>
        <v>0</v>
      </c>
      <c r="O60" s="158">
        <f t="shared" si="2"/>
        <v>0</v>
      </c>
      <c r="P60" s="4"/>
    </row>
    <row r="61" spans="2:16">
      <c r="B61" s="9" t="str">
        <f t="shared" si="7"/>
        <v/>
      </c>
      <c r="C61" s="153">
        <f>IF(D11="","-",+C60+1)</f>
        <v>2061</v>
      </c>
      <c r="D61" s="159">
        <f>IF(F60+SUM(E$17:E60)=D$10,F60,D$10-SUM(E$17:E60))</f>
        <v>0</v>
      </c>
      <c r="E61" s="160">
        <f>IF(+I14&lt;F60,I14,D61)</f>
        <v>0</v>
      </c>
      <c r="F61" s="159">
        <f t="shared" si="4"/>
        <v>0</v>
      </c>
      <c r="G61" s="163">
        <f t="shared" si="8"/>
        <v>0</v>
      </c>
      <c r="H61" s="142">
        <f t="shared" si="9"/>
        <v>0</v>
      </c>
      <c r="I61" s="156">
        <f t="shared" si="3"/>
        <v>0</v>
      </c>
      <c r="J61" s="156"/>
      <c r="K61" s="334"/>
      <c r="L61" s="158">
        <f t="shared" si="0"/>
        <v>0</v>
      </c>
      <c r="M61" s="334"/>
      <c r="N61" s="158">
        <f t="shared" si="1"/>
        <v>0</v>
      </c>
      <c r="O61" s="158">
        <f t="shared" si="2"/>
        <v>0</v>
      </c>
      <c r="P61" s="4"/>
    </row>
    <row r="62" spans="2:16">
      <c r="B62" s="9" t="str">
        <f t="shared" si="7"/>
        <v/>
      </c>
      <c r="C62" s="153">
        <f>IF(D11="","-",+C61+1)</f>
        <v>2062</v>
      </c>
      <c r="D62" s="159">
        <f>IF(F61+SUM(E$17:E61)=D$10,F61,D$10-SUM(E$17:E61))</f>
        <v>0</v>
      </c>
      <c r="E62" s="160">
        <f>IF(+I14&lt;F61,I14,D62)</f>
        <v>0</v>
      </c>
      <c r="F62" s="159">
        <f t="shared" si="4"/>
        <v>0</v>
      </c>
      <c r="G62" s="163">
        <f t="shared" si="8"/>
        <v>0</v>
      </c>
      <c r="H62" s="142">
        <f t="shared" si="9"/>
        <v>0</v>
      </c>
      <c r="I62" s="156">
        <f t="shared" si="3"/>
        <v>0</v>
      </c>
      <c r="J62" s="156"/>
      <c r="K62" s="334"/>
      <c r="L62" s="158">
        <f t="shared" si="0"/>
        <v>0</v>
      </c>
      <c r="M62" s="334"/>
      <c r="N62" s="158">
        <f t="shared" si="1"/>
        <v>0</v>
      </c>
      <c r="O62" s="158">
        <f t="shared" si="2"/>
        <v>0</v>
      </c>
      <c r="P62" s="4"/>
    </row>
    <row r="63" spans="2:16">
      <c r="B63" s="9" t="str">
        <f t="shared" si="7"/>
        <v/>
      </c>
      <c r="C63" s="153">
        <f>IF(D11="","-",+C62+1)</f>
        <v>2063</v>
      </c>
      <c r="D63" s="159">
        <f>IF(F62+SUM(E$17:E62)=D$10,F62,D$10-SUM(E$17:E62))</f>
        <v>0</v>
      </c>
      <c r="E63" s="160">
        <f>IF(+I14&lt;F62,I14,D63)</f>
        <v>0</v>
      </c>
      <c r="F63" s="159">
        <f t="shared" si="4"/>
        <v>0</v>
      </c>
      <c r="G63" s="163">
        <f t="shared" si="8"/>
        <v>0</v>
      </c>
      <c r="H63" s="142">
        <f t="shared" si="9"/>
        <v>0</v>
      </c>
      <c r="I63" s="156">
        <f t="shared" si="3"/>
        <v>0</v>
      </c>
      <c r="J63" s="156"/>
      <c r="K63" s="334"/>
      <c r="L63" s="158">
        <f t="shared" si="0"/>
        <v>0</v>
      </c>
      <c r="M63" s="334"/>
      <c r="N63" s="158">
        <f t="shared" si="1"/>
        <v>0</v>
      </c>
      <c r="O63" s="158">
        <f t="shared" si="2"/>
        <v>0</v>
      </c>
      <c r="P63" s="4"/>
    </row>
    <row r="64" spans="2:16">
      <c r="B64" s="9" t="str">
        <f t="shared" si="7"/>
        <v/>
      </c>
      <c r="C64" s="153">
        <f>IF(D11="","-",+C63+1)</f>
        <v>2064</v>
      </c>
      <c r="D64" s="159">
        <f>IF(F63+SUM(E$17:E63)=D$10,F63,D$10-SUM(E$17:E63))</f>
        <v>0</v>
      </c>
      <c r="E64" s="160">
        <f>IF(+I14&lt;F63,I14,D64)</f>
        <v>0</v>
      </c>
      <c r="F64" s="159">
        <f t="shared" si="4"/>
        <v>0</v>
      </c>
      <c r="G64" s="163">
        <f t="shared" si="8"/>
        <v>0</v>
      </c>
      <c r="H64" s="142">
        <f t="shared" si="9"/>
        <v>0</v>
      </c>
      <c r="I64" s="156">
        <f t="shared" si="3"/>
        <v>0</v>
      </c>
      <c r="J64" s="156"/>
      <c r="K64" s="334"/>
      <c r="L64" s="158">
        <f t="shared" si="0"/>
        <v>0</v>
      </c>
      <c r="M64" s="334"/>
      <c r="N64" s="158">
        <f t="shared" si="1"/>
        <v>0</v>
      </c>
      <c r="O64" s="158">
        <f t="shared" si="2"/>
        <v>0</v>
      </c>
      <c r="P64" s="4"/>
    </row>
    <row r="65" spans="2:16">
      <c r="B65" s="9" t="str">
        <f t="shared" si="7"/>
        <v/>
      </c>
      <c r="C65" s="153">
        <f>IF(D11="","-",+C64+1)</f>
        <v>2065</v>
      </c>
      <c r="D65" s="159">
        <f>IF(F64+SUM(E$17:E64)=D$10,F64,D$10-SUM(E$17:E64))</f>
        <v>0</v>
      </c>
      <c r="E65" s="160">
        <f>IF(+I14&lt;F64,I14,D65)</f>
        <v>0</v>
      </c>
      <c r="F65" s="159">
        <f t="shared" si="4"/>
        <v>0</v>
      </c>
      <c r="G65" s="163">
        <f t="shared" si="8"/>
        <v>0</v>
      </c>
      <c r="H65" s="142">
        <f t="shared" si="9"/>
        <v>0</v>
      </c>
      <c r="I65" s="156">
        <f t="shared" si="3"/>
        <v>0</v>
      </c>
      <c r="J65" s="156"/>
      <c r="K65" s="334"/>
      <c r="L65" s="158">
        <f t="shared" si="0"/>
        <v>0</v>
      </c>
      <c r="M65" s="334"/>
      <c r="N65" s="158">
        <f t="shared" si="1"/>
        <v>0</v>
      </c>
      <c r="O65" s="158">
        <f t="shared" si="2"/>
        <v>0</v>
      </c>
      <c r="P65" s="4"/>
    </row>
    <row r="66" spans="2:16">
      <c r="B66" s="9" t="str">
        <f t="shared" si="7"/>
        <v/>
      </c>
      <c r="C66" s="153">
        <f>IF(D11="","-",+C65+1)</f>
        <v>2066</v>
      </c>
      <c r="D66" s="159">
        <f>IF(F65+SUM(E$17:E65)=D$10,F65,D$10-SUM(E$17:E65))</f>
        <v>0</v>
      </c>
      <c r="E66" s="160">
        <f>IF(+I14&lt;F65,I14,D66)</f>
        <v>0</v>
      </c>
      <c r="F66" s="159">
        <f t="shared" si="4"/>
        <v>0</v>
      </c>
      <c r="G66" s="163">
        <f t="shared" si="8"/>
        <v>0</v>
      </c>
      <c r="H66" s="142">
        <f t="shared" si="9"/>
        <v>0</v>
      </c>
      <c r="I66" s="156">
        <f t="shared" si="3"/>
        <v>0</v>
      </c>
      <c r="J66" s="156"/>
      <c r="K66" s="334"/>
      <c r="L66" s="158">
        <f t="shared" si="0"/>
        <v>0</v>
      </c>
      <c r="M66" s="334"/>
      <c r="N66" s="158">
        <f t="shared" si="1"/>
        <v>0</v>
      </c>
      <c r="O66" s="158">
        <f t="shared" si="2"/>
        <v>0</v>
      </c>
      <c r="P66" s="4"/>
    </row>
    <row r="67" spans="2:16">
      <c r="B67" s="9" t="str">
        <f t="shared" si="7"/>
        <v/>
      </c>
      <c r="C67" s="153">
        <f>IF(D11="","-",+C66+1)</f>
        <v>2067</v>
      </c>
      <c r="D67" s="159">
        <f>IF(F66+SUM(E$17:E66)=D$10,F66,D$10-SUM(E$17:E66))</f>
        <v>0</v>
      </c>
      <c r="E67" s="160">
        <f>IF(+I14&lt;F66,I14,D67)</f>
        <v>0</v>
      </c>
      <c r="F67" s="159">
        <f t="shared" si="4"/>
        <v>0</v>
      </c>
      <c r="G67" s="163">
        <f t="shared" si="8"/>
        <v>0</v>
      </c>
      <c r="H67" s="142">
        <f t="shared" si="9"/>
        <v>0</v>
      </c>
      <c r="I67" s="156">
        <f t="shared" si="3"/>
        <v>0</v>
      </c>
      <c r="J67" s="156"/>
      <c r="K67" s="334"/>
      <c r="L67" s="158">
        <f t="shared" si="0"/>
        <v>0</v>
      </c>
      <c r="M67" s="334"/>
      <c r="N67" s="158">
        <f t="shared" si="1"/>
        <v>0</v>
      </c>
      <c r="O67" s="158">
        <f t="shared" si="2"/>
        <v>0</v>
      </c>
      <c r="P67" s="4"/>
    </row>
    <row r="68" spans="2:16">
      <c r="B68" s="9" t="str">
        <f t="shared" si="7"/>
        <v/>
      </c>
      <c r="C68" s="153">
        <f>IF(D11="","-",+C67+1)</f>
        <v>2068</v>
      </c>
      <c r="D68" s="159">
        <f>IF(F67+SUM(E$17:E67)=D$10,F67,D$10-SUM(E$17:E67))</f>
        <v>0</v>
      </c>
      <c r="E68" s="160">
        <f>IF(+I14&lt;F67,I14,D68)</f>
        <v>0</v>
      </c>
      <c r="F68" s="159">
        <f t="shared" si="4"/>
        <v>0</v>
      </c>
      <c r="G68" s="163">
        <f t="shared" si="8"/>
        <v>0</v>
      </c>
      <c r="H68" s="142">
        <f t="shared" si="9"/>
        <v>0</v>
      </c>
      <c r="I68" s="156">
        <f t="shared" si="3"/>
        <v>0</v>
      </c>
      <c r="J68" s="156"/>
      <c r="K68" s="334"/>
      <c r="L68" s="158">
        <f t="shared" si="0"/>
        <v>0</v>
      </c>
      <c r="M68" s="334"/>
      <c r="N68" s="158">
        <f t="shared" si="1"/>
        <v>0</v>
      </c>
      <c r="O68" s="158">
        <f t="shared" si="2"/>
        <v>0</v>
      </c>
      <c r="P68" s="4"/>
    </row>
    <row r="69" spans="2:16">
      <c r="B69" s="9" t="str">
        <f t="shared" si="7"/>
        <v/>
      </c>
      <c r="C69" s="153">
        <f>IF(D11="","-",+C68+1)</f>
        <v>2069</v>
      </c>
      <c r="D69" s="159">
        <f>IF(F68+SUM(E$17:E68)=D$10,F68,D$10-SUM(E$17:E68))</f>
        <v>0</v>
      </c>
      <c r="E69" s="160">
        <f>IF(+I14&lt;F68,I14,D69)</f>
        <v>0</v>
      </c>
      <c r="F69" s="159">
        <f t="shared" si="4"/>
        <v>0</v>
      </c>
      <c r="G69" s="163">
        <f t="shared" si="8"/>
        <v>0</v>
      </c>
      <c r="H69" s="142">
        <f t="shared" si="9"/>
        <v>0</v>
      </c>
      <c r="I69" s="156">
        <f t="shared" si="3"/>
        <v>0</v>
      </c>
      <c r="J69" s="156"/>
      <c r="K69" s="334"/>
      <c r="L69" s="158">
        <f t="shared" si="0"/>
        <v>0</v>
      </c>
      <c r="M69" s="334"/>
      <c r="N69" s="158">
        <f t="shared" si="1"/>
        <v>0</v>
      </c>
      <c r="O69" s="158">
        <f t="shared" si="2"/>
        <v>0</v>
      </c>
      <c r="P69" s="4"/>
    </row>
    <row r="70" spans="2:16">
      <c r="B70" s="9" t="str">
        <f t="shared" si="7"/>
        <v/>
      </c>
      <c r="C70" s="153">
        <f>IF(D11="","-",+C69+1)</f>
        <v>2070</v>
      </c>
      <c r="D70" s="159">
        <f>IF(F69+SUM(E$17:E69)=D$10,F69,D$10-SUM(E$17:E69))</f>
        <v>0</v>
      </c>
      <c r="E70" s="160">
        <f>IF(+I14&lt;F69,I14,D70)</f>
        <v>0</v>
      </c>
      <c r="F70" s="159">
        <f t="shared" si="4"/>
        <v>0</v>
      </c>
      <c r="G70" s="163">
        <f t="shared" si="8"/>
        <v>0</v>
      </c>
      <c r="H70" s="142">
        <f t="shared" si="9"/>
        <v>0</v>
      </c>
      <c r="I70" s="156">
        <f t="shared" si="3"/>
        <v>0</v>
      </c>
      <c r="J70" s="156"/>
      <c r="K70" s="334"/>
      <c r="L70" s="158">
        <f t="shared" si="0"/>
        <v>0</v>
      </c>
      <c r="M70" s="334"/>
      <c r="N70" s="158">
        <f t="shared" si="1"/>
        <v>0</v>
      </c>
      <c r="O70" s="158">
        <f t="shared" si="2"/>
        <v>0</v>
      </c>
      <c r="P70" s="4"/>
    </row>
    <row r="71" spans="2:16">
      <c r="B71" s="9" t="str">
        <f t="shared" si="7"/>
        <v/>
      </c>
      <c r="C71" s="153">
        <f>IF(D11="","-",+C70+1)</f>
        <v>2071</v>
      </c>
      <c r="D71" s="159">
        <f>IF(F70+SUM(E$17:E70)=D$10,F70,D$10-SUM(E$17:E70))</f>
        <v>0</v>
      </c>
      <c r="E71" s="160">
        <f>IF(+I14&lt;F70,I14,D71)</f>
        <v>0</v>
      </c>
      <c r="F71" s="159">
        <f t="shared" si="4"/>
        <v>0</v>
      </c>
      <c r="G71" s="163">
        <f t="shared" si="8"/>
        <v>0</v>
      </c>
      <c r="H71" s="142">
        <f t="shared" si="9"/>
        <v>0</v>
      </c>
      <c r="I71" s="156">
        <f t="shared" si="3"/>
        <v>0</v>
      </c>
      <c r="J71" s="156"/>
      <c r="K71" s="334"/>
      <c r="L71" s="158">
        <f t="shared" si="0"/>
        <v>0</v>
      </c>
      <c r="M71" s="334"/>
      <c r="N71" s="158">
        <f t="shared" si="1"/>
        <v>0</v>
      </c>
      <c r="O71" s="158">
        <f t="shared" si="2"/>
        <v>0</v>
      </c>
      <c r="P71" s="4"/>
    </row>
    <row r="72" spans="2:16" ht="13.5" thickBot="1">
      <c r="B72" s="9" t="str">
        <f t="shared" si="7"/>
        <v/>
      </c>
      <c r="C72" s="164">
        <f>IF(D11="","-",+C71+1)</f>
        <v>2072</v>
      </c>
      <c r="D72" s="165">
        <f>IF(F71+SUM(E$17:E71)=D$10,F71,D$10-SUM(E$17:E71))</f>
        <v>0</v>
      </c>
      <c r="E72" s="166">
        <f>IF(+I14&lt;F71,I14,D72)</f>
        <v>0</v>
      </c>
      <c r="F72" s="165">
        <f t="shared" si="4"/>
        <v>0</v>
      </c>
      <c r="G72" s="167">
        <f t="shared" si="8"/>
        <v>0</v>
      </c>
      <c r="H72" s="124">
        <f t="shared" si="9"/>
        <v>0</v>
      </c>
      <c r="I72" s="168">
        <f t="shared" si="3"/>
        <v>0</v>
      </c>
      <c r="J72" s="156"/>
      <c r="K72" s="335"/>
      <c r="L72" s="169">
        <f t="shared" si="0"/>
        <v>0</v>
      </c>
      <c r="M72" s="335"/>
      <c r="N72" s="169">
        <f t="shared" si="1"/>
        <v>0</v>
      </c>
      <c r="O72" s="169">
        <f t="shared" si="2"/>
        <v>0</v>
      </c>
      <c r="P72" s="4"/>
    </row>
    <row r="73" spans="2:16">
      <c r="C73" s="154" t="s">
        <v>73</v>
      </c>
      <c r="D73" s="111"/>
      <c r="E73" s="111">
        <f>SUM(E17:E72)</f>
        <v>9206275</v>
      </c>
      <c r="F73" s="111"/>
      <c r="G73" s="111">
        <f>SUM(G17:G72)</f>
        <v>28859222.812696662</v>
      </c>
      <c r="H73" s="111">
        <f>SUM(H17:H72)</f>
        <v>28859222.812696662</v>
      </c>
      <c r="I73" s="111">
        <f>SUM(I17:I72)</f>
        <v>0</v>
      </c>
      <c r="J73" s="111"/>
      <c r="K73" s="111"/>
      <c r="L73" s="111"/>
      <c r="M73" s="111"/>
      <c r="N73" s="111"/>
      <c r="O73" s="4"/>
      <c r="P73" s="4"/>
    </row>
    <row r="74" spans="2:16">
      <c r="D74" s="2"/>
      <c r="E74" s="1"/>
      <c r="F74" s="1"/>
      <c r="G74" s="1"/>
      <c r="H74" s="3"/>
      <c r="I74" s="3"/>
      <c r="J74" s="111"/>
      <c r="K74" s="3"/>
      <c r="L74" s="3"/>
      <c r="M74" s="3"/>
      <c r="N74" s="3"/>
      <c r="O74" s="1"/>
      <c r="P74" s="1"/>
    </row>
    <row r="75" spans="2:16">
      <c r="C75" s="170" t="s">
        <v>91</v>
      </c>
      <c r="D75" s="2"/>
      <c r="E75" s="1"/>
      <c r="F75" s="1"/>
      <c r="G75" s="1"/>
      <c r="H75" s="3"/>
      <c r="I75" s="3"/>
      <c r="J75" s="111"/>
      <c r="K75" s="3"/>
      <c r="L75" s="3"/>
      <c r="M75" s="3"/>
      <c r="N75" s="3"/>
      <c r="O75" s="1"/>
      <c r="P75" s="1"/>
    </row>
    <row r="76" spans="2:16">
      <c r="C76" s="121" t="s">
        <v>74</v>
      </c>
      <c r="D76" s="2"/>
      <c r="E76" s="1"/>
      <c r="F76" s="1"/>
      <c r="G76" s="1"/>
      <c r="H76" s="3"/>
      <c r="I76" s="3"/>
      <c r="J76" s="111"/>
      <c r="K76" s="3"/>
      <c r="L76" s="3"/>
      <c r="M76" s="3"/>
      <c r="N76" s="3"/>
      <c r="O76" s="4"/>
      <c r="P76" s="4"/>
    </row>
    <row r="77" spans="2:16">
      <c r="C77" s="121" t="s">
        <v>75</v>
      </c>
      <c r="D77" s="154"/>
      <c r="E77" s="154"/>
      <c r="F77" s="154"/>
      <c r="G77" s="111"/>
      <c r="H77" s="111"/>
      <c r="I77" s="171"/>
      <c r="J77" s="171"/>
      <c r="K77" s="171"/>
      <c r="L77" s="171"/>
      <c r="M77" s="171"/>
      <c r="N77" s="171"/>
      <c r="O77" s="4"/>
      <c r="P77" s="4"/>
    </row>
    <row r="78" spans="2:16">
      <c r="C78" s="121"/>
      <c r="D78" s="154"/>
      <c r="E78" s="154"/>
      <c r="F78" s="154"/>
      <c r="G78" s="111"/>
      <c r="H78" s="111"/>
      <c r="I78" s="171"/>
      <c r="J78" s="171"/>
      <c r="K78" s="171"/>
      <c r="L78" s="171"/>
      <c r="M78" s="171"/>
      <c r="N78" s="171"/>
      <c r="O78" s="4"/>
      <c r="P78" s="1"/>
    </row>
    <row r="79" spans="2:16">
      <c r="B79" s="1"/>
      <c r="C79" s="21"/>
      <c r="D79" s="2"/>
      <c r="E79" s="1"/>
      <c r="F79" s="107"/>
      <c r="G79" s="1"/>
      <c r="H79" s="3"/>
      <c r="I79" s="1"/>
      <c r="J79" s="4"/>
      <c r="K79" s="1"/>
      <c r="L79" s="1"/>
      <c r="M79" s="1"/>
      <c r="N79" s="1"/>
      <c r="O79" s="1"/>
      <c r="P79" s="1"/>
    </row>
    <row r="80" spans="2:16" ht="18">
      <c r="B80" s="1"/>
      <c r="C80" s="242"/>
      <c r="D80" s="2"/>
      <c r="E80" s="1"/>
      <c r="F80" s="107"/>
      <c r="G80" s="1"/>
      <c r="H80" s="3"/>
      <c r="I80" s="1"/>
      <c r="J80" s="4"/>
      <c r="K80" s="1"/>
      <c r="L80" s="1"/>
      <c r="M80" s="1"/>
      <c r="N80" s="1"/>
      <c r="P80" s="244" t="s">
        <v>125</v>
      </c>
    </row>
    <row r="81" spans="1:16">
      <c r="B81" s="1"/>
      <c r="C81" s="21"/>
      <c r="D81" s="2"/>
      <c r="E81" s="1"/>
      <c r="F81" s="107"/>
      <c r="G81" s="1"/>
      <c r="H81" s="3"/>
      <c r="I81" s="1"/>
      <c r="J81" s="4"/>
      <c r="K81" s="1"/>
      <c r="L81" s="1"/>
      <c r="M81" s="1"/>
      <c r="N81" s="1"/>
      <c r="O81" s="1"/>
      <c r="P81" s="1"/>
    </row>
    <row r="82" spans="1:16">
      <c r="B82" s="1"/>
      <c r="C82" s="21"/>
      <c r="D82" s="2"/>
      <c r="E82" s="1"/>
      <c r="F82" s="107"/>
      <c r="G82" s="1"/>
      <c r="H82" s="3"/>
      <c r="I82" s="1"/>
      <c r="J82" s="4"/>
      <c r="K82" s="1"/>
      <c r="L82" s="1"/>
      <c r="M82" s="1"/>
      <c r="N82" s="1"/>
      <c r="O82" s="1"/>
      <c r="P82" s="1"/>
    </row>
    <row r="83" spans="1:16" ht="20.25">
      <c r="A83" s="243" t="s">
        <v>129</v>
      </c>
      <c r="B83" s="1"/>
      <c r="C83" s="21"/>
      <c r="D83" s="2"/>
      <c r="E83" s="1"/>
      <c r="F83" s="99"/>
      <c r="G83" s="99"/>
      <c r="H83" s="1"/>
      <c r="I83" s="3"/>
      <c r="K83" s="7"/>
      <c r="L83" s="109"/>
      <c r="M83" s="109"/>
      <c r="P83" s="109" t="str">
        <f ca="1">P1</f>
        <v>SWEPCO Project 67 of 73</v>
      </c>
    </row>
    <row r="84" spans="1:16" ht="18">
      <c r="B84" s="1"/>
      <c r="C84" s="1"/>
      <c r="D84" s="2"/>
      <c r="E84" s="1"/>
      <c r="F84" s="1"/>
      <c r="G84" s="1"/>
      <c r="H84" s="1"/>
      <c r="I84" s="3"/>
      <c r="J84" s="1"/>
      <c r="K84" s="4"/>
      <c r="L84" s="1"/>
      <c r="M84" s="1"/>
      <c r="P84" s="244" t="s">
        <v>123</v>
      </c>
    </row>
    <row r="85" spans="1:16" ht="18.75" thickBot="1">
      <c r="B85" s="5" t="s">
        <v>40</v>
      </c>
      <c r="C85" s="197" t="s">
        <v>78</v>
      </c>
      <c r="D85" s="2"/>
      <c r="E85" s="1"/>
      <c r="F85" s="1"/>
      <c r="G85" s="1"/>
      <c r="H85" s="1"/>
      <c r="I85" s="3"/>
      <c r="J85" s="3"/>
      <c r="K85" s="111"/>
      <c r="L85" s="3"/>
      <c r="M85" s="3"/>
      <c r="N85" s="3"/>
      <c r="O85" s="111"/>
      <c r="P85" s="1"/>
    </row>
    <row r="86" spans="1:16" ht="15.75" thickBot="1">
      <c r="C86" s="67"/>
      <c r="D86" s="2"/>
      <c r="E86" s="1"/>
      <c r="F86" s="1"/>
      <c r="G86" s="1"/>
      <c r="H86" s="1"/>
      <c r="I86" s="3"/>
      <c r="J86" s="3"/>
      <c r="K86" s="111"/>
      <c r="L86" s="265">
        <f>+J92</f>
        <v>2017</v>
      </c>
      <c r="M86" s="266" t="s">
        <v>7</v>
      </c>
      <c r="N86" s="270" t="s">
        <v>154</v>
      </c>
      <c r="O86" s="267" t="s">
        <v>9</v>
      </c>
      <c r="P86" s="1"/>
    </row>
    <row r="87" spans="1:16" ht="15">
      <c r="C87" s="235" t="s">
        <v>42</v>
      </c>
      <c r="D87" s="2"/>
      <c r="E87" s="1"/>
      <c r="F87" s="1"/>
      <c r="G87" s="1"/>
      <c r="H87" s="113"/>
      <c r="I87" s="1" t="s">
        <v>43</v>
      </c>
      <c r="J87" s="1"/>
      <c r="K87" s="261"/>
      <c r="L87" s="259" t="s">
        <v>381</v>
      </c>
      <c r="M87" s="198">
        <f>IF(J92&lt;D11,0,VLOOKUP(J92,C17:O72,9))</f>
        <v>720921.93663194391</v>
      </c>
      <c r="N87" s="198">
        <f>IF(J92&lt;D11,0,VLOOKUP(J92,C17:O72,11))</f>
        <v>720921.93663194391</v>
      </c>
      <c r="O87" s="199">
        <f>+N87-M87</f>
        <v>0</v>
      </c>
      <c r="P87" s="1"/>
    </row>
    <row r="88" spans="1:16" ht="15.75">
      <c r="C88" s="8"/>
      <c r="D88" s="2"/>
      <c r="E88" s="1"/>
      <c r="F88" s="1"/>
      <c r="G88" s="1"/>
      <c r="H88" s="1"/>
      <c r="I88" s="117"/>
      <c r="J88" s="117"/>
      <c r="K88" s="263"/>
      <c r="L88" s="264" t="s">
        <v>382</v>
      </c>
      <c r="M88" s="200">
        <f>IF(J92&lt;D11,0,VLOOKUP(J92,C99:P154,6))</f>
        <v>818789.20929668087</v>
      </c>
      <c r="N88" s="200">
        <f>IF(J92&lt;D11,0,VLOOKUP(J92,C99:P154,7))</f>
        <v>818789.20929668087</v>
      </c>
      <c r="O88" s="201">
        <f>+N88-M88</f>
        <v>0</v>
      </c>
      <c r="P88" s="1"/>
    </row>
    <row r="89" spans="1:16" ht="13.5" thickBot="1">
      <c r="C89" s="121" t="s">
        <v>79</v>
      </c>
      <c r="D89" s="246" t="str">
        <f>+D7</f>
        <v>Chamber Springs - Farmington 161 kV Line</v>
      </c>
      <c r="E89" s="1"/>
      <c r="F89" s="1"/>
      <c r="G89" s="1"/>
      <c r="H89" s="1"/>
      <c r="I89" s="3"/>
      <c r="J89" s="3"/>
      <c r="K89" s="262"/>
      <c r="L89" s="260" t="s">
        <v>151</v>
      </c>
      <c r="M89" s="203">
        <f>+M88-M87</f>
        <v>97867.272664736956</v>
      </c>
      <c r="N89" s="203">
        <f>+N88-N87</f>
        <v>97867.272664736956</v>
      </c>
      <c r="O89" s="204">
        <f>+O88-O87</f>
        <v>0</v>
      </c>
      <c r="P89" s="1"/>
    </row>
    <row r="90" spans="1:16" ht="13.5" thickBot="1">
      <c r="C90" s="170"/>
      <c r="D90" s="173" t="str">
        <f>D8</f>
        <v/>
      </c>
      <c r="E90" s="107"/>
      <c r="F90" s="107"/>
      <c r="G90" s="107"/>
      <c r="H90" s="126"/>
      <c r="I90" s="3"/>
      <c r="J90" s="3"/>
      <c r="K90" s="111"/>
      <c r="L90" s="3"/>
      <c r="M90" s="3"/>
      <c r="N90" s="3"/>
      <c r="O90" s="111"/>
      <c r="P90" s="1"/>
    </row>
    <row r="91" spans="1:16" ht="13.5" thickBot="1">
      <c r="A91" s="103"/>
      <c r="C91" s="205" t="s">
        <v>80</v>
      </c>
      <c r="D91" s="224" t="str">
        <f>+D9</f>
        <v>TP______</v>
      </c>
      <c r="E91" s="206"/>
      <c r="F91" s="206"/>
      <c r="G91" s="206"/>
      <c r="H91" s="206"/>
      <c r="I91" s="206"/>
      <c r="J91" s="206"/>
      <c r="K91" s="207"/>
      <c r="P91" s="131"/>
    </row>
    <row r="92" spans="1:16">
      <c r="C92" s="136" t="s">
        <v>47</v>
      </c>
      <c r="D92" s="218">
        <v>10563890</v>
      </c>
      <c r="E92" s="21" t="s">
        <v>81</v>
      </c>
      <c r="H92" s="134"/>
      <c r="I92" s="134"/>
      <c r="J92" s="135">
        <f>+'SWE.WS.G.BPU.ATRR.True-up'!M15</f>
        <v>2017</v>
      </c>
      <c r="K92" s="130"/>
      <c r="L92" s="111" t="s">
        <v>82</v>
      </c>
      <c r="P92" s="4"/>
    </row>
    <row r="93" spans="1:16">
      <c r="C93" s="136" t="s">
        <v>49</v>
      </c>
      <c r="D93" s="219">
        <f>IF(D11=I10,"",D11)</f>
        <v>2017</v>
      </c>
      <c r="E93" s="136" t="s">
        <v>50</v>
      </c>
      <c r="F93" s="134"/>
      <c r="G93" s="134"/>
      <c r="J93" s="138">
        <f>IF(H87="",0,'SWE.WS.G.BPU.ATRR.True-up'!$F$12)</f>
        <v>0</v>
      </c>
      <c r="K93" s="139"/>
      <c r="L93" t="str">
        <f>"          INPUT TRUE-UP ARR (WITH &amp; WITHOUT INCENTIVES) FROM EACH PRIOR YEAR"</f>
        <v xml:space="preserve">          INPUT TRUE-UP ARR (WITH &amp; WITHOUT INCENTIVES) FROM EACH PRIOR YEAR</v>
      </c>
      <c r="P93" s="4"/>
    </row>
    <row r="94" spans="1:16">
      <c r="C94" s="136" t="s">
        <v>51</v>
      </c>
      <c r="D94" s="218">
        <f>IF(D11=I10,"",D12)</f>
        <v>3</v>
      </c>
      <c r="E94" s="136" t="s">
        <v>52</v>
      </c>
      <c r="F94" s="134"/>
      <c r="G94" s="134"/>
      <c r="J94" s="140">
        <f>'SWE.WS.G.BPU.ATRR.True-up'!$F$80</f>
        <v>0.12147145768398206</v>
      </c>
      <c r="K94" s="141"/>
      <c r="L94" t="s">
        <v>83</v>
      </c>
      <c r="P94" s="4"/>
    </row>
    <row r="95" spans="1:16">
      <c r="C95" s="136" t="s">
        <v>54</v>
      </c>
      <c r="D95" s="138">
        <f>'SWE.WS.G.BPU.ATRR.True-up'!F$92</f>
        <v>42</v>
      </c>
      <c r="E95" s="136" t="s">
        <v>55</v>
      </c>
      <c r="F95" s="134"/>
      <c r="G95" s="134"/>
      <c r="J95" s="140">
        <f>IF(H87="",J94,'SWE.WS.G.BPU.ATRR.True-up'!$F$79)</f>
        <v>0.12147145768398206</v>
      </c>
      <c r="K95" s="58"/>
      <c r="L95" s="111" t="s">
        <v>56</v>
      </c>
      <c r="M95" s="58"/>
      <c r="N95" s="58"/>
      <c r="O95" s="58"/>
      <c r="P95" s="4"/>
    </row>
    <row r="96" spans="1:16" ht="13.5" thickBot="1">
      <c r="C96" s="136" t="s">
        <v>57</v>
      </c>
      <c r="D96" s="220" t="str">
        <f>+D14</f>
        <v>No</v>
      </c>
      <c r="E96" s="202" t="s">
        <v>59</v>
      </c>
      <c r="F96" s="208"/>
      <c r="G96" s="208"/>
      <c r="H96" s="209"/>
      <c r="I96" s="209"/>
      <c r="J96" s="124">
        <f>IF(D92=0,0,D92/D95)</f>
        <v>251521.19047619047</v>
      </c>
      <c r="K96" s="111"/>
      <c r="L96" s="111"/>
      <c r="M96" s="111"/>
      <c r="N96" s="111"/>
      <c r="O96" s="111"/>
      <c r="P96" s="4"/>
    </row>
    <row r="97" spans="1:16" ht="38.25">
      <c r="A97" s="6"/>
      <c r="B97" s="6"/>
      <c r="C97" s="210" t="s">
        <v>47</v>
      </c>
      <c r="D97" s="211" t="s">
        <v>60</v>
      </c>
      <c r="E97" s="146" t="s">
        <v>61</v>
      </c>
      <c r="F97" s="146" t="s">
        <v>62</v>
      </c>
      <c r="G97" s="144" t="s">
        <v>84</v>
      </c>
      <c r="H97" s="434" t="s">
        <v>378</v>
      </c>
      <c r="I97" s="435" t="s">
        <v>379</v>
      </c>
      <c r="J97" s="210" t="s">
        <v>85</v>
      </c>
      <c r="K97" s="212"/>
      <c r="L97" s="271" t="s">
        <v>220</v>
      </c>
      <c r="M97" s="146" t="s">
        <v>86</v>
      </c>
      <c r="N97" s="271" t="s">
        <v>220</v>
      </c>
      <c r="O97" s="146" t="s">
        <v>86</v>
      </c>
      <c r="P97" s="146" t="s">
        <v>65</v>
      </c>
    </row>
    <row r="98" spans="1:16" ht="13.5" thickBot="1">
      <c r="C98" s="147" t="s">
        <v>66</v>
      </c>
      <c r="D98" s="213" t="s">
        <v>67</v>
      </c>
      <c r="E98" s="147" t="s">
        <v>68</v>
      </c>
      <c r="F98" s="147" t="s">
        <v>67</v>
      </c>
      <c r="G98" s="147" t="s">
        <v>67</v>
      </c>
      <c r="H98" s="255" t="s">
        <v>69</v>
      </c>
      <c r="I98" s="148" t="s">
        <v>70</v>
      </c>
      <c r="J98" s="149" t="s">
        <v>89</v>
      </c>
      <c r="K98" s="150"/>
      <c r="L98" s="151" t="s">
        <v>72</v>
      </c>
      <c r="M98" s="151" t="s">
        <v>72</v>
      </c>
      <c r="N98" s="151" t="s">
        <v>90</v>
      </c>
      <c r="O98" s="151" t="s">
        <v>90</v>
      </c>
      <c r="P98" s="151" t="s">
        <v>90</v>
      </c>
    </row>
    <row r="99" spans="1:16">
      <c r="C99" s="153">
        <f>IF(D93= "","-",D93)</f>
        <v>2017</v>
      </c>
      <c r="D99" s="154">
        <f>IF(D93=C99,0,D92)</f>
        <v>0</v>
      </c>
      <c r="E99" s="161">
        <f>IF(D11=I10,0,J96/12*(12-D94))</f>
        <v>188640.89285714284</v>
      </c>
      <c r="F99" s="159">
        <f>IF(D93=C99,+D92-E99,+D99-E99)</f>
        <v>10375249.107142856</v>
      </c>
      <c r="G99" s="214">
        <f t="shared" ref="G99:G130" si="10">+(F99+D99)/2</f>
        <v>5187624.5535714282</v>
      </c>
      <c r="H99" s="251">
        <f>+J94*G99+E99</f>
        <v>818789.20929668087</v>
      </c>
      <c r="I99" s="252">
        <f>+J95*G99+E99</f>
        <v>818789.20929668087</v>
      </c>
      <c r="J99" s="158">
        <f t="shared" ref="J99:J130" si="11">+I99-H99</f>
        <v>0</v>
      </c>
      <c r="K99" s="158"/>
      <c r="L99" s="333"/>
      <c r="M99" s="157">
        <f t="shared" ref="M99:M130" si="12">IF(L99&lt;&gt;0,+H99-L99,0)</f>
        <v>0</v>
      </c>
      <c r="N99" s="333"/>
      <c r="O99" s="157">
        <f t="shared" ref="O99:O130" si="13">IF(N99&lt;&gt;0,+I99-N99,0)</f>
        <v>0</v>
      </c>
      <c r="P99" s="157">
        <f t="shared" ref="P99:P130" si="14">+O99-M99</f>
        <v>0</v>
      </c>
    </row>
    <row r="100" spans="1:16">
      <c r="B100" s="9" t="str">
        <f>IF(D100=F99,"","IU")</f>
        <v/>
      </c>
      <c r="C100" s="153">
        <f>IF(D93="","-",+C99+1)</f>
        <v>2018</v>
      </c>
      <c r="D100" s="154">
        <f>IF(F99+SUM(E$99:E99)=D$92,F99,D$92-SUM(E$99:E99))</f>
        <v>10375249.107142856</v>
      </c>
      <c r="E100" s="160">
        <f>IF(+J96&lt;F99,J96,D100)</f>
        <v>251521.19047619047</v>
      </c>
      <c r="F100" s="159">
        <f t="shared" ref="F100:F130" si="15">+D100-E100</f>
        <v>10123727.916666666</v>
      </c>
      <c r="G100" s="159">
        <f t="shared" si="10"/>
        <v>10249488.511904761</v>
      </c>
      <c r="H100" s="163">
        <f t="shared" ref="H100:H154" si="16">+J$94*G100+E100</f>
        <v>1496541.50053249</v>
      </c>
      <c r="I100" s="253">
        <f t="shared" ref="I100:I154" si="17">+J$95*G100+E100</f>
        <v>1496541.50053249</v>
      </c>
      <c r="J100" s="158">
        <f t="shared" si="11"/>
        <v>0</v>
      </c>
      <c r="K100" s="158"/>
      <c r="L100" s="334"/>
      <c r="M100" s="158">
        <f t="shared" si="12"/>
        <v>0</v>
      </c>
      <c r="N100" s="334"/>
      <c r="O100" s="158">
        <f t="shared" si="13"/>
        <v>0</v>
      </c>
      <c r="P100" s="158">
        <f t="shared" si="14"/>
        <v>0</v>
      </c>
    </row>
    <row r="101" spans="1:16">
      <c r="B101" s="9" t="str">
        <f t="shared" ref="B101:B154" si="18">IF(D101=F100,"","IU")</f>
        <v/>
      </c>
      <c r="C101" s="153">
        <f>IF(D93="","-",+C100+1)</f>
        <v>2019</v>
      </c>
      <c r="D101" s="154">
        <f>IF(F100+SUM(E$99:E100)=D$92,F100,D$92-SUM(E$99:E100))</f>
        <v>10123727.916666666</v>
      </c>
      <c r="E101" s="160">
        <f>IF(+J96&lt;F100,J96,D101)</f>
        <v>251521.19047619047</v>
      </c>
      <c r="F101" s="159">
        <f t="shared" si="15"/>
        <v>9872206.7261904757</v>
      </c>
      <c r="G101" s="159">
        <f t="shared" si="10"/>
        <v>9997967.3214285709</v>
      </c>
      <c r="H101" s="163">
        <f t="shared" si="16"/>
        <v>1465988.8548869367</v>
      </c>
      <c r="I101" s="253">
        <f t="shared" si="17"/>
        <v>1465988.8548869367</v>
      </c>
      <c r="J101" s="158">
        <f t="shared" si="11"/>
        <v>0</v>
      </c>
      <c r="K101" s="158"/>
      <c r="L101" s="334"/>
      <c r="M101" s="158">
        <f t="shared" si="12"/>
        <v>0</v>
      </c>
      <c r="N101" s="334"/>
      <c r="O101" s="158">
        <f t="shared" si="13"/>
        <v>0</v>
      </c>
      <c r="P101" s="158">
        <f t="shared" si="14"/>
        <v>0</v>
      </c>
    </row>
    <row r="102" spans="1:16">
      <c r="B102" s="9" t="str">
        <f t="shared" si="18"/>
        <v/>
      </c>
      <c r="C102" s="153">
        <f>IF(D93="","-",+C101+1)</f>
        <v>2020</v>
      </c>
      <c r="D102" s="154">
        <f>IF(F101+SUM(E$99:E101)=D$92,F101,D$92-SUM(E$99:E101))</f>
        <v>9872206.7261904757</v>
      </c>
      <c r="E102" s="160">
        <f>IF(+J96&lt;F101,J96,D102)</f>
        <v>251521.19047619047</v>
      </c>
      <c r="F102" s="159">
        <f t="shared" si="15"/>
        <v>9620685.5357142854</v>
      </c>
      <c r="G102" s="159">
        <f t="shared" si="10"/>
        <v>9746446.1309523806</v>
      </c>
      <c r="H102" s="163">
        <f t="shared" si="16"/>
        <v>1435436.2092413832</v>
      </c>
      <c r="I102" s="253">
        <f t="shared" si="17"/>
        <v>1435436.2092413832</v>
      </c>
      <c r="J102" s="158">
        <f t="shared" si="11"/>
        <v>0</v>
      </c>
      <c r="K102" s="158"/>
      <c r="L102" s="334"/>
      <c r="M102" s="158">
        <f t="shared" si="12"/>
        <v>0</v>
      </c>
      <c r="N102" s="334"/>
      <c r="O102" s="158">
        <f t="shared" si="13"/>
        <v>0</v>
      </c>
      <c r="P102" s="158">
        <f t="shared" si="14"/>
        <v>0</v>
      </c>
    </row>
    <row r="103" spans="1:16">
      <c r="B103" s="9" t="str">
        <f t="shared" si="18"/>
        <v/>
      </c>
      <c r="C103" s="153">
        <f>IF(D93="","-",+C102+1)</f>
        <v>2021</v>
      </c>
      <c r="D103" s="154">
        <f>IF(F102+SUM(E$99:E102)=D$92,F102,D$92-SUM(E$99:E102))</f>
        <v>9620685.5357142854</v>
      </c>
      <c r="E103" s="160">
        <f>IF(+J96&lt;F102,J96,D103)</f>
        <v>251521.19047619047</v>
      </c>
      <c r="F103" s="159">
        <f t="shared" si="15"/>
        <v>9369164.3452380951</v>
      </c>
      <c r="G103" s="159">
        <f t="shared" si="10"/>
        <v>9494924.9404761903</v>
      </c>
      <c r="H103" s="163">
        <f t="shared" si="16"/>
        <v>1404883.56359583</v>
      </c>
      <c r="I103" s="253">
        <f t="shared" si="17"/>
        <v>1404883.56359583</v>
      </c>
      <c r="J103" s="158">
        <f t="shared" si="11"/>
        <v>0</v>
      </c>
      <c r="K103" s="158"/>
      <c r="L103" s="334"/>
      <c r="M103" s="158">
        <f t="shared" si="12"/>
        <v>0</v>
      </c>
      <c r="N103" s="334"/>
      <c r="O103" s="158">
        <f t="shared" si="13"/>
        <v>0</v>
      </c>
      <c r="P103" s="158">
        <f t="shared" si="14"/>
        <v>0</v>
      </c>
    </row>
    <row r="104" spans="1:16">
      <c r="B104" s="9" t="str">
        <f t="shared" si="18"/>
        <v/>
      </c>
      <c r="C104" s="153">
        <f>IF(D93="","-",+C103+1)</f>
        <v>2022</v>
      </c>
      <c r="D104" s="154">
        <f>IF(F103+SUM(E$99:E103)=D$92,F103,D$92-SUM(E$99:E103))</f>
        <v>9369164.3452380951</v>
      </c>
      <c r="E104" s="160">
        <f>IF(+J96&lt;F103,J96,D104)</f>
        <v>251521.19047619047</v>
      </c>
      <c r="F104" s="159">
        <f t="shared" si="15"/>
        <v>9117643.1547619049</v>
      </c>
      <c r="G104" s="159">
        <f t="shared" si="10"/>
        <v>9243403.75</v>
      </c>
      <c r="H104" s="163">
        <f t="shared" si="16"/>
        <v>1374330.9179502765</v>
      </c>
      <c r="I104" s="253">
        <f t="shared" si="17"/>
        <v>1374330.9179502765</v>
      </c>
      <c r="J104" s="158">
        <f t="shared" si="11"/>
        <v>0</v>
      </c>
      <c r="K104" s="158"/>
      <c r="L104" s="334"/>
      <c r="M104" s="158">
        <f t="shared" si="12"/>
        <v>0</v>
      </c>
      <c r="N104" s="334"/>
      <c r="O104" s="158">
        <f t="shared" si="13"/>
        <v>0</v>
      </c>
      <c r="P104" s="158">
        <f t="shared" si="14"/>
        <v>0</v>
      </c>
    </row>
    <row r="105" spans="1:16">
      <c r="B105" s="9" t="str">
        <f t="shared" si="18"/>
        <v/>
      </c>
      <c r="C105" s="153">
        <f>IF(D93="","-",+C104+1)</f>
        <v>2023</v>
      </c>
      <c r="D105" s="154">
        <f>IF(F104+SUM(E$99:E104)=D$92,F104,D$92-SUM(E$99:E104))</f>
        <v>9117643.1547619049</v>
      </c>
      <c r="E105" s="160">
        <f>IF(+J96&lt;F104,J96,D105)</f>
        <v>251521.19047619047</v>
      </c>
      <c r="F105" s="159">
        <f t="shared" si="15"/>
        <v>8866121.9642857146</v>
      </c>
      <c r="G105" s="159">
        <f t="shared" si="10"/>
        <v>8991882.5595238097</v>
      </c>
      <c r="H105" s="163">
        <f t="shared" si="16"/>
        <v>1343778.2723047233</v>
      </c>
      <c r="I105" s="253">
        <f t="shared" si="17"/>
        <v>1343778.2723047233</v>
      </c>
      <c r="J105" s="158">
        <f t="shared" si="11"/>
        <v>0</v>
      </c>
      <c r="K105" s="158"/>
      <c r="L105" s="334"/>
      <c r="M105" s="158">
        <f t="shared" si="12"/>
        <v>0</v>
      </c>
      <c r="N105" s="334"/>
      <c r="O105" s="158">
        <f t="shared" si="13"/>
        <v>0</v>
      </c>
      <c r="P105" s="158">
        <f t="shared" si="14"/>
        <v>0</v>
      </c>
    </row>
    <row r="106" spans="1:16">
      <c r="B106" s="9" t="str">
        <f t="shared" si="18"/>
        <v/>
      </c>
      <c r="C106" s="153">
        <f>IF(D93="","-",+C105+1)</f>
        <v>2024</v>
      </c>
      <c r="D106" s="154">
        <f>IF(F105+SUM(E$99:E105)=D$92,F105,D$92-SUM(E$99:E105))</f>
        <v>8866121.9642857146</v>
      </c>
      <c r="E106" s="160">
        <f>IF(+J96&lt;F105,J96,D106)</f>
        <v>251521.19047619047</v>
      </c>
      <c r="F106" s="159">
        <f t="shared" si="15"/>
        <v>8614600.7738095243</v>
      </c>
      <c r="G106" s="159">
        <f t="shared" si="10"/>
        <v>8740361.3690476194</v>
      </c>
      <c r="H106" s="163">
        <f t="shared" si="16"/>
        <v>1313225.6266591698</v>
      </c>
      <c r="I106" s="253">
        <f t="shared" si="17"/>
        <v>1313225.6266591698</v>
      </c>
      <c r="J106" s="158">
        <f t="shared" si="11"/>
        <v>0</v>
      </c>
      <c r="K106" s="158"/>
      <c r="L106" s="334"/>
      <c r="M106" s="158">
        <f t="shared" si="12"/>
        <v>0</v>
      </c>
      <c r="N106" s="334"/>
      <c r="O106" s="158">
        <f t="shared" si="13"/>
        <v>0</v>
      </c>
      <c r="P106" s="158">
        <f t="shared" si="14"/>
        <v>0</v>
      </c>
    </row>
    <row r="107" spans="1:16">
      <c r="B107" s="9" t="str">
        <f t="shared" si="18"/>
        <v/>
      </c>
      <c r="C107" s="153">
        <f>IF(D93="","-",+C106+1)</f>
        <v>2025</v>
      </c>
      <c r="D107" s="154">
        <f>IF(F106+SUM(E$99:E106)=D$92,F106,D$92-SUM(E$99:E106))</f>
        <v>8614600.7738095243</v>
      </c>
      <c r="E107" s="160">
        <f>IF(+J96&lt;F106,J96,D107)</f>
        <v>251521.19047619047</v>
      </c>
      <c r="F107" s="159">
        <f t="shared" si="15"/>
        <v>8363079.583333334</v>
      </c>
      <c r="G107" s="159">
        <f t="shared" si="10"/>
        <v>8488840.1785714291</v>
      </c>
      <c r="H107" s="163">
        <f t="shared" si="16"/>
        <v>1282672.9810136165</v>
      </c>
      <c r="I107" s="253">
        <f t="shared" si="17"/>
        <v>1282672.9810136165</v>
      </c>
      <c r="J107" s="158">
        <f t="shared" si="11"/>
        <v>0</v>
      </c>
      <c r="K107" s="158"/>
      <c r="L107" s="334"/>
      <c r="M107" s="158">
        <f t="shared" si="12"/>
        <v>0</v>
      </c>
      <c r="N107" s="334"/>
      <c r="O107" s="158">
        <f t="shared" si="13"/>
        <v>0</v>
      </c>
      <c r="P107" s="158">
        <f t="shared" si="14"/>
        <v>0</v>
      </c>
    </row>
    <row r="108" spans="1:16">
      <c r="B108" s="9" t="str">
        <f t="shared" si="18"/>
        <v/>
      </c>
      <c r="C108" s="153">
        <f>IF(D93="","-",+C107+1)</f>
        <v>2026</v>
      </c>
      <c r="D108" s="154">
        <f>IF(F107+SUM(E$99:E107)=D$92,F107,D$92-SUM(E$99:E107))</f>
        <v>8363079.583333334</v>
      </c>
      <c r="E108" s="160">
        <f>IF(+J96&lt;F107,J96,D108)</f>
        <v>251521.19047619047</v>
      </c>
      <c r="F108" s="159">
        <f t="shared" si="15"/>
        <v>8111558.3928571437</v>
      </c>
      <c r="G108" s="159">
        <f t="shared" si="10"/>
        <v>8237318.9880952388</v>
      </c>
      <c r="H108" s="163">
        <f t="shared" si="16"/>
        <v>1252120.3353680631</v>
      </c>
      <c r="I108" s="253">
        <f t="shared" si="17"/>
        <v>1252120.3353680631</v>
      </c>
      <c r="J108" s="158">
        <f t="shared" si="11"/>
        <v>0</v>
      </c>
      <c r="K108" s="158"/>
      <c r="L108" s="334"/>
      <c r="M108" s="158">
        <f t="shared" si="12"/>
        <v>0</v>
      </c>
      <c r="N108" s="334"/>
      <c r="O108" s="158">
        <f t="shared" si="13"/>
        <v>0</v>
      </c>
      <c r="P108" s="158">
        <f t="shared" si="14"/>
        <v>0</v>
      </c>
    </row>
    <row r="109" spans="1:16">
      <c r="B109" s="9" t="str">
        <f t="shared" si="18"/>
        <v/>
      </c>
      <c r="C109" s="153">
        <f>IF(D93="","-",+C108+1)</f>
        <v>2027</v>
      </c>
      <c r="D109" s="154">
        <f>IF(F108+SUM(E$99:E108)=D$92,F108,D$92-SUM(E$99:E108))</f>
        <v>8111558.3928571437</v>
      </c>
      <c r="E109" s="160">
        <f>IF(+J96&lt;F108,J96,D109)</f>
        <v>251521.19047619047</v>
      </c>
      <c r="F109" s="159">
        <f t="shared" si="15"/>
        <v>7860037.2023809534</v>
      </c>
      <c r="G109" s="159">
        <f t="shared" si="10"/>
        <v>7985797.7976190485</v>
      </c>
      <c r="H109" s="163">
        <f t="shared" si="16"/>
        <v>1221567.6897225098</v>
      </c>
      <c r="I109" s="253">
        <f t="shared" si="17"/>
        <v>1221567.6897225098</v>
      </c>
      <c r="J109" s="158">
        <f t="shared" si="11"/>
        <v>0</v>
      </c>
      <c r="K109" s="158"/>
      <c r="L109" s="334"/>
      <c r="M109" s="158">
        <f t="shared" si="12"/>
        <v>0</v>
      </c>
      <c r="N109" s="334"/>
      <c r="O109" s="158">
        <f t="shared" si="13"/>
        <v>0</v>
      </c>
      <c r="P109" s="158">
        <f t="shared" si="14"/>
        <v>0</v>
      </c>
    </row>
    <row r="110" spans="1:16">
      <c r="B110" s="9" t="str">
        <f t="shared" si="18"/>
        <v/>
      </c>
      <c r="C110" s="153">
        <f>IF(D93="","-",+C109+1)</f>
        <v>2028</v>
      </c>
      <c r="D110" s="154">
        <f>IF(F109+SUM(E$99:E109)=D$92,F109,D$92-SUM(E$99:E109))</f>
        <v>7860037.2023809534</v>
      </c>
      <c r="E110" s="160">
        <f>IF(+J96&lt;F109,J96,D110)</f>
        <v>251521.19047619047</v>
      </c>
      <c r="F110" s="159">
        <f t="shared" si="15"/>
        <v>7608516.0119047631</v>
      </c>
      <c r="G110" s="159">
        <f t="shared" si="10"/>
        <v>7734276.6071428582</v>
      </c>
      <c r="H110" s="163">
        <f t="shared" si="16"/>
        <v>1191015.0440769566</v>
      </c>
      <c r="I110" s="253">
        <f t="shared" si="17"/>
        <v>1191015.0440769566</v>
      </c>
      <c r="J110" s="158">
        <f t="shared" si="11"/>
        <v>0</v>
      </c>
      <c r="K110" s="158"/>
      <c r="L110" s="334"/>
      <c r="M110" s="158">
        <f t="shared" si="12"/>
        <v>0</v>
      </c>
      <c r="N110" s="334"/>
      <c r="O110" s="158">
        <f t="shared" si="13"/>
        <v>0</v>
      </c>
      <c r="P110" s="158">
        <f t="shared" si="14"/>
        <v>0</v>
      </c>
    </row>
    <row r="111" spans="1:16">
      <c r="B111" s="9" t="str">
        <f t="shared" si="18"/>
        <v/>
      </c>
      <c r="C111" s="153">
        <f>IF(D93="","-",+C110+1)</f>
        <v>2029</v>
      </c>
      <c r="D111" s="154">
        <f>IF(F110+SUM(E$99:E110)=D$92,F110,D$92-SUM(E$99:E110))</f>
        <v>7608516.0119047631</v>
      </c>
      <c r="E111" s="160">
        <f>IF(+J96&lt;F110,J96,D111)</f>
        <v>251521.19047619047</v>
      </c>
      <c r="F111" s="159">
        <f t="shared" si="15"/>
        <v>7356994.8214285728</v>
      </c>
      <c r="G111" s="159">
        <f t="shared" si="10"/>
        <v>7482755.4166666679</v>
      </c>
      <c r="H111" s="163">
        <f t="shared" si="16"/>
        <v>1160462.3984314031</v>
      </c>
      <c r="I111" s="253">
        <f t="shared" si="17"/>
        <v>1160462.3984314031</v>
      </c>
      <c r="J111" s="158">
        <f t="shared" si="11"/>
        <v>0</v>
      </c>
      <c r="K111" s="158"/>
      <c r="L111" s="334"/>
      <c r="M111" s="158">
        <f t="shared" si="12"/>
        <v>0</v>
      </c>
      <c r="N111" s="334"/>
      <c r="O111" s="158">
        <f t="shared" si="13"/>
        <v>0</v>
      </c>
      <c r="P111" s="158">
        <f t="shared" si="14"/>
        <v>0</v>
      </c>
    </row>
    <row r="112" spans="1:16">
      <c r="B112" s="9" t="str">
        <f t="shared" si="18"/>
        <v/>
      </c>
      <c r="C112" s="153">
        <f>IF(D93="","-",+C111+1)</f>
        <v>2030</v>
      </c>
      <c r="D112" s="154">
        <f>IF(F111+SUM(E$99:E111)=D$92,F111,D$92-SUM(E$99:E111))</f>
        <v>7356994.8214285728</v>
      </c>
      <c r="E112" s="160">
        <f>IF(+J96&lt;F111,J96,D112)</f>
        <v>251521.19047619047</v>
      </c>
      <c r="F112" s="159">
        <f t="shared" si="15"/>
        <v>7105473.6309523825</v>
      </c>
      <c r="G112" s="159">
        <f t="shared" si="10"/>
        <v>7231234.2261904776</v>
      </c>
      <c r="H112" s="163">
        <f t="shared" si="16"/>
        <v>1129909.7527858499</v>
      </c>
      <c r="I112" s="253">
        <f t="shared" si="17"/>
        <v>1129909.7527858499</v>
      </c>
      <c r="J112" s="158">
        <f t="shared" si="11"/>
        <v>0</v>
      </c>
      <c r="K112" s="158"/>
      <c r="L112" s="334"/>
      <c r="M112" s="158">
        <f t="shared" si="12"/>
        <v>0</v>
      </c>
      <c r="N112" s="334"/>
      <c r="O112" s="158">
        <f t="shared" si="13"/>
        <v>0</v>
      </c>
      <c r="P112" s="158">
        <f t="shared" si="14"/>
        <v>0</v>
      </c>
    </row>
    <row r="113" spans="2:16">
      <c r="B113" s="9" t="str">
        <f t="shared" si="18"/>
        <v/>
      </c>
      <c r="C113" s="153">
        <f>IF(D93="","-",+C112+1)</f>
        <v>2031</v>
      </c>
      <c r="D113" s="154">
        <f>IF(F112+SUM(E$99:E112)=D$92,F112,D$92-SUM(E$99:E112))</f>
        <v>7105473.6309523825</v>
      </c>
      <c r="E113" s="160">
        <f>IF(+J96&lt;F112,J96,D113)</f>
        <v>251521.19047619047</v>
      </c>
      <c r="F113" s="159">
        <f t="shared" si="15"/>
        <v>6853952.4404761922</v>
      </c>
      <c r="G113" s="159">
        <f t="shared" si="10"/>
        <v>6979713.0357142873</v>
      </c>
      <c r="H113" s="163">
        <f t="shared" si="16"/>
        <v>1099357.1071402964</v>
      </c>
      <c r="I113" s="253">
        <f t="shared" si="17"/>
        <v>1099357.1071402964</v>
      </c>
      <c r="J113" s="158">
        <f t="shared" si="11"/>
        <v>0</v>
      </c>
      <c r="K113" s="158"/>
      <c r="L113" s="334"/>
      <c r="M113" s="158">
        <f t="shared" si="12"/>
        <v>0</v>
      </c>
      <c r="N113" s="334"/>
      <c r="O113" s="158">
        <f t="shared" si="13"/>
        <v>0</v>
      </c>
      <c r="P113" s="158">
        <f t="shared" si="14"/>
        <v>0</v>
      </c>
    </row>
    <row r="114" spans="2:16">
      <c r="B114" s="9" t="str">
        <f t="shared" si="18"/>
        <v/>
      </c>
      <c r="C114" s="153">
        <f>IF(D93="","-",+C113+1)</f>
        <v>2032</v>
      </c>
      <c r="D114" s="154">
        <f>IF(F113+SUM(E$99:E113)=D$92,F113,D$92-SUM(E$99:E113))</f>
        <v>6853952.4404761922</v>
      </c>
      <c r="E114" s="160">
        <f>IF(+J96&lt;F113,J96,D114)</f>
        <v>251521.19047619047</v>
      </c>
      <c r="F114" s="159">
        <f t="shared" si="15"/>
        <v>6602431.2500000019</v>
      </c>
      <c r="G114" s="159">
        <f t="shared" si="10"/>
        <v>6728191.845238097</v>
      </c>
      <c r="H114" s="163">
        <f t="shared" si="16"/>
        <v>1068804.4614947431</v>
      </c>
      <c r="I114" s="253">
        <f t="shared" si="17"/>
        <v>1068804.4614947431</v>
      </c>
      <c r="J114" s="158">
        <f t="shared" si="11"/>
        <v>0</v>
      </c>
      <c r="K114" s="158"/>
      <c r="L114" s="334"/>
      <c r="M114" s="158">
        <f t="shared" si="12"/>
        <v>0</v>
      </c>
      <c r="N114" s="334"/>
      <c r="O114" s="158">
        <f t="shared" si="13"/>
        <v>0</v>
      </c>
      <c r="P114" s="158">
        <f t="shared" si="14"/>
        <v>0</v>
      </c>
    </row>
    <row r="115" spans="2:16">
      <c r="B115" s="9" t="str">
        <f t="shared" si="18"/>
        <v/>
      </c>
      <c r="C115" s="153">
        <f>IF(D93="","-",+C114+1)</f>
        <v>2033</v>
      </c>
      <c r="D115" s="154">
        <f>IF(F114+SUM(E$99:E114)=D$92,F114,D$92-SUM(E$99:E114))</f>
        <v>6602431.2500000019</v>
      </c>
      <c r="E115" s="160">
        <f>IF(+J96&lt;F114,J96,D115)</f>
        <v>251521.19047619047</v>
      </c>
      <c r="F115" s="159">
        <f t="shared" si="15"/>
        <v>6350910.0595238116</v>
      </c>
      <c r="G115" s="159">
        <f t="shared" si="10"/>
        <v>6476670.6547619067</v>
      </c>
      <c r="H115" s="163">
        <f t="shared" si="16"/>
        <v>1038251.8158491899</v>
      </c>
      <c r="I115" s="253">
        <f t="shared" si="17"/>
        <v>1038251.8158491899</v>
      </c>
      <c r="J115" s="158">
        <f t="shared" si="11"/>
        <v>0</v>
      </c>
      <c r="K115" s="158"/>
      <c r="L115" s="334"/>
      <c r="M115" s="158">
        <f t="shared" si="12"/>
        <v>0</v>
      </c>
      <c r="N115" s="334"/>
      <c r="O115" s="158">
        <f t="shared" si="13"/>
        <v>0</v>
      </c>
      <c r="P115" s="158">
        <f t="shared" si="14"/>
        <v>0</v>
      </c>
    </row>
    <row r="116" spans="2:16">
      <c r="B116" s="9" t="str">
        <f t="shared" si="18"/>
        <v/>
      </c>
      <c r="C116" s="153">
        <f>IF(D93="","-",+C115+1)</f>
        <v>2034</v>
      </c>
      <c r="D116" s="154">
        <f>IF(F115+SUM(E$99:E115)=D$92,F115,D$92-SUM(E$99:E115))</f>
        <v>6350910.0595238116</v>
      </c>
      <c r="E116" s="160">
        <f>IF(+J96&lt;F115,J96,D116)</f>
        <v>251521.19047619047</v>
      </c>
      <c r="F116" s="159">
        <f t="shared" si="15"/>
        <v>6099388.8690476213</v>
      </c>
      <c r="G116" s="159">
        <f t="shared" si="10"/>
        <v>6225149.4642857164</v>
      </c>
      <c r="H116" s="163">
        <f t="shared" si="16"/>
        <v>1007699.1702036364</v>
      </c>
      <c r="I116" s="253">
        <f t="shared" si="17"/>
        <v>1007699.1702036364</v>
      </c>
      <c r="J116" s="158">
        <f t="shared" si="11"/>
        <v>0</v>
      </c>
      <c r="K116" s="158"/>
      <c r="L116" s="334"/>
      <c r="M116" s="158">
        <f t="shared" si="12"/>
        <v>0</v>
      </c>
      <c r="N116" s="334"/>
      <c r="O116" s="158">
        <f t="shared" si="13"/>
        <v>0</v>
      </c>
      <c r="P116" s="158">
        <f t="shared" si="14"/>
        <v>0</v>
      </c>
    </row>
    <row r="117" spans="2:16">
      <c r="B117" s="9" t="str">
        <f t="shared" si="18"/>
        <v/>
      </c>
      <c r="C117" s="153">
        <f>IF(D93="","-",+C116+1)</f>
        <v>2035</v>
      </c>
      <c r="D117" s="154">
        <f>IF(F116+SUM(E$99:E116)=D$92,F116,D$92-SUM(E$99:E116))</f>
        <v>6099388.8690476213</v>
      </c>
      <c r="E117" s="160">
        <f>IF(+J96&lt;F116,J96,D117)</f>
        <v>251521.19047619047</v>
      </c>
      <c r="F117" s="159">
        <f t="shared" si="15"/>
        <v>5847867.678571431</v>
      </c>
      <c r="G117" s="159">
        <f t="shared" si="10"/>
        <v>5973628.2738095261</v>
      </c>
      <c r="H117" s="163">
        <f t="shared" si="16"/>
        <v>977146.52455808315</v>
      </c>
      <c r="I117" s="253">
        <f t="shared" si="17"/>
        <v>977146.52455808315</v>
      </c>
      <c r="J117" s="158">
        <f t="shared" si="11"/>
        <v>0</v>
      </c>
      <c r="K117" s="158"/>
      <c r="L117" s="334"/>
      <c r="M117" s="158">
        <f t="shared" si="12"/>
        <v>0</v>
      </c>
      <c r="N117" s="334"/>
      <c r="O117" s="158">
        <f t="shared" si="13"/>
        <v>0</v>
      </c>
      <c r="P117" s="158">
        <f t="shared" si="14"/>
        <v>0</v>
      </c>
    </row>
    <row r="118" spans="2:16">
      <c r="B118" s="9" t="str">
        <f t="shared" si="18"/>
        <v/>
      </c>
      <c r="C118" s="153">
        <f>IF(D93="","-",+C117+1)</f>
        <v>2036</v>
      </c>
      <c r="D118" s="154">
        <f>IF(F117+SUM(E$99:E117)=D$92,F117,D$92-SUM(E$99:E117))</f>
        <v>5847867.678571431</v>
      </c>
      <c r="E118" s="160">
        <f>IF(+J96&lt;F117,J96,D118)</f>
        <v>251521.19047619047</v>
      </c>
      <c r="F118" s="159">
        <f t="shared" si="15"/>
        <v>5596346.4880952407</v>
      </c>
      <c r="G118" s="159">
        <f t="shared" si="10"/>
        <v>5722107.0833333358</v>
      </c>
      <c r="H118" s="163">
        <f t="shared" si="16"/>
        <v>946593.87891252968</v>
      </c>
      <c r="I118" s="253">
        <f t="shared" si="17"/>
        <v>946593.87891252968</v>
      </c>
      <c r="J118" s="158">
        <f t="shared" si="11"/>
        <v>0</v>
      </c>
      <c r="K118" s="158"/>
      <c r="L118" s="334"/>
      <c r="M118" s="158">
        <f t="shared" si="12"/>
        <v>0</v>
      </c>
      <c r="N118" s="334"/>
      <c r="O118" s="158">
        <f t="shared" si="13"/>
        <v>0</v>
      </c>
      <c r="P118" s="158">
        <f t="shared" si="14"/>
        <v>0</v>
      </c>
    </row>
    <row r="119" spans="2:16">
      <c r="B119" s="9" t="str">
        <f t="shared" si="18"/>
        <v/>
      </c>
      <c r="C119" s="153">
        <f>IF(D93="","-",+C118+1)</f>
        <v>2037</v>
      </c>
      <c r="D119" s="154">
        <f>IF(F118+SUM(E$99:E118)=D$92,F118,D$92-SUM(E$99:E118))</f>
        <v>5596346.4880952407</v>
      </c>
      <c r="E119" s="160">
        <f>IF(+J96&lt;F118,J96,D119)</f>
        <v>251521.19047619047</v>
      </c>
      <c r="F119" s="159">
        <f t="shared" si="15"/>
        <v>5344825.2976190504</v>
      </c>
      <c r="G119" s="159">
        <f t="shared" si="10"/>
        <v>5470585.8928571455</v>
      </c>
      <c r="H119" s="163">
        <f t="shared" si="16"/>
        <v>916041.23326697643</v>
      </c>
      <c r="I119" s="253">
        <f t="shared" si="17"/>
        <v>916041.23326697643</v>
      </c>
      <c r="J119" s="158">
        <f t="shared" si="11"/>
        <v>0</v>
      </c>
      <c r="K119" s="158"/>
      <c r="L119" s="334"/>
      <c r="M119" s="158">
        <f t="shared" si="12"/>
        <v>0</v>
      </c>
      <c r="N119" s="334"/>
      <c r="O119" s="158">
        <f t="shared" si="13"/>
        <v>0</v>
      </c>
      <c r="P119" s="158">
        <f t="shared" si="14"/>
        <v>0</v>
      </c>
    </row>
    <row r="120" spans="2:16">
      <c r="B120" s="9" t="str">
        <f t="shared" si="18"/>
        <v/>
      </c>
      <c r="C120" s="153">
        <f>IF(D93="","-",+C119+1)</f>
        <v>2038</v>
      </c>
      <c r="D120" s="154">
        <f>IF(F119+SUM(E$99:E119)=D$92,F119,D$92-SUM(E$99:E119))</f>
        <v>5344825.2976190504</v>
      </c>
      <c r="E120" s="160">
        <f>IF(+J96&lt;F119,J96,D120)</f>
        <v>251521.19047619047</v>
      </c>
      <c r="F120" s="159">
        <f t="shared" si="15"/>
        <v>5093304.1071428601</v>
      </c>
      <c r="G120" s="159">
        <f t="shared" si="10"/>
        <v>5219064.7023809552</v>
      </c>
      <c r="H120" s="163">
        <f t="shared" si="16"/>
        <v>885488.58762142318</v>
      </c>
      <c r="I120" s="253">
        <f t="shared" si="17"/>
        <v>885488.58762142318</v>
      </c>
      <c r="J120" s="158">
        <f t="shared" si="11"/>
        <v>0</v>
      </c>
      <c r="K120" s="158"/>
      <c r="L120" s="334"/>
      <c r="M120" s="158">
        <f t="shared" si="12"/>
        <v>0</v>
      </c>
      <c r="N120" s="334"/>
      <c r="O120" s="158">
        <f t="shared" si="13"/>
        <v>0</v>
      </c>
      <c r="P120" s="158">
        <f t="shared" si="14"/>
        <v>0</v>
      </c>
    </row>
    <row r="121" spans="2:16">
      <c r="B121" s="9" t="str">
        <f t="shared" si="18"/>
        <v/>
      </c>
      <c r="C121" s="153">
        <f>IF(D93="","-",+C120+1)</f>
        <v>2039</v>
      </c>
      <c r="D121" s="154">
        <f>IF(F120+SUM(E$99:E120)=D$92,F120,D$92-SUM(E$99:E120))</f>
        <v>5093304.1071428601</v>
      </c>
      <c r="E121" s="160">
        <f>IF(+J96&lt;F120,J96,D121)</f>
        <v>251521.19047619047</v>
      </c>
      <c r="F121" s="159">
        <f t="shared" si="15"/>
        <v>4841782.9166666698</v>
      </c>
      <c r="G121" s="159">
        <f t="shared" si="10"/>
        <v>4967543.5119047649</v>
      </c>
      <c r="H121" s="163">
        <f t="shared" si="16"/>
        <v>854935.9419758697</v>
      </c>
      <c r="I121" s="253">
        <f t="shared" si="17"/>
        <v>854935.9419758697</v>
      </c>
      <c r="J121" s="158">
        <f t="shared" si="11"/>
        <v>0</v>
      </c>
      <c r="K121" s="158"/>
      <c r="L121" s="334"/>
      <c r="M121" s="158">
        <f t="shared" si="12"/>
        <v>0</v>
      </c>
      <c r="N121" s="334"/>
      <c r="O121" s="158">
        <f t="shared" si="13"/>
        <v>0</v>
      </c>
      <c r="P121" s="158">
        <f t="shared" si="14"/>
        <v>0</v>
      </c>
    </row>
    <row r="122" spans="2:16">
      <c r="B122" s="9" t="str">
        <f t="shared" si="18"/>
        <v/>
      </c>
      <c r="C122" s="153">
        <f>IF(D93="","-",+C121+1)</f>
        <v>2040</v>
      </c>
      <c r="D122" s="154">
        <f>IF(F121+SUM(E$99:E121)=D$92,F121,D$92-SUM(E$99:E121))</f>
        <v>4841782.9166666698</v>
      </c>
      <c r="E122" s="160">
        <f>IF(+J96&lt;F121,J96,D122)</f>
        <v>251521.19047619047</v>
      </c>
      <c r="F122" s="159">
        <f t="shared" si="15"/>
        <v>4590261.7261904795</v>
      </c>
      <c r="G122" s="159">
        <f t="shared" si="10"/>
        <v>4716022.3214285746</v>
      </c>
      <c r="H122" s="163">
        <f t="shared" si="16"/>
        <v>824383.29633031646</v>
      </c>
      <c r="I122" s="253">
        <f t="shared" si="17"/>
        <v>824383.29633031646</v>
      </c>
      <c r="J122" s="158">
        <f t="shared" si="11"/>
        <v>0</v>
      </c>
      <c r="K122" s="158"/>
      <c r="L122" s="334"/>
      <c r="M122" s="158">
        <f t="shared" si="12"/>
        <v>0</v>
      </c>
      <c r="N122" s="334"/>
      <c r="O122" s="158">
        <f t="shared" si="13"/>
        <v>0</v>
      </c>
      <c r="P122" s="158">
        <f t="shared" si="14"/>
        <v>0</v>
      </c>
    </row>
    <row r="123" spans="2:16">
      <c r="B123" s="9" t="str">
        <f t="shared" si="18"/>
        <v/>
      </c>
      <c r="C123" s="153">
        <f>IF(D93="","-",+C122+1)</f>
        <v>2041</v>
      </c>
      <c r="D123" s="154">
        <f>IF(F122+SUM(E$99:E122)=D$92,F122,D$92-SUM(E$99:E122))</f>
        <v>4590261.7261904795</v>
      </c>
      <c r="E123" s="160">
        <f>IF(+J96&lt;F122,J96,D123)</f>
        <v>251521.19047619047</v>
      </c>
      <c r="F123" s="159">
        <f t="shared" si="15"/>
        <v>4338740.5357142892</v>
      </c>
      <c r="G123" s="159">
        <f t="shared" si="10"/>
        <v>4464501.1309523843</v>
      </c>
      <c r="H123" s="163">
        <f t="shared" si="16"/>
        <v>793830.65068476298</v>
      </c>
      <c r="I123" s="253">
        <f t="shared" si="17"/>
        <v>793830.65068476298</v>
      </c>
      <c r="J123" s="158">
        <f t="shared" si="11"/>
        <v>0</v>
      </c>
      <c r="K123" s="158"/>
      <c r="L123" s="334"/>
      <c r="M123" s="158">
        <f t="shared" si="12"/>
        <v>0</v>
      </c>
      <c r="N123" s="334"/>
      <c r="O123" s="158">
        <f t="shared" si="13"/>
        <v>0</v>
      </c>
      <c r="P123" s="158">
        <f t="shared" si="14"/>
        <v>0</v>
      </c>
    </row>
    <row r="124" spans="2:16">
      <c r="B124" s="9" t="str">
        <f t="shared" si="18"/>
        <v/>
      </c>
      <c r="C124" s="153">
        <f>IF(D93="","-",+C123+1)</f>
        <v>2042</v>
      </c>
      <c r="D124" s="154">
        <f>IF(F123+SUM(E$99:E123)=D$92,F123,D$92-SUM(E$99:E123))</f>
        <v>4338740.5357142892</v>
      </c>
      <c r="E124" s="160">
        <f>IF(+J96&lt;F123,J96,D124)</f>
        <v>251521.19047619047</v>
      </c>
      <c r="F124" s="159">
        <f t="shared" si="15"/>
        <v>4087219.3452380989</v>
      </c>
      <c r="G124" s="159">
        <f t="shared" si="10"/>
        <v>4212979.940476194</v>
      </c>
      <c r="H124" s="163">
        <f t="shared" si="16"/>
        <v>763278.00503920973</v>
      </c>
      <c r="I124" s="253">
        <f t="shared" si="17"/>
        <v>763278.00503920973</v>
      </c>
      <c r="J124" s="158">
        <f t="shared" si="11"/>
        <v>0</v>
      </c>
      <c r="K124" s="158"/>
      <c r="L124" s="334"/>
      <c r="M124" s="158">
        <f t="shared" si="12"/>
        <v>0</v>
      </c>
      <c r="N124" s="334"/>
      <c r="O124" s="158">
        <f t="shared" si="13"/>
        <v>0</v>
      </c>
      <c r="P124" s="158">
        <f t="shared" si="14"/>
        <v>0</v>
      </c>
    </row>
    <row r="125" spans="2:16">
      <c r="B125" s="9" t="str">
        <f t="shared" si="18"/>
        <v/>
      </c>
      <c r="C125" s="153">
        <f>IF(D93="","-",+C124+1)</f>
        <v>2043</v>
      </c>
      <c r="D125" s="154">
        <f>IF(F124+SUM(E$99:E124)=D$92,F124,D$92-SUM(E$99:E124))</f>
        <v>4087219.3452380989</v>
      </c>
      <c r="E125" s="160">
        <f>IF(+J96&lt;F124,J96,D125)</f>
        <v>251521.19047619047</v>
      </c>
      <c r="F125" s="159">
        <f t="shared" si="15"/>
        <v>3835698.1547619086</v>
      </c>
      <c r="G125" s="159">
        <f t="shared" si="10"/>
        <v>3961458.7500000037</v>
      </c>
      <c r="H125" s="163">
        <f t="shared" si="16"/>
        <v>732725.35939365637</v>
      </c>
      <c r="I125" s="253">
        <f t="shared" si="17"/>
        <v>732725.35939365637</v>
      </c>
      <c r="J125" s="158">
        <f t="shared" si="11"/>
        <v>0</v>
      </c>
      <c r="K125" s="158"/>
      <c r="L125" s="334"/>
      <c r="M125" s="158">
        <f t="shared" si="12"/>
        <v>0</v>
      </c>
      <c r="N125" s="334"/>
      <c r="O125" s="158">
        <f t="shared" si="13"/>
        <v>0</v>
      </c>
      <c r="P125" s="158">
        <f t="shared" si="14"/>
        <v>0</v>
      </c>
    </row>
    <row r="126" spans="2:16">
      <c r="B126" s="9" t="str">
        <f t="shared" si="18"/>
        <v/>
      </c>
      <c r="C126" s="153">
        <f>IF(D93="","-",+C125+1)</f>
        <v>2044</v>
      </c>
      <c r="D126" s="154">
        <f>IF(F125+SUM(E$99:E125)=D$92,F125,D$92-SUM(E$99:E125))</f>
        <v>3835698.1547619086</v>
      </c>
      <c r="E126" s="160">
        <f>IF(+J96&lt;F125,J96,D126)</f>
        <v>251521.19047619047</v>
      </c>
      <c r="F126" s="159">
        <f t="shared" si="15"/>
        <v>3584176.9642857183</v>
      </c>
      <c r="G126" s="159">
        <f t="shared" si="10"/>
        <v>3709937.5595238134</v>
      </c>
      <c r="H126" s="163">
        <f t="shared" si="16"/>
        <v>702172.71374810301</v>
      </c>
      <c r="I126" s="253">
        <f t="shared" si="17"/>
        <v>702172.71374810301</v>
      </c>
      <c r="J126" s="158">
        <f t="shared" si="11"/>
        <v>0</v>
      </c>
      <c r="K126" s="158"/>
      <c r="L126" s="334"/>
      <c r="M126" s="158">
        <f t="shared" si="12"/>
        <v>0</v>
      </c>
      <c r="N126" s="334"/>
      <c r="O126" s="158">
        <f t="shared" si="13"/>
        <v>0</v>
      </c>
      <c r="P126" s="158">
        <f t="shared" si="14"/>
        <v>0</v>
      </c>
    </row>
    <row r="127" spans="2:16">
      <c r="B127" s="9" t="str">
        <f t="shared" si="18"/>
        <v/>
      </c>
      <c r="C127" s="153">
        <f>IF(D93="","-",+C126+1)</f>
        <v>2045</v>
      </c>
      <c r="D127" s="154">
        <f>IF(F126+SUM(E$99:E126)=D$92,F126,D$92-SUM(E$99:E126))</f>
        <v>3584176.9642857183</v>
      </c>
      <c r="E127" s="160">
        <f>IF(+J96&lt;F126,J96,D127)</f>
        <v>251521.19047619047</v>
      </c>
      <c r="F127" s="159">
        <f t="shared" si="15"/>
        <v>3332655.773809528</v>
      </c>
      <c r="G127" s="159">
        <f t="shared" si="10"/>
        <v>3458416.3690476231</v>
      </c>
      <c r="H127" s="163">
        <f t="shared" si="16"/>
        <v>671620.06810254976</v>
      </c>
      <c r="I127" s="253">
        <f t="shared" si="17"/>
        <v>671620.06810254976</v>
      </c>
      <c r="J127" s="158">
        <f t="shared" si="11"/>
        <v>0</v>
      </c>
      <c r="K127" s="158"/>
      <c r="L127" s="334"/>
      <c r="M127" s="158">
        <f t="shared" si="12"/>
        <v>0</v>
      </c>
      <c r="N127" s="334"/>
      <c r="O127" s="158">
        <f t="shared" si="13"/>
        <v>0</v>
      </c>
      <c r="P127" s="158">
        <f t="shared" si="14"/>
        <v>0</v>
      </c>
    </row>
    <row r="128" spans="2:16">
      <c r="B128" s="9" t="str">
        <f t="shared" si="18"/>
        <v/>
      </c>
      <c r="C128" s="153">
        <f>IF(D93="","-",+C127+1)</f>
        <v>2046</v>
      </c>
      <c r="D128" s="154">
        <f>IF(F127+SUM(E$99:E127)=D$92,F127,D$92-SUM(E$99:E127))</f>
        <v>3332655.773809528</v>
      </c>
      <c r="E128" s="160">
        <f>IF(+J96&lt;F127,J96,D128)</f>
        <v>251521.19047619047</v>
      </c>
      <c r="F128" s="159">
        <f t="shared" si="15"/>
        <v>3081134.5833333377</v>
      </c>
      <c r="G128" s="159">
        <f t="shared" si="10"/>
        <v>3206895.1785714328</v>
      </c>
      <c r="H128" s="163">
        <f t="shared" si="16"/>
        <v>641067.42245699628</v>
      </c>
      <c r="I128" s="253">
        <f t="shared" si="17"/>
        <v>641067.42245699628</v>
      </c>
      <c r="J128" s="158">
        <f t="shared" si="11"/>
        <v>0</v>
      </c>
      <c r="K128" s="158"/>
      <c r="L128" s="334"/>
      <c r="M128" s="158">
        <f t="shared" si="12"/>
        <v>0</v>
      </c>
      <c r="N128" s="334"/>
      <c r="O128" s="158">
        <f t="shared" si="13"/>
        <v>0</v>
      </c>
      <c r="P128" s="158">
        <f t="shared" si="14"/>
        <v>0</v>
      </c>
    </row>
    <row r="129" spans="2:16">
      <c r="B129" s="9" t="str">
        <f t="shared" si="18"/>
        <v/>
      </c>
      <c r="C129" s="153">
        <f>IF(D93="","-",+C128+1)</f>
        <v>2047</v>
      </c>
      <c r="D129" s="154">
        <f>IF(F128+SUM(E$99:E128)=D$92,F128,D$92-SUM(E$99:E128))</f>
        <v>3081134.5833333377</v>
      </c>
      <c r="E129" s="160">
        <f>IF(+J96&lt;F128,J96,D129)</f>
        <v>251521.19047619047</v>
      </c>
      <c r="F129" s="159">
        <f t="shared" si="15"/>
        <v>2829613.3928571474</v>
      </c>
      <c r="G129" s="159">
        <f t="shared" si="10"/>
        <v>2955373.9880952425</v>
      </c>
      <c r="H129" s="163">
        <f t="shared" si="16"/>
        <v>610514.77681144304</v>
      </c>
      <c r="I129" s="253">
        <f t="shared" si="17"/>
        <v>610514.77681144304</v>
      </c>
      <c r="J129" s="158">
        <f t="shared" si="11"/>
        <v>0</v>
      </c>
      <c r="K129" s="158"/>
      <c r="L129" s="334"/>
      <c r="M129" s="158">
        <f t="shared" si="12"/>
        <v>0</v>
      </c>
      <c r="N129" s="334"/>
      <c r="O129" s="158">
        <f t="shared" si="13"/>
        <v>0</v>
      </c>
      <c r="P129" s="158">
        <f t="shared" si="14"/>
        <v>0</v>
      </c>
    </row>
    <row r="130" spans="2:16">
      <c r="B130" s="9" t="str">
        <f t="shared" si="18"/>
        <v/>
      </c>
      <c r="C130" s="153">
        <f>IF(D93="","-",+C129+1)</f>
        <v>2048</v>
      </c>
      <c r="D130" s="154">
        <f>IF(F129+SUM(E$99:E129)=D$92,F129,D$92-SUM(E$99:E129))</f>
        <v>2829613.3928571474</v>
      </c>
      <c r="E130" s="160">
        <f>IF(+J96&lt;F129,J96,D130)</f>
        <v>251521.19047619047</v>
      </c>
      <c r="F130" s="159">
        <f t="shared" si="15"/>
        <v>2578092.2023809571</v>
      </c>
      <c r="G130" s="159">
        <f t="shared" si="10"/>
        <v>2703852.7976190522</v>
      </c>
      <c r="H130" s="163">
        <f t="shared" si="16"/>
        <v>579962.13116588967</v>
      </c>
      <c r="I130" s="253">
        <f t="shared" si="17"/>
        <v>579962.13116588967</v>
      </c>
      <c r="J130" s="158">
        <f t="shared" si="11"/>
        <v>0</v>
      </c>
      <c r="K130" s="158"/>
      <c r="L130" s="334"/>
      <c r="M130" s="158">
        <f t="shared" si="12"/>
        <v>0</v>
      </c>
      <c r="N130" s="334"/>
      <c r="O130" s="158">
        <f t="shared" si="13"/>
        <v>0</v>
      </c>
      <c r="P130" s="158">
        <f t="shared" si="14"/>
        <v>0</v>
      </c>
    </row>
    <row r="131" spans="2:16">
      <c r="B131" s="9" t="str">
        <f t="shared" si="18"/>
        <v/>
      </c>
      <c r="C131" s="153">
        <f>IF(D93="","-",+C130+1)</f>
        <v>2049</v>
      </c>
      <c r="D131" s="154">
        <f>IF(F130+SUM(E$99:E130)=D$92,F130,D$92-SUM(E$99:E130))</f>
        <v>2578092.2023809571</v>
      </c>
      <c r="E131" s="160">
        <f>IF(+J96&lt;F130,J96,D131)</f>
        <v>251521.19047619047</v>
      </c>
      <c r="F131" s="159">
        <f t="shared" ref="F131:F154" si="19">+D131-E131</f>
        <v>2326571.0119047668</v>
      </c>
      <c r="G131" s="159">
        <f t="shared" ref="G131:G154" si="20">+(F131+D131)/2</f>
        <v>2452331.6071428619</v>
      </c>
      <c r="H131" s="163">
        <f t="shared" si="16"/>
        <v>549409.48552033631</v>
      </c>
      <c r="I131" s="253">
        <f t="shared" si="17"/>
        <v>549409.48552033631</v>
      </c>
      <c r="J131" s="158">
        <f t="shared" ref="J131:J154" si="21">+I541-H541</f>
        <v>0</v>
      </c>
      <c r="K131" s="158"/>
      <c r="L131" s="334"/>
      <c r="M131" s="158">
        <f t="shared" ref="M131:M154" si="22">IF(L541&lt;&gt;0,+H541-L541,0)</f>
        <v>0</v>
      </c>
      <c r="N131" s="334"/>
      <c r="O131" s="158">
        <f t="shared" ref="O131:O154" si="23">IF(N541&lt;&gt;0,+I541-N541,0)</f>
        <v>0</v>
      </c>
      <c r="P131" s="158">
        <f t="shared" ref="P131:P154" si="24">+O541-M541</f>
        <v>0</v>
      </c>
    </row>
    <row r="132" spans="2:16">
      <c r="B132" s="9" t="str">
        <f t="shared" si="18"/>
        <v/>
      </c>
      <c r="C132" s="153">
        <f>IF(D93="","-",+C131+1)</f>
        <v>2050</v>
      </c>
      <c r="D132" s="154">
        <f>IF(F131+SUM(E$99:E131)=D$92,F131,D$92-SUM(E$99:E131))</f>
        <v>2326571.0119047668</v>
      </c>
      <c r="E132" s="160">
        <f>IF(+J96&lt;F131,J96,D132)</f>
        <v>251521.19047619047</v>
      </c>
      <c r="F132" s="159">
        <f t="shared" si="19"/>
        <v>2075049.8214285763</v>
      </c>
      <c r="G132" s="159">
        <f t="shared" si="20"/>
        <v>2200810.4166666716</v>
      </c>
      <c r="H132" s="163">
        <f t="shared" si="16"/>
        <v>518856.83987478301</v>
      </c>
      <c r="I132" s="253">
        <f t="shared" si="17"/>
        <v>518856.83987478301</v>
      </c>
      <c r="J132" s="158">
        <f t="shared" si="21"/>
        <v>0</v>
      </c>
      <c r="K132" s="158"/>
      <c r="L132" s="334"/>
      <c r="M132" s="158">
        <f t="shared" si="22"/>
        <v>0</v>
      </c>
      <c r="N132" s="334"/>
      <c r="O132" s="158">
        <f t="shared" si="23"/>
        <v>0</v>
      </c>
      <c r="P132" s="158">
        <f t="shared" si="24"/>
        <v>0</v>
      </c>
    </row>
    <row r="133" spans="2:16">
      <c r="B133" s="9" t="str">
        <f t="shared" si="18"/>
        <v/>
      </c>
      <c r="C133" s="153">
        <f>IF(D93="","-",+C132+1)</f>
        <v>2051</v>
      </c>
      <c r="D133" s="154">
        <f>IF(F132+SUM(E$99:E132)=D$92,F132,D$92-SUM(E$99:E132))</f>
        <v>2075049.8214285763</v>
      </c>
      <c r="E133" s="160">
        <f>IF(+J96&lt;F132,J96,D133)</f>
        <v>251521.19047619047</v>
      </c>
      <c r="F133" s="159">
        <f t="shared" si="19"/>
        <v>1823528.6309523857</v>
      </c>
      <c r="G133" s="159">
        <f t="shared" si="20"/>
        <v>1949289.2261904809</v>
      </c>
      <c r="H133" s="163">
        <f t="shared" si="16"/>
        <v>488304.19422922959</v>
      </c>
      <c r="I133" s="253">
        <f t="shared" si="17"/>
        <v>488304.19422922959</v>
      </c>
      <c r="J133" s="158">
        <f t="shared" si="21"/>
        <v>0</v>
      </c>
      <c r="K133" s="158"/>
      <c r="L133" s="334"/>
      <c r="M133" s="158">
        <f t="shared" si="22"/>
        <v>0</v>
      </c>
      <c r="N133" s="334"/>
      <c r="O133" s="158">
        <f t="shared" si="23"/>
        <v>0</v>
      </c>
      <c r="P133" s="158">
        <f t="shared" si="24"/>
        <v>0</v>
      </c>
    </row>
    <row r="134" spans="2:16">
      <c r="B134" s="9" t="str">
        <f t="shared" si="18"/>
        <v/>
      </c>
      <c r="C134" s="153">
        <f>IF(D93="","-",+C133+1)</f>
        <v>2052</v>
      </c>
      <c r="D134" s="154">
        <f>IF(F133+SUM(E$99:E133)=D$92,F133,D$92-SUM(E$99:E133))</f>
        <v>1823528.6309523857</v>
      </c>
      <c r="E134" s="160">
        <f>IF(+J96&lt;F133,J96,D134)</f>
        <v>251521.19047619047</v>
      </c>
      <c r="F134" s="159">
        <f t="shared" si="19"/>
        <v>1572007.4404761952</v>
      </c>
      <c r="G134" s="159">
        <f t="shared" si="20"/>
        <v>1697768.0357142906</v>
      </c>
      <c r="H134" s="163">
        <f t="shared" si="16"/>
        <v>457751.54858367622</v>
      </c>
      <c r="I134" s="253">
        <f t="shared" si="17"/>
        <v>457751.54858367622</v>
      </c>
      <c r="J134" s="158">
        <f t="shared" si="21"/>
        <v>0</v>
      </c>
      <c r="K134" s="158"/>
      <c r="L134" s="334"/>
      <c r="M134" s="158">
        <f t="shared" si="22"/>
        <v>0</v>
      </c>
      <c r="N134" s="334"/>
      <c r="O134" s="158">
        <f t="shared" si="23"/>
        <v>0</v>
      </c>
      <c r="P134" s="158">
        <f t="shared" si="24"/>
        <v>0</v>
      </c>
    </row>
    <row r="135" spans="2:16">
      <c r="B135" s="9" t="str">
        <f t="shared" si="18"/>
        <v/>
      </c>
      <c r="C135" s="153">
        <f>IF(D93="","-",+C134+1)</f>
        <v>2053</v>
      </c>
      <c r="D135" s="154">
        <f>IF(F134+SUM(E$99:E134)=D$92,F134,D$92-SUM(E$99:E134))</f>
        <v>1572007.4404761952</v>
      </c>
      <c r="E135" s="160">
        <f>IF(+J96&lt;F134,J96,D135)</f>
        <v>251521.19047619047</v>
      </c>
      <c r="F135" s="159">
        <f t="shared" si="19"/>
        <v>1320486.2500000047</v>
      </c>
      <c r="G135" s="159">
        <f t="shared" si="20"/>
        <v>1446246.8452380998</v>
      </c>
      <c r="H135" s="163">
        <f t="shared" si="16"/>
        <v>427198.90293812286</v>
      </c>
      <c r="I135" s="253">
        <f t="shared" si="17"/>
        <v>427198.90293812286</v>
      </c>
      <c r="J135" s="158">
        <f t="shared" si="21"/>
        <v>0</v>
      </c>
      <c r="K135" s="158"/>
      <c r="L135" s="334"/>
      <c r="M135" s="158">
        <f t="shared" si="22"/>
        <v>0</v>
      </c>
      <c r="N135" s="334"/>
      <c r="O135" s="158">
        <f t="shared" si="23"/>
        <v>0</v>
      </c>
      <c r="P135" s="158">
        <f t="shared" si="24"/>
        <v>0</v>
      </c>
    </row>
    <row r="136" spans="2:16">
      <c r="B136" s="9" t="str">
        <f t="shared" si="18"/>
        <v/>
      </c>
      <c r="C136" s="153">
        <f>IF(D93="","-",+C135+1)</f>
        <v>2054</v>
      </c>
      <c r="D136" s="154">
        <f>IF(F135+SUM(E$99:E135)=D$92,F135,D$92-SUM(E$99:E135))</f>
        <v>1320486.2500000047</v>
      </c>
      <c r="E136" s="160">
        <f>IF(+J96&lt;F135,J96,D136)</f>
        <v>251521.19047619047</v>
      </c>
      <c r="F136" s="159">
        <f t="shared" si="19"/>
        <v>1068965.0595238141</v>
      </c>
      <c r="G136" s="159">
        <f t="shared" si="20"/>
        <v>1194725.6547619095</v>
      </c>
      <c r="H136" s="163">
        <f t="shared" si="16"/>
        <v>396646.2572925695</v>
      </c>
      <c r="I136" s="253">
        <f t="shared" si="17"/>
        <v>396646.2572925695</v>
      </c>
      <c r="J136" s="158">
        <f t="shared" si="21"/>
        <v>0</v>
      </c>
      <c r="K136" s="158"/>
      <c r="L136" s="334"/>
      <c r="M136" s="158">
        <f t="shared" si="22"/>
        <v>0</v>
      </c>
      <c r="N136" s="334"/>
      <c r="O136" s="158">
        <f t="shared" si="23"/>
        <v>0</v>
      </c>
      <c r="P136" s="158">
        <f t="shared" si="24"/>
        <v>0</v>
      </c>
    </row>
    <row r="137" spans="2:16">
      <c r="B137" s="9" t="str">
        <f t="shared" si="18"/>
        <v/>
      </c>
      <c r="C137" s="153">
        <f>IF(D93="","-",+C136+1)</f>
        <v>2055</v>
      </c>
      <c r="D137" s="154">
        <f>IF(F136+SUM(E$99:E136)=D$92,F136,D$92-SUM(E$99:E136))</f>
        <v>1068965.0595238141</v>
      </c>
      <c r="E137" s="160">
        <f>IF(+J96&lt;F136,J96,D137)</f>
        <v>251521.19047619047</v>
      </c>
      <c r="F137" s="159">
        <f t="shared" si="19"/>
        <v>817443.86904762359</v>
      </c>
      <c r="G137" s="159">
        <f t="shared" si="20"/>
        <v>943204.46428571886</v>
      </c>
      <c r="H137" s="163">
        <f t="shared" si="16"/>
        <v>366093.61164701614</v>
      </c>
      <c r="I137" s="253">
        <f t="shared" si="17"/>
        <v>366093.61164701614</v>
      </c>
      <c r="J137" s="158">
        <f t="shared" si="21"/>
        <v>0</v>
      </c>
      <c r="K137" s="158"/>
      <c r="L137" s="334"/>
      <c r="M137" s="158">
        <f t="shared" si="22"/>
        <v>0</v>
      </c>
      <c r="N137" s="334"/>
      <c r="O137" s="158">
        <f t="shared" si="23"/>
        <v>0</v>
      </c>
      <c r="P137" s="158">
        <f t="shared" si="24"/>
        <v>0</v>
      </c>
    </row>
    <row r="138" spans="2:16">
      <c r="B138" s="9" t="str">
        <f t="shared" si="18"/>
        <v/>
      </c>
      <c r="C138" s="153">
        <f>IF(D93="","-",+C137+1)</f>
        <v>2056</v>
      </c>
      <c r="D138" s="154">
        <f>IF(F137+SUM(E$99:E137)=D$92,F137,D$92-SUM(E$99:E137))</f>
        <v>817443.86904762359</v>
      </c>
      <c r="E138" s="160">
        <f>IF(+J96&lt;F137,J96,D138)</f>
        <v>251521.19047619047</v>
      </c>
      <c r="F138" s="159">
        <f t="shared" si="19"/>
        <v>565922.67857143306</v>
      </c>
      <c r="G138" s="159">
        <f t="shared" si="20"/>
        <v>691683.27380952833</v>
      </c>
      <c r="H138" s="163">
        <f t="shared" si="16"/>
        <v>335540.96600146277</v>
      </c>
      <c r="I138" s="253">
        <f t="shared" si="17"/>
        <v>335540.96600146277</v>
      </c>
      <c r="J138" s="158">
        <f t="shared" si="21"/>
        <v>0</v>
      </c>
      <c r="K138" s="158"/>
      <c r="L138" s="334"/>
      <c r="M138" s="158">
        <f t="shared" si="22"/>
        <v>0</v>
      </c>
      <c r="N138" s="334"/>
      <c r="O138" s="158">
        <f t="shared" si="23"/>
        <v>0</v>
      </c>
      <c r="P138" s="158">
        <f t="shared" si="24"/>
        <v>0</v>
      </c>
    </row>
    <row r="139" spans="2:16">
      <c r="B139" s="9" t="str">
        <f t="shared" si="18"/>
        <v/>
      </c>
      <c r="C139" s="153">
        <f>IF(D93="","-",+C138+1)</f>
        <v>2057</v>
      </c>
      <c r="D139" s="154">
        <f>IF(F138+SUM(E$99:E138)=D$92,F138,D$92-SUM(E$99:E138))</f>
        <v>565922.67857143306</v>
      </c>
      <c r="E139" s="160">
        <f>IF(+J96&lt;F138,J96,D139)</f>
        <v>251521.19047619047</v>
      </c>
      <c r="F139" s="159">
        <f t="shared" si="19"/>
        <v>314401.48809524259</v>
      </c>
      <c r="G139" s="159">
        <f t="shared" si="20"/>
        <v>440162.0833333378</v>
      </c>
      <c r="H139" s="163">
        <f t="shared" si="16"/>
        <v>304988.32035590941</v>
      </c>
      <c r="I139" s="253">
        <f t="shared" si="17"/>
        <v>304988.32035590941</v>
      </c>
      <c r="J139" s="158">
        <f t="shared" si="21"/>
        <v>0</v>
      </c>
      <c r="K139" s="158"/>
      <c r="L139" s="334"/>
      <c r="M139" s="158">
        <f t="shared" si="22"/>
        <v>0</v>
      </c>
      <c r="N139" s="334"/>
      <c r="O139" s="158">
        <f t="shared" si="23"/>
        <v>0</v>
      </c>
      <c r="P139" s="158">
        <f t="shared" si="24"/>
        <v>0</v>
      </c>
    </row>
    <row r="140" spans="2:16">
      <c r="B140" s="9" t="str">
        <f t="shared" si="18"/>
        <v/>
      </c>
      <c r="C140" s="153">
        <f>IF(D93="","-",+C139+1)</f>
        <v>2058</v>
      </c>
      <c r="D140" s="154">
        <f>IF(F139+SUM(E$99:E139)=D$92,F139,D$92-SUM(E$99:E139))</f>
        <v>314401.48809524259</v>
      </c>
      <c r="E140" s="160">
        <f>IF(+J96&lt;F139,J96,D140)</f>
        <v>251521.19047619047</v>
      </c>
      <c r="F140" s="159">
        <f t="shared" si="19"/>
        <v>62880.297619052115</v>
      </c>
      <c r="G140" s="159">
        <f t="shared" si="20"/>
        <v>188640.89285714735</v>
      </c>
      <c r="H140" s="163">
        <f t="shared" si="16"/>
        <v>274435.67471035605</v>
      </c>
      <c r="I140" s="253">
        <f t="shared" si="17"/>
        <v>274435.67471035605</v>
      </c>
      <c r="J140" s="158">
        <f t="shared" si="21"/>
        <v>0</v>
      </c>
      <c r="K140" s="158"/>
      <c r="L140" s="334"/>
      <c r="M140" s="158">
        <f t="shared" si="22"/>
        <v>0</v>
      </c>
      <c r="N140" s="334"/>
      <c r="O140" s="158">
        <f t="shared" si="23"/>
        <v>0</v>
      </c>
      <c r="P140" s="158">
        <f t="shared" si="24"/>
        <v>0</v>
      </c>
    </row>
    <row r="141" spans="2:16">
      <c r="B141" s="9" t="str">
        <f t="shared" si="18"/>
        <v/>
      </c>
      <c r="C141" s="153">
        <f>IF(D93="","-",+C140+1)</f>
        <v>2059</v>
      </c>
      <c r="D141" s="154">
        <f>IF(F140+SUM(E$99:E140)=D$92,F140,D$92-SUM(E$99:E140))</f>
        <v>62880.297619052115</v>
      </c>
      <c r="E141" s="160">
        <f>IF(+J96&lt;F140,J96,D141)</f>
        <v>62880.297619052115</v>
      </c>
      <c r="F141" s="159">
        <f t="shared" si="19"/>
        <v>0</v>
      </c>
      <c r="G141" s="159">
        <f t="shared" si="20"/>
        <v>31440.148809526057</v>
      </c>
      <c r="H141" s="163">
        <f t="shared" si="16"/>
        <v>66699.378324746562</v>
      </c>
      <c r="I141" s="253">
        <f t="shared" si="17"/>
        <v>66699.378324746562</v>
      </c>
      <c r="J141" s="158">
        <f t="shared" si="21"/>
        <v>0</v>
      </c>
      <c r="K141" s="158"/>
      <c r="L141" s="334"/>
      <c r="M141" s="158">
        <f t="shared" si="22"/>
        <v>0</v>
      </c>
      <c r="N141" s="334"/>
      <c r="O141" s="158">
        <f t="shared" si="23"/>
        <v>0</v>
      </c>
      <c r="P141" s="158">
        <f t="shared" si="24"/>
        <v>0</v>
      </c>
    </row>
    <row r="142" spans="2:16">
      <c r="B142" s="9" t="str">
        <f t="shared" si="18"/>
        <v/>
      </c>
      <c r="C142" s="153">
        <f>IF(D93="","-",+C141+1)</f>
        <v>2060</v>
      </c>
      <c r="D142" s="154">
        <f>IF(F141+SUM(E$99:E141)=D$92,F141,D$92-SUM(E$99:E141))</f>
        <v>0</v>
      </c>
      <c r="E142" s="160">
        <f>IF(+J96&lt;F141,J96,D142)</f>
        <v>0</v>
      </c>
      <c r="F142" s="159">
        <f t="shared" si="19"/>
        <v>0</v>
      </c>
      <c r="G142" s="159">
        <f t="shared" si="20"/>
        <v>0</v>
      </c>
      <c r="H142" s="163">
        <f t="shared" si="16"/>
        <v>0</v>
      </c>
      <c r="I142" s="253">
        <f t="shared" si="17"/>
        <v>0</v>
      </c>
      <c r="J142" s="158">
        <f t="shared" si="21"/>
        <v>0</v>
      </c>
      <c r="K142" s="158"/>
      <c r="L142" s="334"/>
      <c r="M142" s="158">
        <f t="shared" si="22"/>
        <v>0</v>
      </c>
      <c r="N142" s="334"/>
      <c r="O142" s="158">
        <f t="shared" si="23"/>
        <v>0</v>
      </c>
      <c r="P142" s="158">
        <f t="shared" si="24"/>
        <v>0</v>
      </c>
    </row>
    <row r="143" spans="2:16">
      <c r="B143" s="9" t="str">
        <f t="shared" si="18"/>
        <v/>
      </c>
      <c r="C143" s="153">
        <f>IF(D93="","-",+C142+1)</f>
        <v>2061</v>
      </c>
      <c r="D143" s="154">
        <f>IF(F142+SUM(E$99:E142)=D$92,F142,D$92-SUM(E$99:E142))</f>
        <v>0</v>
      </c>
      <c r="E143" s="160">
        <f>IF(+J96&lt;F142,J96,D143)</f>
        <v>0</v>
      </c>
      <c r="F143" s="159">
        <f t="shared" si="19"/>
        <v>0</v>
      </c>
      <c r="G143" s="159">
        <f t="shared" si="20"/>
        <v>0</v>
      </c>
      <c r="H143" s="163">
        <f t="shared" si="16"/>
        <v>0</v>
      </c>
      <c r="I143" s="253">
        <f t="shared" si="17"/>
        <v>0</v>
      </c>
      <c r="J143" s="158">
        <f t="shared" si="21"/>
        <v>0</v>
      </c>
      <c r="K143" s="158"/>
      <c r="L143" s="334"/>
      <c r="M143" s="158">
        <f t="shared" si="22"/>
        <v>0</v>
      </c>
      <c r="N143" s="334"/>
      <c r="O143" s="158">
        <f t="shared" si="23"/>
        <v>0</v>
      </c>
      <c r="P143" s="158">
        <f t="shared" si="24"/>
        <v>0</v>
      </c>
    </row>
    <row r="144" spans="2:16">
      <c r="B144" s="9" t="str">
        <f t="shared" si="18"/>
        <v/>
      </c>
      <c r="C144" s="153">
        <f>IF(D93="","-",+C143+1)</f>
        <v>2062</v>
      </c>
      <c r="D144" s="154">
        <f>IF(F143+SUM(E$99:E143)=D$92,F143,D$92-SUM(E$99:E143))</f>
        <v>0</v>
      </c>
      <c r="E144" s="160">
        <f>IF(+J96&lt;F143,J96,D144)</f>
        <v>0</v>
      </c>
      <c r="F144" s="159">
        <f t="shared" si="19"/>
        <v>0</v>
      </c>
      <c r="G144" s="159">
        <f t="shared" si="20"/>
        <v>0</v>
      </c>
      <c r="H144" s="163">
        <f t="shared" si="16"/>
        <v>0</v>
      </c>
      <c r="I144" s="253">
        <f t="shared" si="17"/>
        <v>0</v>
      </c>
      <c r="J144" s="158">
        <f t="shared" si="21"/>
        <v>0</v>
      </c>
      <c r="K144" s="158"/>
      <c r="L144" s="334"/>
      <c r="M144" s="158">
        <f t="shared" si="22"/>
        <v>0</v>
      </c>
      <c r="N144" s="334"/>
      <c r="O144" s="158">
        <f t="shared" si="23"/>
        <v>0</v>
      </c>
      <c r="P144" s="158">
        <f t="shared" si="24"/>
        <v>0</v>
      </c>
    </row>
    <row r="145" spans="2:16">
      <c r="B145" s="9" t="str">
        <f t="shared" si="18"/>
        <v/>
      </c>
      <c r="C145" s="153">
        <f>IF(D93="","-",+C144+1)</f>
        <v>2063</v>
      </c>
      <c r="D145" s="154">
        <f>IF(F144+SUM(E$99:E144)=D$92,F144,D$92-SUM(E$99:E144))</f>
        <v>0</v>
      </c>
      <c r="E145" s="160">
        <f>IF(+J96&lt;F144,J96,D145)</f>
        <v>0</v>
      </c>
      <c r="F145" s="159">
        <f t="shared" si="19"/>
        <v>0</v>
      </c>
      <c r="G145" s="159">
        <f t="shared" si="20"/>
        <v>0</v>
      </c>
      <c r="H145" s="163">
        <f t="shared" si="16"/>
        <v>0</v>
      </c>
      <c r="I145" s="253">
        <f t="shared" si="17"/>
        <v>0</v>
      </c>
      <c r="J145" s="158">
        <f t="shared" si="21"/>
        <v>0</v>
      </c>
      <c r="K145" s="158"/>
      <c r="L145" s="334"/>
      <c r="M145" s="158">
        <f t="shared" si="22"/>
        <v>0</v>
      </c>
      <c r="N145" s="334"/>
      <c r="O145" s="158">
        <f t="shared" si="23"/>
        <v>0</v>
      </c>
      <c r="P145" s="158">
        <f t="shared" si="24"/>
        <v>0</v>
      </c>
    </row>
    <row r="146" spans="2:16">
      <c r="B146" s="9" t="str">
        <f t="shared" si="18"/>
        <v/>
      </c>
      <c r="C146" s="153">
        <f>IF(D93="","-",+C145+1)</f>
        <v>2064</v>
      </c>
      <c r="D146" s="154">
        <f>IF(F145+SUM(E$99:E145)=D$92,F145,D$92-SUM(E$99:E145))</f>
        <v>0</v>
      </c>
      <c r="E146" s="160">
        <f>IF(+J96&lt;F145,J96,D146)</f>
        <v>0</v>
      </c>
      <c r="F146" s="159">
        <f t="shared" si="19"/>
        <v>0</v>
      </c>
      <c r="G146" s="159">
        <f t="shared" si="20"/>
        <v>0</v>
      </c>
      <c r="H146" s="163">
        <f t="shared" si="16"/>
        <v>0</v>
      </c>
      <c r="I146" s="253">
        <f t="shared" si="17"/>
        <v>0</v>
      </c>
      <c r="J146" s="158">
        <f t="shared" si="21"/>
        <v>0</v>
      </c>
      <c r="K146" s="158"/>
      <c r="L146" s="334"/>
      <c r="M146" s="158">
        <f t="shared" si="22"/>
        <v>0</v>
      </c>
      <c r="N146" s="334"/>
      <c r="O146" s="158">
        <f t="shared" si="23"/>
        <v>0</v>
      </c>
      <c r="P146" s="158">
        <f t="shared" si="24"/>
        <v>0</v>
      </c>
    </row>
    <row r="147" spans="2:16">
      <c r="B147" s="9" t="str">
        <f t="shared" si="18"/>
        <v/>
      </c>
      <c r="C147" s="153">
        <f>IF(D93="","-",+C146+1)</f>
        <v>2065</v>
      </c>
      <c r="D147" s="154">
        <f>IF(F146+SUM(E$99:E146)=D$92,F146,D$92-SUM(E$99:E146))</f>
        <v>0</v>
      </c>
      <c r="E147" s="160">
        <f>IF(+J96&lt;F146,J96,D147)</f>
        <v>0</v>
      </c>
      <c r="F147" s="159">
        <f t="shared" si="19"/>
        <v>0</v>
      </c>
      <c r="G147" s="159">
        <f t="shared" si="20"/>
        <v>0</v>
      </c>
      <c r="H147" s="163">
        <f t="shared" si="16"/>
        <v>0</v>
      </c>
      <c r="I147" s="253">
        <f t="shared" si="17"/>
        <v>0</v>
      </c>
      <c r="J147" s="158">
        <f t="shared" si="21"/>
        <v>0</v>
      </c>
      <c r="K147" s="158"/>
      <c r="L147" s="334"/>
      <c r="M147" s="158">
        <f t="shared" si="22"/>
        <v>0</v>
      </c>
      <c r="N147" s="334"/>
      <c r="O147" s="158">
        <f t="shared" si="23"/>
        <v>0</v>
      </c>
      <c r="P147" s="158">
        <f t="shared" si="24"/>
        <v>0</v>
      </c>
    </row>
    <row r="148" spans="2:16">
      <c r="B148" s="9" t="str">
        <f t="shared" si="18"/>
        <v/>
      </c>
      <c r="C148" s="153">
        <f>IF(D93="","-",+C147+1)</f>
        <v>2066</v>
      </c>
      <c r="D148" s="154">
        <f>IF(F147+SUM(E$99:E147)=D$92,F147,D$92-SUM(E$99:E147))</f>
        <v>0</v>
      </c>
      <c r="E148" s="160">
        <f>IF(+J96&lt;F147,J96,D148)</f>
        <v>0</v>
      </c>
      <c r="F148" s="159">
        <f t="shared" si="19"/>
        <v>0</v>
      </c>
      <c r="G148" s="159">
        <f t="shared" si="20"/>
        <v>0</v>
      </c>
      <c r="H148" s="163">
        <f t="shared" si="16"/>
        <v>0</v>
      </c>
      <c r="I148" s="253">
        <f t="shared" si="17"/>
        <v>0</v>
      </c>
      <c r="J148" s="158">
        <f t="shared" si="21"/>
        <v>0</v>
      </c>
      <c r="K148" s="158"/>
      <c r="L148" s="334"/>
      <c r="M148" s="158">
        <f t="shared" si="22"/>
        <v>0</v>
      </c>
      <c r="N148" s="334"/>
      <c r="O148" s="158">
        <f t="shared" si="23"/>
        <v>0</v>
      </c>
      <c r="P148" s="158">
        <f t="shared" si="24"/>
        <v>0</v>
      </c>
    </row>
    <row r="149" spans="2:16">
      <c r="B149" s="9" t="str">
        <f t="shared" si="18"/>
        <v/>
      </c>
      <c r="C149" s="153">
        <f>IF(D93="","-",+C148+1)</f>
        <v>2067</v>
      </c>
      <c r="D149" s="154">
        <f>IF(F148+SUM(E$99:E148)=D$92,F148,D$92-SUM(E$99:E148))</f>
        <v>0</v>
      </c>
      <c r="E149" s="160">
        <f>IF(+J96&lt;F148,J96,D149)</f>
        <v>0</v>
      </c>
      <c r="F149" s="159">
        <f t="shared" si="19"/>
        <v>0</v>
      </c>
      <c r="G149" s="159">
        <f t="shared" si="20"/>
        <v>0</v>
      </c>
      <c r="H149" s="163">
        <f t="shared" si="16"/>
        <v>0</v>
      </c>
      <c r="I149" s="253">
        <f t="shared" si="17"/>
        <v>0</v>
      </c>
      <c r="J149" s="158">
        <f t="shared" si="21"/>
        <v>0</v>
      </c>
      <c r="K149" s="158"/>
      <c r="L149" s="334"/>
      <c r="M149" s="158">
        <f t="shared" si="22"/>
        <v>0</v>
      </c>
      <c r="N149" s="334"/>
      <c r="O149" s="158">
        <f t="shared" si="23"/>
        <v>0</v>
      </c>
      <c r="P149" s="158">
        <f t="shared" si="24"/>
        <v>0</v>
      </c>
    </row>
    <row r="150" spans="2:16">
      <c r="B150" s="9" t="str">
        <f t="shared" si="18"/>
        <v/>
      </c>
      <c r="C150" s="153">
        <f>IF(D93="","-",+C149+1)</f>
        <v>2068</v>
      </c>
      <c r="D150" s="154">
        <f>IF(F149+SUM(E$99:E149)=D$92,F149,D$92-SUM(E$99:E149))</f>
        <v>0</v>
      </c>
      <c r="E150" s="160">
        <f>IF(+J96&lt;F149,J96,D150)</f>
        <v>0</v>
      </c>
      <c r="F150" s="159">
        <f t="shared" si="19"/>
        <v>0</v>
      </c>
      <c r="G150" s="159">
        <f t="shared" si="20"/>
        <v>0</v>
      </c>
      <c r="H150" s="163">
        <f t="shared" si="16"/>
        <v>0</v>
      </c>
      <c r="I150" s="253">
        <f t="shared" si="17"/>
        <v>0</v>
      </c>
      <c r="J150" s="158">
        <f t="shared" si="21"/>
        <v>0</v>
      </c>
      <c r="K150" s="158"/>
      <c r="L150" s="334"/>
      <c r="M150" s="158">
        <f t="shared" si="22"/>
        <v>0</v>
      </c>
      <c r="N150" s="334"/>
      <c r="O150" s="158">
        <f t="shared" si="23"/>
        <v>0</v>
      </c>
      <c r="P150" s="158">
        <f t="shared" si="24"/>
        <v>0</v>
      </c>
    </row>
    <row r="151" spans="2:16">
      <c r="B151" s="9" t="str">
        <f t="shared" si="18"/>
        <v/>
      </c>
      <c r="C151" s="153">
        <f>IF(D93="","-",+C150+1)</f>
        <v>2069</v>
      </c>
      <c r="D151" s="154">
        <f>IF(F150+SUM(E$99:E150)=D$92,F150,D$92-SUM(E$99:E150))</f>
        <v>0</v>
      </c>
      <c r="E151" s="160">
        <f>IF(+J96&lt;F150,J96,D151)</f>
        <v>0</v>
      </c>
      <c r="F151" s="159">
        <f t="shared" si="19"/>
        <v>0</v>
      </c>
      <c r="G151" s="159">
        <f t="shared" si="20"/>
        <v>0</v>
      </c>
      <c r="H151" s="163">
        <f t="shared" si="16"/>
        <v>0</v>
      </c>
      <c r="I151" s="253">
        <f t="shared" si="17"/>
        <v>0</v>
      </c>
      <c r="J151" s="158">
        <f t="shared" si="21"/>
        <v>0</v>
      </c>
      <c r="K151" s="158"/>
      <c r="L151" s="334"/>
      <c r="M151" s="158">
        <f t="shared" si="22"/>
        <v>0</v>
      </c>
      <c r="N151" s="334"/>
      <c r="O151" s="158">
        <f t="shared" si="23"/>
        <v>0</v>
      </c>
      <c r="P151" s="158">
        <f t="shared" si="24"/>
        <v>0</v>
      </c>
    </row>
    <row r="152" spans="2:16">
      <c r="B152" s="9" t="str">
        <f t="shared" si="18"/>
        <v/>
      </c>
      <c r="C152" s="153">
        <f>IF(D93="","-",+C151+1)</f>
        <v>2070</v>
      </c>
      <c r="D152" s="154">
        <f>IF(F151+SUM(E$99:E151)=D$92,F151,D$92-SUM(E$99:E151))</f>
        <v>0</v>
      </c>
      <c r="E152" s="160">
        <f>IF(+J96&lt;F151,J96,D152)</f>
        <v>0</v>
      </c>
      <c r="F152" s="159">
        <f t="shared" si="19"/>
        <v>0</v>
      </c>
      <c r="G152" s="159">
        <f t="shared" si="20"/>
        <v>0</v>
      </c>
      <c r="H152" s="163">
        <f t="shared" si="16"/>
        <v>0</v>
      </c>
      <c r="I152" s="253">
        <f t="shared" si="17"/>
        <v>0</v>
      </c>
      <c r="J152" s="158">
        <f t="shared" si="21"/>
        <v>0</v>
      </c>
      <c r="K152" s="158"/>
      <c r="L152" s="334"/>
      <c r="M152" s="158">
        <f t="shared" si="22"/>
        <v>0</v>
      </c>
      <c r="N152" s="334"/>
      <c r="O152" s="158">
        <f t="shared" si="23"/>
        <v>0</v>
      </c>
      <c r="P152" s="158">
        <f t="shared" si="24"/>
        <v>0</v>
      </c>
    </row>
    <row r="153" spans="2:16">
      <c r="B153" s="9" t="str">
        <f t="shared" si="18"/>
        <v/>
      </c>
      <c r="C153" s="153">
        <f>IF(D93="","-",+C152+1)</f>
        <v>2071</v>
      </c>
      <c r="D153" s="154">
        <f>IF(F152+SUM(E$99:E152)=D$92,F152,D$92-SUM(E$99:E152))</f>
        <v>0</v>
      </c>
      <c r="E153" s="160">
        <f>IF(+J96&lt;F152,J96,D153)</f>
        <v>0</v>
      </c>
      <c r="F153" s="159">
        <f t="shared" si="19"/>
        <v>0</v>
      </c>
      <c r="G153" s="159">
        <f t="shared" si="20"/>
        <v>0</v>
      </c>
      <c r="H153" s="163">
        <f t="shared" si="16"/>
        <v>0</v>
      </c>
      <c r="I153" s="253">
        <f t="shared" si="17"/>
        <v>0</v>
      </c>
      <c r="J153" s="158">
        <f t="shared" si="21"/>
        <v>0</v>
      </c>
      <c r="K153" s="158"/>
      <c r="L153" s="334"/>
      <c r="M153" s="158">
        <f t="shared" si="22"/>
        <v>0</v>
      </c>
      <c r="N153" s="334"/>
      <c r="O153" s="158">
        <f t="shared" si="23"/>
        <v>0</v>
      </c>
      <c r="P153" s="158">
        <f t="shared" si="24"/>
        <v>0</v>
      </c>
    </row>
    <row r="154" spans="2:16" ht="13.5" thickBot="1">
      <c r="B154" s="9" t="str">
        <f t="shared" si="18"/>
        <v/>
      </c>
      <c r="C154" s="164">
        <f>IF(D93="","-",+C153+1)</f>
        <v>2072</v>
      </c>
      <c r="D154" s="215">
        <f>IF(F153+SUM(E$99:E153)=D$92,F153,D$92-SUM(E$99:E153))</f>
        <v>0</v>
      </c>
      <c r="E154" s="166">
        <f>IF(+J96&lt;F153,J96,D154)</f>
        <v>0</v>
      </c>
      <c r="F154" s="165">
        <f t="shared" si="19"/>
        <v>0</v>
      </c>
      <c r="G154" s="165">
        <f t="shared" si="20"/>
        <v>0</v>
      </c>
      <c r="H154" s="167">
        <f t="shared" si="16"/>
        <v>0</v>
      </c>
      <c r="I154" s="254">
        <f t="shared" si="17"/>
        <v>0</v>
      </c>
      <c r="J154" s="169">
        <f t="shared" si="21"/>
        <v>0</v>
      </c>
      <c r="K154" s="158"/>
      <c r="L154" s="335"/>
      <c r="M154" s="169">
        <f t="shared" si="22"/>
        <v>0</v>
      </c>
      <c r="N154" s="335"/>
      <c r="O154" s="169">
        <f t="shared" si="23"/>
        <v>0</v>
      </c>
      <c r="P154" s="169">
        <f t="shared" si="24"/>
        <v>0</v>
      </c>
    </row>
    <row r="155" spans="2:16">
      <c r="C155" s="154" t="s">
        <v>73</v>
      </c>
      <c r="D155" s="111"/>
      <c r="E155" s="111">
        <f>SUM(E99:E154)</f>
        <v>10563890</v>
      </c>
      <c r="F155" s="111"/>
      <c r="G155" s="111"/>
      <c r="H155" s="111">
        <f>SUM(H99:H154)</f>
        <v>37190520.680099778</v>
      </c>
      <c r="I155" s="111">
        <f>SUM(I99:I154)</f>
        <v>37190520.680099778</v>
      </c>
      <c r="J155" s="111">
        <f>SUM(J99:J154)</f>
        <v>0</v>
      </c>
      <c r="K155" s="111"/>
      <c r="L155" s="111"/>
      <c r="M155" s="111"/>
      <c r="N155" s="111"/>
      <c r="O155" s="111"/>
      <c r="P155" s="1"/>
    </row>
    <row r="156" spans="2:16">
      <c r="C156" t="s">
        <v>87</v>
      </c>
      <c r="D156" s="2"/>
      <c r="E156" s="1"/>
      <c r="F156" s="1"/>
      <c r="G156" s="1"/>
      <c r="H156" s="1"/>
      <c r="I156" s="3"/>
      <c r="J156" s="3"/>
      <c r="K156" s="111"/>
      <c r="L156" s="3"/>
      <c r="M156" s="3"/>
      <c r="N156" s="3"/>
      <c r="O156" s="3"/>
      <c r="P156" s="1"/>
    </row>
    <row r="157" spans="2:16">
      <c r="C157" s="216"/>
      <c r="D157" s="2"/>
      <c r="E157" s="1"/>
      <c r="F157" s="1"/>
      <c r="G157" s="1"/>
      <c r="H157" s="1"/>
      <c r="I157" s="3"/>
      <c r="J157" s="3"/>
      <c r="K157" s="111"/>
      <c r="L157" s="3"/>
      <c r="M157" s="3"/>
      <c r="N157" s="3"/>
      <c r="O157" s="3"/>
      <c r="P157" s="1"/>
    </row>
    <row r="158" spans="2:16">
      <c r="C158" s="248" t="s">
        <v>127</v>
      </c>
      <c r="D158" s="2"/>
      <c r="E158" s="1"/>
      <c r="F158" s="1"/>
      <c r="G158" s="1"/>
      <c r="H158" s="1"/>
      <c r="I158" s="3"/>
      <c r="J158" s="3"/>
      <c r="K158" s="111"/>
      <c r="L158" s="3"/>
      <c r="M158" s="3"/>
      <c r="N158" s="3"/>
      <c r="O158" s="3"/>
      <c r="P158" s="1"/>
    </row>
    <row r="159" spans="2:16">
      <c r="C159" s="121" t="s">
        <v>74</v>
      </c>
      <c r="D159" s="154"/>
      <c r="E159" s="154"/>
      <c r="F159" s="154"/>
      <c r="G159" s="154"/>
      <c r="H159" s="111"/>
      <c r="I159" s="111"/>
      <c r="J159" s="171"/>
      <c r="K159" s="171"/>
      <c r="L159" s="171"/>
      <c r="M159" s="171"/>
      <c r="N159" s="171"/>
      <c r="O159" s="171"/>
      <c r="P159" s="1"/>
    </row>
    <row r="160" spans="2:16">
      <c r="C160" s="217" t="s">
        <v>75</v>
      </c>
      <c r="D160" s="154"/>
      <c r="E160" s="154"/>
      <c r="F160" s="154"/>
      <c r="G160" s="154"/>
      <c r="H160" s="111"/>
      <c r="I160" s="111"/>
      <c r="J160" s="171"/>
      <c r="K160" s="171"/>
      <c r="L160" s="171"/>
      <c r="M160" s="171"/>
      <c r="N160" s="171"/>
      <c r="O160" s="171"/>
      <c r="P160" s="1"/>
    </row>
    <row r="161" spans="3:16">
      <c r="C161" s="217"/>
      <c r="D161" s="154"/>
      <c r="E161" s="154"/>
      <c r="F161" s="154"/>
      <c r="G161" s="154"/>
      <c r="H161" s="111"/>
      <c r="I161" s="111"/>
      <c r="J161" s="171"/>
      <c r="K161" s="171"/>
      <c r="L161" s="171"/>
      <c r="M161" s="171"/>
      <c r="N161" s="171"/>
      <c r="O161" s="171"/>
      <c r="P161" s="1"/>
    </row>
    <row r="162" spans="3:16" ht="18">
      <c r="C162" s="217"/>
      <c r="D162" s="154"/>
      <c r="E162" s="154"/>
      <c r="F162" s="154"/>
      <c r="G162" s="154"/>
      <c r="H162" s="111"/>
      <c r="I162" s="111"/>
      <c r="J162" s="171"/>
      <c r="K162" s="171"/>
      <c r="L162" s="171"/>
      <c r="M162" s="171"/>
      <c r="N162" s="171"/>
      <c r="P162" s="245" t="s">
        <v>126</v>
      </c>
    </row>
  </sheetData>
  <conditionalFormatting sqref="C18:C72">
    <cfRule type="cellIs" dxfId="22" priority="2" stopIfTrue="1" operator="equal">
      <formula>$I$10</formula>
    </cfRule>
  </conditionalFormatting>
  <conditionalFormatting sqref="C99:C154">
    <cfRule type="cellIs" dxfId="21" priority="3" stopIfTrue="1" operator="equal">
      <formula>$J$92</formula>
    </cfRule>
  </conditionalFormatting>
  <conditionalFormatting sqref="C17">
    <cfRule type="cellIs" dxfId="20" priority="1" stopIfTrue="1" operator="equal">
      <formula>$I$10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7"/>
  <dimension ref="A1:P162"/>
  <sheetViews>
    <sheetView view="pageBreakPreview" topLeftCell="A64" zoomScale="80" zoomScaleNormal="100" zoomScaleSheetLayoutView="80" workbookViewId="0">
      <selection activeCell="C19" sqref="C19"/>
    </sheetView>
  </sheetViews>
  <sheetFormatPr defaultRowHeight="12.75" customHeight="1"/>
  <cols>
    <col min="1" max="1" width="4.7109375" customWidth="1"/>
    <col min="2" max="2" width="6.7109375" customWidth="1"/>
    <col min="3" max="3" width="23.28515625" customWidth="1"/>
    <col min="4" max="8" width="17.7109375" customWidth="1"/>
    <col min="9" max="9" width="20.42578125" customWidth="1"/>
    <col min="10" max="10" width="16.42578125" customWidth="1"/>
    <col min="11" max="11" width="17.7109375" customWidth="1"/>
    <col min="12" max="12" width="16.140625" customWidth="1"/>
    <col min="13" max="13" width="17.7109375" customWidth="1"/>
    <col min="14" max="14" width="16.7109375" customWidth="1"/>
    <col min="15" max="15" width="16.85546875" customWidth="1"/>
    <col min="16" max="16" width="24.42578125" customWidth="1"/>
    <col min="17" max="17" width="9.140625" customWidth="1"/>
    <col min="23" max="23" width="9.140625" customWidth="1"/>
  </cols>
  <sheetData>
    <row r="1" spans="1:16" ht="20.25">
      <c r="A1" s="243" t="s">
        <v>128</v>
      </c>
      <c r="B1" s="1"/>
      <c r="C1" s="21"/>
      <c r="D1" s="2"/>
      <c r="E1" s="1"/>
      <c r="F1" s="99"/>
      <c r="G1" s="1"/>
      <c r="H1" s="3"/>
      <c r="J1" s="7"/>
      <c r="K1" s="109"/>
      <c r="L1" s="109"/>
      <c r="M1" s="109"/>
      <c r="P1" s="249" t="str">
        <f ca="1">"SWEPCO Project "&amp;RIGHT(MID(CELL("filename",$A$1),FIND("]",CELL("filename",$A$1))+1,256),2)&amp;" of "&amp;COUNT('S.001:S.xyz - blank'!$P$3)-1</f>
        <v>SWEPCO Project 68 of 73</v>
      </c>
    </row>
    <row r="2" spans="1:16" ht="18">
      <c r="B2" s="1"/>
      <c r="C2" s="1"/>
      <c r="D2" s="2"/>
      <c r="E2" s="1"/>
      <c r="F2" s="1"/>
      <c r="G2" s="1"/>
      <c r="H2" s="3"/>
      <c r="I2" s="1"/>
      <c r="J2" s="4"/>
      <c r="K2" s="1"/>
      <c r="L2" s="1"/>
      <c r="M2" s="1"/>
      <c r="N2" s="1"/>
      <c r="P2" s="244" t="s">
        <v>124</v>
      </c>
    </row>
    <row r="3" spans="1:16" ht="18.75">
      <c r="B3" s="5" t="s">
        <v>40</v>
      </c>
      <c r="C3" s="68" t="s">
        <v>41</v>
      </c>
      <c r="D3" s="2"/>
      <c r="E3" s="1"/>
      <c r="F3" s="1"/>
      <c r="G3" s="1"/>
      <c r="H3" s="3"/>
      <c r="I3" s="3"/>
      <c r="J3" s="111"/>
      <c r="K3" s="3"/>
      <c r="L3" s="3"/>
      <c r="M3" s="3"/>
      <c r="N3" s="3"/>
      <c r="O3" s="1"/>
      <c r="P3" s="240">
        <v>1</v>
      </c>
    </row>
    <row r="4" spans="1:16" ht="15.75" thickBot="1">
      <c r="C4" s="67"/>
      <c r="D4" s="2"/>
      <c r="E4" s="1"/>
      <c r="F4" s="1"/>
      <c r="G4" s="1"/>
      <c r="H4" s="3"/>
      <c r="I4" s="3"/>
      <c r="J4" s="111"/>
      <c r="K4" s="3"/>
      <c r="L4" s="3"/>
      <c r="M4" s="3"/>
      <c r="N4" s="3"/>
      <c r="O4" s="1"/>
      <c r="P4" s="1"/>
    </row>
    <row r="5" spans="1:16" ht="15">
      <c r="C5" s="112" t="s">
        <v>42</v>
      </c>
      <c r="D5" s="2"/>
      <c r="E5" s="1"/>
      <c r="F5" s="1"/>
      <c r="G5" s="113"/>
      <c r="H5" s="1" t="s">
        <v>43</v>
      </c>
      <c r="I5" s="1"/>
      <c r="J5" s="4"/>
      <c r="K5" s="268" t="s">
        <v>152</v>
      </c>
      <c r="L5" s="114"/>
      <c r="M5" s="115"/>
      <c r="N5" s="116">
        <f>VLOOKUP(I10,C17:I72,5)</f>
        <v>1170030.3322670816</v>
      </c>
      <c r="P5" s="1"/>
    </row>
    <row r="6" spans="1:16" ht="15.75">
      <c r="C6" s="8"/>
      <c r="D6" s="2"/>
      <c r="E6" s="1"/>
      <c r="F6" s="1"/>
      <c r="G6" s="1"/>
      <c r="H6" s="117"/>
      <c r="I6" s="117"/>
      <c r="J6" s="118"/>
      <c r="K6" s="269" t="s">
        <v>153</v>
      </c>
      <c r="L6" s="119"/>
      <c r="M6" s="4"/>
      <c r="N6" s="120">
        <f>VLOOKUP(I10,C17:I72,6)</f>
        <v>1170030.3322670816</v>
      </c>
      <c r="O6" s="1"/>
      <c r="P6" s="1"/>
    </row>
    <row r="7" spans="1:16" ht="13.5" thickBot="1">
      <c r="C7" s="121" t="s">
        <v>44</v>
      </c>
      <c r="D7" s="223" t="s">
        <v>391</v>
      </c>
      <c r="E7" s="1"/>
      <c r="F7" s="1"/>
      <c r="G7" s="1"/>
      <c r="H7" s="3"/>
      <c r="I7" s="3"/>
      <c r="J7" s="111"/>
      <c r="K7" s="122" t="s">
        <v>45</v>
      </c>
      <c r="L7" s="123"/>
      <c r="M7" s="123"/>
      <c r="N7" s="124">
        <f>+N6-N5</f>
        <v>0</v>
      </c>
      <c r="O7" s="1"/>
      <c r="P7" s="1"/>
    </row>
    <row r="8" spans="1:16" ht="13.5" thickBot="1">
      <c r="C8" s="125"/>
      <c r="D8" s="352" t="str">
        <f>IF(D10&lt;100000,"DOES NOT MEET SPP $100,000 MINIMUM INVESTMENT FOR REGIONAL BPU SHARING.","")</f>
        <v/>
      </c>
      <c r="E8" s="126"/>
      <c r="F8" s="126"/>
      <c r="G8" s="126"/>
      <c r="H8" s="126"/>
      <c r="I8" s="126"/>
      <c r="J8" s="101"/>
      <c r="K8" s="126"/>
      <c r="L8" s="126"/>
      <c r="M8" s="126"/>
      <c r="N8" s="126"/>
      <c r="O8" s="101"/>
      <c r="P8" s="21"/>
    </row>
    <row r="9" spans="1:16" ht="13.5" thickBot="1">
      <c r="C9" s="127" t="s">
        <v>46</v>
      </c>
      <c r="D9" s="225" t="s">
        <v>252</v>
      </c>
      <c r="E9" s="401" t="s">
        <v>455</v>
      </c>
      <c r="F9" s="128"/>
      <c r="G9" s="128"/>
      <c r="H9" s="128"/>
      <c r="I9" s="129"/>
      <c r="J9" s="130"/>
      <c r="O9" s="131"/>
      <c r="P9" s="4"/>
    </row>
    <row r="10" spans="1:16">
      <c r="C10" s="132" t="s">
        <v>47</v>
      </c>
      <c r="D10" s="133">
        <v>9731000</v>
      </c>
      <c r="E10" s="61" t="s">
        <v>459</v>
      </c>
      <c r="F10" s="131"/>
      <c r="G10" s="134"/>
      <c r="H10" s="134"/>
      <c r="I10" s="135">
        <f>+SWE.WS.F.BPU.ATRR.Projected!K17</f>
        <v>2019</v>
      </c>
      <c r="J10" s="130"/>
      <c r="K10" s="111" t="s">
        <v>48</v>
      </c>
      <c r="O10" s="4"/>
      <c r="P10" s="4"/>
    </row>
    <row r="11" spans="1:16">
      <c r="C11" s="136" t="s">
        <v>49</v>
      </c>
      <c r="D11" s="137">
        <v>2018</v>
      </c>
      <c r="E11" s="136" t="s">
        <v>50</v>
      </c>
      <c r="F11" s="134"/>
      <c r="G11" s="7"/>
      <c r="H11" s="7"/>
      <c r="I11" s="138">
        <f>IF(G5="",0,SWE.WS.F.BPU.ATRR.Projected!F$11)</f>
        <v>0</v>
      </c>
      <c r="J11" s="139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4"/>
      <c r="P11" s="4"/>
    </row>
    <row r="12" spans="1:16">
      <c r="C12" s="136" t="s">
        <v>51</v>
      </c>
      <c r="D12" s="133">
        <v>6</v>
      </c>
      <c r="E12" s="136" t="s">
        <v>52</v>
      </c>
      <c r="F12" s="134"/>
      <c r="G12" s="7"/>
      <c r="H12" s="7"/>
      <c r="I12" s="140">
        <f>SWE.WS.F.BPU.ATRR.Projected!$F$76</f>
        <v>9.9555672459071778E-2</v>
      </c>
      <c r="J12" s="141"/>
      <c r="K12" t="s">
        <v>53</v>
      </c>
      <c r="O12" s="4"/>
      <c r="P12" s="4"/>
    </row>
    <row r="13" spans="1:16">
      <c r="C13" s="136" t="s">
        <v>54</v>
      </c>
      <c r="D13" s="138">
        <f>+SWE.WS.F.BPU.ATRR.Projected!F$87</f>
        <v>43</v>
      </c>
      <c r="E13" s="136" t="s">
        <v>55</v>
      </c>
      <c r="F13" s="134"/>
      <c r="G13" s="7"/>
      <c r="H13" s="7"/>
      <c r="I13" s="140">
        <f>IF(G5="",I12,SWE.WS.F.BPU.ATRR.Projected!$F$75)</f>
        <v>9.9555672459071778E-2</v>
      </c>
      <c r="J13" s="141"/>
      <c r="K13" s="111" t="s">
        <v>56</v>
      </c>
      <c r="L13" s="58"/>
      <c r="M13" s="58"/>
      <c r="N13" s="58"/>
      <c r="O13" s="4"/>
      <c r="P13" s="4"/>
    </row>
    <row r="14" spans="1:16" ht="13.5" thickBot="1">
      <c r="C14" s="136" t="s">
        <v>57</v>
      </c>
      <c r="D14" s="137" t="s">
        <v>58</v>
      </c>
      <c r="E14" s="4" t="s">
        <v>59</v>
      </c>
      <c r="F14" s="134"/>
      <c r="G14" s="7"/>
      <c r="H14" s="7"/>
      <c r="I14" s="142">
        <f>IF(D10=0,0,D10/D13)</f>
        <v>226302.32558139536</v>
      </c>
      <c r="J14" s="111"/>
      <c r="K14" s="111"/>
      <c r="L14" s="111"/>
      <c r="M14" s="111"/>
      <c r="N14" s="111"/>
      <c r="O14" s="4"/>
      <c r="P14" s="4"/>
    </row>
    <row r="15" spans="1:16" ht="38.25">
      <c r="C15" s="143" t="s">
        <v>47</v>
      </c>
      <c r="D15" s="144" t="s">
        <v>60</v>
      </c>
      <c r="E15" s="144" t="s">
        <v>61</v>
      </c>
      <c r="F15" s="144" t="s">
        <v>62</v>
      </c>
      <c r="G15" s="434" t="s">
        <v>378</v>
      </c>
      <c r="H15" s="435" t="s">
        <v>379</v>
      </c>
      <c r="I15" s="143" t="s">
        <v>63</v>
      </c>
      <c r="J15" s="145"/>
      <c r="K15" s="271" t="s">
        <v>219</v>
      </c>
      <c r="L15" s="146" t="s">
        <v>64</v>
      </c>
      <c r="M15" s="271" t="s">
        <v>219</v>
      </c>
      <c r="N15" s="146" t="s">
        <v>64</v>
      </c>
      <c r="O15" s="146" t="s">
        <v>65</v>
      </c>
      <c r="P15" s="4"/>
    </row>
    <row r="16" spans="1:16" ht="13.5" thickBot="1">
      <c r="C16" s="147" t="s">
        <v>66</v>
      </c>
      <c r="D16" s="147" t="s">
        <v>67</v>
      </c>
      <c r="E16" s="147" t="s">
        <v>68</v>
      </c>
      <c r="F16" s="147" t="s">
        <v>67</v>
      </c>
      <c r="G16" s="408" t="s">
        <v>69</v>
      </c>
      <c r="H16" s="148" t="s">
        <v>70</v>
      </c>
      <c r="I16" s="149" t="s">
        <v>89</v>
      </c>
      <c r="J16" s="150" t="s">
        <v>71</v>
      </c>
      <c r="K16" s="151" t="s">
        <v>72</v>
      </c>
      <c r="L16" s="151" t="s">
        <v>72</v>
      </c>
      <c r="M16" s="151" t="s">
        <v>90</v>
      </c>
      <c r="N16" s="152" t="s">
        <v>90</v>
      </c>
      <c r="O16" s="151" t="s">
        <v>90</v>
      </c>
      <c r="P16" s="4"/>
    </row>
    <row r="17" spans="2:16">
      <c r="C17" s="153">
        <f>IF(D11= "","-",D11)</f>
        <v>2018</v>
      </c>
      <c r="D17" s="360">
        <v>0</v>
      </c>
      <c r="E17" s="360">
        <v>138449.18699186991</v>
      </c>
      <c r="F17" s="360">
        <v>9592550.8130081296</v>
      </c>
      <c r="G17" s="360">
        <v>675076.67197655526</v>
      </c>
      <c r="H17" s="360">
        <v>675076.67197655526</v>
      </c>
      <c r="I17" s="156">
        <f t="shared" ref="I17:I72" si="0">H17-G17</f>
        <v>0</v>
      </c>
      <c r="J17" s="156"/>
      <c r="K17" s="256">
        <f>+G17</f>
        <v>675076.67197655526</v>
      </c>
      <c r="L17" s="157">
        <f t="shared" ref="L17:L72" si="1">IF(K17&lt;&gt;0,+G17-K17,0)</f>
        <v>0</v>
      </c>
      <c r="M17" s="256">
        <f>+H17</f>
        <v>675076.67197655526</v>
      </c>
      <c r="N17" s="157">
        <f t="shared" ref="N17:N72" si="2">IF(M17&lt;&gt;0,+H17-M17,0)</f>
        <v>0</v>
      </c>
      <c r="O17" s="158">
        <f t="shared" ref="O17:O72" si="3">+N17-L17</f>
        <v>0</v>
      </c>
      <c r="P17" s="4"/>
    </row>
    <row r="18" spans="2:16">
      <c r="B18" s="9" t="str">
        <f>IF(D18=F17,"","IU")</f>
        <v/>
      </c>
      <c r="C18" s="153">
        <f>IF(D11="","-",+C17+1)</f>
        <v>2019</v>
      </c>
      <c r="D18" s="159">
        <f>IF(F17+SUM(E$17:E17)=D$10,F17,D$10-SUM(E$17:E17))</f>
        <v>9592550.8130081296</v>
      </c>
      <c r="E18" s="160">
        <f>IF(+I14&lt;F17,I14,D18)</f>
        <v>226302.32558139536</v>
      </c>
      <c r="F18" s="159">
        <f t="shared" ref="F18:F72" si="4">+D18-E18</f>
        <v>9366248.4874267336</v>
      </c>
      <c r="G18" s="161">
        <f t="shared" ref="G18:G72" si="5">+I$12*((D18+F18)/2)+E18</f>
        <v>1170030.3322670816</v>
      </c>
      <c r="H18" s="142">
        <f t="shared" ref="H18:H72" si="6">+I$13*((D18+F18)/2)+E18</f>
        <v>1170030.3322670816</v>
      </c>
      <c r="I18" s="156">
        <f t="shared" si="0"/>
        <v>0</v>
      </c>
      <c r="J18" s="156"/>
      <c r="K18" s="334"/>
      <c r="L18" s="158">
        <f t="shared" si="1"/>
        <v>0</v>
      </c>
      <c r="M18" s="334"/>
      <c r="N18" s="158">
        <f t="shared" si="2"/>
        <v>0</v>
      </c>
      <c r="O18" s="158">
        <f t="shared" si="3"/>
        <v>0</v>
      </c>
      <c r="P18" s="4"/>
    </row>
    <row r="19" spans="2:16">
      <c r="B19" s="9" t="str">
        <f>IF(D19=F18,"","IU")</f>
        <v/>
      </c>
      <c r="C19" s="153">
        <f>IF(D11="","-",+C18+1)</f>
        <v>2020</v>
      </c>
      <c r="D19" s="159">
        <f>IF(F18+SUM(E$17:E18)=D$10,F18,D$10-SUM(E$17:E18))</f>
        <v>9366248.4874267336</v>
      </c>
      <c r="E19" s="160">
        <f>IF(+I14&lt;F18,I14,D19)</f>
        <v>226302.32558139536</v>
      </c>
      <c r="F19" s="159">
        <f t="shared" si="4"/>
        <v>9139946.1618453376</v>
      </c>
      <c r="G19" s="161">
        <f t="shared" si="5"/>
        <v>1147500.6520647737</v>
      </c>
      <c r="H19" s="142">
        <f t="shared" si="6"/>
        <v>1147500.6520647737</v>
      </c>
      <c r="I19" s="156">
        <f t="shared" si="0"/>
        <v>0</v>
      </c>
      <c r="J19" s="156"/>
      <c r="K19" s="334"/>
      <c r="L19" s="158">
        <f t="shared" si="1"/>
        <v>0</v>
      </c>
      <c r="M19" s="334"/>
      <c r="N19" s="158">
        <f t="shared" si="2"/>
        <v>0</v>
      </c>
      <c r="O19" s="158">
        <f t="shared" si="3"/>
        <v>0</v>
      </c>
      <c r="P19" s="4"/>
    </row>
    <row r="20" spans="2:16">
      <c r="B20" s="9" t="str">
        <f t="shared" ref="B20:B72" si="7">IF(D20=F19,"","IU")</f>
        <v/>
      </c>
      <c r="C20" s="153">
        <f>IF(D11="","-",+C19+1)</f>
        <v>2021</v>
      </c>
      <c r="D20" s="159">
        <f>IF(F19+SUM(E$17:E19)=D$10,F19,D$10-SUM(E$17:E19))</f>
        <v>9139946.1618453376</v>
      </c>
      <c r="E20" s="160">
        <f>IF(+I14&lt;F19,I14,D20)</f>
        <v>226302.32558139536</v>
      </c>
      <c r="F20" s="159">
        <f t="shared" si="4"/>
        <v>8913643.8362639416</v>
      </c>
      <c r="G20" s="161">
        <f t="shared" si="5"/>
        <v>1124970.9718624663</v>
      </c>
      <c r="H20" s="142">
        <f t="shared" si="6"/>
        <v>1124970.9718624663</v>
      </c>
      <c r="I20" s="156">
        <f t="shared" si="0"/>
        <v>0</v>
      </c>
      <c r="J20" s="156"/>
      <c r="K20" s="334"/>
      <c r="L20" s="158">
        <f t="shared" si="1"/>
        <v>0</v>
      </c>
      <c r="M20" s="334"/>
      <c r="N20" s="158">
        <f t="shared" si="2"/>
        <v>0</v>
      </c>
      <c r="O20" s="158">
        <f t="shared" si="3"/>
        <v>0</v>
      </c>
      <c r="P20" s="4"/>
    </row>
    <row r="21" spans="2:16">
      <c r="B21" s="9" t="str">
        <f t="shared" si="7"/>
        <v/>
      </c>
      <c r="C21" s="153">
        <f>IF(D11="","-",+C20+1)</f>
        <v>2022</v>
      </c>
      <c r="D21" s="159">
        <f>IF(F20+SUM(E$17:E20)=D$10,F20,D$10-SUM(E$17:E20))</f>
        <v>8913643.8362639416</v>
      </c>
      <c r="E21" s="160">
        <f>IF(+I14&lt;F20,I14,D21)</f>
        <v>226302.32558139536</v>
      </c>
      <c r="F21" s="159">
        <f t="shared" si="4"/>
        <v>8687341.5106825456</v>
      </c>
      <c r="G21" s="161">
        <f t="shared" si="5"/>
        <v>1102441.2916601584</v>
      </c>
      <c r="H21" s="142">
        <f t="shared" si="6"/>
        <v>1102441.2916601584</v>
      </c>
      <c r="I21" s="156">
        <f t="shared" si="0"/>
        <v>0</v>
      </c>
      <c r="J21" s="156"/>
      <c r="K21" s="334"/>
      <c r="L21" s="158">
        <f t="shared" si="1"/>
        <v>0</v>
      </c>
      <c r="M21" s="334"/>
      <c r="N21" s="158">
        <f t="shared" si="2"/>
        <v>0</v>
      </c>
      <c r="O21" s="158">
        <f t="shared" si="3"/>
        <v>0</v>
      </c>
      <c r="P21" s="4"/>
    </row>
    <row r="22" spans="2:16">
      <c r="B22" s="9" t="str">
        <f t="shared" si="7"/>
        <v/>
      </c>
      <c r="C22" s="153">
        <f>IF(D11="","-",+C21+1)</f>
        <v>2023</v>
      </c>
      <c r="D22" s="159">
        <f>IF(F21+SUM(E$17:E21)=D$10,F21,D$10-SUM(E$17:E21))</f>
        <v>8687341.5106825456</v>
      </c>
      <c r="E22" s="160">
        <f>IF(+I14&lt;F21,I14,D22)</f>
        <v>226302.32558139536</v>
      </c>
      <c r="F22" s="159">
        <f t="shared" si="4"/>
        <v>8461039.1851011496</v>
      </c>
      <c r="G22" s="161">
        <f t="shared" si="5"/>
        <v>1079911.611457851</v>
      </c>
      <c r="H22" s="142">
        <f t="shared" si="6"/>
        <v>1079911.611457851</v>
      </c>
      <c r="I22" s="156">
        <f t="shared" si="0"/>
        <v>0</v>
      </c>
      <c r="J22" s="156"/>
      <c r="K22" s="334"/>
      <c r="L22" s="158">
        <f t="shared" si="1"/>
        <v>0</v>
      </c>
      <c r="M22" s="334"/>
      <c r="N22" s="158">
        <f t="shared" si="2"/>
        <v>0</v>
      </c>
      <c r="O22" s="158">
        <f t="shared" si="3"/>
        <v>0</v>
      </c>
      <c r="P22" s="4"/>
    </row>
    <row r="23" spans="2:16">
      <c r="B23" s="9" t="str">
        <f t="shared" si="7"/>
        <v/>
      </c>
      <c r="C23" s="153">
        <f>IF(D11="","-",+C22+1)</f>
        <v>2024</v>
      </c>
      <c r="D23" s="159">
        <f>IF(F22+SUM(E$17:E22)=D$10,F22,D$10-SUM(E$17:E22))</f>
        <v>8461039.1851011496</v>
      </c>
      <c r="E23" s="160">
        <f>IF(+I14&lt;F22,I14,D23)</f>
        <v>226302.32558139536</v>
      </c>
      <c r="F23" s="159">
        <f t="shared" si="4"/>
        <v>8234736.8595197545</v>
      </c>
      <c r="G23" s="161">
        <f t="shared" si="5"/>
        <v>1057381.9312555431</v>
      </c>
      <c r="H23" s="142">
        <f t="shared" si="6"/>
        <v>1057381.9312555431</v>
      </c>
      <c r="I23" s="156">
        <f t="shared" si="0"/>
        <v>0</v>
      </c>
      <c r="J23" s="156"/>
      <c r="K23" s="334"/>
      <c r="L23" s="158">
        <f t="shared" si="1"/>
        <v>0</v>
      </c>
      <c r="M23" s="334"/>
      <c r="N23" s="158">
        <f t="shared" si="2"/>
        <v>0</v>
      </c>
      <c r="O23" s="158">
        <f t="shared" si="3"/>
        <v>0</v>
      </c>
      <c r="P23" s="4"/>
    </row>
    <row r="24" spans="2:16">
      <c r="B24" s="9" t="str">
        <f t="shared" si="7"/>
        <v/>
      </c>
      <c r="C24" s="153">
        <f>IF(D11="","-",+C23+1)</f>
        <v>2025</v>
      </c>
      <c r="D24" s="159">
        <f>IF(F23+SUM(E$17:E23)=D$10,F23,D$10-SUM(E$17:E23))</f>
        <v>8234736.8595197545</v>
      </c>
      <c r="E24" s="160">
        <f>IF(+I14&lt;F23,I14,D24)</f>
        <v>226302.32558139536</v>
      </c>
      <c r="F24" s="159">
        <f t="shared" si="4"/>
        <v>8008434.5339383595</v>
      </c>
      <c r="G24" s="161">
        <f t="shared" si="5"/>
        <v>1034852.2510532355</v>
      </c>
      <c r="H24" s="142">
        <f t="shared" si="6"/>
        <v>1034852.2510532355</v>
      </c>
      <c r="I24" s="156">
        <f t="shared" si="0"/>
        <v>0</v>
      </c>
      <c r="J24" s="156"/>
      <c r="K24" s="334"/>
      <c r="L24" s="158">
        <f t="shared" si="1"/>
        <v>0</v>
      </c>
      <c r="M24" s="334"/>
      <c r="N24" s="158">
        <f t="shared" si="2"/>
        <v>0</v>
      </c>
      <c r="O24" s="158">
        <f t="shared" si="3"/>
        <v>0</v>
      </c>
      <c r="P24" s="4"/>
    </row>
    <row r="25" spans="2:16">
      <c r="B25" s="9" t="str">
        <f t="shared" si="7"/>
        <v/>
      </c>
      <c r="C25" s="153">
        <f>IF(D11="","-",+C24+1)</f>
        <v>2026</v>
      </c>
      <c r="D25" s="159">
        <f>IF(F24+SUM(E$17:E24)=D$10,F24,D$10-SUM(E$17:E24))</f>
        <v>8008434.5339383595</v>
      </c>
      <c r="E25" s="160">
        <f>IF(+I14&lt;F24,I14,D25)</f>
        <v>226302.32558139536</v>
      </c>
      <c r="F25" s="159">
        <f t="shared" si="4"/>
        <v>7782132.2083569644</v>
      </c>
      <c r="G25" s="161">
        <f t="shared" si="5"/>
        <v>1012322.5708509281</v>
      </c>
      <c r="H25" s="142">
        <f t="shared" si="6"/>
        <v>1012322.5708509281</v>
      </c>
      <c r="I25" s="156">
        <f t="shared" si="0"/>
        <v>0</v>
      </c>
      <c r="J25" s="156"/>
      <c r="K25" s="334"/>
      <c r="L25" s="158">
        <f t="shared" si="1"/>
        <v>0</v>
      </c>
      <c r="M25" s="334"/>
      <c r="N25" s="158">
        <f t="shared" si="2"/>
        <v>0</v>
      </c>
      <c r="O25" s="158">
        <f t="shared" si="3"/>
        <v>0</v>
      </c>
      <c r="P25" s="4"/>
    </row>
    <row r="26" spans="2:16">
      <c r="B26" s="9" t="str">
        <f t="shared" si="7"/>
        <v/>
      </c>
      <c r="C26" s="153">
        <f>IF(D11="","-",+C25+1)</f>
        <v>2027</v>
      </c>
      <c r="D26" s="159">
        <f>IF(F25+SUM(E$17:E25)=D$10,F25,D$10-SUM(E$17:E25))</f>
        <v>7782132.2083569644</v>
      </c>
      <c r="E26" s="160">
        <f>IF(+I14&lt;F25,I14,D26)</f>
        <v>226302.32558139536</v>
      </c>
      <c r="F26" s="159">
        <f t="shared" si="4"/>
        <v>7555829.8827755693</v>
      </c>
      <c r="G26" s="161">
        <f t="shared" si="5"/>
        <v>989792.89064862044</v>
      </c>
      <c r="H26" s="142">
        <f t="shared" si="6"/>
        <v>989792.89064862044</v>
      </c>
      <c r="I26" s="156">
        <f t="shared" si="0"/>
        <v>0</v>
      </c>
      <c r="J26" s="156"/>
      <c r="K26" s="334"/>
      <c r="L26" s="158">
        <f t="shared" si="1"/>
        <v>0</v>
      </c>
      <c r="M26" s="334"/>
      <c r="N26" s="158">
        <f t="shared" si="2"/>
        <v>0</v>
      </c>
      <c r="O26" s="158">
        <f t="shared" si="3"/>
        <v>0</v>
      </c>
      <c r="P26" s="4"/>
    </row>
    <row r="27" spans="2:16">
      <c r="B27" s="9" t="str">
        <f t="shared" si="7"/>
        <v/>
      </c>
      <c r="C27" s="153">
        <f>IF(D11="","-",+C26+1)</f>
        <v>2028</v>
      </c>
      <c r="D27" s="159">
        <f>IF(F26+SUM(E$17:E26)=D$10,F26,D$10-SUM(E$17:E26))</f>
        <v>7555829.8827755693</v>
      </c>
      <c r="E27" s="160">
        <f>IF(+I14&lt;F26,I14,D27)</f>
        <v>226302.32558139536</v>
      </c>
      <c r="F27" s="159">
        <f t="shared" si="4"/>
        <v>7329527.5571941743</v>
      </c>
      <c r="G27" s="161">
        <f t="shared" si="5"/>
        <v>967263.21044631279</v>
      </c>
      <c r="H27" s="142">
        <f t="shared" si="6"/>
        <v>967263.21044631279</v>
      </c>
      <c r="I27" s="156">
        <f t="shared" si="0"/>
        <v>0</v>
      </c>
      <c r="J27" s="156"/>
      <c r="K27" s="334"/>
      <c r="L27" s="158">
        <f t="shared" si="1"/>
        <v>0</v>
      </c>
      <c r="M27" s="334"/>
      <c r="N27" s="158">
        <f t="shared" si="2"/>
        <v>0</v>
      </c>
      <c r="O27" s="158">
        <f t="shared" si="3"/>
        <v>0</v>
      </c>
      <c r="P27" s="4"/>
    </row>
    <row r="28" spans="2:16">
      <c r="B28" s="9" t="str">
        <f t="shared" si="7"/>
        <v/>
      </c>
      <c r="C28" s="153">
        <f>IF(D11="","-",+C27+1)</f>
        <v>2029</v>
      </c>
      <c r="D28" s="159">
        <f>IF(F27+SUM(E$17:E27)=D$10,F27,D$10-SUM(E$17:E27))</f>
        <v>7329527.5571941743</v>
      </c>
      <c r="E28" s="160">
        <f>IF(+I14&lt;F27,I14,D28)</f>
        <v>226302.32558139536</v>
      </c>
      <c r="F28" s="159">
        <f t="shared" si="4"/>
        <v>7103225.2316127792</v>
      </c>
      <c r="G28" s="161">
        <f t="shared" si="5"/>
        <v>944733.53024400515</v>
      </c>
      <c r="H28" s="142">
        <f t="shared" si="6"/>
        <v>944733.53024400515</v>
      </c>
      <c r="I28" s="156">
        <f t="shared" si="0"/>
        <v>0</v>
      </c>
      <c r="J28" s="156"/>
      <c r="K28" s="334"/>
      <c r="L28" s="158">
        <f t="shared" si="1"/>
        <v>0</v>
      </c>
      <c r="M28" s="334"/>
      <c r="N28" s="158">
        <f t="shared" si="2"/>
        <v>0</v>
      </c>
      <c r="O28" s="158">
        <f t="shared" si="3"/>
        <v>0</v>
      </c>
      <c r="P28" s="4"/>
    </row>
    <row r="29" spans="2:16">
      <c r="B29" s="9" t="str">
        <f t="shared" si="7"/>
        <v/>
      </c>
      <c r="C29" s="153">
        <f>IF(D11="","-",+C28+1)</f>
        <v>2030</v>
      </c>
      <c r="D29" s="159">
        <f>IF(F28+SUM(E$17:E28)=D$10,F28,D$10-SUM(E$17:E28))</f>
        <v>7103225.2316127792</v>
      </c>
      <c r="E29" s="160">
        <f>IF(+I14&lt;F28,I14,D29)</f>
        <v>226302.32558139536</v>
      </c>
      <c r="F29" s="159">
        <f t="shared" si="4"/>
        <v>6876922.9060313841</v>
      </c>
      <c r="G29" s="161">
        <f t="shared" si="5"/>
        <v>922203.85004169773</v>
      </c>
      <c r="H29" s="142">
        <f t="shared" si="6"/>
        <v>922203.85004169773</v>
      </c>
      <c r="I29" s="156">
        <f t="shared" si="0"/>
        <v>0</v>
      </c>
      <c r="J29" s="156"/>
      <c r="K29" s="334"/>
      <c r="L29" s="158">
        <f t="shared" si="1"/>
        <v>0</v>
      </c>
      <c r="M29" s="334"/>
      <c r="N29" s="158">
        <f t="shared" si="2"/>
        <v>0</v>
      </c>
      <c r="O29" s="158">
        <f t="shared" si="3"/>
        <v>0</v>
      </c>
      <c r="P29" s="4"/>
    </row>
    <row r="30" spans="2:16">
      <c r="B30" s="9" t="str">
        <f t="shared" si="7"/>
        <v/>
      </c>
      <c r="C30" s="153">
        <f>IF(D11="","-",+C29+1)</f>
        <v>2031</v>
      </c>
      <c r="D30" s="159">
        <f>IF(F29+SUM(E$17:E29)=D$10,F29,D$10-SUM(E$17:E29))</f>
        <v>6876922.9060313841</v>
      </c>
      <c r="E30" s="160">
        <f>IF(+I14&lt;F29,I14,D30)</f>
        <v>226302.32558139536</v>
      </c>
      <c r="F30" s="159">
        <f t="shared" si="4"/>
        <v>6650620.5804499891</v>
      </c>
      <c r="G30" s="161">
        <f t="shared" si="5"/>
        <v>899674.16983939009</v>
      </c>
      <c r="H30" s="142">
        <f t="shared" si="6"/>
        <v>899674.16983939009</v>
      </c>
      <c r="I30" s="156">
        <f t="shared" si="0"/>
        <v>0</v>
      </c>
      <c r="J30" s="156"/>
      <c r="K30" s="334"/>
      <c r="L30" s="158">
        <f t="shared" si="1"/>
        <v>0</v>
      </c>
      <c r="M30" s="334"/>
      <c r="N30" s="158">
        <f t="shared" si="2"/>
        <v>0</v>
      </c>
      <c r="O30" s="158">
        <f t="shared" si="3"/>
        <v>0</v>
      </c>
      <c r="P30" s="4"/>
    </row>
    <row r="31" spans="2:16">
      <c r="B31" s="9" t="str">
        <f t="shared" si="7"/>
        <v/>
      </c>
      <c r="C31" s="153">
        <f>IF(D11="","-",+C30+1)</f>
        <v>2032</v>
      </c>
      <c r="D31" s="159">
        <f>IF(F30+SUM(E$17:E30)=D$10,F30,D$10-SUM(E$17:E30))</f>
        <v>6650620.5804499891</v>
      </c>
      <c r="E31" s="160">
        <f>IF(+I14&lt;F30,I14,D31)</f>
        <v>226302.32558139536</v>
      </c>
      <c r="F31" s="159">
        <f t="shared" si="4"/>
        <v>6424318.254868594</v>
      </c>
      <c r="G31" s="161">
        <f t="shared" si="5"/>
        <v>877144.48963708244</v>
      </c>
      <c r="H31" s="142">
        <f t="shared" si="6"/>
        <v>877144.48963708244</v>
      </c>
      <c r="I31" s="156">
        <f t="shared" si="0"/>
        <v>0</v>
      </c>
      <c r="J31" s="156"/>
      <c r="K31" s="334"/>
      <c r="L31" s="158">
        <f t="shared" si="1"/>
        <v>0</v>
      </c>
      <c r="M31" s="334"/>
      <c r="N31" s="158">
        <f t="shared" si="2"/>
        <v>0</v>
      </c>
      <c r="O31" s="158">
        <f t="shared" si="3"/>
        <v>0</v>
      </c>
      <c r="P31" s="4"/>
    </row>
    <row r="32" spans="2:16">
      <c r="B32" s="9" t="str">
        <f t="shared" si="7"/>
        <v/>
      </c>
      <c r="C32" s="153">
        <f>IF(D11="","-",+C31+1)</f>
        <v>2033</v>
      </c>
      <c r="D32" s="159">
        <f>IF(F31+SUM(E$17:E31)=D$10,F31,D$10-SUM(E$17:E31))</f>
        <v>6424318.254868594</v>
      </c>
      <c r="E32" s="160">
        <f>IF(+I14&lt;F31,I14,D32)</f>
        <v>226302.32558139536</v>
      </c>
      <c r="F32" s="159">
        <f t="shared" si="4"/>
        <v>6198015.9292871989</v>
      </c>
      <c r="G32" s="161">
        <f t="shared" si="5"/>
        <v>854614.8094347748</v>
      </c>
      <c r="H32" s="142">
        <f t="shared" si="6"/>
        <v>854614.8094347748</v>
      </c>
      <c r="I32" s="156">
        <f t="shared" si="0"/>
        <v>0</v>
      </c>
      <c r="J32" s="156"/>
      <c r="K32" s="334"/>
      <c r="L32" s="158">
        <f t="shared" si="1"/>
        <v>0</v>
      </c>
      <c r="M32" s="334"/>
      <c r="N32" s="158">
        <f t="shared" si="2"/>
        <v>0</v>
      </c>
      <c r="O32" s="158">
        <f t="shared" si="3"/>
        <v>0</v>
      </c>
      <c r="P32" s="4"/>
    </row>
    <row r="33" spans="2:16">
      <c r="B33" s="9" t="str">
        <f t="shared" si="7"/>
        <v/>
      </c>
      <c r="C33" s="153">
        <f>IF(D11="","-",+C32+1)</f>
        <v>2034</v>
      </c>
      <c r="D33" s="159">
        <f>IF(F32+SUM(E$17:E32)=D$10,F32,D$10-SUM(E$17:E32))</f>
        <v>6198015.9292871989</v>
      </c>
      <c r="E33" s="160">
        <f>IF(+I14&lt;F32,I14,D33)</f>
        <v>226302.32558139536</v>
      </c>
      <c r="F33" s="159">
        <f t="shared" si="4"/>
        <v>5971713.6037058039</v>
      </c>
      <c r="G33" s="161">
        <f t="shared" si="5"/>
        <v>832085.12923246739</v>
      </c>
      <c r="H33" s="142">
        <f t="shared" si="6"/>
        <v>832085.12923246739</v>
      </c>
      <c r="I33" s="156">
        <f t="shared" si="0"/>
        <v>0</v>
      </c>
      <c r="J33" s="156"/>
      <c r="K33" s="334"/>
      <c r="L33" s="158">
        <f t="shared" si="1"/>
        <v>0</v>
      </c>
      <c r="M33" s="334"/>
      <c r="N33" s="158">
        <f t="shared" si="2"/>
        <v>0</v>
      </c>
      <c r="O33" s="158">
        <f t="shared" si="3"/>
        <v>0</v>
      </c>
      <c r="P33" s="4"/>
    </row>
    <row r="34" spans="2:16">
      <c r="B34" s="9" t="str">
        <f t="shared" si="7"/>
        <v/>
      </c>
      <c r="C34" s="153">
        <f>IF(D11="","-",+C33+1)</f>
        <v>2035</v>
      </c>
      <c r="D34" s="159">
        <f>IF(F33+SUM(E$17:E33)=D$10,F33,D$10-SUM(E$17:E33))</f>
        <v>5971713.6037058039</v>
      </c>
      <c r="E34" s="160">
        <f>IF(+I14&lt;F33,I14,D34)</f>
        <v>226302.32558139536</v>
      </c>
      <c r="F34" s="159">
        <f t="shared" si="4"/>
        <v>5745411.2781244088</v>
      </c>
      <c r="G34" s="161">
        <f t="shared" si="5"/>
        <v>809555.44903015974</v>
      </c>
      <c r="H34" s="142">
        <f t="shared" si="6"/>
        <v>809555.44903015974</v>
      </c>
      <c r="I34" s="156">
        <f t="shared" si="0"/>
        <v>0</v>
      </c>
      <c r="J34" s="156"/>
      <c r="K34" s="334"/>
      <c r="L34" s="158">
        <f t="shared" si="1"/>
        <v>0</v>
      </c>
      <c r="M34" s="334"/>
      <c r="N34" s="158">
        <f t="shared" si="2"/>
        <v>0</v>
      </c>
      <c r="O34" s="158">
        <f t="shared" si="3"/>
        <v>0</v>
      </c>
      <c r="P34" s="4"/>
    </row>
    <row r="35" spans="2:16">
      <c r="B35" s="9" t="str">
        <f t="shared" si="7"/>
        <v/>
      </c>
      <c r="C35" s="153">
        <f>IF(D11="","-",+C34+1)</f>
        <v>2036</v>
      </c>
      <c r="D35" s="159">
        <f>IF(F34+SUM(E$17:E34)=D$10,F34,D$10-SUM(E$17:E34))</f>
        <v>5745411.2781244088</v>
      </c>
      <c r="E35" s="160">
        <f>IF(+I14&lt;F34,I14,D35)</f>
        <v>226302.32558139536</v>
      </c>
      <c r="F35" s="159">
        <f t="shared" si="4"/>
        <v>5519108.9525430137</v>
      </c>
      <c r="G35" s="161">
        <f t="shared" si="5"/>
        <v>787025.76882785209</v>
      </c>
      <c r="H35" s="142">
        <f t="shared" si="6"/>
        <v>787025.76882785209</v>
      </c>
      <c r="I35" s="156">
        <f t="shared" si="0"/>
        <v>0</v>
      </c>
      <c r="J35" s="156"/>
      <c r="K35" s="334"/>
      <c r="L35" s="158">
        <f t="shared" si="1"/>
        <v>0</v>
      </c>
      <c r="M35" s="334"/>
      <c r="N35" s="158">
        <f t="shared" si="2"/>
        <v>0</v>
      </c>
      <c r="O35" s="158">
        <f t="shared" si="3"/>
        <v>0</v>
      </c>
      <c r="P35" s="4"/>
    </row>
    <row r="36" spans="2:16">
      <c r="B36" s="9" t="str">
        <f t="shared" si="7"/>
        <v/>
      </c>
      <c r="C36" s="153">
        <f>IF(D11="","-",+C35+1)</f>
        <v>2037</v>
      </c>
      <c r="D36" s="159">
        <f>IF(F35+SUM(E$17:E35)=D$10,F35,D$10-SUM(E$17:E35))</f>
        <v>5519108.9525430137</v>
      </c>
      <c r="E36" s="160">
        <f>IF(+I14&lt;F35,I14,D36)</f>
        <v>226302.32558139536</v>
      </c>
      <c r="F36" s="159">
        <f t="shared" si="4"/>
        <v>5292806.6269616187</v>
      </c>
      <c r="G36" s="161">
        <f t="shared" si="5"/>
        <v>764496.08862554445</v>
      </c>
      <c r="H36" s="142">
        <f t="shared" si="6"/>
        <v>764496.08862554445</v>
      </c>
      <c r="I36" s="156">
        <f t="shared" si="0"/>
        <v>0</v>
      </c>
      <c r="J36" s="156"/>
      <c r="K36" s="334"/>
      <c r="L36" s="158">
        <f t="shared" si="1"/>
        <v>0</v>
      </c>
      <c r="M36" s="334"/>
      <c r="N36" s="158">
        <f t="shared" si="2"/>
        <v>0</v>
      </c>
      <c r="O36" s="158">
        <f t="shared" si="3"/>
        <v>0</v>
      </c>
      <c r="P36" s="4"/>
    </row>
    <row r="37" spans="2:16">
      <c r="B37" s="9" t="str">
        <f t="shared" si="7"/>
        <v/>
      </c>
      <c r="C37" s="153">
        <f>IF(D11="","-",+C36+1)</f>
        <v>2038</v>
      </c>
      <c r="D37" s="159">
        <f>IF(F36+SUM(E$17:E36)=D$10,F36,D$10-SUM(E$17:E36))</f>
        <v>5292806.6269616187</v>
      </c>
      <c r="E37" s="160">
        <f>IF(+I14&lt;F36,I14,D37)</f>
        <v>226302.32558139536</v>
      </c>
      <c r="F37" s="159">
        <f t="shared" si="4"/>
        <v>5066504.3013802236</v>
      </c>
      <c r="G37" s="161">
        <f t="shared" si="5"/>
        <v>741966.40842323704</v>
      </c>
      <c r="H37" s="142">
        <f t="shared" si="6"/>
        <v>741966.40842323704</v>
      </c>
      <c r="I37" s="156">
        <f t="shared" si="0"/>
        <v>0</v>
      </c>
      <c r="J37" s="156"/>
      <c r="K37" s="334"/>
      <c r="L37" s="158">
        <f t="shared" si="1"/>
        <v>0</v>
      </c>
      <c r="M37" s="334"/>
      <c r="N37" s="158">
        <f t="shared" si="2"/>
        <v>0</v>
      </c>
      <c r="O37" s="158">
        <f t="shared" si="3"/>
        <v>0</v>
      </c>
      <c r="P37" s="4"/>
    </row>
    <row r="38" spans="2:16">
      <c r="B38" s="9" t="str">
        <f t="shared" si="7"/>
        <v/>
      </c>
      <c r="C38" s="153">
        <f>IF(D11="","-",+C37+1)</f>
        <v>2039</v>
      </c>
      <c r="D38" s="159">
        <f>IF(F37+SUM(E$17:E37)=D$10,F37,D$10-SUM(E$17:E37))</f>
        <v>5066504.3013802236</v>
      </c>
      <c r="E38" s="160">
        <f>IF(+I14&lt;F37,I14,D38)</f>
        <v>226302.32558139536</v>
      </c>
      <c r="F38" s="159">
        <f t="shared" si="4"/>
        <v>4840201.9757988285</v>
      </c>
      <c r="G38" s="161">
        <f t="shared" si="5"/>
        <v>719436.72822092939</v>
      </c>
      <c r="H38" s="142">
        <f t="shared" si="6"/>
        <v>719436.72822092939</v>
      </c>
      <c r="I38" s="156">
        <f t="shared" si="0"/>
        <v>0</v>
      </c>
      <c r="J38" s="156"/>
      <c r="K38" s="334"/>
      <c r="L38" s="158">
        <f t="shared" si="1"/>
        <v>0</v>
      </c>
      <c r="M38" s="334"/>
      <c r="N38" s="158">
        <f t="shared" si="2"/>
        <v>0</v>
      </c>
      <c r="O38" s="158">
        <f t="shared" si="3"/>
        <v>0</v>
      </c>
      <c r="P38" s="4"/>
    </row>
    <row r="39" spans="2:16">
      <c r="B39" s="9" t="str">
        <f t="shared" si="7"/>
        <v/>
      </c>
      <c r="C39" s="153">
        <f>IF(D11="","-",+C38+1)</f>
        <v>2040</v>
      </c>
      <c r="D39" s="159">
        <f>IF(F38+SUM(E$17:E38)=D$10,F38,D$10-SUM(E$17:E38))</f>
        <v>4840201.9757988285</v>
      </c>
      <c r="E39" s="160">
        <f>IF(+I14&lt;F38,I14,D39)</f>
        <v>226302.32558139536</v>
      </c>
      <c r="F39" s="159">
        <f t="shared" si="4"/>
        <v>4613899.6502174335</v>
      </c>
      <c r="G39" s="161">
        <f t="shared" si="5"/>
        <v>696907.04801862186</v>
      </c>
      <c r="H39" s="142">
        <f t="shared" si="6"/>
        <v>696907.04801862186</v>
      </c>
      <c r="I39" s="156">
        <f t="shared" si="0"/>
        <v>0</v>
      </c>
      <c r="J39" s="156"/>
      <c r="K39" s="334"/>
      <c r="L39" s="158">
        <f t="shared" si="1"/>
        <v>0</v>
      </c>
      <c r="M39" s="334"/>
      <c r="N39" s="158">
        <f t="shared" si="2"/>
        <v>0</v>
      </c>
      <c r="O39" s="158">
        <f t="shared" si="3"/>
        <v>0</v>
      </c>
      <c r="P39" s="4"/>
    </row>
    <row r="40" spans="2:16">
      <c r="B40" s="9" t="str">
        <f t="shared" si="7"/>
        <v/>
      </c>
      <c r="C40" s="153">
        <f>IF(D11="","-",+C39+1)</f>
        <v>2041</v>
      </c>
      <c r="D40" s="159">
        <f>IF(F39+SUM(E$17:E39)=D$10,F39,D$10-SUM(E$17:E39))</f>
        <v>4613899.6502174335</v>
      </c>
      <c r="E40" s="160">
        <f>IF(+I14&lt;F39,I14,D40)</f>
        <v>226302.32558139536</v>
      </c>
      <c r="F40" s="159">
        <f t="shared" si="4"/>
        <v>4387597.3246360384</v>
      </c>
      <c r="G40" s="161">
        <f t="shared" si="5"/>
        <v>674377.3678163141</v>
      </c>
      <c r="H40" s="142">
        <f t="shared" si="6"/>
        <v>674377.3678163141</v>
      </c>
      <c r="I40" s="156">
        <f t="shared" si="0"/>
        <v>0</v>
      </c>
      <c r="J40" s="156"/>
      <c r="K40" s="334"/>
      <c r="L40" s="158">
        <f t="shared" si="1"/>
        <v>0</v>
      </c>
      <c r="M40" s="334"/>
      <c r="N40" s="158">
        <f t="shared" si="2"/>
        <v>0</v>
      </c>
      <c r="O40" s="158">
        <f t="shared" si="3"/>
        <v>0</v>
      </c>
      <c r="P40" s="4"/>
    </row>
    <row r="41" spans="2:16">
      <c r="B41" s="9" t="str">
        <f t="shared" si="7"/>
        <v/>
      </c>
      <c r="C41" s="153">
        <f>IF(D11="","-",+C40+1)</f>
        <v>2042</v>
      </c>
      <c r="D41" s="159">
        <f>IF(F40+SUM(E$17:E40)=D$10,F40,D$10-SUM(E$17:E40))</f>
        <v>4387597.3246360384</v>
      </c>
      <c r="E41" s="160">
        <f>IF(+I14&lt;F40,I14,D41)</f>
        <v>226302.32558139536</v>
      </c>
      <c r="F41" s="159">
        <f t="shared" si="4"/>
        <v>4161294.9990546429</v>
      </c>
      <c r="G41" s="161">
        <f t="shared" si="5"/>
        <v>651847.68761400657</v>
      </c>
      <c r="H41" s="142">
        <f t="shared" si="6"/>
        <v>651847.68761400657</v>
      </c>
      <c r="I41" s="156">
        <f t="shared" si="0"/>
        <v>0</v>
      </c>
      <c r="J41" s="156"/>
      <c r="K41" s="334"/>
      <c r="L41" s="158">
        <f t="shared" si="1"/>
        <v>0</v>
      </c>
      <c r="M41" s="334"/>
      <c r="N41" s="158">
        <f t="shared" si="2"/>
        <v>0</v>
      </c>
      <c r="O41" s="158">
        <f t="shared" si="3"/>
        <v>0</v>
      </c>
      <c r="P41" s="4"/>
    </row>
    <row r="42" spans="2:16">
      <c r="B42" s="9" t="str">
        <f t="shared" si="7"/>
        <v/>
      </c>
      <c r="C42" s="153">
        <f>IF(D11="","-",+C41+1)</f>
        <v>2043</v>
      </c>
      <c r="D42" s="159">
        <f>IF(F41+SUM(E$17:E41)=D$10,F41,D$10-SUM(E$17:E41))</f>
        <v>4161294.9990546429</v>
      </c>
      <c r="E42" s="160">
        <f>IF(+I14&lt;F41,I14,D42)</f>
        <v>226302.32558139536</v>
      </c>
      <c r="F42" s="159">
        <f t="shared" si="4"/>
        <v>3934992.6734732473</v>
      </c>
      <c r="G42" s="161">
        <f t="shared" si="5"/>
        <v>629318.00741169904</v>
      </c>
      <c r="H42" s="142">
        <f t="shared" si="6"/>
        <v>629318.00741169904</v>
      </c>
      <c r="I42" s="156">
        <f t="shared" si="0"/>
        <v>0</v>
      </c>
      <c r="J42" s="156"/>
      <c r="K42" s="334"/>
      <c r="L42" s="158">
        <f t="shared" si="1"/>
        <v>0</v>
      </c>
      <c r="M42" s="334"/>
      <c r="N42" s="158">
        <f t="shared" si="2"/>
        <v>0</v>
      </c>
      <c r="O42" s="158">
        <f t="shared" si="3"/>
        <v>0</v>
      </c>
      <c r="P42" s="4"/>
    </row>
    <row r="43" spans="2:16">
      <c r="B43" s="9" t="str">
        <f t="shared" si="7"/>
        <v/>
      </c>
      <c r="C43" s="153">
        <f>IF(D11="","-",+C42+1)</f>
        <v>2044</v>
      </c>
      <c r="D43" s="159">
        <f>IF(F42+SUM(E$17:E42)=D$10,F42,D$10-SUM(E$17:E42))</f>
        <v>3934992.6734732473</v>
      </c>
      <c r="E43" s="160">
        <f>IF(+I14&lt;F42,I14,D43)</f>
        <v>226302.32558139536</v>
      </c>
      <c r="F43" s="159">
        <f t="shared" si="4"/>
        <v>3708690.3478918518</v>
      </c>
      <c r="G43" s="161">
        <f t="shared" si="5"/>
        <v>606788.3272093914</v>
      </c>
      <c r="H43" s="142">
        <f t="shared" si="6"/>
        <v>606788.3272093914</v>
      </c>
      <c r="I43" s="156">
        <f t="shared" si="0"/>
        <v>0</v>
      </c>
      <c r="J43" s="156"/>
      <c r="K43" s="334"/>
      <c r="L43" s="158">
        <f t="shared" si="1"/>
        <v>0</v>
      </c>
      <c r="M43" s="334"/>
      <c r="N43" s="158">
        <f t="shared" si="2"/>
        <v>0</v>
      </c>
      <c r="O43" s="158">
        <f t="shared" si="3"/>
        <v>0</v>
      </c>
      <c r="P43" s="4"/>
    </row>
    <row r="44" spans="2:16">
      <c r="B44" s="9" t="str">
        <f t="shared" si="7"/>
        <v/>
      </c>
      <c r="C44" s="153">
        <f>IF(D11="","-",+C43+1)</f>
        <v>2045</v>
      </c>
      <c r="D44" s="159">
        <f>IF(F43+SUM(E$17:E43)=D$10,F43,D$10-SUM(E$17:E43))</f>
        <v>3708690.3478918518</v>
      </c>
      <c r="E44" s="160">
        <f>IF(+I14&lt;F43,I14,D44)</f>
        <v>226302.32558139536</v>
      </c>
      <c r="F44" s="159">
        <f t="shared" si="4"/>
        <v>3482388.0223104563</v>
      </c>
      <c r="G44" s="161">
        <f t="shared" si="5"/>
        <v>584258.64700708375</v>
      </c>
      <c r="H44" s="142">
        <f t="shared" si="6"/>
        <v>584258.64700708375</v>
      </c>
      <c r="I44" s="156">
        <f t="shared" si="0"/>
        <v>0</v>
      </c>
      <c r="J44" s="156"/>
      <c r="K44" s="334"/>
      <c r="L44" s="158">
        <f t="shared" si="1"/>
        <v>0</v>
      </c>
      <c r="M44" s="334"/>
      <c r="N44" s="158">
        <f t="shared" si="2"/>
        <v>0</v>
      </c>
      <c r="O44" s="158">
        <f t="shared" si="3"/>
        <v>0</v>
      </c>
      <c r="P44" s="4"/>
    </row>
    <row r="45" spans="2:16">
      <c r="B45" s="9" t="str">
        <f t="shared" si="7"/>
        <v/>
      </c>
      <c r="C45" s="153">
        <f>IF(D11="","-",+C44+1)</f>
        <v>2046</v>
      </c>
      <c r="D45" s="159">
        <f>IF(F44+SUM(E$17:E44)=D$10,F44,D$10-SUM(E$17:E44))</f>
        <v>3482388.0223104563</v>
      </c>
      <c r="E45" s="160">
        <f>IF(+I14&lt;F44,I14,D45)</f>
        <v>226302.32558139536</v>
      </c>
      <c r="F45" s="159">
        <f t="shared" si="4"/>
        <v>3256085.6967290607</v>
      </c>
      <c r="G45" s="161">
        <f t="shared" si="5"/>
        <v>561728.96680477611</v>
      </c>
      <c r="H45" s="142">
        <f t="shared" si="6"/>
        <v>561728.96680477611</v>
      </c>
      <c r="I45" s="156">
        <f t="shared" si="0"/>
        <v>0</v>
      </c>
      <c r="J45" s="156"/>
      <c r="K45" s="334"/>
      <c r="L45" s="158">
        <f t="shared" si="1"/>
        <v>0</v>
      </c>
      <c r="M45" s="334"/>
      <c r="N45" s="158">
        <f t="shared" si="2"/>
        <v>0</v>
      </c>
      <c r="O45" s="158">
        <f t="shared" si="3"/>
        <v>0</v>
      </c>
      <c r="P45" s="4"/>
    </row>
    <row r="46" spans="2:16">
      <c r="B46" s="9" t="str">
        <f t="shared" si="7"/>
        <v/>
      </c>
      <c r="C46" s="153">
        <f>IF(D11="","-",+C45+1)</f>
        <v>2047</v>
      </c>
      <c r="D46" s="159">
        <f>IF(F45+SUM(E$17:E45)=D$10,F45,D$10-SUM(E$17:E45))</f>
        <v>3256085.6967290607</v>
      </c>
      <c r="E46" s="160">
        <f>IF(+I14&lt;F45,I14,D46)</f>
        <v>226302.32558139536</v>
      </c>
      <c r="F46" s="159">
        <f t="shared" si="4"/>
        <v>3029783.3711476652</v>
      </c>
      <c r="G46" s="161">
        <f t="shared" si="5"/>
        <v>539199.28660246846</v>
      </c>
      <c r="H46" s="142">
        <f t="shared" si="6"/>
        <v>539199.28660246846</v>
      </c>
      <c r="I46" s="156">
        <f t="shared" si="0"/>
        <v>0</v>
      </c>
      <c r="J46" s="156"/>
      <c r="K46" s="334"/>
      <c r="L46" s="158">
        <f t="shared" si="1"/>
        <v>0</v>
      </c>
      <c r="M46" s="334"/>
      <c r="N46" s="158">
        <f t="shared" si="2"/>
        <v>0</v>
      </c>
      <c r="O46" s="158">
        <f t="shared" si="3"/>
        <v>0</v>
      </c>
      <c r="P46" s="4"/>
    </row>
    <row r="47" spans="2:16">
      <c r="B47" s="9" t="str">
        <f t="shared" si="7"/>
        <v/>
      </c>
      <c r="C47" s="153">
        <f>IF(D11="","-",+C46+1)</f>
        <v>2048</v>
      </c>
      <c r="D47" s="159">
        <f>IF(F46+SUM(E$17:E46)=D$10,F46,D$10-SUM(E$17:E46))</f>
        <v>3029783.3711476652</v>
      </c>
      <c r="E47" s="160">
        <f>IF(+I14&lt;F46,I14,D47)</f>
        <v>226302.32558139536</v>
      </c>
      <c r="F47" s="159">
        <f t="shared" si="4"/>
        <v>2803481.0455662697</v>
      </c>
      <c r="G47" s="161">
        <f t="shared" si="5"/>
        <v>516669.60640016076</v>
      </c>
      <c r="H47" s="142">
        <f t="shared" si="6"/>
        <v>516669.60640016076</v>
      </c>
      <c r="I47" s="156">
        <f t="shared" si="0"/>
        <v>0</v>
      </c>
      <c r="J47" s="156"/>
      <c r="K47" s="334"/>
      <c r="L47" s="158">
        <f t="shared" si="1"/>
        <v>0</v>
      </c>
      <c r="M47" s="334"/>
      <c r="N47" s="158">
        <f t="shared" si="2"/>
        <v>0</v>
      </c>
      <c r="O47" s="158">
        <f t="shared" si="3"/>
        <v>0</v>
      </c>
      <c r="P47" s="4"/>
    </row>
    <row r="48" spans="2:16">
      <c r="B48" s="9" t="str">
        <f t="shared" si="7"/>
        <v/>
      </c>
      <c r="C48" s="153">
        <f>IF(D11="","-",+C47+1)</f>
        <v>2049</v>
      </c>
      <c r="D48" s="159">
        <f>IF(F47+SUM(E$17:E47)=D$10,F47,D$10-SUM(E$17:E47))</f>
        <v>2803481.0455662697</v>
      </c>
      <c r="E48" s="160">
        <f>IF(+I14&lt;F47,I14,D48)</f>
        <v>226302.32558139536</v>
      </c>
      <c r="F48" s="159">
        <f t="shared" si="4"/>
        <v>2577178.7199848741</v>
      </c>
      <c r="G48" s="161">
        <f t="shared" si="5"/>
        <v>494139.92619785317</v>
      </c>
      <c r="H48" s="142">
        <f t="shared" si="6"/>
        <v>494139.92619785317</v>
      </c>
      <c r="I48" s="156">
        <f t="shared" si="0"/>
        <v>0</v>
      </c>
      <c r="J48" s="156"/>
      <c r="K48" s="334"/>
      <c r="L48" s="158">
        <f t="shared" si="1"/>
        <v>0</v>
      </c>
      <c r="M48" s="334"/>
      <c r="N48" s="158">
        <f t="shared" si="2"/>
        <v>0</v>
      </c>
      <c r="O48" s="158">
        <f t="shared" si="3"/>
        <v>0</v>
      </c>
      <c r="P48" s="4"/>
    </row>
    <row r="49" spans="2:16">
      <c r="B49" s="9" t="str">
        <f t="shared" si="7"/>
        <v/>
      </c>
      <c r="C49" s="153">
        <f>IF(D11="","-",+C48+1)</f>
        <v>2050</v>
      </c>
      <c r="D49" s="159">
        <f>IF(F48+SUM(E$17:E48)=D$10,F48,D$10-SUM(E$17:E48))</f>
        <v>2577178.7199848741</v>
      </c>
      <c r="E49" s="160">
        <f>IF(+I14&lt;F48,I14,D49)</f>
        <v>226302.32558139536</v>
      </c>
      <c r="F49" s="159">
        <f t="shared" si="4"/>
        <v>2350876.3944034786</v>
      </c>
      <c r="G49" s="161">
        <f t="shared" si="5"/>
        <v>471610.24599554553</v>
      </c>
      <c r="H49" s="142">
        <f t="shared" si="6"/>
        <v>471610.24599554553</v>
      </c>
      <c r="I49" s="156">
        <f t="shared" si="0"/>
        <v>0</v>
      </c>
      <c r="J49" s="156"/>
      <c r="K49" s="334"/>
      <c r="L49" s="158">
        <f t="shared" si="1"/>
        <v>0</v>
      </c>
      <c r="M49" s="334"/>
      <c r="N49" s="158">
        <f t="shared" si="2"/>
        <v>0</v>
      </c>
      <c r="O49" s="158">
        <f t="shared" si="3"/>
        <v>0</v>
      </c>
      <c r="P49" s="4"/>
    </row>
    <row r="50" spans="2:16">
      <c r="B50" s="9" t="str">
        <f t="shared" si="7"/>
        <v/>
      </c>
      <c r="C50" s="153">
        <f>IF(D11="","-",+C49+1)</f>
        <v>2051</v>
      </c>
      <c r="D50" s="159">
        <f>IF(F49+SUM(E$17:E49)=D$10,F49,D$10-SUM(E$17:E49))</f>
        <v>2350876.3944034786</v>
      </c>
      <c r="E50" s="160">
        <f>IF(+I14&lt;F49,I14,D50)</f>
        <v>226302.32558139536</v>
      </c>
      <c r="F50" s="159">
        <f t="shared" si="4"/>
        <v>2124574.0688220831</v>
      </c>
      <c r="G50" s="161">
        <f t="shared" si="5"/>
        <v>449080.56579323788</v>
      </c>
      <c r="H50" s="142">
        <f t="shared" si="6"/>
        <v>449080.56579323788</v>
      </c>
      <c r="I50" s="156">
        <f t="shared" si="0"/>
        <v>0</v>
      </c>
      <c r="J50" s="156"/>
      <c r="K50" s="334"/>
      <c r="L50" s="158">
        <f t="shared" si="1"/>
        <v>0</v>
      </c>
      <c r="M50" s="334"/>
      <c r="N50" s="158">
        <f t="shared" si="2"/>
        <v>0</v>
      </c>
      <c r="O50" s="158">
        <f t="shared" si="3"/>
        <v>0</v>
      </c>
      <c r="P50" s="4"/>
    </row>
    <row r="51" spans="2:16">
      <c r="B51" s="9" t="str">
        <f t="shared" si="7"/>
        <v/>
      </c>
      <c r="C51" s="153">
        <f>IF(D11="","-",+C50+1)</f>
        <v>2052</v>
      </c>
      <c r="D51" s="159">
        <f>IF(F50+SUM(E$17:E50)=D$10,F50,D$10-SUM(E$17:E50))</f>
        <v>2124574.0688220831</v>
      </c>
      <c r="E51" s="160">
        <f>IF(+I14&lt;F50,I14,D51)</f>
        <v>226302.32558139536</v>
      </c>
      <c r="F51" s="159">
        <f t="shared" si="4"/>
        <v>1898271.7432406878</v>
      </c>
      <c r="G51" s="161">
        <f t="shared" si="5"/>
        <v>426550.88559093029</v>
      </c>
      <c r="H51" s="142">
        <f t="shared" si="6"/>
        <v>426550.88559093029</v>
      </c>
      <c r="I51" s="156">
        <f t="shared" si="0"/>
        <v>0</v>
      </c>
      <c r="J51" s="156"/>
      <c r="K51" s="334"/>
      <c r="L51" s="158">
        <f t="shared" si="1"/>
        <v>0</v>
      </c>
      <c r="M51" s="334"/>
      <c r="N51" s="158">
        <f t="shared" si="2"/>
        <v>0</v>
      </c>
      <c r="O51" s="158">
        <f t="shared" si="3"/>
        <v>0</v>
      </c>
      <c r="P51" s="4"/>
    </row>
    <row r="52" spans="2:16">
      <c r="B52" s="9" t="str">
        <f t="shared" si="7"/>
        <v/>
      </c>
      <c r="C52" s="153">
        <f>IF(D11="","-",+C51+1)</f>
        <v>2053</v>
      </c>
      <c r="D52" s="159">
        <f>IF(F51+SUM(E$17:E51)=D$10,F51,D$10-SUM(E$17:E51))</f>
        <v>1898271.7432406878</v>
      </c>
      <c r="E52" s="160">
        <f>IF(+I14&lt;F51,I14,D52)</f>
        <v>226302.32558139536</v>
      </c>
      <c r="F52" s="159">
        <f t="shared" si="4"/>
        <v>1671969.4176592925</v>
      </c>
      <c r="G52" s="161">
        <f t="shared" si="5"/>
        <v>404021.20538862265</v>
      </c>
      <c r="H52" s="142">
        <f t="shared" si="6"/>
        <v>404021.20538862265</v>
      </c>
      <c r="I52" s="156">
        <f t="shared" si="0"/>
        <v>0</v>
      </c>
      <c r="J52" s="156"/>
      <c r="K52" s="334"/>
      <c r="L52" s="158">
        <f t="shared" si="1"/>
        <v>0</v>
      </c>
      <c r="M52" s="334"/>
      <c r="N52" s="158">
        <f t="shared" si="2"/>
        <v>0</v>
      </c>
      <c r="O52" s="158">
        <f t="shared" si="3"/>
        <v>0</v>
      </c>
      <c r="P52" s="4"/>
    </row>
    <row r="53" spans="2:16">
      <c r="B53" s="9" t="str">
        <f t="shared" si="7"/>
        <v/>
      </c>
      <c r="C53" s="153">
        <f>IF(D11="","-",+C52+1)</f>
        <v>2054</v>
      </c>
      <c r="D53" s="159">
        <f>IF(F52+SUM(E$17:E52)=D$10,F52,D$10-SUM(E$17:E52))</f>
        <v>1671969.4176592925</v>
      </c>
      <c r="E53" s="160">
        <f>IF(+I14&lt;F52,I14,D53)</f>
        <v>226302.32558139536</v>
      </c>
      <c r="F53" s="159">
        <f t="shared" si="4"/>
        <v>1445667.0920778972</v>
      </c>
      <c r="G53" s="161">
        <f t="shared" si="5"/>
        <v>381491.52518631506</v>
      </c>
      <c r="H53" s="142">
        <f t="shared" si="6"/>
        <v>381491.52518631506</v>
      </c>
      <c r="I53" s="156">
        <f t="shared" si="0"/>
        <v>0</v>
      </c>
      <c r="J53" s="156"/>
      <c r="K53" s="334"/>
      <c r="L53" s="158">
        <f t="shared" si="1"/>
        <v>0</v>
      </c>
      <c r="M53" s="334"/>
      <c r="N53" s="158">
        <f t="shared" si="2"/>
        <v>0</v>
      </c>
      <c r="O53" s="158">
        <f t="shared" si="3"/>
        <v>0</v>
      </c>
      <c r="P53" s="4"/>
    </row>
    <row r="54" spans="2:16">
      <c r="B54" s="9" t="str">
        <f t="shared" si="7"/>
        <v/>
      </c>
      <c r="C54" s="153">
        <f>IF(D11="","-",+C53+1)</f>
        <v>2055</v>
      </c>
      <c r="D54" s="159">
        <f>IF(F53+SUM(E$17:E53)=D$10,F53,D$10-SUM(E$17:E53))</f>
        <v>1445667.0920778972</v>
      </c>
      <c r="E54" s="160">
        <f>IF(+I14&lt;F53,I14,D54)</f>
        <v>226302.32558139536</v>
      </c>
      <c r="F54" s="159">
        <f t="shared" si="4"/>
        <v>1219364.7664965019</v>
      </c>
      <c r="G54" s="161">
        <f t="shared" si="5"/>
        <v>358961.84498400742</v>
      </c>
      <c r="H54" s="142">
        <f t="shared" si="6"/>
        <v>358961.84498400742</v>
      </c>
      <c r="I54" s="156">
        <f t="shared" si="0"/>
        <v>0</v>
      </c>
      <c r="J54" s="156"/>
      <c r="K54" s="334"/>
      <c r="L54" s="158">
        <f t="shared" si="1"/>
        <v>0</v>
      </c>
      <c r="M54" s="334"/>
      <c r="N54" s="158">
        <f t="shared" si="2"/>
        <v>0</v>
      </c>
      <c r="O54" s="158">
        <f t="shared" si="3"/>
        <v>0</v>
      </c>
      <c r="P54" s="4"/>
    </row>
    <row r="55" spans="2:16">
      <c r="B55" s="9" t="str">
        <f t="shared" si="7"/>
        <v/>
      </c>
      <c r="C55" s="153">
        <f>IF(D11="","-",+C54+1)</f>
        <v>2056</v>
      </c>
      <c r="D55" s="159">
        <f>IF(F54+SUM(E$17:E54)=D$10,F54,D$10-SUM(E$17:E54))</f>
        <v>1219364.7664965019</v>
      </c>
      <c r="E55" s="160">
        <f>IF(+I14&lt;F54,I14,D55)</f>
        <v>226302.32558139536</v>
      </c>
      <c r="F55" s="159">
        <f t="shared" si="4"/>
        <v>993062.44091510656</v>
      </c>
      <c r="G55" s="161">
        <f t="shared" si="5"/>
        <v>336432.16478169983</v>
      </c>
      <c r="H55" s="142">
        <f t="shared" si="6"/>
        <v>336432.16478169983</v>
      </c>
      <c r="I55" s="156">
        <f t="shared" si="0"/>
        <v>0</v>
      </c>
      <c r="J55" s="156"/>
      <c r="K55" s="334"/>
      <c r="L55" s="158">
        <f t="shared" si="1"/>
        <v>0</v>
      </c>
      <c r="M55" s="334"/>
      <c r="N55" s="158">
        <f t="shared" si="2"/>
        <v>0</v>
      </c>
      <c r="O55" s="158">
        <f t="shared" si="3"/>
        <v>0</v>
      </c>
      <c r="P55" s="4"/>
    </row>
    <row r="56" spans="2:16">
      <c r="B56" s="9" t="str">
        <f t="shared" si="7"/>
        <v/>
      </c>
      <c r="C56" s="153">
        <f>IF(D11="","-",+C55+1)</f>
        <v>2057</v>
      </c>
      <c r="D56" s="159">
        <f>IF(F55+SUM(E$17:E55)=D$10,F55,D$10-SUM(E$17:E55))</f>
        <v>993062.44091510656</v>
      </c>
      <c r="E56" s="160">
        <f>IF(+I14&lt;F55,I14,D56)</f>
        <v>226302.32558139536</v>
      </c>
      <c r="F56" s="159">
        <f t="shared" si="4"/>
        <v>766760.11533371126</v>
      </c>
      <c r="G56" s="161">
        <f t="shared" si="5"/>
        <v>313902.48457939224</v>
      </c>
      <c r="H56" s="142">
        <f t="shared" si="6"/>
        <v>313902.48457939224</v>
      </c>
      <c r="I56" s="156">
        <f t="shared" si="0"/>
        <v>0</v>
      </c>
      <c r="J56" s="156"/>
      <c r="K56" s="334"/>
      <c r="L56" s="158">
        <f t="shared" si="1"/>
        <v>0</v>
      </c>
      <c r="M56" s="334"/>
      <c r="N56" s="158">
        <f t="shared" si="2"/>
        <v>0</v>
      </c>
      <c r="O56" s="158">
        <f t="shared" si="3"/>
        <v>0</v>
      </c>
      <c r="P56" s="4"/>
    </row>
    <row r="57" spans="2:16">
      <c r="B57" s="9" t="str">
        <f t="shared" si="7"/>
        <v/>
      </c>
      <c r="C57" s="153">
        <f>IF(D11="","-",+C56+1)</f>
        <v>2058</v>
      </c>
      <c r="D57" s="159">
        <f>IF(F56+SUM(E$17:E56)=D$10,F56,D$10-SUM(E$17:E56))</f>
        <v>766760.11533371126</v>
      </c>
      <c r="E57" s="160">
        <f>IF(+I14&lt;F56,I14,D57)</f>
        <v>226302.32558139536</v>
      </c>
      <c r="F57" s="159">
        <f t="shared" si="4"/>
        <v>540457.78975231596</v>
      </c>
      <c r="G57" s="161">
        <f t="shared" si="5"/>
        <v>291372.8043770846</v>
      </c>
      <c r="H57" s="142">
        <f t="shared" si="6"/>
        <v>291372.8043770846</v>
      </c>
      <c r="I57" s="156">
        <f t="shared" si="0"/>
        <v>0</v>
      </c>
      <c r="J57" s="156"/>
      <c r="K57" s="334"/>
      <c r="L57" s="158">
        <f t="shared" si="1"/>
        <v>0</v>
      </c>
      <c r="M57" s="334"/>
      <c r="N57" s="158">
        <f t="shared" si="2"/>
        <v>0</v>
      </c>
      <c r="O57" s="158">
        <f t="shared" si="3"/>
        <v>0</v>
      </c>
      <c r="P57" s="4"/>
    </row>
    <row r="58" spans="2:16">
      <c r="B58" s="9" t="str">
        <f t="shared" si="7"/>
        <v/>
      </c>
      <c r="C58" s="153">
        <f>IF(D11="","-",+C57+1)</f>
        <v>2059</v>
      </c>
      <c r="D58" s="159">
        <f>IF(F57+SUM(E$17:E57)=D$10,F57,D$10-SUM(E$17:E57))</f>
        <v>540457.78975231596</v>
      </c>
      <c r="E58" s="160">
        <f>IF(+I14&lt;F57,I14,D58)</f>
        <v>226302.32558139536</v>
      </c>
      <c r="F58" s="159">
        <f t="shared" si="4"/>
        <v>314155.4641709206</v>
      </c>
      <c r="G58" s="161">
        <f t="shared" si="5"/>
        <v>268843.12417477701</v>
      </c>
      <c r="H58" s="142">
        <f t="shared" si="6"/>
        <v>268843.12417477701</v>
      </c>
      <c r="I58" s="156">
        <f t="shared" si="0"/>
        <v>0</v>
      </c>
      <c r="J58" s="156"/>
      <c r="K58" s="334"/>
      <c r="L58" s="158">
        <f t="shared" si="1"/>
        <v>0</v>
      </c>
      <c r="M58" s="334"/>
      <c r="N58" s="158">
        <f t="shared" si="2"/>
        <v>0</v>
      </c>
      <c r="O58" s="158">
        <f t="shared" si="3"/>
        <v>0</v>
      </c>
      <c r="P58" s="4"/>
    </row>
    <row r="59" spans="2:16">
      <c r="B59" s="9" t="str">
        <f t="shared" si="7"/>
        <v/>
      </c>
      <c r="C59" s="153">
        <f>IF(D11="","-",+C58+1)</f>
        <v>2060</v>
      </c>
      <c r="D59" s="159">
        <f>IF(F58+SUM(E$17:E58)=D$10,F58,D$10-SUM(E$17:E58))</f>
        <v>314155.4641709206</v>
      </c>
      <c r="E59" s="160">
        <f>IF(+I14&lt;F58,I14,D59)</f>
        <v>226302.32558139536</v>
      </c>
      <c r="F59" s="159">
        <f t="shared" si="4"/>
        <v>87853.138589525246</v>
      </c>
      <c r="G59" s="161">
        <f t="shared" si="5"/>
        <v>246313.44397246937</v>
      </c>
      <c r="H59" s="142">
        <f t="shared" si="6"/>
        <v>246313.44397246937</v>
      </c>
      <c r="I59" s="156">
        <f t="shared" si="0"/>
        <v>0</v>
      </c>
      <c r="J59" s="156"/>
      <c r="K59" s="334"/>
      <c r="L59" s="158">
        <f t="shared" si="1"/>
        <v>0</v>
      </c>
      <c r="M59" s="334"/>
      <c r="N59" s="158">
        <f t="shared" si="2"/>
        <v>0</v>
      </c>
      <c r="O59" s="158">
        <f t="shared" si="3"/>
        <v>0</v>
      </c>
      <c r="P59" s="4"/>
    </row>
    <row r="60" spans="2:16">
      <c r="B60" s="9" t="str">
        <f t="shared" si="7"/>
        <v/>
      </c>
      <c r="C60" s="153">
        <f>IF(D11="","-",+C59+1)</f>
        <v>2061</v>
      </c>
      <c r="D60" s="159">
        <f>IF(F59+SUM(E$17:E59)=D$10,F59,D$10-SUM(E$17:E59))</f>
        <v>87853.138589525246</v>
      </c>
      <c r="E60" s="160">
        <f>IF(+I14&lt;F59,I14,D60)</f>
        <v>87853.138589525246</v>
      </c>
      <c r="F60" s="159">
        <f t="shared" si="4"/>
        <v>0</v>
      </c>
      <c r="G60" s="161">
        <f t="shared" si="5"/>
        <v>92226.277734485353</v>
      </c>
      <c r="H60" s="142">
        <f t="shared" si="6"/>
        <v>92226.277734485353</v>
      </c>
      <c r="I60" s="156">
        <f t="shared" si="0"/>
        <v>0</v>
      </c>
      <c r="J60" s="156"/>
      <c r="K60" s="334"/>
      <c r="L60" s="158">
        <f t="shared" si="1"/>
        <v>0</v>
      </c>
      <c r="M60" s="334"/>
      <c r="N60" s="158">
        <f t="shared" si="2"/>
        <v>0</v>
      </c>
      <c r="O60" s="158">
        <f t="shared" si="3"/>
        <v>0</v>
      </c>
      <c r="P60" s="4"/>
    </row>
    <row r="61" spans="2:16">
      <c r="B61" s="9" t="str">
        <f t="shared" si="7"/>
        <v/>
      </c>
      <c r="C61" s="153">
        <f>IF(D11="","-",+C60+1)</f>
        <v>2062</v>
      </c>
      <c r="D61" s="159">
        <f>IF(F60+SUM(E$17:E60)=D$10,F60,D$10-SUM(E$17:E60))</f>
        <v>0</v>
      </c>
      <c r="E61" s="160">
        <f>IF(+I14&lt;F60,I14,D61)</f>
        <v>0</v>
      </c>
      <c r="F61" s="159">
        <f t="shared" si="4"/>
        <v>0</v>
      </c>
      <c r="G61" s="163">
        <f t="shared" si="5"/>
        <v>0</v>
      </c>
      <c r="H61" s="142">
        <f t="shared" si="6"/>
        <v>0</v>
      </c>
      <c r="I61" s="156">
        <f t="shared" si="0"/>
        <v>0</v>
      </c>
      <c r="J61" s="156"/>
      <c r="K61" s="334"/>
      <c r="L61" s="158">
        <f t="shared" si="1"/>
        <v>0</v>
      </c>
      <c r="M61" s="334"/>
      <c r="N61" s="158">
        <f t="shared" si="2"/>
        <v>0</v>
      </c>
      <c r="O61" s="158">
        <f t="shared" si="3"/>
        <v>0</v>
      </c>
      <c r="P61" s="4"/>
    </row>
    <row r="62" spans="2:16">
      <c r="B62" s="9" t="str">
        <f t="shared" si="7"/>
        <v/>
      </c>
      <c r="C62" s="153">
        <f>IF(D11="","-",+C61+1)</f>
        <v>2063</v>
      </c>
      <c r="D62" s="159">
        <f>IF(F61+SUM(E$17:E61)=D$10,F61,D$10-SUM(E$17:E61))</f>
        <v>0</v>
      </c>
      <c r="E62" s="160">
        <f>IF(+I14&lt;F61,I14,D62)</f>
        <v>0</v>
      </c>
      <c r="F62" s="159">
        <f t="shared" si="4"/>
        <v>0</v>
      </c>
      <c r="G62" s="163">
        <f t="shared" si="5"/>
        <v>0</v>
      </c>
      <c r="H62" s="142">
        <f t="shared" si="6"/>
        <v>0</v>
      </c>
      <c r="I62" s="156">
        <f t="shared" si="0"/>
        <v>0</v>
      </c>
      <c r="J62" s="156"/>
      <c r="K62" s="334"/>
      <c r="L62" s="158">
        <f t="shared" si="1"/>
        <v>0</v>
      </c>
      <c r="M62" s="334"/>
      <c r="N62" s="158">
        <f t="shared" si="2"/>
        <v>0</v>
      </c>
      <c r="O62" s="158">
        <f t="shared" si="3"/>
        <v>0</v>
      </c>
      <c r="P62" s="4"/>
    </row>
    <row r="63" spans="2:16">
      <c r="B63" s="9" t="str">
        <f t="shared" si="7"/>
        <v/>
      </c>
      <c r="C63" s="153">
        <f>IF(D11="","-",+C62+1)</f>
        <v>2064</v>
      </c>
      <c r="D63" s="159">
        <f>IF(F62+SUM(E$17:E62)=D$10,F62,D$10-SUM(E$17:E62))</f>
        <v>0</v>
      </c>
      <c r="E63" s="160">
        <f>IF(+I14&lt;F62,I14,D63)</f>
        <v>0</v>
      </c>
      <c r="F63" s="159">
        <f t="shared" si="4"/>
        <v>0</v>
      </c>
      <c r="G63" s="163">
        <f t="shared" si="5"/>
        <v>0</v>
      </c>
      <c r="H63" s="142">
        <f t="shared" si="6"/>
        <v>0</v>
      </c>
      <c r="I63" s="156">
        <f t="shared" si="0"/>
        <v>0</v>
      </c>
      <c r="J63" s="156"/>
      <c r="K63" s="334"/>
      <c r="L63" s="158">
        <f t="shared" si="1"/>
        <v>0</v>
      </c>
      <c r="M63" s="334"/>
      <c r="N63" s="158">
        <f t="shared" si="2"/>
        <v>0</v>
      </c>
      <c r="O63" s="158">
        <f t="shared" si="3"/>
        <v>0</v>
      </c>
      <c r="P63" s="4"/>
    </row>
    <row r="64" spans="2:16">
      <c r="B64" s="9" t="str">
        <f t="shared" si="7"/>
        <v/>
      </c>
      <c r="C64" s="153">
        <f>IF(D11="","-",+C63+1)</f>
        <v>2065</v>
      </c>
      <c r="D64" s="159">
        <f>IF(F63+SUM(E$17:E63)=D$10,F63,D$10-SUM(E$17:E63))</f>
        <v>0</v>
      </c>
      <c r="E64" s="160">
        <f>IF(+I14&lt;F63,I14,D64)</f>
        <v>0</v>
      </c>
      <c r="F64" s="159">
        <f t="shared" si="4"/>
        <v>0</v>
      </c>
      <c r="G64" s="163">
        <f t="shared" si="5"/>
        <v>0</v>
      </c>
      <c r="H64" s="142">
        <f t="shared" si="6"/>
        <v>0</v>
      </c>
      <c r="I64" s="156">
        <f t="shared" si="0"/>
        <v>0</v>
      </c>
      <c r="J64" s="156"/>
      <c r="K64" s="334"/>
      <c r="L64" s="158">
        <f t="shared" si="1"/>
        <v>0</v>
      </c>
      <c r="M64" s="334"/>
      <c r="N64" s="158">
        <f t="shared" si="2"/>
        <v>0</v>
      </c>
      <c r="O64" s="158">
        <f t="shared" si="3"/>
        <v>0</v>
      </c>
      <c r="P64" s="4"/>
    </row>
    <row r="65" spans="2:16">
      <c r="B65" s="9" t="str">
        <f t="shared" si="7"/>
        <v/>
      </c>
      <c r="C65" s="153">
        <f>IF(D11="","-",+C64+1)</f>
        <v>2066</v>
      </c>
      <c r="D65" s="159">
        <f>IF(F64+SUM(E$17:E64)=D$10,F64,D$10-SUM(E$17:E64))</f>
        <v>0</v>
      </c>
      <c r="E65" s="160">
        <f>IF(+I14&lt;F64,I14,D65)</f>
        <v>0</v>
      </c>
      <c r="F65" s="159">
        <f t="shared" si="4"/>
        <v>0</v>
      </c>
      <c r="G65" s="163">
        <f t="shared" si="5"/>
        <v>0</v>
      </c>
      <c r="H65" s="142">
        <f t="shared" si="6"/>
        <v>0</v>
      </c>
      <c r="I65" s="156">
        <f t="shared" si="0"/>
        <v>0</v>
      </c>
      <c r="J65" s="156"/>
      <c r="K65" s="334"/>
      <c r="L65" s="158">
        <f t="shared" si="1"/>
        <v>0</v>
      </c>
      <c r="M65" s="334"/>
      <c r="N65" s="158">
        <f t="shared" si="2"/>
        <v>0</v>
      </c>
      <c r="O65" s="158">
        <f t="shared" si="3"/>
        <v>0</v>
      </c>
      <c r="P65" s="4"/>
    </row>
    <row r="66" spans="2:16">
      <c r="B66" s="9" t="str">
        <f t="shared" si="7"/>
        <v/>
      </c>
      <c r="C66" s="153">
        <f>IF(D11="","-",+C65+1)</f>
        <v>2067</v>
      </c>
      <c r="D66" s="159">
        <f>IF(F65+SUM(E$17:E65)=D$10,F65,D$10-SUM(E$17:E65))</f>
        <v>0</v>
      </c>
      <c r="E66" s="160">
        <f>IF(+I14&lt;F65,I14,D66)</f>
        <v>0</v>
      </c>
      <c r="F66" s="159">
        <f t="shared" si="4"/>
        <v>0</v>
      </c>
      <c r="G66" s="163">
        <f t="shared" si="5"/>
        <v>0</v>
      </c>
      <c r="H66" s="142">
        <f t="shared" si="6"/>
        <v>0</v>
      </c>
      <c r="I66" s="156">
        <f t="shared" si="0"/>
        <v>0</v>
      </c>
      <c r="J66" s="156"/>
      <c r="K66" s="334"/>
      <c r="L66" s="158">
        <f t="shared" si="1"/>
        <v>0</v>
      </c>
      <c r="M66" s="334"/>
      <c r="N66" s="158">
        <f t="shared" si="2"/>
        <v>0</v>
      </c>
      <c r="O66" s="158">
        <f t="shared" si="3"/>
        <v>0</v>
      </c>
      <c r="P66" s="4"/>
    </row>
    <row r="67" spans="2:16">
      <c r="B67" s="9" t="str">
        <f t="shared" si="7"/>
        <v/>
      </c>
      <c r="C67" s="153">
        <f>IF(D11="","-",+C66+1)</f>
        <v>2068</v>
      </c>
      <c r="D67" s="159">
        <f>IF(F66+SUM(E$17:E66)=D$10,F66,D$10-SUM(E$17:E66))</f>
        <v>0</v>
      </c>
      <c r="E67" s="160">
        <f>IF(+I14&lt;F66,I14,D67)</f>
        <v>0</v>
      </c>
      <c r="F67" s="159">
        <f t="shared" si="4"/>
        <v>0</v>
      </c>
      <c r="G67" s="163">
        <f t="shared" si="5"/>
        <v>0</v>
      </c>
      <c r="H67" s="142">
        <f t="shared" si="6"/>
        <v>0</v>
      </c>
      <c r="I67" s="156">
        <f t="shared" si="0"/>
        <v>0</v>
      </c>
      <c r="J67" s="156"/>
      <c r="K67" s="334"/>
      <c r="L67" s="158">
        <f t="shared" si="1"/>
        <v>0</v>
      </c>
      <c r="M67" s="334"/>
      <c r="N67" s="158">
        <f t="shared" si="2"/>
        <v>0</v>
      </c>
      <c r="O67" s="158">
        <f t="shared" si="3"/>
        <v>0</v>
      </c>
      <c r="P67" s="4"/>
    </row>
    <row r="68" spans="2:16">
      <c r="B68" s="9" t="str">
        <f t="shared" si="7"/>
        <v/>
      </c>
      <c r="C68" s="153">
        <f>IF(D11="","-",+C67+1)</f>
        <v>2069</v>
      </c>
      <c r="D68" s="159">
        <f>IF(F67+SUM(E$17:E67)=D$10,F67,D$10-SUM(E$17:E67))</f>
        <v>0</v>
      </c>
      <c r="E68" s="160">
        <f>IF(+I14&lt;F67,I14,D68)</f>
        <v>0</v>
      </c>
      <c r="F68" s="159">
        <f t="shared" si="4"/>
        <v>0</v>
      </c>
      <c r="G68" s="163">
        <f t="shared" si="5"/>
        <v>0</v>
      </c>
      <c r="H68" s="142">
        <f t="shared" si="6"/>
        <v>0</v>
      </c>
      <c r="I68" s="156">
        <f t="shared" si="0"/>
        <v>0</v>
      </c>
      <c r="J68" s="156"/>
      <c r="K68" s="334"/>
      <c r="L68" s="158">
        <f t="shared" si="1"/>
        <v>0</v>
      </c>
      <c r="M68" s="334"/>
      <c r="N68" s="158">
        <f t="shared" si="2"/>
        <v>0</v>
      </c>
      <c r="O68" s="158">
        <f t="shared" si="3"/>
        <v>0</v>
      </c>
      <c r="P68" s="4"/>
    </row>
    <row r="69" spans="2:16">
      <c r="B69" s="9" t="str">
        <f t="shared" si="7"/>
        <v/>
      </c>
      <c r="C69" s="153">
        <f>IF(D11="","-",+C68+1)</f>
        <v>2070</v>
      </c>
      <c r="D69" s="159">
        <f>IF(F68+SUM(E$17:E68)=D$10,F68,D$10-SUM(E$17:E68))</f>
        <v>0</v>
      </c>
      <c r="E69" s="160">
        <f>IF(+I14&lt;F68,I14,D69)</f>
        <v>0</v>
      </c>
      <c r="F69" s="159">
        <f t="shared" si="4"/>
        <v>0</v>
      </c>
      <c r="G69" s="163">
        <f t="shared" si="5"/>
        <v>0</v>
      </c>
      <c r="H69" s="142">
        <f t="shared" si="6"/>
        <v>0</v>
      </c>
      <c r="I69" s="156">
        <f t="shared" si="0"/>
        <v>0</v>
      </c>
      <c r="J69" s="156"/>
      <c r="K69" s="334"/>
      <c r="L69" s="158">
        <f t="shared" si="1"/>
        <v>0</v>
      </c>
      <c r="M69" s="334"/>
      <c r="N69" s="158">
        <f t="shared" si="2"/>
        <v>0</v>
      </c>
      <c r="O69" s="158">
        <f t="shared" si="3"/>
        <v>0</v>
      </c>
      <c r="P69" s="4"/>
    </row>
    <row r="70" spans="2:16">
      <c r="B70" s="9" t="str">
        <f t="shared" si="7"/>
        <v/>
      </c>
      <c r="C70" s="153">
        <f>IF(D11="","-",+C69+1)</f>
        <v>2071</v>
      </c>
      <c r="D70" s="159">
        <f>IF(F69+SUM(E$17:E69)=D$10,F69,D$10-SUM(E$17:E69))</f>
        <v>0</v>
      </c>
      <c r="E70" s="160">
        <f>IF(+I14&lt;F69,I14,D70)</f>
        <v>0</v>
      </c>
      <c r="F70" s="159">
        <f t="shared" si="4"/>
        <v>0</v>
      </c>
      <c r="G70" s="163">
        <f t="shared" si="5"/>
        <v>0</v>
      </c>
      <c r="H70" s="142">
        <f t="shared" si="6"/>
        <v>0</v>
      </c>
      <c r="I70" s="156">
        <f t="shared" si="0"/>
        <v>0</v>
      </c>
      <c r="J70" s="156"/>
      <c r="K70" s="334"/>
      <c r="L70" s="158">
        <f t="shared" si="1"/>
        <v>0</v>
      </c>
      <c r="M70" s="334"/>
      <c r="N70" s="158">
        <f t="shared" si="2"/>
        <v>0</v>
      </c>
      <c r="O70" s="158">
        <f t="shared" si="3"/>
        <v>0</v>
      </c>
      <c r="P70" s="4"/>
    </row>
    <row r="71" spans="2:16">
      <c r="B71" s="9" t="str">
        <f t="shared" si="7"/>
        <v/>
      </c>
      <c r="C71" s="153">
        <f>IF(D11="","-",+C70+1)</f>
        <v>2072</v>
      </c>
      <c r="D71" s="159">
        <f>IF(F70+SUM(E$17:E70)=D$10,F70,D$10-SUM(E$17:E70))</f>
        <v>0</v>
      </c>
      <c r="E71" s="160">
        <f>IF(+I14&lt;F70,I14,D71)</f>
        <v>0</v>
      </c>
      <c r="F71" s="159">
        <f t="shared" si="4"/>
        <v>0</v>
      </c>
      <c r="G71" s="163">
        <f t="shared" si="5"/>
        <v>0</v>
      </c>
      <c r="H71" s="142">
        <f t="shared" si="6"/>
        <v>0</v>
      </c>
      <c r="I71" s="156">
        <f t="shared" si="0"/>
        <v>0</v>
      </c>
      <c r="J71" s="156"/>
      <c r="K71" s="334"/>
      <c r="L71" s="158">
        <f t="shared" si="1"/>
        <v>0</v>
      </c>
      <c r="M71" s="334"/>
      <c r="N71" s="158">
        <f t="shared" si="2"/>
        <v>0</v>
      </c>
      <c r="O71" s="158">
        <f t="shared" si="3"/>
        <v>0</v>
      </c>
      <c r="P71" s="4"/>
    </row>
    <row r="72" spans="2:16" ht="13.5" thickBot="1">
      <c r="B72" s="9" t="str">
        <f t="shared" si="7"/>
        <v/>
      </c>
      <c r="C72" s="164">
        <f>IF(D11="","-",+C71+1)</f>
        <v>2073</v>
      </c>
      <c r="D72" s="165">
        <f>IF(F71+SUM(E$17:E71)=D$10,F71,D$10-SUM(E$17:E71))</f>
        <v>0</v>
      </c>
      <c r="E72" s="166">
        <f>IF(+I14&lt;F71,I14,D72)</f>
        <v>0</v>
      </c>
      <c r="F72" s="165">
        <f t="shared" si="4"/>
        <v>0</v>
      </c>
      <c r="G72" s="167">
        <f t="shared" si="5"/>
        <v>0</v>
      </c>
      <c r="H72" s="124">
        <f t="shared" si="6"/>
        <v>0</v>
      </c>
      <c r="I72" s="168">
        <f t="shared" si="0"/>
        <v>0</v>
      </c>
      <c r="J72" s="156"/>
      <c r="K72" s="335"/>
      <c r="L72" s="169">
        <f t="shared" si="1"/>
        <v>0</v>
      </c>
      <c r="M72" s="335"/>
      <c r="N72" s="169">
        <f t="shared" si="2"/>
        <v>0</v>
      </c>
      <c r="O72" s="169">
        <f t="shared" si="3"/>
        <v>0</v>
      </c>
      <c r="P72" s="4"/>
    </row>
    <row r="73" spans="2:16">
      <c r="C73" s="154" t="s">
        <v>73</v>
      </c>
      <c r="D73" s="111"/>
      <c r="E73" s="111">
        <f>SUM(E17:E72)</f>
        <v>9731000</v>
      </c>
      <c r="F73" s="111"/>
      <c r="G73" s="111">
        <f>SUM(G17:G72)</f>
        <v>30510522.250741608</v>
      </c>
      <c r="H73" s="111">
        <f>SUM(H17:H72)</f>
        <v>30510522.250741608</v>
      </c>
      <c r="I73" s="111">
        <f>SUM(I17:I72)</f>
        <v>0</v>
      </c>
      <c r="J73" s="111"/>
      <c r="K73" s="111"/>
      <c r="L73" s="111"/>
      <c r="M73" s="111"/>
      <c r="N73" s="111"/>
      <c r="O73" s="4"/>
      <c r="P73" s="4"/>
    </row>
    <row r="74" spans="2:16">
      <c r="D74" s="2"/>
      <c r="E74" s="1"/>
      <c r="F74" s="1"/>
      <c r="G74" s="1"/>
      <c r="H74" s="3"/>
      <c r="I74" s="3"/>
      <c r="J74" s="111"/>
      <c r="K74" s="3"/>
      <c r="L74" s="3"/>
      <c r="M74" s="3"/>
      <c r="N74" s="3"/>
      <c r="O74" s="1"/>
      <c r="P74" s="1"/>
    </row>
    <row r="75" spans="2:16">
      <c r="C75" s="170" t="s">
        <v>91</v>
      </c>
      <c r="D75" s="2"/>
      <c r="E75" s="1"/>
      <c r="F75" s="1"/>
      <c r="G75" s="1"/>
      <c r="H75" s="3"/>
      <c r="I75" s="3"/>
      <c r="J75" s="111"/>
      <c r="K75" s="3"/>
      <c r="L75" s="3"/>
      <c r="M75" s="3"/>
      <c r="N75" s="3"/>
      <c r="O75" s="1"/>
      <c r="P75" s="1"/>
    </row>
    <row r="76" spans="2:16">
      <c r="C76" s="121" t="s">
        <v>74</v>
      </c>
      <c r="D76" s="2"/>
      <c r="E76" s="1"/>
      <c r="F76" s="1"/>
      <c r="G76" s="1"/>
      <c r="H76" s="3"/>
      <c r="I76" s="3"/>
      <c r="J76" s="111"/>
      <c r="K76" s="3"/>
      <c r="L76" s="3"/>
      <c r="M76" s="3"/>
      <c r="N76" s="3"/>
      <c r="O76" s="4"/>
      <c r="P76" s="4"/>
    </row>
    <row r="77" spans="2:16">
      <c r="C77" s="121" t="s">
        <v>75</v>
      </c>
      <c r="D77" s="154"/>
      <c r="E77" s="154"/>
      <c r="F77" s="154"/>
      <c r="G77" s="111"/>
      <c r="H77" s="111"/>
      <c r="I77" s="171"/>
      <c r="J77" s="171"/>
      <c r="K77" s="171"/>
      <c r="L77" s="171"/>
      <c r="M77" s="171"/>
      <c r="N77" s="171"/>
      <c r="O77" s="4"/>
      <c r="P77" s="4"/>
    </row>
    <row r="78" spans="2:16">
      <c r="C78" s="121"/>
      <c r="D78" s="154"/>
      <c r="E78" s="154"/>
      <c r="F78" s="154"/>
      <c r="G78" s="111"/>
      <c r="H78" s="111"/>
      <c r="I78" s="171"/>
      <c r="J78" s="171"/>
      <c r="K78" s="171"/>
      <c r="L78" s="171"/>
      <c r="M78" s="171"/>
      <c r="N78" s="171"/>
      <c r="O78" s="4"/>
      <c r="P78" s="1"/>
    </row>
    <row r="79" spans="2:16">
      <c r="B79" s="1"/>
      <c r="C79" s="21"/>
      <c r="D79" s="2"/>
      <c r="E79" s="1"/>
      <c r="F79" s="107"/>
      <c r="G79" s="1"/>
      <c r="H79" s="3"/>
      <c r="I79" s="1"/>
      <c r="J79" s="4"/>
      <c r="K79" s="1"/>
      <c r="L79" s="1"/>
      <c r="M79" s="1"/>
      <c r="N79" s="1"/>
      <c r="O79" s="1"/>
      <c r="P79" s="1"/>
    </row>
    <row r="80" spans="2:16" ht="18">
      <c r="B80" s="1"/>
      <c r="C80" s="242"/>
      <c r="D80" s="2"/>
      <c r="E80" s="1"/>
      <c r="F80" s="107"/>
      <c r="G80" s="1"/>
      <c r="H80" s="3"/>
      <c r="I80" s="1"/>
      <c r="J80" s="4"/>
      <c r="K80" s="1"/>
      <c r="L80" s="1"/>
      <c r="M80" s="1"/>
      <c r="N80" s="1"/>
      <c r="P80" s="244" t="s">
        <v>125</v>
      </c>
    </row>
    <row r="81" spans="1:16">
      <c r="B81" s="1"/>
      <c r="C81" s="21"/>
      <c r="D81" s="2"/>
      <c r="E81" s="1"/>
      <c r="F81" s="107"/>
      <c r="G81" s="1"/>
      <c r="H81" s="3"/>
      <c r="I81" s="1"/>
      <c r="J81" s="4"/>
      <c r="K81" s="1"/>
      <c r="L81" s="1"/>
      <c r="M81" s="1"/>
      <c r="N81" s="1"/>
      <c r="O81" s="1"/>
      <c r="P81" s="1"/>
    </row>
    <row r="82" spans="1:16">
      <c r="B82" s="1"/>
      <c r="C82" s="21"/>
      <c r="D82" s="2"/>
      <c r="E82" s="1"/>
      <c r="F82" s="107"/>
      <c r="G82" s="1"/>
      <c r="H82" s="3"/>
      <c r="I82" s="1"/>
      <c r="J82" s="4"/>
      <c r="K82" s="1"/>
      <c r="L82" s="1"/>
      <c r="M82" s="1"/>
      <c r="N82" s="1"/>
      <c r="O82" s="1"/>
      <c r="P82" s="1"/>
    </row>
    <row r="83" spans="1:16" ht="20.25">
      <c r="A83" s="243" t="s">
        <v>129</v>
      </c>
      <c r="B83" s="1"/>
      <c r="C83" s="21"/>
      <c r="D83" s="2"/>
      <c r="E83" s="1"/>
      <c r="F83" s="99"/>
      <c r="G83" s="99"/>
      <c r="H83" s="1"/>
      <c r="I83" s="3"/>
      <c r="K83" s="7"/>
      <c r="L83" s="109"/>
      <c r="M83" s="109"/>
      <c r="P83" s="109" t="str">
        <f ca="1">P1</f>
        <v>SWEPCO Project 68 of 73</v>
      </c>
    </row>
    <row r="84" spans="1:16" ht="18">
      <c r="B84" s="1"/>
      <c r="C84" s="1"/>
      <c r="D84" s="2"/>
      <c r="E84" s="1"/>
      <c r="F84" s="1"/>
      <c r="G84" s="1"/>
      <c r="H84" s="1"/>
      <c r="I84" s="3"/>
      <c r="J84" s="1"/>
      <c r="K84" s="4"/>
      <c r="L84" s="1"/>
      <c r="M84" s="1"/>
      <c r="P84" s="244" t="s">
        <v>123</v>
      </c>
    </row>
    <row r="85" spans="1:16" ht="18.75" thickBot="1">
      <c r="B85" s="5" t="s">
        <v>40</v>
      </c>
      <c r="C85" s="197" t="s">
        <v>78</v>
      </c>
      <c r="D85" s="2"/>
      <c r="E85" s="1"/>
      <c r="F85" s="1"/>
      <c r="G85" s="1"/>
      <c r="H85" s="1"/>
      <c r="I85" s="3"/>
      <c r="J85" s="3"/>
      <c r="K85" s="111"/>
      <c r="L85" s="3"/>
      <c r="M85" s="3"/>
      <c r="N85" s="3"/>
      <c r="O85" s="111"/>
      <c r="P85" s="1"/>
    </row>
    <row r="86" spans="1:16" ht="15.75" thickBot="1">
      <c r="C86" s="67"/>
      <c r="D86" s="2"/>
      <c r="E86" s="1"/>
      <c r="F86" s="1"/>
      <c r="G86" s="1"/>
      <c r="H86" s="1"/>
      <c r="I86" s="3"/>
      <c r="J86" s="3"/>
      <c r="K86" s="111"/>
      <c r="L86" s="265">
        <f>+J92</f>
        <v>2017</v>
      </c>
      <c r="M86" s="266" t="s">
        <v>7</v>
      </c>
      <c r="N86" s="270" t="s">
        <v>154</v>
      </c>
      <c r="O86" s="267" t="s">
        <v>9</v>
      </c>
      <c r="P86" s="1"/>
    </row>
    <row r="87" spans="1:16" ht="15">
      <c r="C87" s="235" t="s">
        <v>42</v>
      </c>
      <c r="D87" s="2"/>
      <c r="E87" s="1"/>
      <c r="F87" s="1"/>
      <c r="G87" s="1"/>
      <c r="H87" s="113"/>
      <c r="I87" s="1" t="s">
        <v>43</v>
      </c>
      <c r="J87" s="1"/>
      <c r="K87" s="261"/>
      <c r="L87" s="259" t="s">
        <v>381</v>
      </c>
      <c r="M87" s="198">
        <f>IF(J92&lt;D11,0,VLOOKUP(J92,C17:O72,9))</f>
        <v>0</v>
      </c>
      <c r="N87" s="198">
        <f>IF(J92&lt;D11,0,VLOOKUP(J92,C17:O72,11))</f>
        <v>0</v>
      </c>
      <c r="O87" s="199">
        <f>+N87-M87</f>
        <v>0</v>
      </c>
      <c r="P87" s="1"/>
    </row>
    <row r="88" spans="1:16" ht="15.75">
      <c r="C88" s="8"/>
      <c r="D88" s="2"/>
      <c r="E88" s="1"/>
      <c r="F88" s="1"/>
      <c r="G88" s="1"/>
      <c r="H88" s="1"/>
      <c r="I88" s="117"/>
      <c r="J88" s="117"/>
      <c r="K88" s="263"/>
      <c r="L88" s="264" t="s">
        <v>382</v>
      </c>
      <c r="M88" s="200">
        <f>IF(J92&lt;D11,0,VLOOKUP(J92,C99:P154,6))</f>
        <v>0</v>
      </c>
      <c r="N88" s="200">
        <f>IF(J92&lt;D11,0,VLOOKUP(J92,C99:P154,7))</f>
        <v>0</v>
      </c>
      <c r="O88" s="201">
        <f>+N88-M88</f>
        <v>0</v>
      </c>
      <c r="P88" s="1"/>
    </row>
    <row r="89" spans="1:16" ht="13.5" thickBot="1">
      <c r="C89" s="121" t="s">
        <v>79</v>
      </c>
      <c r="D89" s="246" t="str">
        <f>+D7</f>
        <v>Everside - Northwest Henderson 69KV Line Rebuild</v>
      </c>
      <c r="E89" s="1"/>
      <c r="F89" s="1"/>
      <c r="G89" s="1"/>
      <c r="H89" s="1"/>
      <c r="I89" s="3"/>
      <c r="J89" s="3"/>
      <c r="K89" s="262"/>
      <c r="L89" s="260" t="s">
        <v>151</v>
      </c>
      <c r="M89" s="203">
        <f>+M88-M87</f>
        <v>0</v>
      </c>
      <c r="N89" s="203">
        <f>+N88-N87</f>
        <v>0</v>
      </c>
      <c r="O89" s="204">
        <f>+O88-O87</f>
        <v>0</v>
      </c>
      <c r="P89" s="1"/>
    </row>
    <row r="90" spans="1:16" ht="13.5" thickBot="1">
      <c r="C90" s="170"/>
      <c r="D90" s="173" t="str">
        <f>D8</f>
        <v/>
      </c>
      <c r="E90" s="107"/>
      <c r="F90" s="107"/>
      <c r="G90" s="107"/>
      <c r="H90" s="126"/>
      <c r="I90" s="3"/>
      <c r="J90" s="3"/>
      <c r="K90" s="111"/>
      <c r="L90" s="3"/>
      <c r="M90" s="3"/>
      <c r="N90" s="3"/>
      <c r="O90" s="111"/>
      <c r="P90" s="1"/>
    </row>
    <row r="91" spans="1:16" ht="13.5" thickBot="1">
      <c r="A91" s="103"/>
      <c r="C91" s="205" t="s">
        <v>80</v>
      </c>
      <c r="D91" s="224" t="str">
        <f>+D9</f>
        <v>TP______</v>
      </c>
      <c r="E91" s="206"/>
      <c r="F91" s="206"/>
      <c r="G91" s="206"/>
      <c r="H91" s="206"/>
      <c r="I91" s="206"/>
      <c r="J91" s="206"/>
      <c r="K91" s="207"/>
      <c r="P91" s="131"/>
    </row>
    <row r="92" spans="1:16">
      <c r="C92" s="136" t="s">
        <v>47</v>
      </c>
      <c r="D92" s="218">
        <f>+D10</f>
        <v>9731000</v>
      </c>
      <c r="E92" s="21" t="s">
        <v>81</v>
      </c>
      <c r="H92" s="134"/>
      <c r="I92" s="134"/>
      <c r="J92" s="135">
        <f>+'SWE.WS.G.BPU.ATRR.True-up'!M15</f>
        <v>2017</v>
      </c>
      <c r="K92" s="130"/>
      <c r="L92" s="111" t="s">
        <v>82</v>
      </c>
      <c r="P92" s="4"/>
    </row>
    <row r="93" spans="1:16">
      <c r="C93" s="136" t="s">
        <v>49</v>
      </c>
      <c r="D93" s="468">
        <f>+D11</f>
        <v>2018</v>
      </c>
      <c r="E93" s="136" t="s">
        <v>50</v>
      </c>
      <c r="F93" s="134"/>
      <c r="G93" s="134"/>
      <c r="J93" s="138">
        <f>IF(H87="",0,'SWE.WS.G.BPU.ATRR.True-up'!$F$12)</f>
        <v>0</v>
      </c>
      <c r="K93" s="139"/>
      <c r="L93" t="str">
        <f>"          INPUT TRUE-UP ARR (WITH &amp; WITHOUT INCENTIVES) FROM EACH PRIOR YEAR"</f>
        <v xml:space="preserve">          INPUT TRUE-UP ARR (WITH &amp; WITHOUT INCENTIVES) FROM EACH PRIOR YEAR</v>
      </c>
      <c r="P93" s="4"/>
    </row>
    <row r="94" spans="1:16">
      <c r="C94" s="136" t="s">
        <v>51</v>
      </c>
      <c r="D94" s="218">
        <f>+D12</f>
        <v>6</v>
      </c>
      <c r="E94" s="136" t="s">
        <v>52</v>
      </c>
      <c r="F94" s="134"/>
      <c r="G94" s="134"/>
      <c r="J94" s="140">
        <f>'SWE.WS.G.BPU.ATRR.True-up'!$F$80</f>
        <v>0.12147145768398206</v>
      </c>
      <c r="K94" s="141"/>
      <c r="L94" t="s">
        <v>83</v>
      </c>
      <c r="P94" s="4"/>
    </row>
    <row r="95" spans="1:16">
      <c r="C95" s="136" t="s">
        <v>54</v>
      </c>
      <c r="D95" s="138">
        <f>'SWE.WS.G.BPU.ATRR.True-up'!F$92</f>
        <v>42</v>
      </c>
      <c r="E95" s="136" t="s">
        <v>55</v>
      </c>
      <c r="F95" s="134"/>
      <c r="G95" s="134"/>
      <c r="J95" s="140">
        <f>IF(H87="",J94,'SWE.WS.G.BPU.ATRR.True-up'!$F$79)</f>
        <v>0.12147145768398206</v>
      </c>
      <c r="K95" s="58"/>
      <c r="L95" s="111" t="s">
        <v>56</v>
      </c>
      <c r="M95" s="58"/>
      <c r="N95" s="58"/>
      <c r="O95" s="58"/>
      <c r="P95" s="4"/>
    </row>
    <row r="96" spans="1:16" ht="13.5" thickBot="1">
      <c r="C96" s="136" t="s">
        <v>57</v>
      </c>
      <c r="D96" s="220" t="str">
        <f>+D14</f>
        <v>No</v>
      </c>
      <c r="E96" s="202" t="s">
        <v>59</v>
      </c>
      <c r="F96" s="208"/>
      <c r="G96" s="208"/>
      <c r="H96" s="209"/>
      <c r="I96" s="209"/>
      <c r="J96" s="124">
        <f>IF(D92=0,0,D92/D95)</f>
        <v>231690.47619047618</v>
      </c>
      <c r="K96" s="111"/>
      <c r="L96" s="111"/>
      <c r="M96" s="111"/>
      <c r="N96" s="111"/>
      <c r="O96" s="111"/>
      <c r="P96" s="4"/>
    </row>
    <row r="97" spans="1:16" ht="38.25">
      <c r="A97" s="6"/>
      <c r="B97" s="6"/>
      <c r="C97" s="210" t="s">
        <v>47</v>
      </c>
      <c r="D97" s="211" t="s">
        <v>60</v>
      </c>
      <c r="E97" s="146" t="s">
        <v>61</v>
      </c>
      <c r="F97" s="146" t="s">
        <v>62</v>
      </c>
      <c r="G97" s="144" t="s">
        <v>84</v>
      </c>
      <c r="H97" s="434" t="s">
        <v>378</v>
      </c>
      <c r="I97" s="435" t="s">
        <v>379</v>
      </c>
      <c r="J97" s="210" t="s">
        <v>85</v>
      </c>
      <c r="K97" s="212"/>
      <c r="L97" s="271" t="s">
        <v>220</v>
      </c>
      <c r="M97" s="146" t="s">
        <v>86</v>
      </c>
      <c r="N97" s="271" t="s">
        <v>220</v>
      </c>
      <c r="O97" s="146" t="s">
        <v>86</v>
      </c>
      <c r="P97" s="146" t="s">
        <v>65</v>
      </c>
    </row>
    <row r="98" spans="1:16" ht="13.5" thickBot="1">
      <c r="C98" s="147" t="s">
        <v>66</v>
      </c>
      <c r="D98" s="213" t="s">
        <v>67</v>
      </c>
      <c r="E98" s="147" t="s">
        <v>68</v>
      </c>
      <c r="F98" s="147" t="s">
        <v>67</v>
      </c>
      <c r="G98" s="147" t="s">
        <v>67</v>
      </c>
      <c r="H98" s="255" t="s">
        <v>69</v>
      </c>
      <c r="I98" s="148" t="s">
        <v>70</v>
      </c>
      <c r="J98" s="149" t="s">
        <v>89</v>
      </c>
      <c r="K98" s="150"/>
      <c r="L98" s="151" t="s">
        <v>72</v>
      </c>
      <c r="M98" s="151" t="s">
        <v>72</v>
      </c>
      <c r="N98" s="151" t="s">
        <v>90</v>
      </c>
      <c r="O98" s="151" t="s">
        <v>90</v>
      </c>
      <c r="P98" s="151" t="s">
        <v>90</v>
      </c>
    </row>
    <row r="99" spans="1:16">
      <c r="C99" s="153">
        <f>IF(D93= "","-",D93)</f>
        <v>2018</v>
      </c>
      <c r="D99" s="154">
        <f>IF(D93=C99,0,D92)</f>
        <v>0</v>
      </c>
      <c r="E99" s="161">
        <f>IF(D11=I10,0,J96/12*(12-D94))</f>
        <v>115845.23809523809</v>
      </c>
      <c r="F99" s="159">
        <f>IF(D93=C99,+D92-E99,+D99-E99)</f>
        <v>9615154.7619047612</v>
      </c>
      <c r="G99" s="214">
        <f t="shared" ref="G99:G154" si="8">+(F99+D99)/2</f>
        <v>4807577.3809523806</v>
      </c>
      <c r="H99" s="251">
        <f>+J94*G99+E99</f>
        <v>699828.67048806453</v>
      </c>
      <c r="I99" s="252">
        <f>+J95*G99+E99</f>
        <v>699828.67048806453</v>
      </c>
      <c r="J99" s="158">
        <f t="shared" ref="J99:J130" si="9">+I99-H99</f>
        <v>0</v>
      </c>
      <c r="K99" s="158"/>
      <c r="L99" s="333"/>
      <c r="M99" s="157">
        <f t="shared" ref="M99:M130" si="10">IF(L99&lt;&gt;0,+H99-L99,0)</f>
        <v>0</v>
      </c>
      <c r="N99" s="333"/>
      <c r="O99" s="157">
        <f t="shared" ref="O99:O130" si="11">IF(N99&lt;&gt;0,+I99-N99,0)</f>
        <v>0</v>
      </c>
      <c r="P99" s="157">
        <f t="shared" ref="P99:P130" si="12">+O99-M99</f>
        <v>0</v>
      </c>
    </row>
    <row r="100" spans="1:16">
      <c r="B100" s="9" t="str">
        <f>IF(D100=F99,"","IU")</f>
        <v/>
      </c>
      <c r="C100" s="153">
        <f>IF(D93="","-",+C99+1)</f>
        <v>2019</v>
      </c>
      <c r="D100" s="154">
        <f>IF(F99+SUM(E$99:E99)=D$92,F99,D$92-SUM(E$99:E99))</f>
        <v>9615154.7619047612</v>
      </c>
      <c r="E100" s="160">
        <f>IF(+J96&lt;F99,J96,D100)</f>
        <v>231690.47619047618</v>
      </c>
      <c r="F100" s="159">
        <f t="shared" ref="F100:F154" si="13">+D100-E100</f>
        <v>9383464.2857142854</v>
      </c>
      <c r="G100" s="159">
        <f t="shared" si="8"/>
        <v>9499309.5238095224</v>
      </c>
      <c r="H100" s="163">
        <f t="shared" ref="H100:H154" si="14">+J$94*G100+E100</f>
        <v>1385585.4510389525</v>
      </c>
      <c r="I100" s="253">
        <f t="shared" ref="I100:I154" si="15">+J$95*G100+E100</f>
        <v>1385585.4510389525</v>
      </c>
      <c r="J100" s="158">
        <f t="shared" si="9"/>
        <v>0</v>
      </c>
      <c r="K100" s="158"/>
      <c r="L100" s="334"/>
      <c r="M100" s="158">
        <f t="shared" si="10"/>
        <v>0</v>
      </c>
      <c r="N100" s="334"/>
      <c r="O100" s="158">
        <f t="shared" si="11"/>
        <v>0</v>
      </c>
      <c r="P100" s="158">
        <f t="shared" si="12"/>
        <v>0</v>
      </c>
    </row>
    <row r="101" spans="1:16">
      <c r="B101" s="9" t="str">
        <f t="shared" ref="B101:B154" si="16">IF(D101=F100,"","IU")</f>
        <v/>
      </c>
      <c r="C101" s="153">
        <f>IF(D93="","-",+C100+1)</f>
        <v>2020</v>
      </c>
      <c r="D101" s="154">
        <f>IF(F100+SUM(E$99:E100)=D$92,F100,D$92-SUM(E$99:E100))</f>
        <v>9383464.2857142854</v>
      </c>
      <c r="E101" s="160">
        <f>IF(+J96&lt;F100,J96,D101)</f>
        <v>231690.47619047618</v>
      </c>
      <c r="F101" s="159">
        <f t="shared" si="13"/>
        <v>9151773.8095238097</v>
      </c>
      <c r="G101" s="159">
        <f t="shared" si="8"/>
        <v>9267619.0476190485</v>
      </c>
      <c r="H101" s="163">
        <f t="shared" si="14"/>
        <v>1357441.6711645995</v>
      </c>
      <c r="I101" s="253">
        <f t="shared" si="15"/>
        <v>1357441.6711645995</v>
      </c>
      <c r="J101" s="158">
        <f t="shared" si="9"/>
        <v>0</v>
      </c>
      <c r="K101" s="158"/>
      <c r="L101" s="334"/>
      <c r="M101" s="158">
        <f t="shared" si="10"/>
        <v>0</v>
      </c>
      <c r="N101" s="334"/>
      <c r="O101" s="158">
        <f t="shared" si="11"/>
        <v>0</v>
      </c>
      <c r="P101" s="158">
        <f t="shared" si="12"/>
        <v>0</v>
      </c>
    </row>
    <row r="102" spans="1:16">
      <c r="B102" s="9" t="str">
        <f t="shared" si="16"/>
        <v/>
      </c>
      <c r="C102" s="153">
        <f>IF(D93="","-",+C101+1)</f>
        <v>2021</v>
      </c>
      <c r="D102" s="154">
        <f>IF(F101+SUM(E$99:E101)=D$92,F101,D$92-SUM(E$99:E101))</f>
        <v>9151773.8095238097</v>
      </c>
      <c r="E102" s="160">
        <f>IF(+J96&lt;F101,J96,D102)</f>
        <v>231690.47619047618</v>
      </c>
      <c r="F102" s="159">
        <f t="shared" si="13"/>
        <v>8920083.333333334</v>
      </c>
      <c r="G102" s="159">
        <f t="shared" si="8"/>
        <v>9035928.5714285709</v>
      </c>
      <c r="H102" s="163">
        <f t="shared" si="14"/>
        <v>1329297.8912902463</v>
      </c>
      <c r="I102" s="253">
        <f t="shared" si="15"/>
        <v>1329297.8912902463</v>
      </c>
      <c r="J102" s="158">
        <f t="shared" si="9"/>
        <v>0</v>
      </c>
      <c r="K102" s="158"/>
      <c r="L102" s="334"/>
      <c r="M102" s="158">
        <f t="shared" si="10"/>
        <v>0</v>
      </c>
      <c r="N102" s="334"/>
      <c r="O102" s="158">
        <f t="shared" si="11"/>
        <v>0</v>
      </c>
      <c r="P102" s="158">
        <f t="shared" si="12"/>
        <v>0</v>
      </c>
    </row>
    <row r="103" spans="1:16">
      <c r="B103" s="9" t="str">
        <f t="shared" si="16"/>
        <v/>
      </c>
      <c r="C103" s="153">
        <f>IF(D93="","-",+C102+1)</f>
        <v>2022</v>
      </c>
      <c r="D103" s="154">
        <f>IF(F102+SUM(E$99:E102)=D$92,F102,D$92-SUM(E$99:E102))</f>
        <v>8920083.333333334</v>
      </c>
      <c r="E103" s="160">
        <f>IF(+J96&lt;F102,J96,D103)</f>
        <v>231690.47619047618</v>
      </c>
      <c r="F103" s="159">
        <f t="shared" si="13"/>
        <v>8688392.8571428582</v>
      </c>
      <c r="G103" s="159">
        <f t="shared" si="8"/>
        <v>8804238.095238097</v>
      </c>
      <c r="H103" s="163">
        <f t="shared" si="14"/>
        <v>1301154.1114158935</v>
      </c>
      <c r="I103" s="253">
        <f t="shared" si="15"/>
        <v>1301154.1114158935</v>
      </c>
      <c r="J103" s="158">
        <f t="shared" si="9"/>
        <v>0</v>
      </c>
      <c r="K103" s="158"/>
      <c r="L103" s="334"/>
      <c r="M103" s="158">
        <f t="shared" si="10"/>
        <v>0</v>
      </c>
      <c r="N103" s="334"/>
      <c r="O103" s="158">
        <f t="shared" si="11"/>
        <v>0</v>
      </c>
      <c r="P103" s="158">
        <f t="shared" si="12"/>
        <v>0</v>
      </c>
    </row>
    <row r="104" spans="1:16">
      <c r="B104" s="9" t="str">
        <f t="shared" si="16"/>
        <v/>
      </c>
      <c r="C104" s="153">
        <f>IF(D93="","-",+C103+1)</f>
        <v>2023</v>
      </c>
      <c r="D104" s="154">
        <f>IF(F103+SUM(E$99:E103)=D$92,F103,D$92-SUM(E$99:E103))</f>
        <v>8688392.8571428582</v>
      </c>
      <c r="E104" s="160">
        <f>IF(+J96&lt;F103,J96,D104)</f>
        <v>231690.47619047618</v>
      </c>
      <c r="F104" s="159">
        <f t="shared" si="13"/>
        <v>8456702.3809523825</v>
      </c>
      <c r="G104" s="159">
        <f t="shared" si="8"/>
        <v>8572547.6190476194</v>
      </c>
      <c r="H104" s="163">
        <f t="shared" si="14"/>
        <v>1273010.3315415401</v>
      </c>
      <c r="I104" s="253">
        <f t="shared" si="15"/>
        <v>1273010.3315415401</v>
      </c>
      <c r="J104" s="158">
        <f t="shared" si="9"/>
        <v>0</v>
      </c>
      <c r="K104" s="158"/>
      <c r="L104" s="334"/>
      <c r="M104" s="158">
        <f t="shared" si="10"/>
        <v>0</v>
      </c>
      <c r="N104" s="334"/>
      <c r="O104" s="158">
        <f t="shared" si="11"/>
        <v>0</v>
      </c>
      <c r="P104" s="158">
        <f t="shared" si="12"/>
        <v>0</v>
      </c>
    </row>
    <row r="105" spans="1:16">
      <c r="B105" s="9" t="str">
        <f t="shared" si="16"/>
        <v/>
      </c>
      <c r="C105" s="153">
        <f>IF(D93="","-",+C104+1)</f>
        <v>2024</v>
      </c>
      <c r="D105" s="154">
        <f>IF(F104+SUM(E$99:E104)=D$92,F104,D$92-SUM(E$99:E104))</f>
        <v>8456702.3809523825</v>
      </c>
      <c r="E105" s="160">
        <f>IF(+J96&lt;F104,J96,D105)</f>
        <v>231690.47619047618</v>
      </c>
      <c r="F105" s="159">
        <f t="shared" si="13"/>
        <v>8225011.9047619067</v>
      </c>
      <c r="G105" s="159">
        <f t="shared" si="8"/>
        <v>8340857.1428571446</v>
      </c>
      <c r="H105" s="163">
        <f t="shared" si="14"/>
        <v>1244866.5516671874</v>
      </c>
      <c r="I105" s="253">
        <f t="shared" si="15"/>
        <v>1244866.5516671874</v>
      </c>
      <c r="J105" s="158">
        <f t="shared" si="9"/>
        <v>0</v>
      </c>
      <c r="K105" s="158"/>
      <c r="L105" s="334"/>
      <c r="M105" s="158">
        <f t="shared" si="10"/>
        <v>0</v>
      </c>
      <c r="N105" s="334"/>
      <c r="O105" s="158">
        <f t="shared" si="11"/>
        <v>0</v>
      </c>
      <c r="P105" s="158">
        <f t="shared" si="12"/>
        <v>0</v>
      </c>
    </row>
    <row r="106" spans="1:16">
      <c r="B106" s="9" t="str">
        <f t="shared" si="16"/>
        <v/>
      </c>
      <c r="C106" s="153">
        <f>IF(D93="","-",+C105+1)</f>
        <v>2025</v>
      </c>
      <c r="D106" s="154">
        <f>IF(F105+SUM(E$99:E105)=D$92,F105,D$92-SUM(E$99:E105))</f>
        <v>8225011.9047619067</v>
      </c>
      <c r="E106" s="160">
        <f>IF(+J96&lt;F105,J96,D106)</f>
        <v>231690.47619047618</v>
      </c>
      <c r="F106" s="159">
        <f t="shared" si="13"/>
        <v>7993321.428571431</v>
      </c>
      <c r="G106" s="159">
        <f t="shared" si="8"/>
        <v>8109166.6666666688</v>
      </c>
      <c r="H106" s="163">
        <f t="shared" si="14"/>
        <v>1216722.7717928342</v>
      </c>
      <c r="I106" s="253">
        <f t="shared" si="15"/>
        <v>1216722.7717928342</v>
      </c>
      <c r="J106" s="158">
        <f t="shared" si="9"/>
        <v>0</v>
      </c>
      <c r="K106" s="158"/>
      <c r="L106" s="334"/>
      <c r="M106" s="158">
        <f t="shared" si="10"/>
        <v>0</v>
      </c>
      <c r="N106" s="334"/>
      <c r="O106" s="158">
        <f t="shared" si="11"/>
        <v>0</v>
      </c>
      <c r="P106" s="158">
        <f t="shared" si="12"/>
        <v>0</v>
      </c>
    </row>
    <row r="107" spans="1:16">
      <c r="B107" s="9" t="str">
        <f t="shared" si="16"/>
        <v/>
      </c>
      <c r="C107" s="153">
        <f>IF(D93="","-",+C106+1)</f>
        <v>2026</v>
      </c>
      <c r="D107" s="154">
        <f>IF(F106+SUM(E$99:E106)=D$92,F106,D$92-SUM(E$99:E106))</f>
        <v>7993321.428571431</v>
      </c>
      <c r="E107" s="160">
        <f>IF(+J96&lt;F106,J96,D107)</f>
        <v>231690.47619047618</v>
      </c>
      <c r="F107" s="159">
        <f t="shared" si="13"/>
        <v>7761630.9523809552</v>
      </c>
      <c r="G107" s="159">
        <f t="shared" si="8"/>
        <v>7877476.1904761931</v>
      </c>
      <c r="H107" s="163">
        <f t="shared" si="14"/>
        <v>1188578.9919184812</v>
      </c>
      <c r="I107" s="253">
        <f t="shared" si="15"/>
        <v>1188578.9919184812</v>
      </c>
      <c r="J107" s="158">
        <f t="shared" si="9"/>
        <v>0</v>
      </c>
      <c r="K107" s="158"/>
      <c r="L107" s="334"/>
      <c r="M107" s="158">
        <f t="shared" si="10"/>
        <v>0</v>
      </c>
      <c r="N107" s="334"/>
      <c r="O107" s="158">
        <f t="shared" si="11"/>
        <v>0</v>
      </c>
      <c r="P107" s="158">
        <f t="shared" si="12"/>
        <v>0</v>
      </c>
    </row>
    <row r="108" spans="1:16">
      <c r="B108" s="9" t="str">
        <f t="shared" si="16"/>
        <v/>
      </c>
      <c r="C108" s="153">
        <f>IF(D93="","-",+C107+1)</f>
        <v>2027</v>
      </c>
      <c r="D108" s="154">
        <f>IF(F107+SUM(E$99:E107)=D$92,F107,D$92-SUM(E$99:E107))</f>
        <v>7761630.9523809552</v>
      </c>
      <c r="E108" s="160">
        <f>IF(+J96&lt;F107,J96,D108)</f>
        <v>231690.47619047618</v>
      </c>
      <c r="F108" s="159">
        <f t="shared" si="13"/>
        <v>7529940.4761904795</v>
      </c>
      <c r="G108" s="159">
        <f t="shared" si="8"/>
        <v>7645785.7142857173</v>
      </c>
      <c r="H108" s="163">
        <f t="shared" si="14"/>
        <v>1160435.2120441282</v>
      </c>
      <c r="I108" s="253">
        <f t="shared" si="15"/>
        <v>1160435.2120441282</v>
      </c>
      <c r="J108" s="158">
        <f t="shared" si="9"/>
        <v>0</v>
      </c>
      <c r="K108" s="158"/>
      <c r="L108" s="334"/>
      <c r="M108" s="158">
        <f t="shared" si="10"/>
        <v>0</v>
      </c>
      <c r="N108" s="334"/>
      <c r="O108" s="158">
        <f t="shared" si="11"/>
        <v>0</v>
      </c>
      <c r="P108" s="158">
        <f t="shared" si="12"/>
        <v>0</v>
      </c>
    </row>
    <row r="109" spans="1:16">
      <c r="B109" s="9" t="str">
        <f t="shared" si="16"/>
        <v/>
      </c>
      <c r="C109" s="153">
        <f>IF(D93="","-",+C108+1)</f>
        <v>2028</v>
      </c>
      <c r="D109" s="154">
        <f>IF(F108+SUM(E$99:E108)=D$92,F108,D$92-SUM(E$99:E108))</f>
        <v>7529940.4761904795</v>
      </c>
      <c r="E109" s="160">
        <f>IF(+J96&lt;F108,J96,D109)</f>
        <v>231690.47619047618</v>
      </c>
      <c r="F109" s="159">
        <f t="shared" si="13"/>
        <v>7298250.0000000037</v>
      </c>
      <c r="G109" s="159">
        <f t="shared" si="8"/>
        <v>7414095.2380952416</v>
      </c>
      <c r="H109" s="163">
        <f t="shared" si="14"/>
        <v>1132291.4321697752</v>
      </c>
      <c r="I109" s="253">
        <f t="shared" si="15"/>
        <v>1132291.4321697752</v>
      </c>
      <c r="J109" s="158">
        <f t="shared" si="9"/>
        <v>0</v>
      </c>
      <c r="K109" s="158"/>
      <c r="L109" s="334"/>
      <c r="M109" s="158">
        <f t="shared" si="10"/>
        <v>0</v>
      </c>
      <c r="N109" s="334"/>
      <c r="O109" s="158">
        <f t="shared" si="11"/>
        <v>0</v>
      </c>
      <c r="P109" s="158">
        <f t="shared" si="12"/>
        <v>0</v>
      </c>
    </row>
    <row r="110" spans="1:16">
      <c r="B110" s="9" t="str">
        <f t="shared" si="16"/>
        <v/>
      </c>
      <c r="C110" s="153">
        <f>IF(D93="","-",+C109+1)</f>
        <v>2029</v>
      </c>
      <c r="D110" s="154">
        <f>IF(F109+SUM(E$99:E109)=D$92,F109,D$92-SUM(E$99:E109))</f>
        <v>7298250.0000000037</v>
      </c>
      <c r="E110" s="160">
        <f>IF(+J96&lt;F109,J96,D110)</f>
        <v>231690.47619047618</v>
      </c>
      <c r="F110" s="159">
        <f t="shared" si="13"/>
        <v>7066559.523809528</v>
      </c>
      <c r="G110" s="159">
        <f t="shared" si="8"/>
        <v>7182404.7619047659</v>
      </c>
      <c r="H110" s="163">
        <f t="shared" si="14"/>
        <v>1104147.652295422</v>
      </c>
      <c r="I110" s="253">
        <f t="shared" si="15"/>
        <v>1104147.652295422</v>
      </c>
      <c r="J110" s="158">
        <f t="shared" si="9"/>
        <v>0</v>
      </c>
      <c r="K110" s="158"/>
      <c r="L110" s="334"/>
      <c r="M110" s="158">
        <f t="shared" si="10"/>
        <v>0</v>
      </c>
      <c r="N110" s="334"/>
      <c r="O110" s="158">
        <f t="shared" si="11"/>
        <v>0</v>
      </c>
      <c r="P110" s="158">
        <f t="shared" si="12"/>
        <v>0</v>
      </c>
    </row>
    <row r="111" spans="1:16">
      <c r="B111" s="9" t="str">
        <f t="shared" si="16"/>
        <v/>
      </c>
      <c r="C111" s="153">
        <f>IF(D93="","-",+C110+1)</f>
        <v>2030</v>
      </c>
      <c r="D111" s="154">
        <f>IF(F110+SUM(E$99:E110)=D$92,F110,D$92-SUM(E$99:E110))</f>
        <v>7066559.523809528</v>
      </c>
      <c r="E111" s="160">
        <f>IF(+J96&lt;F110,J96,D111)</f>
        <v>231690.47619047618</v>
      </c>
      <c r="F111" s="159">
        <f t="shared" si="13"/>
        <v>6834869.0476190522</v>
      </c>
      <c r="G111" s="159">
        <f t="shared" si="8"/>
        <v>6950714.2857142901</v>
      </c>
      <c r="H111" s="163">
        <f t="shared" si="14"/>
        <v>1076003.8724210691</v>
      </c>
      <c r="I111" s="253">
        <f t="shared" si="15"/>
        <v>1076003.8724210691</v>
      </c>
      <c r="J111" s="158">
        <f t="shared" si="9"/>
        <v>0</v>
      </c>
      <c r="K111" s="158"/>
      <c r="L111" s="334"/>
      <c r="M111" s="158">
        <f t="shared" si="10"/>
        <v>0</v>
      </c>
      <c r="N111" s="334"/>
      <c r="O111" s="158">
        <f t="shared" si="11"/>
        <v>0</v>
      </c>
      <c r="P111" s="158">
        <f t="shared" si="12"/>
        <v>0</v>
      </c>
    </row>
    <row r="112" spans="1:16">
      <c r="B112" s="9" t="str">
        <f t="shared" si="16"/>
        <v/>
      </c>
      <c r="C112" s="153">
        <f>IF(D93="","-",+C111+1)</f>
        <v>2031</v>
      </c>
      <c r="D112" s="154">
        <f>IF(F111+SUM(E$99:E111)=D$92,F111,D$92-SUM(E$99:E111))</f>
        <v>6834869.0476190522</v>
      </c>
      <c r="E112" s="160">
        <f>IF(+J96&lt;F111,J96,D112)</f>
        <v>231690.47619047618</v>
      </c>
      <c r="F112" s="159">
        <f t="shared" si="13"/>
        <v>6603178.5714285765</v>
      </c>
      <c r="G112" s="159">
        <f t="shared" si="8"/>
        <v>6719023.8095238144</v>
      </c>
      <c r="H112" s="163">
        <f t="shared" si="14"/>
        <v>1047860.0925467161</v>
      </c>
      <c r="I112" s="253">
        <f t="shared" si="15"/>
        <v>1047860.0925467161</v>
      </c>
      <c r="J112" s="158">
        <f t="shared" si="9"/>
        <v>0</v>
      </c>
      <c r="K112" s="158"/>
      <c r="L112" s="334"/>
      <c r="M112" s="158">
        <f t="shared" si="10"/>
        <v>0</v>
      </c>
      <c r="N112" s="334"/>
      <c r="O112" s="158">
        <f t="shared" si="11"/>
        <v>0</v>
      </c>
      <c r="P112" s="158">
        <f t="shared" si="12"/>
        <v>0</v>
      </c>
    </row>
    <row r="113" spans="2:16">
      <c r="B113" s="9" t="str">
        <f t="shared" si="16"/>
        <v>IU</v>
      </c>
      <c r="C113" s="153">
        <f>IF(D93="","-",+C112+1)</f>
        <v>2032</v>
      </c>
      <c r="D113" s="154">
        <f>IF(F112+SUM(E$99:E112)=D$92,F112,D$92-SUM(E$99:E112))</f>
        <v>6603178.5714285709</v>
      </c>
      <c r="E113" s="160">
        <f>IF(+J96&lt;F112,J96,D113)</f>
        <v>231690.47619047618</v>
      </c>
      <c r="F113" s="159">
        <f t="shared" si="13"/>
        <v>6371488.0952380951</v>
      </c>
      <c r="G113" s="159">
        <f t="shared" si="8"/>
        <v>6487333.333333333</v>
      </c>
      <c r="H113" s="163">
        <f t="shared" si="14"/>
        <v>1019716.3126723624</v>
      </c>
      <c r="I113" s="253">
        <f t="shared" si="15"/>
        <v>1019716.3126723624</v>
      </c>
      <c r="J113" s="158">
        <f t="shared" si="9"/>
        <v>0</v>
      </c>
      <c r="K113" s="158"/>
      <c r="L113" s="334"/>
      <c r="M113" s="158">
        <f t="shared" si="10"/>
        <v>0</v>
      </c>
      <c r="N113" s="334"/>
      <c r="O113" s="158">
        <f t="shared" si="11"/>
        <v>0</v>
      </c>
      <c r="P113" s="158">
        <f t="shared" si="12"/>
        <v>0</v>
      </c>
    </row>
    <row r="114" spans="2:16">
      <c r="B114" s="9" t="str">
        <f t="shared" si="16"/>
        <v/>
      </c>
      <c r="C114" s="153">
        <f>IF(D93="","-",+C113+1)</f>
        <v>2033</v>
      </c>
      <c r="D114" s="154">
        <f>IF(F113+SUM(E$99:E113)=D$92,F113,D$92-SUM(E$99:E113))</f>
        <v>6371488.0952380951</v>
      </c>
      <c r="E114" s="160">
        <f>IF(+J96&lt;F113,J96,D114)</f>
        <v>231690.47619047618</v>
      </c>
      <c r="F114" s="159">
        <f t="shared" si="13"/>
        <v>6139797.6190476194</v>
      </c>
      <c r="G114" s="159">
        <f t="shared" si="8"/>
        <v>6255642.8571428573</v>
      </c>
      <c r="H114" s="163">
        <f t="shared" si="14"/>
        <v>991572.53279800946</v>
      </c>
      <c r="I114" s="253">
        <f t="shared" si="15"/>
        <v>991572.53279800946</v>
      </c>
      <c r="J114" s="158">
        <f t="shared" si="9"/>
        <v>0</v>
      </c>
      <c r="K114" s="158"/>
      <c r="L114" s="334"/>
      <c r="M114" s="158">
        <f t="shared" si="10"/>
        <v>0</v>
      </c>
      <c r="N114" s="334"/>
      <c r="O114" s="158">
        <f t="shared" si="11"/>
        <v>0</v>
      </c>
      <c r="P114" s="158">
        <f t="shared" si="12"/>
        <v>0</v>
      </c>
    </row>
    <row r="115" spans="2:16">
      <c r="B115" s="9" t="str">
        <f t="shared" si="16"/>
        <v/>
      </c>
      <c r="C115" s="153">
        <f>IF(D93="","-",+C114+1)</f>
        <v>2034</v>
      </c>
      <c r="D115" s="154">
        <f>IF(F114+SUM(E$99:E114)=D$92,F114,D$92-SUM(E$99:E114))</f>
        <v>6139797.6190476194</v>
      </c>
      <c r="E115" s="160">
        <f>IF(+J96&lt;F114,J96,D115)</f>
        <v>231690.47619047618</v>
      </c>
      <c r="F115" s="159">
        <f t="shared" si="13"/>
        <v>5908107.1428571437</v>
      </c>
      <c r="G115" s="159">
        <f t="shared" si="8"/>
        <v>6023952.3809523815</v>
      </c>
      <c r="H115" s="163">
        <f t="shared" si="14"/>
        <v>963428.75292365637</v>
      </c>
      <c r="I115" s="253">
        <f t="shared" si="15"/>
        <v>963428.75292365637</v>
      </c>
      <c r="J115" s="158">
        <f t="shared" si="9"/>
        <v>0</v>
      </c>
      <c r="K115" s="158"/>
      <c r="L115" s="334"/>
      <c r="M115" s="158">
        <f t="shared" si="10"/>
        <v>0</v>
      </c>
      <c r="N115" s="334"/>
      <c r="O115" s="158">
        <f t="shared" si="11"/>
        <v>0</v>
      </c>
      <c r="P115" s="158">
        <f t="shared" si="12"/>
        <v>0</v>
      </c>
    </row>
    <row r="116" spans="2:16">
      <c r="B116" s="9" t="str">
        <f t="shared" si="16"/>
        <v/>
      </c>
      <c r="C116" s="153">
        <f>IF(D93="","-",+C115+1)</f>
        <v>2035</v>
      </c>
      <c r="D116" s="154">
        <f>IF(F115+SUM(E$99:E115)=D$92,F115,D$92-SUM(E$99:E115))</f>
        <v>5908107.1428571437</v>
      </c>
      <c r="E116" s="160">
        <f>IF(+J96&lt;F115,J96,D116)</f>
        <v>231690.47619047618</v>
      </c>
      <c r="F116" s="159">
        <f t="shared" si="13"/>
        <v>5676416.6666666679</v>
      </c>
      <c r="G116" s="159">
        <f t="shared" si="8"/>
        <v>5792261.9047619058</v>
      </c>
      <c r="H116" s="163">
        <f t="shared" si="14"/>
        <v>935284.9730493034</v>
      </c>
      <c r="I116" s="253">
        <f t="shared" si="15"/>
        <v>935284.9730493034</v>
      </c>
      <c r="J116" s="158">
        <f t="shared" si="9"/>
        <v>0</v>
      </c>
      <c r="K116" s="158"/>
      <c r="L116" s="334"/>
      <c r="M116" s="158">
        <f t="shared" si="10"/>
        <v>0</v>
      </c>
      <c r="N116" s="334"/>
      <c r="O116" s="158">
        <f t="shared" si="11"/>
        <v>0</v>
      </c>
      <c r="P116" s="158">
        <f t="shared" si="12"/>
        <v>0</v>
      </c>
    </row>
    <row r="117" spans="2:16">
      <c r="B117" s="9" t="str">
        <f t="shared" si="16"/>
        <v/>
      </c>
      <c r="C117" s="153">
        <f>IF(D93="","-",+C116+1)</f>
        <v>2036</v>
      </c>
      <c r="D117" s="154">
        <f>IF(F116+SUM(E$99:E116)=D$92,F116,D$92-SUM(E$99:E116))</f>
        <v>5676416.6666666679</v>
      </c>
      <c r="E117" s="160">
        <f>IF(+J96&lt;F116,J96,D117)</f>
        <v>231690.47619047618</v>
      </c>
      <c r="F117" s="159">
        <f t="shared" si="13"/>
        <v>5444726.1904761922</v>
      </c>
      <c r="G117" s="159">
        <f t="shared" si="8"/>
        <v>5560571.42857143</v>
      </c>
      <c r="H117" s="163">
        <f t="shared" si="14"/>
        <v>907141.19317495031</v>
      </c>
      <c r="I117" s="253">
        <f t="shared" si="15"/>
        <v>907141.19317495031</v>
      </c>
      <c r="J117" s="158">
        <f t="shared" si="9"/>
        <v>0</v>
      </c>
      <c r="K117" s="158"/>
      <c r="L117" s="334"/>
      <c r="M117" s="158">
        <f t="shared" si="10"/>
        <v>0</v>
      </c>
      <c r="N117" s="334"/>
      <c r="O117" s="158">
        <f t="shared" si="11"/>
        <v>0</v>
      </c>
      <c r="P117" s="158">
        <f t="shared" si="12"/>
        <v>0</v>
      </c>
    </row>
    <row r="118" spans="2:16">
      <c r="B118" s="9" t="str">
        <f t="shared" si="16"/>
        <v/>
      </c>
      <c r="C118" s="153">
        <f>IF(D93="","-",+C117+1)</f>
        <v>2037</v>
      </c>
      <c r="D118" s="154">
        <f>IF(F117+SUM(E$99:E117)=D$92,F117,D$92-SUM(E$99:E117))</f>
        <v>5444726.1904761922</v>
      </c>
      <c r="E118" s="160">
        <f>IF(+J96&lt;F117,J96,D118)</f>
        <v>231690.47619047618</v>
      </c>
      <c r="F118" s="159">
        <f t="shared" si="13"/>
        <v>5213035.7142857164</v>
      </c>
      <c r="G118" s="159">
        <f t="shared" si="8"/>
        <v>5328880.9523809543</v>
      </c>
      <c r="H118" s="163">
        <f t="shared" si="14"/>
        <v>878997.41330059734</v>
      </c>
      <c r="I118" s="253">
        <f t="shared" si="15"/>
        <v>878997.41330059734</v>
      </c>
      <c r="J118" s="158">
        <f t="shared" si="9"/>
        <v>0</v>
      </c>
      <c r="K118" s="158"/>
      <c r="L118" s="334"/>
      <c r="M118" s="158">
        <f t="shared" si="10"/>
        <v>0</v>
      </c>
      <c r="N118" s="334"/>
      <c r="O118" s="158">
        <f t="shared" si="11"/>
        <v>0</v>
      </c>
      <c r="P118" s="158">
        <f t="shared" si="12"/>
        <v>0</v>
      </c>
    </row>
    <row r="119" spans="2:16">
      <c r="B119" s="9" t="str">
        <f t="shared" si="16"/>
        <v/>
      </c>
      <c r="C119" s="153">
        <f>IF(D93="","-",+C118+1)</f>
        <v>2038</v>
      </c>
      <c r="D119" s="154">
        <f>IF(F118+SUM(E$99:E118)=D$92,F118,D$92-SUM(E$99:E118))</f>
        <v>5213035.7142857164</v>
      </c>
      <c r="E119" s="160">
        <f>IF(+J96&lt;F118,J96,D119)</f>
        <v>231690.47619047618</v>
      </c>
      <c r="F119" s="159">
        <f t="shared" si="13"/>
        <v>4981345.2380952407</v>
      </c>
      <c r="G119" s="159">
        <f t="shared" si="8"/>
        <v>5097190.4761904785</v>
      </c>
      <c r="H119" s="163">
        <f t="shared" si="14"/>
        <v>850853.63342624425</v>
      </c>
      <c r="I119" s="253">
        <f t="shared" si="15"/>
        <v>850853.63342624425</v>
      </c>
      <c r="J119" s="158">
        <f t="shared" si="9"/>
        <v>0</v>
      </c>
      <c r="K119" s="158"/>
      <c r="L119" s="334"/>
      <c r="M119" s="158">
        <f t="shared" si="10"/>
        <v>0</v>
      </c>
      <c r="N119" s="334"/>
      <c r="O119" s="158">
        <f t="shared" si="11"/>
        <v>0</v>
      </c>
      <c r="P119" s="158">
        <f t="shared" si="12"/>
        <v>0</v>
      </c>
    </row>
    <row r="120" spans="2:16">
      <c r="B120" s="9" t="str">
        <f t="shared" si="16"/>
        <v/>
      </c>
      <c r="C120" s="153">
        <f>IF(D93="","-",+C119+1)</f>
        <v>2039</v>
      </c>
      <c r="D120" s="154">
        <f>IF(F119+SUM(E$99:E119)=D$92,F119,D$92-SUM(E$99:E119))</f>
        <v>4981345.2380952407</v>
      </c>
      <c r="E120" s="160">
        <f>IF(+J96&lt;F119,J96,D120)</f>
        <v>231690.47619047618</v>
      </c>
      <c r="F120" s="159">
        <f t="shared" si="13"/>
        <v>4749654.7619047649</v>
      </c>
      <c r="G120" s="159">
        <f t="shared" si="8"/>
        <v>4865500.0000000028</v>
      </c>
      <c r="H120" s="163">
        <f t="shared" si="14"/>
        <v>822709.85355189128</v>
      </c>
      <c r="I120" s="253">
        <f t="shared" si="15"/>
        <v>822709.85355189128</v>
      </c>
      <c r="J120" s="158">
        <f t="shared" si="9"/>
        <v>0</v>
      </c>
      <c r="K120" s="158"/>
      <c r="L120" s="334"/>
      <c r="M120" s="158">
        <f t="shared" si="10"/>
        <v>0</v>
      </c>
      <c r="N120" s="334"/>
      <c r="O120" s="158">
        <f t="shared" si="11"/>
        <v>0</v>
      </c>
      <c r="P120" s="158">
        <f t="shared" si="12"/>
        <v>0</v>
      </c>
    </row>
    <row r="121" spans="2:16">
      <c r="B121" s="9" t="str">
        <f t="shared" si="16"/>
        <v/>
      </c>
      <c r="C121" s="153">
        <f>IF(D93="","-",+C120+1)</f>
        <v>2040</v>
      </c>
      <c r="D121" s="154">
        <f>IF(F120+SUM(E$99:E120)=D$92,F120,D$92-SUM(E$99:E120))</f>
        <v>4749654.7619047649</v>
      </c>
      <c r="E121" s="160">
        <f>IF(+J96&lt;F120,J96,D121)</f>
        <v>231690.47619047618</v>
      </c>
      <c r="F121" s="159">
        <f t="shared" si="13"/>
        <v>4517964.2857142892</v>
      </c>
      <c r="G121" s="159">
        <f t="shared" si="8"/>
        <v>4633809.523809527</v>
      </c>
      <c r="H121" s="163">
        <f t="shared" si="14"/>
        <v>794566.0736775382</v>
      </c>
      <c r="I121" s="253">
        <f t="shared" si="15"/>
        <v>794566.0736775382</v>
      </c>
      <c r="J121" s="158">
        <f t="shared" si="9"/>
        <v>0</v>
      </c>
      <c r="K121" s="158"/>
      <c r="L121" s="334"/>
      <c r="M121" s="158">
        <f t="shared" si="10"/>
        <v>0</v>
      </c>
      <c r="N121" s="334"/>
      <c r="O121" s="158">
        <f t="shared" si="11"/>
        <v>0</v>
      </c>
      <c r="P121" s="158">
        <f t="shared" si="12"/>
        <v>0</v>
      </c>
    </row>
    <row r="122" spans="2:16">
      <c r="B122" s="9" t="str">
        <f t="shared" si="16"/>
        <v/>
      </c>
      <c r="C122" s="153">
        <f>IF(D93="","-",+C121+1)</f>
        <v>2041</v>
      </c>
      <c r="D122" s="154">
        <f>IF(F121+SUM(E$99:E121)=D$92,F121,D$92-SUM(E$99:E121))</f>
        <v>4517964.2857142892</v>
      </c>
      <c r="E122" s="160">
        <f>IF(+J96&lt;F121,J96,D122)</f>
        <v>231690.47619047618</v>
      </c>
      <c r="F122" s="159">
        <f t="shared" si="13"/>
        <v>4286273.8095238134</v>
      </c>
      <c r="G122" s="159">
        <f t="shared" si="8"/>
        <v>4402119.0476190513</v>
      </c>
      <c r="H122" s="163">
        <f t="shared" si="14"/>
        <v>766422.29380318522</v>
      </c>
      <c r="I122" s="253">
        <f t="shared" si="15"/>
        <v>766422.29380318522</v>
      </c>
      <c r="J122" s="158">
        <f t="shared" si="9"/>
        <v>0</v>
      </c>
      <c r="K122" s="158"/>
      <c r="L122" s="334"/>
      <c r="M122" s="158">
        <f t="shared" si="10"/>
        <v>0</v>
      </c>
      <c r="N122" s="334"/>
      <c r="O122" s="158">
        <f t="shared" si="11"/>
        <v>0</v>
      </c>
      <c r="P122" s="158">
        <f t="shared" si="12"/>
        <v>0</v>
      </c>
    </row>
    <row r="123" spans="2:16">
      <c r="B123" s="9" t="str">
        <f t="shared" si="16"/>
        <v/>
      </c>
      <c r="C123" s="153">
        <f>IF(D93="","-",+C122+1)</f>
        <v>2042</v>
      </c>
      <c r="D123" s="154">
        <f>IF(F122+SUM(E$99:E122)=D$92,F122,D$92-SUM(E$99:E122))</f>
        <v>4286273.8095238134</v>
      </c>
      <c r="E123" s="160">
        <f>IF(+J96&lt;F122,J96,D123)</f>
        <v>231690.47619047618</v>
      </c>
      <c r="F123" s="159">
        <f t="shared" si="13"/>
        <v>4054583.3333333372</v>
      </c>
      <c r="G123" s="159">
        <f t="shared" si="8"/>
        <v>4170428.5714285756</v>
      </c>
      <c r="H123" s="163">
        <f t="shared" si="14"/>
        <v>738278.51392883214</v>
      </c>
      <c r="I123" s="253">
        <f t="shared" si="15"/>
        <v>738278.51392883214</v>
      </c>
      <c r="J123" s="158">
        <f t="shared" si="9"/>
        <v>0</v>
      </c>
      <c r="K123" s="158"/>
      <c r="L123" s="334"/>
      <c r="M123" s="158">
        <f t="shared" si="10"/>
        <v>0</v>
      </c>
      <c r="N123" s="334"/>
      <c r="O123" s="158">
        <f t="shared" si="11"/>
        <v>0</v>
      </c>
      <c r="P123" s="158">
        <f t="shared" si="12"/>
        <v>0</v>
      </c>
    </row>
    <row r="124" spans="2:16">
      <c r="B124" s="9" t="str">
        <f t="shared" si="16"/>
        <v/>
      </c>
      <c r="C124" s="153">
        <f>IF(D93="","-",+C123+1)</f>
        <v>2043</v>
      </c>
      <c r="D124" s="154">
        <f>IF(F123+SUM(E$99:E123)=D$92,F123,D$92-SUM(E$99:E123))</f>
        <v>4054583.3333333372</v>
      </c>
      <c r="E124" s="160">
        <f>IF(+J96&lt;F123,J96,D124)</f>
        <v>231690.47619047618</v>
      </c>
      <c r="F124" s="159">
        <f t="shared" si="13"/>
        <v>3822892.857142861</v>
      </c>
      <c r="G124" s="159">
        <f t="shared" si="8"/>
        <v>3938738.0952380989</v>
      </c>
      <c r="H124" s="163">
        <f t="shared" si="14"/>
        <v>710134.73405447905</v>
      </c>
      <c r="I124" s="253">
        <f t="shared" si="15"/>
        <v>710134.73405447905</v>
      </c>
      <c r="J124" s="158">
        <f t="shared" si="9"/>
        <v>0</v>
      </c>
      <c r="K124" s="158"/>
      <c r="L124" s="334"/>
      <c r="M124" s="158">
        <f t="shared" si="10"/>
        <v>0</v>
      </c>
      <c r="N124" s="334"/>
      <c r="O124" s="158">
        <f t="shared" si="11"/>
        <v>0</v>
      </c>
      <c r="P124" s="158">
        <f t="shared" si="12"/>
        <v>0</v>
      </c>
    </row>
    <row r="125" spans="2:16">
      <c r="B125" s="9" t="str">
        <f t="shared" si="16"/>
        <v/>
      </c>
      <c r="C125" s="153">
        <f>IF(D93="","-",+C124+1)</f>
        <v>2044</v>
      </c>
      <c r="D125" s="154">
        <f>IF(F124+SUM(E$99:E124)=D$92,F124,D$92-SUM(E$99:E124))</f>
        <v>3822892.857142861</v>
      </c>
      <c r="E125" s="160">
        <f>IF(+J96&lt;F124,J96,D125)</f>
        <v>231690.47619047618</v>
      </c>
      <c r="F125" s="159">
        <f t="shared" si="13"/>
        <v>3591202.3809523848</v>
      </c>
      <c r="G125" s="159">
        <f t="shared" si="8"/>
        <v>3707047.6190476231</v>
      </c>
      <c r="H125" s="163">
        <f t="shared" si="14"/>
        <v>681990.95418012596</v>
      </c>
      <c r="I125" s="253">
        <f t="shared" si="15"/>
        <v>681990.95418012596</v>
      </c>
      <c r="J125" s="158">
        <f t="shared" si="9"/>
        <v>0</v>
      </c>
      <c r="K125" s="158"/>
      <c r="L125" s="334"/>
      <c r="M125" s="158">
        <f t="shared" si="10"/>
        <v>0</v>
      </c>
      <c r="N125" s="334"/>
      <c r="O125" s="158">
        <f t="shared" si="11"/>
        <v>0</v>
      </c>
      <c r="P125" s="158">
        <f t="shared" si="12"/>
        <v>0</v>
      </c>
    </row>
    <row r="126" spans="2:16">
      <c r="B126" s="9" t="str">
        <f t="shared" si="16"/>
        <v/>
      </c>
      <c r="C126" s="153">
        <f>IF(D93="","-",+C125+1)</f>
        <v>2045</v>
      </c>
      <c r="D126" s="154">
        <f>IF(F125+SUM(E$99:E125)=D$92,F125,D$92-SUM(E$99:E125))</f>
        <v>3591202.3809523848</v>
      </c>
      <c r="E126" s="160">
        <f>IF(+J96&lt;F125,J96,D126)</f>
        <v>231690.47619047618</v>
      </c>
      <c r="F126" s="159">
        <f t="shared" si="13"/>
        <v>3359511.9047619086</v>
      </c>
      <c r="G126" s="159">
        <f t="shared" si="8"/>
        <v>3475357.1428571464</v>
      </c>
      <c r="H126" s="163">
        <f t="shared" si="14"/>
        <v>653847.17430577287</v>
      </c>
      <c r="I126" s="253">
        <f t="shared" si="15"/>
        <v>653847.17430577287</v>
      </c>
      <c r="J126" s="158">
        <f t="shared" si="9"/>
        <v>0</v>
      </c>
      <c r="K126" s="158"/>
      <c r="L126" s="334"/>
      <c r="M126" s="158">
        <f t="shared" si="10"/>
        <v>0</v>
      </c>
      <c r="N126" s="334"/>
      <c r="O126" s="158">
        <f t="shared" si="11"/>
        <v>0</v>
      </c>
      <c r="P126" s="158">
        <f t="shared" si="12"/>
        <v>0</v>
      </c>
    </row>
    <row r="127" spans="2:16">
      <c r="B127" s="9" t="str">
        <f t="shared" si="16"/>
        <v/>
      </c>
      <c r="C127" s="153">
        <f>IF(D93="","-",+C126+1)</f>
        <v>2046</v>
      </c>
      <c r="D127" s="154">
        <f>IF(F126+SUM(E$99:E126)=D$92,F126,D$92-SUM(E$99:E126))</f>
        <v>3359511.9047619086</v>
      </c>
      <c r="E127" s="160">
        <f>IF(+J96&lt;F126,J96,D127)</f>
        <v>231690.47619047618</v>
      </c>
      <c r="F127" s="159">
        <f t="shared" si="13"/>
        <v>3127821.4285714324</v>
      </c>
      <c r="G127" s="159">
        <f t="shared" si="8"/>
        <v>3243666.6666666707</v>
      </c>
      <c r="H127" s="163">
        <f t="shared" si="14"/>
        <v>625703.39443141979</v>
      </c>
      <c r="I127" s="253">
        <f t="shared" si="15"/>
        <v>625703.39443141979</v>
      </c>
      <c r="J127" s="158">
        <f t="shared" si="9"/>
        <v>0</v>
      </c>
      <c r="K127" s="158"/>
      <c r="L127" s="334"/>
      <c r="M127" s="158">
        <f t="shared" si="10"/>
        <v>0</v>
      </c>
      <c r="N127" s="334"/>
      <c r="O127" s="158">
        <f t="shared" si="11"/>
        <v>0</v>
      </c>
      <c r="P127" s="158">
        <f t="shared" si="12"/>
        <v>0</v>
      </c>
    </row>
    <row r="128" spans="2:16">
      <c r="B128" s="9" t="str">
        <f t="shared" si="16"/>
        <v/>
      </c>
      <c r="C128" s="153">
        <f>IF(D93="","-",+C127+1)</f>
        <v>2047</v>
      </c>
      <c r="D128" s="154">
        <f>IF(F127+SUM(E$99:E127)=D$92,F127,D$92-SUM(E$99:E127))</f>
        <v>3127821.4285714324</v>
      </c>
      <c r="E128" s="160">
        <f>IF(+J96&lt;F127,J96,D128)</f>
        <v>231690.47619047618</v>
      </c>
      <c r="F128" s="159">
        <f t="shared" si="13"/>
        <v>2896130.9523809562</v>
      </c>
      <c r="G128" s="159">
        <f t="shared" si="8"/>
        <v>3011976.190476194</v>
      </c>
      <c r="H128" s="163">
        <f t="shared" si="14"/>
        <v>597559.6145570667</v>
      </c>
      <c r="I128" s="253">
        <f t="shared" si="15"/>
        <v>597559.6145570667</v>
      </c>
      <c r="J128" s="158">
        <f t="shared" si="9"/>
        <v>0</v>
      </c>
      <c r="K128" s="158"/>
      <c r="L128" s="334"/>
      <c r="M128" s="158">
        <f t="shared" si="10"/>
        <v>0</v>
      </c>
      <c r="N128" s="334"/>
      <c r="O128" s="158">
        <f t="shared" si="11"/>
        <v>0</v>
      </c>
      <c r="P128" s="158">
        <f t="shared" si="12"/>
        <v>0</v>
      </c>
    </row>
    <row r="129" spans="2:16">
      <c r="B129" s="9" t="str">
        <f t="shared" si="16"/>
        <v/>
      </c>
      <c r="C129" s="153">
        <f>IF(D93="","-",+C128+1)</f>
        <v>2048</v>
      </c>
      <c r="D129" s="154">
        <f>IF(F128+SUM(E$99:E128)=D$92,F128,D$92-SUM(E$99:E128))</f>
        <v>2896130.9523809562</v>
      </c>
      <c r="E129" s="160">
        <f>IF(+J96&lt;F128,J96,D129)</f>
        <v>231690.47619047618</v>
      </c>
      <c r="F129" s="159">
        <f t="shared" si="13"/>
        <v>2664440.4761904799</v>
      </c>
      <c r="G129" s="159">
        <f t="shared" si="8"/>
        <v>2780285.7142857183</v>
      </c>
      <c r="H129" s="163">
        <f t="shared" si="14"/>
        <v>569415.83468271361</v>
      </c>
      <c r="I129" s="253">
        <f t="shared" si="15"/>
        <v>569415.83468271361</v>
      </c>
      <c r="J129" s="158">
        <f t="shared" si="9"/>
        <v>0</v>
      </c>
      <c r="K129" s="158"/>
      <c r="L129" s="334"/>
      <c r="M129" s="158">
        <f t="shared" si="10"/>
        <v>0</v>
      </c>
      <c r="N129" s="334"/>
      <c r="O129" s="158">
        <f t="shared" si="11"/>
        <v>0</v>
      </c>
      <c r="P129" s="158">
        <f t="shared" si="12"/>
        <v>0</v>
      </c>
    </row>
    <row r="130" spans="2:16">
      <c r="B130" s="9" t="str">
        <f t="shared" si="16"/>
        <v/>
      </c>
      <c r="C130" s="153">
        <f>IF(D93="","-",+C129+1)</f>
        <v>2049</v>
      </c>
      <c r="D130" s="154">
        <f>IF(F129+SUM(E$99:E129)=D$92,F129,D$92-SUM(E$99:E129))</f>
        <v>2664440.4761904799</v>
      </c>
      <c r="E130" s="160">
        <f>IF(+J96&lt;F129,J96,D130)</f>
        <v>231690.47619047618</v>
      </c>
      <c r="F130" s="159">
        <f t="shared" si="13"/>
        <v>2432750.0000000037</v>
      </c>
      <c r="G130" s="159">
        <f t="shared" si="8"/>
        <v>2548595.2380952416</v>
      </c>
      <c r="H130" s="163">
        <f t="shared" si="14"/>
        <v>541272.05480836052</v>
      </c>
      <c r="I130" s="253">
        <f t="shared" si="15"/>
        <v>541272.05480836052</v>
      </c>
      <c r="J130" s="158">
        <f t="shared" si="9"/>
        <v>0</v>
      </c>
      <c r="K130" s="158"/>
      <c r="L130" s="334"/>
      <c r="M130" s="158">
        <f t="shared" si="10"/>
        <v>0</v>
      </c>
      <c r="N130" s="334"/>
      <c r="O130" s="158">
        <f t="shared" si="11"/>
        <v>0</v>
      </c>
      <c r="P130" s="158">
        <f t="shared" si="12"/>
        <v>0</v>
      </c>
    </row>
    <row r="131" spans="2:16">
      <c r="B131" s="9" t="str">
        <f t="shared" si="16"/>
        <v/>
      </c>
      <c r="C131" s="153">
        <f>IF(D93="","-",+C130+1)</f>
        <v>2050</v>
      </c>
      <c r="D131" s="154">
        <f>IF(F130+SUM(E$99:E130)=D$92,F130,D$92-SUM(E$99:E130))</f>
        <v>2432750.0000000037</v>
      </c>
      <c r="E131" s="160">
        <f>IF(+J96&lt;F130,J96,D131)</f>
        <v>231690.47619047618</v>
      </c>
      <c r="F131" s="159">
        <f t="shared" si="13"/>
        <v>2201059.5238095275</v>
      </c>
      <c r="G131" s="159">
        <f t="shared" si="8"/>
        <v>2316904.7619047659</v>
      </c>
      <c r="H131" s="163">
        <f t="shared" si="14"/>
        <v>513128.27493400744</v>
      </c>
      <c r="I131" s="253">
        <f t="shared" si="15"/>
        <v>513128.27493400744</v>
      </c>
      <c r="J131" s="158">
        <f t="shared" ref="J131:J154" si="17">+I541-H541</f>
        <v>0</v>
      </c>
      <c r="K131" s="158"/>
      <c r="L131" s="334"/>
      <c r="M131" s="158">
        <f t="shared" ref="M131:M154" si="18">IF(L541&lt;&gt;0,+H541-L541,0)</f>
        <v>0</v>
      </c>
      <c r="N131" s="334"/>
      <c r="O131" s="158">
        <f t="shared" ref="O131:O154" si="19">IF(N541&lt;&gt;0,+I541-N541,0)</f>
        <v>0</v>
      </c>
      <c r="P131" s="158">
        <f t="shared" ref="P131:P154" si="20">+O541-M541</f>
        <v>0</v>
      </c>
    </row>
    <row r="132" spans="2:16">
      <c r="B132" s="9" t="str">
        <f t="shared" si="16"/>
        <v/>
      </c>
      <c r="C132" s="153">
        <f>IF(D93="","-",+C131+1)</f>
        <v>2051</v>
      </c>
      <c r="D132" s="154">
        <f>IF(F131+SUM(E$99:E131)=D$92,F131,D$92-SUM(E$99:E131))</f>
        <v>2201059.5238095275</v>
      </c>
      <c r="E132" s="160">
        <f>IF(+J96&lt;F131,J96,D132)</f>
        <v>231690.47619047618</v>
      </c>
      <c r="F132" s="159">
        <f t="shared" si="13"/>
        <v>1969369.0476190513</v>
      </c>
      <c r="G132" s="159">
        <f t="shared" si="8"/>
        <v>2085214.2857142894</v>
      </c>
      <c r="H132" s="163">
        <f t="shared" si="14"/>
        <v>484984.49505965435</v>
      </c>
      <c r="I132" s="253">
        <f t="shared" si="15"/>
        <v>484984.49505965435</v>
      </c>
      <c r="J132" s="158">
        <f t="shared" si="17"/>
        <v>0</v>
      </c>
      <c r="K132" s="158"/>
      <c r="L132" s="334"/>
      <c r="M132" s="158">
        <f t="shared" si="18"/>
        <v>0</v>
      </c>
      <c r="N132" s="334"/>
      <c r="O132" s="158">
        <f t="shared" si="19"/>
        <v>0</v>
      </c>
      <c r="P132" s="158">
        <f t="shared" si="20"/>
        <v>0</v>
      </c>
    </row>
    <row r="133" spans="2:16">
      <c r="B133" s="9" t="str">
        <f t="shared" si="16"/>
        <v/>
      </c>
      <c r="C133" s="153">
        <f>IF(D93="","-",+C132+1)</f>
        <v>2052</v>
      </c>
      <c r="D133" s="154">
        <f>IF(F132+SUM(E$99:E132)=D$92,F132,D$92-SUM(E$99:E132))</f>
        <v>1969369.0476190513</v>
      </c>
      <c r="E133" s="160">
        <f>IF(+J96&lt;F132,J96,D133)</f>
        <v>231690.47619047618</v>
      </c>
      <c r="F133" s="159">
        <f t="shared" si="13"/>
        <v>1737678.5714285751</v>
      </c>
      <c r="G133" s="159">
        <f t="shared" si="8"/>
        <v>1853523.8095238132</v>
      </c>
      <c r="H133" s="163">
        <f t="shared" si="14"/>
        <v>456840.71518530126</v>
      </c>
      <c r="I133" s="253">
        <f t="shared" si="15"/>
        <v>456840.71518530126</v>
      </c>
      <c r="J133" s="158">
        <f t="shared" si="17"/>
        <v>0</v>
      </c>
      <c r="K133" s="158"/>
      <c r="L133" s="334"/>
      <c r="M133" s="158">
        <f t="shared" si="18"/>
        <v>0</v>
      </c>
      <c r="N133" s="334"/>
      <c r="O133" s="158">
        <f t="shared" si="19"/>
        <v>0</v>
      </c>
      <c r="P133" s="158">
        <f t="shared" si="20"/>
        <v>0</v>
      </c>
    </row>
    <row r="134" spans="2:16">
      <c r="B134" s="9" t="str">
        <f t="shared" si="16"/>
        <v/>
      </c>
      <c r="C134" s="153">
        <f>IF(D93="","-",+C133+1)</f>
        <v>2053</v>
      </c>
      <c r="D134" s="154">
        <f>IF(F133+SUM(E$99:E133)=D$92,F133,D$92-SUM(E$99:E133))</f>
        <v>1737678.5714285751</v>
      </c>
      <c r="E134" s="160">
        <f>IF(+J96&lt;F133,J96,D134)</f>
        <v>231690.47619047618</v>
      </c>
      <c r="F134" s="159">
        <f t="shared" si="13"/>
        <v>1505988.0952380989</v>
      </c>
      <c r="G134" s="159">
        <f t="shared" si="8"/>
        <v>1621833.333333337</v>
      </c>
      <c r="H134" s="163">
        <f t="shared" si="14"/>
        <v>428696.93531094817</v>
      </c>
      <c r="I134" s="253">
        <f t="shared" si="15"/>
        <v>428696.93531094817</v>
      </c>
      <c r="J134" s="158">
        <f t="shared" si="17"/>
        <v>0</v>
      </c>
      <c r="K134" s="158"/>
      <c r="L134" s="334"/>
      <c r="M134" s="158">
        <f t="shared" si="18"/>
        <v>0</v>
      </c>
      <c r="N134" s="334"/>
      <c r="O134" s="158">
        <f t="shared" si="19"/>
        <v>0</v>
      </c>
      <c r="P134" s="158">
        <f t="shared" si="20"/>
        <v>0</v>
      </c>
    </row>
    <row r="135" spans="2:16">
      <c r="B135" s="9" t="str">
        <f t="shared" si="16"/>
        <v/>
      </c>
      <c r="C135" s="153">
        <f>IF(D93="","-",+C134+1)</f>
        <v>2054</v>
      </c>
      <c r="D135" s="154">
        <f>IF(F134+SUM(E$99:E134)=D$92,F134,D$92-SUM(E$99:E134))</f>
        <v>1505988.0952380989</v>
      </c>
      <c r="E135" s="160">
        <f>IF(+J96&lt;F134,J96,D135)</f>
        <v>231690.47619047618</v>
      </c>
      <c r="F135" s="159">
        <f t="shared" si="13"/>
        <v>1274297.6190476227</v>
      </c>
      <c r="G135" s="159">
        <f t="shared" si="8"/>
        <v>1390142.8571428608</v>
      </c>
      <c r="H135" s="163">
        <f t="shared" si="14"/>
        <v>400553.15543659509</v>
      </c>
      <c r="I135" s="253">
        <f t="shared" si="15"/>
        <v>400553.15543659509</v>
      </c>
      <c r="J135" s="158">
        <f t="shared" si="17"/>
        <v>0</v>
      </c>
      <c r="K135" s="158"/>
      <c r="L135" s="334"/>
      <c r="M135" s="158">
        <f t="shared" si="18"/>
        <v>0</v>
      </c>
      <c r="N135" s="334"/>
      <c r="O135" s="158">
        <f t="shared" si="19"/>
        <v>0</v>
      </c>
      <c r="P135" s="158">
        <f t="shared" si="20"/>
        <v>0</v>
      </c>
    </row>
    <row r="136" spans="2:16">
      <c r="B136" s="9" t="str">
        <f t="shared" si="16"/>
        <v/>
      </c>
      <c r="C136" s="153">
        <f>IF(D93="","-",+C135+1)</f>
        <v>2055</v>
      </c>
      <c r="D136" s="154">
        <f>IF(F135+SUM(E$99:E135)=D$92,F135,D$92-SUM(E$99:E135))</f>
        <v>1274297.6190476227</v>
      </c>
      <c r="E136" s="160">
        <f>IF(+J96&lt;F135,J96,D136)</f>
        <v>231690.47619047618</v>
      </c>
      <c r="F136" s="159">
        <f t="shared" si="13"/>
        <v>1042607.1428571464</v>
      </c>
      <c r="G136" s="159">
        <f t="shared" si="8"/>
        <v>1158452.3809523846</v>
      </c>
      <c r="H136" s="163">
        <f t="shared" si="14"/>
        <v>372409.375562242</v>
      </c>
      <c r="I136" s="253">
        <f t="shared" si="15"/>
        <v>372409.375562242</v>
      </c>
      <c r="J136" s="158">
        <f t="shared" si="17"/>
        <v>0</v>
      </c>
      <c r="K136" s="158"/>
      <c r="L136" s="334"/>
      <c r="M136" s="158">
        <f t="shared" si="18"/>
        <v>0</v>
      </c>
      <c r="N136" s="334"/>
      <c r="O136" s="158">
        <f t="shared" si="19"/>
        <v>0</v>
      </c>
      <c r="P136" s="158">
        <f t="shared" si="20"/>
        <v>0</v>
      </c>
    </row>
    <row r="137" spans="2:16">
      <c r="B137" s="9" t="str">
        <f t="shared" si="16"/>
        <v/>
      </c>
      <c r="C137" s="153">
        <f>IF(D93="","-",+C136+1)</f>
        <v>2056</v>
      </c>
      <c r="D137" s="154">
        <f>IF(F136+SUM(E$99:E136)=D$92,F136,D$92-SUM(E$99:E136))</f>
        <v>1042607.1428571464</v>
      </c>
      <c r="E137" s="160">
        <f>IF(+J96&lt;F136,J96,D137)</f>
        <v>231690.47619047618</v>
      </c>
      <c r="F137" s="159">
        <f t="shared" si="13"/>
        <v>810916.66666667024</v>
      </c>
      <c r="G137" s="159">
        <f t="shared" si="8"/>
        <v>926761.90476190834</v>
      </c>
      <c r="H137" s="163">
        <f t="shared" si="14"/>
        <v>344265.59568788891</v>
      </c>
      <c r="I137" s="253">
        <f t="shared" si="15"/>
        <v>344265.59568788891</v>
      </c>
      <c r="J137" s="158">
        <f t="shared" si="17"/>
        <v>0</v>
      </c>
      <c r="K137" s="158"/>
      <c r="L137" s="334"/>
      <c r="M137" s="158">
        <f t="shared" si="18"/>
        <v>0</v>
      </c>
      <c r="N137" s="334"/>
      <c r="O137" s="158">
        <f t="shared" si="19"/>
        <v>0</v>
      </c>
      <c r="P137" s="158">
        <f t="shared" si="20"/>
        <v>0</v>
      </c>
    </row>
    <row r="138" spans="2:16">
      <c r="B138" s="9" t="str">
        <f t="shared" si="16"/>
        <v>IU</v>
      </c>
      <c r="C138" s="153">
        <f>IF(D93="","-",+C137+1)</f>
        <v>2057</v>
      </c>
      <c r="D138" s="154">
        <f>IF(F137+SUM(E$99:E137)=D$92,F137,D$92-SUM(E$99:E137))</f>
        <v>810916.66666667536</v>
      </c>
      <c r="E138" s="160">
        <f>IF(+J96&lt;F137,J96,D138)</f>
        <v>231690.47619047618</v>
      </c>
      <c r="F138" s="159">
        <f t="shared" si="13"/>
        <v>579226.19047619915</v>
      </c>
      <c r="G138" s="159">
        <f t="shared" si="8"/>
        <v>695071.42857143725</v>
      </c>
      <c r="H138" s="163">
        <f t="shared" si="14"/>
        <v>316121.81581353646</v>
      </c>
      <c r="I138" s="253">
        <f t="shared" si="15"/>
        <v>316121.81581353646</v>
      </c>
      <c r="J138" s="158">
        <f t="shared" si="17"/>
        <v>0</v>
      </c>
      <c r="K138" s="158"/>
      <c r="L138" s="334"/>
      <c r="M138" s="158">
        <f t="shared" si="18"/>
        <v>0</v>
      </c>
      <c r="N138" s="334"/>
      <c r="O138" s="158">
        <f t="shared" si="19"/>
        <v>0</v>
      </c>
      <c r="P138" s="158">
        <f t="shared" si="20"/>
        <v>0</v>
      </c>
    </row>
    <row r="139" spans="2:16">
      <c r="B139" s="9" t="str">
        <f t="shared" si="16"/>
        <v/>
      </c>
      <c r="C139" s="153">
        <f>IF(D93="","-",+C138+1)</f>
        <v>2058</v>
      </c>
      <c r="D139" s="154">
        <f>IF(F138+SUM(E$99:E138)=D$92,F138,D$92-SUM(E$99:E138))</f>
        <v>579226.19047619915</v>
      </c>
      <c r="E139" s="160">
        <f>IF(+J96&lt;F138,J96,D139)</f>
        <v>231690.47619047618</v>
      </c>
      <c r="F139" s="159">
        <f t="shared" si="13"/>
        <v>347535.71428572293</v>
      </c>
      <c r="G139" s="159">
        <f t="shared" si="8"/>
        <v>463380.95238096104</v>
      </c>
      <c r="H139" s="163">
        <f t="shared" si="14"/>
        <v>287978.03593918338</v>
      </c>
      <c r="I139" s="253">
        <f t="shared" si="15"/>
        <v>287978.03593918338</v>
      </c>
      <c r="J139" s="158">
        <f t="shared" si="17"/>
        <v>0</v>
      </c>
      <c r="K139" s="158"/>
      <c r="L139" s="334"/>
      <c r="M139" s="158">
        <f t="shared" si="18"/>
        <v>0</v>
      </c>
      <c r="N139" s="334"/>
      <c r="O139" s="158">
        <f t="shared" si="19"/>
        <v>0</v>
      </c>
      <c r="P139" s="158">
        <f t="shared" si="20"/>
        <v>0</v>
      </c>
    </row>
    <row r="140" spans="2:16">
      <c r="B140" s="9" t="str">
        <f t="shared" si="16"/>
        <v/>
      </c>
      <c r="C140" s="153">
        <f>IF(D93="","-",+C139+1)</f>
        <v>2059</v>
      </c>
      <c r="D140" s="154">
        <f>IF(F139+SUM(E$99:E139)=D$92,F139,D$92-SUM(E$99:E139))</f>
        <v>347535.71428572293</v>
      </c>
      <c r="E140" s="160">
        <f>IF(+J96&lt;F139,J96,D140)</f>
        <v>231690.47619047618</v>
      </c>
      <c r="F140" s="159">
        <f t="shared" si="13"/>
        <v>115845.23809524675</v>
      </c>
      <c r="G140" s="159">
        <f t="shared" si="8"/>
        <v>231690.47619048483</v>
      </c>
      <c r="H140" s="163">
        <f t="shared" si="14"/>
        <v>259834.25606483032</v>
      </c>
      <c r="I140" s="253">
        <f t="shared" si="15"/>
        <v>259834.25606483032</v>
      </c>
      <c r="J140" s="158">
        <f t="shared" si="17"/>
        <v>0</v>
      </c>
      <c r="K140" s="158"/>
      <c r="L140" s="334"/>
      <c r="M140" s="158">
        <f t="shared" si="18"/>
        <v>0</v>
      </c>
      <c r="N140" s="334"/>
      <c r="O140" s="158">
        <f t="shared" si="19"/>
        <v>0</v>
      </c>
      <c r="P140" s="158">
        <f t="shared" si="20"/>
        <v>0</v>
      </c>
    </row>
    <row r="141" spans="2:16">
      <c r="B141" s="9" t="str">
        <f t="shared" si="16"/>
        <v/>
      </c>
      <c r="C141" s="153">
        <f>IF(D93="","-",+C140+1)</f>
        <v>2060</v>
      </c>
      <c r="D141" s="154">
        <f>IF(F140+SUM(E$99:E140)=D$92,F140,D$92-SUM(E$99:E140))</f>
        <v>115845.23809524675</v>
      </c>
      <c r="E141" s="160">
        <f>IF(+J96&lt;F140,J96,D141)</f>
        <v>115845.23809524675</v>
      </c>
      <c r="F141" s="159">
        <f t="shared" si="13"/>
        <v>0</v>
      </c>
      <c r="G141" s="159">
        <f t="shared" si="8"/>
        <v>57922.619047623375</v>
      </c>
      <c r="H141" s="163">
        <f t="shared" si="14"/>
        <v>122881.18306383555</v>
      </c>
      <c r="I141" s="253">
        <f t="shared" si="15"/>
        <v>122881.18306383555</v>
      </c>
      <c r="J141" s="158">
        <f t="shared" si="17"/>
        <v>0</v>
      </c>
      <c r="K141" s="158"/>
      <c r="L141" s="334"/>
      <c r="M141" s="158">
        <f t="shared" si="18"/>
        <v>0</v>
      </c>
      <c r="N141" s="334"/>
      <c r="O141" s="158">
        <f t="shared" si="19"/>
        <v>0</v>
      </c>
      <c r="P141" s="158">
        <f t="shared" si="20"/>
        <v>0</v>
      </c>
    </row>
    <row r="142" spans="2:16">
      <c r="B142" s="9" t="str">
        <f t="shared" si="16"/>
        <v/>
      </c>
      <c r="C142" s="153">
        <f>IF(D93="","-",+C141+1)</f>
        <v>2061</v>
      </c>
      <c r="D142" s="154">
        <f>IF(F141+SUM(E$99:E141)=D$92,F141,D$92-SUM(E$99:E141))</f>
        <v>0</v>
      </c>
      <c r="E142" s="160">
        <f>IF(+J96&lt;F141,J96,D142)</f>
        <v>0</v>
      </c>
      <c r="F142" s="159">
        <f t="shared" si="13"/>
        <v>0</v>
      </c>
      <c r="G142" s="159">
        <f t="shared" si="8"/>
        <v>0</v>
      </c>
      <c r="H142" s="163">
        <f t="shared" si="14"/>
        <v>0</v>
      </c>
      <c r="I142" s="253">
        <f t="shared" si="15"/>
        <v>0</v>
      </c>
      <c r="J142" s="158">
        <f t="shared" si="17"/>
        <v>0</v>
      </c>
      <c r="K142" s="158"/>
      <c r="L142" s="334"/>
      <c r="M142" s="158">
        <f t="shared" si="18"/>
        <v>0</v>
      </c>
      <c r="N142" s="334"/>
      <c r="O142" s="158">
        <f t="shared" si="19"/>
        <v>0</v>
      </c>
      <c r="P142" s="158">
        <f t="shared" si="20"/>
        <v>0</v>
      </c>
    </row>
    <row r="143" spans="2:16">
      <c r="B143" s="9" t="str">
        <f t="shared" si="16"/>
        <v/>
      </c>
      <c r="C143" s="153">
        <f>IF(D93="","-",+C142+1)</f>
        <v>2062</v>
      </c>
      <c r="D143" s="154">
        <f>IF(F142+SUM(E$99:E142)=D$92,F142,D$92-SUM(E$99:E142))</f>
        <v>0</v>
      </c>
      <c r="E143" s="160">
        <f>IF(+J96&lt;F142,J96,D143)</f>
        <v>0</v>
      </c>
      <c r="F143" s="159">
        <f t="shared" si="13"/>
        <v>0</v>
      </c>
      <c r="G143" s="159">
        <f t="shared" si="8"/>
        <v>0</v>
      </c>
      <c r="H143" s="163">
        <f t="shared" si="14"/>
        <v>0</v>
      </c>
      <c r="I143" s="253">
        <f t="shared" si="15"/>
        <v>0</v>
      </c>
      <c r="J143" s="158">
        <f t="shared" si="17"/>
        <v>0</v>
      </c>
      <c r="K143" s="158"/>
      <c r="L143" s="334"/>
      <c r="M143" s="158">
        <f t="shared" si="18"/>
        <v>0</v>
      </c>
      <c r="N143" s="334"/>
      <c r="O143" s="158">
        <f t="shared" si="19"/>
        <v>0</v>
      </c>
      <c r="P143" s="158">
        <f t="shared" si="20"/>
        <v>0</v>
      </c>
    </row>
    <row r="144" spans="2:16">
      <c r="B144" s="9" t="str">
        <f t="shared" si="16"/>
        <v/>
      </c>
      <c r="C144" s="153">
        <f>IF(D93="","-",+C143+1)</f>
        <v>2063</v>
      </c>
      <c r="D144" s="154">
        <f>IF(F143+SUM(E$99:E143)=D$92,F143,D$92-SUM(E$99:E143))</f>
        <v>0</v>
      </c>
      <c r="E144" s="160">
        <f>IF(+J96&lt;F143,J96,D144)</f>
        <v>0</v>
      </c>
      <c r="F144" s="159">
        <f t="shared" si="13"/>
        <v>0</v>
      </c>
      <c r="G144" s="159">
        <f t="shared" si="8"/>
        <v>0</v>
      </c>
      <c r="H144" s="163">
        <f t="shared" si="14"/>
        <v>0</v>
      </c>
      <c r="I144" s="253">
        <f t="shared" si="15"/>
        <v>0</v>
      </c>
      <c r="J144" s="158">
        <f t="shared" si="17"/>
        <v>0</v>
      </c>
      <c r="K144" s="158"/>
      <c r="L144" s="334"/>
      <c r="M144" s="158">
        <f t="shared" si="18"/>
        <v>0</v>
      </c>
      <c r="N144" s="334"/>
      <c r="O144" s="158">
        <f t="shared" si="19"/>
        <v>0</v>
      </c>
      <c r="P144" s="158">
        <f t="shared" si="20"/>
        <v>0</v>
      </c>
    </row>
    <row r="145" spans="2:16">
      <c r="B145" s="9" t="str">
        <f t="shared" si="16"/>
        <v/>
      </c>
      <c r="C145" s="153">
        <f>IF(D93="","-",+C144+1)</f>
        <v>2064</v>
      </c>
      <c r="D145" s="154">
        <f>IF(F144+SUM(E$99:E144)=D$92,F144,D$92-SUM(E$99:E144))</f>
        <v>0</v>
      </c>
      <c r="E145" s="160">
        <f>IF(+J96&lt;F144,J96,D145)</f>
        <v>0</v>
      </c>
      <c r="F145" s="159">
        <f t="shared" si="13"/>
        <v>0</v>
      </c>
      <c r="G145" s="159">
        <f t="shared" si="8"/>
        <v>0</v>
      </c>
      <c r="H145" s="163">
        <f t="shared" si="14"/>
        <v>0</v>
      </c>
      <c r="I145" s="253">
        <f t="shared" si="15"/>
        <v>0</v>
      </c>
      <c r="J145" s="158">
        <f t="shared" si="17"/>
        <v>0</v>
      </c>
      <c r="K145" s="158"/>
      <c r="L145" s="334"/>
      <c r="M145" s="158">
        <f t="shared" si="18"/>
        <v>0</v>
      </c>
      <c r="N145" s="334"/>
      <c r="O145" s="158">
        <f t="shared" si="19"/>
        <v>0</v>
      </c>
      <c r="P145" s="158">
        <f t="shared" si="20"/>
        <v>0</v>
      </c>
    </row>
    <row r="146" spans="2:16">
      <c r="B146" s="9" t="str">
        <f t="shared" si="16"/>
        <v/>
      </c>
      <c r="C146" s="153">
        <f>IF(D93="","-",+C145+1)</f>
        <v>2065</v>
      </c>
      <c r="D146" s="154">
        <f>IF(F145+SUM(E$99:E145)=D$92,F145,D$92-SUM(E$99:E145))</f>
        <v>0</v>
      </c>
      <c r="E146" s="160">
        <f>IF(+J96&lt;F145,J96,D146)</f>
        <v>0</v>
      </c>
      <c r="F146" s="159">
        <f t="shared" si="13"/>
        <v>0</v>
      </c>
      <c r="G146" s="159">
        <f t="shared" si="8"/>
        <v>0</v>
      </c>
      <c r="H146" s="163">
        <f t="shared" si="14"/>
        <v>0</v>
      </c>
      <c r="I146" s="253">
        <f t="shared" si="15"/>
        <v>0</v>
      </c>
      <c r="J146" s="158">
        <f t="shared" si="17"/>
        <v>0</v>
      </c>
      <c r="K146" s="158"/>
      <c r="L146" s="334"/>
      <c r="M146" s="158">
        <f t="shared" si="18"/>
        <v>0</v>
      </c>
      <c r="N146" s="334"/>
      <c r="O146" s="158">
        <f t="shared" si="19"/>
        <v>0</v>
      </c>
      <c r="P146" s="158">
        <f t="shared" si="20"/>
        <v>0</v>
      </c>
    </row>
    <row r="147" spans="2:16">
      <c r="B147" s="9" t="str">
        <f t="shared" si="16"/>
        <v/>
      </c>
      <c r="C147" s="153">
        <f>IF(D93="","-",+C146+1)</f>
        <v>2066</v>
      </c>
      <c r="D147" s="154">
        <f>IF(F146+SUM(E$99:E146)=D$92,F146,D$92-SUM(E$99:E146))</f>
        <v>0</v>
      </c>
      <c r="E147" s="160">
        <f>IF(+J96&lt;F146,J96,D147)</f>
        <v>0</v>
      </c>
      <c r="F147" s="159">
        <f t="shared" si="13"/>
        <v>0</v>
      </c>
      <c r="G147" s="159">
        <f t="shared" si="8"/>
        <v>0</v>
      </c>
      <c r="H147" s="163">
        <f t="shared" si="14"/>
        <v>0</v>
      </c>
      <c r="I147" s="253">
        <f t="shared" si="15"/>
        <v>0</v>
      </c>
      <c r="J147" s="158">
        <f t="shared" si="17"/>
        <v>0</v>
      </c>
      <c r="K147" s="158"/>
      <c r="L147" s="334"/>
      <c r="M147" s="158">
        <f t="shared" si="18"/>
        <v>0</v>
      </c>
      <c r="N147" s="334"/>
      <c r="O147" s="158">
        <f t="shared" si="19"/>
        <v>0</v>
      </c>
      <c r="P147" s="158">
        <f t="shared" si="20"/>
        <v>0</v>
      </c>
    </row>
    <row r="148" spans="2:16">
      <c r="B148" s="9" t="str">
        <f t="shared" si="16"/>
        <v/>
      </c>
      <c r="C148" s="153">
        <f>IF(D93="","-",+C147+1)</f>
        <v>2067</v>
      </c>
      <c r="D148" s="154">
        <f>IF(F147+SUM(E$99:E147)=D$92,F147,D$92-SUM(E$99:E147))</f>
        <v>0</v>
      </c>
      <c r="E148" s="160">
        <f>IF(+J96&lt;F147,J96,D148)</f>
        <v>0</v>
      </c>
      <c r="F148" s="159">
        <f t="shared" si="13"/>
        <v>0</v>
      </c>
      <c r="G148" s="159">
        <f t="shared" si="8"/>
        <v>0</v>
      </c>
      <c r="H148" s="163">
        <f t="shared" si="14"/>
        <v>0</v>
      </c>
      <c r="I148" s="253">
        <f t="shared" si="15"/>
        <v>0</v>
      </c>
      <c r="J148" s="158">
        <f t="shared" si="17"/>
        <v>0</v>
      </c>
      <c r="K148" s="158"/>
      <c r="L148" s="334"/>
      <c r="M148" s="158">
        <f t="shared" si="18"/>
        <v>0</v>
      </c>
      <c r="N148" s="334"/>
      <c r="O148" s="158">
        <f t="shared" si="19"/>
        <v>0</v>
      </c>
      <c r="P148" s="158">
        <f t="shared" si="20"/>
        <v>0</v>
      </c>
    </row>
    <row r="149" spans="2:16">
      <c r="B149" s="9" t="str">
        <f t="shared" si="16"/>
        <v/>
      </c>
      <c r="C149" s="153">
        <f>IF(D93="","-",+C148+1)</f>
        <v>2068</v>
      </c>
      <c r="D149" s="154">
        <f>IF(F148+SUM(E$99:E148)=D$92,F148,D$92-SUM(E$99:E148))</f>
        <v>0</v>
      </c>
      <c r="E149" s="160">
        <f>IF(+J96&lt;F148,J96,D149)</f>
        <v>0</v>
      </c>
      <c r="F149" s="159">
        <f t="shared" si="13"/>
        <v>0</v>
      </c>
      <c r="G149" s="159">
        <f t="shared" si="8"/>
        <v>0</v>
      </c>
      <c r="H149" s="163">
        <f t="shared" si="14"/>
        <v>0</v>
      </c>
      <c r="I149" s="253">
        <f t="shared" si="15"/>
        <v>0</v>
      </c>
      <c r="J149" s="158">
        <f t="shared" si="17"/>
        <v>0</v>
      </c>
      <c r="K149" s="158"/>
      <c r="L149" s="334"/>
      <c r="M149" s="158">
        <f t="shared" si="18"/>
        <v>0</v>
      </c>
      <c r="N149" s="334"/>
      <c r="O149" s="158">
        <f t="shared" si="19"/>
        <v>0</v>
      </c>
      <c r="P149" s="158">
        <f t="shared" si="20"/>
        <v>0</v>
      </c>
    </row>
    <row r="150" spans="2:16">
      <c r="B150" s="9" t="str">
        <f t="shared" si="16"/>
        <v/>
      </c>
      <c r="C150" s="153">
        <f>IF(D93="","-",+C149+1)</f>
        <v>2069</v>
      </c>
      <c r="D150" s="154">
        <f>IF(F149+SUM(E$99:E149)=D$92,F149,D$92-SUM(E$99:E149))</f>
        <v>0</v>
      </c>
      <c r="E150" s="160">
        <f>IF(+J96&lt;F149,J96,D150)</f>
        <v>0</v>
      </c>
      <c r="F150" s="159">
        <f t="shared" si="13"/>
        <v>0</v>
      </c>
      <c r="G150" s="159">
        <f t="shared" si="8"/>
        <v>0</v>
      </c>
      <c r="H150" s="163">
        <f t="shared" si="14"/>
        <v>0</v>
      </c>
      <c r="I150" s="253">
        <f t="shared" si="15"/>
        <v>0</v>
      </c>
      <c r="J150" s="158">
        <f t="shared" si="17"/>
        <v>0</v>
      </c>
      <c r="K150" s="158"/>
      <c r="L150" s="334"/>
      <c r="M150" s="158">
        <f t="shared" si="18"/>
        <v>0</v>
      </c>
      <c r="N150" s="334"/>
      <c r="O150" s="158">
        <f t="shared" si="19"/>
        <v>0</v>
      </c>
      <c r="P150" s="158">
        <f t="shared" si="20"/>
        <v>0</v>
      </c>
    </row>
    <row r="151" spans="2:16">
      <c r="B151" s="9" t="str">
        <f t="shared" si="16"/>
        <v/>
      </c>
      <c r="C151" s="153">
        <f>IF(D93="","-",+C150+1)</f>
        <v>2070</v>
      </c>
      <c r="D151" s="154">
        <f>IF(F150+SUM(E$99:E150)=D$92,F150,D$92-SUM(E$99:E150))</f>
        <v>0</v>
      </c>
      <c r="E151" s="160">
        <f>IF(+J96&lt;F150,J96,D151)</f>
        <v>0</v>
      </c>
      <c r="F151" s="159">
        <f t="shared" si="13"/>
        <v>0</v>
      </c>
      <c r="G151" s="159">
        <f t="shared" si="8"/>
        <v>0</v>
      </c>
      <c r="H151" s="163">
        <f t="shared" si="14"/>
        <v>0</v>
      </c>
      <c r="I151" s="253">
        <f t="shared" si="15"/>
        <v>0</v>
      </c>
      <c r="J151" s="158">
        <f t="shared" si="17"/>
        <v>0</v>
      </c>
      <c r="K151" s="158"/>
      <c r="L151" s="334"/>
      <c r="M151" s="158">
        <f t="shared" si="18"/>
        <v>0</v>
      </c>
      <c r="N151" s="334"/>
      <c r="O151" s="158">
        <f t="shared" si="19"/>
        <v>0</v>
      </c>
      <c r="P151" s="158">
        <f t="shared" si="20"/>
        <v>0</v>
      </c>
    </row>
    <row r="152" spans="2:16">
      <c r="B152" s="9" t="str">
        <f t="shared" si="16"/>
        <v/>
      </c>
      <c r="C152" s="153">
        <f>IF(D93="","-",+C151+1)</f>
        <v>2071</v>
      </c>
      <c r="D152" s="154">
        <f>IF(F151+SUM(E$99:E151)=D$92,F151,D$92-SUM(E$99:E151))</f>
        <v>0</v>
      </c>
      <c r="E152" s="160">
        <f>IF(+J96&lt;F151,J96,D152)</f>
        <v>0</v>
      </c>
      <c r="F152" s="159">
        <f t="shared" si="13"/>
        <v>0</v>
      </c>
      <c r="G152" s="159">
        <f t="shared" si="8"/>
        <v>0</v>
      </c>
      <c r="H152" s="163">
        <f t="shared" si="14"/>
        <v>0</v>
      </c>
      <c r="I152" s="253">
        <f t="shared" si="15"/>
        <v>0</v>
      </c>
      <c r="J152" s="158">
        <f t="shared" si="17"/>
        <v>0</v>
      </c>
      <c r="K152" s="158"/>
      <c r="L152" s="334"/>
      <c r="M152" s="158">
        <f t="shared" si="18"/>
        <v>0</v>
      </c>
      <c r="N152" s="334"/>
      <c r="O152" s="158">
        <f t="shared" si="19"/>
        <v>0</v>
      </c>
      <c r="P152" s="158">
        <f t="shared" si="20"/>
        <v>0</v>
      </c>
    </row>
    <row r="153" spans="2:16">
      <c r="B153" s="9" t="str">
        <f t="shared" si="16"/>
        <v/>
      </c>
      <c r="C153" s="153">
        <f>IF(D93="","-",+C152+1)</f>
        <v>2072</v>
      </c>
      <c r="D153" s="154">
        <f>IF(F152+SUM(E$99:E152)=D$92,F152,D$92-SUM(E$99:E152))</f>
        <v>0</v>
      </c>
      <c r="E153" s="160">
        <f>IF(+J96&lt;F152,J96,D153)</f>
        <v>0</v>
      </c>
      <c r="F153" s="159">
        <f t="shared" si="13"/>
        <v>0</v>
      </c>
      <c r="G153" s="159">
        <f t="shared" si="8"/>
        <v>0</v>
      </c>
      <c r="H153" s="163">
        <f t="shared" si="14"/>
        <v>0</v>
      </c>
      <c r="I153" s="253">
        <f t="shared" si="15"/>
        <v>0</v>
      </c>
      <c r="J153" s="158">
        <f t="shared" si="17"/>
        <v>0</v>
      </c>
      <c r="K153" s="158"/>
      <c r="L153" s="334"/>
      <c r="M153" s="158">
        <f t="shared" si="18"/>
        <v>0</v>
      </c>
      <c r="N153" s="334"/>
      <c r="O153" s="158">
        <f t="shared" si="19"/>
        <v>0</v>
      </c>
      <c r="P153" s="158">
        <f t="shared" si="20"/>
        <v>0</v>
      </c>
    </row>
    <row r="154" spans="2:16" ht="13.5" thickBot="1">
      <c r="B154" s="9" t="str">
        <f t="shared" si="16"/>
        <v/>
      </c>
      <c r="C154" s="164">
        <f>IF(D93="","-",+C153+1)</f>
        <v>2073</v>
      </c>
      <c r="D154" s="215">
        <f>IF(F153+SUM(E$99:E153)=D$92,F153,D$92-SUM(E$99:E153))</f>
        <v>0</v>
      </c>
      <c r="E154" s="166">
        <f>IF(+J96&lt;F153,J96,D154)</f>
        <v>0</v>
      </c>
      <c r="F154" s="165">
        <f t="shared" si="13"/>
        <v>0</v>
      </c>
      <c r="G154" s="165">
        <f t="shared" si="8"/>
        <v>0</v>
      </c>
      <c r="H154" s="167">
        <f t="shared" si="14"/>
        <v>0</v>
      </c>
      <c r="I154" s="254">
        <f t="shared" si="15"/>
        <v>0</v>
      </c>
      <c r="J154" s="169">
        <f t="shared" si="17"/>
        <v>0</v>
      </c>
      <c r="K154" s="158"/>
      <c r="L154" s="335"/>
      <c r="M154" s="169">
        <f t="shared" si="18"/>
        <v>0</v>
      </c>
      <c r="N154" s="335"/>
      <c r="O154" s="169">
        <f t="shared" si="19"/>
        <v>0</v>
      </c>
      <c r="P154" s="169">
        <f t="shared" si="20"/>
        <v>0</v>
      </c>
    </row>
    <row r="155" spans="2:16">
      <c r="C155" s="154" t="s">
        <v>73</v>
      </c>
      <c r="D155" s="111"/>
      <c r="E155" s="111">
        <f>SUM(E99:E154)</f>
        <v>9730999.9999999981</v>
      </c>
      <c r="F155" s="111"/>
      <c r="G155" s="111"/>
      <c r="H155" s="111">
        <f>SUM(H99:H154)</f>
        <v>34553813.849179447</v>
      </c>
      <c r="I155" s="111">
        <f>SUM(I99:I154)</f>
        <v>34553813.849179447</v>
      </c>
      <c r="J155" s="111">
        <f>SUM(J99:J154)</f>
        <v>0</v>
      </c>
      <c r="K155" s="111"/>
      <c r="L155" s="111"/>
      <c r="M155" s="111"/>
      <c r="N155" s="111"/>
      <c r="O155" s="111"/>
      <c r="P155" s="1"/>
    </row>
    <row r="156" spans="2:16">
      <c r="C156" t="s">
        <v>87</v>
      </c>
      <c r="D156" s="2"/>
      <c r="E156" s="1"/>
      <c r="F156" s="1"/>
      <c r="G156" s="1"/>
      <c r="H156" s="1"/>
      <c r="I156" s="3"/>
      <c r="J156" s="3"/>
      <c r="K156" s="111"/>
      <c r="L156" s="3"/>
      <c r="M156" s="3"/>
      <c r="N156" s="3"/>
      <c r="O156" s="3"/>
      <c r="P156" s="1"/>
    </row>
    <row r="157" spans="2:16">
      <c r="C157" s="216"/>
      <c r="D157" s="2"/>
      <c r="E157" s="1"/>
      <c r="F157" s="1"/>
      <c r="G157" s="1"/>
      <c r="H157" s="1"/>
      <c r="I157" s="3"/>
      <c r="J157" s="3"/>
      <c r="K157" s="111"/>
      <c r="L157" s="3"/>
      <c r="M157" s="3"/>
      <c r="N157" s="3"/>
      <c r="O157" s="3"/>
      <c r="P157" s="1"/>
    </row>
    <row r="158" spans="2:16">
      <c r="C158" s="248" t="s">
        <v>127</v>
      </c>
      <c r="D158" s="2"/>
      <c r="E158" s="1"/>
      <c r="F158" s="1"/>
      <c r="G158" s="1"/>
      <c r="H158" s="1"/>
      <c r="I158" s="3"/>
      <c r="J158" s="3"/>
      <c r="K158" s="111"/>
      <c r="L158" s="3"/>
      <c r="M158" s="3"/>
      <c r="N158" s="3"/>
      <c r="O158" s="3"/>
      <c r="P158" s="1"/>
    </row>
    <row r="159" spans="2:16">
      <c r="C159" s="121" t="s">
        <v>74</v>
      </c>
      <c r="D159" s="154"/>
      <c r="E159" s="154"/>
      <c r="F159" s="154"/>
      <c r="G159" s="154"/>
      <c r="H159" s="111"/>
      <c r="I159" s="111"/>
      <c r="J159" s="171"/>
      <c r="K159" s="171"/>
      <c r="L159" s="171"/>
      <c r="M159" s="171"/>
      <c r="N159" s="171"/>
      <c r="O159" s="171"/>
      <c r="P159" s="1"/>
    </row>
    <row r="160" spans="2:16">
      <c r="C160" s="217" t="s">
        <v>75</v>
      </c>
      <c r="D160" s="154"/>
      <c r="E160" s="154"/>
      <c r="F160" s="154"/>
      <c r="G160" s="154"/>
      <c r="H160" s="111"/>
      <c r="I160" s="111"/>
      <c r="J160" s="171"/>
      <c r="K160" s="171"/>
      <c r="L160" s="171"/>
      <c r="M160" s="171"/>
      <c r="N160" s="171"/>
      <c r="O160" s="171"/>
      <c r="P160" s="1"/>
    </row>
    <row r="161" spans="3:16">
      <c r="C161" s="217"/>
      <c r="D161" s="154"/>
      <c r="E161" s="154"/>
      <c r="F161" s="154"/>
      <c r="G161" s="154"/>
      <c r="H161" s="111"/>
      <c r="I161" s="111"/>
      <c r="J161" s="171"/>
      <c r="K161" s="171"/>
      <c r="L161" s="171"/>
      <c r="M161" s="171"/>
      <c r="N161" s="171"/>
      <c r="O161" s="171"/>
      <c r="P161" s="1"/>
    </row>
    <row r="162" spans="3:16" ht="18">
      <c r="C162" s="217"/>
      <c r="D162" s="154"/>
      <c r="E162" s="154"/>
      <c r="F162" s="154"/>
      <c r="G162" s="154"/>
      <c r="H162" s="111"/>
      <c r="I162" s="111"/>
      <c r="J162" s="171"/>
      <c r="K162" s="171"/>
      <c r="L162" s="171"/>
      <c r="M162" s="171"/>
      <c r="N162" s="171"/>
      <c r="P162" s="245" t="s">
        <v>126</v>
      </c>
    </row>
  </sheetData>
  <conditionalFormatting sqref="C18:C72">
    <cfRule type="cellIs" dxfId="19" priority="2" stopIfTrue="1" operator="equal">
      <formula>$I$10</formula>
    </cfRule>
  </conditionalFormatting>
  <conditionalFormatting sqref="C99:C154">
    <cfRule type="cellIs" dxfId="18" priority="3" stopIfTrue="1" operator="equal">
      <formula>$J$92</formula>
    </cfRule>
  </conditionalFormatting>
  <conditionalFormatting sqref="C17">
    <cfRule type="cellIs" dxfId="17" priority="1" stopIfTrue="1" operator="equal">
      <formula>$I$10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8"/>
  <dimension ref="A1:P162"/>
  <sheetViews>
    <sheetView view="pageBreakPreview" topLeftCell="A55" zoomScale="80" zoomScaleNormal="100" zoomScaleSheetLayoutView="80" workbookViewId="0">
      <selection activeCell="C19" sqref="C19"/>
    </sheetView>
  </sheetViews>
  <sheetFormatPr defaultRowHeight="12.75" customHeight="1"/>
  <cols>
    <col min="1" max="1" width="4.7109375" customWidth="1"/>
    <col min="2" max="2" width="6.7109375" customWidth="1"/>
    <col min="3" max="3" width="23.28515625" customWidth="1"/>
    <col min="4" max="8" width="17.7109375" customWidth="1"/>
    <col min="9" max="9" width="20.42578125" customWidth="1"/>
    <col min="10" max="10" width="16.42578125" customWidth="1"/>
    <col min="11" max="11" width="17.7109375" customWidth="1"/>
    <col min="12" max="12" width="16.140625" customWidth="1"/>
    <col min="13" max="13" width="17.7109375" customWidth="1"/>
    <col min="14" max="14" width="16.7109375" customWidth="1"/>
    <col min="15" max="15" width="16.85546875" customWidth="1"/>
    <col min="16" max="16" width="24.42578125" customWidth="1"/>
    <col min="17" max="17" width="9.140625" customWidth="1"/>
    <col min="23" max="23" width="9.140625" customWidth="1"/>
  </cols>
  <sheetData>
    <row r="1" spans="1:16" ht="20.25">
      <c r="A1" s="243" t="s">
        <v>128</v>
      </c>
      <c r="B1" s="1"/>
      <c r="C1" s="21"/>
      <c r="D1" s="2"/>
      <c r="E1" s="1"/>
      <c r="F1" s="99"/>
      <c r="G1" s="1"/>
      <c r="H1" s="3"/>
      <c r="J1" s="7"/>
      <c r="K1" s="109"/>
      <c r="L1" s="109"/>
      <c r="M1" s="109"/>
      <c r="P1" s="249" t="str">
        <f ca="1">"SWEPCO Project "&amp;RIGHT(MID(CELL("filename",$A$1),FIND("]",CELL("filename",$A$1))+1,256),2)&amp;" of "&amp;COUNT('S.001:S.xyz - blank'!$P$3)-1</f>
        <v>SWEPCO Project 69 of 73</v>
      </c>
    </row>
    <row r="2" spans="1:16" ht="18">
      <c r="B2" s="1"/>
      <c r="C2" s="1"/>
      <c r="D2" s="2"/>
      <c r="E2" s="1"/>
      <c r="F2" s="1"/>
      <c r="G2" s="1"/>
      <c r="H2" s="3"/>
      <c r="I2" s="1"/>
      <c r="J2" s="4"/>
      <c r="K2" s="1"/>
      <c r="L2" s="1"/>
      <c r="M2" s="1"/>
      <c r="N2" s="1"/>
      <c r="P2" s="244" t="s">
        <v>124</v>
      </c>
    </row>
    <row r="3" spans="1:16" ht="18.75">
      <c r="B3" s="5" t="s">
        <v>40</v>
      </c>
      <c r="C3" s="68" t="s">
        <v>41</v>
      </c>
      <c r="D3" s="2"/>
      <c r="E3" s="1"/>
      <c r="F3" s="1"/>
      <c r="G3" s="1"/>
      <c r="H3" s="3"/>
      <c r="I3" s="3"/>
      <c r="J3" s="111"/>
      <c r="K3" s="3"/>
      <c r="L3" s="3"/>
      <c r="M3" s="3"/>
      <c r="N3" s="3"/>
      <c r="O3" s="1"/>
      <c r="P3" s="240">
        <v>1</v>
      </c>
    </row>
    <row r="4" spans="1:16" ht="15.75" thickBot="1">
      <c r="C4" s="67"/>
      <c r="D4" s="2"/>
      <c r="E4" s="1"/>
      <c r="F4" s="1"/>
      <c r="G4" s="1"/>
      <c r="H4" s="3"/>
      <c r="I4" s="3"/>
      <c r="J4" s="111"/>
      <c r="K4" s="3"/>
      <c r="L4" s="3"/>
      <c r="M4" s="3"/>
      <c r="N4" s="3"/>
      <c r="O4" s="1"/>
      <c r="P4" s="1"/>
    </row>
    <row r="5" spans="1:16" ht="15">
      <c r="C5" s="112" t="s">
        <v>42</v>
      </c>
      <c r="D5" s="2"/>
      <c r="E5" s="1"/>
      <c r="F5" s="1"/>
      <c r="G5" s="113"/>
      <c r="H5" s="1" t="s">
        <v>43</v>
      </c>
      <c r="I5" s="1"/>
      <c r="J5" s="4"/>
      <c r="K5" s="268" t="s">
        <v>152</v>
      </c>
      <c r="L5" s="114"/>
      <c r="M5" s="115"/>
      <c r="N5" s="116">
        <f>VLOOKUP(I10,C17:I72,5)</f>
        <v>1096709.0714176192</v>
      </c>
      <c r="P5" s="1"/>
    </row>
    <row r="6" spans="1:16" ht="15.75">
      <c r="C6" s="8"/>
      <c r="D6" s="2"/>
      <c r="E6" s="1"/>
      <c r="F6" s="1"/>
      <c r="G6" s="1"/>
      <c r="H6" s="117"/>
      <c r="I6" s="117"/>
      <c r="J6" s="118"/>
      <c r="K6" s="269" t="s">
        <v>153</v>
      </c>
      <c r="L6" s="119"/>
      <c r="M6" s="4"/>
      <c r="N6" s="120">
        <f>VLOOKUP(I10,C17:I72,6)</f>
        <v>1096709.0714176192</v>
      </c>
      <c r="O6" s="1"/>
      <c r="P6" s="1"/>
    </row>
    <row r="7" spans="1:16" ht="13.5" thickBot="1">
      <c r="C7" s="121" t="s">
        <v>44</v>
      </c>
      <c r="D7" s="223" t="s">
        <v>392</v>
      </c>
      <c r="E7" s="1"/>
      <c r="F7" s="1"/>
      <c r="G7" s="1"/>
      <c r="H7" s="3"/>
      <c r="I7" s="3"/>
      <c r="J7" s="111"/>
      <c r="K7" s="122" t="s">
        <v>45</v>
      </c>
      <c r="L7" s="123"/>
      <c r="M7" s="123"/>
      <c r="N7" s="124">
        <f>+N6-N5</f>
        <v>0</v>
      </c>
      <c r="O7" s="1"/>
      <c r="P7" s="1"/>
    </row>
    <row r="8" spans="1:16" ht="13.5" thickBot="1">
      <c r="C8" s="125"/>
      <c r="D8" s="352" t="str">
        <f>IF(D10&lt;100000,"DOES NOT MEET SPP $100,000 MINIMUM INVESTMENT FOR REGIONAL BPU SHARING.","")</f>
        <v/>
      </c>
      <c r="E8" s="126"/>
      <c r="F8" s="126"/>
      <c r="G8" s="126"/>
      <c r="H8" s="126"/>
      <c r="I8" s="126"/>
      <c r="J8" s="101"/>
      <c r="K8" s="126"/>
      <c r="L8" s="126"/>
      <c r="M8" s="126"/>
      <c r="N8" s="126"/>
      <c r="O8" s="101"/>
      <c r="P8" s="21"/>
    </row>
    <row r="9" spans="1:16" ht="13.5" thickBot="1">
      <c r="C9" s="127" t="s">
        <v>46</v>
      </c>
      <c r="D9" s="225" t="s">
        <v>252</v>
      </c>
      <c r="E9" s="401" t="s">
        <v>456</v>
      </c>
      <c r="F9" s="128"/>
      <c r="G9" s="128"/>
      <c r="H9" s="128"/>
      <c r="I9" s="129"/>
      <c r="J9" s="130"/>
      <c r="O9" s="131"/>
      <c r="P9" s="4"/>
    </row>
    <row r="10" spans="1:16">
      <c r="C10" s="132" t="s">
        <v>47</v>
      </c>
      <c r="D10" s="133">
        <v>9152000</v>
      </c>
      <c r="E10" s="61" t="s">
        <v>459</v>
      </c>
      <c r="F10" s="131"/>
      <c r="G10" s="134"/>
      <c r="H10" s="134"/>
      <c r="I10" s="135">
        <f>+SWE.WS.F.BPU.ATRR.Projected!K17</f>
        <v>2019</v>
      </c>
      <c r="J10" s="130"/>
      <c r="K10" s="111" t="s">
        <v>48</v>
      </c>
      <c r="O10" s="4"/>
      <c r="P10" s="4"/>
    </row>
    <row r="11" spans="1:16">
      <c r="C11" s="136" t="s">
        <v>49</v>
      </c>
      <c r="D11" s="137">
        <v>2018</v>
      </c>
      <c r="E11" s="136" t="s">
        <v>50</v>
      </c>
      <c r="F11" s="134"/>
      <c r="G11" s="7"/>
      <c r="H11" s="7"/>
      <c r="I11" s="138">
        <f>IF(G5="",0,SWE.WS.F.BPU.ATRR.Projected!F$11)</f>
        <v>0</v>
      </c>
      <c r="J11" s="139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4"/>
      <c r="P11" s="4"/>
    </row>
    <row r="12" spans="1:16">
      <c r="C12" s="136" t="s">
        <v>51</v>
      </c>
      <c r="D12" s="133">
        <v>6</v>
      </c>
      <c r="E12" s="136" t="s">
        <v>52</v>
      </c>
      <c r="F12" s="134"/>
      <c r="G12" s="7"/>
      <c r="H12" s="7"/>
      <c r="I12" s="140">
        <f>SWE.WS.F.BPU.ATRR.Projected!$F$76</f>
        <v>9.9555672459071778E-2</v>
      </c>
      <c r="J12" s="141"/>
      <c r="K12" t="s">
        <v>53</v>
      </c>
      <c r="O12" s="4"/>
      <c r="P12" s="4"/>
    </row>
    <row r="13" spans="1:16">
      <c r="C13" s="136" t="s">
        <v>54</v>
      </c>
      <c r="D13" s="138">
        <f>+SWE.WS.F.BPU.ATRR.Projected!F$87</f>
        <v>43</v>
      </c>
      <c r="E13" s="136" t="s">
        <v>55</v>
      </c>
      <c r="F13" s="134"/>
      <c r="G13" s="7"/>
      <c r="H13" s="7"/>
      <c r="I13" s="140">
        <f>IF(G5="",I12,SWE.WS.F.BPU.ATRR.Projected!$F$75)</f>
        <v>9.9555672459071778E-2</v>
      </c>
      <c r="J13" s="141"/>
      <c r="K13" s="111" t="s">
        <v>56</v>
      </c>
      <c r="L13" s="58"/>
      <c r="M13" s="58"/>
      <c r="N13" s="58"/>
      <c r="O13" s="4"/>
      <c r="P13" s="4"/>
    </row>
    <row r="14" spans="1:16" ht="13.5" thickBot="1">
      <c r="C14" s="136" t="s">
        <v>57</v>
      </c>
      <c r="D14" s="137" t="s">
        <v>58</v>
      </c>
      <c r="E14" s="4" t="s">
        <v>59</v>
      </c>
      <c r="F14" s="134"/>
      <c r="G14" s="7"/>
      <c r="H14" s="7"/>
      <c r="I14" s="142">
        <f>IF(D10=0,0,D10/D13)</f>
        <v>212837.20930232559</v>
      </c>
      <c r="J14" s="111"/>
      <c r="K14" s="111"/>
      <c r="L14" s="111"/>
      <c r="M14" s="111"/>
      <c r="N14" s="111"/>
      <c r="O14" s="4"/>
      <c r="P14" s="4"/>
    </row>
    <row r="15" spans="1:16" ht="38.25">
      <c r="C15" s="143" t="s">
        <v>47</v>
      </c>
      <c r="D15" s="144" t="s">
        <v>60</v>
      </c>
      <c r="E15" s="144" t="s">
        <v>61</v>
      </c>
      <c r="F15" s="144" t="s">
        <v>62</v>
      </c>
      <c r="G15" s="434" t="s">
        <v>378</v>
      </c>
      <c r="H15" s="435" t="s">
        <v>379</v>
      </c>
      <c r="I15" s="143" t="s">
        <v>63</v>
      </c>
      <c r="J15" s="145"/>
      <c r="K15" s="271" t="s">
        <v>219</v>
      </c>
      <c r="L15" s="146" t="s">
        <v>64</v>
      </c>
      <c r="M15" s="271" t="s">
        <v>219</v>
      </c>
      <c r="N15" s="146" t="s">
        <v>64</v>
      </c>
      <c r="O15" s="146" t="s">
        <v>65</v>
      </c>
      <c r="P15" s="4"/>
    </row>
    <row r="16" spans="1:16" ht="13.5" thickBot="1">
      <c r="C16" s="147" t="s">
        <v>66</v>
      </c>
      <c r="D16" s="147" t="s">
        <v>67</v>
      </c>
      <c r="E16" s="147" t="s">
        <v>68</v>
      </c>
      <c r="F16" s="147" t="s">
        <v>67</v>
      </c>
      <c r="G16" s="408" t="s">
        <v>69</v>
      </c>
      <c r="H16" s="148" t="s">
        <v>70</v>
      </c>
      <c r="I16" s="149" t="s">
        <v>89</v>
      </c>
      <c r="J16" s="150" t="s">
        <v>71</v>
      </c>
      <c r="K16" s="151" t="s">
        <v>72</v>
      </c>
      <c r="L16" s="151" t="s">
        <v>72</v>
      </c>
      <c r="M16" s="151" t="s">
        <v>90</v>
      </c>
      <c r="N16" s="152" t="s">
        <v>90</v>
      </c>
      <c r="O16" s="151" t="s">
        <v>90</v>
      </c>
      <c r="P16" s="4"/>
    </row>
    <row r="17" spans="2:16">
      <c r="C17" s="153">
        <f>IF(D11= "","-",D11)</f>
        <v>2018</v>
      </c>
      <c r="D17" s="360">
        <v>0</v>
      </c>
      <c r="E17" s="360">
        <v>167414.63414634147</v>
      </c>
      <c r="F17" s="360">
        <v>8984585.3658536579</v>
      </c>
      <c r="G17" s="360">
        <v>670031.25223817956</v>
      </c>
      <c r="H17" s="360">
        <v>670031.25223817956</v>
      </c>
      <c r="I17" s="156">
        <f t="shared" ref="I17:I72" si="0">H17-G17</f>
        <v>0</v>
      </c>
      <c r="J17" s="156"/>
      <c r="K17" s="256">
        <f>+G17</f>
        <v>670031.25223817956</v>
      </c>
      <c r="L17" s="157">
        <f t="shared" ref="L17:L72" si="1">IF(K17&lt;&gt;0,+G17-K17,0)</f>
        <v>0</v>
      </c>
      <c r="M17" s="256">
        <f>+H17</f>
        <v>670031.25223817956</v>
      </c>
      <c r="N17" s="157">
        <f t="shared" ref="N17:N72" si="2">IF(M17&lt;&gt;0,+H17-M17,0)</f>
        <v>0</v>
      </c>
      <c r="O17" s="158">
        <f t="shared" ref="O17:O72" si="3">+N17-L17</f>
        <v>0</v>
      </c>
      <c r="P17" s="4"/>
    </row>
    <row r="18" spans="2:16">
      <c r="B18" s="9" t="str">
        <f>IF(D18=F17,"","IU")</f>
        <v/>
      </c>
      <c r="C18" s="153">
        <f>IF(D11="","-",+C17+1)</f>
        <v>2019</v>
      </c>
      <c r="D18" s="159">
        <f>IF(F17+SUM(E$17:E17)=D$10,F17,D$10-SUM(E$17:E17))</f>
        <v>8984585.3658536579</v>
      </c>
      <c r="E18" s="160">
        <f>IF(+I14&lt;F17,I14,D18)</f>
        <v>212837.20930232559</v>
      </c>
      <c r="F18" s="159">
        <f t="shared" ref="F18:F72" si="4">+D18-E18</f>
        <v>8771748.1565513331</v>
      </c>
      <c r="G18" s="161">
        <f t="shared" ref="G18:G72" si="5">+I$12*((D18+F18)/2)+E18</f>
        <v>1096709.0714176192</v>
      </c>
      <c r="H18" s="142">
        <f t="shared" ref="H18:H72" si="6">+I$13*((D18+F18)/2)+E18</f>
        <v>1096709.0714176192</v>
      </c>
      <c r="I18" s="156">
        <f t="shared" si="0"/>
        <v>0</v>
      </c>
      <c r="J18" s="156"/>
      <c r="K18" s="334"/>
      <c r="L18" s="158">
        <f t="shared" si="1"/>
        <v>0</v>
      </c>
      <c r="M18" s="334"/>
      <c r="N18" s="158">
        <f t="shared" si="2"/>
        <v>0</v>
      </c>
      <c r="O18" s="158">
        <f t="shared" si="3"/>
        <v>0</v>
      </c>
      <c r="P18" s="4"/>
    </row>
    <row r="19" spans="2:16">
      <c r="B19" s="9" t="str">
        <f>IF(D19=F18,"","IU")</f>
        <v/>
      </c>
      <c r="C19" s="153">
        <f>IF(D11="","-",+C18+1)</f>
        <v>2020</v>
      </c>
      <c r="D19" s="159">
        <f>IF(F18+SUM(E$17:E18)=D$10,F18,D$10-SUM(E$17:E18))</f>
        <v>8771748.1565513331</v>
      </c>
      <c r="E19" s="160">
        <f>IF(+I14&lt;F18,I14,D19)</f>
        <v>212837.20930232559</v>
      </c>
      <c r="F19" s="159">
        <f t="shared" si="4"/>
        <v>8558910.9472490083</v>
      </c>
      <c r="G19" s="161">
        <f t="shared" si="5"/>
        <v>1075519.9199212142</v>
      </c>
      <c r="H19" s="142">
        <f t="shared" si="6"/>
        <v>1075519.9199212142</v>
      </c>
      <c r="I19" s="156">
        <f t="shared" si="0"/>
        <v>0</v>
      </c>
      <c r="J19" s="156"/>
      <c r="K19" s="334"/>
      <c r="L19" s="158">
        <f t="shared" si="1"/>
        <v>0</v>
      </c>
      <c r="M19" s="334"/>
      <c r="N19" s="158">
        <f t="shared" si="2"/>
        <v>0</v>
      </c>
      <c r="O19" s="158">
        <f t="shared" si="3"/>
        <v>0</v>
      </c>
      <c r="P19" s="4"/>
    </row>
    <row r="20" spans="2:16">
      <c r="B20" s="9" t="str">
        <f t="shared" ref="B20:B72" si="7">IF(D20=F19,"","IU")</f>
        <v/>
      </c>
      <c r="C20" s="153">
        <f>IF(D11="","-",+C19+1)</f>
        <v>2021</v>
      </c>
      <c r="D20" s="159">
        <f>IF(F19+SUM(E$17:E19)=D$10,F19,D$10-SUM(E$17:E19))</f>
        <v>8558910.9472490083</v>
      </c>
      <c r="E20" s="160">
        <f>IF(+I14&lt;F19,I14,D20)</f>
        <v>212837.20930232559</v>
      </c>
      <c r="F20" s="159">
        <f t="shared" si="4"/>
        <v>8346073.7379466826</v>
      </c>
      <c r="G20" s="161">
        <f t="shared" si="5"/>
        <v>1054330.768424809</v>
      </c>
      <c r="H20" s="142">
        <f t="shared" si="6"/>
        <v>1054330.768424809</v>
      </c>
      <c r="I20" s="156">
        <f t="shared" si="0"/>
        <v>0</v>
      </c>
      <c r="J20" s="156"/>
      <c r="K20" s="334"/>
      <c r="L20" s="158">
        <f t="shared" si="1"/>
        <v>0</v>
      </c>
      <c r="M20" s="334"/>
      <c r="N20" s="158">
        <f t="shared" si="2"/>
        <v>0</v>
      </c>
      <c r="O20" s="158">
        <f t="shared" si="3"/>
        <v>0</v>
      </c>
      <c r="P20" s="4"/>
    </row>
    <row r="21" spans="2:16">
      <c r="B21" s="9" t="str">
        <f t="shared" si="7"/>
        <v/>
      </c>
      <c r="C21" s="153">
        <f>IF(D11="","-",+C20+1)</f>
        <v>2022</v>
      </c>
      <c r="D21" s="159">
        <f>IF(F20+SUM(E$17:E20)=D$10,F20,D$10-SUM(E$17:E20))</f>
        <v>8346073.7379466826</v>
      </c>
      <c r="E21" s="160">
        <f>IF(+I14&lt;F20,I14,D21)</f>
        <v>212837.20930232559</v>
      </c>
      <c r="F21" s="159">
        <f t="shared" si="4"/>
        <v>8133236.5286443569</v>
      </c>
      <c r="G21" s="161">
        <f t="shared" si="5"/>
        <v>1033141.6169284037</v>
      </c>
      <c r="H21" s="142">
        <f t="shared" si="6"/>
        <v>1033141.6169284037</v>
      </c>
      <c r="I21" s="156">
        <f t="shared" si="0"/>
        <v>0</v>
      </c>
      <c r="J21" s="156"/>
      <c r="K21" s="334"/>
      <c r="L21" s="158">
        <f t="shared" si="1"/>
        <v>0</v>
      </c>
      <c r="M21" s="334"/>
      <c r="N21" s="158">
        <f t="shared" si="2"/>
        <v>0</v>
      </c>
      <c r="O21" s="158">
        <f t="shared" si="3"/>
        <v>0</v>
      </c>
      <c r="P21" s="4"/>
    </row>
    <row r="22" spans="2:16">
      <c r="B22" s="9" t="str">
        <f t="shared" si="7"/>
        <v/>
      </c>
      <c r="C22" s="153">
        <f>IF(D11="","-",+C21+1)</f>
        <v>2023</v>
      </c>
      <c r="D22" s="159">
        <f>IF(F21+SUM(E$17:E21)=D$10,F21,D$10-SUM(E$17:E21))</f>
        <v>8133236.5286443569</v>
      </c>
      <c r="E22" s="160">
        <f>IF(+I14&lt;F21,I14,D22)</f>
        <v>212837.20930232559</v>
      </c>
      <c r="F22" s="159">
        <f t="shared" si="4"/>
        <v>7920399.3193420311</v>
      </c>
      <c r="G22" s="161">
        <f t="shared" si="5"/>
        <v>1011952.4654319986</v>
      </c>
      <c r="H22" s="142">
        <f t="shared" si="6"/>
        <v>1011952.4654319986</v>
      </c>
      <c r="I22" s="156">
        <f t="shared" si="0"/>
        <v>0</v>
      </c>
      <c r="J22" s="156"/>
      <c r="K22" s="334"/>
      <c r="L22" s="158">
        <f t="shared" si="1"/>
        <v>0</v>
      </c>
      <c r="M22" s="334"/>
      <c r="N22" s="158">
        <f t="shared" si="2"/>
        <v>0</v>
      </c>
      <c r="O22" s="158">
        <f t="shared" si="3"/>
        <v>0</v>
      </c>
      <c r="P22" s="4"/>
    </row>
    <row r="23" spans="2:16">
      <c r="B23" s="9" t="str">
        <f t="shared" si="7"/>
        <v/>
      </c>
      <c r="C23" s="153">
        <f>IF(D11="","-",+C22+1)</f>
        <v>2024</v>
      </c>
      <c r="D23" s="159">
        <f>IF(F22+SUM(E$17:E22)=D$10,F22,D$10-SUM(E$17:E22))</f>
        <v>7920399.3193420311</v>
      </c>
      <c r="E23" s="160">
        <f>IF(+I14&lt;F22,I14,D23)</f>
        <v>212837.20930232559</v>
      </c>
      <c r="F23" s="159">
        <f t="shared" si="4"/>
        <v>7707562.1100397054</v>
      </c>
      <c r="G23" s="161">
        <f t="shared" si="5"/>
        <v>990763.31393559324</v>
      </c>
      <c r="H23" s="142">
        <f t="shared" si="6"/>
        <v>990763.31393559324</v>
      </c>
      <c r="I23" s="156">
        <f t="shared" si="0"/>
        <v>0</v>
      </c>
      <c r="J23" s="156"/>
      <c r="K23" s="334"/>
      <c r="L23" s="158">
        <f t="shared" si="1"/>
        <v>0</v>
      </c>
      <c r="M23" s="334"/>
      <c r="N23" s="158">
        <f t="shared" si="2"/>
        <v>0</v>
      </c>
      <c r="O23" s="158">
        <f t="shared" si="3"/>
        <v>0</v>
      </c>
      <c r="P23" s="4"/>
    </row>
    <row r="24" spans="2:16">
      <c r="B24" s="9" t="str">
        <f t="shared" si="7"/>
        <v/>
      </c>
      <c r="C24" s="153">
        <f>IF(D11="","-",+C23+1)</f>
        <v>2025</v>
      </c>
      <c r="D24" s="159">
        <f>IF(F23+SUM(E$17:E23)=D$10,F23,D$10-SUM(E$17:E23))</f>
        <v>7707562.1100397054</v>
      </c>
      <c r="E24" s="160">
        <f>IF(+I14&lt;F23,I14,D24)</f>
        <v>212837.20930232559</v>
      </c>
      <c r="F24" s="159">
        <f t="shared" si="4"/>
        <v>7494724.9007373797</v>
      </c>
      <c r="G24" s="161">
        <f t="shared" si="5"/>
        <v>969574.16243918811</v>
      </c>
      <c r="H24" s="142">
        <f t="shared" si="6"/>
        <v>969574.16243918811</v>
      </c>
      <c r="I24" s="156">
        <f t="shared" si="0"/>
        <v>0</v>
      </c>
      <c r="J24" s="156"/>
      <c r="K24" s="334"/>
      <c r="L24" s="158">
        <f t="shared" si="1"/>
        <v>0</v>
      </c>
      <c r="M24" s="334"/>
      <c r="N24" s="158">
        <f t="shared" si="2"/>
        <v>0</v>
      </c>
      <c r="O24" s="158">
        <f t="shared" si="3"/>
        <v>0</v>
      </c>
      <c r="P24" s="4"/>
    </row>
    <row r="25" spans="2:16">
      <c r="B25" s="9" t="str">
        <f t="shared" si="7"/>
        <v/>
      </c>
      <c r="C25" s="153">
        <f>IF(D11="","-",+C24+1)</f>
        <v>2026</v>
      </c>
      <c r="D25" s="159">
        <f>IF(F24+SUM(E$17:E24)=D$10,F24,D$10-SUM(E$17:E24))</f>
        <v>7494724.9007373797</v>
      </c>
      <c r="E25" s="160">
        <f>IF(+I14&lt;F24,I14,D25)</f>
        <v>212837.20930232559</v>
      </c>
      <c r="F25" s="159">
        <f t="shared" si="4"/>
        <v>7281887.6914350539</v>
      </c>
      <c r="G25" s="161">
        <f t="shared" si="5"/>
        <v>948385.01094278274</v>
      </c>
      <c r="H25" s="142">
        <f t="shared" si="6"/>
        <v>948385.01094278274</v>
      </c>
      <c r="I25" s="156">
        <f t="shared" si="0"/>
        <v>0</v>
      </c>
      <c r="J25" s="156"/>
      <c r="K25" s="334"/>
      <c r="L25" s="158">
        <f t="shared" si="1"/>
        <v>0</v>
      </c>
      <c r="M25" s="334"/>
      <c r="N25" s="158">
        <f t="shared" si="2"/>
        <v>0</v>
      </c>
      <c r="O25" s="158">
        <f t="shared" si="3"/>
        <v>0</v>
      </c>
      <c r="P25" s="4"/>
    </row>
    <row r="26" spans="2:16">
      <c r="B26" s="9" t="str">
        <f t="shared" si="7"/>
        <v/>
      </c>
      <c r="C26" s="153">
        <f>IF(D11="","-",+C25+1)</f>
        <v>2027</v>
      </c>
      <c r="D26" s="159">
        <f>IF(F25+SUM(E$17:E25)=D$10,F25,D$10-SUM(E$17:E25))</f>
        <v>7281887.6914350539</v>
      </c>
      <c r="E26" s="160">
        <f>IF(+I14&lt;F25,I14,D26)</f>
        <v>212837.20930232559</v>
      </c>
      <c r="F26" s="159">
        <f t="shared" si="4"/>
        <v>7069050.4821327282</v>
      </c>
      <c r="G26" s="161">
        <f t="shared" si="5"/>
        <v>927195.85944637761</v>
      </c>
      <c r="H26" s="142">
        <f t="shared" si="6"/>
        <v>927195.85944637761</v>
      </c>
      <c r="I26" s="156">
        <f t="shared" si="0"/>
        <v>0</v>
      </c>
      <c r="J26" s="156"/>
      <c r="K26" s="334"/>
      <c r="L26" s="158">
        <f t="shared" si="1"/>
        <v>0</v>
      </c>
      <c r="M26" s="334"/>
      <c r="N26" s="158">
        <f t="shared" si="2"/>
        <v>0</v>
      </c>
      <c r="O26" s="158">
        <f t="shared" si="3"/>
        <v>0</v>
      </c>
      <c r="P26" s="4"/>
    </row>
    <row r="27" spans="2:16">
      <c r="B27" s="9" t="str">
        <f t="shared" si="7"/>
        <v/>
      </c>
      <c r="C27" s="153">
        <f>IF(D11="","-",+C26+1)</f>
        <v>2028</v>
      </c>
      <c r="D27" s="159">
        <f>IF(F26+SUM(E$17:E26)=D$10,F26,D$10-SUM(E$17:E26))</f>
        <v>7069050.4821327282</v>
      </c>
      <c r="E27" s="160">
        <f>IF(+I14&lt;F26,I14,D27)</f>
        <v>212837.20930232559</v>
      </c>
      <c r="F27" s="159">
        <f t="shared" si="4"/>
        <v>6856213.2728304025</v>
      </c>
      <c r="G27" s="161">
        <f t="shared" si="5"/>
        <v>906006.70794997225</v>
      </c>
      <c r="H27" s="142">
        <f t="shared" si="6"/>
        <v>906006.70794997225</v>
      </c>
      <c r="I27" s="156">
        <f t="shared" si="0"/>
        <v>0</v>
      </c>
      <c r="J27" s="156"/>
      <c r="K27" s="334"/>
      <c r="L27" s="158">
        <f t="shared" si="1"/>
        <v>0</v>
      </c>
      <c r="M27" s="334"/>
      <c r="N27" s="158">
        <f t="shared" si="2"/>
        <v>0</v>
      </c>
      <c r="O27" s="158">
        <f t="shared" si="3"/>
        <v>0</v>
      </c>
      <c r="P27" s="4"/>
    </row>
    <row r="28" spans="2:16">
      <c r="B28" s="9" t="str">
        <f t="shared" si="7"/>
        <v/>
      </c>
      <c r="C28" s="153">
        <f>IF(D11="","-",+C27+1)</f>
        <v>2029</v>
      </c>
      <c r="D28" s="159">
        <f>IF(F27+SUM(E$17:E27)=D$10,F27,D$10-SUM(E$17:E27))</f>
        <v>6856213.2728304025</v>
      </c>
      <c r="E28" s="160">
        <f>IF(+I14&lt;F27,I14,D28)</f>
        <v>212837.20930232559</v>
      </c>
      <c r="F28" s="159">
        <f t="shared" si="4"/>
        <v>6643376.0635280767</v>
      </c>
      <c r="G28" s="161">
        <f t="shared" si="5"/>
        <v>884817.55645356711</v>
      </c>
      <c r="H28" s="142">
        <f t="shared" si="6"/>
        <v>884817.55645356711</v>
      </c>
      <c r="I28" s="156">
        <f t="shared" si="0"/>
        <v>0</v>
      </c>
      <c r="J28" s="156"/>
      <c r="K28" s="334"/>
      <c r="L28" s="158">
        <f t="shared" si="1"/>
        <v>0</v>
      </c>
      <c r="M28" s="334"/>
      <c r="N28" s="158">
        <f t="shared" si="2"/>
        <v>0</v>
      </c>
      <c r="O28" s="158">
        <f t="shared" si="3"/>
        <v>0</v>
      </c>
      <c r="P28" s="4"/>
    </row>
    <row r="29" spans="2:16">
      <c r="B29" s="9" t="str">
        <f t="shared" si="7"/>
        <v/>
      </c>
      <c r="C29" s="153">
        <f>IF(D11="","-",+C28+1)</f>
        <v>2030</v>
      </c>
      <c r="D29" s="159">
        <f>IF(F28+SUM(E$17:E28)=D$10,F28,D$10-SUM(E$17:E28))</f>
        <v>6643376.0635280767</v>
      </c>
      <c r="E29" s="160">
        <f>IF(+I14&lt;F28,I14,D29)</f>
        <v>212837.20930232559</v>
      </c>
      <c r="F29" s="159">
        <f t="shared" si="4"/>
        <v>6430538.854225751</v>
      </c>
      <c r="G29" s="161">
        <f t="shared" si="5"/>
        <v>863628.40495716175</v>
      </c>
      <c r="H29" s="142">
        <f t="shared" si="6"/>
        <v>863628.40495716175</v>
      </c>
      <c r="I29" s="156">
        <f t="shared" si="0"/>
        <v>0</v>
      </c>
      <c r="J29" s="156"/>
      <c r="K29" s="334"/>
      <c r="L29" s="158">
        <f t="shared" si="1"/>
        <v>0</v>
      </c>
      <c r="M29" s="334"/>
      <c r="N29" s="158">
        <f t="shared" si="2"/>
        <v>0</v>
      </c>
      <c r="O29" s="158">
        <f t="shared" si="3"/>
        <v>0</v>
      </c>
      <c r="P29" s="4"/>
    </row>
    <row r="30" spans="2:16">
      <c r="B30" s="9" t="str">
        <f t="shared" si="7"/>
        <v/>
      </c>
      <c r="C30" s="153">
        <f>IF(D11="","-",+C29+1)</f>
        <v>2031</v>
      </c>
      <c r="D30" s="159">
        <f>IF(F29+SUM(E$17:E29)=D$10,F29,D$10-SUM(E$17:E29))</f>
        <v>6430538.854225751</v>
      </c>
      <c r="E30" s="160">
        <f>IF(+I14&lt;F29,I14,D30)</f>
        <v>212837.20930232559</v>
      </c>
      <c r="F30" s="159">
        <f t="shared" si="4"/>
        <v>6217701.6449234253</v>
      </c>
      <c r="G30" s="161">
        <f t="shared" si="5"/>
        <v>842439.25346075662</v>
      </c>
      <c r="H30" s="142">
        <f t="shared" si="6"/>
        <v>842439.25346075662</v>
      </c>
      <c r="I30" s="156">
        <f t="shared" si="0"/>
        <v>0</v>
      </c>
      <c r="J30" s="156"/>
      <c r="K30" s="334"/>
      <c r="L30" s="158">
        <f t="shared" si="1"/>
        <v>0</v>
      </c>
      <c r="M30" s="334"/>
      <c r="N30" s="158">
        <f t="shared" si="2"/>
        <v>0</v>
      </c>
      <c r="O30" s="158">
        <f t="shared" si="3"/>
        <v>0</v>
      </c>
      <c r="P30" s="4"/>
    </row>
    <row r="31" spans="2:16">
      <c r="B31" s="9" t="str">
        <f t="shared" si="7"/>
        <v/>
      </c>
      <c r="C31" s="153">
        <f>IF(D11="","-",+C30+1)</f>
        <v>2032</v>
      </c>
      <c r="D31" s="159">
        <f>IF(F30+SUM(E$17:E30)=D$10,F30,D$10-SUM(E$17:E30))</f>
        <v>6217701.6449234253</v>
      </c>
      <c r="E31" s="160">
        <f>IF(+I14&lt;F30,I14,D31)</f>
        <v>212837.20930232559</v>
      </c>
      <c r="F31" s="159">
        <f t="shared" si="4"/>
        <v>6004864.4356210995</v>
      </c>
      <c r="G31" s="161">
        <f t="shared" si="5"/>
        <v>821250.10196435126</v>
      </c>
      <c r="H31" s="142">
        <f t="shared" si="6"/>
        <v>821250.10196435126</v>
      </c>
      <c r="I31" s="156">
        <f t="shared" si="0"/>
        <v>0</v>
      </c>
      <c r="J31" s="156"/>
      <c r="K31" s="334"/>
      <c r="L31" s="158">
        <f t="shared" si="1"/>
        <v>0</v>
      </c>
      <c r="M31" s="334"/>
      <c r="N31" s="158">
        <f t="shared" si="2"/>
        <v>0</v>
      </c>
      <c r="O31" s="158">
        <f t="shared" si="3"/>
        <v>0</v>
      </c>
      <c r="P31" s="4"/>
    </row>
    <row r="32" spans="2:16">
      <c r="B32" s="9" t="str">
        <f t="shared" si="7"/>
        <v/>
      </c>
      <c r="C32" s="153">
        <f>IF(D11="","-",+C31+1)</f>
        <v>2033</v>
      </c>
      <c r="D32" s="159">
        <f>IF(F31+SUM(E$17:E31)=D$10,F31,D$10-SUM(E$17:E31))</f>
        <v>6004864.4356210995</v>
      </c>
      <c r="E32" s="160">
        <f>IF(+I14&lt;F31,I14,D32)</f>
        <v>212837.20930232559</v>
      </c>
      <c r="F32" s="159">
        <f t="shared" si="4"/>
        <v>5792027.2263187738</v>
      </c>
      <c r="G32" s="161">
        <f t="shared" si="5"/>
        <v>800060.95046794612</v>
      </c>
      <c r="H32" s="142">
        <f t="shared" si="6"/>
        <v>800060.95046794612</v>
      </c>
      <c r="I32" s="156">
        <f t="shared" si="0"/>
        <v>0</v>
      </c>
      <c r="J32" s="156"/>
      <c r="K32" s="334"/>
      <c r="L32" s="158">
        <f t="shared" si="1"/>
        <v>0</v>
      </c>
      <c r="M32" s="334"/>
      <c r="N32" s="158">
        <f t="shared" si="2"/>
        <v>0</v>
      </c>
      <c r="O32" s="158">
        <f t="shared" si="3"/>
        <v>0</v>
      </c>
      <c r="P32" s="4"/>
    </row>
    <row r="33" spans="2:16">
      <c r="B33" s="9" t="str">
        <f t="shared" si="7"/>
        <v/>
      </c>
      <c r="C33" s="153">
        <f>IF(D11="","-",+C32+1)</f>
        <v>2034</v>
      </c>
      <c r="D33" s="159">
        <f>IF(F32+SUM(E$17:E32)=D$10,F32,D$10-SUM(E$17:E32))</f>
        <v>5792027.2263187738</v>
      </c>
      <c r="E33" s="160">
        <f>IF(+I14&lt;F32,I14,D33)</f>
        <v>212837.20930232559</v>
      </c>
      <c r="F33" s="159">
        <f t="shared" si="4"/>
        <v>5579190.0170164481</v>
      </c>
      <c r="G33" s="161">
        <f t="shared" si="5"/>
        <v>778871.79897154076</v>
      </c>
      <c r="H33" s="142">
        <f t="shared" si="6"/>
        <v>778871.79897154076</v>
      </c>
      <c r="I33" s="156">
        <f t="shared" si="0"/>
        <v>0</v>
      </c>
      <c r="J33" s="156"/>
      <c r="K33" s="334"/>
      <c r="L33" s="158">
        <f t="shared" si="1"/>
        <v>0</v>
      </c>
      <c r="M33" s="334"/>
      <c r="N33" s="158">
        <f t="shared" si="2"/>
        <v>0</v>
      </c>
      <c r="O33" s="158">
        <f t="shared" si="3"/>
        <v>0</v>
      </c>
      <c r="P33" s="4"/>
    </row>
    <row r="34" spans="2:16">
      <c r="B34" s="9" t="str">
        <f t="shared" si="7"/>
        <v/>
      </c>
      <c r="C34" s="153">
        <f>IF(D11="","-",+C33+1)</f>
        <v>2035</v>
      </c>
      <c r="D34" s="159">
        <f>IF(F33+SUM(E$17:E33)=D$10,F33,D$10-SUM(E$17:E33))</f>
        <v>5579190.0170164481</v>
      </c>
      <c r="E34" s="160">
        <f>IF(+I14&lt;F33,I14,D34)</f>
        <v>212837.20930232559</v>
      </c>
      <c r="F34" s="159">
        <f t="shared" si="4"/>
        <v>5366352.8077141223</v>
      </c>
      <c r="G34" s="161">
        <f t="shared" si="5"/>
        <v>757682.64747513563</v>
      </c>
      <c r="H34" s="142">
        <f t="shared" si="6"/>
        <v>757682.64747513563</v>
      </c>
      <c r="I34" s="156">
        <f t="shared" si="0"/>
        <v>0</v>
      </c>
      <c r="J34" s="156"/>
      <c r="K34" s="334"/>
      <c r="L34" s="158">
        <f t="shared" si="1"/>
        <v>0</v>
      </c>
      <c r="M34" s="334"/>
      <c r="N34" s="158">
        <f t="shared" si="2"/>
        <v>0</v>
      </c>
      <c r="O34" s="158">
        <f t="shared" si="3"/>
        <v>0</v>
      </c>
      <c r="P34" s="4"/>
    </row>
    <row r="35" spans="2:16">
      <c r="B35" s="9" t="str">
        <f t="shared" si="7"/>
        <v/>
      </c>
      <c r="C35" s="153">
        <f>IF(D11="","-",+C34+1)</f>
        <v>2036</v>
      </c>
      <c r="D35" s="159">
        <f>IF(F34+SUM(E$17:E34)=D$10,F34,D$10-SUM(E$17:E34))</f>
        <v>5366352.8077141223</v>
      </c>
      <c r="E35" s="160">
        <f>IF(+I14&lt;F34,I14,D35)</f>
        <v>212837.20930232559</v>
      </c>
      <c r="F35" s="159">
        <f t="shared" si="4"/>
        <v>5153515.5984117966</v>
      </c>
      <c r="G35" s="161">
        <f t="shared" si="5"/>
        <v>736493.49597873027</v>
      </c>
      <c r="H35" s="142">
        <f t="shared" si="6"/>
        <v>736493.49597873027</v>
      </c>
      <c r="I35" s="156">
        <f t="shared" si="0"/>
        <v>0</v>
      </c>
      <c r="J35" s="156"/>
      <c r="K35" s="334"/>
      <c r="L35" s="158">
        <f t="shared" si="1"/>
        <v>0</v>
      </c>
      <c r="M35" s="334"/>
      <c r="N35" s="158">
        <f t="shared" si="2"/>
        <v>0</v>
      </c>
      <c r="O35" s="158">
        <f t="shared" si="3"/>
        <v>0</v>
      </c>
      <c r="P35" s="4"/>
    </row>
    <row r="36" spans="2:16">
      <c r="B36" s="9" t="str">
        <f t="shared" si="7"/>
        <v/>
      </c>
      <c r="C36" s="153">
        <f>IF(D11="","-",+C35+1)</f>
        <v>2037</v>
      </c>
      <c r="D36" s="159">
        <f>IF(F35+SUM(E$17:E35)=D$10,F35,D$10-SUM(E$17:E35))</f>
        <v>5153515.5984117966</v>
      </c>
      <c r="E36" s="160">
        <f>IF(+I14&lt;F35,I14,D36)</f>
        <v>212837.20930232559</v>
      </c>
      <c r="F36" s="159">
        <f t="shared" si="4"/>
        <v>4940678.3891094709</v>
      </c>
      <c r="G36" s="161">
        <f t="shared" si="5"/>
        <v>715304.34448232513</v>
      </c>
      <c r="H36" s="142">
        <f t="shared" si="6"/>
        <v>715304.34448232513</v>
      </c>
      <c r="I36" s="156">
        <f t="shared" si="0"/>
        <v>0</v>
      </c>
      <c r="J36" s="156"/>
      <c r="K36" s="334"/>
      <c r="L36" s="158">
        <f t="shared" si="1"/>
        <v>0</v>
      </c>
      <c r="M36" s="334"/>
      <c r="N36" s="158">
        <f t="shared" si="2"/>
        <v>0</v>
      </c>
      <c r="O36" s="158">
        <f t="shared" si="3"/>
        <v>0</v>
      </c>
      <c r="P36" s="4"/>
    </row>
    <row r="37" spans="2:16">
      <c r="B37" s="9" t="str">
        <f t="shared" si="7"/>
        <v/>
      </c>
      <c r="C37" s="153">
        <f>IF(D11="","-",+C36+1)</f>
        <v>2038</v>
      </c>
      <c r="D37" s="159">
        <f>IF(F36+SUM(E$17:E36)=D$10,F36,D$10-SUM(E$17:E36))</f>
        <v>4940678.3891094709</v>
      </c>
      <c r="E37" s="160">
        <f>IF(+I14&lt;F36,I14,D37)</f>
        <v>212837.20930232559</v>
      </c>
      <c r="F37" s="159">
        <f t="shared" si="4"/>
        <v>4727841.1798071451</v>
      </c>
      <c r="G37" s="161">
        <f t="shared" si="5"/>
        <v>694115.19298591977</v>
      </c>
      <c r="H37" s="142">
        <f t="shared" si="6"/>
        <v>694115.19298591977</v>
      </c>
      <c r="I37" s="156">
        <f t="shared" si="0"/>
        <v>0</v>
      </c>
      <c r="J37" s="156"/>
      <c r="K37" s="334"/>
      <c r="L37" s="158">
        <f t="shared" si="1"/>
        <v>0</v>
      </c>
      <c r="M37" s="334"/>
      <c r="N37" s="158">
        <f t="shared" si="2"/>
        <v>0</v>
      </c>
      <c r="O37" s="158">
        <f t="shared" si="3"/>
        <v>0</v>
      </c>
      <c r="P37" s="4"/>
    </row>
    <row r="38" spans="2:16">
      <c r="B38" s="9" t="str">
        <f t="shared" si="7"/>
        <v/>
      </c>
      <c r="C38" s="153">
        <f>IF(D11="","-",+C37+1)</f>
        <v>2039</v>
      </c>
      <c r="D38" s="159">
        <f>IF(F37+SUM(E$17:E37)=D$10,F37,D$10-SUM(E$17:E37))</f>
        <v>4727841.1798071451</v>
      </c>
      <c r="E38" s="160">
        <f>IF(+I14&lt;F37,I14,D38)</f>
        <v>212837.20930232559</v>
      </c>
      <c r="F38" s="159">
        <f t="shared" si="4"/>
        <v>4515003.9705048194</v>
      </c>
      <c r="G38" s="161">
        <f t="shared" si="5"/>
        <v>672926.04148951464</v>
      </c>
      <c r="H38" s="142">
        <f t="shared" si="6"/>
        <v>672926.04148951464</v>
      </c>
      <c r="I38" s="156">
        <f t="shared" si="0"/>
        <v>0</v>
      </c>
      <c r="J38" s="156"/>
      <c r="K38" s="334"/>
      <c r="L38" s="158">
        <f t="shared" si="1"/>
        <v>0</v>
      </c>
      <c r="M38" s="334"/>
      <c r="N38" s="158">
        <f t="shared" si="2"/>
        <v>0</v>
      </c>
      <c r="O38" s="158">
        <f t="shared" si="3"/>
        <v>0</v>
      </c>
      <c r="P38" s="4"/>
    </row>
    <row r="39" spans="2:16">
      <c r="B39" s="9" t="str">
        <f t="shared" si="7"/>
        <v/>
      </c>
      <c r="C39" s="153">
        <f>IF(D11="","-",+C38+1)</f>
        <v>2040</v>
      </c>
      <c r="D39" s="159">
        <f>IF(F38+SUM(E$17:E38)=D$10,F38,D$10-SUM(E$17:E38))</f>
        <v>4515003.9705048194</v>
      </c>
      <c r="E39" s="160">
        <f>IF(+I14&lt;F38,I14,D39)</f>
        <v>212837.20930232559</v>
      </c>
      <c r="F39" s="159">
        <f t="shared" si="4"/>
        <v>4302166.7612024937</v>
      </c>
      <c r="G39" s="161">
        <f t="shared" si="5"/>
        <v>651736.88999310927</v>
      </c>
      <c r="H39" s="142">
        <f t="shared" si="6"/>
        <v>651736.88999310927</v>
      </c>
      <c r="I39" s="156">
        <f t="shared" si="0"/>
        <v>0</v>
      </c>
      <c r="J39" s="156"/>
      <c r="K39" s="334"/>
      <c r="L39" s="158">
        <f t="shared" si="1"/>
        <v>0</v>
      </c>
      <c r="M39" s="334"/>
      <c r="N39" s="158">
        <f t="shared" si="2"/>
        <v>0</v>
      </c>
      <c r="O39" s="158">
        <f t="shared" si="3"/>
        <v>0</v>
      </c>
      <c r="P39" s="4"/>
    </row>
    <row r="40" spans="2:16">
      <c r="B40" s="9" t="str">
        <f t="shared" si="7"/>
        <v/>
      </c>
      <c r="C40" s="153">
        <f>IF(D11="","-",+C39+1)</f>
        <v>2041</v>
      </c>
      <c r="D40" s="159">
        <f>IF(F39+SUM(E$17:E39)=D$10,F39,D$10-SUM(E$17:E39))</f>
        <v>4302166.7612024937</v>
      </c>
      <c r="E40" s="160">
        <f>IF(+I14&lt;F39,I14,D40)</f>
        <v>212837.20930232559</v>
      </c>
      <c r="F40" s="159">
        <f t="shared" si="4"/>
        <v>4089329.5519001679</v>
      </c>
      <c r="G40" s="161">
        <f t="shared" si="5"/>
        <v>630547.73849670414</v>
      </c>
      <c r="H40" s="142">
        <f t="shared" si="6"/>
        <v>630547.73849670414</v>
      </c>
      <c r="I40" s="156">
        <f t="shared" si="0"/>
        <v>0</v>
      </c>
      <c r="J40" s="156"/>
      <c r="K40" s="334"/>
      <c r="L40" s="158">
        <f t="shared" si="1"/>
        <v>0</v>
      </c>
      <c r="M40" s="334"/>
      <c r="N40" s="158">
        <f t="shared" si="2"/>
        <v>0</v>
      </c>
      <c r="O40" s="158">
        <f t="shared" si="3"/>
        <v>0</v>
      </c>
      <c r="P40" s="4"/>
    </row>
    <row r="41" spans="2:16">
      <c r="B41" s="9" t="str">
        <f t="shared" si="7"/>
        <v/>
      </c>
      <c r="C41" s="153">
        <f>IF(D11="","-",+C40+1)</f>
        <v>2042</v>
      </c>
      <c r="D41" s="159">
        <f>IF(F40+SUM(E$17:E40)=D$10,F40,D$10-SUM(E$17:E40))</f>
        <v>4089329.5519001679</v>
      </c>
      <c r="E41" s="160">
        <f>IF(+I14&lt;F40,I14,D41)</f>
        <v>212837.20930232559</v>
      </c>
      <c r="F41" s="159">
        <f t="shared" si="4"/>
        <v>3876492.3425978422</v>
      </c>
      <c r="G41" s="161">
        <f t="shared" si="5"/>
        <v>609358.5870002989</v>
      </c>
      <c r="H41" s="142">
        <f t="shared" si="6"/>
        <v>609358.5870002989</v>
      </c>
      <c r="I41" s="156">
        <f t="shared" si="0"/>
        <v>0</v>
      </c>
      <c r="J41" s="156"/>
      <c r="K41" s="334"/>
      <c r="L41" s="158">
        <f t="shared" si="1"/>
        <v>0</v>
      </c>
      <c r="M41" s="334"/>
      <c r="N41" s="158">
        <f t="shared" si="2"/>
        <v>0</v>
      </c>
      <c r="O41" s="158">
        <f t="shared" si="3"/>
        <v>0</v>
      </c>
      <c r="P41" s="4"/>
    </row>
    <row r="42" spans="2:16">
      <c r="B42" s="9" t="str">
        <f t="shared" si="7"/>
        <v/>
      </c>
      <c r="C42" s="153">
        <f>IF(D11="","-",+C41+1)</f>
        <v>2043</v>
      </c>
      <c r="D42" s="159">
        <f>IF(F41+SUM(E$17:E41)=D$10,F41,D$10-SUM(E$17:E41))</f>
        <v>3876492.3425978422</v>
      </c>
      <c r="E42" s="160">
        <f>IF(+I14&lt;F41,I14,D42)</f>
        <v>212837.20930232559</v>
      </c>
      <c r="F42" s="159">
        <f t="shared" si="4"/>
        <v>3663655.1332955165</v>
      </c>
      <c r="G42" s="161">
        <f t="shared" si="5"/>
        <v>588169.43550389365</v>
      </c>
      <c r="H42" s="142">
        <f t="shared" si="6"/>
        <v>588169.43550389365</v>
      </c>
      <c r="I42" s="156">
        <f t="shared" si="0"/>
        <v>0</v>
      </c>
      <c r="J42" s="156"/>
      <c r="K42" s="334"/>
      <c r="L42" s="158">
        <f t="shared" si="1"/>
        <v>0</v>
      </c>
      <c r="M42" s="334"/>
      <c r="N42" s="158">
        <f t="shared" si="2"/>
        <v>0</v>
      </c>
      <c r="O42" s="158">
        <f t="shared" si="3"/>
        <v>0</v>
      </c>
      <c r="P42" s="4"/>
    </row>
    <row r="43" spans="2:16">
      <c r="B43" s="9" t="str">
        <f t="shared" si="7"/>
        <v/>
      </c>
      <c r="C43" s="153">
        <f>IF(D11="","-",+C42+1)</f>
        <v>2044</v>
      </c>
      <c r="D43" s="159">
        <f>IF(F42+SUM(E$17:E42)=D$10,F42,D$10-SUM(E$17:E42))</f>
        <v>3663655.1332955165</v>
      </c>
      <c r="E43" s="160">
        <f>IF(+I14&lt;F42,I14,D43)</f>
        <v>212837.20930232559</v>
      </c>
      <c r="F43" s="159">
        <f t="shared" si="4"/>
        <v>3450817.9239931908</v>
      </c>
      <c r="G43" s="161">
        <f t="shared" si="5"/>
        <v>566980.2840074884</v>
      </c>
      <c r="H43" s="142">
        <f t="shared" si="6"/>
        <v>566980.2840074884</v>
      </c>
      <c r="I43" s="156">
        <f t="shared" si="0"/>
        <v>0</v>
      </c>
      <c r="J43" s="156"/>
      <c r="K43" s="334"/>
      <c r="L43" s="158">
        <f t="shared" si="1"/>
        <v>0</v>
      </c>
      <c r="M43" s="334"/>
      <c r="N43" s="158">
        <f t="shared" si="2"/>
        <v>0</v>
      </c>
      <c r="O43" s="158">
        <f t="shared" si="3"/>
        <v>0</v>
      </c>
      <c r="P43" s="4"/>
    </row>
    <row r="44" spans="2:16">
      <c r="B44" s="9" t="str">
        <f t="shared" si="7"/>
        <v/>
      </c>
      <c r="C44" s="153">
        <f>IF(D11="","-",+C43+1)</f>
        <v>2045</v>
      </c>
      <c r="D44" s="159">
        <f>IF(F43+SUM(E$17:E43)=D$10,F43,D$10-SUM(E$17:E43))</f>
        <v>3450817.9239931908</v>
      </c>
      <c r="E44" s="160">
        <f>IF(+I14&lt;F43,I14,D44)</f>
        <v>212837.20930232559</v>
      </c>
      <c r="F44" s="159">
        <f t="shared" si="4"/>
        <v>3237980.714690865</v>
      </c>
      <c r="G44" s="161">
        <f t="shared" si="5"/>
        <v>545791.13251108315</v>
      </c>
      <c r="H44" s="142">
        <f t="shared" si="6"/>
        <v>545791.13251108315</v>
      </c>
      <c r="I44" s="156">
        <f t="shared" si="0"/>
        <v>0</v>
      </c>
      <c r="J44" s="156"/>
      <c r="K44" s="334"/>
      <c r="L44" s="158">
        <f t="shared" si="1"/>
        <v>0</v>
      </c>
      <c r="M44" s="334"/>
      <c r="N44" s="158">
        <f t="shared" si="2"/>
        <v>0</v>
      </c>
      <c r="O44" s="158">
        <f t="shared" si="3"/>
        <v>0</v>
      </c>
      <c r="P44" s="4"/>
    </row>
    <row r="45" spans="2:16">
      <c r="B45" s="9" t="str">
        <f t="shared" si="7"/>
        <v/>
      </c>
      <c r="C45" s="153">
        <f>IF(D11="","-",+C44+1)</f>
        <v>2046</v>
      </c>
      <c r="D45" s="159">
        <f>IF(F44+SUM(E$17:E44)=D$10,F44,D$10-SUM(E$17:E44))</f>
        <v>3237980.714690865</v>
      </c>
      <c r="E45" s="160">
        <f>IF(+I14&lt;F44,I14,D45)</f>
        <v>212837.20930232559</v>
      </c>
      <c r="F45" s="159">
        <f t="shared" si="4"/>
        <v>3025143.5053885393</v>
      </c>
      <c r="G45" s="161">
        <f t="shared" si="5"/>
        <v>524601.98101467791</v>
      </c>
      <c r="H45" s="142">
        <f t="shared" si="6"/>
        <v>524601.98101467791</v>
      </c>
      <c r="I45" s="156">
        <f t="shared" si="0"/>
        <v>0</v>
      </c>
      <c r="J45" s="156"/>
      <c r="K45" s="334"/>
      <c r="L45" s="158">
        <f t="shared" si="1"/>
        <v>0</v>
      </c>
      <c r="M45" s="334"/>
      <c r="N45" s="158">
        <f t="shared" si="2"/>
        <v>0</v>
      </c>
      <c r="O45" s="158">
        <f t="shared" si="3"/>
        <v>0</v>
      </c>
      <c r="P45" s="4"/>
    </row>
    <row r="46" spans="2:16">
      <c r="B46" s="9" t="str">
        <f t="shared" si="7"/>
        <v/>
      </c>
      <c r="C46" s="153">
        <f>IF(D11="","-",+C45+1)</f>
        <v>2047</v>
      </c>
      <c r="D46" s="159">
        <f>IF(F45+SUM(E$17:E45)=D$10,F45,D$10-SUM(E$17:E45))</f>
        <v>3025143.5053885393</v>
      </c>
      <c r="E46" s="160">
        <f>IF(+I14&lt;F45,I14,D46)</f>
        <v>212837.20930232559</v>
      </c>
      <c r="F46" s="159">
        <f t="shared" si="4"/>
        <v>2812306.2960862136</v>
      </c>
      <c r="G46" s="161">
        <f t="shared" si="5"/>
        <v>503412.82951827266</v>
      </c>
      <c r="H46" s="142">
        <f t="shared" si="6"/>
        <v>503412.82951827266</v>
      </c>
      <c r="I46" s="156">
        <f t="shared" si="0"/>
        <v>0</v>
      </c>
      <c r="J46" s="156"/>
      <c r="K46" s="334"/>
      <c r="L46" s="158">
        <f t="shared" si="1"/>
        <v>0</v>
      </c>
      <c r="M46" s="334"/>
      <c r="N46" s="158">
        <f t="shared" si="2"/>
        <v>0</v>
      </c>
      <c r="O46" s="158">
        <f t="shared" si="3"/>
        <v>0</v>
      </c>
      <c r="P46" s="4"/>
    </row>
    <row r="47" spans="2:16">
      <c r="B47" s="9" t="str">
        <f t="shared" si="7"/>
        <v/>
      </c>
      <c r="C47" s="153">
        <f>IF(D11="","-",+C46+1)</f>
        <v>2048</v>
      </c>
      <c r="D47" s="159">
        <f>IF(F46+SUM(E$17:E46)=D$10,F46,D$10-SUM(E$17:E46))</f>
        <v>2812306.2960862136</v>
      </c>
      <c r="E47" s="160">
        <f>IF(+I14&lt;F46,I14,D47)</f>
        <v>212837.20930232559</v>
      </c>
      <c r="F47" s="159">
        <f t="shared" si="4"/>
        <v>2599469.0867838878</v>
      </c>
      <c r="G47" s="161">
        <f t="shared" si="5"/>
        <v>482223.67802186741</v>
      </c>
      <c r="H47" s="142">
        <f t="shared" si="6"/>
        <v>482223.67802186741</v>
      </c>
      <c r="I47" s="156">
        <f t="shared" si="0"/>
        <v>0</v>
      </c>
      <c r="J47" s="156"/>
      <c r="K47" s="334"/>
      <c r="L47" s="158">
        <f t="shared" si="1"/>
        <v>0</v>
      </c>
      <c r="M47" s="334"/>
      <c r="N47" s="158">
        <f t="shared" si="2"/>
        <v>0</v>
      </c>
      <c r="O47" s="158">
        <f t="shared" si="3"/>
        <v>0</v>
      </c>
      <c r="P47" s="4"/>
    </row>
    <row r="48" spans="2:16">
      <c r="B48" s="9" t="str">
        <f t="shared" si="7"/>
        <v/>
      </c>
      <c r="C48" s="153">
        <f>IF(D11="","-",+C47+1)</f>
        <v>2049</v>
      </c>
      <c r="D48" s="159">
        <f>IF(F47+SUM(E$17:E47)=D$10,F47,D$10-SUM(E$17:E47))</f>
        <v>2599469.0867838878</v>
      </c>
      <c r="E48" s="160">
        <f>IF(+I14&lt;F47,I14,D48)</f>
        <v>212837.20930232559</v>
      </c>
      <c r="F48" s="159">
        <f t="shared" si="4"/>
        <v>2386631.8774815621</v>
      </c>
      <c r="G48" s="161">
        <f t="shared" si="5"/>
        <v>461034.52652546216</v>
      </c>
      <c r="H48" s="142">
        <f t="shared" si="6"/>
        <v>461034.52652546216</v>
      </c>
      <c r="I48" s="156">
        <f t="shared" si="0"/>
        <v>0</v>
      </c>
      <c r="J48" s="156"/>
      <c r="K48" s="334"/>
      <c r="L48" s="158">
        <f t="shared" si="1"/>
        <v>0</v>
      </c>
      <c r="M48" s="334"/>
      <c r="N48" s="158">
        <f t="shared" si="2"/>
        <v>0</v>
      </c>
      <c r="O48" s="158">
        <f t="shared" si="3"/>
        <v>0</v>
      </c>
      <c r="P48" s="4"/>
    </row>
    <row r="49" spans="2:16">
      <c r="B49" s="9" t="str">
        <f t="shared" si="7"/>
        <v/>
      </c>
      <c r="C49" s="153">
        <f>IF(D11="","-",+C48+1)</f>
        <v>2050</v>
      </c>
      <c r="D49" s="159">
        <f>IF(F48+SUM(E$17:E48)=D$10,F48,D$10-SUM(E$17:E48))</f>
        <v>2386631.8774815621</v>
      </c>
      <c r="E49" s="160">
        <f>IF(+I14&lt;F48,I14,D49)</f>
        <v>212837.20930232559</v>
      </c>
      <c r="F49" s="159">
        <f t="shared" si="4"/>
        <v>2173794.6681792364</v>
      </c>
      <c r="G49" s="161">
        <f t="shared" si="5"/>
        <v>439845.37502905692</v>
      </c>
      <c r="H49" s="142">
        <f t="shared" si="6"/>
        <v>439845.37502905692</v>
      </c>
      <c r="I49" s="156">
        <f t="shared" si="0"/>
        <v>0</v>
      </c>
      <c r="J49" s="156"/>
      <c r="K49" s="334"/>
      <c r="L49" s="158">
        <f t="shared" si="1"/>
        <v>0</v>
      </c>
      <c r="M49" s="334"/>
      <c r="N49" s="158">
        <f t="shared" si="2"/>
        <v>0</v>
      </c>
      <c r="O49" s="158">
        <f t="shared" si="3"/>
        <v>0</v>
      </c>
      <c r="P49" s="4"/>
    </row>
    <row r="50" spans="2:16">
      <c r="B50" s="9" t="str">
        <f t="shared" si="7"/>
        <v/>
      </c>
      <c r="C50" s="153">
        <f>IF(D11="","-",+C49+1)</f>
        <v>2051</v>
      </c>
      <c r="D50" s="159">
        <f>IF(F49+SUM(E$17:E49)=D$10,F49,D$10-SUM(E$17:E49))</f>
        <v>2173794.6681792364</v>
      </c>
      <c r="E50" s="160">
        <f>IF(+I14&lt;F49,I14,D50)</f>
        <v>212837.20930232559</v>
      </c>
      <c r="F50" s="159">
        <f t="shared" si="4"/>
        <v>1960957.4588769109</v>
      </c>
      <c r="G50" s="161">
        <f t="shared" si="5"/>
        <v>418656.22353265167</v>
      </c>
      <c r="H50" s="142">
        <f t="shared" si="6"/>
        <v>418656.22353265167</v>
      </c>
      <c r="I50" s="156">
        <f t="shared" si="0"/>
        <v>0</v>
      </c>
      <c r="J50" s="156"/>
      <c r="K50" s="334"/>
      <c r="L50" s="158">
        <f t="shared" si="1"/>
        <v>0</v>
      </c>
      <c r="M50" s="334"/>
      <c r="N50" s="158">
        <f t="shared" si="2"/>
        <v>0</v>
      </c>
      <c r="O50" s="158">
        <f t="shared" si="3"/>
        <v>0</v>
      </c>
      <c r="P50" s="4"/>
    </row>
    <row r="51" spans="2:16">
      <c r="B51" s="9" t="str">
        <f t="shared" si="7"/>
        <v/>
      </c>
      <c r="C51" s="153">
        <f>IF(D11="","-",+C50+1)</f>
        <v>2052</v>
      </c>
      <c r="D51" s="159">
        <f>IF(F50+SUM(E$17:E50)=D$10,F50,D$10-SUM(E$17:E50))</f>
        <v>1960957.4588769109</v>
      </c>
      <c r="E51" s="160">
        <f>IF(+I14&lt;F50,I14,D51)</f>
        <v>212837.20930232559</v>
      </c>
      <c r="F51" s="159">
        <f t="shared" si="4"/>
        <v>1748120.2495745854</v>
      </c>
      <c r="G51" s="161">
        <f t="shared" si="5"/>
        <v>397467.07203624642</v>
      </c>
      <c r="H51" s="142">
        <f t="shared" si="6"/>
        <v>397467.07203624642</v>
      </c>
      <c r="I51" s="156">
        <f t="shared" si="0"/>
        <v>0</v>
      </c>
      <c r="J51" s="156"/>
      <c r="K51" s="334"/>
      <c r="L51" s="158">
        <f t="shared" si="1"/>
        <v>0</v>
      </c>
      <c r="M51" s="334"/>
      <c r="N51" s="158">
        <f t="shared" si="2"/>
        <v>0</v>
      </c>
      <c r="O51" s="158">
        <f t="shared" si="3"/>
        <v>0</v>
      </c>
      <c r="P51" s="4"/>
    </row>
    <row r="52" spans="2:16">
      <c r="B52" s="9" t="str">
        <f t="shared" si="7"/>
        <v/>
      </c>
      <c r="C52" s="153">
        <f>IF(D11="","-",+C51+1)</f>
        <v>2053</v>
      </c>
      <c r="D52" s="159">
        <f>IF(F51+SUM(E$17:E51)=D$10,F51,D$10-SUM(E$17:E51))</f>
        <v>1748120.2495745854</v>
      </c>
      <c r="E52" s="160">
        <f>IF(+I14&lt;F51,I14,D52)</f>
        <v>212837.20930232559</v>
      </c>
      <c r="F52" s="159">
        <f t="shared" si="4"/>
        <v>1535283.0402722599</v>
      </c>
      <c r="G52" s="161">
        <f t="shared" si="5"/>
        <v>376277.92053984117</v>
      </c>
      <c r="H52" s="142">
        <f t="shared" si="6"/>
        <v>376277.92053984117</v>
      </c>
      <c r="I52" s="156">
        <f t="shared" si="0"/>
        <v>0</v>
      </c>
      <c r="J52" s="156"/>
      <c r="K52" s="334"/>
      <c r="L52" s="158">
        <f t="shared" si="1"/>
        <v>0</v>
      </c>
      <c r="M52" s="334"/>
      <c r="N52" s="158">
        <f t="shared" si="2"/>
        <v>0</v>
      </c>
      <c r="O52" s="158">
        <f t="shared" si="3"/>
        <v>0</v>
      </c>
      <c r="P52" s="4"/>
    </row>
    <row r="53" spans="2:16">
      <c r="B53" s="9" t="str">
        <f t="shared" si="7"/>
        <v/>
      </c>
      <c r="C53" s="153">
        <f>IF(D11="","-",+C52+1)</f>
        <v>2054</v>
      </c>
      <c r="D53" s="159">
        <f>IF(F52+SUM(E$17:E52)=D$10,F52,D$10-SUM(E$17:E52))</f>
        <v>1535283.0402722599</v>
      </c>
      <c r="E53" s="160">
        <f>IF(+I14&lt;F52,I14,D53)</f>
        <v>212837.20930232559</v>
      </c>
      <c r="F53" s="159">
        <f t="shared" si="4"/>
        <v>1322445.8309699344</v>
      </c>
      <c r="G53" s="161">
        <f t="shared" si="5"/>
        <v>355088.76904343598</v>
      </c>
      <c r="H53" s="142">
        <f t="shared" si="6"/>
        <v>355088.76904343598</v>
      </c>
      <c r="I53" s="156">
        <f t="shared" si="0"/>
        <v>0</v>
      </c>
      <c r="J53" s="156"/>
      <c r="K53" s="334"/>
      <c r="L53" s="158">
        <f t="shared" si="1"/>
        <v>0</v>
      </c>
      <c r="M53" s="334"/>
      <c r="N53" s="158">
        <f t="shared" si="2"/>
        <v>0</v>
      </c>
      <c r="O53" s="158">
        <f t="shared" si="3"/>
        <v>0</v>
      </c>
      <c r="P53" s="4"/>
    </row>
    <row r="54" spans="2:16">
      <c r="B54" s="9" t="str">
        <f t="shared" si="7"/>
        <v/>
      </c>
      <c r="C54" s="153">
        <f>IF(D11="","-",+C53+1)</f>
        <v>2055</v>
      </c>
      <c r="D54" s="159">
        <f>IF(F53+SUM(E$17:E53)=D$10,F53,D$10-SUM(E$17:E53))</f>
        <v>1322445.8309699344</v>
      </c>
      <c r="E54" s="160">
        <f>IF(+I14&lt;F53,I14,D54)</f>
        <v>212837.20930232559</v>
      </c>
      <c r="F54" s="159">
        <f t="shared" si="4"/>
        <v>1109608.6216676089</v>
      </c>
      <c r="G54" s="161">
        <f t="shared" si="5"/>
        <v>333899.61754703074</v>
      </c>
      <c r="H54" s="142">
        <f t="shared" si="6"/>
        <v>333899.61754703074</v>
      </c>
      <c r="I54" s="156">
        <f t="shared" si="0"/>
        <v>0</v>
      </c>
      <c r="J54" s="156"/>
      <c r="K54" s="334"/>
      <c r="L54" s="158">
        <f t="shared" si="1"/>
        <v>0</v>
      </c>
      <c r="M54" s="334"/>
      <c r="N54" s="158">
        <f t="shared" si="2"/>
        <v>0</v>
      </c>
      <c r="O54" s="158">
        <f t="shared" si="3"/>
        <v>0</v>
      </c>
      <c r="P54" s="4"/>
    </row>
    <row r="55" spans="2:16">
      <c r="B55" s="9" t="str">
        <f t="shared" si="7"/>
        <v/>
      </c>
      <c r="C55" s="153">
        <f>IF(D11="","-",+C54+1)</f>
        <v>2056</v>
      </c>
      <c r="D55" s="159">
        <f>IF(F54+SUM(E$17:E54)=D$10,F54,D$10-SUM(E$17:E54))</f>
        <v>1109608.6216676089</v>
      </c>
      <c r="E55" s="160">
        <f>IF(+I14&lt;F54,I14,D55)</f>
        <v>212837.20930232559</v>
      </c>
      <c r="F55" s="159">
        <f t="shared" si="4"/>
        <v>896771.41236528323</v>
      </c>
      <c r="G55" s="161">
        <f t="shared" si="5"/>
        <v>312710.46605062555</v>
      </c>
      <c r="H55" s="142">
        <f t="shared" si="6"/>
        <v>312710.46605062555</v>
      </c>
      <c r="I55" s="156">
        <f t="shared" si="0"/>
        <v>0</v>
      </c>
      <c r="J55" s="156"/>
      <c r="K55" s="334"/>
      <c r="L55" s="158">
        <f t="shared" si="1"/>
        <v>0</v>
      </c>
      <c r="M55" s="334"/>
      <c r="N55" s="158">
        <f t="shared" si="2"/>
        <v>0</v>
      </c>
      <c r="O55" s="158">
        <f t="shared" si="3"/>
        <v>0</v>
      </c>
      <c r="P55" s="4"/>
    </row>
    <row r="56" spans="2:16">
      <c r="B56" s="9" t="str">
        <f t="shared" si="7"/>
        <v/>
      </c>
      <c r="C56" s="153">
        <f>IF(D11="","-",+C55+1)</f>
        <v>2057</v>
      </c>
      <c r="D56" s="159">
        <f>IF(F55+SUM(E$17:E55)=D$10,F55,D$10-SUM(E$17:E55))</f>
        <v>896771.41236528323</v>
      </c>
      <c r="E56" s="160">
        <f>IF(+I14&lt;F55,I14,D56)</f>
        <v>212837.20930232559</v>
      </c>
      <c r="F56" s="159">
        <f t="shared" si="4"/>
        <v>683934.20306295762</v>
      </c>
      <c r="G56" s="161">
        <f t="shared" si="5"/>
        <v>291521.3145542203</v>
      </c>
      <c r="H56" s="142">
        <f t="shared" si="6"/>
        <v>291521.3145542203</v>
      </c>
      <c r="I56" s="156">
        <f t="shared" si="0"/>
        <v>0</v>
      </c>
      <c r="J56" s="156"/>
      <c r="K56" s="334"/>
      <c r="L56" s="158">
        <f t="shared" si="1"/>
        <v>0</v>
      </c>
      <c r="M56" s="334"/>
      <c r="N56" s="158">
        <f t="shared" si="2"/>
        <v>0</v>
      </c>
      <c r="O56" s="158">
        <f t="shared" si="3"/>
        <v>0</v>
      </c>
      <c r="P56" s="4"/>
    </row>
    <row r="57" spans="2:16">
      <c r="B57" s="9" t="str">
        <f t="shared" si="7"/>
        <v/>
      </c>
      <c r="C57" s="153">
        <f>IF(D11="","-",+C56+1)</f>
        <v>2058</v>
      </c>
      <c r="D57" s="159">
        <f>IF(F56+SUM(E$17:E56)=D$10,F56,D$10-SUM(E$17:E56))</f>
        <v>683934.20306295762</v>
      </c>
      <c r="E57" s="160">
        <f>IF(+I14&lt;F56,I14,D57)</f>
        <v>212837.20930232559</v>
      </c>
      <c r="F57" s="159">
        <f t="shared" si="4"/>
        <v>471096.993760632</v>
      </c>
      <c r="G57" s="161">
        <f t="shared" si="5"/>
        <v>270332.16305781505</v>
      </c>
      <c r="H57" s="142">
        <f t="shared" si="6"/>
        <v>270332.16305781505</v>
      </c>
      <c r="I57" s="156">
        <f t="shared" si="0"/>
        <v>0</v>
      </c>
      <c r="J57" s="156"/>
      <c r="K57" s="334"/>
      <c r="L57" s="158">
        <f t="shared" si="1"/>
        <v>0</v>
      </c>
      <c r="M57" s="334"/>
      <c r="N57" s="158">
        <f t="shared" si="2"/>
        <v>0</v>
      </c>
      <c r="O57" s="158">
        <f t="shared" si="3"/>
        <v>0</v>
      </c>
      <c r="P57" s="4"/>
    </row>
    <row r="58" spans="2:16">
      <c r="B58" s="9" t="str">
        <f t="shared" si="7"/>
        <v/>
      </c>
      <c r="C58" s="153">
        <f>IF(D11="","-",+C57+1)</f>
        <v>2059</v>
      </c>
      <c r="D58" s="159">
        <f>IF(F57+SUM(E$17:E57)=D$10,F57,D$10-SUM(E$17:E57))</f>
        <v>471096.993760632</v>
      </c>
      <c r="E58" s="160">
        <f>IF(+I14&lt;F57,I14,D58)</f>
        <v>212837.20930232559</v>
      </c>
      <c r="F58" s="159">
        <f t="shared" si="4"/>
        <v>258259.78445830641</v>
      </c>
      <c r="G58" s="161">
        <f t="shared" si="5"/>
        <v>249143.01156140983</v>
      </c>
      <c r="H58" s="142">
        <f t="shared" si="6"/>
        <v>249143.01156140983</v>
      </c>
      <c r="I58" s="156">
        <f t="shared" si="0"/>
        <v>0</v>
      </c>
      <c r="J58" s="156"/>
      <c r="K58" s="334"/>
      <c r="L58" s="158">
        <f t="shared" si="1"/>
        <v>0</v>
      </c>
      <c r="M58" s="334"/>
      <c r="N58" s="158">
        <f t="shared" si="2"/>
        <v>0</v>
      </c>
      <c r="O58" s="158">
        <f t="shared" si="3"/>
        <v>0</v>
      </c>
      <c r="P58" s="4"/>
    </row>
    <row r="59" spans="2:16">
      <c r="B59" s="9" t="str">
        <f t="shared" si="7"/>
        <v/>
      </c>
      <c r="C59" s="153">
        <f>IF(D11="","-",+C58+1)</f>
        <v>2060</v>
      </c>
      <c r="D59" s="159">
        <f>IF(F58+SUM(E$17:E58)=D$10,F58,D$10-SUM(E$17:E58))</f>
        <v>258259.78445830641</v>
      </c>
      <c r="E59" s="160">
        <f>IF(+I14&lt;F58,I14,D59)</f>
        <v>212837.20930232559</v>
      </c>
      <c r="F59" s="159">
        <f t="shared" si="4"/>
        <v>45422.575155980827</v>
      </c>
      <c r="G59" s="161">
        <f t="shared" si="5"/>
        <v>227953.86006500461</v>
      </c>
      <c r="H59" s="142">
        <f t="shared" si="6"/>
        <v>227953.86006500461</v>
      </c>
      <c r="I59" s="156">
        <f t="shared" si="0"/>
        <v>0</v>
      </c>
      <c r="J59" s="156"/>
      <c r="K59" s="334"/>
      <c r="L59" s="158">
        <f t="shared" si="1"/>
        <v>0</v>
      </c>
      <c r="M59" s="334"/>
      <c r="N59" s="158">
        <f t="shared" si="2"/>
        <v>0</v>
      </c>
      <c r="O59" s="158">
        <f t="shared" si="3"/>
        <v>0</v>
      </c>
      <c r="P59" s="4"/>
    </row>
    <row r="60" spans="2:16">
      <c r="B60" s="9" t="str">
        <f t="shared" si="7"/>
        <v/>
      </c>
      <c r="C60" s="153">
        <f>IF(D11="","-",+C59+1)</f>
        <v>2061</v>
      </c>
      <c r="D60" s="159">
        <f>IF(F59+SUM(E$17:E59)=D$10,F59,D$10-SUM(E$17:E59))</f>
        <v>45422.575155980827</v>
      </c>
      <c r="E60" s="160">
        <f>IF(+I14&lt;F59,I14,D60)</f>
        <v>45422.575155980827</v>
      </c>
      <c r="F60" s="159">
        <f t="shared" si="4"/>
        <v>0</v>
      </c>
      <c r="G60" s="161">
        <f t="shared" si="5"/>
        <v>47683.612663219028</v>
      </c>
      <c r="H60" s="142">
        <f t="shared" si="6"/>
        <v>47683.612663219028</v>
      </c>
      <c r="I60" s="156">
        <f t="shared" si="0"/>
        <v>0</v>
      </c>
      <c r="J60" s="156"/>
      <c r="K60" s="334"/>
      <c r="L60" s="158">
        <f t="shared" si="1"/>
        <v>0</v>
      </c>
      <c r="M60" s="334"/>
      <c r="N60" s="158">
        <f t="shared" si="2"/>
        <v>0</v>
      </c>
      <c r="O60" s="158">
        <f t="shared" si="3"/>
        <v>0</v>
      </c>
      <c r="P60" s="4"/>
    </row>
    <row r="61" spans="2:16">
      <c r="B61" s="9" t="str">
        <f t="shared" si="7"/>
        <v/>
      </c>
      <c r="C61" s="153">
        <f>IF(D11="","-",+C60+1)</f>
        <v>2062</v>
      </c>
      <c r="D61" s="159">
        <f>IF(F60+SUM(E$17:E60)=D$10,F60,D$10-SUM(E$17:E60))</f>
        <v>0</v>
      </c>
      <c r="E61" s="160">
        <f>IF(+I14&lt;F60,I14,D61)</f>
        <v>0</v>
      </c>
      <c r="F61" s="159">
        <f t="shared" si="4"/>
        <v>0</v>
      </c>
      <c r="G61" s="163">
        <f t="shared" si="5"/>
        <v>0</v>
      </c>
      <c r="H61" s="142">
        <f t="shared" si="6"/>
        <v>0</v>
      </c>
      <c r="I61" s="156">
        <f t="shared" si="0"/>
        <v>0</v>
      </c>
      <c r="J61" s="156"/>
      <c r="K61" s="334"/>
      <c r="L61" s="158">
        <f t="shared" si="1"/>
        <v>0</v>
      </c>
      <c r="M61" s="334"/>
      <c r="N61" s="158">
        <f t="shared" si="2"/>
        <v>0</v>
      </c>
      <c r="O61" s="158">
        <f t="shared" si="3"/>
        <v>0</v>
      </c>
      <c r="P61" s="4"/>
    </row>
    <row r="62" spans="2:16">
      <c r="B62" s="9" t="str">
        <f t="shared" si="7"/>
        <v/>
      </c>
      <c r="C62" s="153">
        <f>IF(D11="","-",+C61+1)</f>
        <v>2063</v>
      </c>
      <c r="D62" s="159">
        <f>IF(F61+SUM(E$17:E61)=D$10,F61,D$10-SUM(E$17:E61))</f>
        <v>0</v>
      </c>
      <c r="E62" s="160">
        <f>IF(+I14&lt;F61,I14,D62)</f>
        <v>0</v>
      </c>
      <c r="F62" s="159">
        <f t="shared" si="4"/>
        <v>0</v>
      </c>
      <c r="G62" s="163">
        <f t="shared" si="5"/>
        <v>0</v>
      </c>
      <c r="H62" s="142">
        <f t="shared" si="6"/>
        <v>0</v>
      </c>
      <c r="I62" s="156">
        <f t="shared" si="0"/>
        <v>0</v>
      </c>
      <c r="J62" s="156"/>
      <c r="K62" s="334"/>
      <c r="L62" s="158">
        <f t="shared" si="1"/>
        <v>0</v>
      </c>
      <c r="M62" s="334"/>
      <c r="N62" s="158">
        <f t="shared" si="2"/>
        <v>0</v>
      </c>
      <c r="O62" s="158">
        <f t="shared" si="3"/>
        <v>0</v>
      </c>
      <c r="P62" s="4"/>
    </row>
    <row r="63" spans="2:16">
      <c r="B63" s="9" t="str">
        <f t="shared" si="7"/>
        <v/>
      </c>
      <c r="C63" s="153">
        <f>IF(D11="","-",+C62+1)</f>
        <v>2064</v>
      </c>
      <c r="D63" s="159">
        <f>IF(F62+SUM(E$17:E62)=D$10,F62,D$10-SUM(E$17:E62))</f>
        <v>0</v>
      </c>
      <c r="E63" s="160">
        <f>IF(+I14&lt;F62,I14,D63)</f>
        <v>0</v>
      </c>
      <c r="F63" s="159">
        <f t="shared" si="4"/>
        <v>0</v>
      </c>
      <c r="G63" s="163">
        <f t="shared" si="5"/>
        <v>0</v>
      </c>
      <c r="H63" s="142">
        <f t="shared" si="6"/>
        <v>0</v>
      </c>
      <c r="I63" s="156">
        <f t="shared" si="0"/>
        <v>0</v>
      </c>
      <c r="J63" s="156"/>
      <c r="K63" s="334"/>
      <c r="L63" s="158">
        <f t="shared" si="1"/>
        <v>0</v>
      </c>
      <c r="M63" s="334"/>
      <c r="N63" s="158">
        <f t="shared" si="2"/>
        <v>0</v>
      </c>
      <c r="O63" s="158">
        <f t="shared" si="3"/>
        <v>0</v>
      </c>
      <c r="P63" s="4"/>
    </row>
    <row r="64" spans="2:16">
      <c r="B64" s="9" t="str">
        <f t="shared" si="7"/>
        <v/>
      </c>
      <c r="C64" s="153">
        <f>IF(D11="","-",+C63+1)</f>
        <v>2065</v>
      </c>
      <c r="D64" s="159">
        <f>IF(F63+SUM(E$17:E63)=D$10,F63,D$10-SUM(E$17:E63))</f>
        <v>0</v>
      </c>
      <c r="E64" s="160">
        <f>IF(+I14&lt;F63,I14,D64)</f>
        <v>0</v>
      </c>
      <c r="F64" s="159">
        <f t="shared" si="4"/>
        <v>0</v>
      </c>
      <c r="G64" s="163">
        <f t="shared" si="5"/>
        <v>0</v>
      </c>
      <c r="H64" s="142">
        <f t="shared" si="6"/>
        <v>0</v>
      </c>
      <c r="I64" s="156">
        <f t="shared" si="0"/>
        <v>0</v>
      </c>
      <c r="J64" s="156"/>
      <c r="K64" s="334"/>
      <c r="L64" s="158">
        <f t="shared" si="1"/>
        <v>0</v>
      </c>
      <c r="M64" s="334"/>
      <c r="N64" s="158">
        <f t="shared" si="2"/>
        <v>0</v>
      </c>
      <c r="O64" s="158">
        <f t="shared" si="3"/>
        <v>0</v>
      </c>
      <c r="P64" s="4"/>
    </row>
    <row r="65" spans="2:16">
      <c r="B65" s="9" t="str">
        <f t="shared" si="7"/>
        <v/>
      </c>
      <c r="C65" s="153">
        <f>IF(D11="","-",+C64+1)</f>
        <v>2066</v>
      </c>
      <c r="D65" s="159">
        <f>IF(F64+SUM(E$17:E64)=D$10,F64,D$10-SUM(E$17:E64))</f>
        <v>0</v>
      </c>
      <c r="E65" s="160">
        <f>IF(+I14&lt;F64,I14,D65)</f>
        <v>0</v>
      </c>
      <c r="F65" s="159">
        <f t="shared" si="4"/>
        <v>0</v>
      </c>
      <c r="G65" s="163">
        <f t="shared" si="5"/>
        <v>0</v>
      </c>
      <c r="H65" s="142">
        <f t="shared" si="6"/>
        <v>0</v>
      </c>
      <c r="I65" s="156">
        <f t="shared" si="0"/>
        <v>0</v>
      </c>
      <c r="J65" s="156"/>
      <c r="K65" s="334"/>
      <c r="L65" s="158">
        <f t="shared" si="1"/>
        <v>0</v>
      </c>
      <c r="M65" s="334"/>
      <c r="N65" s="158">
        <f t="shared" si="2"/>
        <v>0</v>
      </c>
      <c r="O65" s="158">
        <f t="shared" si="3"/>
        <v>0</v>
      </c>
      <c r="P65" s="4"/>
    </row>
    <row r="66" spans="2:16">
      <c r="B66" s="9" t="str">
        <f t="shared" si="7"/>
        <v/>
      </c>
      <c r="C66" s="153">
        <f>IF(D11="","-",+C65+1)</f>
        <v>2067</v>
      </c>
      <c r="D66" s="159">
        <f>IF(F65+SUM(E$17:E65)=D$10,F65,D$10-SUM(E$17:E65))</f>
        <v>0</v>
      </c>
      <c r="E66" s="160">
        <f>IF(+I14&lt;F65,I14,D66)</f>
        <v>0</v>
      </c>
      <c r="F66" s="159">
        <f t="shared" si="4"/>
        <v>0</v>
      </c>
      <c r="G66" s="163">
        <f t="shared" si="5"/>
        <v>0</v>
      </c>
      <c r="H66" s="142">
        <f t="shared" si="6"/>
        <v>0</v>
      </c>
      <c r="I66" s="156">
        <f t="shared" si="0"/>
        <v>0</v>
      </c>
      <c r="J66" s="156"/>
      <c r="K66" s="334"/>
      <c r="L66" s="158">
        <f t="shared" si="1"/>
        <v>0</v>
      </c>
      <c r="M66" s="334"/>
      <c r="N66" s="158">
        <f t="shared" si="2"/>
        <v>0</v>
      </c>
      <c r="O66" s="158">
        <f t="shared" si="3"/>
        <v>0</v>
      </c>
      <c r="P66" s="4"/>
    </row>
    <row r="67" spans="2:16">
      <c r="B67" s="9" t="str">
        <f t="shared" si="7"/>
        <v/>
      </c>
      <c r="C67" s="153">
        <f>IF(D11="","-",+C66+1)</f>
        <v>2068</v>
      </c>
      <c r="D67" s="159">
        <f>IF(F66+SUM(E$17:E66)=D$10,F66,D$10-SUM(E$17:E66))</f>
        <v>0</v>
      </c>
      <c r="E67" s="160">
        <f>IF(+I14&lt;F66,I14,D67)</f>
        <v>0</v>
      </c>
      <c r="F67" s="159">
        <f t="shared" si="4"/>
        <v>0</v>
      </c>
      <c r="G67" s="163">
        <f t="shared" si="5"/>
        <v>0</v>
      </c>
      <c r="H67" s="142">
        <f t="shared" si="6"/>
        <v>0</v>
      </c>
      <c r="I67" s="156">
        <f t="shared" si="0"/>
        <v>0</v>
      </c>
      <c r="J67" s="156"/>
      <c r="K67" s="334"/>
      <c r="L67" s="158">
        <f t="shared" si="1"/>
        <v>0</v>
      </c>
      <c r="M67" s="334"/>
      <c r="N67" s="158">
        <f t="shared" si="2"/>
        <v>0</v>
      </c>
      <c r="O67" s="158">
        <f t="shared" si="3"/>
        <v>0</v>
      </c>
      <c r="P67" s="4"/>
    </row>
    <row r="68" spans="2:16">
      <c r="B68" s="9" t="str">
        <f t="shared" si="7"/>
        <v/>
      </c>
      <c r="C68" s="153">
        <f>IF(D11="","-",+C67+1)</f>
        <v>2069</v>
      </c>
      <c r="D68" s="159">
        <f>IF(F67+SUM(E$17:E67)=D$10,F67,D$10-SUM(E$17:E67))</f>
        <v>0</v>
      </c>
      <c r="E68" s="160">
        <f>IF(+I14&lt;F67,I14,D68)</f>
        <v>0</v>
      </c>
      <c r="F68" s="159">
        <f t="shared" si="4"/>
        <v>0</v>
      </c>
      <c r="G68" s="163">
        <f t="shared" si="5"/>
        <v>0</v>
      </c>
      <c r="H68" s="142">
        <f t="shared" si="6"/>
        <v>0</v>
      </c>
      <c r="I68" s="156">
        <f t="shared" si="0"/>
        <v>0</v>
      </c>
      <c r="J68" s="156"/>
      <c r="K68" s="334"/>
      <c r="L68" s="158">
        <f t="shared" si="1"/>
        <v>0</v>
      </c>
      <c r="M68" s="334"/>
      <c r="N68" s="158">
        <f t="shared" si="2"/>
        <v>0</v>
      </c>
      <c r="O68" s="158">
        <f t="shared" si="3"/>
        <v>0</v>
      </c>
      <c r="P68" s="4"/>
    </row>
    <row r="69" spans="2:16">
      <c r="B69" s="9" t="str">
        <f t="shared" si="7"/>
        <v/>
      </c>
      <c r="C69" s="153">
        <f>IF(D11="","-",+C68+1)</f>
        <v>2070</v>
      </c>
      <c r="D69" s="159">
        <f>IF(F68+SUM(E$17:E68)=D$10,F68,D$10-SUM(E$17:E68))</f>
        <v>0</v>
      </c>
      <c r="E69" s="160">
        <f>IF(+I14&lt;F68,I14,D69)</f>
        <v>0</v>
      </c>
      <c r="F69" s="159">
        <f t="shared" si="4"/>
        <v>0</v>
      </c>
      <c r="G69" s="163">
        <f t="shared" si="5"/>
        <v>0</v>
      </c>
      <c r="H69" s="142">
        <f t="shared" si="6"/>
        <v>0</v>
      </c>
      <c r="I69" s="156">
        <f t="shared" si="0"/>
        <v>0</v>
      </c>
      <c r="J69" s="156"/>
      <c r="K69" s="334"/>
      <c r="L69" s="158">
        <f t="shared" si="1"/>
        <v>0</v>
      </c>
      <c r="M69" s="334"/>
      <c r="N69" s="158">
        <f t="shared" si="2"/>
        <v>0</v>
      </c>
      <c r="O69" s="158">
        <f t="shared" si="3"/>
        <v>0</v>
      </c>
      <c r="P69" s="4"/>
    </row>
    <row r="70" spans="2:16">
      <c r="B70" s="9" t="str">
        <f t="shared" si="7"/>
        <v/>
      </c>
      <c r="C70" s="153">
        <f>IF(D11="","-",+C69+1)</f>
        <v>2071</v>
      </c>
      <c r="D70" s="159">
        <f>IF(F69+SUM(E$17:E69)=D$10,F69,D$10-SUM(E$17:E69))</f>
        <v>0</v>
      </c>
      <c r="E70" s="160">
        <f>IF(+I14&lt;F69,I14,D70)</f>
        <v>0</v>
      </c>
      <c r="F70" s="159">
        <f t="shared" si="4"/>
        <v>0</v>
      </c>
      <c r="G70" s="163">
        <f t="shared" si="5"/>
        <v>0</v>
      </c>
      <c r="H70" s="142">
        <f t="shared" si="6"/>
        <v>0</v>
      </c>
      <c r="I70" s="156">
        <f t="shared" si="0"/>
        <v>0</v>
      </c>
      <c r="J70" s="156"/>
      <c r="K70" s="334"/>
      <c r="L70" s="158">
        <f t="shared" si="1"/>
        <v>0</v>
      </c>
      <c r="M70" s="334"/>
      <c r="N70" s="158">
        <f t="shared" si="2"/>
        <v>0</v>
      </c>
      <c r="O70" s="158">
        <f t="shared" si="3"/>
        <v>0</v>
      </c>
      <c r="P70" s="4"/>
    </row>
    <row r="71" spans="2:16">
      <c r="B71" s="9" t="str">
        <f t="shared" si="7"/>
        <v/>
      </c>
      <c r="C71" s="153">
        <f>IF(D11="","-",+C70+1)</f>
        <v>2072</v>
      </c>
      <c r="D71" s="159">
        <f>IF(F70+SUM(E$17:E70)=D$10,F70,D$10-SUM(E$17:E70))</f>
        <v>0</v>
      </c>
      <c r="E71" s="160">
        <f>IF(+I14&lt;F70,I14,D71)</f>
        <v>0</v>
      </c>
      <c r="F71" s="159">
        <f t="shared" si="4"/>
        <v>0</v>
      </c>
      <c r="G71" s="163">
        <f t="shared" si="5"/>
        <v>0</v>
      </c>
      <c r="H71" s="142">
        <f t="shared" si="6"/>
        <v>0</v>
      </c>
      <c r="I71" s="156">
        <f t="shared" si="0"/>
        <v>0</v>
      </c>
      <c r="J71" s="156"/>
      <c r="K71" s="334"/>
      <c r="L71" s="158">
        <f t="shared" si="1"/>
        <v>0</v>
      </c>
      <c r="M71" s="334"/>
      <c r="N71" s="158">
        <f t="shared" si="2"/>
        <v>0</v>
      </c>
      <c r="O71" s="158">
        <f t="shared" si="3"/>
        <v>0</v>
      </c>
      <c r="P71" s="4"/>
    </row>
    <row r="72" spans="2:16" ht="13.5" thickBot="1">
      <c r="B72" s="9" t="str">
        <f t="shared" si="7"/>
        <v/>
      </c>
      <c r="C72" s="164">
        <f>IF(D11="","-",+C71+1)</f>
        <v>2073</v>
      </c>
      <c r="D72" s="165">
        <f>IF(F71+SUM(E$17:E71)=D$10,F71,D$10-SUM(E$17:E71))</f>
        <v>0</v>
      </c>
      <c r="E72" s="166">
        <f>IF(+I14&lt;F71,I14,D72)</f>
        <v>0</v>
      </c>
      <c r="F72" s="165">
        <f t="shared" si="4"/>
        <v>0</v>
      </c>
      <c r="G72" s="167">
        <f t="shared" si="5"/>
        <v>0</v>
      </c>
      <c r="H72" s="124">
        <f t="shared" si="6"/>
        <v>0</v>
      </c>
      <c r="I72" s="168">
        <f t="shared" si="0"/>
        <v>0</v>
      </c>
      <c r="J72" s="156"/>
      <c r="K72" s="335"/>
      <c r="L72" s="169">
        <f t="shared" si="1"/>
        <v>0</v>
      </c>
      <c r="M72" s="335"/>
      <c r="N72" s="169">
        <f t="shared" si="2"/>
        <v>0</v>
      </c>
      <c r="O72" s="169">
        <f t="shared" si="3"/>
        <v>0</v>
      </c>
      <c r="P72" s="4"/>
    </row>
    <row r="73" spans="2:16">
      <c r="C73" s="154" t="s">
        <v>73</v>
      </c>
      <c r="D73" s="111"/>
      <c r="E73" s="111">
        <f>SUM(E17:E72)</f>
        <v>9151999.9999999981</v>
      </c>
      <c r="F73" s="111"/>
      <c r="G73" s="111">
        <f>SUM(G17:G72)</f>
        <v>28535636.426036511</v>
      </c>
      <c r="H73" s="111">
        <f>SUM(H17:H72)</f>
        <v>28535636.426036511</v>
      </c>
      <c r="I73" s="111">
        <f>SUM(I17:I72)</f>
        <v>0</v>
      </c>
      <c r="J73" s="111"/>
      <c r="K73" s="111"/>
      <c r="L73" s="111"/>
      <c r="M73" s="111"/>
      <c r="N73" s="111"/>
      <c r="O73" s="4"/>
      <c r="P73" s="4"/>
    </row>
    <row r="74" spans="2:16">
      <c r="D74" s="2"/>
      <c r="E74" s="1"/>
      <c r="F74" s="1"/>
      <c r="G74" s="1"/>
      <c r="H74" s="3"/>
      <c r="I74" s="3"/>
      <c r="J74" s="111"/>
      <c r="K74" s="3"/>
      <c r="L74" s="3"/>
      <c r="M74" s="3"/>
      <c r="N74" s="3"/>
      <c r="O74" s="1"/>
      <c r="P74" s="1"/>
    </row>
    <row r="75" spans="2:16">
      <c r="C75" s="170" t="s">
        <v>91</v>
      </c>
      <c r="D75" s="2"/>
      <c r="E75" s="1"/>
      <c r="F75" s="1"/>
      <c r="G75" s="1"/>
      <c r="H75" s="3"/>
      <c r="I75" s="3"/>
      <c r="J75" s="111"/>
      <c r="K75" s="3"/>
      <c r="L75" s="3"/>
      <c r="M75" s="3"/>
      <c r="N75" s="3"/>
      <c r="O75" s="1"/>
      <c r="P75" s="1"/>
    </row>
    <row r="76" spans="2:16">
      <c r="C76" s="121" t="s">
        <v>74</v>
      </c>
      <c r="D76" s="2"/>
      <c r="E76" s="1"/>
      <c r="F76" s="1"/>
      <c r="G76" s="1"/>
      <c r="H76" s="3"/>
      <c r="I76" s="3"/>
      <c r="J76" s="111"/>
      <c r="K76" s="3"/>
      <c r="L76" s="3"/>
      <c r="M76" s="3"/>
      <c r="N76" s="3"/>
      <c r="O76" s="4"/>
      <c r="P76" s="4"/>
    </row>
    <row r="77" spans="2:16">
      <c r="C77" s="121" t="s">
        <v>75</v>
      </c>
      <c r="D77" s="154"/>
      <c r="E77" s="154"/>
      <c r="F77" s="154"/>
      <c r="G77" s="111"/>
      <c r="H77" s="111"/>
      <c r="I77" s="171"/>
      <c r="J77" s="171"/>
      <c r="K77" s="171"/>
      <c r="L77" s="171"/>
      <c r="M77" s="171"/>
      <c r="N77" s="171"/>
      <c r="O77" s="4"/>
      <c r="P77" s="4"/>
    </row>
    <row r="78" spans="2:16">
      <c r="C78" s="121"/>
      <c r="D78" s="154"/>
      <c r="E78" s="154"/>
      <c r="F78" s="154"/>
      <c r="G78" s="111"/>
      <c r="H78" s="111"/>
      <c r="I78" s="171"/>
      <c r="J78" s="171"/>
      <c r="K78" s="171"/>
      <c r="L78" s="171"/>
      <c r="M78" s="171"/>
      <c r="N78" s="171"/>
      <c r="O78" s="4"/>
      <c r="P78" s="1"/>
    </row>
    <row r="79" spans="2:16">
      <c r="B79" s="1"/>
      <c r="C79" s="21"/>
      <c r="D79" s="2"/>
      <c r="E79" s="1"/>
      <c r="F79" s="107"/>
      <c r="G79" s="1"/>
      <c r="H79" s="3"/>
      <c r="I79" s="1"/>
      <c r="J79" s="4"/>
      <c r="K79" s="1"/>
      <c r="L79" s="1"/>
      <c r="M79" s="1"/>
      <c r="N79" s="1"/>
      <c r="O79" s="1"/>
      <c r="P79" s="1"/>
    </row>
    <row r="80" spans="2:16" ht="18">
      <c r="B80" s="1"/>
      <c r="C80" s="242"/>
      <c r="D80" s="2"/>
      <c r="E80" s="1"/>
      <c r="F80" s="107"/>
      <c r="G80" s="1"/>
      <c r="H80" s="3"/>
      <c r="I80" s="1"/>
      <c r="J80" s="4"/>
      <c r="K80" s="1"/>
      <c r="L80" s="1"/>
      <c r="M80" s="1"/>
      <c r="N80" s="1"/>
      <c r="P80" s="244" t="s">
        <v>125</v>
      </c>
    </row>
    <row r="81" spans="1:16">
      <c r="B81" s="1"/>
      <c r="C81" s="21"/>
      <c r="D81" s="2"/>
      <c r="E81" s="1"/>
      <c r="F81" s="107"/>
      <c r="G81" s="1"/>
      <c r="H81" s="3"/>
      <c r="I81" s="1"/>
      <c r="J81" s="4"/>
      <c r="K81" s="1"/>
      <c r="L81" s="1"/>
      <c r="M81" s="1"/>
      <c r="N81" s="1"/>
      <c r="O81" s="1"/>
      <c r="P81" s="1"/>
    </row>
    <row r="82" spans="1:16">
      <c r="B82" s="1"/>
      <c r="C82" s="21"/>
      <c r="D82" s="2"/>
      <c r="E82" s="1"/>
      <c r="F82" s="107"/>
      <c r="G82" s="1"/>
      <c r="H82" s="3"/>
      <c r="I82" s="1"/>
      <c r="J82" s="4"/>
      <c r="K82" s="1"/>
      <c r="L82" s="1"/>
      <c r="M82" s="1"/>
      <c r="N82" s="1"/>
      <c r="O82" s="1"/>
      <c r="P82" s="1"/>
    </row>
    <row r="83" spans="1:16" ht="20.25">
      <c r="A83" s="243" t="s">
        <v>129</v>
      </c>
      <c r="B83" s="1"/>
      <c r="C83" s="21"/>
      <c r="D83" s="2"/>
      <c r="E83" s="1"/>
      <c r="F83" s="99"/>
      <c r="G83" s="99"/>
      <c r="H83" s="1"/>
      <c r="I83" s="3"/>
      <c r="K83" s="7"/>
      <c r="L83" s="109"/>
      <c r="M83" s="109"/>
      <c r="P83" s="109" t="str">
        <f ca="1">P1</f>
        <v>SWEPCO Project 69 of 73</v>
      </c>
    </row>
    <row r="84" spans="1:16" ht="18">
      <c r="B84" s="1"/>
      <c r="C84" s="1"/>
      <c r="D84" s="2"/>
      <c r="E84" s="1"/>
      <c r="F84" s="1"/>
      <c r="G84" s="1"/>
      <c r="H84" s="1"/>
      <c r="I84" s="3"/>
      <c r="J84" s="1"/>
      <c r="K84" s="4"/>
      <c r="L84" s="1"/>
      <c r="M84" s="1"/>
      <c r="P84" s="244" t="s">
        <v>123</v>
      </c>
    </row>
    <row r="85" spans="1:16" ht="18.75" thickBot="1">
      <c r="B85" s="5" t="s">
        <v>40</v>
      </c>
      <c r="C85" s="197" t="s">
        <v>78</v>
      </c>
      <c r="D85" s="2"/>
      <c r="E85" s="1"/>
      <c r="F85" s="1"/>
      <c r="G85" s="1"/>
      <c r="H85" s="1"/>
      <c r="I85" s="3"/>
      <c r="J85" s="3"/>
      <c r="K85" s="111"/>
      <c r="L85" s="3"/>
      <c r="M85" s="3"/>
      <c r="N85" s="3"/>
      <c r="O85" s="111"/>
      <c r="P85" s="1"/>
    </row>
    <row r="86" spans="1:16" ht="15.75" thickBot="1">
      <c r="C86" s="67"/>
      <c r="D86" s="2"/>
      <c r="E86" s="1"/>
      <c r="F86" s="1"/>
      <c r="G86" s="1"/>
      <c r="H86" s="1"/>
      <c r="I86" s="3"/>
      <c r="J86" s="3"/>
      <c r="K86" s="111"/>
      <c r="L86" s="265">
        <f>+J92</f>
        <v>2017</v>
      </c>
      <c r="M86" s="266" t="s">
        <v>7</v>
      </c>
      <c r="N86" s="270" t="s">
        <v>154</v>
      </c>
      <c r="O86" s="267" t="s">
        <v>9</v>
      </c>
      <c r="P86" s="1"/>
    </row>
    <row r="87" spans="1:16" ht="15">
      <c r="C87" s="235" t="s">
        <v>42</v>
      </c>
      <c r="D87" s="2"/>
      <c r="E87" s="1"/>
      <c r="F87" s="1"/>
      <c r="G87" s="1"/>
      <c r="H87" s="113"/>
      <c r="I87" s="1" t="s">
        <v>43</v>
      </c>
      <c r="J87" s="1"/>
      <c r="K87" s="261"/>
      <c r="L87" s="259" t="s">
        <v>381</v>
      </c>
      <c r="M87" s="198">
        <f>IF(J92&lt;D11,0,VLOOKUP(J92,C17:O72,9))</f>
        <v>0</v>
      </c>
      <c r="N87" s="198">
        <f>IF(J92&lt;D11,0,VLOOKUP(J92,C17:O72,11))</f>
        <v>0</v>
      </c>
      <c r="O87" s="199">
        <f>+N87-M87</f>
        <v>0</v>
      </c>
      <c r="P87" s="1"/>
    </row>
    <row r="88" spans="1:16" ht="15.75">
      <c r="C88" s="8"/>
      <c r="D88" s="2"/>
      <c r="E88" s="1"/>
      <c r="F88" s="1"/>
      <c r="G88" s="1"/>
      <c r="H88" s="1"/>
      <c r="I88" s="117"/>
      <c r="J88" s="117"/>
      <c r="K88" s="263"/>
      <c r="L88" s="264" t="s">
        <v>382</v>
      </c>
      <c r="M88" s="200">
        <f>IF(J92&lt;D11,0,VLOOKUP(J92,C99:P154,6))</f>
        <v>0</v>
      </c>
      <c r="N88" s="200">
        <f>IF(J92&lt;D11,0,VLOOKUP(J92,C99:P154,7))</f>
        <v>0</v>
      </c>
      <c r="O88" s="201">
        <f>+N88-M88</f>
        <v>0</v>
      </c>
      <c r="P88" s="1"/>
    </row>
    <row r="89" spans="1:16" ht="13.5" thickBot="1">
      <c r="C89" s="121" t="s">
        <v>79</v>
      </c>
      <c r="D89" s="246" t="str">
        <f>+D7</f>
        <v>Hallsville - Longview Heights 69 KV Line Rebuild</v>
      </c>
      <c r="E89" s="1"/>
      <c r="F89" s="1"/>
      <c r="G89" s="1"/>
      <c r="H89" s="1"/>
      <c r="I89" s="3"/>
      <c r="J89" s="3"/>
      <c r="K89" s="262"/>
      <c r="L89" s="260" t="s">
        <v>151</v>
      </c>
      <c r="M89" s="203">
        <f>+M88-M87</f>
        <v>0</v>
      </c>
      <c r="N89" s="203">
        <f>+N88-N87</f>
        <v>0</v>
      </c>
      <c r="O89" s="204">
        <f>+O88-O87</f>
        <v>0</v>
      </c>
      <c r="P89" s="1"/>
    </row>
    <row r="90" spans="1:16" ht="13.5" thickBot="1">
      <c r="C90" s="170"/>
      <c r="D90" s="173" t="str">
        <f>D8</f>
        <v/>
      </c>
      <c r="E90" s="107"/>
      <c r="F90" s="107"/>
      <c r="G90" s="107"/>
      <c r="H90" s="126"/>
      <c r="I90" s="3"/>
      <c r="J90" s="3"/>
      <c r="K90" s="111"/>
      <c r="L90" s="3"/>
      <c r="M90" s="3"/>
      <c r="N90" s="3"/>
      <c r="O90" s="111"/>
      <c r="P90" s="1"/>
    </row>
    <row r="91" spans="1:16" ht="13.5" thickBot="1">
      <c r="A91" s="103"/>
      <c r="C91" s="205" t="s">
        <v>80</v>
      </c>
      <c r="D91" s="224" t="str">
        <f>+D9</f>
        <v>TP______</v>
      </c>
      <c r="E91" s="206"/>
      <c r="F91" s="206"/>
      <c r="G91" s="206"/>
      <c r="H91" s="206"/>
      <c r="I91" s="206"/>
      <c r="J91" s="206"/>
      <c r="K91" s="207"/>
      <c r="P91" s="131"/>
    </row>
    <row r="92" spans="1:16">
      <c r="C92" s="136" t="s">
        <v>47</v>
      </c>
      <c r="D92" s="218">
        <f>+D10</f>
        <v>9152000</v>
      </c>
      <c r="E92" s="21" t="s">
        <v>81</v>
      </c>
      <c r="H92" s="134"/>
      <c r="I92" s="134"/>
      <c r="J92" s="135">
        <f>+'SWE.WS.G.BPU.ATRR.True-up'!M15</f>
        <v>2017</v>
      </c>
      <c r="K92" s="130"/>
      <c r="L92" s="111" t="s">
        <v>82</v>
      </c>
      <c r="P92" s="4"/>
    </row>
    <row r="93" spans="1:16">
      <c r="C93" s="136" t="s">
        <v>49</v>
      </c>
      <c r="D93" s="468">
        <f>+D11</f>
        <v>2018</v>
      </c>
      <c r="E93" s="136" t="s">
        <v>50</v>
      </c>
      <c r="F93" s="134"/>
      <c r="G93" s="134"/>
      <c r="J93" s="138">
        <f>IF(H87="",0,'SWE.WS.G.BPU.ATRR.True-up'!$F$12)</f>
        <v>0</v>
      </c>
      <c r="K93" s="139"/>
      <c r="L93" t="str">
        <f>"          INPUT TRUE-UP ARR (WITH &amp; WITHOUT INCENTIVES) FROM EACH PRIOR YEAR"</f>
        <v xml:space="preserve">          INPUT TRUE-UP ARR (WITH &amp; WITHOUT INCENTIVES) FROM EACH PRIOR YEAR</v>
      </c>
      <c r="P93" s="4"/>
    </row>
    <row r="94" spans="1:16">
      <c r="C94" s="136" t="s">
        <v>51</v>
      </c>
      <c r="D94" s="218">
        <f>+D12</f>
        <v>6</v>
      </c>
      <c r="E94" s="136" t="s">
        <v>52</v>
      </c>
      <c r="F94" s="134"/>
      <c r="G94" s="134"/>
      <c r="J94" s="140">
        <f>'SWE.WS.G.BPU.ATRR.True-up'!$F$80</f>
        <v>0.12147145768398206</v>
      </c>
      <c r="K94" s="141"/>
      <c r="L94" t="s">
        <v>83</v>
      </c>
      <c r="P94" s="4"/>
    </row>
    <row r="95" spans="1:16">
      <c r="C95" s="136" t="s">
        <v>54</v>
      </c>
      <c r="D95" s="138">
        <f>'SWE.WS.G.BPU.ATRR.True-up'!F$92</f>
        <v>42</v>
      </c>
      <c r="E95" s="136" t="s">
        <v>55</v>
      </c>
      <c r="F95" s="134"/>
      <c r="G95" s="134"/>
      <c r="J95" s="140">
        <f>IF(H87="",J94,'SWE.WS.G.BPU.ATRR.True-up'!$F$79)</f>
        <v>0.12147145768398206</v>
      </c>
      <c r="K95" s="58"/>
      <c r="L95" s="111" t="s">
        <v>56</v>
      </c>
      <c r="M95" s="58"/>
      <c r="N95" s="58"/>
      <c r="O95" s="58"/>
      <c r="P95" s="4"/>
    </row>
    <row r="96" spans="1:16" ht="13.5" thickBot="1">
      <c r="C96" s="136" t="s">
        <v>57</v>
      </c>
      <c r="D96" s="220" t="str">
        <f>+D14</f>
        <v>No</v>
      </c>
      <c r="E96" s="202" t="s">
        <v>59</v>
      </c>
      <c r="F96" s="208"/>
      <c r="G96" s="208"/>
      <c r="H96" s="209"/>
      <c r="I96" s="209"/>
      <c r="J96" s="124">
        <f>IF(D92=0,0,D92/D95)</f>
        <v>217904.76190476189</v>
      </c>
      <c r="K96" s="111"/>
      <c r="L96" s="111"/>
      <c r="M96" s="111"/>
      <c r="N96" s="111"/>
      <c r="O96" s="111"/>
      <c r="P96" s="4"/>
    </row>
    <row r="97" spans="1:16" ht="38.25">
      <c r="A97" s="6"/>
      <c r="B97" s="6"/>
      <c r="C97" s="210" t="s">
        <v>47</v>
      </c>
      <c r="D97" s="211" t="s">
        <v>60</v>
      </c>
      <c r="E97" s="146" t="s">
        <v>61</v>
      </c>
      <c r="F97" s="146" t="s">
        <v>62</v>
      </c>
      <c r="G97" s="144" t="s">
        <v>84</v>
      </c>
      <c r="H97" s="434" t="s">
        <v>378</v>
      </c>
      <c r="I97" s="435" t="s">
        <v>379</v>
      </c>
      <c r="J97" s="210" t="s">
        <v>85</v>
      </c>
      <c r="K97" s="212"/>
      <c r="L97" s="271" t="s">
        <v>220</v>
      </c>
      <c r="M97" s="146" t="s">
        <v>86</v>
      </c>
      <c r="N97" s="271" t="s">
        <v>220</v>
      </c>
      <c r="O97" s="146" t="s">
        <v>86</v>
      </c>
      <c r="P97" s="146" t="s">
        <v>65</v>
      </c>
    </row>
    <row r="98" spans="1:16" ht="13.5" thickBot="1">
      <c r="C98" s="147" t="s">
        <v>66</v>
      </c>
      <c r="D98" s="213" t="s">
        <v>67</v>
      </c>
      <c r="E98" s="147" t="s">
        <v>68</v>
      </c>
      <c r="F98" s="147" t="s">
        <v>67</v>
      </c>
      <c r="G98" s="147" t="s">
        <v>67</v>
      </c>
      <c r="H98" s="255" t="s">
        <v>69</v>
      </c>
      <c r="I98" s="148" t="s">
        <v>70</v>
      </c>
      <c r="J98" s="149" t="s">
        <v>89</v>
      </c>
      <c r="K98" s="150"/>
      <c r="L98" s="151" t="s">
        <v>72</v>
      </c>
      <c r="M98" s="151" t="s">
        <v>72</v>
      </c>
      <c r="N98" s="151" t="s">
        <v>90</v>
      </c>
      <c r="O98" s="151" t="s">
        <v>90</v>
      </c>
      <c r="P98" s="151" t="s">
        <v>90</v>
      </c>
    </row>
    <row r="99" spans="1:16">
      <c r="C99" s="153">
        <f>IF(D93= "","-",D93)</f>
        <v>2018</v>
      </c>
      <c r="D99" s="154">
        <f>IF(D93=C99,0,D92)</f>
        <v>0</v>
      </c>
      <c r="E99" s="161">
        <f>IF(D11=I10,0,J96/12*(12-D94))</f>
        <v>108952.38095238095</v>
      </c>
      <c r="F99" s="159">
        <f>IF(D93=C99,+D92-E99,+D99-E99)</f>
        <v>9043047.6190476194</v>
      </c>
      <c r="G99" s="214">
        <f t="shared" ref="G99:G154" si="8">+(F99+D99)/2</f>
        <v>4521523.8095238097</v>
      </c>
      <c r="H99" s="251">
        <f>+J94*G99+E99</f>
        <v>658188.46904806979</v>
      </c>
      <c r="I99" s="252">
        <f>+J95*G99+E99</f>
        <v>658188.46904806979</v>
      </c>
      <c r="J99" s="158">
        <f t="shared" ref="J99:J130" si="9">+I99-H99</f>
        <v>0</v>
      </c>
      <c r="K99" s="158"/>
      <c r="L99" s="333"/>
      <c r="M99" s="157">
        <f t="shared" ref="M99:M130" si="10">IF(L99&lt;&gt;0,+H99-L99,0)</f>
        <v>0</v>
      </c>
      <c r="N99" s="333"/>
      <c r="O99" s="157">
        <f t="shared" ref="O99:O130" si="11">IF(N99&lt;&gt;0,+I99-N99,0)</f>
        <v>0</v>
      </c>
      <c r="P99" s="157">
        <f t="shared" ref="P99:P130" si="12">+O99-M99</f>
        <v>0</v>
      </c>
    </row>
    <row r="100" spans="1:16">
      <c r="B100" s="9" t="str">
        <f>IF(D100=F99,"","IU")</f>
        <v/>
      </c>
      <c r="C100" s="153">
        <f>IF(D93="","-",+C99+1)</f>
        <v>2019</v>
      </c>
      <c r="D100" s="154">
        <f>IF(F99+SUM(E$99:E99)=D$92,F99,D$92-SUM(E$99:E99))</f>
        <v>9043047.6190476194</v>
      </c>
      <c r="E100" s="160">
        <f>IF(+J96&lt;F99,J96,D100)</f>
        <v>217904.76190476189</v>
      </c>
      <c r="F100" s="159">
        <f t="shared" ref="F100:F154" si="13">+D100-E100</f>
        <v>8825142.8571428582</v>
      </c>
      <c r="G100" s="159">
        <f t="shared" si="8"/>
        <v>8934095.2380952388</v>
      </c>
      <c r="H100" s="163">
        <f t="shared" ref="H100:H154" si="14">+J$94*G100+E100</f>
        <v>1303142.3335637134</v>
      </c>
      <c r="I100" s="253">
        <f t="shared" ref="I100:I154" si="15">+J$95*G100+E100</f>
        <v>1303142.3335637134</v>
      </c>
      <c r="J100" s="158">
        <f t="shared" si="9"/>
        <v>0</v>
      </c>
      <c r="K100" s="158"/>
      <c r="L100" s="334"/>
      <c r="M100" s="158">
        <f t="shared" si="10"/>
        <v>0</v>
      </c>
      <c r="N100" s="334"/>
      <c r="O100" s="158">
        <f t="shared" si="11"/>
        <v>0</v>
      </c>
      <c r="P100" s="158">
        <f t="shared" si="12"/>
        <v>0</v>
      </c>
    </row>
    <row r="101" spans="1:16">
      <c r="B101" s="9" t="str">
        <f t="shared" ref="B101:B154" si="16">IF(D101=F100,"","IU")</f>
        <v/>
      </c>
      <c r="C101" s="153">
        <f>IF(D93="","-",+C100+1)</f>
        <v>2020</v>
      </c>
      <c r="D101" s="154">
        <f>IF(F100+SUM(E$99:E100)=D$92,F100,D$92-SUM(E$99:E100))</f>
        <v>8825142.8571428582</v>
      </c>
      <c r="E101" s="160">
        <f>IF(+J96&lt;F100,J96,D101)</f>
        <v>217904.76190476189</v>
      </c>
      <c r="F101" s="159">
        <f t="shared" si="13"/>
        <v>8607238.095238097</v>
      </c>
      <c r="G101" s="159">
        <f t="shared" si="8"/>
        <v>8716190.4761904776</v>
      </c>
      <c r="H101" s="163">
        <f t="shared" si="14"/>
        <v>1276673.1244988609</v>
      </c>
      <c r="I101" s="253">
        <f t="shared" si="15"/>
        <v>1276673.1244988609</v>
      </c>
      <c r="J101" s="158">
        <f t="shared" si="9"/>
        <v>0</v>
      </c>
      <c r="K101" s="158"/>
      <c r="L101" s="334"/>
      <c r="M101" s="158">
        <f t="shared" si="10"/>
        <v>0</v>
      </c>
      <c r="N101" s="334"/>
      <c r="O101" s="158">
        <f t="shared" si="11"/>
        <v>0</v>
      </c>
      <c r="P101" s="158">
        <f t="shared" si="12"/>
        <v>0</v>
      </c>
    </row>
    <row r="102" spans="1:16">
      <c r="B102" s="9" t="str">
        <f t="shared" si="16"/>
        <v/>
      </c>
      <c r="C102" s="153">
        <f>IF(D93="","-",+C101+1)</f>
        <v>2021</v>
      </c>
      <c r="D102" s="154">
        <f>IF(F101+SUM(E$99:E101)=D$92,F101,D$92-SUM(E$99:E101))</f>
        <v>8607238.095238097</v>
      </c>
      <c r="E102" s="160">
        <f>IF(+J96&lt;F101,J96,D102)</f>
        <v>217904.76190476189</v>
      </c>
      <c r="F102" s="159">
        <f t="shared" si="13"/>
        <v>8389333.3333333358</v>
      </c>
      <c r="G102" s="159">
        <f t="shared" si="8"/>
        <v>8498285.7142857164</v>
      </c>
      <c r="H102" s="163">
        <f t="shared" si="14"/>
        <v>1250203.9154340085</v>
      </c>
      <c r="I102" s="253">
        <f t="shared" si="15"/>
        <v>1250203.9154340085</v>
      </c>
      <c r="J102" s="158">
        <f t="shared" si="9"/>
        <v>0</v>
      </c>
      <c r="K102" s="158"/>
      <c r="L102" s="334"/>
      <c r="M102" s="158">
        <f t="shared" si="10"/>
        <v>0</v>
      </c>
      <c r="N102" s="334"/>
      <c r="O102" s="158">
        <f t="shared" si="11"/>
        <v>0</v>
      </c>
      <c r="P102" s="158">
        <f t="shared" si="12"/>
        <v>0</v>
      </c>
    </row>
    <row r="103" spans="1:16">
      <c r="B103" s="9" t="str">
        <f t="shared" si="16"/>
        <v/>
      </c>
      <c r="C103" s="153">
        <f>IF(D93="","-",+C102+1)</f>
        <v>2022</v>
      </c>
      <c r="D103" s="154">
        <f>IF(F102+SUM(E$99:E102)=D$92,F102,D$92-SUM(E$99:E102))</f>
        <v>8389333.3333333358</v>
      </c>
      <c r="E103" s="160">
        <f>IF(+J96&lt;F102,J96,D103)</f>
        <v>217904.76190476189</v>
      </c>
      <c r="F103" s="159">
        <f t="shared" si="13"/>
        <v>8171428.5714285737</v>
      </c>
      <c r="G103" s="159">
        <f t="shared" si="8"/>
        <v>8280380.9523809552</v>
      </c>
      <c r="H103" s="163">
        <f t="shared" si="14"/>
        <v>1223734.706369156</v>
      </c>
      <c r="I103" s="253">
        <f t="shared" si="15"/>
        <v>1223734.706369156</v>
      </c>
      <c r="J103" s="158">
        <f t="shared" si="9"/>
        <v>0</v>
      </c>
      <c r="K103" s="158"/>
      <c r="L103" s="334"/>
      <c r="M103" s="158">
        <f t="shared" si="10"/>
        <v>0</v>
      </c>
      <c r="N103" s="334"/>
      <c r="O103" s="158">
        <f t="shared" si="11"/>
        <v>0</v>
      </c>
      <c r="P103" s="158">
        <f t="shared" si="12"/>
        <v>0</v>
      </c>
    </row>
    <row r="104" spans="1:16">
      <c r="B104" s="9" t="str">
        <f t="shared" si="16"/>
        <v/>
      </c>
      <c r="C104" s="153">
        <f>IF(D93="","-",+C103+1)</f>
        <v>2023</v>
      </c>
      <c r="D104" s="154">
        <f>IF(F103+SUM(E$99:E103)=D$92,F103,D$92-SUM(E$99:E103))</f>
        <v>8171428.5714285737</v>
      </c>
      <c r="E104" s="160">
        <f>IF(+J96&lt;F103,J96,D104)</f>
        <v>217904.76190476189</v>
      </c>
      <c r="F104" s="159">
        <f t="shared" si="13"/>
        <v>7953523.8095238116</v>
      </c>
      <c r="G104" s="159">
        <f t="shared" si="8"/>
        <v>8062476.1904761922</v>
      </c>
      <c r="H104" s="163">
        <f t="shared" si="14"/>
        <v>1197265.4973043036</v>
      </c>
      <c r="I104" s="253">
        <f t="shared" si="15"/>
        <v>1197265.4973043036</v>
      </c>
      <c r="J104" s="158">
        <f t="shared" si="9"/>
        <v>0</v>
      </c>
      <c r="K104" s="158"/>
      <c r="L104" s="334"/>
      <c r="M104" s="158">
        <f t="shared" si="10"/>
        <v>0</v>
      </c>
      <c r="N104" s="334"/>
      <c r="O104" s="158">
        <f t="shared" si="11"/>
        <v>0</v>
      </c>
      <c r="P104" s="158">
        <f t="shared" si="12"/>
        <v>0</v>
      </c>
    </row>
    <row r="105" spans="1:16">
      <c r="B105" s="9" t="str">
        <f t="shared" si="16"/>
        <v/>
      </c>
      <c r="C105" s="153">
        <f>IF(D93="","-",+C104+1)</f>
        <v>2024</v>
      </c>
      <c r="D105" s="154">
        <f>IF(F104+SUM(E$99:E104)=D$92,F104,D$92-SUM(E$99:E104))</f>
        <v>7953523.8095238116</v>
      </c>
      <c r="E105" s="160">
        <f>IF(+J96&lt;F104,J96,D105)</f>
        <v>217904.76190476189</v>
      </c>
      <c r="F105" s="159">
        <f t="shared" si="13"/>
        <v>7735619.0476190494</v>
      </c>
      <c r="G105" s="159">
        <f t="shared" si="8"/>
        <v>7844571.428571431</v>
      </c>
      <c r="H105" s="163">
        <f t="shared" si="14"/>
        <v>1170796.2882394511</v>
      </c>
      <c r="I105" s="253">
        <f t="shared" si="15"/>
        <v>1170796.2882394511</v>
      </c>
      <c r="J105" s="158">
        <f t="shared" si="9"/>
        <v>0</v>
      </c>
      <c r="K105" s="158"/>
      <c r="L105" s="334"/>
      <c r="M105" s="158">
        <f t="shared" si="10"/>
        <v>0</v>
      </c>
      <c r="N105" s="334"/>
      <c r="O105" s="158">
        <f t="shared" si="11"/>
        <v>0</v>
      </c>
      <c r="P105" s="158">
        <f t="shared" si="12"/>
        <v>0</v>
      </c>
    </row>
    <row r="106" spans="1:16">
      <c r="B106" s="9" t="str">
        <f t="shared" si="16"/>
        <v/>
      </c>
      <c r="C106" s="153">
        <f>IF(D93="","-",+C105+1)</f>
        <v>2025</v>
      </c>
      <c r="D106" s="154">
        <f>IF(F105+SUM(E$99:E105)=D$92,F105,D$92-SUM(E$99:E105))</f>
        <v>7735619.0476190494</v>
      </c>
      <c r="E106" s="160">
        <f>IF(+J96&lt;F105,J96,D106)</f>
        <v>217904.76190476189</v>
      </c>
      <c r="F106" s="159">
        <f t="shared" si="13"/>
        <v>7517714.2857142873</v>
      </c>
      <c r="G106" s="159">
        <f t="shared" si="8"/>
        <v>7626666.6666666679</v>
      </c>
      <c r="H106" s="163">
        <f t="shared" si="14"/>
        <v>1144327.0791745987</v>
      </c>
      <c r="I106" s="253">
        <f t="shared" si="15"/>
        <v>1144327.0791745987</v>
      </c>
      <c r="J106" s="158">
        <f t="shared" si="9"/>
        <v>0</v>
      </c>
      <c r="K106" s="158"/>
      <c r="L106" s="334"/>
      <c r="M106" s="158">
        <f t="shared" si="10"/>
        <v>0</v>
      </c>
      <c r="N106" s="334"/>
      <c r="O106" s="158">
        <f t="shared" si="11"/>
        <v>0</v>
      </c>
      <c r="P106" s="158">
        <f t="shared" si="12"/>
        <v>0</v>
      </c>
    </row>
    <row r="107" spans="1:16">
      <c r="B107" s="9" t="str">
        <f t="shared" si="16"/>
        <v/>
      </c>
      <c r="C107" s="153">
        <f>IF(D93="","-",+C106+1)</f>
        <v>2026</v>
      </c>
      <c r="D107" s="154">
        <f>IF(F106+SUM(E$99:E106)=D$92,F106,D$92-SUM(E$99:E106))</f>
        <v>7517714.2857142873</v>
      </c>
      <c r="E107" s="160">
        <f>IF(+J96&lt;F106,J96,D107)</f>
        <v>217904.76190476189</v>
      </c>
      <c r="F107" s="159">
        <f t="shared" si="13"/>
        <v>7299809.5238095252</v>
      </c>
      <c r="G107" s="159">
        <f t="shared" si="8"/>
        <v>7408761.9047619067</v>
      </c>
      <c r="H107" s="163">
        <f t="shared" si="14"/>
        <v>1117857.8701097462</v>
      </c>
      <c r="I107" s="253">
        <f t="shared" si="15"/>
        <v>1117857.8701097462</v>
      </c>
      <c r="J107" s="158">
        <f t="shared" si="9"/>
        <v>0</v>
      </c>
      <c r="K107" s="158"/>
      <c r="L107" s="334"/>
      <c r="M107" s="158">
        <f t="shared" si="10"/>
        <v>0</v>
      </c>
      <c r="N107" s="334"/>
      <c r="O107" s="158">
        <f t="shared" si="11"/>
        <v>0</v>
      </c>
      <c r="P107" s="158">
        <f t="shared" si="12"/>
        <v>0</v>
      </c>
    </row>
    <row r="108" spans="1:16">
      <c r="B108" s="9" t="str">
        <f t="shared" si="16"/>
        <v/>
      </c>
      <c r="C108" s="153">
        <f>IF(D93="","-",+C107+1)</f>
        <v>2027</v>
      </c>
      <c r="D108" s="154">
        <f>IF(F107+SUM(E$99:E107)=D$92,F107,D$92-SUM(E$99:E107))</f>
        <v>7299809.5238095252</v>
      </c>
      <c r="E108" s="160">
        <f>IF(+J96&lt;F107,J96,D108)</f>
        <v>217904.76190476189</v>
      </c>
      <c r="F108" s="159">
        <f t="shared" si="13"/>
        <v>7081904.7619047631</v>
      </c>
      <c r="G108" s="159">
        <f t="shared" si="8"/>
        <v>7190857.1428571437</v>
      </c>
      <c r="H108" s="163">
        <f t="shared" si="14"/>
        <v>1091388.6610448936</v>
      </c>
      <c r="I108" s="253">
        <f t="shared" si="15"/>
        <v>1091388.6610448936</v>
      </c>
      <c r="J108" s="158">
        <f t="shared" si="9"/>
        <v>0</v>
      </c>
      <c r="K108" s="158"/>
      <c r="L108" s="334"/>
      <c r="M108" s="158">
        <f t="shared" si="10"/>
        <v>0</v>
      </c>
      <c r="N108" s="334"/>
      <c r="O108" s="158">
        <f t="shared" si="11"/>
        <v>0</v>
      </c>
      <c r="P108" s="158">
        <f t="shared" si="12"/>
        <v>0</v>
      </c>
    </row>
    <row r="109" spans="1:16">
      <c r="B109" s="9" t="str">
        <f t="shared" si="16"/>
        <v/>
      </c>
      <c r="C109" s="153">
        <f>IF(D93="","-",+C108+1)</f>
        <v>2028</v>
      </c>
      <c r="D109" s="154">
        <f>IF(F108+SUM(E$99:E108)=D$92,F108,D$92-SUM(E$99:E108))</f>
        <v>7081904.7619047631</v>
      </c>
      <c r="E109" s="160">
        <f>IF(+J96&lt;F108,J96,D109)</f>
        <v>217904.76190476189</v>
      </c>
      <c r="F109" s="159">
        <f t="shared" si="13"/>
        <v>6864000.0000000009</v>
      </c>
      <c r="G109" s="159">
        <f t="shared" si="8"/>
        <v>6972952.3809523825</v>
      </c>
      <c r="H109" s="163">
        <f t="shared" si="14"/>
        <v>1064919.4519800411</v>
      </c>
      <c r="I109" s="253">
        <f t="shared" si="15"/>
        <v>1064919.4519800411</v>
      </c>
      <c r="J109" s="158">
        <f t="shared" si="9"/>
        <v>0</v>
      </c>
      <c r="K109" s="158"/>
      <c r="L109" s="334"/>
      <c r="M109" s="158">
        <f t="shared" si="10"/>
        <v>0</v>
      </c>
      <c r="N109" s="334"/>
      <c r="O109" s="158">
        <f t="shared" si="11"/>
        <v>0</v>
      </c>
      <c r="P109" s="158">
        <f t="shared" si="12"/>
        <v>0</v>
      </c>
    </row>
    <row r="110" spans="1:16">
      <c r="B110" s="9" t="str">
        <f t="shared" si="16"/>
        <v/>
      </c>
      <c r="C110" s="153">
        <f>IF(D93="","-",+C109+1)</f>
        <v>2029</v>
      </c>
      <c r="D110" s="154">
        <f>IF(F109+SUM(E$99:E109)=D$92,F109,D$92-SUM(E$99:E109))</f>
        <v>6864000.0000000009</v>
      </c>
      <c r="E110" s="160">
        <f>IF(+J96&lt;F109,J96,D110)</f>
        <v>217904.76190476189</v>
      </c>
      <c r="F110" s="159">
        <f t="shared" si="13"/>
        <v>6646095.2380952388</v>
      </c>
      <c r="G110" s="159">
        <f t="shared" si="8"/>
        <v>6755047.6190476194</v>
      </c>
      <c r="H110" s="163">
        <f t="shared" si="14"/>
        <v>1038450.2429151885</v>
      </c>
      <c r="I110" s="253">
        <f t="shared" si="15"/>
        <v>1038450.2429151885</v>
      </c>
      <c r="J110" s="158">
        <f t="shared" si="9"/>
        <v>0</v>
      </c>
      <c r="K110" s="158"/>
      <c r="L110" s="334"/>
      <c r="M110" s="158">
        <f t="shared" si="10"/>
        <v>0</v>
      </c>
      <c r="N110" s="334"/>
      <c r="O110" s="158">
        <f t="shared" si="11"/>
        <v>0</v>
      </c>
      <c r="P110" s="158">
        <f t="shared" si="12"/>
        <v>0</v>
      </c>
    </row>
    <row r="111" spans="1:16">
      <c r="B111" s="9" t="str">
        <f t="shared" si="16"/>
        <v/>
      </c>
      <c r="C111" s="153">
        <f>IF(D93="","-",+C110+1)</f>
        <v>2030</v>
      </c>
      <c r="D111" s="154">
        <f>IF(F110+SUM(E$99:E110)=D$92,F110,D$92-SUM(E$99:E110))</f>
        <v>6646095.2380952388</v>
      </c>
      <c r="E111" s="160">
        <f>IF(+J96&lt;F110,J96,D111)</f>
        <v>217904.76190476189</v>
      </c>
      <c r="F111" s="159">
        <f t="shared" si="13"/>
        <v>6428190.4761904767</v>
      </c>
      <c r="G111" s="159">
        <f t="shared" si="8"/>
        <v>6537142.8571428582</v>
      </c>
      <c r="H111" s="163">
        <f t="shared" si="14"/>
        <v>1011981.0338503361</v>
      </c>
      <c r="I111" s="253">
        <f t="shared" si="15"/>
        <v>1011981.0338503361</v>
      </c>
      <c r="J111" s="158">
        <f t="shared" si="9"/>
        <v>0</v>
      </c>
      <c r="K111" s="158"/>
      <c r="L111" s="334"/>
      <c r="M111" s="158">
        <f t="shared" si="10"/>
        <v>0</v>
      </c>
      <c r="N111" s="334"/>
      <c r="O111" s="158">
        <f t="shared" si="11"/>
        <v>0</v>
      </c>
      <c r="P111" s="158">
        <f t="shared" si="12"/>
        <v>0</v>
      </c>
    </row>
    <row r="112" spans="1:16">
      <c r="B112" s="9" t="str">
        <f t="shared" si="16"/>
        <v/>
      </c>
      <c r="C112" s="153">
        <f>IF(D93="","-",+C111+1)</f>
        <v>2031</v>
      </c>
      <c r="D112" s="154">
        <f>IF(F111+SUM(E$99:E111)=D$92,F111,D$92-SUM(E$99:E111))</f>
        <v>6428190.4761904767</v>
      </c>
      <c r="E112" s="160">
        <f>IF(+J96&lt;F111,J96,D112)</f>
        <v>217904.76190476189</v>
      </c>
      <c r="F112" s="159">
        <f t="shared" si="13"/>
        <v>6210285.7142857146</v>
      </c>
      <c r="G112" s="159">
        <f t="shared" si="8"/>
        <v>6319238.0952380951</v>
      </c>
      <c r="H112" s="163">
        <f t="shared" si="14"/>
        <v>985511.82478548354</v>
      </c>
      <c r="I112" s="253">
        <f t="shared" si="15"/>
        <v>985511.82478548354</v>
      </c>
      <c r="J112" s="158">
        <f t="shared" si="9"/>
        <v>0</v>
      </c>
      <c r="K112" s="158"/>
      <c r="L112" s="334"/>
      <c r="M112" s="158">
        <f t="shared" si="10"/>
        <v>0</v>
      </c>
      <c r="N112" s="334"/>
      <c r="O112" s="158">
        <f t="shared" si="11"/>
        <v>0</v>
      </c>
      <c r="P112" s="158">
        <f t="shared" si="12"/>
        <v>0</v>
      </c>
    </row>
    <row r="113" spans="2:16">
      <c r="B113" s="9" t="str">
        <f t="shared" si="16"/>
        <v/>
      </c>
      <c r="C113" s="153">
        <f>IF(D93="","-",+C112+1)</f>
        <v>2032</v>
      </c>
      <c r="D113" s="154">
        <f>IF(F112+SUM(E$99:E112)=D$92,F112,D$92-SUM(E$99:E112))</f>
        <v>6210285.7142857146</v>
      </c>
      <c r="E113" s="160">
        <f>IF(+J96&lt;F112,J96,D113)</f>
        <v>217904.76190476189</v>
      </c>
      <c r="F113" s="159">
        <f t="shared" si="13"/>
        <v>5992380.9523809524</v>
      </c>
      <c r="G113" s="159">
        <f t="shared" si="8"/>
        <v>6101333.333333334</v>
      </c>
      <c r="H113" s="163">
        <f t="shared" si="14"/>
        <v>959042.61572063121</v>
      </c>
      <c r="I113" s="253">
        <f t="shared" si="15"/>
        <v>959042.61572063121</v>
      </c>
      <c r="J113" s="158">
        <f t="shared" si="9"/>
        <v>0</v>
      </c>
      <c r="K113" s="158"/>
      <c r="L113" s="334"/>
      <c r="M113" s="158">
        <f t="shared" si="10"/>
        <v>0</v>
      </c>
      <c r="N113" s="334"/>
      <c r="O113" s="158">
        <f t="shared" si="11"/>
        <v>0</v>
      </c>
      <c r="P113" s="158">
        <f t="shared" si="12"/>
        <v>0</v>
      </c>
    </row>
    <row r="114" spans="2:16">
      <c r="B114" s="9" t="str">
        <f t="shared" si="16"/>
        <v/>
      </c>
      <c r="C114" s="153">
        <f>IF(D93="","-",+C113+1)</f>
        <v>2033</v>
      </c>
      <c r="D114" s="154">
        <f>IF(F113+SUM(E$99:E113)=D$92,F113,D$92-SUM(E$99:E113))</f>
        <v>5992380.9523809524</v>
      </c>
      <c r="E114" s="160">
        <f>IF(+J96&lt;F113,J96,D114)</f>
        <v>217904.76190476189</v>
      </c>
      <c r="F114" s="159">
        <f t="shared" si="13"/>
        <v>5774476.1904761903</v>
      </c>
      <c r="G114" s="159">
        <f t="shared" si="8"/>
        <v>5883428.5714285709</v>
      </c>
      <c r="H114" s="163">
        <f t="shared" si="14"/>
        <v>932573.40665577853</v>
      </c>
      <c r="I114" s="253">
        <f t="shared" si="15"/>
        <v>932573.40665577853</v>
      </c>
      <c r="J114" s="158">
        <f t="shared" si="9"/>
        <v>0</v>
      </c>
      <c r="K114" s="158"/>
      <c r="L114" s="334"/>
      <c r="M114" s="158">
        <f t="shared" si="10"/>
        <v>0</v>
      </c>
      <c r="N114" s="334"/>
      <c r="O114" s="158">
        <f t="shared" si="11"/>
        <v>0</v>
      </c>
      <c r="P114" s="158">
        <f t="shared" si="12"/>
        <v>0</v>
      </c>
    </row>
    <row r="115" spans="2:16">
      <c r="B115" s="9" t="str">
        <f t="shared" si="16"/>
        <v/>
      </c>
      <c r="C115" s="153">
        <f>IF(D93="","-",+C114+1)</f>
        <v>2034</v>
      </c>
      <c r="D115" s="154">
        <f>IF(F114+SUM(E$99:E114)=D$92,F114,D$92-SUM(E$99:E114))</f>
        <v>5774476.1904761903</v>
      </c>
      <c r="E115" s="160">
        <f>IF(+J96&lt;F114,J96,D115)</f>
        <v>217904.76190476189</v>
      </c>
      <c r="F115" s="159">
        <f t="shared" si="13"/>
        <v>5556571.4285714282</v>
      </c>
      <c r="G115" s="159">
        <f t="shared" si="8"/>
        <v>5665523.8095238097</v>
      </c>
      <c r="H115" s="163">
        <f t="shared" si="14"/>
        <v>906104.1975909262</v>
      </c>
      <c r="I115" s="253">
        <f t="shared" si="15"/>
        <v>906104.1975909262</v>
      </c>
      <c r="J115" s="158">
        <f t="shared" si="9"/>
        <v>0</v>
      </c>
      <c r="K115" s="158"/>
      <c r="L115" s="334"/>
      <c r="M115" s="158">
        <f t="shared" si="10"/>
        <v>0</v>
      </c>
      <c r="N115" s="334"/>
      <c r="O115" s="158">
        <f t="shared" si="11"/>
        <v>0</v>
      </c>
      <c r="P115" s="158">
        <f t="shared" si="12"/>
        <v>0</v>
      </c>
    </row>
    <row r="116" spans="2:16">
      <c r="B116" s="9" t="str">
        <f t="shared" si="16"/>
        <v/>
      </c>
      <c r="C116" s="153">
        <f>IF(D93="","-",+C115+1)</f>
        <v>2035</v>
      </c>
      <c r="D116" s="154">
        <f>IF(F115+SUM(E$99:E115)=D$92,F115,D$92-SUM(E$99:E115))</f>
        <v>5556571.4285714282</v>
      </c>
      <c r="E116" s="160">
        <f>IF(+J96&lt;F115,J96,D116)</f>
        <v>217904.76190476189</v>
      </c>
      <c r="F116" s="159">
        <f t="shared" si="13"/>
        <v>5338666.666666666</v>
      </c>
      <c r="G116" s="159">
        <f t="shared" si="8"/>
        <v>5447619.0476190466</v>
      </c>
      <c r="H116" s="163">
        <f t="shared" si="14"/>
        <v>879634.98852607352</v>
      </c>
      <c r="I116" s="253">
        <f t="shared" si="15"/>
        <v>879634.98852607352</v>
      </c>
      <c r="J116" s="158">
        <f t="shared" si="9"/>
        <v>0</v>
      </c>
      <c r="K116" s="158"/>
      <c r="L116" s="334"/>
      <c r="M116" s="158">
        <f t="shared" si="10"/>
        <v>0</v>
      </c>
      <c r="N116" s="334"/>
      <c r="O116" s="158">
        <f t="shared" si="11"/>
        <v>0</v>
      </c>
      <c r="P116" s="158">
        <f t="shared" si="12"/>
        <v>0</v>
      </c>
    </row>
    <row r="117" spans="2:16">
      <c r="B117" s="9" t="str">
        <f t="shared" si="16"/>
        <v/>
      </c>
      <c r="C117" s="153">
        <f>IF(D93="","-",+C116+1)</f>
        <v>2036</v>
      </c>
      <c r="D117" s="154">
        <f>IF(F116+SUM(E$99:E116)=D$92,F116,D$92-SUM(E$99:E116))</f>
        <v>5338666.666666666</v>
      </c>
      <c r="E117" s="160">
        <f>IF(+J96&lt;F116,J96,D117)</f>
        <v>217904.76190476189</v>
      </c>
      <c r="F117" s="159">
        <f t="shared" si="13"/>
        <v>5120761.9047619039</v>
      </c>
      <c r="G117" s="159">
        <f t="shared" si="8"/>
        <v>5229714.2857142854</v>
      </c>
      <c r="H117" s="163">
        <f t="shared" si="14"/>
        <v>853165.77946122119</v>
      </c>
      <c r="I117" s="253">
        <f t="shared" si="15"/>
        <v>853165.77946122119</v>
      </c>
      <c r="J117" s="158">
        <f t="shared" si="9"/>
        <v>0</v>
      </c>
      <c r="K117" s="158"/>
      <c r="L117" s="334"/>
      <c r="M117" s="158">
        <f t="shared" si="10"/>
        <v>0</v>
      </c>
      <c r="N117" s="334"/>
      <c r="O117" s="158">
        <f t="shared" si="11"/>
        <v>0</v>
      </c>
      <c r="P117" s="158">
        <f t="shared" si="12"/>
        <v>0</v>
      </c>
    </row>
    <row r="118" spans="2:16">
      <c r="B118" s="9" t="str">
        <f t="shared" si="16"/>
        <v/>
      </c>
      <c r="C118" s="153">
        <f>IF(D93="","-",+C117+1)</f>
        <v>2037</v>
      </c>
      <c r="D118" s="154">
        <f>IF(F117+SUM(E$99:E117)=D$92,F117,D$92-SUM(E$99:E117))</f>
        <v>5120761.9047619039</v>
      </c>
      <c r="E118" s="160">
        <f>IF(+J96&lt;F117,J96,D118)</f>
        <v>217904.76190476189</v>
      </c>
      <c r="F118" s="159">
        <f t="shared" si="13"/>
        <v>4902857.1428571418</v>
      </c>
      <c r="G118" s="159">
        <f t="shared" si="8"/>
        <v>5011809.5238095224</v>
      </c>
      <c r="H118" s="163">
        <f t="shared" si="14"/>
        <v>826696.57039636851</v>
      </c>
      <c r="I118" s="253">
        <f t="shared" si="15"/>
        <v>826696.57039636851</v>
      </c>
      <c r="J118" s="158">
        <f t="shared" si="9"/>
        <v>0</v>
      </c>
      <c r="K118" s="158"/>
      <c r="L118" s="334"/>
      <c r="M118" s="158">
        <f t="shared" si="10"/>
        <v>0</v>
      </c>
      <c r="N118" s="334"/>
      <c r="O118" s="158">
        <f t="shared" si="11"/>
        <v>0</v>
      </c>
      <c r="P118" s="158">
        <f t="shared" si="12"/>
        <v>0</v>
      </c>
    </row>
    <row r="119" spans="2:16">
      <c r="B119" s="9" t="str">
        <f t="shared" si="16"/>
        <v/>
      </c>
      <c r="C119" s="153">
        <f>IF(D93="","-",+C118+1)</f>
        <v>2038</v>
      </c>
      <c r="D119" s="154">
        <f>IF(F118+SUM(E$99:E118)=D$92,F118,D$92-SUM(E$99:E118))</f>
        <v>4902857.1428571418</v>
      </c>
      <c r="E119" s="160">
        <f>IF(+J96&lt;F118,J96,D119)</f>
        <v>217904.76190476189</v>
      </c>
      <c r="F119" s="159">
        <f t="shared" si="13"/>
        <v>4684952.3809523797</v>
      </c>
      <c r="G119" s="159">
        <f t="shared" si="8"/>
        <v>4793904.7619047612</v>
      </c>
      <c r="H119" s="163">
        <f t="shared" si="14"/>
        <v>800227.36133151618</v>
      </c>
      <c r="I119" s="253">
        <f t="shared" si="15"/>
        <v>800227.36133151618</v>
      </c>
      <c r="J119" s="158">
        <f t="shared" si="9"/>
        <v>0</v>
      </c>
      <c r="K119" s="158"/>
      <c r="L119" s="334"/>
      <c r="M119" s="158">
        <f t="shared" si="10"/>
        <v>0</v>
      </c>
      <c r="N119" s="334"/>
      <c r="O119" s="158">
        <f t="shared" si="11"/>
        <v>0</v>
      </c>
      <c r="P119" s="158">
        <f t="shared" si="12"/>
        <v>0</v>
      </c>
    </row>
    <row r="120" spans="2:16">
      <c r="B120" s="9" t="str">
        <f t="shared" si="16"/>
        <v/>
      </c>
      <c r="C120" s="153">
        <f>IF(D93="","-",+C119+1)</f>
        <v>2039</v>
      </c>
      <c r="D120" s="154">
        <f>IF(F119+SUM(E$99:E119)=D$92,F119,D$92-SUM(E$99:E119))</f>
        <v>4684952.3809523797</v>
      </c>
      <c r="E120" s="160">
        <f>IF(+J96&lt;F119,J96,D120)</f>
        <v>217904.76190476189</v>
      </c>
      <c r="F120" s="159">
        <f t="shared" si="13"/>
        <v>4467047.6190476175</v>
      </c>
      <c r="G120" s="159">
        <f t="shared" si="8"/>
        <v>4575999.9999999981</v>
      </c>
      <c r="H120" s="163">
        <f t="shared" si="14"/>
        <v>773758.15226666362</v>
      </c>
      <c r="I120" s="253">
        <f t="shared" si="15"/>
        <v>773758.15226666362</v>
      </c>
      <c r="J120" s="158">
        <f t="shared" si="9"/>
        <v>0</v>
      </c>
      <c r="K120" s="158"/>
      <c r="L120" s="334"/>
      <c r="M120" s="158">
        <f t="shared" si="10"/>
        <v>0</v>
      </c>
      <c r="N120" s="334"/>
      <c r="O120" s="158">
        <f t="shared" si="11"/>
        <v>0</v>
      </c>
      <c r="P120" s="158">
        <f t="shared" si="12"/>
        <v>0</v>
      </c>
    </row>
    <row r="121" spans="2:16">
      <c r="B121" s="9" t="str">
        <f t="shared" si="16"/>
        <v/>
      </c>
      <c r="C121" s="153">
        <f>IF(D93="","-",+C120+1)</f>
        <v>2040</v>
      </c>
      <c r="D121" s="154">
        <f>IF(F120+SUM(E$99:E120)=D$92,F120,D$92-SUM(E$99:E120))</f>
        <v>4467047.6190476175</v>
      </c>
      <c r="E121" s="160">
        <f>IF(+J96&lt;F120,J96,D121)</f>
        <v>217904.76190476189</v>
      </c>
      <c r="F121" s="159">
        <f t="shared" si="13"/>
        <v>4249142.8571428554</v>
      </c>
      <c r="G121" s="159">
        <f t="shared" si="8"/>
        <v>4358095.2380952369</v>
      </c>
      <c r="H121" s="163">
        <f t="shared" si="14"/>
        <v>747288.94320181117</v>
      </c>
      <c r="I121" s="253">
        <f t="shared" si="15"/>
        <v>747288.94320181117</v>
      </c>
      <c r="J121" s="158">
        <f t="shared" si="9"/>
        <v>0</v>
      </c>
      <c r="K121" s="158"/>
      <c r="L121" s="334"/>
      <c r="M121" s="158">
        <f t="shared" si="10"/>
        <v>0</v>
      </c>
      <c r="N121" s="334"/>
      <c r="O121" s="158">
        <f t="shared" si="11"/>
        <v>0</v>
      </c>
      <c r="P121" s="158">
        <f t="shared" si="12"/>
        <v>0</v>
      </c>
    </row>
    <row r="122" spans="2:16">
      <c r="B122" s="9" t="str">
        <f t="shared" si="16"/>
        <v/>
      </c>
      <c r="C122" s="153">
        <f>IF(D93="","-",+C121+1)</f>
        <v>2041</v>
      </c>
      <c r="D122" s="154">
        <f>IF(F121+SUM(E$99:E121)=D$92,F121,D$92-SUM(E$99:E121))</f>
        <v>4249142.8571428554</v>
      </c>
      <c r="E122" s="160">
        <f>IF(+J96&lt;F121,J96,D122)</f>
        <v>217904.76190476189</v>
      </c>
      <c r="F122" s="159">
        <f t="shared" si="13"/>
        <v>4031238.0952380933</v>
      </c>
      <c r="G122" s="159">
        <f t="shared" si="8"/>
        <v>4140190.4761904744</v>
      </c>
      <c r="H122" s="163">
        <f t="shared" si="14"/>
        <v>720819.73413695861</v>
      </c>
      <c r="I122" s="253">
        <f t="shared" si="15"/>
        <v>720819.73413695861</v>
      </c>
      <c r="J122" s="158">
        <f t="shared" si="9"/>
        <v>0</v>
      </c>
      <c r="K122" s="158"/>
      <c r="L122" s="334"/>
      <c r="M122" s="158">
        <f t="shared" si="10"/>
        <v>0</v>
      </c>
      <c r="N122" s="334"/>
      <c r="O122" s="158">
        <f t="shared" si="11"/>
        <v>0</v>
      </c>
      <c r="P122" s="158">
        <f t="shared" si="12"/>
        <v>0</v>
      </c>
    </row>
    <row r="123" spans="2:16">
      <c r="B123" s="9" t="str">
        <f t="shared" si="16"/>
        <v/>
      </c>
      <c r="C123" s="153">
        <f>IF(D93="","-",+C122+1)</f>
        <v>2042</v>
      </c>
      <c r="D123" s="154">
        <f>IF(F122+SUM(E$99:E122)=D$92,F122,D$92-SUM(E$99:E122))</f>
        <v>4031238.0952380933</v>
      </c>
      <c r="E123" s="160">
        <f>IF(+J96&lt;F122,J96,D123)</f>
        <v>217904.76190476189</v>
      </c>
      <c r="F123" s="159">
        <f t="shared" si="13"/>
        <v>3813333.3333333312</v>
      </c>
      <c r="G123" s="159">
        <f t="shared" si="8"/>
        <v>3922285.7142857122</v>
      </c>
      <c r="H123" s="163">
        <f t="shared" si="14"/>
        <v>694350.52507210616</v>
      </c>
      <c r="I123" s="253">
        <f t="shared" si="15"/>
        <v>694350.52507210616</v>
      </c>
      <c r="J123" s="158">
        <f t="shared" si="9"/>
        <v>0</v>
      </c>
      <c r="K123" s="158"/>
      <c r="L123" s="334"/>
      <c r="M123" s="158">
        <f t="shared" si="10"/>
        <v>0</v>
      </c>
      <c r="N123" s="334"/>
      <c r="O123" s="158">
        <f t="shared" si="11"/>
        <v>0</v>
      </c>
      <c r="P123" s="158">
        <f t="shared" si="12"/>
        <v>0</v>
      </c>
    </row>
    <row r="124" spans="2:16">
      <c r="B124" s="9" t="str">
        <f t="shared" si="16"/>
        <v/>
      </c>
      <c r="C124" s="153">
        <f>IF(D93="","-",+C123+1)</f>
        <v>2043</v>
      </c>
      <c r="D124" s="154">
        <f>IF(F123+SUM(E$99:E123)=D$92,F123,D$92-SUM(E$99:E123))</f>
        <v>3813333.3333333312</v>
      </c>
      <c r="E124" s="160">
        <f>IF(+J96&lt;F123,J96,D124)</f>
        <v>217904.76190476189</v>
      </c>
      <c r="F124" s="159">
        <f t="shared" si="13"/>
        <v>3595428.571428569</v>
      </c>
      <c r="G124" s="159">
        <f t="shared" si="8"/>
        <v>3704380.9523809501</v>
      </c>
      <c r="H124" s="163">
        <f t="shared" si="14"/>
        <v>667881.3160072536</v>
      </c>
      <c r="I124" s="253">
        <f t="shared" si="15"/>
        <v>667881.3160072536</v>
      </c>
      <c r="J124" s="158">
        <f t="shared" si="9"/>
        <v>0</v>
      </c>
      <c r="K124" s="158"/>
      <c r="L124" s="334"/>
      <c r="M124" s="158">
        <f t="shared" si="10"/>
        <v>0</v>
      </c>
      <c r="N124" s="334"/>
      <c r="O124" s="158">
        <f t="shared" si="11"/>
        <v>0</v>
      </c>
      <c r="P124" s="158">
        <f t="shared" si="12"/>
        <v>0</v>
      </c>
    </row>
    <row r="125" spans="2:16">
      <c r="B125" s="9" t="str">
        <f t="shared" si="16"/>
        <v/>
      </c>
      <c r="C125" s="153">
        <f>IF(D93="","-",+C124+1)</f>
        <v>2044</v>
      </c>
      <c r="D125" s="154">
        <f>IF(F124+SUM(E$99:E124)=D$92,F124,D$92-SUM(E$99:E124))</f>
        <v>3595428.571428569</v>
      </c>
      <c r="E125" s="160">
        <f>IF(+J96&lt;F124,J96,D125)</f>
        <v>217904.76190476189</v>
      </c>
      <c r="F125" s="159">
        <f t="shared" si="13"/>
        <v>3377523.8095238069</v>
      </c>
      <c r="G125" s="159">
        <f t="shared" si="8"/>
        <v>3486476.190476188</v>
      </c>
      <c r="H125" s="163">
        <f t="shared" si="14"/>
        <v>641412.10694240115</v>
      </c>
      <c r="I125" s="253">
        <f t="shared" si="15"/>
        <v>641412.10694240115</v>
      </c>
      <c r="J125" s="158">
        <f t="shared" si="9"/>
        <v>0</v>
      </c>
      <c r="K125" s="158"/>
      <c r="L125" s="334"/>
      <c r="M125" s="158">
        <f t="shared" si="10"/>
        <v>0</v>
      </c>
      <c r="N125" s="334"/>
      <c r="O125" s="158">
        <f t="shared" si="11"/>
        <v>0</v>
      </c>
      <c r="P125" s="158">
        <f t="shared" si="12"/>
        <v>0</v>
      </c>
    </row>
    <row r="126" spans="2:16">
      <c r="B126" s="9" t="str">
        <f t="shared" si="16"/>
        <v/>
      </c>
      <c r="C126" s="153">
        <f>IF(D93="","-",+C125+1)</f>
        <v>2045</v>
      </c>
      <c r="D126" s="154">
        <f>IF(F125+SUM(E$99:E125)=D$92,F125,D$92-SUM(E$99:E125))</f>
        <v>3377523.8095238069</v>
      </c>
      <c r="E126" s="160">
        <f>IF(+J96&lt;F125,J96,D126)</f>
        <v>217904.76190476189</v>
      </c>
      <c r="F126" s="159">
        <f t="shared" si="13"/>
        <v>3159619.0476190448</v>
      </c>
      <c r="G126" s="159">
        <f t="shared" si="8"/>
        <v>3268571.4285714258</v>
      </c>
      <c r="H126" s="163">
        <f t="shared" si="14"/>
        <v>614942.89787754859</v>
      </c>
      <c r="I126" s="253">
        <f t="shared" si="15"/>
        <v>614942.89787754859</v>
      </c>
      <c r="J126" s="158">
        <f t="shared" si="9"/>
        <v>0</v>
      </c>
      <c r="K126" s="158"/>
      <c r="L126" s="334"/>
      <c r="M126" s="158">
        <f t="shared" si="10"/>
        <v>0</v>
      </c>
      <c r="N126" s="334"/>
      <c r="O126" s="158">
        <f t="shared" si="11"/>
        <v>0</v>
      </c>
      <c r="P126" s="158">
        <f t="shared" si="12"/>
        <v>0</v>
      </c>
    </row>
    <row r="127" spans="2:16">
      <c r="B127" s="9" t="str">
        <f t="shared" si="16"/>
        <v/>
      </c>
      <c r="C127" s="153">
        <f>IF(D93="","-",+C126+1)</f>
        <v>2046</v>
      </c>
      <c r="D127" s="154">
        <f>IF(F126+SUM(E$99:E126)=D$92,F126,D$92-SUM(E$99:E126))</f>
        <v>3159619.0476190448</v>
      </c>
      <c r="E127" s="160">
        <f>IF(+J96&lt;F126,J96,D127)</f>
        <v>217904.76190476189</v>
      </c>
      <c r="F127" s="159">
        <f t="shared" si="13"/>
        <v>2941714.2857142827</v>
      </c>
      <c r="G127" s="159">
        <f t="shared" si="8"/>
        <v>3050666.6666666637</v>
      </c>
      <c r="H127" s="163">
        <f t="shared" si="14"/>
        <v>588473.68881269614</v>
      </c>
      <c r="I127" s="253">
        <f t="shared" si="15"/>
        <v>588473.68881269614</v>
      </c>
      <c r="J127" s="158">
        <f t="shared" si="9"/>
        <v>0</v>
      </c>
      <c r="K127" s="158"/>
      <c r="L127" s="334"/>
      <c r="M127" s="158">
        <f t="shared" si="10"/>
        <v>0</v>
      </c>
      <c r="N127" s="334"/>
      <c r="O127" s="158">
        <f t="shared" si="11"/>
        <v>0</v>
      </c>
      <c r="P127" s="158">
        <f t="shared" si="12"/>
        <v>0</v>
      </c>
    </row>
    <row r="128" spans="2:16">
      <c r="B128" s="9" t="str">
        <f t="shared" si="16"/>
        <v/>
      </c>
      <c r="C128" s="153">
        <f>IF(D93="","-",+C127+1)</f>
        <v>2047</v>
      </c>
      <c r="D128" s="154">
        <f>IF(F127+SUM(E$99:E127)=D$92,F127,D$92-SUM(E$99:E127))</f>
        <v>2941714.2857142827</v>
      </c>
      <c r="E128" s="160">
        <f>IF(+J96&lt;F127,J96,D128)</f>
        <v>217904.76190476189</v>
      </c>
      <c r="F128" s="159">
        <f t="shared" si="13"/>
        <v>2723809.5238095205</v>
      </c>
      <c r="G128" s="159">
        <f t="shared" si="8"/>
        <v>2832761.9047619016</v>
      </c>
      <c r="H128" s="163">
        <f t="shared" si="14"/>
        <v>562004.4797478437</v>
      </c>
      <c r="I128" s="253">
        <f t="shared" si="15"/>
        <v>562004.4797478437</v>
      </c>
      <c r="J128" s="158">
        <f t="shared" si="9"/>
        <v>0</v>
      </c>
      <c r="K128" s="158"/>
      <c r="L128" s="334"/>
      <c r="M128" s="158">
        <f t="shared" si="10"/>
        <v>0</v>
      </c>
      <c r="N128" s="334"/>
      <c r="O128" s="158">
        <f t="shared" si="11"/>
        <v>0</v>
      </c>
      <c r="P128" s="158">
        <f t="shared" si="12"/>
        <v>0</v>
      </c>
    </row>
    <row r="129" spans="2:16">
      <c r="B129" s="9" t="str">
        <f t="shared" si="16"/>
        <v/>
      </c>
      <c r="C129" s="153">
        <f>IF(D93="","-",+C128+1)</f>
        <v>2048</v>
      </c>
      <c r="D129" s="154">
        <f>IF(F128+SUM(E$99:E128)=D$92,F128,D$92-SUM(E$99:E128))</f>
        <v>2723809.5238095205</v>
      </c>
      <c r="E129" s="160">
        <f>IF(+J96&lt;F128,J96,D129)</f>
        <v>217904.76190476189</v>
      </c>
      <c r="F129" s="159">
        <f t="shared" si="13"/>
        <v>2505904.7619047584</v>
      </c>
      <c r="G129" s="159">
        <f t="shared" si="8"/>
        <v>2614857.1428571395</v>
      </c>
      <c r="H129" s="163">
        <f t="shared" si="14"/>
        <v>535535.27068299113</v>
      </c>
      <c r="I129" s="253">
        <f t="shared" si="15"/>
        <v>535535.27068299113</v>
      </c>
      <c r="J129" s="158">
        <f t="shared" si="9"/>
        <v>0</v>
      </c>
      <c r="K129" s="158"/>
      <c r="L129" s="334"/>
      <c r="M129" s="158">
        <f t="shared" si="10"/>
        <v>0</v>
      </c>
      <c r="N129" s="334"/>
      <c r="O129" s="158">
        <f t="shared" si="11"/>
        <v>0</v>
      </c>
      <c r="P129" s="158">
        <f t="shared" si="12"/>
        <v>0</v>
      </c>
    </row>
    <row r="130" spans="2:16">
      <c r="B130" s="9" t="str">
        <f t="shared" si="16"/>
        <v/>
      </c>
      <c r="C130" s="153">
        <f>IF(D93="","-",+C129+1)</f>
        <v>2049</v>
      </c>
      <c r="D130" s="154">
        <f>IF(F129+SUM(E$99:E129)=D$92,F129,D$92-SUM(E$99:E129))</f>
        <v>2505904.7619047584</v>
      </c>
      <c r="E130" s="160">
        <f>IF(+J96&lt;F129,J96,D130)</f>
        <v>217904.76190476189</v>
      </c>
      <c r="F130" s="159">
        <f t="shared" si="13"/>
        <v>2287999.9999999963</v>
      </c>
      <c r="G130" s="159">
        <f t="shared" si="8"/>
        <v>2396952.3809523773</v>
      </c>
      <c r="H130" s="163">
        <f t="shared" si="14"/>
        <v>509066.06161813863</v>
      </c>
      <c r="I130" s="253">
        <f t="shared" si="15"/>
        <v>509066.06161813863</v>
      </c>
      <c r="J130" s="158">
        <f t="shared" si="9"/>
        <v>0</v>
      </c>
      <c r="K130" s="158"/>
      <c r="L130" s="334"/>
      <c r="M130" s="158">
        <f t="shared" si="10"/>
        <v>0</v>
      </c>
      <c r="N130" s="334"/>
      <c r="O130" s="158">
        <f t="shared" si="11"/>
        <v>0</v>
      </c>
      <c r="P130" s="158">
        <f t="shared" si="12"/>
        <v>0</v>
      </c>
    </row>
    <row r="131" spans="2:16">
      <c r="B131" s="9" t="str">
        <f t="shared" si="16"/>
        <v/>
      </c>
      <c r="C131" s="153">
        <f>IF(D93="","-",+C130+1)</f>
        <v>2050</v>
      </c>
      <c r="D131" s="154">
        <f>IF(F130+SUM(E$99:E130)=D$92,F130,D$92-SUM(E$99:E130))</f>
        <v>2287999.9999999963</v>
      </c>
      <c r="E131" s="160">
        <f>IF(+J96&lt;F130,J96,D131)</f>
        <v>217904.76190476189</v>
      </c>
      <c r="F131" s="159">
        <f t="shared" si="13"/>
        <v>2070095.2380952344</v>
      </c>
      <c r="G131" s="159">
        <f t="shared" si="8"/>
        <v>2179047.6190476152</v>
      </c>
      <c r="H131" s="163">
        <f t="shared" si="14"/>
        <v>482596.85255328612</v>
      </c>
      <c r="I131" s="253">
        <f t="shared" si="15"/>
        <v>482596.85255328612</v>
      </c>
      <c r="J131" s="158">
        <f t="shared" ref="J131:J154" si="17">+I541-H541</f>
        <v>0</v>
      </c>
      <c r="K131" s="158"/>
      <c r="L131" s="334"/>
      <c r="M131" s="158">
        <f t="shared" ref="M131:M154" si="18">IF(L541&lt;&gt;0,+H541-L541,0)</f>
        <v>0</v>
      </c>
      <c r="N131" s="334"/>
      <c r="O131" s="158">
        <f t="shared" ref="O131:O154" si="19">IF(N541&lt;&gt;0,+I541-N541,0)</f>
        <v>0</v>
      </c>
      <c r="P131" s="158">
        <f t="shared" ref="P131:P154" si="20">+O541-M541</f>
        <v>0</v>
      </c>
    </row>
    <row r="132" spans="2:16">
      <c r="B132" s="9" t="str">
        <f t="shared" si="16"/>
        <v/>
      </c>
      <c r="C132" s="153">
        <f>IF(D93="","-",+C131+1)</f>
        <v>2051</v>
      </c>
      <c r="D132" s="154">
        <f>IF(F131+SUM(E$99:E131)=D$92,F131,D$92-SUM(E$99:E131))</f>
        <v>2070095.2380952344</v>
      </c>
      <c r="E132" s="160">
        <f>IF(+J96&lt;F131,J96,D132)</f>
        <v>217904.76190476189</v>
      </c>
      <c r="F132" s="159">
        <f t="shared" si="13"/>
        <v>1852190.4761904725</v>
      </c>
      <c r="G132" s="159">
        <f t="shared" si="8"/>
        <v>1961142.8571428536</v>
      </c>
      <c r="H132" s="163">
        <f t="shared" si="14"/>
        <v>456127.64348843368</v>
      </c>
      <c r="I132" s="253">
        <f t="shared" si="15"/>
        <v>456127.64348843368</v>
      </c>
      <c r="J132" s="158">
        <f t="shared" si="17"/>
        <v>0</v>
      </c>
      <c r="K132" s="158"/>
      <c r="L132" s="334"/>
      <c r="M132" s="158">
        <f t="shared" si="18"/>
        <v>0</v>
      </c>
      <c r="N132" s="334"/>
      <c r="O132" s="158">
        <f t="shared" si="19"/>
        <v>0</v>
      </c>
      <c r="P132" s="158">
        <f t="shared" si="20"/>
        <v>0</v>
      </c>
    </row>
    <row r="133" spans="2:16">
      <c r="B133" s="9" t="str">
        <f t="shared" si="16"/>
        <v/>
      </c>
      <c r="C133" s="153">
        <f>IF(D93="","-",+C132+1)</f>
        <v>2052</v>
      </c>
      <c r="D133" s="154">
        <f>IF(F132+SUM(E$99:E132)=D$92,F132,D$92-SUM(E$99:E132))</f>
        <v>1852190.4761904725</v>
      </c>
      <c r="E133" s="160">
        <f>IF(+J96&lt;F132,J96,D133)</f>
        <v>217904.76190476189</v>
      </c>
      <c r="F133" s="159">
        <f t="shared" si="13"/>
        <v>1634285.7142857106</v>
      </c>
      <c r="G133" s="159">
        <f t="shared" si="8"/>
        <v>1743238.0952380914</v>
      </c>
      <c r="H133" s="163">
        <f t="shared" si="14"/>
        <v>429658.43442358123</v>
      </c>
      <c r="I133" s="253">
        <f t="shared" si="15"/>
        <v>429658.43442358123</v>
      </c>
      <c r="J133" s="158">
        <f t="shared" si="17"/>
        <v>0</v>
      </c>
      <c r="K133" s="158"/>
      <c r="L133" s="334"/>
      <c r="M133" s="158">
        <f t="shared" si="18"/>
        <v>0</v>
      </c>
      <c r="N133" s="334"/>
      <c r="O133" s="158">
        <f t="shared" si="19"/>
        <v>0</v>
      </c>
      <c r="P133" s="158">
        <f t="shared" si="20"/>
        <v>0</v>
      </c>
    </row>
    <row r="134" spans="2:16">
      <c r="B134" s="9" t="str">
        <f t="shared" si="16"/>
        <v/>
      </c>
      <c r="C134" s="153">
        <f>IF(D93="","-",+C133+1)</f>
        <v>2053</v>
      </c>
      <c r="D134" s="154">
        <f>IF(F133+SUM(E$99:E133)=D$92,F133,D$92-SUM(E$99:E133))</f>
        <v>1634285.7142857106</v>
      </c>
      <c r="E134" s="160">
        <f>IF(+J96&lt;F133,J96,D134)</f>
        <v>217904.76190476189</v>
      </c>
      <c r="F134" s="159">
        <f t="shared" si="13"/>
        <v>1416380.9523809487</v>
      </c>
      <c r="G134" s="159">
        <f t="shared" si="8"/>
        <v>1525333.3333333298</v>
      </c>
      <c r="H134" s="163">
        <f t="shared" si="14"/>
        <v>403189.22535872879</v>
      </c>
      <c r="I134" s="253">
        <f t="shared" si="15"/>
        <v>403189.22535872879</v>
      </c>
      <c r="J134" s="158">
        <f t="shared" si="17"/>
        <v>0</v>
      </c>
      <c r="K134" s="158"/>
      <c r="L134" s="334"/>
      <c r="M134" s="158">
        <f t="shared" si="18"/>
        <v>0</v>
      </c>
      <c r="N134" s="334"/>
      <c r="O134" s="158">
        <f t="shared" si="19"/>
        <v>0</v>
      </c>
      <c r="P134" s="158">
        <f t="shared" si="20"/>
        <v>0</v>
      </c>
    </row>
    <row r="135" spans="2:16">
      <c r="B135" s="9" t="str">
        <f t="shared" si="16"/>
        <v/>
      </c>
      <c r="C135" s="153">
        <f>IF(D93="","-",+C134+1)</f>
        <v>2054</v>
      </c>
      <c r="D135" s="154">
        <f>IF(F134+SUM(E$99:E134)=D$92,F134,D$92-SUM(E$99:E134))</f>
        <v>1416380.9523809487</v>
      </c>
      <c r="E135" s="160">
        <f>IF(+J96&lt;F134,J96,D135)</f>
        <v>217904.76190476189</v>
      </c>
      <c r="F135" s="159">
        <f t="shared" si="13"/>
        <v>1198476.1904761868</v>
      </c>
      <c r="G135" s="159">
        <f t="shared" si="8"/>
        <v>1307428.5714285676</v>
      </c>
      <c r="H135" s="163">
        <f t="shared" si="14"/>
        <v>376720.01629387622</v>
      </c>
      <c r="I135" s="253">
        <f t="shared" si="15"/>
        <v>376720.01629387622</v>
      </c>
      <c r="J135" s="158">
        <f t="shared" si="17"/>
        <v>0</v>
      </c>
      <c r="K135" s="158"/>
      <c r="L135" s="334"/>
      <c r="M135" s="158">
        <f t="shared" si="18"/>
        <v>0</v>
      </c>
      <c r="N135" s="334"/>
      <c r="O135" s="158">
        <f t="shared" si="19"/>
        <v>0</v>
      </c>
      <c r="P135" s="158">
        <f t="shared" si="20"/>
        <v>0</v>
      </c>
    </row>
    <row r="136" spans="2:16">
      <c r="B136" s="9" t="str">
        <f t="shared" si="16"/>
        <v/>
      </c>
      <c r="C136" s="153">
        <f>IF(D93="","-",+C135+1)</f>
        <v>2055</v>
      </c>
      <c r="D136" s="154">
        <f>IF(F135+SUM(E$99:E135)=D$92,F135,D$92-SUM(E$99:E135))</f>
        <v>1198476.1904761868</v>
      </c>
      <c r="E136" s="160">
        <f>IF(+J96&lt;F135,J96,D136)</f>
        <v>217904.76190476189</v>
      </c>
      <c r="F136" s="159">
        <f t="shared" si="13"/>
        <v>980571.42857142491</v>
      </c>
      <c r="G136" s="159">
        <f t="shared" si="8"/>
        <v>1089523.809523806</v>
      </c>
      <c r="H136" s="163">
        <f t="shared" si="14"/>
        <v>350250.80722902378</v>
      </c>
      <c r="I136" s="253">
        <f t="shared" si="15"/>
        <v>350250.80722902378</v>
      </c>
      <c r="J136" s="158">
        <f t="shared" si="17"/>
        <v>0</v>
      </c>
      <c r="K136" s="158"/>
      <c r="L136" s="334"/>
      <c r="M136" s="158">
        <f t="shared" si="18"/>
        <v>0</v>
      </c>
      <c r="N136" s="334"/>
      <c r="O136" s="158">
        <f t="shared" si="19"/>
        <v>0</v>
      </c>
      <c r="P136" s="158">
        <f t="shared" si="20"/>
        <v>0</v>
      </c>
    </row>
    <row r="137" spans="2:16">
      <c r="B137" s="9" t="str">
        <f t="shared" si="16"/>
        <v/>
      </c>
      <c r="C137" s="153">
        <f>IF(D93="","-",+C136+1)</f>
        <v>2056</v>
      </c>
      <c r="D137" s="154">
        <f>IF(F136+SUM(E$99:E136)=D$92,F136,D$92-SUM(E$99:E136))</f>
        <v>980571.42857142491</v>
      </c>
      <c r="E137" s="160">
        <f>IF(+J96&lt;F136,J96,D137)</f>
        <v>217904.76190476189</v>
      </c>
      <c r="F137" s="159">
        <f t="shared" si="13"/>
        <v>762666.66666666302</v>
      </c>
      <c r="G137" s="159">
        <f t="shared" si="8"/>
        <v>871619.04761904397</v>
      </c>
      <c r="H137" s="163">
        <f t="shared" si="14"/>
        <v>323781.59816417133</v>
      </c>
      <c r="I137" s="253">
        <f t="shared" si="15"/>
        <v>323781.59816417133</v>
      </c>
      <c r="J137" s="158">
        <f t="shared" si="17"/>
        <v>0</v>
      </c>
      <c r="K137" s="158"/>
      <c r="L137" s="334"/>
      <c r="M137" s="158">
        <f t="shared" si="18"/>
        <v>0</v>
      </c>
      <c r="N137" s="334"/>
      <c r="O137" s="158">
        <f t="shared" si="19"/>
        <v>0</v>
      </c>
      <c r="P137" s="158">
        <f t="shared" si="20"/>
        <v>0</v>
      </c>
    </row>
    <row r="138" spans="2:16">
      <c r="B138" s="9" t="str">
        <f t="shared" si="16"/>
        <v/>
      </c>
      <c r="C138" s="153">
        <f>IF(D93="","-",+C137+1)</f>
        <v>2057</v>
      </c>
      <c r="D138" s="154">
        <f>IF(F137+SUM(E$99:E137)=D$92,F137,D$92-SUM(E$99:E137))</f>
        <v>762666.66666666302</v>
      </c>
      <c r="E138" s="160">
        <f>IF(+J96&lt;F137,J96,D138)</f>
        <v>217904.76190476189</v>
      </c>
      <c r="F138" s="159">
        <f t="shared" si="13"/>
        <v>544761.90476190113</v>
      </c>
      <c r="G138" s="159">
        <f t="shared" si="8"/>
        <v>653714.28571428207</v>
      </c>
      <c r="H138" s="163">
        <f t="shared" si="14"/>
        <v>297312.38909931888</v>
      </c>
      <c r="I138" s="253">
        <f t="shared" si="15"/>
        <v>297312.38909931888</v>
      </c>
      <c r="J138" s="158">
        <f t="shared" si="17"/>
        <v>0</v>
      </c>
      <c r="K138" s="158"/>
      <c r="L138" s="334"/>
      <c r="M138" s="158">
        <f t="shared" si="18"/>
        <v>0</v>
      </c>
      <c r="N138" s="334"/>
      <c r="O138" s="158">
        <f t="shared" si="19"/>
        <v>0</v>
      </c>
      <c r="P138" s="158">
        <f t="shared" si="20"/>
        <v>0</v>
      </c>
    </row>
    <row r="139" spans="2:16">
      <c r="B139" s="9" t="str">
        <f t="shared" si="16"/>
        <v/>
      </c>
      <c r="C139" s="153">
        <f>IF(D93="","-",+C138+1)</f>
        <v>2058</v>
      </c>
      <c r="D139" s="154">
        <f>IF(F138+SUM(E$99:E138)=D$92,F138,D$92-SUM(E$99:E138))</f>
        <v>544761.90476190113</v>
      </c>
      <c r="E139" s="160">
        <f>IF(+J96&lt;F138,J96,D139)</f>
        <v>217904.76190476189</v>
      </c>
      <c r="F139" s="159">
        <f t="shared" si="13"/>
        <v>326857.14285713923</v>
      </c>
      <c r="G139" s="159">
        <f t="shared" si="8"/>
        <v>435809.52380952018</v>
      </c>
      <c r="H139" s="163">
        <f t="shared" si="14"/>
        <v>270843.18003446638</v>
      </c>
      <c r="I139" s="253">
        <f t="shared" si="15"/>
        <v>270843.18003446638</v>
      </c>
      <c r="J139" s="158">
        <f t="shared" si="17"/>
        <v>0</v>
      </c>
      <c r="K139" s="158"/>
      <c r="L139" s="334"/>
      <c r="M139" s="158">
        <f t="shared" si="18"/>
        <v>0</v>
      </c>
      <c r="N139" s="334"/>
      <c r="O139" s="158">
        <f t="shared" si="19"/>
        <v>0</v>
      </c>
      <c r="P139" s="158">
        <f t="shared" si="20"/>
        <v>0</v>
      </c>
    </row>
    <row r="140" spans="2:16">
      <c r="B140" s="9" t="str">
        <f t="shared" si="16"/>
        <v/>
      </c>
      <c r="C140" s="153">
        <f>IF(D93="","-",+C139+1)</f>
        <v>2059</v>
      </c>
      <c r="D140" s="154">
        <f>IF(F139+SUM(E$99:E139)=D$92,F139,D$92-SUM(E$99:E139))</f>
        <v>326857.14285713923</v>
      </c>
      <c r="E140" s="160">
        <f>IF(+J96&lt;F139,J96,D140)</f>
        <v>217904.76190476189</v>
      </c>
      <c r="F140" s="159">
        <f t="shared" si="13"/>
        <v>108952.38095237734</v>
      </c>
      <c r="G140" s="159">
        <f t="shared" si="8"/>
        <v>217904.76190475828</v>
      </c>
      <c r="H140" s="163">
        <f t="shared" si="14"/>
        <v>244373.97096961393</v>
      </c>
      <c r="I140" s="253">
        <f t="shared" si="15"/>
        <v>244373.97096961393</v>
      </c>
      <c r="J140" s="158">
        <f t="shared" si="17"/>
        <v>0</v>
      </c>
      <c r="K140" s="158"/>
      <c r="L140" s="334"/>
      <c r="M140" s="158">
        <f t="shared" si="18"/>
        <v>0</v>
      </c>
      <c r="N140" s="334"/>
      <c r="O140" s="158">
        <f t="shared" si="19"/>
        <v>0</v>
      </c>
      <c r="P140" s="158">
        <f t="shared" si="20"/>
        <v>0</v>
      </c>
    </row>
    <row r="141" spans="2:16">
      <c r="B141" s="9" t="str">
        <f t="shared" si="16"/>
        <v/>
      </c>
      <c r="C141" s="153">
        <f>IF(D93="","-",+C140+1)</f>
        <v>2060</v>
      </c>
      <c r="D141" s="154">
        <f>IF(F140+SUM(E$99:E140)=D$92,F140,D$92-SUM(E$99:E140))</f>
        <v>108952.38095237734</v>
      </c>
      <c r="E141" s="160">
        <f>IF(+J96&lt;F140,J96,D141)</f>
        <v>108952.38095237734</v>
      </c>
      <c r="F141" s="159">
        <f t="shared" si="13"/>
        <v>0</v>
      </c>
      <c r="G141" s="159">
        <f t="shared" si="8"/>
        <v>54476.190476188669</v>
      </c>
      <c r="H141" s="163">
        <f t="shared" si="14"/>
        <v>115569.68321859023</v>
      </c>
      <c r="I141" s="253">
        <f t="shared" si="15"/>
        <v>115569.68321859023</v>
      </c>
      <c r="J141" s="158">
        <f t="shared" si="17"/>
        <v>0</v>
      </c>
      <c r="K141" s="158"/>
      <c r="L141" s="334"/>
      <c r="M141" s="158">
        <f t="shared" si="18"/>
        <v>0</v>
      </c>
      <c r="N141" s="334"/>
      <c r="O141" s="158">
        <f t="shared" si="19"/>
        <v>0</v>
      </c>
      <c r="P141" s="158">
        <f t="shared" si="20"/>
        <v>0</v>
      </c>
    </row>
    <row r="142" spans="2:16">
      <c r="B142" s="9" t="str">
        <f t="shared" si="16"/>
        <v/>
      </c>
      <c r="C142" s="153">
        <f>IF(D93="","-",+C141+1)</f>
        <v>2061</v>
      </c>
      <c r="D142" s="154">
        <f>IF(F141+SUM(E$99:E141)=D$92,F141,D$92-SUM(E$99:E141))</f>
        <v>0</v>
      </c>
      <c r="E142" s="160">
        <f>IF(+J96&lt;F141,J96,D142)</f>
        <v>0</v>
      </c>
      <c r="F142" s="159">
        <f t="shared" si="13"/>
        <v>0</v>
      </c>
      <c r="G142" s="159">
        <f t="shared" si="8"/>
        <v>0</v>
      </c>
      <c r="H142" s="163">
        <f t="shared" si="14"/>
        <v>0</v>
      </c>
      <c r="I142" s="253">
        <f t="shared" si="15"/>
        <v>0</v>
      </c>
      <c r="J142" s="158">
        <f t="shared" si="17"/>
        <v>0</v>
      </c>
      <c r="K142" s="158"/>
      <c r="L142" s="334"/>
      <c r="M142" s="158">
        <f t="shared" si="18"/>
        <v>0</v>
      </c>
      <c r="N142" s="334"/>
      <c r="O142" s="158">
        <f t="shared" si="19"/>
        <v>0</v>
      </c>
      <c r="P142" s="158">
        <f t="shared" si="20"/>
        <v>0</v>
      </c>
    </row>
    <row r="143" spans="2:16">
      <c r="B143" s="9" t="str">
        <f t="shared" si="16"/>
        <v/>
      </c>
      <c r="C143" s="153">
        <f>IF(D93="","-",+C142+1)</f>
        <v>2062</v>
      </c>
      <c r="D143" s="154">
        <f>IF(F142+SUM(E$99:E142)=D$92,F142,D$92-SUM(E$99:E142))</f>
        <v>0</v>
      </c>
      <c r="E143" s="160">
        <f>IF(+J96&lt;F142,J96,D143)</f>
        <v>0</v>
      </c>
      <c r="F143" s="159">
        <f t="shared" si="13"/>
        <v>0</v>
      </c>
      <c r="G143" s="159">
        <f t="shared" si="8"/>
        <v>0</v>
      </c>
      <c r="H143" s="163">
        <f t="shared" si="14"/>
        <v>0</v>
      </c>
      <c r="I143" s="253">
        <f t="shared" si="15"/>
        <v>0</v>
      </c>
      <c r="J143" s="158">
        <f t="shared" si="17"/>
        <v>0</v>
      </c>
      <c r="K143" s="158"/>
      <c r="L143" s="334"/>
      <c r="M143" s="158">
        <f t="shared" si="18"/>
        <v>0</v>
      </c>
      <c r="N143" s="334"/>
      <c r="O143" s="158">
        <f t="shared" si="19"/>
        <v>0</v>
      </c>
      <c r="P143" s="158">
        <f t="shared" si="20"/>
        <v>0</v>
      </c>
    </row>
    <row r="144" spans="2:16">
      <c r="B144" s="9" t="str">
        <f t="shared" si="16"/>
        <v/>
      </c>
      <c r="C144" s="153">
        <f>IF(D93="","-",+C143+1)</f>
        <v>2063</v>
      </c>
      <c r="D144" s="154">
        <f>IF(F143+SUM(E$99:E143)=D$92,F143,D$92-SUM(E$99:E143))</f>
        <v>0</v>
      </c>
      <c r="E144" s="160">
        <f>IF(+J96&lt;F143,J96,D144)</f>
        <v>0</v>
      </c>
      <c r="F144" s="159">
        <f t="shared" si="13"/>
        <v>0</v>
      </c>
      <c r="G144" s="159">
        <f t="shared" si="8"/>
        <v>0</v>
      </c>
      <c r="H144" s="163">
        <f t="shared" si="14"/>
        <v>0</v>
      </c>
      <c r="I144" s="253">
        <f t="shared" si="15"/>
        <v>0</v>
      </c>
      <c r="J144" s="158">
        <f t="shared" si="17"/>
        <v>0</v>
      </c>
      <c r="K144" s="158"/>
      <c r="L144" s="334"/>
      <c r="M144" s="158">
        <f t="shared" si="18"/>
        <v>0</v>
      </c>
      <c r="N144" s="334"/>
      <c r="O144" s="158">
        <f t="shared" si="19"/>
        <v>0</v>
      </c>
      <c r="P144" s="158">
        <f t="shared" si="20"/>
        <v>0</v>
      </c>
    </row>
    <row r="145" spans="2:16">
      <c r="B145" s="9" t="str">
        <f t="shared" si="16"/>
        <v/>
      </c>
      <c r="C145" s="153">
        <f>IF(D93="","-",+C144+1)</f>
        <v>2064</v>
      </c>
      <c r="D145" s="154">
        <f>IF(F144+SUM(E$99:E144)=D$92,F144,D$92-SUM(E$99:E144))</f>
        <v>0</v>
      </c>
      <c r="E145" s="160">
        <f>IF(+J96&lt;F144,J96,D145)</f>
        <v>0</v>
      </c>
      <c r="F145" s="159">
        <f t="shared" si="13"/>
        <v>0</v>
      </c>
      <c r="G145" s="159">
        <f t="shared" si="8"/>
        <v>0</v>
      </c>
      <c r="H145" s="163">
        <f t="shared" si="14"/>
        <v>0</v>
      </c>
      <c r="I145" s="253">
        <f t="shared" si="15"/>
        <v>0</v>
      </c>
      <c r="J145" s="158">
        <f t="shared" si="17"/>
        <v>0</v>
      </c>
      <c r="K145" s="158"/>
      <c r="L145" s="334"/>
      <c r="M145" s="158">
        <f t="shared" si="18"/>
        <v>0</v>
      </c>
      <c r="N145" s="334"/>
      <c r="O145" s="158">
        <f t="shared" si="19"/>
        <v>0</v>
      </c>
      <c r="P145" s="158">
        <f t="shared" si="20"/>
        <v>0</v>
      </c>
    </row>
    <row r="146" spans="2:16">
      <c r="B146" s="9" t="str">
        <f t="shared" si="16"/>
        <v/>
      </c>
      <c r="C146" s="153">
        <f>IF(D93="","-",+C145+1)</f>
        <v>2065</v>
      </c>
      <c r="D146" s="154">
        <f>IF(F145+SUM(E$99:E145)=D$92,F145,D$92-SUM(E$99:E145))</f>
        <v>0</v>
      </c>
      <c r="E146" s="160">
        <f>IF(+J96&lt;F145,J96,D146)</f>
        <v>0</v>
      </c>
      <c r="F146" s="159">
        <f t="shared" si="13"/>
        <v>0</v>
      </c>
      <c r="G146" s="159">
        <f t="shared" si="8"/>
        <v>0</v>
      </c>
      <c r="H146" s="163">
        <f t="shared" si="14"/>
        <v>0</v>
      </c>
      <c r="I146" s="253">
        <f t="shared" si="15"/>
        <v>0</v>
      </c>
      <c r="J146" s="158">
        <f t="shared" si="17"/>
        <v>0</v>
      </c>
      <c r="K146" s="158"/>
      <c r="L146" s="334"/>
      <c r="M146" s="158">
        <f t="shared" si="18"/>
        <v>0</v>
      </c>
      <c r="N146" s="334"/>
      <c r="O146" s="158">
        <f t="shared" si="19"/>
        <v>0</v>
      </c>
      <c r="P146" s="158">
        <f t="shared" si="20"/>
        <v>0</v>
      </c>
    </row>
    <row r="147" spans="2:16">
      <c r="B147" s="9" t="str">
        <f t="shared" si="16"/>
        <v/>
      </c>
      <c r="C147" s="153">
        <f>IF(D93="","-",+C146+1)</f>
        <v>2066</v>
      </c>
      <c r="D147" s="154">
        <f>IF(F146+SUM(E$99:E146)=D$92,F146,D$92-SUM(E$99:E146))</f>
        <v>0</v>
      </c>
      <c r="E147" s="160">
        <f>IF(+J96&lt;F146,J96,D147)</f>
        <v>0</v>
      </c>
      <c r="F147" s="159">
        <f t="shared" si="13"/>
        <v>0</v>
      </c>
      <c r="G147" s="159">
        <f t="shared" si="8"/>
        <v>0</v>
      </c>
      <c r="H147" s="163">
        <f t="shared" si="14"/>
        <v>0</v>
      </c>
      <c r="I147" s="253">
        <f t="shared" si="15"/>
        <v>0</v>
      </c>
      <c r="J147" s="158">
        <f t="shared" si="17"/>
        <v>0</v>
      </c>
      <c r="K147" s="158"/>
      <c r="L147" s="334"/>
      <c r="M147" s="158">
        <f t="shared" si="18"/>
        <v>0</v>
      </c>
      <c r="N147" s="334"/>
      <c r="O147" s="158">
        <f t="shared" si="19"/>
        <v>0</v>
      </c>
      <c r="P147" s="158">
        <f t="shared" si="20"/>
        <v>0</v>
      </c>
    </row>
    <row r="148" spans="2:16">
      <c r="B148" s="9" t="str">
        <f t="shared" si="16"/>
        <v/>
      </c>
      <c r="C148" s="153">
        <f>IF(D93="","-",+C147+1)</f>
        <v>2067</v>
      </c>
      <c r="D148" s="154">
        <f>IF(F147+SUM(E$99:E147)=D$92,F147,D$92-SUM(E$99:E147))</f>
        <v>0</v>
      </c>
      <c r="E148" s="160">
        <f>IF(+J96&lt;F147,J96,D148)</f>
        <v>0</v>
      </c>
      <c r="F148" s="159">
        <f t="shared" si="13"/>
        <v>0</v>
      </c>
      <c r="G148" s="159">
        <f t="shared" si="8"/>
        <v>0</v>
      </c>
      <c r="H148" s="163">
        <f t="shared" si="14"/>
        <v>0</v>
      </c>
      <c r="I148" s="253">
        <f t="shared" si="15"/>
        <v>0</v>
      </c>
      <c r="J148" s="158">
        <f t="shared" si="17"/>
        <v>0</v>
      </c>
      <c r="K148" s="158"/>
      <c r="L148" s="334"/>
      <c r="M148" s="158">
        <f t="shared" si="18"/>
        <v>0</v>
      </c>
      <c r="N148" s="334"/>
      <c r="O148" s="158">
        <f t="shared" si="19"/>
        <v>0</v>
      </c>
      <c r="P148" s="158">
        <f t="shared" si="20"/>
        <v>0</v>
      </c>
    </row>
    <row r="149" spans="2:16">
      <c r="B149" s="9" t="str">
        <f t="shared" si="16"/>
        <v/>
      </c>
      <c r="C149" s="153">
        <f>IF(D93="","-",+C148+1)</f>
        <v>2068</v>
      </c>
      <c r="D149" s="154">
        <f>IF(F148+SUM(E$99:E148)=D$92,F148,D$92-SUM(E$99:E148))</f>
        <v>0</v>
      </c>
      <c r="E149" s="160">
        <f>IF(+J96&lt;F148,J96,D149)</f>
        <v>0</v>
      </c>
      <c r="F149" s="159">
        <f t="shared" si="13"/>
        <v>0</v>
      </c>
      <c r="G149" s="159">
        <f t="shared" si="8"/>
        <v>0</v>
      </c>
      <c r="H149" s="163">
        <f t="shared" si="14"/>
        <v>0</v>
      </c>
      <c r="I149" s="253">
        <f t="shared" si="15"/>
        <v>0</v>
      </c>
      <c r="J149" s="158">
        <f t="shared" si="17"/>
        <v>0</v>
      </c>
      <c r="K149" s="158"/>
      <c r="L149" s="334"/>
      <c r="M149" s="158">
        <f t="shared" si="18"/>
        <v>0</v>
      </c>
      <c r="N149" s="334"/>
      <c r="O149" s="158">
        <f t="shared" si="19"/>
        <v>0</v>
      </c>
      <c r="P149" s="158">
        <f t="shared" si="20"/>
        <v>0</v>
      </c>
    </row>
    <row r="150" spans="2:16">
      <c r="B150" s="9" t="str">
        <f t="shared" si="16"/>
        <v/>
      </c>
      <c r="C150" s="153">
        <f>IF(D93="","-",+C149+1)</f>
        <v>2069</v>
      </c>
      <c r="D150" s="154">
        <f>IF(F149+SUM(E$99:E149)=D$92,F149,D$92-SUM(E$99:E149))</f>
        <v>0</v>
      </c>
      <c r="E150" s="160">
        <f>IF(+J96&lt;F149,J96,D150)</f>
        <v>0</v>
      </c>
      <c r="F150" s="159">
        <f t="shared" si="13"/>
        <v>0</v>
      </c>
      <c r="G150" s="159">
        <f t="shared" si="8"/>
        <v>0</v>
      </c>
      <c r="H150" s="163">
        <f t="shared" si="14"/>
        <v>0</v>
      </c>
      <c r="I150" s="253">
        <f t="shared" si="15"/>
        <v>0</v>
      </c>
      <c r="J150" s="158">
        <f t="shared" si="17"/>
        <v>0</v>
      </c>
      <c r="K150" s="158"/>
      <c r="L150" s="334"/>
      <c r="M150" s="158">
        <f t="shared" si="18"/>
        <v>0</v>
      </c>
      <c r="N150" s="334"/>
      <c r="O150" s="158">
        <f t="shared" si="19"/>
        <v>0</v>
      </c>
      <c r="P150" s="158">
        <f t="shared" si="20"/>
        <v>0</v>
      </c>
    </row>
    <row r="151" spans="2:16">
      <c r="B151" s="9" t="str">
        <f t="shared" si="16"/>
        <v/>
      </c>
      <c r="C151" s="153">
        <f>IF(D93="","-",+C150+1)</f>
        <v>2070</v>
      </c>
      <c r="D151" s="154">
        <f>IF(F150+SUM(E$99:E150)=D$92,F150,D$92-SUM(E$99:E150))</f>
        <v>0</v>
      </c>
      <c r="E151" s="160">
        <f>IF(+J96&lt;F150,J96,D151)</f>
        <v>0</v>
      </c>
      <c r="F151" s="159">
        <f t="shared" si="13"/>
        <v>0</v>
      </c>
      <c r="G151" s="159">
        <f t="shared" si="8"/>
        <v>0</v>
      </c>
      <c r="H151" s="163">
        <f t="shared" si="14"/>
        <v>0</v>
      </c>
      <c r="I151" s="253">
        <f t="shared" si="15"/>
        <v>0</v>
      </c>
      <c r="J151" s="158">
        <f t="shared" si="17"/>
        <v>0</v>
      </c>
      <c r="K151" s="158"/>
      <c r="L151" s="334"/>
      <c r="M151" s="158">
        <f t="shared" si="18"/>
        <v>0</v>
      </c>
      <c r="N151" s="334"/>
      <c r="O151" s="158">
        <f t="shared" si="19"/>
        <v>0</v>
      </c>
      <c r="P151" s="158">
        <f t="shared" si="20"/>
        <v>0</v>
      </c>
    </row>
    <row r="152" spans="2:16">
      <c r="B152" s="9" t="str">
        <f t="shared" si="16"/>
        <v/>
      </c>
      <c r="C152" s="153">
        <f>IF(D93="","-",+C151+1)</f>
        <v>2071</v>
      </c>
      <c r="D152" s="154">
        <f>IF(F151+SUM(E$99:E151)=D$92,F151,D$92-SUM(E$99:E151))</f>
        <v>0</v>
      </c>
      <c r="E152" s="160">
        <f>IF(+J96&lt;F151,J96,D152)</f>
        <v>0</v>
      </c>
      <c r="F152" s="159">
        <f t="shared" si="13"/>
        <v>0</v>
      </c>
      <c r="G152" s="159">
        <f t="shared" si="8"/>
        <v>0</v>
      </c>
      <c r="H152" s="163">
        <f t="shared" si="14"/>
        <v>0</v>
      </c>
      <c r="I152" s="253">
        <f t="shared" si="15"/>
        <v>0</v>
      </c>
      <c r="J152" s="158">
        <f t="shared" si="17"/>
        <v>0</v>
      </c>
      <c r="K152" s="158"/>
      <c r="L152" s="334"/>
      <c r="M152" s="158">
        <f t="shared" si="18"/>
        <v>0</v>
      </c>
      <c r="N152" s="334"/>
      <c r="O152" s="158">
        <f t="shared" si="19"/>
        <v>0</v>
      </c>
      <c r="P152" s="158">
        <f t="shared" si="20"/>
        <v>0</v>
      </c>
    </row>
    <row r="153" spans="2:16">
      <c r="B153" s="9" t="str">
        <f t="shared" si="16"/>
        <v/>
      </c>
      <c r="C153" s="153">
        <f>IF(D93="","-",+C152+1)</f>
        <v>2072</v>
      </c>
      <c r="D153" s="154">
        <f>IF(F152+SUM(E$99:E152)=D$92,F152,D$92-SUM(E$99:E152))</f>
        <v>0</v>
      </c>
      <c r="E153" s="160">
        <f>IF(+J96&lt;F152,J96,D153)</f>
        <v>0</v>
      </c>
      <c r="F153" s="159">
        <f t="shared" si="13"/>
        <v>0</v>
      </c>
      <c r="G153" s="159">
        <f t="shared" si="8"/>
        <v>0</v>
      </c>
      <c r="H153" s="163">
        <f t="shared" si="14"/>
        <v>0</v>
      </c>
      <c r="I153" s="253">
        <f t="shared" si="15"/>
        <v>0</v>
      </c>
      <c r="J153" s="158">
        <f t="shared" si="17"/>
        <v>0</v>
      </c>
      <c r="K153" s="158"/>
      <c r="L153" s="334"/>
      <c r="M153" s="158">
        <f t="shared" si="18"/>
        <v>0</v>
      </c>
      <c r="N153" s="334"/>
      <c r="O153" s="158">
        <f t="shared" si="19"/>
        <v>0</v>
      </c>
      <c r="P153" s="158">
        <f t="shared" si="20"/>
        <v>0</v>
      </c>
    </row>
    <row r="154" spans="2:16" ht="13.5" thickBot="1">
      <c r="B154" s="9" t="str">
        <f t="shared" si="16"/>
        <v/>
      </c>
      <c r="C154" s="164">
        <f>IF(D93="","-",+C153+1)</f>
        <v>2073</v>
      </c>
      <c r="D154" s="215">
        <f>IF(F153+SUM(E$99:E153)=D$92,F153,D$92-SUM(E$99:E153))</f>
        <v>0</v>
      </c>
      <c r="E154" s="166">
        <f>IF(+J96&lt;F153,J96,D154)</f>
        <v>0</v>
      </c>
      <c r="F154" s="165">
        <f t="shared" si="13"/>
        <v>0</v>
      </c>
      <c r="G154" s="165">
        <f t="shared" si="8"/>
        <v>0</v>
      </c>
      <c r="H154" s="167">
        <f t="shared" si="14"/>
        <v>0</v>
      </c>
      <c r="I154" s="254">
        <f t="shared" si="15"/>
        <v>0</v>
      </c>
      <c r="J154" s="169">
        <f t="shared" si="17"/>
        <v>0</v>
      </c>
      <c r="K154" s="158"/>
      <c r="L154" s="335"/>
      <c r="M154" s="169">
        <f t="shared" si="18"/>
        <v>0</v>
      </c>
      <c r="N154" s="335"/>
      <c r="O154" s="169">
        <f t="shared" si="19"/>
        <v>0</v>
      </c>
      <c r="P154" s="169">
        <f t="shared" si="20"/>
        <v>0</v>
      </c>
    </row>
    <row r="155" spans="2:16">
      <c r="C155" s="154" t="s">
        <v>73</v>
      </c>
      <c r="D155" s="111"/>
      <c r="E155" s="111">
        <f>SUM(E99:E154)</f>
        <v>9152000</v>
      </c>
      <c r="F155" s="111"/>
      <c r="G155" s="111"/>
      <c r="H155" s="111">
        <f>SUM(H99:H154)</f>
        <v>32497842.395199854</v>
      </c>
      <c r="I155" s="111">
        <f>SUM(I99:I154)</f>
        <v>32497842.395199854</v>
      </c>
      <c r="J155" s="111">
        <f>SUM(J99:J154)</f>
        <v>0</v>
      </c>
      <c r="K155" s="111"/>
      <c r="L155" s="111"/>
      <c r="M155" s="111"/>
      <c r="N155" s="111"/>
      <c r="O155" s="111"/>
      <c r="P155" s="1"/>
    </row>
    <row r="156" spans="2:16">
      <c r="C156" t="s">
        <v>87</v>
      </c>
      <c r="D156" s="2"/>
      <c r="E156" s="1"/>
      <c r="F156" s="1"/>
      <c r="G156" s="1"/>
      <c r="H156" s="1"/>
      <c r="I156" s="3"/>
      <c r="J156" s="3"/>
      <c r="K156" s="111"/>
      <c r="L156" s="3"/>
      <c r="M156" s="3"/>
      <c r="N156" s="3"/>
      <c r="O156" s="3"/>
      <c r="P156" s="1"/>
    </row>
    <row r="157" spans="2:16">
      <c r="C157" s="216"/>
      <c r="D157" s="2"/>
      <c r="E157" s="1"/>
      <c r="F157" s="1"/>
      <c r="G157" s="1"/>
      <c r="H157" s="1"/>
      <c r="I157" s="3"/>
      <c r="J157" s="3"/>
      <c r="K157" s="111"/>
      <c r="L157" s="3"/>
      <c r="M157" s="3"/>
      <c r="N157" s="3"/>
      <c r="O157" s="3"/>
      <c r="P157" s="1"/>
    </row>
    <row r="158" spans="2:16">
      <c r="C158" s="248" t="s">
        <v>127</v>
      </c>
      <c r="D158" s="2"/>
      <c r="E158" s="1"/>
      <c r="F158" s="1"/>
      <c r="G158" s="1"/>
      <c r="H158" s="1"/>
      <c r="I158" s="3"/>
      <c r="J158" s="3"/>
      <c r="K158" s="111"/>
      <c r="L158" s="3"/>
      <c r="M158" s="3"/>
      <c r="N158" s="3"/>
      <c r="O158" s="3"/>
      <c r="P158" s="1"/>
    </row>
    <row r="159" spans="2:16">
      <c r="C159" s="121" t="s">
        <v>74</v>
      </c>
      <c r="D159" s="154"/>
      <c r="E159" s="154"/>
      <c r="F159" s="154"/>
      <c r="G159" s="154"/>
      <c r="H159" s="111"/>
      <c r="I159" s="111"/>
      <c r="J159" s="171"/>
      <c r="K159" s="171"/>
      <c r="L159" s="171"/>
      <c r="M159" s="171"/>
      <c r="N159" s="171"/>
      <c r="O159" s="171"/>
      <c r="P159" s="1"/>
    </row>
    <row r="160" spans="2:16">
      <c r="C160" s="217" t="s">
        <v>75</v>
      </c>
      <c r="D160" s="154"/>
      <c r="E160" s="154"/>
      <c r="F160" s="154"/>
      <c r="G160" s="154"/>
      <c r="H160" s="111"/>
      <c r="I160" s="111"/>
      <c r="J160" s="171"/>
      <c r="K160" s="171"/>
      <c r="L160" s="171"/>
      <c r="M160" s="171"/>
      <c r="N160" s="171"/>
      <c r="O160" s="171"/>
      <c r="P160" s="1"/>
    </row>
    <row r="161" spans="3:16">
      <c r="C161" s="217"/>
      <c r="D161" s="154"/>
      <c r="E161" s="154"/>
      <c r="F161" s="154"/>
      <c r="G161" s="154"/>
      <c r="H161" s="111"/>
      <c r="I161" s="111"/>
      <c r="J161" s="171"/>
      <c r="K161" s="171"/>
      <c r="L161" s="171"/>
      <c r="M161" s="171"/>
      <c r="N161" s="171"/>
      <c r="O161" s="171"/>
      <c r="P161" s="1"/>
    </row>
    <row r="162" spans="3:16" ht="18">
      <c r="C162" s="217"/>
      <c r="D162" s="154"/>
      <c r="E162" s="154"/>
      <c r="F162" s="154"/>
      <c r="G162" s="154"/>
      <c r="H162" s="111"/>
      <c r="I162" s="111"/>
      <c r="J162" s="171"/>
      <c r="K162" s="171"/>
      <c r="L162" s="171"/>
      <c r="M162" s="171"/>
      <c r="N162" s="171"/>
      <c r="P162" s="245" t="s">
        <v>126</v>
      </c>
    </row>
  </sheetData>
  <conditionalFormatting sqref="C18:C72">
    <cfRule type="cellIs" dxfId="16" priority="2" stopIfTrue="1" operator="equal">
      <formula>$I$10</formula>
    </cfRule>
  </conditionalFormatting>
  <conditionalFormatting sqref="C99:C154">
    <cfRule type="cellIs" dxfId="15" priority="3" stopIfTrue="1" operator="equal">
      <formula>$J$92</formula>
    </cfRule>
  </conditionalFormatting>
  <conditionalFormatting sqref="C17">
    <cfRule type="cellIs" dxfId="14" priority="1" stopIfTrue="1" operator="equal">
      <formula>$I$10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9"/>
  <dimension ref="A1:P162"/>
  <sheetViews>
    <sheetView view="pageBreakPreview" topLeftCell="A52" zoomScale="80" zoomScaleNormal="100" zoomScaleSheetLayoutView="80" workbookViewId="0">
      <selection activeCell="C19" sqref="C19"/>
    </sheetView>
  </sheetViews>
  <sheetFormatPr defaultRowHeight="12.75" customHeight="1"/>
  <cols>
    <col min="1" max="1" width="4.7109375" customWidth="1"/>
    <col min="2" max="2" width="6.7109375" customWidth="1"/>
    <col min="3" max="3" width="23.28515625" customWidth="1"/>
    <col min="4" max="8" width="17.7109375" customWidth="1"/>
    <col min="9" max="9" width="20.42578125" customWidth="1"/>
    <col min="10" max="10" width="16.42578125" customWidth="1"/>
    <col min="11" max="11" width="17.7109375" customWidth="1"/>
    <col min="12" max="12" width="16.140625" customWidth="1"/>
    <col min="13" max="13" width="17.7109375" customWidth="1"/>
    <col min="14" max="14" width="16.7109375" customWidth="1"/>
    <col min="15" max="15" width="16.85546875" customWidth="1"/>
    <col min="16" max="16" width="24.42578125" customWidth="1"/>
    <col min="17" max="17" width="9.140625" customWidth="1"/>
    <col min="23" max="23" width="9.140625" customWidth="1"/>
  </cols>
  <sheetData>
    <row r="1" spans="1:16" ht="20.25">
      <c r="A1" s="243" t="s">
        <v>128</v>
      </c>
      <c r="B1" s="1"/>
      <c r="C1" s="21"/>
      <c r="D1" s="2"/>
      <c r="E1" s="1"/>
      <c r="F1" s="99"/>
      <c r="G1" s="1"/>
      <c r="H1" s="3"/>
      <c r="J1" s="7"/>
      <c r="K1" s="109"/>
      <c r="L1" s="109"/>
      <c r="M1" s="109"/>
      <c r="P1" s="249" t="str">
        <f ca="1">"SWEPCO Project "&amp;RIGHT(MID(CELL("filename",$A$1),FIND("]",CELL("filename",$A$1))+1,256),2)&amp;" of "&amp;COUNT('S.001:S.xyz - blank'!$P$3)-1</f>
        <v>SWEPCO Project 70 of 73</v>
      </c>
    </row>
    <row r="2" spans="1:16" ht="18">
      <c r="B2" s="1"/>
      <c r="C2" s="1"/>
      <c r="D2" s="2"/>
      <c r="E2" s="1"/>
      <c r="F2" s="1"/>
      <c r="G2" s="1"/>
      <c r="H2" s="3"/>
      <c r="I2" s="1"/>
      <c r="J2" s="4"/>
      <c r="K2" s="1"/>
      <c r="L2" s="1"/>
      <c r="M2" s="1"/>
      <c r="N2" s="1"/>
      <c r="P2" s="244" t="s">
        <v>124</v>
      </c>
    </row>
    <row r="3" spans="1:16" ht="18.75">
      <c r="B3" s="5" t="s">
        <v>40</v>
      </c>
      <c r="C3" s="68" t="s">
        <v>41</v>
      </c>
      <c r="D3" s="2"/>
      <c r="E3" s="1"/>
      <c r="F3" s="1"/>
      <c r="G3" s="1"/>
      <c r="H3" s="3"/>
      <c r="I3" s="3"/>
      <c r="J3" s="111"/>
      <c r="K3" s="3"/>
      <c r="L3" s="3"/>
      <c r="M3" s="3"/>
      <c r="N3" s="3"/>
      <c r="O3" s="1"/>
      <c r="P3" s="240">
        <v>1</v>
      </c>
    </row>
    <row r="4" spans="1:16" ht="15.75" thickBot="1">
      <c r="C4" s="67"/>
      <c r="D4" s="2"/>
      <c r="E4" s="1"/>
      <c r="F4" s="1"/>
      <c r="G4" s="1"/>
      <c r="H4" s="3"/>
      <c r="I4" s="3"/>
      <c r="J4" s="111"/>
      <c r="K4" s="3"/>
      <c r="L4" s="3"/>
      <c r="M4" s="3"/>
      <c r="N4" s="3"/>
      <c r="O4" s="1"/>
      <c r="P4" s="1"/>
    </row>
    <row r="5" spans="1:16" ht="15">
      <c r="C5" s="112" t="s">
        <v>42</v>
      </c>
      <c r="D5" s="2"/>
      <c r="E5" s="1"/>
      <c r="F5" s="1"/>
      <c r="G5" s="113"/>
      <c r="H5" s="1" t="s">
        <v>43</v>
      </c>
      <c r="I5" s="1"/>
      <c r="J5" s="4"/>
      <c r="K5" s="268" t="s">
        <v>152</v>
      </c>
      <c r="L5" s="114"/>
      <c r="M5" s="115"/>
      <c r="N5" s="116">
        <f>VLOOKUP(I10,C17:I72,5)</f>
        <v>949667.57657502161</v>
      </c>
      <c r="P5" s="1"/>
    </row>
    <row r="6" spans="1:16" ht="15.75">
      <c r="C6" s="8"/>
      <c r="D6" s="2"/>
      <c r="E6" s="1"/>
      <c r="F6" s="1"/>
      <c r="G6" s="1"/>
      <c r="H6" s="117"/>
      <c r="I6" s="117"/>
      <c r="J6" s="118"/>
      <c r="K6" s="269" t="s">
        <v>153</v>
      </c>
      <c r="L6" s="119"/>
      <c r="M6" s="4"/>
      <c r="N6" s="120">
        <f>VLOOKUP(I10,C17:I72,6)</f>
        <v>949667.57657502161</v>
      </c>
      <c r="O6" s="1"/>
      <c r="P6" s="1"/>
    </row>
    <row r="7" spans="1:16" ht="13.5" thickBot="1">
      <c r="C7" s="121" t="s">
        <v>44</v>
      </c>
      <c r="D7" s="223" t="s">
        <v>393</v>
      </c>
      <c r="E7" s="1"/>
      <c r="F7" s="1"/>
      <c r="G7" s="1"/>
      <c r="H7" s="3"/>
      <c r="I7" s="3"/>
      <c r="J7" s="111"/>
      <c r="K7" s="122" t="s">
        <v>45</v>
      </c>
      <c r="L7" s="123"/>
      <c r="M7" s="123"/>
      <c r="N7" s="124">
        <f>+N6-N5</f>
        <v>0</v>
      </c>
      <c r="O7" s="1"/>
      <c r="P7" s="1"/>
    </row>
    <row r="8" spans="1:16" ht="13.5" thickBot="1">
      <c r="C8" s="125"/>
      <c r="D8" s="352" t="str">
        <f>IF(D10&lt;100000,"DOES NOT MEET SPP $100,000 MINIMUM INVESTMENT FOR REGIONAL BPU SHARING.","")</f>
        <v/>
      </c>
      <c r="E8" s="126"/>
      <c r="F8" s="126"/>
      <c r="G8" s="126"/>
      <c r="H8" s="126"/>
      <c r="I8" s="126"/>
      <c r="J8" s="101"/>
      <c r="K8" s="126"/>
      <c r="L8" s="126"/>
      <c r="M8" s="126"/>
      <c r="N8" s="126"/>
      <c r="O8" s="101"/>
      <c r="P8" s="21"/>
    </row>
    <row r="9" spans="1:16" ht="13.5" thickBot="1">
      <c r="C9" s="127" t="s">
        <v>46</v>
      </c>
      <c r="D9" s="225" t="s">
        <v>252</v>
      </c>
      <c r="E9" s="401" t="s">
        <v>457</v>
      </c>
      <c r="F9" s="128"/>
      <c r="G9" s="128"/>
      <c r="H9" s="128"/>
      <c r="I9" s="129"/>
      <c r="J9" s="130"/>
      <c r="O9" s="131"/>
      <c r="P9" s="4"/>
    </row>
    <row r="10" spans="1:16">
      <c r="C10" s="132" t="s">
        <v>47</v>
      </c>
      <c r="D10" s="133">
        <v>7885000</v>
      </c>
      <c r="E10" s="61" t="s">
        <v>459</v>
      </c>
      <c r="F10" s="131"/>
      <c r="G10" s="134"/>
      <c r="H10" s="134"/>
      <c r="I10" s="135">
        <f>+SWE.WS.F.BPU.ATRR.Projected!K17</f>
        <v>2019</v>
      </c>
      <c r="J10" s="130"/>
      <c r="K10" s="111" t="s">
        <v>48</v>
      </c>
      <c r="O10" s="4"/>
      <c r="P10" s="4"/>
    </row>
    <row r="11" spans="1:16">
      <c r="C11" s="136" t="s">
        <v>49</v>
      </c>
      <c r="D11" s="137">
        <v>2018</v>
      </c>
      <c r="E11" s="136" t="s">
        <v>50</v>
      </c>
      <c r="F11" s="134"/>
      <c r="G11" s="7"/>
      <c r="H11" s="7"/>
      <c r="I11" s="138">
        <f>IF(G5="",0,SWE.WS.F.BPU.ATRR.Projected!F$11)</f>
        <v>0</v>
      </c>
      <c r="J11" s="139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4"/>
      <c r="P11" s="4"/>
    </row>
    <row r="12" spans="1:16">
      <c r="C12" s="136" t="s">
        <v>51</v>
      </c>
      <c r="D12" s="133">
        <v>6</v>
      </c>
      <c r="E12" s="136" t="s">
        <v>52</v>
      </c>
      <c r="F12" s="134"/>
      <c r="G12" s="7"/>
      <c r="H12" s="7"/>
      <c r="I12" s="140">
        <f>SWE.WS.F.BPU.ATRR.Projected!$F$76</f>
        <v>9.9555672459071778E-2</v>
      </c>
      <c r="J12" s="141"/>
      <c r="K12" t="s">
        <v>53</v>
      </c>
      <c r="O12" s="4"/>
      <c r="P12" s="4"/>
    </row>
    <row r="13" spans="1:16">
      <c r="C13" s="136" t="s">
        <v>54</v>
      </c>
      <c r="D13" s="138">
        <f>+SWE.WS.F.BPU.ATRR.Projected!F$87</f>
        <v>43</v>
      </c>
      <c r="E13" s="136" t="s">
        <v>55</v>
      </c>
      <c r="F13" s="134"/>
      <c r="G13" s="7"/>
      <c r="H13" s="7"/>
      <c r="I13" s="140">
        <f>IF(G5="",I12,SWE.WS.F.BPU.ATRR.Projected!$F$75)</f>
        <v>9.9555672459071778E-2</v>
      </c>
      <c r="J13" s="141"/>
      <c r="K13" s="111" t="s">
        <v>56</v>
      </c>
      <c r="L13" s="58"/>
      <c r="M13" s="58"/>
      <c r="N13" s="58"/>
      <c r="O13" s="4"/>
      <c r="P13" s="4"/>
    </row>
    <row r="14" spans="1:16" ht="13.5" thickBot="1">
      <c r="C14" s="136" t="s">
        <v>57</v>
      </c>
      <c r="D14" s="137" t="s">
        <v>58</v>
      </c>
      <c r="E14" s="4" t="s">
        <v>59</v>
      </c>
      <c r="F14" s="134"/>
      <c r="G14" s="7"/>
      <c r="H14" s="7"/>
      <c r="I14" s="142">
        <f>IF(D10=0,0,D10/D13)</f>
        <v>183372.09302325582</v>
      </c>
      <c r="J14" s="111"/>
      <c r="K14" s="111"/>
      <c r="L14" s="111"/>
      <c r="M14" s="111"/>
      <c r="N14" s="111"/>
      <c r="O14" s="4"/>
      <c r="P14" s="4"/>
    </row>
    <row r="15" spans="1:16" ht="38.25">
      <c r="C15" s="143" t="s">
        <v>47</v>
      </c>
      <c r="D15" s="144" t="s">
        <v>60</v>
      </c>
      <c r="E15" s="144" t="s">
        <v>61</v>
      </c>
      <c r="F15" s="144" t="s">
        <v>62</v>
      </c>
      <c r="G15" s="434" t="s">
        <v>378</v>
      </c>
      <c r="H15" s="435" t="s">
        <v>379</v>
      </c>
      <c r="I15" s="143" t="s">
        <v>63</v>
      </c>
      <c r="J15" s="145"/>
      <c r="K15" s="271" t="s">
        <v>219</v>
      </c>
      <c r="L15" s="146" t="s">
        <v>64</v>
      </c>
      <c r="M15" s="271" t="s">
        <v>219</v>
      </c>
      <c r="N15" s="146" t="s">
        <v>64</v>
      </c>
      <c r="O15" s="146" t="s">
        <v>65</v>
      </c>
      <c r="P15" s="4"/>
    </row>
    <row r="16" spans="1:16" ht="13.5" thickBot="1">
      <c r="C16" s="147" t="s">
        <v>66</v>
      </c>
      <c r="D16" s="147" t="s">
        <v>67</v>
      </c>
      <c r="E16" s="147" t="s">
        <v>68</v>
      </c>
      <c r="F16" s="147" t="s">
        <v>67</v>
      </c>
      <c r="G16" s="408" t="s">
        <v>69</v>
      </c>
      <c r="H16" s="148" t="s">
        <v>70</v>
      </c>
      <c r="I16" s="149" t="s">
        <v>89</v>
      </c>
      <c r="J16" s="150" t="s">
        <v>71</v>
      </c>
      <c r="K16" s="151" t="s">
        <v>72</v>
      </c>
      <c r="L16" s="151" t="s">
        <v>72</v>
      </c>
      <c r="M16" s="151" t="s">
        <v>90</v>
      </c>
      <c r="N16" s="152" t="s">
        <v>90</v>
      </c>
      <c r="O16" s="151" t="s">
        <v>90</v>
      </c>
      <c r="P16" s="4"/>
    </row>
    <row r="17" spans="2:16">
      <c r="C17" s="153">
        <f>IF(D11= "","-",D11)</f>
        <v>2018</v>
      </c>
      <c r="D17" s="360">
        <v>0</v>
      </c>
      <c r="E17" s="360">
        <v>96158.536585365859</v>
      </c>
      <c r="F17" s="360">
        <v>7788841.4634146346</v>
      </c>
      <c r="G17" s="360">
        <v>531882.72371072089</v>
      </c>
      <c r="H17" s="360">
        <v>531882.72371072089</v>
      </c>
      <c r="I17" s="156">
        <f t="shared" ref="I17:I72" si="0">H17-G17</f>
        <v>0</v>
      </c>
      <c r="J17" s="156"/>
      <c r="K17" s="256">
        <f>+G17</f>
        <v>531882.72371072089</v>
      </c>
      <c r="L17" s="157">
        <f t="shared" ref="L17:L72" si="1">IF(K17&lt;&gt;0,+G17-K17,0)</f>
        <v>0</v>
      </c>
      <c r="M17" s="256">
        <f>+H17</f>
        <v>531882.72371072089</v>
      </c>
      <c r="N17" s="157">
        <f t="shared" ref="N17:N72" si="2">IF(M17&lt;&gt;0,+H17-M17,0)</f>
        <v>0</v>
      </c>
      <c r="O17" s="158">
        <f t="shared" ref="O17:O72" si="3">+N17-L17</f>
        <v>0</v>
      </c>
      <c r="P17" s="4"/>
    </row>
    <row r="18" spans="2:16">
      <c r="B18" s="9" t="str">
        <f>IF(D18=F17,"","IU")</f>
        <v/>
      </c>
      <c r="C18" s="153">
        <f>IF(D11="","-",+C17+1)</f>
        <v>2019</v>
      </c>
      <c r="D18" s="159">
        <f>IF(F17+SUM(E$17:E17)=D$10,F17,D$10-SUM(E$17:E17))</f>
        <v>7788841.4634146346</v>
      </c>
      <c r="E18" s="160">
        <f>IF(+I14&lt;F17,I14,D18)</f>
        <v>183372.09302325582</v>
      </c>
      <c r="F18" s="159">
        <f t="shared" ref="F18:F72" si="4">+D18-E18</f>
        <v>7605469.3703913791</v>
      </c>
      <c r="G18" s="161">
        <f t="shared" ref="G18:G72" si="5">+I$12*((D18+F18)/2)+E18</f>
        <v>949667.57657502161</v>
      </c>
      <c r="H18" s="142">
        <f t="shared" ref="H18:H72" si="6">+I$13*((D18+F18)/2)+E18</f>
        <v>949667.57657502161</v>
      </c>
      <c r="I18" s="156">
        <f t="shared" si="0"/>
        <v>0</v>
      </c>
      <c r="J18" s="156"/>
      <c r="K18" s="334"/>
      <c r="L18" s="158">
        <f t="shared" si="1"/>
        <v>0</v>
      </c>
      <c r="M18" s="334"/>
      <c r="N18" s="158">
        <f t="shared" si="2"/>
        <v>0</v>
      </c>
      <c r="O18" s="158">
        <f t="shared" si="3"/>
        <v>0</v>
      </c>
      <c r="P18" s="4"/>
    </row>
    <row r="19" spans="2:16">
      <c r="B19" s="9" t="str">
        <f>IF(D19=F18,"","IU")</f>
        <v/>
      </c>
      <c r="C19" s="153">
        <f>IF(D11="","-",+C18+1)</f>
        <v>2020</v>
      </c>
      <c r="D19" s="159">
        <f>IF(F18+SUM(E$17:E18)=D$10,F18,D$10-SUM(E$17:E18))</f>
        <v>7605469.3703913791</v>
      </c>
      <c r="E19" s="160">
        <f>IF(+I14&lt;F18,I14,D19)</f>
        <v>183372.09302325582</v>
      </c>
      <c r="F19" s="159">
        <f t="shared" si="4"/>
        <v>7422097.2773681236</v>
      </c>
      <c r="G19" s="161">
        <f t="shared" si="5"/>
        <v>931411.84454386402</v>
      </c>
      <c r="H19" s="142">
        <f t="shared" si="6"/>
        <v>931411.84454386402</v>
      </c>
      <c r="I19" s="156">
        <f t="shared" si="0"/>
        <v>0</v>
      </c>
      <c r="J19" s="156"/>
      <c r="K19" s="334"/>
      <c r="L19" s="158">
        <f t="shared" si="1"/>
        <v>0</v>
      </c>
      <c r="M19" s="334"/>
      <c r="N19" s="158">
        <f t="shared" si="2"/>
        <v>0</v>
      </c>
      <c r="O19" s="158">
        <f t="shared" si="3"/>
        <v>0</v>
      </c>
      <c r="P19" s="4"/>
    </row>
    <row r="20" spans="2:16">
      <c r="B20" s="9" t="str">
        <f t="shared" ref="B20:B72" si="7">IF(D20=F19,"","IU")</f>
        <v/>
      </c>
      <c r="C20" s="153">
        <f>IF(D11="","-",+C19+1)</f>
        <v>2021</v>
      </c>
      <c r="D20" s="159">
        <f>IF(F19+SUM(E$17:E19)=D$10,F19,D$10-SUM(E$17:E19))</f>
        <v>7422097.2773681236</v>
      </c>
      <c r="E20" s="160">
        <f>IF(+I14&lt;F19,I14,D20)</f>
        <v>183372.09302325582</v>
      </c>
      <c r="F20" s="159">
        <f t="shared" si="4"/>
        <v>7238725.1843448682</v>
      </c>
      <c r="G20" s="161">
        <f t="shared" si="5"/>
        <v>913156.11251270631</v>
      </c>
      <c r="H20" s="142">
        <f t="shared" si="6"/>
        <v>913156.11251270631</v>
      </c>
      <c r="I20" s="156">
        <f t="shared" si="0"/>
        <v>0</v>
      </c>
      <c r="J20" s="156"/>
      <c r="K20" s="334"/>
      <c r="L20" s="158">
        <f t="shared" si="1"/>
        <v>0</v>
      </c>
      <c r="M20" s="334"/>
      <c r="N20" s="158">
        <f t="shared" si="2"/>
        <v>0</v>
      </c>
      <c r="O20" s="158">
        <f t="shared" si="3"/>
        <v>0</v>
      </c>
      <c r="P20" s="4"/>
    </row>
    <row r="21" spans="2:16">
      <c r="B21" s="9" t="str">
        <f t="shared" si="7"/>
        <v/>
      </c>
      <c r="C21" s="153">
        <f>IF(D11="","-",+C20+1)</f>
        <v>2022</v>
      </c>
      <c r="D21" s="159">
        <f>IF(F20+SUM(E$17:E20)=D$10,F20,D$10-SUM(E$17:E20))</f>
        <v>7238725.1843448682</v>
      </c>
      <c r="E21" s="160">
        <f>IF(+I14&lt;F20,I14,D21)</f>
        <v>183372.09302325582</v>
      </c>
      <c r="F21" s="159">
        <f t="shared" si="4"/>
        <v>7055353.0913216127</v>
      </c>
      <c r="G21" s="161">
        <f t="shared" si="5"/>
        <v>894900.38048154861</v>
      </c>
      <c r="H21" s="142">
        <f t="shared" si="6"/>
        <v>894900.38048154861</v>
      </c>
      <c r="I21" s="156">
        <f t="shared" si="0"/>
        <v>0</v>
      </c>
      <c r="J21" s="156"/>
      <c r="K21" s="334"/>
      <c r="L21" s="158">
        <f t="shared" si="1"/>
        <v>0</v>
      </c>
      <c r="M21" s="334"/>
      <c r="N21" s="158">
        <f t="shared" si="2"/>
        <v>0</v>
      </c>
      <c r="O21" s="158">
        <f t="shared" si="3"/>
        <v>0</v>
      </c>
      <c r="P21" s="4"/>
    </row>
    <row r="22" spans="2:16">
      <c r="B22" s="9" t="str">
        <f t="shared" si="7"/>
        <v/>
      </c>
      <c r="C22" s="153">
        <f>IF(D11="","-",+C21+1)</f>
        <v>2023</v>
      </c>
      <c r="D22" s="159">
        <f>IF(F21+SUM(E$17:E21)=D$10,F21,D$10-SUM(E$17:E21))</f>
        <v>7055353.0913216127</v>
      </c>
      <c r="E22" s="160">
        <f>IF(+I14&lt;F21,I14,D22)</f>
        <v>183372.09302325582</v>
      </c>
      <c r="F22" s="159">
        <f t="shared" si="4"/>
        <v>6871980.9982983572</v>
      </c>
      <c r="G22" s="161">
        <f t="shared" si="5"/>
        <v>876644.64845039102</v>
      </c>
      <c r="H22" s="142">
        <f t="shared" si="6"/>
        <v>876644.64845039102</v>
      </c>
      <c r="I22" s="156">
        <f t="shared" si="0"/>
        <v>0</v>
      </c>
      <c r="J22" s="156"/>
      <c r="K22" s="334"/>
      <c r="L22" s="158">
        <f t="shared" si="1"/>
        <v>0</v>
      </c>
      <c r="M22" s="334"/>
      <c r="N22" s="158">
        <f t="shared" si="2"/>
        <v>0</v>
      </c>
      <c r="O22" s="158">
        <f t="shared" si="3"/>
        <v>0</v>
      </c>
      <c r="P22" s="4"/>
    </row>
    <row r="23" spans="2:16">
      <c r="B23" s="9" t="str">
        <f t="shared" si="7"/>
        <v/>
      </c>
      <c r="C23" s="153">
        <f>IF(D11="","-",+C22+1)</f>
        <v>2024</v>
      </c>
      <c r="D23" s="159">
        <f>IF(F22+SUM(E$17:E22)=D$10,F22,D$10-SUM(E$17:E22))</f>
        <v>6871980.9982983572</v>
      </c>
      <c r="E23" s="160">
        <f>IF(+I14&lt;F22,I14,D23)</f>
        <v>183372.09302325582</v>
      </c>
      <c r="F23" s="159">
        <f t="shared" si="4"/>
        <v>6688608.9052751018</v>
      </c>
      <c r="G23" s="161">
        <f t="shared" si="5"/>
        <v>858388.91641923331</v>
      </c>
      <c r="H23" s="142">
        <f t="shared" si="6"/>
        <v>858388.91641923331</v>
      </c>
      <c r="I23" s="156">
        <f t="shared" si="0"/>
        <v>0</v>
      </c>
      <c r="J23" s="156"/>
      <c r="K23" s="334"/>
      <c r="L23" s="158">
        <f t="shared" si="1"/>
        <v>0</v>
      </c>
      <c r="M23" s="334"/>
      <c r="N23" s="158">
        <f t="shared" si="2"/>
        <v>0</v>
      </c>
      <c r="O23" s="158">
        <f t="shared" si="3"/>
        <v>0</v>
      </c>
      <c r="P23" s="4"/>
    </row>
    <row r="24" spans="2:16">
      <c r="B24" s="9" t="str">
        <f t="shared" si="7"/>
        <v/>
      </c>
      <c r="C24" s="153">
        <f>IF(D11="","-",+C23+1)</f>
        <v>2025</v>
      </c>
      <c r="D24" s="159">
        <f>IF(F23+SUM(E$17:E23)=D$10,F23,D$10-SUM(E$17:E23))</f>
        <v>6688608.9052751018</v>
      </c>
      <c r="E24" s="160">
        <f>IF(+I14&lt;F23,I14,D24)</f>
        <v>183372.09302325582</v>
      </c>
      <c r="F24" s="159">
        <f t="shared" si="4"/>
        <v>6505236.8122518463</v>
      </c>
      <c r="G24" s="161">
        <f t="shared" si="5"/>
        <v>840133.18438807572</v>
      </c>
      <c r="H24" s="142">
        <f t="shared" si="6"/>
        <v>840133.18438807572</v>
      </c>
      <c r="I24" s="156">
        <f t="shared" si="0"/>
        <v>0</v>
      </c>
      <c r="J24" s="156"/>
      <c r="K24" s="334"/>
      <c r="L24" s="158">
        <f t="shared" si="1"/>
        <v>0</v>
      </c>
      <c r="M24" s="334"/>
      <c r="N24" s="158">
        <f t="shared" si="2"/>
        <v>0</v>
      </c>
      <c r="O24" s="158">
        <f t="shared" si="3"/>
        <v>0</v>
      </c>
      <c r="P24" s="4"/>
    </row>
    <row r="25" spans="2:16">
      <c r="B25" s="9" t="str">
        <f t="shared" si="7"/>
        <v/>
      </c>
      <c r="C25" s="153">
        <f>IF(D11="","-",+C24+1)</f>
        <v>2026</v>
      </c>
      <c r="D25" s="159">
        <f>IF(F24+SUM(E$17:E24)=D$10,F24,D$10-SUM(E$17:E24))</f>
        <v>6505236.8122518463</v>
      </c>
      <c r="E25" s="160">
        <f>IF(+I14&lt;F24,I14,D25)</f>
        <v>183372.09302325582</v>
      </c>
      <c r="F25" s="159">
        <f t="shared" si="4"/>
        <v>6321864.7192285908</v>
      </c>
      <c r="G25" s="161">
        <f t="shared" si="5"/>
        <v>821877.45235691802</v>
      </c>
      <c r="H25" s="142">
        <f t="shared" si="6"/>
        <v>821877.45235691802</v>
      </c>
      <c r="I25" s="156">
        <f t="shared" si="0"/>
        <v>0</v>
      </c>
      <c r="J25" s="156"/>
      <c r="K25" s="334"/>
      <c r="L25" s="158">
        <f t="shared" si="1"/>
        <v>0</v>
      </c>
      <c r="M25" s="334"/>
      <c r="N25" s="158">
        <f t="shared" si="2"/>
        <v>0</v>
      </c>
      <c r="O25" s="158">
        <f t="shared" si="3"/>
        <v>0</v>
      </c>
      <c r="P25" s="4"/>
    </row>
    <row r="26" spans="2:16">
      <c r="B26" s="9" t="str">
        <f t="shared" si="7"/>
        <v/>
      </c>
      <c r="C26" s="153">
        <f>IF(D11="","-",+C25+1)</f>
        <v>2027</v>
      </c>
      <c r="D26" s="159">
        <f>IF(F25+SUM(E$17:E25)=D$10,F25,D$10-SUM(E$17:E25))</f>
        <v>6321864.7192285908</v>
      </c>
      <c r="E26" s="160">
        <f>IF(+I14&lt;F25,I14,D26)</f>
        <v>183372.09302325582</v>
      </c>
      <c r="F26" s="159">
        <f t="shared" si="4"/>
        <v>6138492.6262053354</v>
      </c>
      <c r="G26" s="161">
        <f t="shared" si="5"/>
        <v>803621.72032576031</v>
      </c>
      <c r="H26" s="142">
        <f t="shared" si="6"/>
        <v>803621.72032576031</v>
      </c>
      <c r="I26" s="156">
        <f t="shared" si="0"/>
        <v>0</v>
      </c>
      <c r="J26" s="156"/>
      <c r="K26" s="334"/>
      <c r="L26" s="158">
        <f t="shared" si="1"/>
        <v>0</v>
      </c>
      <c r="M26" s="334"/>
      <c r="N26" s="158">
        <f t="shared" si="2"/>
        <v>0</v>
      </c>
      <c r="O26" s="158">
        <f t="shared" si="3"/>
        <v>0</v>
      </c>
      <c r="P26" s="4"/>
    </row>
    <row r="27" spans="2:16">
      <c r="B27" s="9" t="str">
        <f t="shared" si="7"/>
        <v/>
      </c>
      <c r="C27" s="153">
        <f>IF(D11="","-",+C26+1)</f>
        <v>2028</v>
      </c>
      <c r="D27" s="159">
        <f>IF(F26+SUM(E$17:E26)=D$10,F26,D$10-SUM(E$17:E26))</f>
        <v>6138492.6262053354</v>
      </c>
      <c r="E27" s="160">
        <f>IF(+I14&lt;F26,I14,D27)</f>
        <v>183372.09302325582</v>
      </c>
      <c r="F27" s="159">
        <f t="shared" si="4"/>
        <v>5955120.5331820799</v>
      </c>
      <c r="G27" s="161">
        <f t="shared" si="5"/>
        <v>785365.98829460272</v>
      </c>
      <c r="H27" s="142">
        <f t="shared" si="6"/>
        <v>785365.98829460272</v>
      </c>
      <c r="I27" s="156">
        <f t="shared" si="0"/>
        <v>0</v>
      </c>
      <c r="J27" s="156"/>
      <c r="K27" s="334"/>
      <c r="L27" s="158">
        <f t="shared" si="1"/>
        <v>0</v>
      </c>
      <c r="M27" s="334"/>
      <c r="N27" s="158">
        <f t="shared" si="2"/>
        <v>0</v>
      </c>
      <c r="O27" s="158">
        <f t="shared" si="3"/>
        <v>0</v>
      </c>
      <c r="P27" s="4"/>
    </row>
    <row r="28" spans="2:16">
      <c r="B28" s="9" t="str">
        <f t="shared" si="7"/>
        <v/>
      </c>
      <c r="C28" s="153">
        <f>IF(D11="","-",+C27+1)</f>
        <v>2029</v>
      </c>
      <c r="D28" s="159">
        <f>IF(F27+SUM(E$17:E27)=D$10,F27,D$10-SUM(E$17:E27))</f>
        <v>5955120.5331820799</v>
      </c>
      <c r="E28" s="160">
        <f>IF(+I14&lt;F27,I14,D28)</f>
        <v>183372.09302325582</v>
      </c>
      <c r="F28" s="159">
        <f t="shared" si="4"/>
        <v>5771748.4401588244</v>
      </c>
      <c r="G28" s="161">
        <f t="shared" si="5"/>
        <v>767110.25626344502</v>
      </c>
      <c r="H28" s="142">
        <f t="shared" si="6"/>
        <v>767110.25626344502</v>
      </c>
      <c r="I28" s="156">
        <f t="shared" si="0"/>
        <v>0</v>
      </c>
      <c r="J28" s="156"/>
      <c r="K28" s="334"/>
      <c r="L28" s="158">
        <f t="shared" si="1"/>
        <v>0</v>
      </c>
      <c r="M28" s="334"/>
      <c r="N28" s="158">
        <f t="shared" si="2"/>
        <v>0</v>
      </c>
      <c r="O28" s="158">
        <f t="shared" si="3"/>
        <v>0</v>
      </c>
      <c r="P28" s="4"/>
    </row>
    <row r="29" spans="2:16">
      <c r="B29" s="9" t="str">
        <f t="shared" si="7"/>
        <v/>
      </c>
      <c r="C29" s="153">
        <f>IF(D11="","-",+C28+1)</f>
        <v>2030</v>
      </c>
      <c r="D29" s="159">
        <f>IF(F28+SUM(E$17:E28)=D$10,F28,D$10-SUM(E$17:E28))</f>
        <v>5771748.4401588244</v>
      </c>
      <c r="E29" s="160">
        <f>IF(+I14&lt;F28,I14,D29)</f>
        <v>183372.09302325582</v>
      </c>
      <c r="F29" s="159">
        <f t="shared" si="4"/>
        <v>5588376.347135569</v>
      </c>
      <c r="G29" s="161">
        <f t="shared" si="5"/>
        <v>748854.52423228731</v>
      </c>
      <c r="H29" s="142">
        <f t="shared" si="6"/>
        <v>748854.52423228731</v>
      </c>
      <c r="I29" s="156">
        <f t="shared" si="0"/>
        <v>0</v>
      </c>
      <c r="J29" s="156"/>
      <c r="K29" s="334"/>
      <c r="L29" s="158">
        <f t="shared" si="1"/>
        <v>0</v>
      </c>
      <c r="M29" s="334"/>
      <c r="N29" s="158">
        <f t="shared" si="2"/>
        <v>0</v>
      </c>
      <c r="O29" s="158">
        <f t="shared" si="3"/>
        <v>0</v>
      </c>
      <c r="P29" s="4"/>
    </row>
    <row r="30" spans="2:16">
      <c r="B30" s="9" t="str">
        <f t="shared" si="7"/>
        <v>IU</v>
      </c>
      <c r="C30" s="153">
        <f>IF(D11="","-",+C29+1)</f>
        <v>2031</v>
      </c>
      <c r="D30" s="159">
        <f>IF(F29+SUM(E$17:E29)=D$10,F29,D$10-SUM(E$17:E29))</f>
        <v>5588376.3471355643</v>
      </c>
      <c r="E30" s="160">
        <f>IF(+I14&lt;F29,I14,D30)</f>
        <v>183372.09302325582</v>
      </c>
      <c r="F30" s="159">
        <f t="shared" si="4"/>
        <v>5405004.2541123088</v>
      </c>
      <c r="G30" s="161">
        <f t="shared" si="5"/>
        <v>730598.79220112925</v>
      </c>
      <c r="H30" s="142">
        <f t="shared" si="6"/>
        <v>730598.79220112925</v>
      </c>
      <c r="I30" s="156">
        <f t="shared" si="0"/>
        <v>0</v>
      </c>
      <c r="J30" s="156"/>
      <c r="K30" s="334"/>
      <c r="L30" s="158">
        <f t="shared" si="1"/>
        <v>0</v>
      </c>
      <c r="M30" s="334"/>
      <c r="N30" s="158">
        <f t="shared" si="2"/>
        <v>0</v>
      </c>
      <c r="O30" s="158">
        <f t="shared" si="3"/>
        <v>0</v>
      </c>
      <c r="P30" s="4"/>
    </row>
    <row r="31" spans="2:16">
      <c r="B31" s="9" t="str">
        <f t="shared" si="7"/>
        <v/>
      </c>
      <c r="C31" s="153">
        <f>IF(D11="","-",+C30+1)</f>
        <v>2032</v>
      </c>
      <c r="D31" s="159">
        <f>IF(F30+SUM(E$17:E30)=D$10,F30,D$10-SUM(E$17:E30))</f>
        <v>5405004.2541123088</v>
      </c>
      <c r="E31" s="160">
        <f>IF(+I14&lt;F30,I14,D31)</f>
        <v>183372.09302325582</v>
      </c>
      <c r="F31" s="159">
        <f t="shared" si="4"/>
        <v>5221632.1610890534</v>
      </c>
      <c r="G31" s="161">
        <f t="shared" si="5"/>
        <v>712343.06016997155</v>
      </c>
      <c r="H31" s="142">
        <f t="shared" si="6"/>
        <v>712343.06016997155</v>
      </c>
      <c r="I31" s="156">
        <f t="shared" si="0"/>
        <v>0</v>
      </c>
      <c r="J31" s="156"/>
      <c r="K31" s="334"/>
      <c r="L31" s="158">
        <f t="shared" si="1"/>
        <v>0</v>
      </c>
      <c r="M31" s="334"/>
      <c r="N31" s="158">
        <f t="shared" si="2"/>
        <v>0</v>
      </c>
      <c r="O31" s="158">
        <f t="shared" si="3"/>
        <v>0</v>
      </c>
      <c r="P31" s="4"/>
    </row>
    <row r="32" spans="2:16">
      <c r="B32" s="9" t="str">
        <f t="shared" si="7"/>
        <v/>
      </c>
      <c r="C32" s="153">
        <f>IF(D11="","-",+C31+1)</f>
        <v>2033</v>
      </c>
      <c r="D32" s="159">
        <f>IF(F31+SUM(E$17:E31)=D$10,F31,D$10-SUM(E$17:E31))</f>
        <v>5221632.1610890534</v>
      </c>
      <c r="E32" s="160">
        <f>IF(+I14&lt;F31,I14,D32)</f>
        <v>183372.09302325582</v>
      </c>
      <c r="F32" s="159">
        <f t="shared" si="4"/>
        <v>5038260.0680657979</v>
      </c>
      <c r="G32" s="161">
        <f t="shared" si="5"/>
        <v>694087.32813881384</v>
      </c>
      <c r="H32" s="142">
        <f t="shared" si="6"/>
        <v>694087.32813881384</v>
      </c>
      <c r="I32" s="156">
        <f t="shared" si="0"/>
        <v>0</v>
      </c>
      <c r="J32" s="156"/>
      <c r="K32" s="334"/>
      <c r="L32" s="158">
        <f t="shared" si="1"/>
        <v>0</v>
      </c>
      <c r="M32" s="334"/>
      <c r="N32" s="158">
        <f t="shared" si="2"/>
        <v>0</v>
      </c>
      <c r="O32" s="158">
        <f t="shared" si="3"/>
        <v>0</v>
      </c>
      <c r="P32" s="4"/>
    </row>
    <row r="33" spans="2:16">
      <c r="B33" s="9" t="str">
        <f t="shared" si="7"/>
        <v/>
      </c>
      <c r="C33" s="153">
        <f>IF(D11="","-",+C32+1)</f>
        <v>2034</v>
      </c>
      <c r="D33" s="159">
        <f>IF(F32+SUM(E$17:E32)=D$10,F32,D$10-SUM(E$17:E32))</f>
        <v>5038260.0680657979</v>
      </c>
      <c r="E33" s="160">
        <f>IF(+I14&lt;F32,I14,D33)</f>
        <v>183372.09302325582</v>
      </c>
      <c r="F33" s="159">
        <f t="shared" si="4"/>
        <v>4854887.9750425424</v>
      </c>
      <c r="G33" s="161">
        <f t="shared" si="5"/>
        <v>675831.59610765625</v>
      </c>
      <c r="H33" s="142">
        <f t="shared" si="6"/>
        <v>675831.59610765625</v>
      </c>
      <c r="I33" s="156">
        <f t="shared" si="0"/>
        <v>0</v>
      </c>
      <c r="J33" s="156"/>
      <c r="K33" s="334"/>
      <c r="L33" s="158">
        <f t="shared" si="1"/>
        <v>0</v>
      </c>
      <c r="M33" s="334"/>
      <c r="N33" s="158">
        <f t="shared" si="2"/>
        <v>0</v>
      </c>
      <c r="O33" s="158">
        <f t="shared" si="3"/>
        <v>0</v>
      </c>
      <c r="P33" s="4"/>
    </row>
    <row r="34" spans="2:16">
      <c r="B34" s="9" t="str">
        <f t="shared" si="7"/>
        <v/>
      </c>
      <c r="C34" s="153">
        <f>IF(D11="","-",+C33+1)</f>
        <v>2035</v>
      </c>
      <c r="D34" s="159">
        <f>IF(F33+SUM(E$17:E33)=D$10,F33,D$10-SUM(E$17:E33))</f>
        <v>4854887.9750425424</v>
      </c>
      <c r="E34" s="160">
        <f>IF(+I14&lt;F33,I14,D34)</f>
        <v>183372.09302325582</v>
      </c>
      <c r="F34" s="159">
        <f t="shared" si="4"/>
        <v>4671515.882019287</v>
      </c>
      <c r="G34" s="161">
        <f t="shared" si="5"/>
        <v>657575.86407649866</v>
      </c>
      <c r="H34" s="142">
        <f t="shared" si="6"/>
        <v>657575.86407649866</v>
      </c>
      <c r="I34" s="156">
        <f t="shared" si="0"/>
        <v>0</v>
      </c>
      <c r="J34" s="156"/>
      <c r="K34" s="334"/>
      <c r="L34" s="158">
        <f t="shared" si="1"/>
        <v>0</v>
      </c>
      <c r="M34" s="334"/>
      <c r="N34" s="158">
        <f t="shared" si="2"/>
        <v>0</v>
      </c>
      <c r="O34" s="158">
        <f t="shared" si="3"/>
        <v>0</v>
      </c>
      <c r="P34" s="4"/>
    </row>
    <row r="35" spans="2:16">
      <c r="B35" s="9" t="str">
        <f t="shared" si="7"/>
        <v/>
      </c>
      <c r="C35" s="153">
        <f>IF(D11="","-",+C34+1)</f>
        <v>2036</v>
      </c>
      <c r="D35" s="159">
        <f>IF(F34+SUM(E$17:E34)=D$10,F34,D$10-SUM(E$17:E34))</f>
        <v>4671515.882019287</v>
      </c>
      <c r="E35" s="160">
        <f>IF(+I14&lt;F34,I14,D35)</f>
        <v>183372.09302325582</v>
      </c>
      <c r="F35" s="159">
        <f t="shared" si="4"/>
        <v>4488143.7889960315</v>
      </c>
      <c r="G35" s="161">
        <f t="shared" si="5"/>
        <v>639320.13204534096</v>
      </c>
      <c r="H35" s="142">
        <f t="shared" si="6"/>
        <v>639320.13204534096</v>
      </c>
      <c r="I35" s="156">
        <f t="shared" si="0"/>
        <v>0</v>
      </c>
      <c r="J35" s="156"/>
      <c r="K35" s="334"/>
      <c r="L35" s="158">
        <f t="shared" si="1"/>
        <v>0</v>
      </c>
      <c r="M35" s="334"/>
      <c r="N35" s="158">
        <f t="shared" si="2"/>
        <v>0</v>
      </c>
      <c r="O35" s="158">
        <f t="shared" si="3"/>
        <v>0</v>
      </c>
      <c r="P35" s="4"/>
    </row>
    <row r="36" spans="2:16">
      <c r="B36" s="9" t="str">
        <f t="shared" si="7"/>
        <v/>
      </c>
      <c r="C36" s="153">
        <f>IF(D11="","-",+C35+1)</f>
        <v>2037</v>
      </c>
      <c r="D36" s="159">
        <f>IF(F35+SUM(E$17:E35)=D$10,F35,D$10-SUM(E$17:E35))</f>
        <v>4488143.7889960315</v>
      </c>
      <c r="E36" s="160">
        <f>IF(+I14&lt;F35,I14,D36)</f>
        <v>183372.09302325582</v>
      </c>
      <c r="F36" s="159">
        <f t="shared" si="4"/>
        <v>4304771.695972776</v>
      </c>
      <c r="G36" s="161">
        <f t="shared" si="5"/>
        <v>621064.40001418325</v>
      </c>
      <c r="H36" s="142">
        <f t="shared" si="6"/>
        <v>621064.40001418325</v>
      </c>
      <c r="I36" s="156">
        <f t="shared" si="0"/>
        <v>0</v>
      </c>
      <c r="J36" s="156"/>
      <c r="K36" s="334"/>
      <c r="L36" s="158">
        <f t="shared" si="1"/>
        <v>0</v>
      </c>
      <c r="M36" s="334"/>
      <c r="N36" s="158">
        <f t="shared" si="2"/>
        <v>0</v>
      </c>
      <c r="O36" s="158">
        <f t="shared" si="3"/>
        <v>0</v>
      </c>
      <c r="P36" s="4"/>
    </row>
    <row r="37" spans="2:16">
      <c r="B37" s="9" t="str">
        <f t="shared" si="7"/>
        <v/>
      </c>
      <c r="C37" s="153">
        <f>IF(D11="","-",+C36+1)</f>
        <v>2038</v>
      </c>
      <c r="D37" s="159">
        <f>IF(F36+SUM(E$17:E36)=D$10,F36,D$10-SUM(E$17:E36))</f>
        <v>4304771.695972776</v>
      </c>
      <c r="E37" s="160">
        <f>IF(+I14&lt;F36,I14,D37)</f>
        <v>183372.09302325582</v>
      </c>
      <c r="F37" s="159">
        <f t="shared" si="4"/>
        <v>4121399.6029495201</v>
      </c>
      <c r="G37" s="161">
        <f t="shared" si="5"/>
        <v>602808.66798302555</v>
      </c>
      <c r="H37" s="142">
        <f t="shared" si="6"/>
        <v>602808.66798302555</v>
      </c>
      <c r="I37" s="156">
        <f t="shared" si="0"/>
        <v>0</v>
      </c>
      <c r="J37" s="156"/>
      <c r="K37" s="334"/>
      <c r="L37" s="158">
        <f t="shared" si="1"/>
        <v>0</v>
      </c>
      <c r="M37" s="334"/>
      <c r="N37" s="158">
        <f t="shared" si="2"/>
        <v>0</v>
      </c>
      <c r="O37" s="158">
        <f t="shared" si="3"/>
        <v>0</v>
      </c>
      <c r="P37" s="4"/>
    </row>
    <row r="38" spans="2:16">
      <c r="B38" s="9" t="str">
        <f t="shared" si="7"/>
        <v/>
      </c>
      <c r="C38" s="153">
        <f>IF(D11="","-",+C37+1)</f>
        <v>2039</v>
      </c>
      <c r="D38" s="159">
        <f>IF(F37+SUM(E$17:E37)=D$10,F37,D$10-SUM(E$17:E37))</f>
        <v>4121399.6029495201</v>
      </c>
      <c r="E38" s="160">
        <f>IF(+I14&lt;F37,I14,D38)</f>
        <v>183372.09302325582</v>
      </c>
      <c r="F38" s="159">
        <f t="shared" si="4"/>
        <v>3938027.5099262642</v>
      </c>
      <c r="G38" s="161">
        <f t="shared" si="5"/>
        <v>584552.93595186784</v>
      </c>
      <c r="H38" s="142">
        <f t="shared" si="6"/>
        <v>584552.93595186784</v>
      </c>
      <c r="I38" s="156">
        <f t="shared" si="0"/>
        <v>0</v>
      </c>
      <c r="J38" s="156"/>
      <c r="K38" s="334"/>
      <c r="L38" s="158">
        <f t="shared" si="1"/>
        <v>0</v>
      </c>
      <c r="M38" s="334"/>
      <c r="N38" s="158">
        <f t="shared" si="2"/>
        <v>0</v>
      </c>
      <c r="O38" s="158">
        <f t="shared" si="3"/>
        <v>0</v>
      </c>
      <c r="P38" s="4"/>
    </row>
    <row r="39" spans="2:16">
      <c r="B39" s="9" t="str">
        <f t="shared" si="7"/>
        <v/>
      </c>
      <c r="C39" s="153">
        <f>IF(D11="","-",+C38+1)</f>
        <v>2040</v>
      </c>
      <c r="D39" s="159">
        <f>IF(F38+SUM(E$17:E38)=D$10,F38,D$10-SUM(E$17:E38))</f>
        <v>3938027.5099262642</v>
      </c>
      <c r="E39" s="160">
        <f>IF(+I14&lt;F38,I14,D39)</f>
        <v>183372.09302325582</v>
      </c>
      <c r="F39" s="159">
        <f t="shared" si="4"/>
        <v>3754655.4169030082</v>
      </c>
      <c r="G39" s="161">
        <f t="shared" si="5"/>
        <v>566297.20392071013</v>
      </c>
      <c r="H39" s="142">
        <f t="shared" si="6"/>
        <v>566297.20392071013</v>
      </c>
      <c r="I39" s="156">
        <f t="shared" si="0"/>
        <v>0</v>
      </c>
      <c r="J39" s="156"/>
      <c r="K39" s="334"/>
      <c r="L39" s="158">
        <f t="shared" si="1"/>
        <v>0</v>
      </c>
      <c r="M39" s="334"/>
      <c r="N39" s="158">
        <f t="shared" si="2"/>
        <v>0</v>
      </c>
      <c r="O39" s="158">
        <f t="shared" si="3"/>
        <v>0</v>
      </c>
      <c r="P39" s="4"/>
    </row>
    <row r="40" spans="2:16">
      <c r="B40" s="9" t="str">
        <f t="shared" si="7"/>
        <v/>
      </c>
      <c r="C40" s="153">
        <f>IF(D11="","-",+C39+1)</f>
        <v>2041</v>
      </c>
      <c r="D40" s="159">
        <f>IF(F39+SUM(E$17:E39)=D$10,F39,D$10-SUM(E$17:E39))</f>
        <v>3754655.4169030082</v>
      </c>
      <c r="E40" s="160">
        <f>IF(+I14&lt;F39,I14,D40)</f>
        <v>183372.09302325582</v>
      </c>
      <c r="F40" s="159">
        <f t="shared" si="4"/>
        <v>3571283.3238797523</v>
      </c>
      <c r="G40" s="161">
        <f t="shared" si="5"/>
        <v>548041.47188955243</v>
      </c>
      <c r="H40" s="142">
        <f t="shared" si="6"/>
        <v>548041.47188955243</v>
      </c>
      <c r="I40" s="156">
        <f t="shared" si="0"/>
        <v>0</v>
      </c>
      <c r="J40" s="156"/>
      <c r="K40" s="334"/>
      <c r="L40" s="158">
        <f t="shared" si="1"/>
        <v>0</v>
      </c>
      <c r="M40" s="334"/>
      <c r="N40" s="158">
        <f t="shared" si="2"/>
        <v>0</v>
      </c>
      <c r="O40" s="158">
        <f t="shared" si="3"/>
        <v>0</v>
      </c>
      <c r="P40" s="4"/>
    </row>
    <row r="41" spans="2:16">
      <c r="B41" s="9" t="str">
        <f t="shared" si="7"/>
        <v/>
      </c>
      <c r="C41" s="153">
        <f>IF(D11="","-",+C40+1)</f>
        <v>2042</v>
      </c>
      <c r="D41" s="159">
        <f>IF(F40+SUM(E$17:E40)=D$10,F40,D$10-SUM(E$17:E40))</f>
        <v>3571283.3238797523</v>
      </c>
      <c r="E41" s="160">
        <f>IF(+I14&lt;F40,I14,D41)</f>
        <v>183372.09302325582</v>
      </c>
      <c r="F41" s="159">
        <f t="shared" si="4"/>
        <v>3387911.2308564964</v>
      </c>
      <c r="G41" s="161">
        <f t="shared" si="5"/>
        <v>529785.73985839472</v>
      </c>
      <c r="H41" s="142">
        <f t="shared" si="6"/>
        <v>529785.73985839472</v>
      </c>
      <c r="I41" s="156">
        <f t="shared" si="0"/>
        <v>0</v>
      </c>
      <c r="J41" s="156"/>
      <c r="K41" s="334"/>
      <c r="L41" s="158">
        <f t="shared" si="1"/>
        <v>0</v>
      </c>
      <c r="M41" s="334"/>
      <c r="N41" s="158">
        <f t="shared" si="2"/>
        <v>0</v>
      </c>
      <c r="O41" s="158">
        <f t="shared" si="3"/>
        <v>0</v>
      </c>
      <c r="P41" s="4"/>
    </row>
    <row r="42" spans="2:16">
      <c r="B42" s="9" t="str">
        <f t="shared" si="7"/>
        <v/>
      </c>
      <c r="C42" s="153">
        <f>IF(D11="","-",+C41+1)</f>
        <v>2043</v>
      </c>
      <c r="D42" s="159">
        <f>IF(F41+SUM(E$17:E41)=D$10,F41,D$10-SUM(E$17:E41))</f>
        <v>3387911.2308564964</v>
      </c>
      <c r="E42" s="160">
        <f>IF(+I14&lt;F41,I14,D42)</f>
        <v>183372.09302325582</v>
      </c>
      <c r="F42" s="159">
        <f t="shared" si="4"/>
        <v>3204539.1378332404</v>
      </c>
      <c r="G42" s="161">
        <f t="shared" si="5"/>
        <v>511530.00782723702</v>
      </c>
      <c r="H42" s="142">
        <f t="shared" si="6"/>
        <v>511530.00782723702</v>
      </c>
      <c r="I42" s="156">
        <f t="shared" si="0"/>
        <v>0</v>
      </c>
      <c r="J42" s="156"/>
      <c r="K42" s="334"/>
      <c r="L42" s="158">
        <f t="shared" si="1"/>
        <v>0</v>
      </c>
      <c r="M42" s="334"/>
      <c r="N42" s="158">
        <f t="shared" si="2"/>
        <v>0</v>
      </c>
      <c r="O42" s="158">
        <f t="shared" si="3"/>
        <v>0</v>
      </c>
      <c r="P42" s="4"/>
    </row>
    <row r="43" spans="2:16">
      <c r="B43" s="9" t="str">
        <f t="shared" si="7"/>
        <v/>
      </c>
      <c r="C43" s="153">
        <f>IF(D11="","-",+C42+1)</f>
        <v>2044</v>
      </c>
      <c r="D43" s="159">
        <f>IF(F42+SUM(E$17:E42)=D$10,F42,D$10-SUM(E$17:E42))</f>
        <v>3204539.1378332404</v>
      </c>
      <c r="E43" s="160">
        <f>IF(+I14&lt;F42,I14,D43)</f>
        <v>183372.09302325582</v>
      </c>
      <c r="F43" s="159">
        <f t="shared" si="4"/>
        <v>3021167.0448099845</v>
      </c>
      <c r="G43" s="161">
        <f t="shared" si="5"/>
        <v>493274.27579607937</v>
      </c>
      <c r="H43" s="142">
        <f t="shared" si="6"/>
        <v>493274.27579607937</v>
      </c>
      <c r="I43" s="156">
        <f t="shared" si="0"/>
        <v>0</v>
      </c>
      <c r="J43" s="156"/>
      <c r="K43" s="334"/>
      <c r="L43" s="158">
        <f t="shared" si="1"/>
        <v>0</v>
      </c>
      <c r="M43" s="334"/>
      <c r="N43" s="158">
        <f t="shared" si="2"/>
        <v>0</v>
      </c>
      <c r="O43" s="158">
        <f t="shared" si="3"/>
        <v>0</v>
      </c>
      <c r="P43" s="4"/>
    </row>
    <row r="44" spans="2:16">
      <c r="B44" s="9" t="str">
        <f t="shared" si="7"/>
        <v/>
      </c>
      <c r="C44" s="153">
        <f>IF(D11="","-",+C43+1)</f>
        <v>2045</v>
      </c>
      <c r="D44" s="159">
        <f>IF(F43+SUM(E$17:E43)=D$10,F43,D$10-SUM(E$17:E43))</f>
        <v>3021167.0448099845</v>
      </c>
      <c r="E44" s="160">
        <f>IF(+I14&lt;F43,I14,D44)</f>
        <v>183372.09302325582</v>
      </c>
      <c r="F44" s="159">
        <f t="shared" si="4"/>
        <v>2837794.9517867286</v>
      </c>
      <c r="G44" s="161">
        <f t="shared" si="5"/>
        <v>475018.5437649216</v>
      </c>
      <c r="H44" s="142">
        <f t="shared" si="6"/>
        <v>475018.5437649216</v>
      </c>
      <c r="I44" s="156">
        <f t="shared" si="0"/>
        <v>0</v>
      </c>
      <c r="J44" s="156"/>
      <c r="K44" s="334"/>
      <c r="L44" s="158">
        <f t="shared" si="1"/>
        <v>0</v>
      </c>
      <c r="M44" s="334"/>
      <c r="N44" s="158">
        <f t="shared" si="2"/>
        <v>0</v>
      </c>
      <c r="O44" s="158">
        <f t="shared" si="3"/>
        <v>0</v>
      </c>
      <c r="P44" s="4"/>
    </row>
    <row r="45" spans="2:16">
      <c r="B45" s="9" t="str">
        <f t="shared" si="7"/>
        <v/>
      </c>
      <c r="C45" s="153">
        <f>IF(D11="","-",+C44+1)</f>
        <v>2046</v>
      </c>
      <c r="D45" s="159">
        <f>IF(F44+SUM(E$17:E44)=D$10,F44,D$10-SUM(E$17:E44))</f>
        <v>2837794.9517867286</v>
      </c>
      <c r="E45" s="160">
        <f>IF(+I14&lt;F44,I14,D45)</f>
        <v>183372.09302325582</v>
      </c>
      <c r="F45" s="159">
        <f t="shared" si="4"/>
        <v>2654422.8587634726</v>
      </c>
      <c r="G45" s="161">
        <f t="shared" si="5"/>
        <v>456762.8117337639</v>
      </c>
      <c r="H45" s="142">
        <f t="shared" si="6"/>
        <v>456762.8117337639</v>
      </c>
      <c r="I45" s="156">
        <f t="shared" si="0"/>
        <v>0</v>
      </c>
      <c r="J45" s="156"/>
      <c r="K45" s="334"/>
      <c r="L45" s="158">
        <f t="shared" si="1"/>
        <v>0</v>
      </c>
      <c r="M45" s="334"/>
      <c r="N45" s="158">
        <f t="shared" si="2"/>
        <v>0</v>
      </c>
      <c r="O45" s="158">
        <f t="shared" si="3"/>
        <v>0</v>
      </c>
      <c r="P45" s="4"/>
    </row>
    <row r="46" spans="2:16">
      <c r="B46" s="9" t="str">
        <f t="shared" si="7"/>
        <v/>
      </c>
      <c r="C46" s="153">
        <f>IF(D11="","-",+C45+1)</f>
        <v>2047</v>
      </c>
      <c r="D46" s="159">
        <f>IF(F45+SUM(E$17:E45)=D$10,F45,D$10-SUM(E$17:E45))</f>
        <v>2654422.8587634726</v>
      </c>
      <c r="E46" s="160">
        <f>IF(+I14&lt;F45,I14,D46)</f>
        <v>183372.09302325582</v>
      </c>
      <c r="F46" s="159">
        <f t="shared" si="4"/>
        <v>2471050.7657402167</v>
      </c>
      <c r="G46" s="161">
        <f t="shared" si="5"/>
        <v>438507.07970260619</v>
      </c>
      <c r="H46" s="142">
        <f t="shared" si="6"/>
        <v>438507.07970260619</v>
      </c>
      <c r="I46" s="156">
        <f t="shared" si="0"/>
        <v>0</v>
      </c>
      <c r="J46" s="156"/>
      <c r="K46" s="334"/>
      <c r="L46" s="158">
        <f t="shared" si="1"/>
        <v>0</v>
      </c>
      <c r="M46" s="334"/>
      <c r="N46" s="158">
        <f t="shared" si="2"/>
        <v>0</v>
      </c>
      <c r="O46" s="158">
        <f t="shared" si="3"/>
        <v>0</v>
      </c>
      <c r="P46" s="4"/>
    </row>
    <row r="47" spans="2:16">
      <c r="B47" s="9" t="str">
        <f t="shared" si="7"/>
        <v/>
      </c>
      <c r="C47" s="153">
        <f>IF(D11="","-",+C46+1)</f>
        <v>2048</v>
      </c>
      <c r="D47" s="159">
        <f>IF(F46+SUM(E$17:E46)=D$10,F46,D$10-SUM(E$17:E46))</f>
        <v>2471050.7657402167</v>
      </c>
      <c r="E47" s="160">
        <f>IF(+I14&lt;F46,I14,D47)</f>
        <v>183372.09302325582</v>
      </c>
      <c r="F47" s="159">
        <f t="shared" si="4"/>
        <v>2287678.6727169608</v>
      </c>
      <c r="G47" s="161">
        <f t="shared" si="5"/>
        <v>420251.34767144849</v>
      </c>
      <c r="H47" s="142">
        <f t="shared" si="6"/>
        <v>420251.34767144849</v>
      </c>
      <c r="I47" s="156">
        <f t="shared" si="0"/>
        <v>0</v>
      </c>
      <c r="J47" s="156"/>
      <c r="K47" s="334"/>
      <c r="L47" s="158">
        <f t="shared" si="1"/>
        <v>0</v>
      </c>
      <c r="M47" s="334"/>
      <c r="N47" s="158">
        <f t="shared" si="2"/>
        <v>0</v>
      </c>
      <c r="O47" s="158">
        <f t="shared" si="3"/>
        <v>0</v>
      </c>
      <c r="P47" s="4"/>
    </row>
    <row r="48" spans="2:16">
      <c r="B48" s="9" t="str">
        <f t="shared" si="7"/>
        <v/>
      </c>
      <c r="C48" s="153">
        <f>IF(D11="","-",+C47+1)</f>
        <v>2049</v>
      </c>
      <c r="D48" s="159">
        <f>IF(F47+SUM(E$17:E47)=D$10,F47,D$10-SUM(E$17:E47))</f>
        <v>2287678.6727169608</v>
      </c>
      <c r="E48" s="160">
        <f>IF(+I14&lt;F47,I14,D48)</f>
        <v>183372.09302325582</v>
      </c>
      <c r="F48" s="159">
        <f t="shared" si="4"/>
        <v>2104306.5796937048</v>
      </c>
      <c r="G48" s="161">
        <f t="shared" si="5"/>
        <v>401995.61564029078</v>
      </c>
      <c r="H48" s="142">
        <f t="shared" si="6"/>
        <v>401995.61564029078</v>
      </c>
      <c r="I48" s="156">
        <f t="shared" si="0"/>
        <v>0</v>
      </c>
      <c r="J48" s="156"/>
      <c r="K48" s="334"/>
      <c r="L48" s="158">
        <f t="shared" si="1"/>
        <v>0</v>
      </c>
      <c r="M48" s="334"/>
      <c r="N48" s="158">
        <f t="shared" si="2"/>
        <v>0</v>
      </c>
      <c r="O48" s="158">
        <f t="shared" si="3"/>
        <v>0</v>
      </c>
      <c r="P48" s="4"/>
    </row>
    <row r="49" spans="2:16">
      <c r="B49" s="9" t="str">
        <f t="shared" si="7"/>
        <v/>
      </c>
      <c r="C49" s="153">
        <f>IF(D11="","-",+C48+1)</f>
        <v>2050</v>
      </c>
      <c r="D49" s="159">
        <f>IF(F48+SUM(E$17:E48)=D$10,F48,D$10-SUM(E$17:E48))</f>
        <v>2104306.5796937048</v>
      </c>
      <c r="E49" s="160">
        <f>IF(+I14&lt;F48,I14,D49)</f>
        <v>183372.09302325582</v>
      </c>
      <c r="F49" s="159">
        <f t="shared" si="4"/>
        <v>1920934.4866704489</v>
      </c>
      <c r="G49" s="161">
        <f t="shared" si="5"/>
        <v>383739.88360913307</v>
      </c>
      <c r="H49" s="142">
        <f t="shared" si="6"/>
        <v>383739.88360913307</v>
      </c>
      <c r="I49" s="156">
        <f t="shared" si="0"/>
        <v>0</v>
      </c>
      <c r="J49" s="156"/>
      <c r="K49" s="334"/>
      <c r="L49" s="158">
        <f t="shared" si="1"/>
        <v>0</v>
      </c>
      <c r="M49" s="334"/>
      <c r="N49" s="158">
        <f t="shared" si="2"/>
        <v>0</v>
      </c>
      <c r="O49" s="158">
        <f t="shared" si="3"/>
        <v>0</v>
      </c>
      <c r="P49" s="4"/>
    </row>
    <row r="50" spans="2:16">
      <c r="B50" s="9" t="str">
        <f t="shared" si="7"/>
        <v/>
      </c>
      <c r="C50" s="153">
        <f>IF(D11="","-",+C49+1)</f>
        <v>2051</v>
      </c>
      <c r="D50" s="159">
        <f>IF(F49+SUM(E$17:E49)=D$10,F49,D$10-SUM(E$17:E49))</f>
        <v>1920934.4866704489</v>
      </c>
      <c r="E50" s="160">
        <f>IF(+I14&lt;F49,I14,D50)</f>
        <v>183372.09302325582</v>
      </c>
      <c r="F50" s="159">
        <f t="shared" si="4"/>
        <v>1737562.393647193</v>
      </c>
      <c r="G50" s="161">
        <f t="shared" si="5"/>
        <v>365484.15157797537</v>
      </c>
      <c r="H50" s="142">
        <f t="shared" si="6"/>
        <v>365484.15157797537</v>
      </c>
      <c r="I50" s="156">
        <f t="shared" si="0"/>
        <v>0</v>
      </c>
      <c r="J50" s="156"/>
      <c r="K50" s="334"/>
      <c r="L50" s="158">
        <f t="shared" si="1"/>
        <v>0</v>
      </c>
      <c r="M50" s="334"/>
      <c r="N50" s="158">
        <f t="shared" si="2"/>
        <v>0</v>
      </c>
      <c r="O50" s="158">
        <f t="shared" si="3"/>
        <v>0</v>
      </c>
      <c r="P50" s="4"/>
    </row>
    <row r="51" spans="2:16">
      <c r="B51" s="9" t="str">
        <f t="shared" si="7"/>
        <v/>
      </c>
      <c r="C51" s="153">
        <f>IF(D11="","-",+C50+1)</f>
        <v>2052</v>
      </c>
      <c r="D51" s="159">
        <f>IF(F50+SUM(E$17:E50)=D$10,F50,D$10-SUM(E$17:E50))</f>
        <v>1737562.393647193</v>
      </c>
      <c r="E51" s="160">
        <f>IF(+I14&lt;F50,I14,D51)</f>
        <v>183372.09302325582</v>
      </c>
      <c r="F51" s="159">
        <f t="shared" si="4"/>
        <v>1554190.300623937</v>
      </c>
      <c r="G51" s="161">
        <f t="shared" si="5"/>
        <v>347228.41954681766</v>
      </c>
      <c r="H51" s="142">
        <f t="shared" si="6"/>
        <v>347228.41954681766</v>
      </c>
      <c r="I51" s="156">
        <f t="shared" si="0"/>
        <v>0</v>
      </c>
      <c r="J51" s="156"/>
      <c r="K51" s="334"/>
      <c r="L51" s="158">
        <f t="shared" si="1"/>
        <v>0</v>
      </c>
      <c r="M51" s="334"/>
      <c r="N51" s="158">
        <f t="shared" si="2"/>
        <v>0</v>
      </c>
      <c r="O51" s="158">
        <f t="shared" si="3"/>
        <v>0</v>
      </c>
      <c r="P51" s="4"/>
    </row>
    <row r="52" spans="2:16">
      <c r="B52" s="9" t="str">
        <f t="shared" si="7"/>
        <v/>
      </c>
      <c r="C52" s="153">
        <f>IF(D11="","-",+C51+1)</f>
        <v>2053</v>
      </c>
      <c r="D52" s="159">
        <f>IF(F51+SUM(E$17:E51)=D$10,F51,D$10-SUM(E$17:E51))</f>
        <v>1554190.300623937</v>
      </c>
      <c r="E52" s="160">
        <f>IF(+I14&lt;F51,I14,D52)</f>
        <v>183372.09302325582</v>
      </c>
      <c r="F52" s="159">
        <f t="shared" si="4"/>
        <v>1370818.2076006811</v>
      </c>
      <c r="G52" s="161">
        <f t="shared" si="5"/>
        <v>328972.68751565996</v>
      </c>
      <c r="H52" s="142">
        <f t="shared" si="6"/>
        <v>328972.68751565996</v>
      </c>
      <c r="I52" s="156">
        <f t="shared" si="0"/>
        <v>0</v>
      </c>
      <c r="J52" s="156"/>
      <c r="K52" s="334"/>
      <c r="L52" s="158">
        <f t="shared" si="1"/>
        <v>0</v>
      </c>
      <c r="M52" s="334"/>
      <c r="N52" s="158">
        <f t="shared" si="2"/>
        <v>0</v>
      </c>
      <c r="O52" s="158">
        <f t="shared" si="3"/>
        <v>0</v>
      </c>
      <c r="P52" s="4"/>
    </row>
    <row r="53" spans="2:16">
      <c r="B53" s="9" t="str">
        <f t="shared" si="7"/>
        <v/>
      </c>
      <c r="C53" s="153">
        <f>IF(D11="","-",+C52+1)</f>
        <v>2054</v>
      </c>
      <c r="D53" s="159">
        <f>IF(F52+SUM(E$17:E52)=D$10,F52,D$10-SUM(E$17:E52))</f>
        <v>1370818.2076006811</v>
      </c>
      <c r="E53" s="160">
        <f>IF(+I14&lt;F52,I14,D53)</f>
        <v>183372.09302325582</v>
      </c>
      <c r="F53" s="159">
        <f t="shared" si="4"/>
        <v>1187446.1145774252</v>
      </c>
      <c r="G53" s="161">
        <f t="shared" si="5"/>
        <v>310716.95548450225</v>
      </c>
      <c r="H53" s="142">
        <f t="shared" si="6"/>
        <v>310716.95548450225</v>
      </c>
      <c r="I53" s="156">
        <f t="shared" si="0"/>
        <v>0</v>
      </c>
      <c r="J53" s="156"/>
      <c r="K53" s="334"/>
      <c r="L53" s="158">
        <f t="shared" si="1"/>
        <v>0</v>
      </c>
      <c r="M53" s="334"/>
      <c r="N53" s="158">
        <f t="shared" si="2"/>
        <v>0</v>
      </c>
      <c r="O53" s="158">
        <f t="shared" si="3"/>
        <v>0</v>
      </c>
      <c r="P53" s="4"/>
    </row>
    <row r="54" spans="2:16">
      <c r="B54" s="9" t="str">
        <f t="shared" si="7"/>
        <v/>
      </c>
      <c r="C54" s="153">
        <f>IF(D11="","-",+C53+1)</f>
        <v>2055</v>
      </c>
      <c r="D54" s="159">
        <f>IF(F53+SUM(E$17:E53)=D$10,F53,D$10-SUM(E$17:E53))</f>
        <v>1187446.1145774252</v>
      </c>
      <c r="E54" s="160">
        <f>IF(+I14&lt;F53,I14,D54)</f>
        <v>183372.09302325582</v>
      </c>
      <c r="F54" s="159">
        <f t="shared" si="4"/>
        <v>1004074.0215541694</v>
      </c>
      <c r="G54" s="161">
        <f t="shared" si="5"/>
        <v>292461.22345334454</v>
      </c>
      <c r="H54" s="142">
        <f t="shared" si="6"/>
        <v>292461.22345334454</v>
      </c>
      <c r="I54" s="156">
        <f t="shared" si="0"/>
        <v>0</v>
      </c>
      <c r="J54" s="156"/>
      <c r="K54" s="334"/>
      <c r="L54" s="158">
        <f t="shared" si="1"/>
        <v>0</v>
      </c>
      <c r="M54" s="334"/>
      <c r="N54" s="158">
        <f t="shared" si="2"/>
        <v>0</v>
      </c>
      <c r="O54" s="158">
        <f t="shared" si="3"/>
        <v>0</v>
      </c>
      <c r="P54" s="4"/>
    </row>
    <row r="55" spans="2:16">
      <c r="B55" s="9" t="str">
        <f t="shared" si="7"/>
        <v/>
      </c>
      <c r="C55" s="153">
        <f>IF(D11="","-",+C54+1)</f>
        <v>2056</v>
      </c>
      <c r="D55" s="159">
        <f>IF(F54+SUM(E$17:E54)=D$10,F54,D$10-SUM(E$17:E54))</f>
        <v>1004074.0215541694</v>
      </c>
      <c r="E55" s="160">
        <f>IF(+I14&lt;F54,I14,D55)</f>
        <v>183372.09302325582</v>
      </c>
      <c r="F55" s="159">
        <f t="shared" si="4"/>
        <v>820701.92853091354</v>
      </c>
      <c r="G55" s="161">
        <f t="shared" si="5"/>
        <v>274205.49142218684</v>
      </c>
      <c r="H55" s="142">
        <f t="shared" si="6"/>
        <v>274205.49142218684</v>
      </c>
      <c r="I55" s="156">
        <f t="shared" si="0"/>
        <v>0</v>
      </c>
      <c r="J55" s="156"/>
      <c r="K55" s="334"/>
      <c r="L55" s="158">
        <f t="shared" si="1"/>
        <v>0</v>
      </c>
      <c r="M55" s="334"/>
      <c r="N55" s="158">
        <f t="shared" si="2"/>
        <v>0</v>
      </c>
      <c r="O55" s="158">
        <f t="shared" si="3"/>
        <v>0</v>
      </c>
      <c r="P55" s="4"/>
    </row>
    <row r="56" spans="2:16">
      <c r="B56" s="9" t="str">
        <f t="shared" si="7"/>
        <v/>
      </c>
      <c r="C56" s="153">
        <f>IF(D11="","-",+C55+1)</f>
        <v>2057</v>
      </c>
      <c r="D56" s="159">
        <f>IF(F55+SUM(E$17:E55)=D$10,F55,D$10-SUM(E$17:E55))</f>
        <v>820701.92853091354</v>
      </c>
      <c r="E56" s="160">
        <f>IF(+I14&lt;F55,I14,D56)</f>
        <v>183372.09302325582</v>
      </c>
      <c r="F56" s="159">
        <f t="shared" si="4"/>
        <v>637329.83550765773</v>
      </c>
      <c r="G56" s="161">
        <f t="shared" si="5"/>
        <v>255949.75939102913</v>
      </c>
      <c r="H56" s="142">
        <f t="shared" si="6"/>
        <v>255949.75939102913</v>
      </c>
      <c r="I56" s="156">
        <f t="shared" si="0"/>
        <v>0</v>
      </c>
      <c r="J56" s="156"/>
      <c r="K56" s="334"/>
      <c r="L56" s="158">
        <f t="shared" si="1"/>
        <v>0</v>
      </c>
      <c r="M56" s="334"/>
      <c r="N56" s="158">
        <f t="shared" si="2"/>
        <v>0</v>
      </c>
      <c r="O56" s="158">
        <f t="shared" si="3"/>
        <v>0</v>
      </c>
      <c r="P56" s="4"/>
    </row>
    <row r="57" spans="2:16">
      <c r="B57" s="9" t="str">
        <f t="shared" si="7"/>
        <v/>
      </c>
      <c r="C57" s="153">
        <f>IF(D11="","-",+C56+1)</f>
        <v>2058</v>
      </c>
      <c r="D57" s="159">
        <f>IF(F56+SUM(E$17:E56)=D$10,F56,D$10-SUM(E$17:E56))</f>
        <v>637329.83550765773</v>
      </c>
      <c r="E57" s="160">
        <f>IF(+I14&lt;F56,I14,D57)</f>
        <v>183372.09302325582</v>
      </c>
      <c r="F57" s="159">
        <f t="shared" si="4"/>
        <v>453957.74248440191</v>
      </c>
      <c r="G57" s="161">
        <f t="shared" si="5"/>
        <v>237694.02735987143</v>
      </c>
      <c r="H57" s="142">
        <f t="shared" si="6"/>
        <v>237694.02735987143</v>
      </c>
      <c r="I57" s="156">
        <f t="shared" si="0"/>
        <v>0</v>
      </c>
      <c r="J57" s="156"/>
      <c r="K57" s="334"/>
      <c r="L57" s="158">
        <f t="shared" si="1"/>
        <v>0</v>
      </c>
      <c r="M57" s="334"/>
      <c r="N57" s="158">
        <f t="shared" si="2"/>
        <v>0</v>
      </c>
      <c r="O57" s="158">
        <f t="shared" si="3"/>
        <v>0</v>
      </c>
      <c r="P57" s="4"/>
    </row>
    <row r="58" spans="2:16">
      <c r="B58" s="9" t="str">
        <f t="shared" si="7"/>
        <v/>
      </c>
      <c r="C58" s="153">
        <f>IF(D11="","-",+C57+1)</f>
        <v>2059</v>
      </c>
      <c r="D58" s="159">
        <f>IF(F57+SUM(E$17:E57)=D$10,F57,D$10-SUM(E$17:E57))</f>
        <v>453957.74248440191</v>
      </c>
      <c r="E58" s="160">
        <f>IF(+I14&lt;F57,I14,D58)</f>
        <v>183372.09302325582</v>
      </c>
      <c r="F58" s="159">
        <f t="shared" si="4"/>
        <v>270585.64946114609</v>
      </c>
      <c r="G58" s="161">
        <f t="shared" si="5"/>
        <v>219438.29532871372</v>
      </c>
      <c r="H58" s="142">
        <f t="shared" si="6"/>
        <v>219438.29532871372</v>
      </c>
      <c r="I58" s="156">
        <f t="shared" si="0"/>
        <v>0</v>
      </c>
      <c r="J58" s="156"/>
      <c r="K58" s="334"/>
      <c r="L58" s="158">
        <f t="shared" si="1"/>
        <v>0</v>
      </c>
      <c r="M58" s="334"/>
      <c r="N58" s="158">
        <f t="shared" si="2"/>
        <v>0</v>
      </c>
      <c r="O58" s="158">
        <f t="shared" si="3"/>
        <v>0</v>
      </c>
      <c r="P58" s="4"/>
    </row>
    <row r="59" spans="2:16">
      <c r="B59" s="9" t="str">
        <f t="shared" si="7"/>
        <v/>
      </c>
      <c r="C59" s="153">
        <f>IF(D11="","-",+C58+1)</f>
        <v>2060</v>
      </c>
      <c r="D59" s="159">
        <f>IF(F58+SUM(E$17:E58)=D$10,F58,D$10-SUM(E$17:E58))</f>
        <v>270585.64946114609</v>
      </c>
      <c r="E59" s="160">
        <f>IF(+I14&lt;F58,I14,D59)</f>
        <v>183372.09302325582</v>
      </c>
      <c r="F59" s="159">
        <f t="shared" si="4"/>
        <v>87213.556437890278</v>
      </c>
      <c r="G59" s="161">
        <f t="shared" si="5"/>
        <v>201182.56329755604</v>
      </c>
      <c r="H59" s="142">
        <f t="shared" si="6"/>
        <v>201182.56329755604</v>
      </c>
      <c r="I59" s="156">
        <f t="shared" si="0"/>
        <v>0</v>
      </c>
      <c r="J59" s="156"/>
      <c r="K59" s="334"/>
      <c r="L59" s="158">
        <f t="shared" si="1"/>
        <v>0</v>
      </c>
      <c r="M59" s="334"/>
      <c r="N59" s="158">
        <f t="shared" si="2"/>
        <v>0</v>
      </c>
      <c r="O59" s="158">
        <f t="shared" si="3"/>
        <v>0</v>
      </c>
      <c r="P59" s="4"/>
    </row>
    <row r="60" spans="2:16">
      <c r="B60" s="9" t="str">
        <f t="shared" si="7"/>
        <v/>
      </c>
      <c r="C60" s="153">
        <f>IF(D11="","-",+C59+1)</f>
        <v>2061</v>
      </c>
      <c r="D60" s="159">
        <f>IF(F59+SUM(E$17:E59)=D$10,F59,D$10-SUM(E$17:E59))</f>
        <v>87213.556437890278</v>
      </c>
      <c r="E60" s="160">
        <f>IF(+I14&lt;F59,I14,D60)</f>
        <v>87213.556437890278</v>
      </c>
      <c r="F60" s="159">
        <f t="shared" si="4"/>
        <v>0</v>
      </c>
      <c r="G60" s="161">
        <f t="shared" si="5"/>
        <v>91554.858567250965</v>
      </c>
      <c r="H60" s="142">
        <f t="shared" si="6"/>
        <v>91554.858567250965</v>
      </c>
      <c r="I60" s="156">
        <f t="shared" si="0"/>
        <v>0</v>
      </c>
      <c r="J60" s="156"/>
      <c r="K60" s="334"/>
      <c r="L60" s="158">
        <f t="shared" si="1"/>
        <v>0</v>
      </c>
      <c r="M60" s="334"/>
      <c r="N60" s="158">
        <f t="shared" si="2"/>
        <v>0</v>
      </c>
      <c r="O60" s="158">
        <f t="shared" si="3"/>
        <v>0</v>
      </c>
      <c r="P60" s="4"/>
    </row>
    <row r="61" spans="2:16">
      <c r="B61" s="9" t="str">
        <f t="shared" si="7"/>
        <v/>
      </c>
      <c r="C61" s="153">
        <f>IF(D11="","-",+C60+1)</f>
        <v>2062</v>
      </c>
      <c r="D61" s="159">
        <f>IF(F60+SUM(E$17:E60)=D$10,F60,D$10-SUM(E$17:E60))</f>
        <v>0</v>
      </c>
      <c r="E61" s="160">
        <f>IF(+I14&lt;F60,I14,D61)</f>
        <v>0</v>
      </c>
      <c r="F61" s="159">
        <f t="shared" si="4"/>
        <v>0</v>
      </c>
      <c r="G61" s="163">
        <f t="shared" si="5"/>
        <v>0</v>
      </c>
      <c r="H61" s="142">
        <f t="shared" si="6"/>
        <v>0</v>
      </c>
      <c r="I61" s="156">
        <f t="shared" si="0"/>
        <v>0</v>
      </c>
      <c r="J61" s="156"/>
      <c r="K61" s="334"/>
      <c r="L61" s="158">
        <f t="shared" si="1"/>
        <v>0</v>
      </c>
      <c r="M61" s="334"/>
      <c r="N61" s="158">
        <f t="shared" si="2"/>
        <v>0</v>
      </c>
      <c r="O61" s="158">
        <f t="shared" si="3"/>
        <v>0</v>
      </c>
      <c r="P61" s="4"/>
    </row>
    <row r="62" spans="2:16">
      <c r="B62" s="9" t="str">
        <f t="shared" si="7"/>
        <v/>
      </c>
      <c r="C62" s="153">
        <f>IF(D11="","-",+C61+1)</f>
        <v>2063</v>
      </c>
      <c r="D62" s="159">
        <f>IF(F61+SUM(E$17:E61)=D$10,F61,D$10-SUM(E$17:E61))</f>
        <v>0</v>
      </c>
      <c r="E62" s="160">
        <f>IF(+I14&lt;F61,I14,D62)</f>
        <v>0</v>
      </c>
      <c r="F62" s="159">
        <f t="shared" si="4"/>
        <v>0</v>
      </c>
      <c r="G62" s="163">
        <f t="shared" si="5"/>
        <v>0</v>
      </c>
      <c r="H62" s="142">
        <f t="shared" si="6"/>
        <v>0</v>
      </c>
      <c r="I62" s="156">
        <f t="shared" si="0"/>
        <v>0</v>
      </c>
      <c r="J62" s="156"/>
      <c r="K62" s="334"/>
      <c r="L62" s="158">
        <f t="shared" si="1"/>
        <v>0</v>
      </c>
      <c r="M62" s="334"/>
      <c r="N62" s="158">
        <f t="shared" si="2"/>
        <v>0</v>
      </c>
      <c r="O62" s="158">
        <f t="shared" si="3"/>
        <v>0</v>
      </c>
      <c r="P62" s="4"/>
    </row>
    <row r="63" spans="2:16">
      <c r="B63" s="9" t="str">
        <f t="shared" si="7"/>
        <v/>
      </c>
      <c r="C63" s="153">
        <f>IF(D11="","-",+C62+1)</f>
        <v>2064</v>
      </c>
      <c r="D63" s="159">
        <f>IF(F62+SUM(E$17:E62)=D$10,F62,D$10-SUM(E$17:E62))</f>
        <v>0</v>
      </c>
      <c r="E63" s="160">
        <f>IF(+I14&lt;F62,I14,D63)</f>
        <v>0</v>
      </c>
      <c r="F63" s="159">
        <f t="shared" si="4"/>
        <v>0</v>
      </c>
      <c r="G63" s="163">
        <f t="shared" si="5"/>
        <v>0</v>
      </c>
      <c r="H63" s="142">
        <f t="shared" si="6"/>
        <v>0</v>
      </c>
      <c r="I63" s="156">
        <f t="shared" si="0"/>
        <v>0</v>
      </c>
      <c r="J63" s="156"/>
      <c r="K63" s="334"/>
      <c r="L63" s="158">
        <f t="shared" si="1"/>
        <v>0</v>
      </c>
      <c r="M63" s="334"/>
      <c r="N63" s="158">
        <f t="shared" si="2"/>
        <v>0</v>
      </c>
      <c r="O63" s="158">
        <f t="shared" si="3"/>
        <v>0</v>
      </c>
      <c r="P63" s="4"/>
    </row>
    <row r="64" spans="2:16">
      <c r="B64" s="9" t="str">
        <f t="shared" si="7"/>
        <v/>
      </c>
      <c r="C64" s="153">
        <f>IF(D11="","-",+C63+1)</f>
        <v>2065</v>
      </c>
      <c r="D64" s="159">
        <f>IF(F63+SUM(E$17:E63)=D$10,F63,D$10-SUM(E$17:E63))</f>
        <v>0</v>
      </c>
      <c r="E64" s="160">
        <f>IF(+I14&lt;F63,I14,D64)</f>
        <v>0</v>
      </c>
      <c r="F64" s="159">
        <f t="shared" si="4"/>
        <v>0</v>
      </c>
      <c r="G64" s="163">
        <f t="shared" si="5"/>
        <v>0</v>
      </c>
      <c r="H64" s="142">
        <f t="shared" si="6"/>
        <v>0</v>
      </c>
      <c r="I64" s="156">
        <f t="shared" si="0"/>
        <v>0</v>
      </c>
      <c r="J64" s="156"/>
      <c r="K64" s="334"/>
      <c r="L64" s="158">
        <f t="shared" si="1"/>
        <v>0</v>
      </c>
      <c r="M64" s="334"/>
      <c r="N64" s="158">
        <f t="shared" si="2"/>
        <v>0</v>
      </c>
      <c r="O64" s="158">
        <f t="shared" si="3"/>
        <v>0</v>
      </c>
      <c r="P64" s="4"/>
    </row>
    <row r="65" spans="2:16">
      <c r="B65" s="9" t="str">
        <f t="shared" si="7"/>
        <v/>
      </c>
      <c r="C65" s="153">
        <f>IF(D11="","-",+C64+1)</f>
        <v>2066</v>
      </c>
      <c r="D65" s="159">
        <f>IF(F64+SUM(E$17:E64)=D$10,F64,D$10-SUM(E$17:E64))</f>
        <v>0</v>
      </c>
      <c r="E65" s="160">
        <f>IF(+I14&lt;F64,I14,D65)</f>
        <v>0</v>
      </c>
      <c r="F65" s="159">
        <f t="shared" si="4"/>
        <v>0</v>
      </c>
      <c r="G65" s="163">
        <f t="shared" si="5"/>
        <v>0</v>
      </c>
      <c r="H65" s="142">
        <f t="shared" si="6"/>
        <v>0</v>
      </c>
      <c r="I65" s="156">
        <f t="shared" si="0"/>
        <v>0</v>
      </c>
      <c r="J65" s="156"/>
      <c r="K65" s="334"/>
      <c r="L65" s="158">
        <f t="shared" si="1"/>
        <v>0</v>
      </c>
      <c r="M65" s="334"/>
      <c r="N65" s="158">
        <f t="shared" si="2"/>
        <v>0</v>
      </c>
      <c r="O65" s="158">
        <f t="shared" si="3"/>
        <v>0</v>
      </c>
      <c r="P65" s="4"/>
    </row>
    <row r="66" spans="2:16">
      <c r="B66" s="9" t="str">
        <f t="shared" si="7"/>
        <v/>
      </c>
      <c r="C66" s="153">
        <f>IF(D11="","-",+C65+1)</f>
        <v>2067</v>
      </c>
      <c r="D66" s="159">
        <f>IF(F65+SUM(E$17:E65)=D$10,F65,D$10-SUM(E$17:E65))</f>
        <v>0</v>
      </c>
      <c r="E66" s="160">
        <f>IF(+I14&lt;F65,I14,D66)</f>
        <v>0</v>
      </c>
      <c r="F66" s="159">
        <f t="shared" si="4"/>
        <v>0</v>
      </c>
      <c r="G66" s="163">
        <f t="shared" si="5"/>
        <v>0</v>
      </c>
      <c r="H66" s="142">
        <f t="shared" si="6"/>
        <v>0</v>
      </c>
      <c r="I66" s="156">
        <f t="shared" si="0"/>
        <v>0</v>
      </c>
      <c r="J66" s="156"/>
      <c r="K66" s="334"/>
      <c r="L66" s="158">
        <f t="shared" si="1"/>
        <v>0</v>
      </c>
      <c r="M66" s="334"/>
      <c r="N66" s="158">
        <f t="shared" si="2"/>
        <v>0</v>
      </c>
      <c r="O66" s="158">
        <f t="shared" si="3"/>
        <v>0</v>
      </c>
      <c r="P66" s="4"/>
    </row>
    <row r="67" spans="2:16">
      <c r="B67" s="9" t="str">
        <f t="shared" si="7"/>
        <v/>
      </c>
      <c r="C67" s="153">
        <f>IF(D11="","-",+C66+1)</f>
        <v>2068</v>
      </c>
      <c r="D67" s="159">
        <f>IF(F66+SUM(E$17:E66)=D$10,F66,D$10-SUM(E$17:E66))</f>
        <v>0</v>
      </c>
      <c r="E67" s="160">
        <f>IF(+I14&lt;F66,I14,D67)</f>
        <v>0</v>
      </c>
      <c r="F67" s="159">
        <f t="shared" si="4"/>
        <v>0</v>
      </c>
      <c r="G67" s="163">
        <f t="shared" si="5"/>
        <v>0</v>
      </c>
      <c r="H67" s="142">
        <f t="shared" si="6"/>
        <v>0</v>
      </c>
      <c r="I67" s="156">
        <f t="shared" si="0"/>
        <v>0</v>
      </c>
      <c r="J67" s="156"/>
      <c r="K67" s="334"/>
      <c r="L67" s="158">
        <f t="shared" si="1"/>
        <v>0</v>
      </c>
      <c r="M67" s="334"/>
      <c r="N67" s="158">
        <f t="shared" si="2"/>
        <v>0</v>
      </c>
      <c r="O67" s="158">
        <f t="shared" si="3"/>
        <v>0</v>
      </c>
      <c r="P67" s="4"/>
    </row>
    <row r="68" spans="2:16">
      <c r="B68" s="9" t="str">
        <f t="shared" si="7"/>
        <v/>
      </c>
      <c r="C68" s="153">
        <f>IF(D11="","-",+C67+1)</f>
        <v>2069</v>
      </c>
      <c r="D68" s="159">
        <f>IF(F67+SUM(E$17:E67)=D$10,F67,D$10-SUM(E$17:E67))</f>
        <v>0</v>
      </c>
      <c r="E68" s="160">
        <f>IF(+I14&lt;F67,I14,D68)</f>
        <v>0</v>
      </c>
      <c r="F68" s="159">
        <f t="shared" si="4"/>
        <v>0</v>
      </c>
      <c r="G68" s="163">
        <f t="shared" si="5"/>
        <v>0</v>
      </c>
      <c r="H68" s="142">
        <f t="shared" si="6"/>
        <v>0</v>
      </c>
      <c r="I68" s="156">
        <f t="shared" si="0"/>
        <v>0</v>
      </c>
      <c r="J68" s="156"/>
      <c r="K68" s="334"/>
      <c r="L68" s="158">
        <f t="shared" si="1"/>
        <v>0</v>
      </c>
      <c r="M68" s="334"/>
      <c r="N68" s="158">
        <f t="shared" si="2"/>
        <v>0</v>
      </c>
      <c r="O68" s="158">
        <f t="shared" si="3"/>
        <v>0</v>
      </c>
      <c r="P68" s="4"/>
    </row>
    <row r="69" spans="2:16">
      <c r="B69" s="9" t="str">
        <f t="shared" si="7"/>
        <v/>
      </c>
      <c r="C69" s="153">
        <f>IF(D11="","-",+C68+1)</f>
        <v>2070</v>
      </c>
      <c r="D69" s="159">
        <f>IF(F68+SUM(E$17:E68)=D$10,F68,D$10-SUM(E$17:E68))</f>
        <v>0</v>
      </c>
      <c r="E69" s="160">
        <f>IF(+I14&lt;F68,I14,D69)</f>
        <v>0</v>
      </c>
      <c r="F69" s="159">
        <f t="shared" si="4"/>
        <v>0</v>
      </c>
      <c r="G69" s="163">
        <f t="shared" si="5"/>
        <v>0</v>
      </c>
      <c r="H69" s="142">
        <f t="shared" si="6"/>
        <v>0</v>
      </c>
      <c r="I69" s="156">
        <f t="shared" si="0"/>
        <v>0</v>
      </c>
      <c r="J69" s="156"/>
      <c r="K69" s="334"/>
      <c r="L69" s="158">
        <f t="shared" si="1"/>
        <v>0</v>
      </c>
      <c r="M69" s="334"/>
      <c r="N69" s="158">
        <f t="shared" si="2"/>
        <v>0</v>
      </c>
      <c r="O69" s="158">
        <f t="shared" si="3"/>
        <v>0</v>
      </c>
      <c r="P69" s="4"/>
    </row>
    <row r="70" spans="2:16">
      <c r="B70" s="9" t="str">
        <f t="shared" si="7"/>
        <v/>
      </c>
      <c r="C70" s="153">
        <f>IF(D11="","-",+C69+1)</f>
        <v>2071</v>
      </c>
      <c r="D70" s="159">
        <f>IF(F69+SUM(E$17:E69)=D$10,F69,D$10-SUM(E$17:E69))</f>
        <v>0</v>
      </c>
      <c r="E70" s="160">
        <f>IF(+I14&lt;F69,I14,D70)</f>
        <v>0</v>
      </c>
      <c r="F70" s="159">
        <f t="shared" si="4"/>
        <v>0</v>
      </c>
      <c r="G70" s="163">
        <f t="shared" si="5"/>
        <v>0</v>
      </c>
      <c r="H70" s="142">
        <f t="shared" si="6"/>
        <v>0</v>
      </c>
      <c r="I70" s="156">
        <f t="shared" si="0"/>
        <v>0</v>
      </c>
      <c r="J70" s="156"/>
      <c r="K70" s="334"/>
      <c r="L70" s="158">
        <f t="shared" si="1"/>
        <v>0</v>
      </c>
      <c r="M70" s="334"/>
      <c r="N70" s="158">
        <f t="shared" si="2"/>
        <v>0</v>
      </c>
      <c r="O70" s="158">
        <f t="shared" si="3"/>
        <v>0</v>
      </c>
      <c r="P70" s="4"/>
    </row>
    <row r="71" spans="2:16">
      <c r="B71" s="9" t="str">
        <f t="shared" si="7"/>
        <v/>
      </c>
      <c r="C71" s="153">
        <f>IF(D11="","-",+C70+1)</f>
        <v>2072</v>
      </c>
      <c r="D71" s="159">
        <f>IF(F70+SUM(E$17:E70)=D$10,F70,D$10-SUM(E$17:E70))</f>
        <v>0</v>
      </c>
      <c r="E71" s="160">
        <f>IF(+I14&lt;F70,I14,D71)</f>
        <v>0</v>
      </c>
      <c r="F71" s="159">
        <f t="shared" si="4"/>
        <v>0</v>
      </c>
      <c r="G71" s="163">
        <f t="shared" si="5"/>
        <v>0</v>
      </c>
      <c r="H71" s="142">
        <f t="shared" si="6"/>
        <v>0</v>
      </c>
      <c r="I71" s="156">
        <f t="shared" si="0"/>
        <v>0</v>
      </c>
      <c r="J71" s="156"/>
      <c r="K71" s="334"/>
      <c r="L71" s="158">
        <f t="shared" si="1"/>
        <v>0</v>
      </c>
      <c r="M71" s="334"/>
      <c r="N71" s="158">
        <f t="shared" si="2"/>
        <v>0</v>
      </c>
      <c r="O71" s="158">
        <f t="shared" si="3"/>
        <v>0</v>
      </c>
      <c r="P71" s="4"/>
    </row>
    <row r="72" spans="2:16" ht="13.5" thickBot="1">
      <c r="B72" s="9" t="str">
        <f t="shared" si="7"/>
        <v/>
      </c>
      <c r="C72" s="164">
        <f>IF(D11="","-",+C71+1)</f>
        <v>2073</v>
      </c>
      <c r="D72" s="165">
        <f>IF(F71+SUM(E$17:E71)=D$10,F71,D$10-SUM(E$17:E71))</f>
        <v>0</v>
      </c>
      <c r="E72" s="166">
        <f>IF(+I14&lt;F71,I14,D72)</f>
        <v>0</v>
      </c>
      <c r="F72" s="165">
        <f t="shared" si="4"/>
        <v>0</v>
      </c>
      <c r="G72" s="167">
        <f t="shared" si="5"/>
        <v>0</v>
      </c>
      <c r="H72" s="124">
        <f t="shared" si="6"/>
        <v>0</v>
      </c>
      <c r="I72" s="168">
        <f t="shared" si="0"/>
        <v>0</v>
      </c>
      <c r="J72" s="156"/>
      <c r="K72" s="335"/>
      <c r="L72" s="169">
        <f t="shared" si="1"/>
        <v>0</v>
      </c>
      <c r="M72" s="335"/>
      <c r="N72" s="169">
        <f t="shared" si="2"/>
        <v>0</v>
      </c>
      <c r="O72" s="169">
        <f t="shared" si="3"/>
        <v>0</v>
      </c>
      <c r="P72" s="4"/>
    </row>
    <row r="73" spans="2:16">
      <c r="C73" s="154" t="s">
        <v>73</v>
      </c>
      <c r="D73" s="111"/>
      <c r="E73" s="111">
        <f>SUM(E17:E72)</f>
        <v>7884999.9999999953</v>
      </c>
      <c r="F73" s="111"/>
      <c r="G73" s="111">
        <f>SUM(G17:G72)</f>
        <v>24791290.519602109</v>
      </c>
      <c r="H73" s="111">
        <f>SUM(H17:H72)</f>
        <v>24791290.519602109</v>
      </c>
      <c r="I73" s="111">
        <f>SUM(I17:I72)</f>
        <v>0</v>
      </c>
      <c r="J73" s="111"/>
      <c r="K73" s="111"/>
      <c r="L73" s="111"/>
      <c r="M73" s="111"/>
      <c r="N73" s="111"/>
      <c r="O73" s="4"/>
      <c r="P73" s="4"/>
    </row>
    <row r="74" spans="2:16">
      <c r="D74" s="2"/>
      <c r="E74" s="1"/>
      <c r="F74" s="1"/>
      <c r="G74" s="1"/>
      <c r="H74" s="3"/>
      <c r="I74" s="3"/>
      <c r="J74" s="111"/>
      <c r="K74" s="3"/>
      <c r="L74" s="3"/>
      <c r="M74" s="3"/>
      <c r="N74" s="3"/>
      <c r="O74" s="1"/>
      <c r="P74" s="1"/>
    </row>
    <row r="75" spans="2:16">
      <c r="C75" s="170" t="s">
        <v>91</v>
      </c>
      <c r="D75" s="2"/>
      <c r="E75" s="1"/>
      <c r="F75" s="1"/>
      <c r="G75" s="1"/>
      <c r="H75" s="3"/>
      <c r="I75" s="3"/>
      <c r="J75" s="111"/>
      <c r="K75" s="3"/>
      <c r="L75" s="3"/>
      <c r="M75" s="3"/>
      <c r="N75" s="3"/>
      <c r="O75" s="1"/>
      <c r="P75" s="1"/>
    </row>
    <row r="76" spans="2:16">
      <c r="C76" s="121" t="s">
        <v>74</v>
      </c>
      <c r="D76" s="2"/>
      <c r="E76" s="1"/>
      <c r="F76" s="1"/>
      <c r="G76" s="1"/>
      <c r="H76" s="3"/>
      <c r="I76" s="3"/>
      <c r="J76" s="111"/>
      <c r="K76" s="3"/>
      <c r="L76" s="3"/>
      <c r="M76" s="3"/>
      <c r="N76" s="3"/>
      <c r="O76" s="4"/>
      <c r="P76" s="4"/>
    </row>
    <row r="77" spans="2:16">
      <c r="C77" s="121" t="s">
        <v>75</v>
      </c>
      <c r="D77" s="154"/>
      <c r="E77" s="154"/>
      <c r="F77" s="154"/>
      <c r="G77" s="111"/>
      <c r="H77" s="111"/>
      <c r="I77" s="171"/>
      <c r="J77" s="171"/>
      <c r="K77" s="171"/>
      <c r="L77" s="171"/>
      <c r="M77" s="171"/>
      <c r="N77" s="171"/>
      <c r="O77" s="4"/>
      <c r="P77" s="4"/>
    </row>
    <row r="78" spans="2:16">
      <c r="C78" s="121"/>
      <c r="D78" s="154"/>
      <c r="E78" s="154"/>
      <c r="F78" s="154"/>
      <c r="G78" s="111"/>
      <c r="H78" s="111"/>
      <c r="I78" s="171"/>
      <c r="J78" s="171"/>
      <c r="K78" s="171"/>
      <c r="L78" s="171"/>
      <c r="M78" s="171"/>
      <c r="N78" s="171"/>
      <c r="O78" s="4"/>
      <c r="P78" s="1"/>
    </row>
    <row r="79" spans="2:16">
      <c r="B79" s="1"/>
      <c r="C79" s="21"/>
      <c r="D79" s="2"/>
      <c r="E79" s="1"/>
      <c r="F79" s="107"/>
      <c r="G79" s="1"/>
      <c r="H79" s="3"/>
      <c r="I79" s="1"/>
      <c r="J79" s="4"/>
      <c r="K79" s="1"/>
      <c r="L79" s="1"/>
      <c r="M79" s="1"/>
      <c r="N79" s="1"/>
      <c r="O79" s="1"/>
      <c r="P79" s="1"/>
    </row>
    <row r="80" spans="2:16" ht="18">
      <c r="B80" s="1"/>
      <c r="C80" s="242"/>
      <c r="D80" s="2"/>
      <c r="E80" s="1"/>
      <c r="F80" s="107"/>
      <c r="G80" s="1"/>
      <c r="H80" s="3"/>
      <c r="I80" s="1"/>
      <c r="J80" s="4"/>
      <c r="K80" s="1"/>
      <c r="L80" s="1"/>
      <c r="M80" s="1"/>
      <c r="N80" s="1"/>
      <c r="P80" s="244" t="s">
        <v>125</v>
      </c>
    </row>
    <row r="81" spans="1:16">
      <c r="B81" s="1"/>
      <c r="C81" s="21"/>
      <c r="D81" s="2"/>
      <c r="E81" s="1"/>
      <c r="F81" s="107"/>
      <c r="G81" s="1"/>
      <c r="H81" s="3"/>
      <c r="I81" s="1"/>
      <c r="J81" s="4"/>
      <c r="K81" s="1"/>
      <c r="L81" s="1"/>
      <c r="M81" s="1"/>
      <c r="N81" s="1"/>
      <c r="O81" s="1"/>
      <c r="P81" s="1"/>
    </row>
    <row r="82" spans="1:16">
      <c r="B82" s="1"/>
      <c r="C82" s="21"/>
      <c r="D82" s="2"/>
      <c r="E82" s="1"/>
      <c r="F82" s="107"/>
      <c r="G82" s="1"/>
      <c r="H82" s="3"/>
      <c r="I82" s="1"/>
      <c r="J82" s="4"/>
      <c r="K82" s="1"/>
      <c r="L82" s="1"/>
      <c r="M82" s="1"/>
      <c r="N82" s="1"/>
      <c r="O82" s="1"/>
      <c r="P82" s="1"/>
    </row>
    <row r="83" spans="1:16" ht="20.25">
      <c r="A83" s="243" t="s">
        <v>129</v>
      </c>
      <c r="B83" s="1"/>
      <c r="C83" s="21"/>
      <c r="D83" s="2"/>
      <c r="E83" s="1"/>
      <c r="F83" s="99"/>
      <c r="G83" s="99"/>
      <c r="H83" s="1"/>
      <c r="I83" s="3"/>
      <c r="K83" s="7"/>
      <c r="L83" s="109"/>
      <c r="M83" s="109"/>
      <c r="P83" s="109" t="str">
        <f ca="1">P1</f>
        <v>SWEPCO Project 70 of 73</v>
      </c>
    </row>
    <row r="84" spans="1:16" ht="18">
      <c r="B84" s="1"/>
      <c r="C84" s="1"/>
      <c r="D84" s="2"/>
      <c r="E84" s="1"/>
      <c r="F84" s="1"/>
      <c r="G84" s="1"/>
      <c r="H84" s="1"/>
      <c r="I84" s="3"/>
      <c r="J84" s="1"/>
      <c r="K84" s="4"/>
      <c r="L84" s="1"/>
      <c r="M84" s="1"/>
      <c r="P84" s="244" t="s">
        <v>123</v>
      </c>
    </row>
    <row r="85" spans="1:16" ht="18.75" thickBot="1">
      <c r="B85" s="5" t="s">
        <v>40</v>
      </c>
      <c r="C85" s="197" t="s">
        <v>78</v>
      </c>
      <c r="D85" s="2"/>
      <c r="E85" s="1"/>
      <c r="F85" s="1"/>
      <c r="G85" s="1"/>
      <c r="H85" s="1"/>
      <c r="I85" s="3"/>
      <c r="J85" s="3"/>
      <c r="K85" s="111"/>
      <c r="L85" s="3"/>
      <c r="M85" s="3"/>
      <c r="N85" s="3"/>
      <c r="O85" s="111"/>
      <c r="P85" s="1"/>
    </row>
    <row r="86" spans="1:16" ht="15.75" thickBot="1">
      <c r="C86" s="67"/>
      <c r="D86" s="2"/>
      <c r="E86" s="1"/>
      <c r="F86" s="1"/>
      <c r="G86" s="1"/>
      <c r="H86" s="1"/>
      <c r="I86" s="3"/>
      <c r="J86" s="3"/>
      <c r="K86" s="111"/>
      <c r="L86" s="265">
        <f>+J92</f>
        <v>2017</v>
      </c>
      <c r="M86" s="266" t="s">
        <v>7</v>
      </c>
      <c r="N86" s="270" t="s">
        <v>154</v>
      </c>
      <c r="O86" s="267" t="s">
        <v>9</v>
      </c>
      <c r="P86" s="1"/>
    </row>
    <row r="87" spans="1:16" ht="15">
      <c r="C87" s="235" t="s">
        <v>42</v>
      </c>
      <c r="D87" s="2"/>
      <c r="E87" s="1"/>
      <c r="F87" s="1"/>
      <c r="G87" s="1"/>
      <c r="H87" s="113"/>
      <c r="I87" s="1" t="s">
        <v>43</v>
      </c>
      <c r="J87" s="1"/>
      <c r="K87" s="261"/>
      <c r="L87" s="259" t="s">
        <v>381</v>
      </c>
      <c r="M87" s="198">
        <f>IF(J92&lt;D11,0,VLOOKUP(J92,C17:O72,9))</f>
        <v>0</v>
      </c>
      <c r="N87" s="198">
        <f>IF(J92&lt;D11,0,VLOOKUP(J92,C17:O72,11))</f>
        <v>0</v>
      </c>
      <c r="O87" s="199">
        <f>+N87-M87</f>
        <v>0</v>
      </c>
      <c r="P87" s="1"/>
    </row>
    <row r="88" spans="1:16" ht="15.75">
      <c r="C88" s="8"/>
      <c r="D88" s="2"/>
      <c r="E88" s="1"/>
      <c r="F88" s="1"/>
      <c r="G88" s="1"/>
      <c r="H88" s="1"/>
      <c r="I88" s="117"/>
      <c r="J88" s="117"/>
      <c r="K88" s="263"/>
      <c r="L88" s="264" t="s">
        <v>382</v>
      </c>
      <c r="M88" s="200">
        <f>IF(J92&lt;D11,0,VLOOKUP(J92,C99:P154,6))</f>
        <v>0</v>
      </c>
      <c r="N88" s="200">
        <f>IF(J92&lt;D11,0,VLOOKUP(J92,C99:P154,7))</f>
        <v>0</v>
      </c>
      <c r="O88" s="201">
        <f>+N88-M88</f>
        <v>0</v>
      </c>
      <c r="P88" s="1"/>
    </row>
    <row r="89" spans="1:16" ht="13.5" thickBot="1">
      <c r="C89" s="121" t="s">
        <v>79</v>
      </c>
      <c r="D89" s="246" t="str">
        <f>+D7</f>
        <v>Linwood - South Shreveport 138 KV Line Rebuild</v>
      </c>
      <c r="E89" s="1"/>
      <c r="F89" s="1"/>
      <c r="G89" s="1"/>
      <c r="H89" s="1"/>
      <c r="I89" s="3"/>
      <c r="J89" s="3"/>
      <c r="K89" s="262"/>
      <c r="L89" s="260" t="s">
        <v>151</v>
      </c>
      <c r="M89" s="203">
        <f>+M88-M87</f>
        <v>0</v>
      </c>
      <c r="N89" s="203">
        <f>+N88-N87</f>
        <v>0</v>
      </c>
      <c r="O89" s="204">
        <f>+O88-O87</f>
        <v>0</v>
      </c>
      <c r="P89" s="1"/>
    </row>
    <row r="90" spans="1:16" ht="13.5" thickBot="1">
      <c r="C90" s="170"/>
      <c r="D90" s="173" t="str">
        <f>D8</f>
        <v/>
      </c>
      <c r="E90" s="107"/>
      <c r="F90" s="107"/>
      <c r="G90" s="107"/>
      <c r="H90" s="126"/>
      <c r="I90" s="3"/>
      <c r="J90" s="3"/>
      <c r="K90" s="111"/>
      <c r="L90" s="3"/>
      <c r="M90" s="3"/>
      <c r="N90" s="3"/>
      <c r="O90" s="111"/>
      <c r="P90" s="1"/>
    </row>
    <row r="91" spans="1:16" ht="13.5" thickBot="1">
      <c r="A91" s="103"/>
      <c r="C91" s="205" t="s">
        <v>80</v>
      </c>
      <c r="D91" s="224" t="str">
        <f>+D9</f>
        <v>TP______</v>
      </c>
      <c r="E91" s="206"/>
      <c r="F91" s="206"/>
      <c r="G91" s="206"/>
      <c r="H91" s="206"/>
      <c r="I91" s="206"/>
      <c r="J91" s="206"/>
      <c r="K91" s="207"/>
      <c r="P91" s="131"/>
    </row>
    <row r="92" spans="1:16">
      <c r="C92" s="136" t="s">
        <v>47</v>
      </c>
      <c r="D92" s="218">
        <f>+D10</f>
        <v>7885000</v>
      </c>
      <c r="E92" s="21" t="s">
        <v>81</v>
      </c>
      <c r="H92" s="134"/>
      <c r="I92" s="134"/>
      <c r="J92" s="135">
        <f>+'SWE.WS.G.BPU.ATRR.True-up'!M15</f>
        <v>2017</v>
      </c>
      <c r="K92" s="130"/>
      <c r="L92" s="111" t="s">
        <v>82</v>
      </c>
      <c r="P92" s="4"/>
    </row>
    <row r="93" spans="1:16">
      <c r="C93" s="136" t="s">
        <v>49</v>
      </c>
      <c r="D93" s="468">
        <f>+D11</f>
        <v>2018</v>
      </c>
      <c r="E93" s="136" t="s">
        <v>50</v>
      </c>
      <c r="F93" s="134"/>
      <c r="G93" s="134"/>
      <c r="J93" s="138">
        <f>IF(H87="",0,'SWE.WS.G.BPU.ATRR.True-up'!$F$12)</f>
        <v>0</v>
      </c>
      <c r="K93" s="139"/>
      <c r="L93" t="str">
        <f>"          INPUT TRUE-UP ARR (WITH &amp; WITHOUT INCENTIVES) FROM EACH PRIOR YEAR"</f>
        <v xml:space="preserve">          INPUT TRUE-UP ARR (WITH &amp; WITHOUT INCENTIVES) FROM EACH PRIOR YEAR</v>
      </c>
      <c r="P93" s="4"/>
    </row>
    <row r="94" spans="1:16">
      <c r="C94" s="136" t="s">
        <v>51</v>
      </c>
      <c r="D94" s="218">
        <f>+D12</f>
        <v>6</v>
      </c>
      <c r="E94" s="136" t="s">
        <v>52</v>
      </c>
      <c r="F94" s="134"/>
      <c r="G94" s="134"/>
      <c r="J94" s="140">
        <f>'SWE.WS.G.BPU.ATRR.True-up'!$F$80</f>
        <v>0.12147145768398206</v>
      </c>
      <c r="K94" s="141"/>
      <c r="L94" t="s">
        <v>83</v>
      </c>
      <c r="P94" s="4"/>
    </row>
    <row r="95" spans="1:16">
      <c r="C95" s="136" t="s">
        <v>54</v>
      </c>
      <c r="D95" s="138">
        <f>'SWE.WS.G.BPU.ATRR.True-up'!F$92</f>
        <v>42</v>
      </c>
      <c r="E95" s="136" t="s">
        <v>55</v>
      </c>
      <c r="F95" s="134"/>
      <c r="G95" s="134"/>
      <c r="J95" s="140">
        <f>IF(H87="",J94,'SWE.WS.G.BPU.ATRR.True-up'!$F$79)</f>
        <v>0.12147145768398206</v>
      </c>
      <c r="K95" s="58"/>
      <c r="L95" s="111" t="s">
        <v>56</v>
      </c>
      <c r="M95" s="58"/>
      <c r="N95" s="58"/>
      <c r="O95" s="58"/>
      <c r="P95" s="4"/>
    </row>
    <row r="96" spans="1:16" ht="13.5" thickBot="1">
      <c r="C96" s="136" t="s">
        <v>57</v>
      </c>
      <c r="D96" s="220" t="str">
        <f>+D14</f>
        <v>No</v>
      </c>
      <c r="E96" s="202" t="s">
        <v>59</v>
      </c>
      <c r="F96" s="208"/>
      <c r="G96" s="208"/>
      <c r="H96" s="209"/>
      <c r="I96" s="209"/>
      <c r="J96" s="124">
        <f>IF(D92=0,0,D92/D95)</f>
        <v>187738.09523809524</v>
      </c>
      <c r="K96" s="111"/>
      <c r="L96" s="111"/>
      <c r="M96" s="111"/>
      <c r="N96" s="111"/>
      <c r="O96" s="111"/>
      <c r="P96" s="4"/>
    </row>
    <row r="97" spans="1:16" ht="38.25">
      <c r="A97" s="6"/>
      <c r="B97" s="6"/>
      <c r="C97" s="210" t="s">
        <v>47</v>
      </c>
      <c r="D97" s="211" t="s">
        <v>60</v>
      </c>
      <c r="E97" s="146" t="s">
        <v>61</v>
      </c>
      <c r="F97" s="146" t="s">
        <v>62</v>
      </c>
      <c r="G97" s="144" t="s">
        <v>84</v>
      </c>
      <c r="H97" s="434" t="s">
        <v>378</v>
      </c>
      <c r="I97" s="435" t="s">
        <v>379</v>
      </c>
      <c r="J97" s="210" t="s">
        <v>85</v>
      </c>
      <c r="K97" s="212"/>
      <c r="L97" s="271" t="s">
        <v>220</v>
      </c>
      <c r="M97" s="146" t="s">
        <v>86</v>
      </c>
      <c r="N97" s="271" t="s">
        <v>220</v>
      </c>
      <c r="O97" s="146" t="s">
        <v>86</v>
      </c>
      <c r="P97" s="146" t="s">
        <v>65</v>
      </c>
    </row>
    <row r="98" spans="1:16" ht="13.5" thickBot="1">
      <c r="C98" s="147" t="s">
        <v>66</v>
      </c>
      <c r="D98" s="213" t="s">
        <v>67</v>
      </c>
      <c r="E98" s="147" t="s">
        <v>68</v>
      </c>
      <c r="F98" s="147" t="s">
        <v>67</v>
      </c>
      <c r="G98" s="147" t="s">
        <v>67</v>
      </c>
      <c r="H98" s="255" t="s">
        <v>69</v>
      </c>
      <c r="I98" s="148" t="s">
        <v>70</v>
      </c>
      <c r="J98" s="149" t="s">
        <v>89</v>
      </c>
      <c r="K98" s="150"/>
      <c r="L98" s="151" t="s">
        <v>72</v>
      </c>
      <c r="M98" s="151" t="s">
        <v>72</v>
      </c>
      <c r="N98" s="151" t="s">
        <v>90</v>
      </c>
      <c r="O98" s="151" t="s">
        <v>90</v>
      </c>
      <c r="P98" s="151" t="s">
        <v>90</v>
      </c>
    </row>
    <row r="99" spans="1:16">
      <c r="C99" s="153">
        <f>IF(D93= "","-",D93)</f>
        <v>2018</v>
      </c>
      <c r="D99" s="154">
        <f>IF(D93=C99,0,D92)</f>
        <v>0</v>
      </c>
      <c r="E99" s="161">
        <f>IF(D11=I10,0,J96/12*(12-D94))</f>
        <v>93869.047619047618</v>
      </c>
      <c r="F99" s="159">
        <f>IF(D93=C99,+D92-E99,+D99-E99)</f>
        <v>7791130.9523809524</v>
      </c>
      <c r="G99" s="214">
        <f t="shared" ref="G99:G154" si="8">+(F99+D99)/2</f>
        <v>3895565.4761904762</v>
      </c>
      <c r="H99" s="251">
        <f>+J94*G99+E99</f>
        <v>567069.06451530044</v>
      </c>
      <c r="I99" s="252">
        <f>+J95*G99+E99</f>
        <v>567069.06451530044</v>
      </c>
      <c r="J99" s="158">
        <f t="shared" ref="J99:J130" si="9">+I99-H99</f>
        <v>0</v>
      </c>
      <c r="K99" s="158"/>
      <c r="L99" s="333"/>
      <c r="M99" s="157">
        <f t="shared" ref="M99:M130" si="10">IF(L99&lt;&gt;0,+H99-L99,0)</f>
        <v>0</v>
      </c>
      <c r="N99" s="333"/>
      <c r="O99" s="157">
        <f t="shared" ref="O99:O130" si="11">IF(N99&lt;&gt;0,+I99-N99,0)</f>
        <v>0</v>
      </c>
      <c r="P99" s="157">
        <f t="shared" ref="P99:P130" si="12">+O99-M99</f>
        <v>0</v>
      </c>
    </row>
    <row r="100" spans="1:16">
      <c r="B100" s="9" t="str">
        <f>IF(D100=F99,"","IU")</f>
        <v/>
      </c>
      <c r="C100" s="153">
        <f>IF(D93="","-",+C99+1)</f>
        <v>2019</v>
      </c>
      <c r="D100" s="154">
        <f>IF(F99+SUM(E$99:E99)=D$92,F99,D$92-SUM(E$99:E99))</f>
        <v>7791130.9523809524</v>
      </c>
      <c r="E100" s="160">
        <f>IF(+J96&lt;F99,J96,D100)</f>
        <v>187738.09523809524</v>
      </c>
      <c r="F100" s="159">
        <f t="shared" ref="F100:F154" si="13">+D100-E100</f>
        <v>7603392.8571428573</v>
      </c>
      <c r="G100" s="159">
        <f t="shared" si="8"/>
        <v>7697261.9047619049</v>
      </c>
      <c r="H100" s="163">
        <f t="shared" ref="H100:H154" si="14">+J$94*G100+E100</f>
        <v>1122735.718984908</v>
      </c>
      <c r="I100" s="253">
        <f t="shared" ref="I100:I154" si="15">+J$95*G100+E100</f>
        <v>1122735.718984908</v>
      </c>
      <c r="J100" s="158">
        <f t="shared" si="9"/>
        <v>0</v>
      </c>
      <c r="K100" s="158"/>
      <c r="L100" s="334"/>
      <c r="M100" s="158">
        <f t="shared" si="10"/>
        <v>0</v>
      </c>
      <c r="N100" s="334"/>
      <c r="O100" s="158">
        <f t="shared" si="11"/>
        <v>0</v>
      </c>
      <c r="P100" s="158">
        <f t="shared" si="12"/>
        <v>0</v>
      </c>
    </row>
    <row r="101" spans="1:16">
      <c r="B101" s="9" t="str">
        <f t="shared" ref="B101:B154" si="16">IF(D101=F100,"","IU")</f>
        <v/>
      </c>
      <c r="C101" s="153">
        <f>IF(D93="","-",+C100+1)</f>
        <v>2020</v>
      </c>
      <c r="D101" s="154">
        <f>IF(F100+SUM(E$99:E100)=D$92,F100,D$92-SUM(E$99:E100))</f>
        <v>7603392.8571428573</v>
      </c>
      <c r="E101" s="160">
        <f>IF(+J96&lt;F100,J96,D101)</f>
        <v>187738.09523809524</v>
      </c>
      <c r="F101" s="159">
        <f t="shared" si="13"/>
        <v>7415654.7619047621</v>
      </c>
      <c r="G101" s="159">
        <f t="shared" si="8"/>
        <v>7509523.8095238097</v>
      </c>
      <c r="H101" s="163">
        <f t="shared" si="14"/>
        <v>1099930.8988935223</v>
      </c>
      <c r="I101" s="253">
        <f t="shared" si="15"/>
        <v>1099930.8988935223</v>
      </c>
      <c r="J101" s="158">
        <f t="shared" si="9"/>
        <v>0</v>
      </c>
      <c r="K101" s="158"/>
      <c r="L101" s="334"/>
      <c r="M101" s="158">
        <f t="shared" si="10"/>
        <v>0</v>
      </c>
      <c r="N101" s="334"/>
      <c r="O101" s="158">
        <f t="shared" si="11"/>
        <v>0</v>
      </c>
      <c r="P101" s="158">
        <f t="shared" si="12"/>
        <v>0</v>
      </c>
    </row>
    <row r="102" spans="1:16">
      <c r="B102" s="9" t="str">
        <f t="shared" si="16"/>
        <v/>
      </c>
      <c r="C102" s="153">
        <f>IF(D93="","-",+C101+1)</f>
        <v>2021</v>
      </c>
      <c r="D102" s="154">
        <f>IF(F101+SUM(E$99:E101)=D$92,F101,D$92-SUM(E$99:E101))</f>
        <v>7415654.7619047621</v>
      </c>
      <c r="E102" s="160">
        <f>IF(+J96&lt;F101,J96,D102)</f>
        <v>187738.09523809524</v>
      </c>
      <c r="F102" s="159">
        <f t="shared" si="13"/>
        <v>7227916.666666667</v>
      </c>
      <c r="G102" s="159">
        <f t="shared" si="8"/>
        <v>7321785.7142857146</v>
      </c>
      <c r="H102" s="163">
        <f t="shared" si="14"/>
        <v>1077126.0788021367</v>
      </c>
      <c r="I102" s="253">
        <f t="shared" si="15"/>
        <v>1077126.0788021367</v>
      </c>
      <c r="J102" s="158">
        <f t="shared" si="9"/>
        <v>0</v>
      </c>
      <c r="K102" s="158"/>
      <c r="L102" s="334"/>
      <c r="M102" s="158">
        <f t="shared" si="10"/>
        <v>0</v>
      </c>
      <c r="N102" s="334"/>
      <c r="O102" s="158">
        <f t="shared" si="11"/>
        <v>0</v>
      </c>
      <c r="P102" s="158">
        <f t="shared" si="12"/>
        <v>0</v>
      </c>
    </row>
    <row r="103" spans="1:16">
      <c r="B103" s="9" t="str">
        <f t="shared" si="16"/>
        <v/>
      </c>
      <c r="C103" s="153">
        <f>IF(D93="","-",+C102+1)</f>
        <v>2022</v>
      </c>
      <c r="D103" s="154">
        <f>IF(F102+SUM(E$99:E102)=D$92,F102,D$92-SUM(E$99:E102))</f>
        <v>7227916.666666667</v>
      </c>
      <c r="E103" s="160">
        <f>IF(+J96&lt;F102,J96,D103)</f>
        <v>187738.09523809524</v>
      </c>
      <c r="F103" s="159">
        <f t="shared" si="13"/>
        <v>7040178.5714285718</v>
      </c>
      <c r="G103" s="159">
        <f t="shared" si="8"/>
        <v>7134047.6190476194</v>
      </c>
      <c r="H103" s="163">
        <f t="shared" si="14"/>
        <v>1054321.2587107511</v>
      </c>
      <c r="I103" s="253">
        <f t="shared" si="15"/>
        <v>1054321.2587107511</v>
      </c>
      <c r="J103" s="158">
        <f t="shared" si="9"/>
        <v>0</v>
      </c>
      <c r="K103" s="158"/>
      <c r="L103" s="334"/>
      <c r="M103" s="158">
        <f t="shared" si="10"/>
        <v>0</v>
      </c>
      <c r="N103" s="334"/>
      <c r="O103" s="158">
        <f t="shared" si="11"/>
        <v>0</v>
      </c>
      <c r="P103" s="158">
        <f t="shared" si="12"/>
        <v>0</v>
      </c>
    </row>
    <row r="104" spans="1:16">
      <c r="B104" s="9" t="str">
        <f t="shared" si="16"/>
        <v/>
      </c>
      <c r="C104" s="153">
        <f>IF(D93="","-",+C103+1)</f>
        <v>2023</v>
      </c>
      <c r="D104" s="154">
        <f>IF(F103+SUM(E$99:E103)=D$92,F103,D$92-SUM(E$99:E103))</f>
        <v>7040178.5714285718</v>
      </c>
      <c r="E104" s="160">
        <f>IF(+J96&lt;F103,J96,D104)</f>
        <v>187738.09523809524</v>
      </c>
      <c r="F104" s="159">
        <f t="shared" si="13"/>
        <v>6852440.4761904767</v>
      </c>
      <c r="G104" s="159">
        <f t="shared" si="8"/>
        <v>6946309.5238095243</v>
      </c>
      <c r="H104" s="163">
        <f t="shared" si="14"/>
        <v>1031516.4386193654</v>
      </c>
      <c r="I104" s="253">
        <f t="shared" si="15"/>
        <v>1031516.4386193654</v>
      </c>
      <c r="J104" s="158">
        <f t="shared" si="9"/>
        <v>0</v>
      </c>
      <c r="K104" s="158"/>
      <c r="L104" s="334"/>
      <c r="M104" s="158">
        <f t="shared" si="10"/>
        <v>0</v>
      </c>
      <c r="N104" s="334"/>
      <c r="O104" s="158">
        <f t="shared" si="11"/>
        <v>0</v>
      </c>
      <c r="P104" s="158">
        <f t="shared" si="12"/>
        <v>0</v>
      </c>
    </row>
    <row r="105" spans="1:16">
      <c r="B105" s="9" t="str">
        <f t="shared" si="16"/>
        <v/>
      </c>
      <c r="C105" s="153">
        <f>IF(D93="","-",+C104+1)</f>
        <v>2024</v>
      </c>
      <c r="D105" s="154">
        <f>IF(F104+SUM(E$99:E104)=D$92,F104,D$92-SUM(E$99:E104))</f>
        <v>6852440.4761904767</v>
      </c>
      <c r="E105" s="160">
        <f>IF(+J96&lt;F104,J96,D105)</f>
        <v>187738.09523809524</v>
      </c>
      <c r="F105" s="159">
        <f t="shared" si="13"/>
        <v>6664702.3809523815</v>
      </c>
      <c r="G105" s="159">
        <f t="shared" si="8"/>
        <v>6758571.4285714291</v>
      </c>
      <c r="H105" s="163">
        <f t="shared" si="14"/>
        <v>1008711.6185279798</v>
      </c>
      <c r="I105" s="253">
        <f t="shared" si="15"/>
        <v>1008711.6185279798</v>
      </c>
      <c r="J105" s="158">
        <f t="shared" si="9"/>
        <v>0</v>
      </c>
      <c r="K105" s="158"/>
      <c r="L105" s="334"/>
      <c r="M105" s="158">
        <f t="shared" si="10"/>
        <v>0</v>
      </c>
      <c r="N105" s="334"/>
      <c r="O105" s="158">
        <f t="shared" si="11"/>
        <v>0</v>
      </c>
      <c r="P105" s="158">
        <f t="shared" si="12"/>
        <v>0</v>
      </c>
    </row>
    <row r="106" spans="1:16">
      <c r="B106" s="9" t="str">
        <f t="shared" si="16"/>
        <v/>
      </c>
      <c r="C106" s="153">
        <f>IF(D93="","-",+C105+1)</f>
        <v>2025</v>
      </c>
      <c r="D106" s="154">
        <f>IF(F105+SUM(E$99:E105)=D$92,F105,D$92-SUM(E$99:E105))</f>
        <v>6664702.3809523815</v>
      </c>
      <c r="E106" s="160">
        <f>IF(+J96&lt;F105,J96,D106)</f>
        <v>187738.09523809524</v>
      </c>
      <c r="F106" s="159">
        <f t="shared" si="13"/>
        <v>6476964.2857142864</v>
      </c>
      <c r="G106" s="159">
        <f t="shared" si="8"/>
        <v>6570833.333333334</v>
      </c>
      <c r="H106" s="163">
        <f t="shared" si="14"/>
        <v>985906.79843659408</v>
      </c>
      <c r="I106" s="253">
        <f t="shared" si="15"/>
        <v>985906.79843659408</v>
      </c>
      <c r="J106" s="158">
        <f t="shared" si="9"/>
        <v>0</v>
      </c>
      <c r="K106" s="158"/>
      <c r="L106" s="334"/>
      <c r="M106" s="158">
        <f t="shared" si="10"/>
        <v>0</v>
      </c>
      <c r="N106" s="334"/>
      <c r="O106" s="158">
        <f t="shared" si="11"/>
        <v>0</v>
      </c>
      <c r="P106" s="158">
        <f t="shared" si="12"/>
        <v>0</v>
      </c>
    </row>
    <row r="107" spans="1:16">
      <c r="B107" s="9" t="str">
        <f t="shared" si="16"/>
        <v/>
      </c>
      <c r="C107" s="153">
        <f>IF(D93="","-",+C106+1)</f>
        <v>2026</v>
      </c>
      <c r="D107" s="154">
        <f>IF(F106+SUM(E$99:E106)=D$92,F106,D$92-SUM(E$99:E106))</f>
        <v>6476964.2857142864</v>
      </c>
      <c r="E107" s="160">
        <f>IF(+J96&lt;F106,J96,D107)</f>
        <v>187738.09523809524</v>
      </c>
      <c r="F107" s="159">
        <f t="shared" si="13"/>
        <v>6289226.1904761912</v>
      </c>
      <c r="G107" s="159">
        <f t="shared" si="8"/>
        <v>6383095.2380952388</v>
      </c>
      <c r="H107" s="163">
        <f t="shared" si="14"/>
        <v>963101.97834520845</v>
      </c>
      <c r="I107" s="253">
        <f t="shared" si="15"/>
        <v>963101.97834520845</v>
      </c>
      <c r="J107" s="158">
        <f t="shared" si="9"/>
        <v>0</v>
      </c>
      <c r="K107" s="158"/>
      <c r="L107" s="334"/>
      <c r="M107" s="158">
        <f t="shared" si="10"/>
        <v>0</v>
      </c>
      <c r="N107" s="334"/>
      <c r="O107" s="158">
        <f t="shared" si="11"/>
        <v>0</v>
      </c>
      <c r="P107" s="158">
        <f t="shared" si="12"/>
        <v>0</v>
      </c>
    </row>
    <row r="108" spans="1:16">
      <c r="B108" s="9" t="str">
        <f t="shared" si="16"/>
        <v/>
      </c>
      <c r="C108" s="153">
        <f>IF(D93="","-",+C107+1)</f>
        <v>2027</v>
      </c>
      <c r="D108" s="154">
        <f>IF(F107+SUM(E$99:E107)=D$92,F107,D$92-SUM(E$99:E107))</f>
        <v>6289226.1904761912</v>
      </c>
      <c r="E108" s="160">
        <f>IF(+J96&lt;F107,J96,D108)</f>
        <v>187738.09523809524</v>
      </c>
      <c r="F108" s="159">
        <f t="shared" si="13"/>
        <v>6101488.0952380961</v>
      </c>
      <c r="G108" s="159">
        <f t="shared" si="8"/>
        <v>6195357.1428571437</v>
      </c>
      <c r="H108" s="163">
        <f t="shared" si="14"/>
        <v>940297.15825382282</v>
      </c>
      <c r="I108" s="253">
        <f t="shared" si="15"/>
        <v>940297.15825382282</v>
      </c>
      <c r="J108" s="158">
        <f t="shared" si="9"/>
        <v>0</v>
      </c>
      <c r="K108" s="158"/>
      <c r="L108" s="334"/>
      <c r="M108" s="158">
        <f t="shared" si="10"/>
        <v>0</v>
      </c>
      <c r="N108" s="334"/>
      <c r="O108" s="158">
        <f t="shared" si="11"/>
        <v>0</v>
      </c>
      <c r="P108" s="158">
        <f t="shared" si="12"/>
        <v>0</v>
      </c>
    </row>
    <row r="109" spans="1:16">
      <c r="B109" s="9" t="str">
        <f t="shared" si="16"/>
        <v/>
      </c>
      <c r="C109" s="153">
        <f>IF(D93="","-",+C108+1)</f>
        <v>2028</v>
      </c>
      <c r="D109" s="154">
        <f>IF(F108+SUM(E$99:E108)=D$92,F108,D$92-SUM(E$99:E108))</f>
        <v>6101488.0952380961</v>
      </c>
      <c r="E109" s="160">
        <f>IF(+J96&lt;F108,J96,D109)</f>
        <v>187738.09523809524</v>
      </c>
      <c r="F109" s="159">
        <f t="shared" si="13"/>
        <v>5913750.0000000009</v>
      </c>
      <c r="G109" s="159">
        <f t="shared" si="8"/>
        <v>6007619.0476190485</v>
      </c>
      <c r="H109" s="163">
        <f t="shared" si="14"/>
        <v>917492.33816243708</v>
      </c>
      <c r="I109" s="253">
        <f t="shared" si="15"/>
        <v>917492.33816243708</v>
      </c>
      <c r="J109" s="158">
        <f t="shared" si="9"/>
        <v>0</v>
      </c>
      <c r="K109" s="158"/>
      <c r="L109" s="334"/>
      <c r="M109" s="158">
        <f t="shared" si="10"/>
        <v>0</v>
      </c>
      <c r="N109" s="334"/>
      <c r="O109" s="158">
        <f t="shared" si="11"/>
        <v>0</v>
      </c>
      <c r="P109" s="158">
        <f t="shared" si="12"/>
        <v>0</v>
      </c>
    </row>
    <row r="110" spans="1:16">
      <c r="B110" s="9" t="str">
        <f t="shared" si="16"/>
        <v/>
      </c>
      <c r="C110" s="153">
        <f>IF(D93="","-",+C109+1)</f>
        <v>2029</v>
      </c>
      <c r="D110" s="154">
        <f>IF(F109+SUM(E$99:E109)=D$92,F109,D$92-SUM(E$99:E109))</f>
        <v>5913750.0000000009</v>
      </c>
      <c r="E110" s="160">
        <f>IF(+J96&lt;F109,J96,D110)</f>
        <v>187738.09523809524</v>
      </c>
      <c r="F110" s="159">
        <f t="shared" si="13"/>
        <v>5726011.9047619058</v>
      </c>
      <c r="G110" s="159">
        <f t="shared" si="8"/>
        <v>5819880.9523809534</v>
      </c>
      <c r="H110" s="163">
        <f t="shared" si="14"/>
        <v>894687.51807105145</v>
      </c>
      <c r="I110" s="253">
        <f t="shared" si="15"/>
        <v>894687.51807105145</v>
      </c>
      <c r="J110" s="158">
        <f t="shared" si="9"/>
        <v>0</v>
      </c>
      <c r="K110" s="158"/>
      <c r="L110" s="334"/>
      <c r="M110" s="158">
        <f t="shared" si="10"/>
        <v>0</v>
      </c>
      <c r="N110" s="334"/>
      <c r="O110" s="158">
        <f t="shared" si="11"/>
        <v>0</v>
      </c>
      <c r="P110" s="158">
        <f t="shared" si="12"/>
        <v>0</v>
      </c>
    </row>
    <row r="111" spans="1:16">
      <c r="B111" s="9" t="str">
        <f t="shared" si="16"/>
        <v/>
      </c>
      <c r="C111" s="153">
        <f>IF(D93="","-",+C110+1)</f>
        <v>2030</v>
      </c>
      <c r="D111" s="154">
        <f>IF(F110+SUM(E$99:E110)=D$92,F110,D$92-SUM(E$99:E110))</f>
        <v>5726011.9047619058</v>
      </c>
      <c r="E111" s="160">
        <f>IF(+J96&lt;F110,J96,D111)</f>
        <v>187738.09523809524</v>
      </c>
      <c r="F111" s="159">
        <f t="shared" si="13"/>
        <v>5538273.8095238106</v>
      </c>
      <c r="G111" s="159">
        <f t="shared" si="8"/>
        <v>5632142.8571428582</v>
      </c>
      <c r="H111" s="163">
        <f t="shared" si="14"/>
        <v>871882.69797966571</v>
      </c>
      <c r="I111" s="253">
        <f t="shared" si="15"/>
        <v>871882.69797966571</v>
      </c>
      <c r="J111" s="158">
        <f t="shared" si="9"/>
        <v>0</v>
      </c>
      <c r="K111" s="158"/>
      <c r="L111" s="334"/>
      <c r="M111" s="158">
        <f t="shared" si="10"/>
        <v>0</v>
      </c>
      <c r="N111" s="334"/>
      <c r="O111" s="158">
        <f t="shared" si="11"/>
        <v>0</v>
      </c>
      <c r="P111" s="158">
        <f t="shared" si="12"/>
        <v>0</v>
      </c>
    </row>
    <row r="112" spans="1:16">
      <c r="B112" s="9" t="str">
        <f t="shared" si="16"/>
        <v/>
      </c>
      <c r="C112" s="153">
        <f>IF(D93="","-",+C111+1)</f>
        <v>2031</v>
      </c>
      <c r="D112" s="154">
        <f>IF(F111+SUM(E$99:E111)=D$92,F111,D$92-SUM(E$99:E111))</f>
        <v>5538273.8095238106</v>
      </c>
      <c r="E112" s="160">
        <f>IF(+J96&lt;F111,J96,D112)</f>
        <v>187738.09523809524</v>
      </c>
      <c r="F112" s="159">
        <f t="shared" si="13"/>
        <v>5350535.7142857155</v>
      </c>
      <c r="G112" s="159">
        <f t="shared" si="8"/>
        <v>5444404.7619047631</v>
      </c>
      <c r="H112" s="163">
        <f t="shared" si="14"/>
        <v>849077.87788828008</v>
      </c>
      <c r="I112" s="253">
        <f t="shared" si="15"/>
        <v>849077.87788828008</v>
      </c>
      <c r="J112" s="158">
        <f t="shared" si="9"/>
        <v>0</v>
      </c>
      <c r="K112" s="158"/>
      <c r="L112" s="334"/>
      <c r="M112" s="158">
        <f t="shared" si="10"/>
        <v>0</v>
      </c>
      <c r="N112" s="334"/>
      <c r="O112" s="158">
        <f t="shared" si="11"/>
        <v>0</v>
      </c>
      <c r="P112" s="158">
        <f t="shared" si="12"/>
        <v>0</v>
      </c>
    </row>
    <row r="113" spans="2:16">
      <c r="B113" s="9" t="str">
        <f t="shared" si="16"/>
        <v/>
      </c>
      <c r="C113" s="153">
        <f>IF(D93="","-",+C112+1)</f>
        <v>2032</v>
      </c>
      <c r="D113" s="154">
        <f>IF(F112+SUM(E$99:E112)=D$92,F112,D$92-SUM(E$99:E112))</f>
        <v>5350535.7142857155</v>
      </c>
      <c r="E113" s="160">
        <f>IF(+J96&lt;F112,J96,D113)</f>
        <v>187738.09523809524</v>
      </c>
      <c r="F113" s="159">
        <f t="shared" si="13"/>
        <v>5162797.6190476203</v>
      </c>
      <c r="G113" s="159">
        <f t="shared" si="8"/>
        <v>5256666.6666666679</v>
      </c>
      <c r="H113" s="163">
        <f t="shared" si="14"/>
        <v>826273.05779689446</v>
      </c>
      <c r="I113" s="253">
        <f t="shared" si="15"/>
        <v>826273.05779689446</v>
      </c>
      <c r="J113" s="158">
        <f t="shared" si="9"/>
        <v>0</v>
      </c>
      <c r="K113" s="158"/>
      <c r="L113" s="334"/>
      <c r="M113" s="158">
        <f t="shared" si="10"/>
        <v>0</v>
      </c>
      <c r="N113" s="334"/>
      <c r="O113" s="158">
        <f t="shared" si="11"/>
        <v>0</v>
      </c>
      <c r="P113" s="158">
        <f t="shared" si="12"/>
        <v>0</v>
      </c>
    </row>
    <row r="114" spans="2:16">
      <c r="B114" s="9" t="str">
        <f t="shared" si="16"/>
        <v/>
      </c>
      <c r="C114" s="153">
        <f>IF(D93="","-",+C113+1)</f>
        <v>2033</v>
      </c>
      <c r="D114" s="154">
        <f>IF(F113+SUM(E$99:E113)=D$92,F113,D$92-SUM(E$99:E113))</f>
        <v>5162797.6190476203</v>
      </c>
      <c r="E114" s="160">
        <f>IF(+J96&lt;F113,J96,D114)</f>
        <v>187738.09523809524</v>
      </c>
      <c r="F114" s="159">
        <f t="shared" si="13"/>
        <v>4975059.5238095252</v>
      </c>
      <c r="G114" s="159">
        <f t="shared" si="8"/>
        <v>5068928.5714285728</v>
      </c>
      <c r="H114" s="163">
        <f t="shared" si="14"/>
        <v>803468.23770550871</v>
      </c>
      <c r="I114" s="253">
        <f t="shared" si="15"/>
        <v>803468.23770550871</v>
      </c>
      <c r="J114" s="158">
        <f t="shared" si="9"/>
        <v>0</v>
      </c>
      <c r="K114" s="158"/>
      <c r="L114" s="334"/>
      <c r="M114" s="158">
        <f t="shared" si="10"/>
        <v>0</v>
      </c>
      <c r="N114" s="334"/>
      <c r="O114" s="158">
        <f t="shared" si="11"/>
        <v>0</v>
      </c>
      <c r="P114" s="158">
        <f t="shared" si="12"/>
        <v>0</v>
      </c>
    </row>
    <row r="115" spans="2:16">
      <c r="B115" s="9" t="str">
        <f t="shared" si="16"/>
        <v/>
      </c>
      <c r="C115" s="153">
        <f>IF(D93="","-",+C114+1)</f>
        <v>2034</v>
      </c>
      <c r="D115" s="154">
        <f>IF(F114+SUM(E$99:E114)=D$92,F114,D$92-SUM(E$99:E114))</f>
        <v>4975059.5238095252</v>
      </c>
      <c r="E115" s="160">
        <f>IF(+J96&lt;F114,J96,D115)</f>
        <v>187738.09523809524</v>
      </c>
      <c r="F115" s="159">
        <f t="shared" si="13"/>
        <v>4787321.42857143</v>
      </c>
      <c r="G115" s="159">
        <f t="shared" si="8"/>
        <v>4881190.4761904776</v>
      </c>
      <c r="H115" s="163">
        <f t="shared" si="14"/>
        <v>780663.41761412309</v>
      </c>
      <c r="I115" s="253">
        <f t="shared" si="15"/>
        <v>780663.41761412309</v>
      </c>
      <c r="J115" s="158">
        <f t="shared" si="9"/>
        <v>0</v>
      </c>
      <c r="K115" s="158"/>
      <c r="L115" s="334"/>
      <c r="M115" s="158">
        <f t="shared" si="10"/>
        <v>0</v>
      </c>
      <c r="N115" s="334"/>
      <c r="O115" s="158">
        <f t="shared" si="11"/>
        <v>0</v>
      </c>
      <c r="P115" s="158">
        <f t="shared" si="12"/>
        <v>0</v>
      </c>
    </row>
    <row r="116" spans="2:16">
      <c r="B116" s="9" t="str">
        <f t="shared" si="16"/>
        <v/>
      </c>
      <c r="C116" s="153">
        <f>IF(D93="","-",+C115+1)</f>
        <v>2035</v>
      </c>
      <c r="D116" s="154">
        <f>IF(F115+SUM(E$99:E115)=D$92,F115,D$92-SUM(E$99:E115))</f>
        <v>4787321.42857143</v>
      </c>
      <c r="E116" s="160">
        <f>IF(+J96&lt;F115,J96,D116)</f>
        <v>187738.09523809524</v>
      </c>
      <c r="F116" s="159">
        <f t="shared" si="13"/>
        <v>4599583.3333333349</v>
      </c>
      <c r="G116" s="159">
        <f t="shared" si="8"/>
        <v>4693452.3809523825</v>
      </c>
      <c r="H116" s="163">
        <f t="shared" si="14"/>
        <v>757858.59752273746</v>
      </c>
      <c r="I116" s="253">
        <f t="shared" si="15"/>
        <v>757858.59752273746</v>
      </c>
      <c r="J116" s="158">
        <f t="shared" si="9"/>
        <v>0</v>
      </c>
      <c r="K116" s="158"/>
      <c r="L116" s="334"/>
      <c r="M116" s="158">
        <f t="shared" si="10"/>
        <v>0</v>
      </c>
      <c r="N116" s="334"/>
      <c r="O116" s="158">
        <f t="shared" si="11"/>
        <v>0</v>
      </c>
      <c r="P116" s="158">
        <f t="shared" si="12"/>
        <v>0</v>
      </c>
    </row>
    <row r="117" spans="2:16">
      <c r="B117" s="9" t="str">
        <f t="shared" si="16"/>
        <v/>
      </c>
      <c r="C117" s="153">
        <f>IF(D93="","-",+C116+1)</f>
        <v>2036</v>
      </c>
      <c r="D117" s="154">
        <f>IF(F116+SUM(E$99:E116)=D$92,F116,D$92-SUM(E$99:E116))</f>
        <v>4599583.3333333349</v>
      </c>
      <c r="E117" s="160">
        <f>IF(+J96&lt;F116,J96,D117)</f>
        <v>187738.09523809524</v>
      </c>
      <c r="F117" s="159">
        <f t="shared" si="13"/>
        <v>4411845.2380952397</v>
      </c>
      <c r="G117" s="159">
        <f t="shared" si="8"/>
        <v>4505714.2857142873</v>
      </c>
      <c r="H117" s="163">
        <f t="shared" si="14"/>
        <v>735053.77743135171</v>
      </c>
      <c r="I117" s="253">
        <f t="shared" si="15"/>
        <v>735053.77743135171</v>
      </c>
      <c r="J117" s="158">
        <f t="shared" si="9"/>
        <v>0</v>
      </c>
      <c r="K117" s="158"/>
      <c r="L117" s="334"/>
      <c r="M117" s="158">
        <f t="shared" si="10"/>
        <v>0</v>
      </c>
      <c r="N117" s="334"/>
      <c r="O117" s="158">
        <f t="shared" si="11"/>
        <v>0</v>
      </c>
      <c r="P117" s="158">
        <f t="shared" si="12"/>
        <v>0</v>
      </c>
    </row>
    <row r="118" spans="2:16">
      <c r="B118" s="9" t="str">
        <f t="shared" si="16"/>
        <v/>
      </c>
      <c r="C118" s="153">
        <f>IF(D93="","-",+C117+1)</f>
        <v>2037</v>
      </c>
      <c r="D118" s="154">
        <f>IF(F117+SUM(E$99:E117)=D$92,F117,D$92-SUM(E$99:E117))</f>
        <v>4411845.2380952397</v>
      </c>
      <c r="E118" s="160">
        <f>IF(+J96&lt;F117,J96,D118)</f>
        <v>187738.09523809524</v>
      </c>
      <c r="F118" s="159">
        <f t="shared" si="13"/>
        <v>4224107.1428571446</v>
      </c>
      <c r="G118" s="159">
        <f t="shared" si="8"/>
        <v>4317976.1904761922</v>
      </c>
      <c r="H118" s="163">
        <f t="shared" si="14"/>
        <v>712248.95733996609</v>
      </c>
      <c r="I118" s="253">
        <f t="shared" si="15"/>
        <v>712248.95733996609</v>
      </c>
      <c r="J118" s="158">
        <f t="shared" si="9"/>
        <v>0</v>
      </c>
      <c r="K118" s="158"/>
      <c r="L118" s="334"/>
      <c r="M118" s="158">
        <f t="shared" si="10"/>
        <v>0</v>
      </c>
      <c r="N118" s="334"/>
      <c r="O118" s="158">
        <f t="shared" si="11"/>
        <v>0</v>
      </c>
      <c r="P118" s="158">
        <f t="shared" si="12"/>
        <v>0</v>
      </c>
    </row>
    <row r="119" spans="2:16">
      <c r="B119" s="9" t="str">
        <f t="shared" si="16"/>
        <v/>
      </c>
      <c r="C119" s="153">
        <f>IF(D93="","-",+C118+1)</f>
        <v>2038</v>
      </c>
      <c r="D119" s="154">
        <f>IF(F118+SUM(E$99:E118)=D$92,F118,D$92-SUM(E$99:E118))</f>
        <v>4224107.1428571446</v>
      </c>
      <c r="E119" s="160">
        <f>IF(+J96&lt;F118,J96,D119)</f>
        <v>187738.09523809524</v>
      </c>
      <c r="F119" s="159">
        <f t="shared" si="13"/>
        <v>4036369.0476190494</v>
      </c>
      <c r="G119" s="159">
        <f t="shared" si="8"/>
        <v>4130238.095238097</v>
      </c>
      <c r="H119" s="163">
        <f t="shared" si="14"/>
        <v>689444.13724858034</v>
      </c>
      <c r="I119" s="253">
        <f t="shared" si="15"/>
        <v>689444.13724858034</v>
      </c>
      <c r="J119" s="158">
        <f t="shared" si="9"/>
        <v>0</v>
      </c>
      <c r="K119" s="158"/>
      <c r="L119" s="334"/>
      <c r="M119" s="158">
        <f t="shared" si="10"/>
        <v>0</v>
      </c>
      <c r="N119" s="334"/>
      <c r="O119" s="158">
        <f t="shared" si="11"/>
        <v>0</v>
      </c>
      <c r="P119" s="158">
        <f t="shared" si="12"/>
        <v>0</v>
      </c>
    </row>
    <row r="120" spans="2:16">
      <c r="B120" s="9" t="str">
        <f t="shared" si="16"/>
        <v/>
      </c>
      <c r="C120" s="153">
        <f>IF(D93="","-",+C119+1)</f>
        <v>2039</v>
      </c>
      <c r="D120" s="154">
        <f>IF(F119+SUM(E$99:E119)=D$92,F119,D$92-SUM(E$99:E119))</f>
        <v>4036369.0476190494</v>
      </c>
      <c r="E120" s="160">
        <f>IF(+J96&lt;F119,J96,D120)</f>
        <v>187738.09523809524</v>
      </c>
      <c r="F120" s="159">
        <f t="shared" si="13"/>
        <v>3848630.9523809543</v>
      </c>
      <c r="G120" s="159">
        <f t="shared" si="8"/>
        <v>3942500.0000000019</v>
      </c>
      <c r="H120" s="163">
        <f t="shared" si="14"/>
        <v>666639.31715719472</v>
      </c>
      <c r="I120" s="253">
        <f t="shared" si="15"/>
        <v>666639.31715719472</v>
      </c>
      <c r="J120" s="158">
        <f t="shared" si="9"/>
        <v>0</v>
      </c>
      <c r="K120" s="158"/>
      <c r="L120" s="334"/>
      <c r="M120" s="158">
        <f t="shared" si="10"/>
        <v>0</v>
      </c>
      <c r="N120" s="334"/>
      <c r="O120" s="158">
        <f t="shared" si="11"/>
        <v>0</v>
      </c>
      <c r="P120" s="158">
        <f t="shared" si="12"/>
        <v>0</v>
      </c>
    </row>
    <row r="121" spans="2:16">
      <c r="B121" s="9" t="str">
        <f t="shared" si="16"/>
        <v/>
      </c>
      <c r="C121" s="153">
        <f>IF(D93="","-",+C120+1)</f>
        <v>2040</v>
      </c>
      <c r="D121" s="154">
        <f>IF(F120+SUM(E$99:E120)=D$92,F120,D$92-SUM(E$99:E120))</f>
        <v>3848630.9523809543</v>
      </c>
      <c r="E121" s="160">
        <f>IF(+J96&lt;F120,J96,D121)</f>
        <v>187738.09523809524</v>
      </c>
      <c r="F121" s="159">
        <f t="shared" si="13"/>
        <v>3660892.8571428591</v>
      </c>
      <c r="G121" s="159">
        <f t="shared" si="8"/>
        <v>3754761.9047619067</v>
      </c>
      <c r="H121" s="163">
        <f t="shared" si="14"/>
        <v>643834.49706580909</v>
      </c>
      <c r="I121" s="253">
        <f t="shared" si="15"/>
        <v>643834.49706580909</v>
      </c>
      <c r="J121" s="158">
        <f t="shared" si="9"/>
        <v>0</v>
      </c>
      <c r="K121" s="158"/>
      <c r="L121" s="334"/>
      <c r="M121" s="158">
        <f t="shared" si="10"/>
        <v>0</v>
      </c>
      <c r="N121" s="334"/>
      <c r="O121" s="158">
        <f t="shared" si="11"/>
        <v>0</v>
      </c>
      <c r="P121" s="158">
        <f t="shared" si="12"/>
        <v>0</v>
      </c>
    </row>
    <row r="122" spans="2:16">
      <c r="B122" s="9" t="str">
        <f t="shared" si="16"/>
        <v/>
      </c>
      <c r="C122" s="153">
        <f>IF(D93="","-",+C121+1)</f>
        <v>2041</v>
      </c>
      <c r="D122" s="154">
        <f>IF(F121+SUM(E$99:E121)=D$92,F121,D$92-SUM(E$99:E121))</f>
        <v>3660892.8571428591</v>
      </c>
      <c r="E122" s="160">
        <f>IF(+J96&lt;F121,J96,D122)</f>
        <v>187738.09523809524</v>
      </c>
      <c r="F122" s="159">
        <f t="shared" si="13"/>
        <v>3473154.761904764</v>
      </c>
      <c r="G122" s="159">
        <f t="shared" si="8"/>
        <v>3567023.8095238116</v>
      </c>
      <c r="H122" s="163">
        <f t="shared" si="14"/>
        <v>621029.67697442335</v>
      </c>
      <c r="I122" s="253">
        <f t="shared" si="15"/>
        <v>621029.67697442335</v>
      </c>
      <c r="J122" s="158">
        <f t="shared" si="9"/>
        <v>0</v>
      </c>
      <c r="K122" s="158"/>
      <c r="L122" s="334"/>
      <c r="M122" s="158">
        <f t="shared" si="10"/>
        <v>0</v>
      </c>
      <c r="N122" s="334"/>
      <c r="O122" s="158">
        <f t="shared" si="11"/>
        <v>0</v>
      </c>
      <c r="P122" s="158">
        <f t="shared" si="12"/>
        <v>0</v>
      </c>
    </row>
    <row r="123" spans="2:16">
      <c r="B123" s="9" t="str">
        <f t="shared" si="16"/>
        <v/>
      </c>
      <c r="C123" s="153">
        <f>IF(D93="","-",+C122+1)</f>
        <v>2042</v>
      </c>
      <c r="D123" s="154">
        <f>IF(F122+SUM(E$99:E122)=D$92,F122,D$92-SUM(E$99:E122))</f>
        <v>3473154.761904764</v>
      </c>
      <c r="E123" s="160">
        <f>IF(+J96&lt;F122,J96,D123)</f>
        <v>187738.09523809524</v>
      </c>
      <c r="F123" s="159">
        <f t="shared" si="13"/>
        <v>3285416.6666666688</v>
      </c>
      <c r="G123" s="159">
        <f t="shared" si="8"/>
        <v>3379285.7142857164</v>
      </c>
      <c r="H123" s="163">
        <f t="shared" si="14"/>
        <v>598224.85688303772</v>
      </c>
      <c r="I123" s="253">
        <f t="shared" si="15"/>
        <v>598224.85688303772</v>
      </c>
      <c r="J123" s="158">
        <f t="shared" si="9"/>
        <v>0</v>
      </c>
      <c r="K123" s="158"/>
      <c r="L123" s="334"/>
      <c r="M123" s="158">
        <f t="shared" si="10"/>
        <v>0</v>
      </c>
      <c r="N123" s="334"/>
      <c r="O123" s="158">
        <f t="shared" si="11"/>
        <v>0</v>
      </c>
      <c r="P123" s="158">
        <f t="shared" si="12"/>
        <v>0</v>
      </c>
    </row>
    <row r="124" spans="2:16">
      <c r="B124" s="9" t="str">
        <f t="shared" si="16"/>
        <v/>
      </c>
      <c r="C124" s="153">
        <f>IF(D93="","-",+C123+1)</f>
        <v>2043</v>
      </c>
      <c r="D124" s="154">
        <f>IF(F123+SUM(E$99:E123)=D$92,F123,D$92-SUM(E$99:E123))</f>
        <v>3285416.6666666688</v>
      </c>
      <c r="E124" s="160">
        <f>IF(+J96&lt;F123,J96,D124)</f>
        <v>187738.09523809524</v>
      </c>
      <c r="F124" s="159">
        <f t="shared" si="13"/>
        <v>3097678.5714285737</v>
      </c>
      <c r="G124" s="159">
        <f t="shared" si="8"/>
        <v>3191547.6190476213</v>
      </c>
      <c r="H124" s="163">
        <f t="shared" si="14"/>
        <v>575420.03679165209</v>
      </c>
      <c r="I124" s="253">
        <f t="shared" si="15"/>
        <v>575420.03679165209</v>
      </c>
      <c r="J124" s="158">
        <f t="shared" si="9"/>
        <v>0</v>
      </c>
      <c r="K124" s="158"/>
      <c r="L124" s="334"/>
      <c r="M124" s="158">
        <f t="shared" si="10"/>
        <v>0</v>
      </c>
      <c r="N124" s="334"/>
      <c r="O124" s="158">
        <f t="shared" si="11"/>
        <v>0</v>
      </c>
      <c r="P124" s="158">
        <f t="shared" si="12"/>
        <v>0</v>
      </c>
    </row>
    <row r="125" spans="2:16">
      <c r="B125" s="9" t="str">
        <f t="shared" si="16"/>
        <v/>
      </c>
      <c r="C125" s="153">
        <f>IF(D93="","-",+C124+1)</f>
        <v>2044</v>
      </c>
      <c r="D125" s="154">
        <f>IF(F124+SUM(E$99:E124)=D$92,F124,D$92-SUM(E$99:E124))</f>
        <v>3097678.5714285737</v>
      </c>
      <c r="E125" s="160">
        <f>IF(+J96&lt;F124,J96,D125)</f>
        <v>187738.09523809524</v>
      </c>
      <c r="F125" s="159">
        <f t="shared" si="13"/>
        <v>2909940.4761904785</v>
      </c>
      <c r="G125" s="159">
        <f t="shared" si="8"/>
        <v>3003809.5238095261</v>
      </c>
      <c r="H125" s="163">
        <f t="shared" si="14"/>
        <v>552615.21670026635</v>
      </c>
      <c r="I125" s="253">
        <f t="shared" si="15"/>
        <v>552615.21670026635</v>
      </c>
      <c r="J125" s="158">
        <f t="shared" si="9"/>
        <v>0</v>
      </c>
      <c r="K125" s="158"/>
      <c r="L125" s="334"/>
      <c r="M125" s="158">
        <f t="shared" si="10"/>
        <v>0</v>
      </c>
      <c r="N125" s="334"/>
      <c r="O125" s="158">
        <f t="shared" si="11"/>
        <v>0</v>
      </c>
      <c r="P125" s="158">
        <f t="shared" si="12"/>
        <v>0</v>
      </c>
    </row>
    <row r="126" spans="2:16">
      <c r="B126" s="9" t="str">
        <f t="shared" si="16"/>
        <v/>
      </c>
      <c r="C126" s="153">
        <f>IF(D93="","-",+C125+1)</f>
        <v>2045</v>
      </c>
      <c r="D126" s="154">
        <f>IF(F125+SUM(E$99:E125)=D$92,F125,D$92-SUM(E$99:E125))</f>
        <v>2909940.4761904785</v>
      </c>
      <c r="E126" s="160">
        <f>IF(+J96&lt;F125,J96,D126)</f>
        <v>187738.09523809524</v>
      </c>
      <c r="F126" s="159">
        <f t="shared" si="13"/>
        <v>2722202.3809523834</v>
      </c>
      <c r="G126" s="159">
        <f t="shared" si="8"/>
        <v>2816071.428571431</v>
      </c>
      <c r="H126" s="163">
        <f t="shared" si="14"/>
        <v>529810.39660888072</v>
      </c>
      <c r="I126" s="253">
        <f t="shared" si="15"/>
        <v>529810.39660888072</v>
      </c>
      <c r="J126" s="158">
        <f t="shared" si="9"/>
        <v>0</v>
      </c>
      <c r="K126" s="158"/>
      <c r="L126" s="334"/>
      <c r="M126" s="158">
        <f t="shared" si="10"/>
        <v>0</v>
      </c>
      <c r="N126" s="334"/>
      <c r="O126" s="158">
        <f t="shared" si="11"/>
        <v>0</v>
      </c>
      <c r="P126" s="158">
        <f t="shared" si="12"/>
        <v>0</v>
      </c>
    </row>
    <row r="127" spans="2:16">
      <c r="B127" s="9" t="str">
        <f t="shared" si="16"/>
        <v/>
      </c>
      <c r="C127" s="153">
        <f>IF(D93="","-",+C126+1)</f>
        <v>2046</v>
      </c>
      <c r="D127" s="154">
        <f>IF(F126+SUM(E$99:E126)=D$92,F126,D$92-SUM(E$99:E126))</f>
        <v>2722202.3809523834</v>
      </c>
      <c r="E127" s="160">
        <f>IF(+J96&lt;F126,J96,D127)</f>
        <v>187738.09523809524</v>
      </c>
      <c r="F127" s="159">
        <f t="shared" si="13"/>
        <v>2534464.2857142882</v>
      </c>
      <c r="G127" s="159">
        <f t="shared" si="8"/>
        <v>2628333.3333333358</v>
      </c>
      <c r="H127" s="163">
        <f t="shared" si="14"/>
        <v>507005.57651749509</v>
      </c>
      <c r="I127" s="253">
        <f t="shared" si="15"/>
        <v>507005.57651749509</v>
      </c>
      <c r="J127" s="158">
        <f t="shared" si="9"/>
        <v>0</v>
      </c>
      <c r="K127" s="158"/>
      <c r="L127" s="334"/>
      <c r="M127" s="158">
        <f t="shared" si="10"/>
        <v>0</v>
      </c>
      <c r="N127" s="334"/>
      <c r="O127" s="158">
        <f t="shared" si="11"/>
        <v>0</v>
      </c>
      <c r="P127" s="158">
        <f t="shared" si="12"/>
        <v>0</v>
      </c>
    </row>
    <row r="128" spans="2:16">
      <c r="B128" s="9" t="str">
        <f t="shared" si="16"/>
        <v/>
      </c>
      <c r="C128" s="153">
        <f>IF(D93="","-",+C127+1)</f>
        <v>2047</v>
      </c>
      <c r="D128" s="154">
        <f>IF(F127+SUM(E$99:E127)=D$92,F127,D$92-SUM(E$99:E127))</f>
        <v>2534464.2857142882</v>
      </c>
      <c r="E128" s="160">
        <f>IF(+J96&lt;F127,J96,D128)</f>
        <v>187738.09523809524</v>
      </c>
      <c r="F128" s="159">
        <f t="shared" si="13"/>
        <v>2346726.1904761931</v>
      </c>
      <c r="G128" s="159">
        <f t="shared" si="8"/>
        <v>2440595.2380952407</v>
      </c>
      <c r="H128" s="163">
        <f t="shared" si="14"/>
        <v>484200.75642610935</v>
      </c>
      <c r="I128" s="253">
        <f t="shared" si="15"/>
        <v>484200.75642610935</v>
      </c>
      <c r="J128" s="158">
        <f t="shared" si="9"/>
        <v>0</v>
      </c>
      <c r="K128" s="158"/>
      <c r="L128" s="334"/>
      <c r="M128" s="158">
        <f t="shared" si="10"/>
        <v>0</v>
      </c>
      <c r="N128" s="334"/>
      <c r="O128" s="158">
        <f t="shared" si="11"/>
        <v>0</v>
      </c>
      <c r="P128" s="158">
        <f t="shared" si="12"/>
        <v>0</v>
      </c>
    </row>
    <row r="129" spans="2:16">
      <c r="B129" s="9" t="str">
        <f t="shared" si="16"/>
        <v/>
      </c>
      <c r="C129" s="153">
        <f>IF(D93="","-",+C128+1)</f>
        <v>2048</v>
      </c>
      <c r="D129" s="154">
        <f>IF(F128+SUM(E$99:E128)=D$92,F128,D$92-SUM(E$99:E128))</f>
        <v>2346726.1904761931</v>
      </c>
      <c r="E129" s="160">
        <f>IF(+J96&lt;F128,J96,D129)</f>
        <v>187738.09523809524</v>
      </c>
      <c r="F129" s="159">
        <f t="shared" si="13"/>
        <v>2158988.0952380979</v>
      </c>
      <c r="G129" s="159">
        <f t="shared" si="8"/>
        <v>2252857.1428571455</v>
      </c>
      <c r="H129" s="163">
        <f t="shared" si="14"/>
        <v>461395.93633472372</v>
      </c>
      <c r="I129" s="253">
        <f t="shared" si="15"/>
        <v>461395.93633472372</v>
      </c>
      <c r="J129" s="158">
        <f t="shared" si="9"/>
        <v>0</v>
      </c>
      <c r="K129" s="158"/>
      <c r="L129" s="334"/>
      <c r="M129" s="158">
        <f t="shared" si="10"/>
        <v>0</v>
      </c>
      <c r="N129" s="334"/>
      <c r="O129" s="158">
        <f t="shared" si="11"/>
        <v>0</v>
      </c>
      <c r="P129" s="158">
        <f t="shared" si="12"/>
        <v>0</v>
      </c>
    </row>
    <row r="130" spans="2:16">
      <c r="B130" s="9" t="str">
        <f t="shared" si="16"/>
        <v/>
      </c>
      <c r="C130" s="153">
        <f>IF(D93="","-",+C129+1)</f>
        <v>2049</v>
      </c>
      <c r="D130" s="154">
        <f>IF(F129+SUM(E$99:E129)=D$92,F129,D$92-SUM(E$99:E129))</f>
        <v>2158988.0952380979</v>
      </c>
      <c r="E130" s="160">
        <f>IF(+J96&lt;F129,J96,D130)</f>
        <v>187738.09523809524</v>
      </c>
      <c r="F130" s="159">
        <f t="shared" si="13"/>
        <v>1971250.0000000028</v>
      </c>
      <c r="G130" s="159">
        <f t="shared" si="8"/>
        <v>2065119.0476190504</v>
      </c>
      <c r="H130" s="163">
        <f t="shared" si="14"/>
        <v>438591.11624333804</v>
      </c>
      <c r="I130" s="253">
        <f t="shared" si="15"/>
        <v>438591.11624333804</v>
      </c>
      <c r="J130" s="158">
        <f t="shared" si="9"/>
        <v>0</v>
      </c>
      <c r="K130" s="158"/>
      <c r="L130" s="334"/>
      <c r="M130" s="158">
        <f t="shared" si="10"/>
        <v>0</v>
      </c>
      <c r="N130" s="334"/>
      <c r="O130" s="158">
        <f t="shared" si="11"/>
        <v>0</v>
      </c>
      <c r="P130" s="158">
        <f t="shared" si="12"/>
        <v>0</v>
      </c>
    </row>
    <row r="131" spans="2:16">
      <c r="B131" s="9" t="str">
        <f t="shared" si="16"/>
        <v/>
      </c>
      <c r="C131" s="153">
        <f>IF(D93="","-",+C130+1)</f>
        <v>2050</v>
      </c>
      <c r="D131" s="154">
        <f>IF(F130+SUM(E$99:E130)=D$92,F130,D$92-SUM(E$99:E130))</f>
        <v>1971250.0000000028</v>
      </c>
      <c r="E131" s="160">
        <f>IF(+J96&lt;F130,J96,D131)</f>
        <v>187738.09523809524</v>
      </c>
      <c r="F131" s="159">
        <f t="shared" si="13"/>
        <v>1783511.9047619076</v>
      </c>
      <c r="G131" s="159">
        <f t="shared" si="8"/>
        <v>1877380.9523809552</v>
      </c>
      <c r="H131" s="163">
        <f t="shared" si="14"/>
        <v>415786.29615195235</v>
      </c>
      <c r="I131" s="253">
        <f t="shared" si="15"/>
        <v>415786.29615195235</v>
      </c>
      <c r="J131" s="158">
        <f t="shared" ref="J131:J154" si="17">+I541-H541</f>
        <v>0</v>
      </c>
      <c r="K131" s="158"/>
      <c r="L131" s="334"/>
      <c r="M131" s="158">
        <f t="shared" ref="M131:M154" si="18">IF(L541&lt;&gt;0,+H541-L541,0)</f>
        <v>0</v>
      </c>
      <c r="N131" s="334"/>
      <c r="O131" s="158">
        <f t="shared" ref="O131:O154" si="19">IF(N541&lt;&gt;0,+I541-N541,0)</f>
        <v>0</v>
      </c>
      <c r="P131" s="158">
        <f t="shared" ref="P131:P154" si="20">+O541-M541</f>
        <v>0</v>
      </c>
    </row>
    <row r="132" spans="2:16">
      <c r="B132" s="9" t="str">
        <f t="shared" si="16"/>
        <v/>
      </c>
      <c r="C132" s="153">
        <f>IF(D93="","-",+C131+1)</f>
        <v>2051</v>
      </c>
      <c r="D132" s="154">
        <f>IF(F131+SUM(E$99:E131)=D$92,F131,D$92-SUM(E$99:E131))</f>
        <v>1783511.9047619076</v>
      </c>
      <c r="E132" s="160">
        <f>IF(+J96&lt;F131,J96,D132)</f>
        <v>187738.09523809524</v>
      </c>
      <c r="F132" s="159">
        <f t="shared" si="13"/>
        <v>1595773.8095238125</v>
      </c>
      <c r="G132" s="159">
        <f t="shared" si="8"/>
        <v>1689642.8571428601</v>
      </c>
      <c r="H132" s="163">
        <f t="shared" si="14"/>
        <v>392981.47606056673</v>
      </c>
      <c r="I132" s="253">
        <f t="shared" si="15"/>
        <v>392981.47606056673</v>
      </c>
      <c r="J132" s="158">
        <f t="shared" si="17"/>
        <v>0</v>
      </c>
      <c r="K132" s="158"/>
      <c r="L132" s="334"/>
      <c r="M132" s="158">
        <f t="shared" si="18"/>
        <v>0</v>
      </c>
      <c r="N132" s="334"/>
      <c r="O132" s="158">
        <f t="shared" si="19"/>
        <v>0</v>
      </c>
      <c r="P132" s="158">
        <f t="shared" si="20"/>
        <v>0</v>
      </c>
    </row>
    <row r="133" spans="2:16">
      <c r="B133" s="9" t="str">
        <f t="shared" si="16"/>
        <v/>
      </c>
      <c r="C133" s="153">
        <f>IF(D93="","-",+C132+1)</f>
        <v>2052</v>
      </c>
      <c r="D133" s="154">
        <f>IF(F132+SUM(E$99:E132)=D$92,F132,D$92-SUM(E$99:E132))</f>
        <v>1595773.8095238125</v>
      </c>
      <c r="E133" s="160">
        <f>IF(+J96&lt;F132,J96,D133)</f>
        <v>187738.09523809524</v>
      </c>
      <c r="F133" s="159">
        <f t="shared" si="13"/>
        <v>1408035.7142857173</v>
      </c>
      <c r="G133" s="159">
        <f t="shared" si="8"/>
        <v>1501904.7619047649</v>
      </c>
      <c r="H133" s="163">
        <f t="shared" si="14"/>
        <v>370176.65596918104</v>
      </c>
      <c r="I133" s="253">
        <f t="shared" si="15"/>
        <v>370176.65596918104</v>
      </c>
      <c r="J133" s="158">
        <f t="shared" si="17"/>
        <v>0</v>
      </c>
      <c r="K133" s="158"/>
      <c r="L133" s="334"/>
      <c r="M133" s="158">
        <f t="shared" si="18"/>
        <v>0</v>
      </c>
      <c r="N133" s="334"/>
      <c r="O133" s="158">
        <f t="shared" si="19"/>
        <v>0</v>
      </c>
      <c r="P133" s="158">
        <f t="shared" si="20"/>
        <v>0</v>
      </c>
    </row>
    <row r="134" spans="2:16">
      <c r="B134" s="9" t="str">
        <f t="shared" si="16"/>
        <v/>
      </c>
      <c r="C134" s="153">
        <f>IF(D93="","-",+C133+1)</f>
        <v>2053</v>
      </c>
      <c r="D134" s="154">
        <f>IF(F133+SUM(E$99:E133)=D$92,F133,D$92-SUM(E$99:E133))</f>
        <v>1408035.7142857173</v>
      </c>
      <c r="E134" s="160">
        <f>IF(+J96&lt;F133,J96,D134)</f>
        <v>187738.09523809524</v>
      </c>
      <c r="F134" s="159">
        <f t="shared" si="13"/>
        <v>1220297.6190476222</v>
      </c>
      <c r="G134" s="159">
        <f t="shared" si="8"/>
        <v>1314166.6666666698</v>
      </c>
      <c r="H134" s="163">
        <f t="shared" si="14"/>
        <v>347371.83587779535</v>
      </c>
      <c r="I134" s="253">
        <f t="shared" si="15"/>
        <v>347371.83587779535</v>
      </c>
      <c r="J134" s="158">
        <f t="shared" si="17"/>
        <v>0</v>
      </c>
      <c r="K134" s="158"/>
      <c r="L134" s="334"/>
      <c r="M134" s="158">
        <f t="shared" si="18"/>
        <v>0</v>
      </c>
      <c r="N134" s="334"/>
      <c r="O134" s="158">
        <f t="shared" si="19"/>
        <v>0</v>
      </c>
      <c r="P134" s="158">
        <f t="shared" si="20"/>
        <v>0</v>
      </c>
    </row>
    <row r="135" spans="2:16">
      <c r="B135" s="9" t="str">
        <f t="shared" si="16"/>
        <v/>
      </c>
      <c r="C135" s="153">
        <f>IF(D93="","-",+C134+1)</f>
        <v>2054</v>
      </c>
      <c r="D135" s="154">
        <f>IF(F134+SUM(E$99:E134)=D$92,F134,D$92-SUM(E$99:E134))</f>
        <v>1220297.6190476222</v>
      </c>
      <c r="E135" s="160">
        <f>IF(+J96&lt;F134,J96,D135)</f>
        <v>187738.09523809524</v>
      </c>
      <c r="F135" s="159">
        <f t="shared" si="13"/>
        <v>1032559.5238095269</v>
      </c>
      <c r="G135" s="159">
        <f t="shared" si="8"/>
        <v>1126428.5714285746</v>
      </c>
      <c r="H135" s="163">
        <f t="shared" si="14"/>
        <v>324567.01578640973</v>
      </c>
      <c r="I135" s="253">
        <f t="shared" si="15"/>
        <v>324567.01578640973</v>
      </c>
      <c r="J135" s="158">
        <f t="shared" si="17"/>
        <v>0</v>
      </c>
      <c r="K135" s="158"/>
      <c r="L135" s="334"/>
      <c r="M135" s="158">
        <f t="shared" si="18"/>
        <v>0</v>
      </c>
      <c r="N135" s="334"/>
      <c r="O135" s="158">
        <f t="shared" si="19"/>
        <v>0</v>
      </c>
      <c r="P135" s="158">
        <f t="shared" si="20"/>
        <v>0</v>
      </c>
    </row>
    <row r="136" spans="2:16">
      <c r="B136" s="9" t="str">
        <f t="shared" si="16"/>
        <v/>
      </c>
      <c r="C136" s="153">
        <f>IF(D93="","-",+C135+1)</f>
        <v>2055</v>
      </c>
      <c r="D136" s="154">
        <f>IF(F135+SUM(E$99:E135)=D$92,F135,D$92-SUM(E$99:E135))</f>
        <v>1032559.5238095269</v>
      </c>
      <c r="E136" s="160">
        <f>IF(+J96&lt;F135,J96,D136)</f>
        <v>187738.09523809524</v>
      </c>
      <c r="F136" s="159">
        <f t="shared" si="13"/>
        <v>844821.42857143166</v>
      </c>
      <c r="G136" s="159">
        <f t="shared" si="8"/>
        <v>938690.47619047924</v>
      </c>
      <c r="H136" s="163">
        <f t="shared" si="14"/>
        <v>301762.19569502398</v>
      </c>
      <c r="I136" s="253">
        <f t="shared" si="15"/>
        <v>301762.19569502398</v>
      </c>
      <c r="J136" s="158">
        <f t="shared" si="17"/>
        <v>0</v>
      </c>
      <c r="K136" s="158"/>
      <c r="L136" s="334"/>
      <c r="M136" s="158">
        <f t="shared" si="18"/>
        <v>0</v>
      </c>
      <c r="N136" s="334"/>
      <c r="O136" s="158">
        <f t="shared" si="19"/>
        <v>0</v>
      </c>
      <c r="P136" s="158">
        <f t="shared" si="20"/>
        <v>0</v>
      </c>
    </row>
    <row r="137" spans="2:16">
      <c r="B137" s="9" t="str">
        <f t="shared" si="16"/>
        <v/>
      </c>
      <c r="C137" s="153">
        <f>IF(D93="","-",+C136+1)</f>
        <v>2056</v>
      </c>
      <c r="D137" s="154">
        <f>IF(F136+SUM(E$99:E136)=D$92,F136,D$92-SUM(E$99:E136))</f>
        <v>844821.42857143166</v>
      </c>
      <c r="E137" s="160">
        <f>IF(+J96&lt;F136,J96,D137)</f>
        <v>187738.09523809524</v>
      </c>
      <c r="F137" s="159">
        <f t="shared" si="13"/>
        <v>657083.3333333364</v>
      </c>
      <c r="G137" s="159">
        <f t="shared" si="8"/>
        <v>750952.38095238409</v>
      </c>
      <c r="H137" s="163">
        <f t="shared" si="14"/>
        <v>278957.37560363836</v>
      </c>
      <c r="I137" s="253">
        <f t="shared" si="15"/>
        <v>278957.37560363836</v>
      </c>
      <c r="J137" s="158">
        <f t="shared" si="17"/>
        <v>0</v>
      </c>
      <c r="K137" s="158"/>
      <c r="L137" s="334"/>
      <c r="M137" s="158">
        <f t="shared" si="18"/>
        <v>0</v>
      </c>
      <c r="N137" s="334"/>
      <c r="O137" s="158">
        <f t="shared" si="19"/>
        <v>0</v>
      </c>
      <c r="P137" s="158">
        <f t="shared" si="20"/>
        <v>0</v>
      </c>
    </row>
    <row r="138" spans="2:16">
      <c r="B138" s="9" t="str">
        <f t="shared" si="16"/>
        <v/>
      </c>
      <c r="C138" s="153">
        <f>IF(D93="","-",+C137+1)</f>
        <v>2057</v>
      </c>
      <c r="D138" s="154">
        <f>IF(F137+SUM(E$99:E137)=D$92,F137,D$92-SUM(E$99:E137))</f>
        <v>657083.3333333364</v>
      </c>
      <c r="E138" s="160">
        <f>IF(+J96&lt;F137,J96,D138)</f>
        <v>187738.09523809524</v>
      </c>
      <c r="F138" s="159">
        <f t="shared" si="13"/>
        <v>469345.23809524113</v>
      </c>
      <c r="G138" s="159">
        <f t="shared" si="8"/>
        <v>563214.28571428871</v>
      </c>
      <c r="H138" s="163">
        <f t="shared" si="14"/>
        <v>256152.55551225264</v>
      </c>
      <c r="I138" s="253">
        <f t="shared" si="15"/>
        <v>256152.55551225264</v>
      </c>
      <c r="J138" s="158">
        <f t="shared" si="17"/>
        <v>0</v>
      </c>
      <c r="K138" s="158"/>
      <c r="L138" s="334"/>
      <c r="M138" s="158">
        <f t="shared" si="18"/>
        <v>0</v>
      </c>
      <c r="N138" s="334"/>
      <c r="O138" s="158">
        <f t="shared" si="19"/>
        <v>0</v>
      </c>
      <c r="P138" s="158">
        <f t="shared" si="20"/>
        <v>0</v>
      </c>
    </row>
    <row r="139" spans="2:16">
      <c r="B139" s="9" t="str">
        <f t="shared" si="16"/>
        <v/>
      </c>
      <c r="C139" s="153">
        <f>IF(D93="","-",+C138+1)</f>
        <v>2058</v>
      </c>
      <c r="D139" s="154">
        <f>IF(F138+SUM(E$99:E138)=D$92,F138,D$92-SUM(E$99:E138))</f>
        <v>469345.23809524113</v>
      </c>
      <c r="E139" s="160">
        <f>IF(+J96&lt;F138,J96,D139)</f>
        <v>187738.09523809524</v>
      </c>
      <c r="F139" s="159">
        <f t="shared" si="13"/>
        <v>281607.14285714587</v>
      </c>
      <c r="G139" s="159">
        <f t="shared" si="8"/>
        <v>375476.1904761935</v>
      </c>
      <c r="H139" s="163">
        <f t="shared" si="14"/>
        <v>233347.73542086696</v>
      </c>
      <c r="I139" s="253">
        <f t="shared" si="15"/>
        <v>233347.73542086696</v>
      </c>
      <c r="J139" s="158">
        <f t="shared" si="17"/>
        <v>0</v>
      </c>
      <c r="K139" s="158"/>
      <c r="L139" s="334"/>
      <c r="M139" s="158">
        <f t="shared" si="18"/>
        <v>0</v>
      </c>
      <c r="N139" s="334"/>
      <c r="O139" s="158">
        <f t="shared" si="19"/>
        <v>0</v>
      </c>
      <c r="P139" s="158">
        <f t="shared" si="20"/>
        <v>0</v>
      </c>
    </row>
    <row r="140" spans="2:16">
      <c r="B140" s="9" t="str">
        <f t="shared" si="16"/>
        <v/>
      </c>
      <c r="C140" s="153">
        <f>IF(D93="","-",+C139+1)</f>
        <v>2059</v>
      </c>
      <c r="D140" s="154">
        <f>IF(F139+SUM(E$99:E139)=D$92,F139,D$92-SUM(E$99:E139))</f>
        <v>281607.14285714587</v>
      </c>
      <c r="E140" s="160">
        <f>IF(+J96&lt;F139,J96,D140)</f>
        <v>187738.09523809524</v>
      </c>
      <c r="F140" s="159">
        <f t="shared" si="13"/>
        <v>93869.047619050631</v>
      </c>
      <c r="G140" s="159">
        <f t="shared" si="8"/>
        <v>187738.09523809823</v>
      </c>
      <c r="H140" s="163">
        <f t="shared" si="14"/>
        <v>210542.91532948127</v>
      </c>
      <c r="I140" s="253">
        <f t="shared" si="15"/>
        <v>210542.91532948127</v>
      </c>
      <c r="J140" s="158">
        <f t="shared" si="17"/>
        <v>0</v>
      </c>
      <c r="K140" s="158"/>
      <c r="L140" s="334"/>
      <c r="M140" s="158">
        <f t="shared" si="18"/>
        <v>0</v>
      </c>
      <c r="N140" s="334"/>
      <c r="O140" s="158">
        <f t="shared" si="19"/>
        <v>0</v>
      </c>
      <c r="P140" s="158">
        <f t="shared" si="20"/>
        <v>0</v>
      </c>
    </row>
    <row r="141" spans="2:16">
      <c r="B141" s="9" t="str">
        <f t="shared" si="16"/>
        <v/>
      </c>
      <c r="C141" s="153">
        <f>IF(D93="","-",+C140+1)</f>
        <v>2060</v>
      </c>
      <c r="D141" s="154">
        <f>IF(F140+SUM(E$99:E140)=D$92,F140,D$92-SUM(E$99:E140))</f>
        <v>93869.047619050631</v>
      </c>
      <c r="E141" s="160">
        <f>IF(+J96&lt;F140,J96,D141)</f>
        <v>93869.047619050631</v>
      </c>
      <c r="F141" s="159">
        <f t="shared" si="13"/>
        <v>0</v>
      </c>
      <c r="G141" s="159">
        <f t="shared" si="8"/>
        <v>46934.523809525315</v>
      </c>
      <c r="H141" s="163">
        <f t="shared" si="14"/>
        <v>99570.252641897227</v>
      </c>
      <c r="I141" s="253">
        <f t="shared" si="15"/>
        <v>99570.252641897227</v>
      </c>
      <c r="J141" s="158">
        <f t="shared" si="17"/>
        <v>0</v>
      </c>
      <c r="K141" s="158"/>
      <c r="L141" s="334"/>
      <c r="M141" s="158">
        <f t="shared" si="18"/>
        <v>0</v>
      </c>
      <c r="N141" s="334"/>
      <c r="O141" s="158">
        <f t="shared" si="19"/>
        <v>0</v>
      </c>
      <c r="P141" s="158">
        <f t="shared" si="20"/>
        <v>0</v>
      </c>
    </row>
    <row r="142" spans="2:16">
      <c r="B142" s="9" t="str">
        <f t="shared" si="16"/>
        <v/>
      </c>
      <c r="C142" s="153">
        <f>IF(D93="","-",+C141+1)</f>
        <v>2061</v>
      </c>
      <c r="D142" s="154">
        <f>IF(F141+SUM(E$99:E141)=D$92,F141,D$92-SUM(E$99:E141))</f>
        <v>0</v>
      </c>
      <c r="E142" s="160">
        <f>IF(+J96&lt;F141,J96,D142)</f>
        <v>0</v>
      </c>
      <c r="F142" s="159">
        <f t="shared" si="13"/>
        <v>0</v>
      </c>
      <c r="G142" s="159">
        <f t="shared" si="8"/>
        <v>0</v>
      </c>
      <c r="H142" s="163">
        <f t="shared" si="14"/>
        <v>0</v>
      </c>
      <c r="I142" s="253">
        <f t="shared" si="15"/>
        <v>0</v>
      </c>
      <c r="J142" s="158">
        <f t="shared" si="17"/>
        <v>0</v>
      </c>
      <c r="K142" s="158"/>
      <c r="L142" s="334"/>
      <c r="M142" s="158">
        <f t="shared" si="18"/>
        <v>0</v>
      </c>
      <c r="N142" s="334"/>
      <c r="O142" s="158">
        <f t="shared" si="19"/>
        <v>0</v>
      </c>
      <c r="P142" s="158">
        <f t="shared" si="20"/>
        <v>0</v>
      </c>
    </row>
    <row r="143" spans="2:16">
      <c r="B143" s="9" t="str">
        <f t="shared" si="16"/>
        <v/>
      </c>
      <c r="C143" s="153">
        <f>IF(D93="","-",+C142+1)</f>
        <v>2062</v>
      </c>
      <c r="D143" s="154">
        <f>IF(F142+SUM(E$99:E142)=D$92,F142,D$92-SUM(E$99:E142))</f>
        <v>0</v>
      </c>
      <c r="E143" s="160">
        <f>IF(+J96&lt;F142,J96,D143)</f>
        <v>0</v>
      </c>
      <c r="F143" s="159">
        <f t="shared" si="13"/>
        <v>0</v>
      </c>
      <c r="G143" s="159">
        <f t="shared" si="8"/>
        <v>0</v>
      </c>
      <c r="H143" s="163">
        <f t="shared" si="14"/>
        <v>0</v>
      </c>
      <c r="I143" s="253">
        <f t="shared" si="15"/>
        <v>0</v>
      </c>
      <c r="J143" s="158">
        <f t="shared" si="17"/>
        <v>0</v>
      </c>
      <c r="K143" s="158"/>
      <c r="L143" s="334"/>
      <c r="M143" s="158">
        <f t="shared" si="18"/>
        <v>0</v>
      </c>
      <c r="N143" s="334"/>
      <c r="O143" s="158">
        <f t="shared" si="19"/>
        <v>0</v>
      </c>
      <c r="P143" s="158">
        <f t="shared" si="20"/>
        <v>0</v>
      </c>
    </row>
    <row r="144" spans="2:16">
      <c r="B144" s="9" t="str">
        <f t="shared" si="16"/>
        <v/>
      </c>
      <c r="C144" s="153">
        <f>IF(D93="","-",+C143+1)</f>
        <v>2063</v>
      </c>
      <c r="D144" s="154">
        <f>IF(F143+SUM(E$99:E143)=D$92,F143,D$92-SUM(E$99:E143))</f>
        <v>0</v>
      </c>
      <c r="E144" s="160">
        <f>IF(+J96&lt;F143,J96,D144)</f>
        <v>0</v>
      </c>
      <c r="F144" s="159">
        <f t="shared" si="13"/>
        <v>0</v>
      </c>
      <c r="G144" s="159">
        <f t="shared" si="8"/>
        <v>0</v>
      </c>
      <c r="H144" s="163">
        <f t="shared" si="14"/>
        <v>0</v>
      </c>
      <c r="I144" s="253">
        <f t="shared" si="15"/>
        <v>0</v>
      </c>
      <c r="J144" s="158">
        <f t="shared" si="17"/>
        <v>0</v>
      </c>
      <c r="K144" s="158"/>
      <c r="L144" s="334"/>
      <c r="M144" s="158">
        <f t="shared" si="18"/>
        <v>0</v>
      </c>
      <c r="N144" s="334"/>
      <c r="O144" s="158">
        <f t="shared" si="19"/>
        <v>0</v>
      </c>
      <c r="P144" s="158">
        <f t="shared" si="20"/>
        <v>0</v>
      </c>
    </row>
    <row r="145" spans="2:16">
      <c r="B145" s="9" t="str">
        <f t="shared" si="16"/>
        <v/>
      </c>
      <c r="C145" s="153">
        <f>IF(D93="","-",+C144+1)</f>
        <v>2064</v>
      </c>
      <c r="D145" s="154">
        <f>IF(F144+SUM(E$99:E144)=D$92,F144,D$92-SUM(E$99:E144))</f>
        <v>0</v>
      </c>
      <c r="E145" s="160">
        <f>IF(+J96&lt;F144,J96,D145)</f>
        <v>0</v>
      </c>
      <c r="F145" s="159">
        <f t="shared" si="13"/>
        <v>0</v>
      </c>
      <c r="G145" s="159">
        <f t="shared" si="8"/>
        <v>0</v>
      </c>
      <c r="H145" s="163">
        <f t="shared" si="14"/>
        <v>0</v>
      </c>
      <c r="I145" s="253">
        <f t="shared" si="15"/>
        <v>0</v>
      </c>
      <c r="J145" s="158">
        <f t="shared" si="17"/>
        <v>0</v>
      </c>
      <c r="K145" s="158"/>
      <c r="L145" s="334"/>
      <c r="M145" s="158">
        <f t="shared" si="18"/>
        <v>0</v>
      </c>
      <c r="N145" s="334"/>
      <c r="O145" s="158">
        <f t="shared" si="19"/>
        <v>0</v>
      </c>
      <c r="P145" s="158">
        <f t="shared" si="20"/>
        <v>0</v>
      </c>
    </row>
    <row r="146" spans="2:16">
      <c r="B146" s="9" t="str">
        <f t="shared" si="16"/>
        <v/>
      </c>
      <c r="C146" s="153">
        <f>IF(D93="","-",+C145+1)</f>
        <v>2065</v>
      </c>
      <c r="D146" s="154">
        <f>IF(F145+SUM(E$99:E145)=D$92,F145,D$92-SUM(E$99:E145))</f>
        <v>0</v>
      </c>
      <c r="E146" s="160">
        <f>IF(+J96&lt;F145,J96,D146)</f>
        <v>0</v>
      </c>
      <c r="F146" s="159">
        <f t="shared" si="13"/>
        <v>0</v>
      </c>
      <c r="G146" s="159">
        <f t="shared" si="8"/>
        <v>0</v>
      </c>
      <c r="H146" s="163">
        <f t="shared" si="14"/>
        <v>0</v>
      </c>
      <c r="I146" s="253">
        <f t="shared" si="15"/>
        <v>0</v>
      </c>
      <c r="J146" s="158">
        <f t="shared" si="17"/>
        <v>0</v>
      </c>
      <c r="K146" s="158"/>
      <c r="L146" s="334"/>
      <c r="M146" s="158">
        <f t="shared" si="18"/>
        <v>0</v>
      </c>
      <c r="N146" s="334"/>
      <c r="O146" s="158">
        <f t="shared" si="19"/>
        <v>0</v>
      </c>
      <c r="P146" s="158">
        <f t="shared" si="20"/>
        <v>0</v>
      </c>
    </row>
    <row r="147" spans="2:16">
      <c r="B147" s="9" t="str">
        <f t="shared" si="16"/>
        <v/>
      </c>
      <c r="C147" s="153">
        <f>IF(D93="","-",+C146+1)</f>
        <v>2066</v>
      </c>
      <c r="D147" s="154">
        <f>IF(F146+SUM(E$99:E146)=D$92,F146,D$92-SUM(E$99:E146))</f>
        <v>0</v>
      </c>
      <c r="E147" s="160">
        <f>IF(+J96&lt;F146,J96,D147)</f>
        <v>0</v>
      </c>
      <c r="F147" s="159">
        <f t="shared" si="13"/>
        <v>0</v>
      </c>
      <c r="G147" s="159">
        <f t="shared" si="8"/>
        <v>0</v>
      </c>
      <c r="H147" s="163">
        <f t="shared" si="14"/>
        <v>0</v>
      </c>
      <c r="I147" s="253">
        <f t="shared" si="15"/>
        <v>0</v>
      </c>
      <c r="J147" s="158">
        <f t="shared" si="17"/>
        <v>0</v>
      </c>
      <c r="K147" s="158"/>
      <c r="L147" s="334"/>
      <c r="M147" s="158">
        <f t="shared" si="18"/>
        <v>0</v>
      </c>
      <c r="N147" s="334"/>
      <c r="O147" s="158">
        <f t="shared" si="19"/>
        <v>0</v>
      </c>
      <c r="P147" s="158">
        <f t="shared" si="20"/>
        <v>0</v>
      </c>
    </row>
    <row r="148" spans="2:16">
      <c r="B148" s="9" t="str">
        <f t="shared" si="16"/>
        <v/>
      </c>
      <c r="C148" s="153">
        <f>IF(D93="","-",+C147+1)</f>
        <v>2067</v>
      </c>
      <c r="D148" s="154">
        <f>IF(F147+SUM(E$99:E147)=D$92,F147,D$92-SUM(E$99:E147))</f>
        <v>0</v>
      </c>
      <c r="E148" s="160">
        <f>IF(+J96&lt;F147,J96,D148)</f>
        <v>0</v>
      </c>
      <c r="F148" s="159">
        <f t="shared" si="13"/>
        <v>0</v>
      </c>
      <c r="G148" s="159">
        <f t="shared" si="8"/>
        <v>0</v>
      </c>
      <c r="H148" s="163">
        <f t="shared" si="14"/>
        <v>0</v>
      </c>
      <c r="I148" s="253">
        <f t="shared" si="15"/>
        <v>0</v>
      </c>
      <c r="J148" s="158">
        <f t="shared" si="17"/>
        <v>0</v>
      </c>
      <c r="K148" s="158"/>
      <c r="L148" s="334"/>
      <c r="M148" s="158">
        <f t="shared" si="18"/>
        <v>0</v>
      </c>
      <c r="N148" s="334"/>
      <c r="O148" s="158">
        <f t="shared" si="19"/>
        <v>0</v>
      </c>
      <c r="P148" s="158">
        <f t="shared" si="20"/>
        <v>0</v>
      </c>
    </row>
    <row r="149" spans="2:16">
      <c r="B149" s="9" t="str">
        <f t="shared" si="16"/>
        <v/>
      </c>
      <c r="C149" s="153">
        <f>IF(D93="","-",+C148+1)</f>
        <v>2068</v>
      </c>
      <c r="D149" s="154">
        <f>IF(F148+SUM(E$99:E148)=D$92,F148,D$92-SUM(E$99:E148))</f>
        <v>0</v>
      </c>
      <c r="E149" s="160">
        <f>IF(+J96&lt;F148,J96,D149)</f>
        <v>0</v>
      </c>
      <c r="F149" s="159">
        <f t="shared" si="13"/>
        <v>0</v>
      </c>
      <c r="G149" s="159">
        <f t="shared" si="8"/>
        <v>0</v>
      </c>
      <c r="H149" s="163">
        <f t="shared" si="14"/>
        <v>0</v>
      </c>
      <c r="I149" s="253">
        <f t="shared" si="15"/>
        <v>0</v>
      </c>
      <c r="J149" s="158">
        <f t="shared" si="17"/>
        <v>0</v>
      </c>
      <c r="K149" s="158"/>
      <c r="L149" s="334"/>
      <c r="M149" s="158">
        <f t="shared" si="18"/>
        <v>0</v>
      </c>
      <c r="N149" s="334"/>
      <c r="O149" s="158">
        <f t="shared" si="19"/>
        <v>0</v>
      </c>
      <c r="P149" s="158">
        <f t="shared" si="20"/>
        <v>0</v>
      </c>
    </row>
    <row r="150" spans="2:16">
      <c r="B150" s="9" t="str">
        <f t="shared" si="16"/>
        <v/>
      </c>
      <c r="C150" s="153">
        <f>IF(D93="","-",+C149+1)</f>
        <v>2069</v>
      </c>
      <c r="D150" s="154">
        <f>IF(F149+SUM(E$99:E149)=D$92,F149,D$92-SUM(E$99:E149))</f>
        <v>0</v>
      </c>
      <c r="E150" s="160">
        <f>IF(+J96&lt;F149,J96,D150)</f>
        <v>0</v>
      </c>
      <c r="F150" s="159">
        <f t="shared" si="13"/>
        <v>0</v>
      </c>
      <c r="G150" s="159">
        <f t="shared" si="8"/>
        <v>0</v>
      </c>
      <c r="H150" s="163">
        <f t="shared" si="14"/>
        <v>0</v>
      </c>
      <c r="I150" s="253">
        <f t="shared" si="15"/>
        <v>0</v>
      </c>
      <c r="J150" s="158">
        <f t="shared" si="17"/>
        <v>0</v>
      </c>
      <c r="K150" s="158"/>
      <c r="L150" s="334"/>
      <c r="M150" s="158">
        <f t="shared" si="18"/>
        <v>0</v>
      </c>
      <c r="N150" s="334"/>
      <c r="O150" s="158">
        <f t="shared" si="19"/>
        <v>0</v>
      </c>
      <c r="P150" s="158">
        <f t="shared" si="20"/>
        <v>0</v>
      </c>
    </row>
    <row r="151" spans="2:16">
      <c r="B151" s="9" t="str">
        <f t="shared" si="16"/>
        <v/>
      </c>
      <c r="C151" s="153">
        <f>IF(D93="","-",+C150+1)</f>
        <v>2070</v>
      </c>
      <c r="D151" s="154">
        <f>IF(F150+SUM(E$99:E150)=D$92,F150,D$92-SUM(E$99:E150))</f>
        <v>0</v>
      </c>
      <c r="E151" s="160">
        <f>IF(+J96&lt;F150,J96,D151)</f>
        <v>0</v>
      </c>
      <c r="F151" s="159">
        <f t="shared" si="13"/>
        <v>0</v>
      </c>
      <c r="G151" s="159">
        <f t="shared" si="8"/>
        <v>0</v>
      </c>
      <c r="H151" s="163">
        <f t="shared" si="14"/>
        <v>0</v>
      </c>
      <c r="I151" s="253">
        <f t="shared" si="15"/>
        <v>0</v>
      </c>
      <c r="J151" s="158">
        <f t="shared" si="17"/>
        <v>0</v>
      </c>
      <c r="K151" s="158"/>
      <c r="L151" s="334"/>
      <c r="M151" s="158">
        <f t="shared" si="18"/>
        <v>0</v>
      </c>
      <c r="N151" s="334"/>
      <c r="O151" s="158">
        <f t="shared" si="19"/>
        <v>0</v>
      </c>
      <c r="P151" s="158">
        <f t="shared" si="20"/>
        <v>0</v>
      </c>
    </row>
    <row r="152" spans="2:16">
      <c r="B152" s="9" t="str">
        <f t="shared" si="16"/>
        <v/>
      </c>
      <c r="C152" s="153">
        <f>IF(D93="","-",+C151+1)</f>
        <v>2071</v>
      </c>
      <c r="D152" s="154">
        <f>IF(F151+SUM(E$99:E151)=D$92,F151,D$92-SUM(E$99:E151))</f>
        <v>0</v>
      </c>
      <c r="E152" s="160">
        <f>IF(+J96&lt;F151,J96,D152)</f>
        <v>0</v>
      </c>
      <c r="F152" s="159">
        <f t="shared" si="13"/>
        <v>0</v>
      </c>
      <c r="G152" s="159">
        <f t="shared" si="8"/>
        <v>0</v>
      </c>
      <c r="H152" s="163">
        <f t="shared" si="14"/>
        <v>0</v>
      </c>
      <c r="I152" s="253">
        <f t="shared" si="15"/>
        <v>0</v>
      </c>
      <c r="J152" s="158">
        <f t="shared" si="17"/>
        <v>0</v>
      </c>
      <c r="K152" s="158"/>
      <c r="L152" s="334"/>
      <c r="M152" s="158">
        <f t="shared" si="18"/>
        <v>0</v>
      </c>
      <c r="N152" s="334"/>
      <c r="O152" s="158">
        <f t="shared" si="19"/>
        <v>0</v>
      </c>
      <c r="P152" s="158">
        <f t="shared" si="20"/>
        <v>0</v>
      </c>
    </row>
    <row r="153" spans="2:16">
      <c r="B153" s="9" t="str">
        <f t="shared" si="16"/>
        <v/>
      </c>
      <c r="C153" s="153">
        <f>IF(D93="","-",+C152+1)</f>
        <v>2072</v>
      </c>
      <c r="D153" s="154">
        <f>IF(F152+SUM(E$99:E152)=D$92,F152,D$92-SUM(E$99:E152))</f>
        <v>0</v>
      </c>
      <c r="E153" s="160">
        <f>IF(+J96&lt;F152,J96,D153)</f>
        <v>0</v>
      </c>
      <c r="F153" s="159">
        <f t="shared" si="13"/>
        <v>0</v>
      </c>
      <c r="G153" s="159">
        <f t="shared" si="8"/>
        <v>0</v>
      </c>
      <c r="H153" s="163">
        <f t="shared" si="14"/>
        <v>0</v>
      </c>
      <c r="I153" s="253">
        <f t="shared" si="15"/>
        <v>0</v>
      </c>
      <c r="J153" s="158">
        <f t="shared" si="17"/>
        <v>0</v>
      </c>
      <c r="K153" s="158"/>
      <c r="L153" s="334"/>
      <c r="M153" s="158">
        <f t="shared" si="18"/>
        <v>0</v>
      </c>
      <c r="N153" s="334"/>
      <c r="O153" s="158">
        <f t="shared" si="19"/>
        <v>0</v>
      </c>
      <c r="P153" s="158">
        <f t="shared" si="20"/>
        <v>0</v>
      </c>
    </row>
    <row r="154" spans="2:16" ht="13.5" thickBot="1">
      <c r="B154" s="9" t="str">
        <f t="shared" si="16"/>
        <v/>
      </c>
      <c r="C154" s="164">
        <f>IF(D93="","-",+C153+1)</f>
        <v>2073</v>
      </c>
      <c r="D154" s="215">
        <f>IF(F153+SUM(E$99:E153)=D$92,F153,D$92-SUM(E$99:E153))</f>
        <v>0</v>
      </c>
      <c r="E154" s="166">
        <f>IF(+J96&lt;F153,J96,D154)</f>
        <v>0</v>
      </c>
      <c r="F154" s="165">
        <f t="shared" si="13"/>
        <v>0</v>
      </c>
      <c r="G154" s="165">
        <f t="shared" si="8"/>
        <v>0</v>
      </c>
      <c r="H154" s="167">
        <f t="shared" si="14"/>
        <v>0</v>
      </c>
      <c r="I154" s="254">
        <f t="shared" si="15"/>
        <v>0</v>
      </c>
      <c r="J154" s="169">
        <f t="shared" si="17"/>
        <v>0</v>
      </c>
      <c r="K154" s="158"/>
      <c r="L154" s="335"/>
      <c r="M154" s="169">
        <f t="shared" si="18"/>
        <v>0</v>
      </c>
      <c r="N154" s="335"/>
      <c r="O154" s="169">
        <f t="shared" si="19"/>
        <v>0</v>
      </c>
      <c r="P154" s="169">
        <f t="shared" si="20"/>
        <v>0</v>
      </c>
    </row>
    <row r="155" spans="2:16">
      <c r="C155" s="154" t="s">
        <v>73</v>
      </c>
      <c r="D155" s="111"/>
      <c r="E155" s="111">
        <f>SUM(E99:E154)</f>
        <v>7885000</v>
      </c>
      <c r="F155" s="111"/>
      <c r="G155" s="111"/>
      <c r="H155" s="111">
        <f>SUM(H99:H154)</f>
        <v>27998851.320602179</v>
      </c>
      <c r="I155" s="111">
        <f>SUM(I99:I154)</f>
        <v>27998851.320602179</v>
      </c>
      <c r="J155" s="111">
        <f>SUM(J99:J154)</f>
        <v>0</v>
      </c>
      <c r="K155" s="111"/>
      <c r="L155" s="111"/>
      <c r="M155" s="111"/>
      <c r="N155" s="111"/>
      <c r="O155" s="111"/>
      <c r="P155" s="1"/>
    </row>
    <row r="156" spans="2:16">
      <c r="C156" t="s">
        <v>87</v>
      </c>
      <c r="D156" s="2"/>
      <c r="E156" s="1"/>
      <c r="F156" s="1"/>
      <c r="G156" s="1"/>
      <c r="H156" s="1"/>
      <c r="I156" s="3"/>
      <c r="J156" s="3"/>
      <c r="K156" s="111"/>
      <c r="L156" s="3"/>
      <c r="M156" s="3"/>
      <c r="N156" s="3"/>
      <c r="O156" s="3"/>
      <c r="P156" s="1"/>
    </row>
    <row r="157" spans="2:16">
      <c r="C157" s="216"/>
      <c r="D157" s="2"/>
      <c r="E157" s="1"/>
      <c r="F157" s="1"/>
      <c r="G157" s="1"/>
      <c r="H157" s="1"/>
      <c r="I157" s="3"/>
      <c r="J157" s="3"/>
      <c r="K157" s="111"/>
      <c r="L157" s="3"/>
      <c r="M157" s="3"/>
      <c r="N157" s="3"/>
      <c r="O157" s="3"/>
      <c r="P157" s="1"/>
    </row>
    <row r="158" spans="2:16">
      <c r="C158" s="248" t="s">
        <v>127</v>
      </c>
      <c r="D158" s="2"/>
      <c r="E158" s="1"/>
      <c r="F158" s="1"/>
      <c r="G158" s="1"/>
      <c r="H158" s="1"/>
      <c r="I158" s="3"/>
      <c r="J158" s="3"/>
      <c r="K158" s="111"/>
      <c r="L158" s="3"/>
      <c r="M158" s="3"/>
      <c r="N158" s="3"/>
      <c r="O158" s="3"/>
      <c r="P158" s="1"/>
    </row>
    <row r="159" spans="2:16">
      <c r="C159" s="121" t="s">
        <v>74</v>
      </c>
      <c r="D159" s="154"/>
      <c r="E159" s="154"/>
      <c r="F159" s="154"/>
      <c r="G159" s="154"/>
      <c r="H159" s="111"/>
      <c r="I159" s="111"/>
      <c r="J159" s="171"/>
      <c r="K159" s="171"/>
      <c r="L159" s="171"/>
      <c r="M159" s="171"/>
      <c r="N159" s="171"/>
      <c r="O159" s="171"/>
      <c r="P159" s="1"/>
    </row>
    <row r="160" spans="2:16">
      <c r="C160" s="217" t="s">
        <v>75</v>
      </c>
      <c r="D160" s="154"/>
      <c r="E160" s="154"/>
      <c r="F160" s="154"/>
      <c r="G160" s="154"/>
      <c r="H160" s="111"/>
      <c r="I160" s="111"/>
      <c r="J160" s="171"/>
      <c r="K160" s="171"/>
      <c r="L160" s="171"/>
      <c r="M160" s="171"/>
      <c r="N160" s="171"/>
      <c r="O160" s="171"/>
      <c r="P160" s="1"/>
    </row>
    <row r="161" spans="3:16">
      <c r="C161" s="217"/>
      <c r="D161" s="154"/>
      <c r="E161" s="154"/>
      <c r="F161" s="154"/>
      <c r="G161" s="154"/>
      <c r="H161" s="111"/>
      <c r="I161" s="111"/>
      <c r="J161" s="171"/>
      <c r="K161" s="171"/>
      <c r="L161" s="171"/>
      <c r="M161" s="171"/>
      <c r="N161" s="171"/>
      <c r="O161" s="171"/>
      <c r="P161" s="1"/>
    </row>
    <row r="162" spans="3:16" ht="18">
      <c r="C162" s="217"/>
      <c r="D162" s="154"/>
      <c r="E162" s="154"/>
      <c r="F162" s="154"/>
      <c r="G162" s="154"/>
      <c r="H162" s="111"/>
      <c r="I162" s="111"/>
      <c r="J162" s="171"/>
      <c r="K162" s="171"/>
      <c r="L162" s="171"/>
      <c r="M162" s="171"/>
      <c r="N162" s="171"/>
      <c r="P162" s="245" t="s">
        <v>126</v>
      </c>
    </row>
  </sheetData>
  <conditionalFormatting sqref="C18:C72">
    <cfRule type="cellIs" dxfId="13" priority="2" stopIfTrue="1" operator="equal">
      <formula>$I$10</formula>
    </cfRule>
  </conditionalFormatting>
  <conditionalFormatting sqref="C99:C154">
    <cfRule type="cellIs" dxfId="12" priority="3" stopIfTrue="1" operator="equal">
      <formula>$J$92</formula>
    </cfRule>
  </conditionalFormatting>
  <conditionalFormatting sqref="C17">
    <cfRule type="cellIs" dxfId="11" priority="1" stopIfTrue="1" operator="equal">
      <formula>$I$10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0"/>
  <dimension ref="A1:P162"/>
  <sheetViews>
    <sheetView view="pageBreakPreview" topLeftCell="A64" zoomScale="80" zoomScaleNormal="100" zoomScaleSheetLayoutView="80" workbookViewId="0">
      <selection activeCell="C19" sqref="C19"/>
    </sheetView>
  </sheetViews>
  <sheetFormatPr defaultRowHeight="12.75" customHeight="1"/>
  <cols>
    <col min="1" max="1" width="4.7109375" customWidth="1"/>
    <col min="2" max="2" width="6.7109375" customWidth="1"/>
    <col min="3" max="3" width="23.28515625" customWidth="1"/>
    <col min="4" max="8" width="17.7109375" customWidth="1"/>
    <col min="9" max="9" width="20.42578125" customWidth="1"/>
    <col min="10" max="10" width="16.42578125" customWidth="1"/>
    <col min="11" max="11" width="17.7109375" customWidth="1"/>
    <col min="12" max="12" width="16.140625" customWidth="1"/>
    <col min="13" max="13" width="17.7109375" customWidth="1"/>
    <col min="14" max="14" width="16.7109375" customWidth="1"/>
    <col min="15" max="15" width="16.85546875" customWidth="1"/>
    <col min="16" max="16" width="24.42578125" customWidth="1"/>
    <col min="17" max="17" width="9.140625" customWidth="1"/>
    <col min="23" max="23" width="9.140625" customWidth="1"/>
  </cols>
  <sheetData>
    <row r="1" spans="1:16" ht="20.25">
      <c r="A1" s="243" t="s">
        <v>128</v>
      </c>
      <c r="B1" s="1"/>
      <c r="C1" s="21"/>
      <c r="D1" s="2"/>
      <c r="E1" s="1"/>
      <c r="F1" s="99"/>
      <c r="G1" s="1"/>
      <c r="H1" s="3"/>
      <c r="J1" s="7"/>
      <c r="K1" s="109"/>
      <c r="L1" s="109"/>
      <c r="M1" s="109"/>
      <c r="P1" s="249" t="str">
        <f ca="1">"SWEPCO Project "&amp;RIGHT(MID(CELL("filename",$A$1),FIND("]",CELL("filename",$A$1))+1,256),2)&amp;" of "&amp;COUNT('S.001:S.xyz - blank'!$P$3)-1</f>
        <v>SWEPCO Project 71 of 73</v>
      </c>
    </row>
    <row r="2" spans="1:16" ht="18">
      <c r="B2" s="1"/>
      <c r="C2" s="1"/>
      <c r="D2" s="2"/>
      <c r="E2" s="1"/>
      <c r="F2" s="1"/>
      <c r="G2" s="1"/>
      <c r="H2" s="3"/>
      <c r="I2" s="1"/>
      <c r="J2" s="4"/>
      <c r="K2" s="1"/>
      <c r="L2" s="1"/>
      <c r="M2" s="1"/>
      <c r="N2" s="1"/>
      <c r="P2" s="244" t="s">
        <v>124</v>
      </c>
    </row>
    <row r="3" spans="1:16" ht="18.75">
      <c r="B3" s="5" t="s">
        <v>40</v>
      </c>
      <c r="C3" s="68" t="s">
        <v>41</v>
      </c>
      <c r="D3" s="2"/>
      <c r="E3" s="1"/>
      <c r="F3" s="1"/>
      <c r="G3" s="1"/>
      <c r="H3" s="3"/>
      <c r="I3" s="3"/>
      <c r="J3" s="111"/>
      <c r="K3" s="3"/>
      <c r="L3" s="3"/>
      <c r="M3" s="3"/>
      <c r="N3" s="3"/>
      <c r="O3" s="1"/>
      <c r="P3" s="240">
        <v>1</v>
      </c>
    </row>
    <row r="4" spans="1:16" ht="15.75" thickBot="1">
      <c r="C4" s="67"/>
      <c r="D4" s="2"/>
      <c r="E4" s="1"/>
      <c r="F4" s="1"/>
      <c r="G4" s="1"/>
      <c r="H4" s="3"/>
      <c r="I4" s="3"/>
      <c r="J4" s="111"/>
      <c r="K4" s="3"/>
      <c r="L4" s="3"/>
      <c r="M4" s="3"/>
      <c r="N4" s="3"/>
      <c r="O4" s="1"/>
      <c r="P4" s="1"/>
    </row>
    <row r="5" spans="1:16" ht="15">
      <c r="C5" s="112" t="s">
        <v>42</v>
      </c>
      <c r="D5" s="2"/>
      <c r="E5" s="1"/>
      <c r="F5" s="1"/>
      <c r="G5" s="113"/>
      <c r="H5" s="1" t="s">
        <v>43</v>
      </c>
      <c r="I5" s="1"/>
      <c r="J5" s="4"/>
      <c r="K5" s="268" t="s">
        <v>152</v>
      </c>
      <c r="L5" s="114"/>
      <c r="M5" s="115"/>
      <c r="N5" s="116">
        <f>VLOOKUP(I10,C17:I72,5)</f>
        <v>205595.02731099608</v>
      </c>
      <c r="P5" s="1"/>
    </row>
    <row r="6" spans="1:16" ht="15.75">
      <c r="C6" s="8"/>
      <c r="D6" s="2"/>
      <c r="E6" s="1"/>
      <c r="F6" s="1"/>
      <c r="G6" s="1"/>
      <c r="H6" s="117"/>
      <c r="I6" s="117"/>
      <c r="J6" s="118"/>
      <c r="K6" s="269" t="s">
        <v>153</v>
      </c>
      <c r="L6" s="119"/>
      <c r="M6" s="4"/>
      <c r="N6" s="120">
        <f>VLOOKUP(I10,C17:I72,6)</f>
        <v>205595.02731099608</v>
      </c>
      <c r="O6" s="1"/>
      <c r="P6" s="1"/>
    </row>
    <row r="7" spans="1:16" ht="13.5" thickBot="1">
      <c r="C7" s="121" t="s">
        <v>44</v>
      </c>
      <c r="D7" s="223" t="s">
        <v>394</v>
      </c>
      <c r="E7" s="1"/>
      <c r="F7" s="1"/>
      <c r="G7" s="1"/>
      <c r="H7" s="3"/>
      <c r="I7" s="3"/>
      <c r="J7" s="111"/>
      <c r="K7" s="122" t="s">
        <v>45</v>
      </c>
      <c r="L7" s="123"/>
      <c r="M7" s="123"/>
      <c r="N7" s="124">
        <f>+N6-N5</f>
        <v>0</v>
      </c>
      <c r="O7" s="1"/>
      <c r="P7" s="1"/>
    </row>
    <row r="8" spans="1:16" ht="13.5" thickBot="1">
      <c r="C8" s="125"/>
      <c r="D8" s="352" t="str">
        <f>IF(D10&lt;100000,"DOES NOT MEET SPP $100,000 MINIMUM INVESTMENT FOR REGIONAL BPU SHARING.","")</f>
        <v/>
      </c>
      <c r="E8" s="126"/>
      <c r="F8" s="126"/>
      <c r="G8" s="126"/>
      <c r="H8" s="126"/>
      <c r="I8" s="126"/>
      <c r="J8" s="101"/>
      <c r="K8" s="126"/>
      <c r="L8" s="126"/>
      <c r="M8" s="126"/>
      <c r="N8" s="126"/>
      <c r="O8" s="101"/>
      <c r="P8" s="21"/>
    </row>
    <row r="9" spans="1:16" ht="13.5" thickBot="1">
      <c r="C9" s="127" t="s">
        <v>46</v>
      </c>
      <c r="D9" s="225" t="s">
        <v>252</v>
      </c>
      <c r="E9" s="401" t="s">
        <v>458</v>
      </c>
      <c r="F9" s="128"/>
      <c r="G9" s="128"/>
      <c r="H9" s="128"/>
      <c r="I9" s="129"/>
      <c r="J9" s="130"/>
      <c r="O9" s="131"/>
      <c r="P9" s="4"/>
    </row>
    <row r="10" spans="1:16">
      <c r="C10" s="132" t="s">
        <v>47</v>
      </c>
      <c r="D10" s="133">
        <v>1690000</v>
      </c>
      <c r="E10" s="61" t="s">
        <v>459</v>
      </c>
      <c r="F10" s="131"/>
      <c r="G10" s="134"/>
      <c r="H10" s="134"/>
      <c r="I10" s="135">
        <f>+SWE.WS.F.BPU.ATRR.Projected!K17</f>
        <v>2019</v>
      </c>
      <c r="J10" s="130"/>
      <c r="K10" s="111" t="s">
        <v>48</v>
      </c>
      <c r="O10" s="4"/>
      <c r="P10" s="4"/>
    </row>
    <row r="11" spans="1:16">
      <c r="C11" s="136" t="s">
        <v>49</v>
      </c>
      <c r="D11" s="137">
        <v>2018</v>
      </c>
      <c r="E11" s="136" t="s">
        <v>50</v>
      </c>
      <c r="F11" s="134"/>
      <c r="G11" s="7"/>
      <c r="H11" s="7"/>
      <c r="I11" s="138">
        <f>IF(G5="",0,SWE.WS.F.BPU.ATRR.Projected!F$11)</f>
        <v>0</v>
      </c>
      <c r="J11" s="139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4"/>
      <c r="P11" s="4"/>
    </row>
    <row r="12" spans="1:16">
      <c r="C12" s="136" t="s">
        <v>51</v>
      </c>
      <c r="D12" s="133">
        <v>12</v>
      </c>
      <c r="E12" s="136" t="s">
        <v>52</v>
      </c>
      <c r="F12" s="134"/>
      <c r="G12" s="7"/>
      <c r="H12" s="7"/>
      <c r="I12" s="140">
        <f>SWE.WS.F.BPU.ATRR.Projected!$F$76</f>
        <v>9.9555672459071778E-2</v>
      </c>
      <c r="J12" s="141"/>
      <c r="K12" t="s">
        <v>53</v>
      </c>
      <c r="O12" s="4"/>
      <c r="P12" s="4"/>
    </row>
    <row r="13" spans="1:16">
      <c r="C13" s="136" t="s">
        <v>54</v>
      </c>
      <c r="D13" s="138">
        <f>+SWE.WS.F.BPU.ATRR.Projected!F$87</f>
        <v>43</v>
      </c>
      <c r="E13" s="136" t="s">
        <v>55</v>
      </c>
      <c r="F13" s="134"/>
      <c r="G13" s="7"/>
      <c r="H13" s="7"/>
      <c r="I13" s="140">
        <f>IF(G5="",I12,SWE.WS.F.BPU.ATRR.Projected!$F$75)</f>
        <v>9.9555672459071778E-2</v>
      </c>
      <c r="J13" s="141"/>
      <c r="K13" s="111" t="s">
        <v>56</v>
      </c>
      <c r="L13" s="58"/>
      <c r="M13" s="58"/>
      <c r="N13" s="58"/>
      <c r="O13" s="4"/>
      <c r="P13" s="4"/>
    </row>
    <row r="14" spans="1:16" ht="13.5" thickBot="1">
      <c r="C14" s="136" t="s">
        <v>57</v>
      </c>
      <c r="D14" s="137" t="s">
        <v>58</v>
      </c>
      <c r="E14" s="4" t="s">
        <v>59</v>
      </c>
      <c r="F14" s="134"/>
      <c r="G14" s="7"/>
      <c r="H14" s="7"/>
      <c r="I14" s="142">
        <f>IF(D10=0,0,D10/D13)</f>
        <v>39302.325581395351</v>
      </c>
      <c r="J14" s="111"/>
      <c r="K14" s="111"/>
      <c r="L14" s="111"/>
      <c r="M14" s="111"/>
      <c r="N14" s="111"/>
      <c r="O14" s="4"/>
      <c r="P14" s="4"/>
    </row>
    <row r="15" spans="1:16" ht="38.25">
      <c r="C15" s="143" t="s">
        <v>47</v>
      </c>
      <c r="D15" s="144" t="s">
        <v>60</v>
      </c>
      <c r="E15" s="144" t="s">
        <v>61</v>
      </c>
      <c r="F15" s="144" t="s">
        <v>62</v>
      </c>
      <c r="G15" s="434" t="s">
        <v>378</v>
      </c>
      <c r="H15" s="435" t="s">
        <v>379</v>
      </c>
      <c r="I15" s="143" t="s">
        <v>63</v>
      </c>
      <c r="J15" s="145"/>
      <c r="K15" s="271" t="s">
        <v>219</v>
      </c>
      <c r="L15" s="146" t="s">
        <v>64</v>
      </c>
      <c r="M15" s="271" t="s">
        <v>219</v>
      </c>
      <c r="N15" s="146" t="s">
        <v>64</v>
      </c>
      <c r="O15" s="146" t="s">
        <v>65</v>
      </c>
      <c r="P15" s="4"/>
    </row>
    <row r="16" spans="1:16" ht="13.5" thickBot="1">
      <c r="C16" s="147" t="s">
        <v>66</v>
      </c>
      <c r="D16" s="147" t="s">
        <v>67</v>
      </c>
      <c r="E16" s="147" t="s">
        <v>68</v>
      </c>
      <c r="F16" s="147" t="s">
        <v>67</v>
      </c>
      <c r="G16" s="408" t="s">
        <v>69</v>
      </c>
      <c r="H16" s="148" t="s">
        <v>70</v>
      </c>
      <c r="I16" s="149" t="s">
        <v>89</v>
      </c>
      <c r="J16" s="150" t="s">
        <v>71</v>
      </c>
      <c r="K16" s="151" t="s">
        <v>72</v>
      </c>
      <c r="L16" s="151" t="s">
        <v>72</v>
      </c>
      <c r="M16" s="151" t="s">
        <v>90</v>
      </c>
      <c r="N16" s="152" t="s">
        <v>90</v>
      </c>
      <c r="O16" s="151" t="s">
        <v>90</v>
      </c>
      <c r="P16" s="4"/>
    </row>
    <row r="17" spans="2:16">
      <c r="C17" s="153">
        <f>IF(D11= "","-",D11)</f>
        <v>2018</v>
      </c>
      <c r="D17" s="360">
        <v>0</v>
      </c>
      <c r="E17" s="360">
        <v>0</v>
      </c>
      <c r="F17" s="360">
        <v>1254000</v>
      </c>
      <c r="G17" s="360">
        <v>70151.399694256179</v>
      </c>
      <c r="H17" s="360">
        <v>70151.399694256179</v>
      </c>
      <c r="I17" s="156">
        <f t="shared" ref="I17:I72" si="0">H17-G17</f>
        <v>0</v>
      </c>
      <c r="J17" s="156"/>
      <c r="K17" s="256">
        <f>+G17</f>
        <v>70151.399694256179</v>
      </c>
      <c r="L17" s="157">
        <f t="shared" ref="L17:L72" si="1">IF(K17&lt;&gt;0,+G17-K17,0)</f>
        <v>0</v>
      </c>
      <c r="M17" s="256">
        <f>+H17</f>
        <v>70151.399694256179</v>
      </c>
      <c r="N17" s="157">
        <f t="shared" ref="N17:N72" si="2">IF(M17&lt;&gt;0,+H17-M17,0)</f>
        <v>0</v>
      </c>
      <c r="O17" s="158">
        <f t="shared" ref="O17:O72" si="3">+N17-L17</f>
        <v>0</v>
      </c>
      <c r="P17" s="4"/>
    </row>
    <row r="18" spans="2:16">
      <c r="B18" s="9" t="str">
        <f>IF(D18=F17,"","IU")</f>
        <v>IU</v>
      </c>
      <c r="C18" s="153">
        <f>IF(D11="","-",+C17+1)</f>
        <v>2019</v>
      </c>
      <c r="D18" s="159">
        <f>IF(F17+SUM(E$17:E17)=D$10,F17,D$10-SUM(E$17:E17))</f>
        <v>1690000</v>
      </c>
      <c r="E18" s="160">
        <f>IF(+I14&lt;F17,I14,D18)</f>
        <v>39302.325581395351</v>
      </c>
      <c r="F18" s="159">
        <f t="shared" ref="F18:F72" si="4">+D18-E18</f>
        <v>1650697.6744186047</v>
      </c>
      <c r="G18" s="161">
        <f t="shared" ref="G18:G72" si="5">+I$12*((D18+F18)/2)+E18</f>
        <v>205595.02731099608</v>
      </c>
      <c r="H18" s="142">
        <f t="shared" ref="H18:H72" si="6">+I$13*((D18+F18)/2)+E18</f>
        <v>205595.02731099608</v>
      </c>
      <c r="I18" s="156">
        <f t="shared" si="0"/>
        <v>0</v>
      </c>
      <c r="J18" s="156"/>
      <c r="K18" s="334"/>
      <c r="L18" s="158">
        <f t="shared" si="1"/>
        <v>0</v>
      </c>
      <c r="M18" s="334"/>
      <c r="N18" s="158">
        <f t="shared" si="2"/>
        <v>0</v>
      </c>
      <c r="O18" s="158">
        <f t="shared" si="3"/>
        <v>0</v>
      </c>
      <c r="P18" s="4"/>
    </row>
    <row r="19" spans="2:16">
      <c r="B19" s="9" t="str">
        <f>IF(D19=F18,"","IU")</f>
        <v/>
      </c>
      <c r="C19" s="153">
        <f>IF(D11="","-",+C18+1)</f>
        <v>2020</v>
      </c>
      <c r="D19" s="159">
        <f>IF(F18+SUM(E$17:E18)=D$10,F18,D$10-SUM(E$17:E18))</f>
        <v>1650697.6744186047</v>
      </c>
      <c r="E19" s="160">
        <f>IF(+I14&lt;F18,I14,D19)</f>
        <v>39302.325581395351</v>
      </c>
      <c r="F19" s="159">
        <f t="shared" si="4"/>
        <v>1611395.3488372094</v>
      </c>
      <c r="G19" s="161">
        <f t="shared" si="5"/>
        <v>201682.25785853487</v>
      </c>
      <c r="H19" s="142">
        <f t="shared" si="6"/>
        <v>201682.25785853487</v>
      </c>
      <c r="I19" s="156">
        <f t="shared" si="0"/>
        <v>0</v>
      </c>
      <c r="J19" s="156"/>
      <c r="K19" s="334"/>
      <c r="L19" s="158">
        <f t="shared" si="1"/>
        <v>0</v>
      </c>
      <c r="M19" s="334"/>
      <c r="N19" s="158">
        <f t="shared" si="2"/>
        <v>0</v>
      </c>
      <c r="O19" s="158">
        <f t="shared" si="3"/>
        <v>0</v>
      </c>
      <c r="P19" s="4"/>
    </row>
    <row r="20" spans="2:16">
      <c r="B20" s="9" t="str">
        <f t="shared" ref="B20:B72" si="7">IF(D20=F19,"","IU")</f>
        <v/>
      </c>
      <c r="C20" s="153">
        <f>IF(D11="","-",+C19+1)</f>
        <v>2021</v>
      </c>
      <c r="D20" s="159">
        <f>IF(F19+SUM(E$17:E19)=D$10,F19,D$10-SUM(E$17:E19))</f>
        <v>1611395.3488372094</v>
      </c>
      <c r="E20" s="160">
        <f>IF(+I14&lt;F19,I14,D20)</f>
        <v>39302.325581395351</v>
      </c>
      <c r="F20" s="159">
        <f t="shared" si="4"/>
        <v>1572093.0232558141</v>
      </c>
      <c r="G20" s="161">
        <f t="shared" si="5"/>
        <v>197769.48840607371</v>
      </c>
      <c r="H20" s="142">
        <f t="shared" si="6"/>
        <v>197769.48840607371</v>
      </c>
      <c r="I20" s="156">
        <f t="shared" si="0"/>
        <v>0</v>
      </c>
      <c r="J20" s="156"/>
      <c r="K20" s="334"/>
      <c r="L20" s="158">
        <f t="shared" si="1"/>
        <v>0</v>
      </c>
      <c r="M20" s="334"/>
      <c r="N20" s="158">
        <f t="shared" si="2"/>
        <v>0</v>
      </c>
      <c r="O20" s="158">
        <f t="shared" si="3"/>
        <v>0</v>
      </c>
      <c r="P20" s="4"/>
    </row>
    <row r="21" spans="2:16">
      <c r="B21" s="9" t="str">
        <f t="shared" si="7"/>
        <v/>
      </c>
      <c r="C21" s="153">
        <f>IF(D11="","-",+C20+1)</f>
        <v>2022</v>
      </c>
      <c r="D21" s="159">
        <f>IF(F20+SUM(E$17:E20)=D$10,F20,D$10-SUM(E$17:E20))</f>
        <v>1572093.0232558141</v>
      </c>
      <c r="E21" s="160">
        <f>IF(+I14&lt;F20,I14,D21)</f>
        <v>39302.325581395351</v>
      </c>
      <c r="F21" s="159">
        <f t="shared" si="4"/>
        <v>1532790.6976744188</v>
      </c>
      <c r="G21" s="161">
        <f t="shared" si="5"/>
        <v>193856.71895361249</v>
      </c>
      <c r="H21" s="142">
        <f t="shared" si="6"/>
        <v>193856.71895361249</v>
      </c>
      <c r="I21" s="156">
        <f t="shared" si="0"/>
        <v>0</v>
      </c>
      <c r="J21" s="156"/>
      <c r="K21" s="334"/>
      <c r="L21" s="158">
        <f t="shared" si="1"/>
        <v>0</v>
      </c>
      <c r="M21" s="334"/>
      <c r="N21" s="158">
        <f t="shared" si="2"/>
        <v>0</v>
      </c>
      <c r="O21" s="158">
        <f t="shared" si="3"/>
        <v>0</v>
      </c>
      <c r="P21" s="4"/>
    </row>
    <row r="22" spans="2:16">
      <c r="B22" s="9" t="str">
        <f t="shared" si="7"/>
        <v/>
      </c>
      <c r="C22" s="153">
        <f>IF(D11="","-",+C21+1)</f>
        <v>2023</v>
      </c>
      <c r="D22" s="159">
        <f>IF(F21+SUM(E$17:E21)=D$10,F21,D$10-SUM(E$17:E21))</f>
        <v>1532790.6976744188</v>
      </c>
      <c r="E22" s="160">
        <f>IF(+I14&lt;F21,I14,D22)</f>
        <v>39302.325581395351</v>
      </c>
      <c r="F22" s="159">
        <f t="shared" si="4"/>
        <v>1493488.3720930235</v>
      </c>
      <c r="G22" s="161">
        <f t="shared" si="5"/>
        <v>189943.94950115134</v>
      </c>
      <c r="H22" s="142">
        <f t="shared" si="6"/>
        <v>189943.94950115134</v>
      </c>
      <c r="I22" s="156">
        <f t="shared" si="0"/>
        <v>0</v>
      </c>
      <c r="J22" s="156"/>
      <c r="K22" s="334"/>
      <c r="L22" s="158">
        <f t="shared" si="1"/>
        <v>0</v>
      </c>
      <c r="M22" s="334"/>
      <c r="N22" s="158">
        <f t="shared" si="2"/>
        <v>0</v>
      </c>
      <c r="O22" s="158">
        <f t="shared" si="3"/>
        <v>0</v>
      </c>
      <c r="P22" s="4"/>
    </row>
    <row r="23" spans="2:16">
      <c r="B23" s="9" t="str">
        <f t="shared" si="7"/>
        <v/>
      </c>
      <c r="C23" s="153">
        <f>IF(D11="","-",+C22+1)</f>
        <v>2024</v>
      </c>
      <c r="D23" s="159">
        <f>IF(F22+SUM(E$17:E22)=D$10,F22,D$10-SUM(E$17:E22))</f>
        <v>1493488.3720930235</v>
      </c>
      <c r="E23" s="160">
        <f>IF(+I14&lt;F22,I14,D23)</f>
        <v>39302.325581395351</v>
      </c>
      <c r="F23" s="159">
        <f t="shared" si="4"/>
        <v>1454186.0465116282</v>
      </c>
      <c r="G23" s="161">
        <f t="shared" si="5"/>
        <v>186031.18004869012</v>
      </c>
      <c r="H23" s="142">
        <f t="shared" si="6"/>
        <v>186031.18004869012</v>
      </c>
      <c r="I23" s="156">
        <f t="shared" si="0"/>
        <v>0</v>
      </c>
      <c r="J23" s="156"/>
      <c r="K23" s="334"/>
      <c r="L23" s="158">
        <f t="shared" si="1"/>
        <v>0</v>
      </c>
      <c r="M23" s="334"/>
      <c r="N23" s="158">
        <f t="shared" si="2"/>
        <v>0</v>
      </c>
      <c r="O23" s="158">
        <f t="shared" si="3"/>
        <v>0</v>
      </c>
      <c r="P23" s="4"/>
    </row>
    <row r="24" spans="2:16">
      <c r="B24" s="9" t="str">
        <f t="shared" si="7"/>
        <v/>
      </c>
      <c r="C24" s="153">
        <f>IF(D11="","-",+C23+1)</f>
        <v>2025</v>
      </c>
      <c r="D24" s="159">
        <f>IF(F23+SUM(E$17:E23)=D$10,F23,D$10-SUM(E$17:E23))</f>
        <v>1454186.0465116282</v>
      </c>
      <c r="E24" s="160">
        <f>IF(+I14&lt;F23,I14,D24)</f>
        <v>39302.325581395351</v>
      </c>
      <c r="F24" s="159">
        <f t="shared" si="4"/>
        <v>1414883.7209302329</v>
      </c>
      <c r="G24" s="161">
        <f t="shared" si="5"/>
        <v>182118.41059622896</v>
      </c>
      <c r="H24" s="142">
        <f t="shared" si="6"/>
        <v>182118.41059622896</v>
      </c>
      <c r="I24" s="156">
        <f t="shared" si="0"/>
        <v>0</v>
      </c>
      <c r="J24" s="156"/>
      <c r="K24" s="334"/>
      <c r="L24" s="158">
        <f t="shared" si="1"/>
        <v>0</v>
      </c>
      <c r="M24" s="334"/>
      <c r="N24" s="158">
        <f t="shared" si="2"/>
        <v>0</v>
      </c>
      <c r="O24" s="158">
        <f t="shared" si="3"/>
        <v>0</v>
      </c>
      <c r="P24" s="4"/>
    </row>
    <row r="25" spans="2:16">
      <c r="B25" s="9" t="str">
        <f t="shared" si="7"/>
        <v/>
      </c>
      <c r="C25" s="153">
        <f>IF(D11="","-",+C24+1)</f>
        <v>2026</v>
      </c>
      <c r="D25" s="159">
        <f>IF(F24+SUM(E$17:E24)=D$10,F24,D$10-SUM(E$17:E24))</f>
        <v>1414883.7209302329</v>
      </c>
      <c r="E25" s="160">
        <f>IF(+I14&lt;F24,I14,D25)</f>
        <v>39302.325581395351</v>
      </c>
      <c r="F25" s="159">
        <f t="shared" si="4"/>
        <v>1375581.3953488376</v>
      </c>
      <c r="G25" s="161">
        <f t="shared" si="5"/>
        <v>178205.64114376775</v>
      </c>
      <c r="H25" s="142">
        <f t="shared" si="6"/>
        <v>178205.64114376775</v>
      </c>
      <c r="I25" s="156">
        <f t="shared" si="0"/>
        <v>0</v>
      </c>
      <c r="J25" s="156"/>
      <c r="K25" s="334"/>
      <c r="L25" s="158">
        <f t="shared" si="1"/>
        <v>0</v>
      </c>
      <c r="M25" s="334"/>
      <c r="N25" s="158">
        <f t="shared" si="2"/>
        <v>0</v>
      </c>
      <c r="O25" s="158">
        <f t="shared" si="3"/>
        <v>0</v>
      </c>
      <c r="P25" s="4"/>
    </row>
    <row r="26" spans="2:16">
      <c r="B26" s="9" t="str">
        <f t="shared" si="7"/>
        <v/>
      </c>
      <c r="C26" s="153">
        <f>IF(D11="","-",+C25+1)</f>
        <v>2027</v>
      </c>
      <c r="D26" s="159">
        <f>IF(F25+SUM(E$17:E25)=D$10,F25,D$10-SUM(E$17:E25))</f>
        <v>1375581.3953488376</v>
      </c>
      <c r="E26" s="160">
        <f>IF(+I14&lt;F25,I14,D26)</f>
        <v>39302.325581395351</v>
      </c>
      <c r="F26" s="159">
        <f t="shared" si="4"/>
        <v>1336279.0697674423</v>
      </c>
      <c r="G26" s="161">
        <f t="shared" si="5"/>
        <v>174292.87169130659</v>
      </c>
      <c r="H26" s="142">
        <f t="shared" si="6"/>
        <v>174292.87169130659</v>
      </c>
      <c r="I26" s="156">
        <f t="shared" si="0"/>
        <v>0</v>
      </c>
      <c r="J26" s="156"/>
      <c r="K26" s="334"/>
      <c r="L26" s="158">
        <f t="shared" si="1"/>
        <v>0</v>
      </c>
      <c r="M26" s="334"/>
      <c r="N26" s="158">
        <f t="shared" si="2"/>
        <v>0</v>
      </c>
      <c r="O26" s="158">
        <f t="shared" si="3"/>
        <v>0</v>
      </c>
      <c r="P26" s="4"/>
    </row>
    <row r="27" spans="2:16">
      <c r="B27" s="9" t="str">
        <f t="shared" si="7"/>
        <v/>
      </c>
      <c r="C27" s="153">
        <f>IF(D11="","-",+C26+1)</f>
        <v>2028</v>
      </c>
      <c r="D27" s="159">
        <f>IF(F26+SUM(E$17:E26)=D$10,F26,D$10-SUM(E$17:E26))</f>
        <v>1336279.0697674423</v>
      </c>
      <c r="E27" s="160">
        <f>IF(+I14&lt;F26,I14,D27)</f>
        <v>39302.325581395351</v>
      </c>
      <c r="F27" s="159">
        <f t="shared" si="4"/>
        <v>1296976.744186047</v>
      </c>
      <c r="G27" s="161">
        <f t="shared" si="5"/>
        <v>170380.10223884537</v>
      </c>
      <c r="H27" s="142">
        <f t="shared" si="6"/>
        <v>170380.10223884537</v>
      </c>
      <c r="I27" s="156">
        <f t="shared" si="0"/>
        <v>0</v>
      </c>
      <c r="J27" s="156"/>
      <c r="K27" s="334"/>
      <c r="L27" s="158">
        <f t="shared" si="1"/>
        <v>0</v>
      </c>
      <c r="M27" s="334"/>
      <c r="N27" s="158">
        <f t="shared" si="2"/>
        <v>0</v>
      </c>
      <c r="O27" s="158">
        <f t="shared" si="3"/>
        <v>0</v>
      </c>
      <c r="P27" s="4"/>
    </row>
    <row r="28" spans="2:16">
      <c r="B28" s="9" t="str">
        <f t="shared" si="7"/>
        <v/>
      </c>
      <c r="C28" s="153">
        <f>IF(D11="","-",+C27+1)</f>
        <v>2029</v>
      </c>
      <c r="D28" s="159">
        <f>IF(F27+SUM(E$17:E27)=D$10,F27,D$10-SUM(E$17:E27))</f>
        <v>1296976.744186047</v>
      </c>
      <c r="E28" s="160">
        <f>IF(+I14&lt;F27,I14,D28)</f>
        <v>39302.325581395351</v>
      </c>
      <c r="F28" s="159">
        <f t="shared" si="4"/>
        <v>1257674.4186046517</v>
      </c>
      <c r="G28" s="161">
        <f t="shared" si="5"/>
        <v>166467.33278638418</v>
      </c>
      <c r="H28" s="142">
        <f t="shared" si="6"/>
        <v>166467.33278638418</v>
      </c>
      <c r="I28" s="156">
        <f t="shared" si="0"/>
        <v>0</v>
      </c>
      <c r="J28" s="156"/>
      <c r="K28" s="334"/>
      <c r="L28" s="158">
        <f t="shared" si="1"/>
        <v>0</v>
      </c>
      <c r="M28" s="334"/>
      <c r="N28" s="158">
        <f t="shared" si="2"/>
        <v>0</v>
      </c>
      <c r="O28" s="158">
        <f t="shared" si="3"/>
        <v>0</v>
      </c>
      <c r="P28" s="4"/>
    </row>
    <row r="29" spans="2:16">
      <c r="B29" s="9" t="str">
        <f t="shared" si="7"/>
        <v/>
      </c>
      <c r="C29" s="153">
        <f>IF(D11="","-",+C28+1)</f>
        <v>2030</v>
      </c>
      <c r="D29" s="159">
        <f>IF(F28+SUM(E$17:E28)=D$10,F28,D$10-SUM(E$17:E28))</f>
        <v>1257674.4186046517</v>
      </c>
      <c r="E29" s="160">
        <f>IF(+I14&lt;F28,I14,D29)</f>
        <v>39302.325581395351</v>
      </c>
      <c r="F29" s="159">
        <f t="shared" si="4"/>
        <v>1218372.0930232564</v>
      </c>
      <c r="G29" s="161">
        <f t="shared" si="5"/>
        <v>162554.56333392297</v>
      </c>
      <c r="H29" s="142">
        <f t="shared" si="6"/>
        <v>162554.56333392297</v>
      </c>
      <c r="I29" s="156">
        <f t="shared" si="0"/>
        <v>0</v>
      </c>
      <c r="J29" s="156"/>
      <c r="K29" s="334"/>
      <c r="L29" s="158">
        <f t="shared" si="1"/>
        <v>0</v>
      </c>
      <c r="M29" s="334"/>
      <c r="N29" s="158">
        <f t="shared" si="2"/>
        <v>0</v>
      </c>
      <c r="O29" s="158">
        <f t="shared" si="3"/>
        <v>0</v>
      </c>
      <c r="P29" s="4"/>
    </row>
    <row r="30" spans="2:16">
      <c r="B30" s="9" t="str">
        <f t="shared" si="7"/>
        <v/>
      </c>
      <c r="C30" s="153">
        <f>IF(D11="","-",+C29+1)</f>
        <v>2031</v>
      </c>
      <c r="D30" s="159">
        <f>IF(F29+SUM(E$17:E29)=D$10,F29,D$10-SUM(E$17:E29))</f>
        <v>1218372.0930232564</v>
      </c>
      <c r="E30" s="160">
        <f>IF(+I14&lt;F29,I14,D30)</f>
        <v>39302.325581395351</v>
      </c>
      <c r="F30" s="159">
        <f t="shared" si="4"/>
        <v>1179069.7674418611</v>
      </c>
      <c r="G30" s="161">
        <f t="shared" si="5"/>
        <v>158641.79388146181</v>
      </c>
      <c r="H30" s="142">
        <f t="shared" si="6"/>
        <v>158641.79388146181</v>
      </c>
      <c r="I30" s="156">
        <f t="shared" si="0"/>
        <v>0</v>
      </c>
      <c r="J30" s="156"/>
      <c r="K30" s="334"/>
      <c r="L30" s="158">
        <f t="shared" si="1"/>
        <v>0</v>
      </c>
      <c r="M30" s="334"/>
      <c r="N30" s="158">
        <f t="shared" si="2"/>
        <v>0</v>
      </c>
      <c r="O30" s="158">
        <f t="shared" si="3"/>
        <v>0</v>
      </c>
      <c r="P30" s="4"/>
    </row>
    <row r="31" spans="2:16">
      <c r="B31" s="9" t="str">
        <f t="shared" si="7"/>
        <v/>
      </c>
      <c r="C31" s="153">
        <f>IF(D11="","-",+C30+1)</f>
        <v>2032</v>
      </c>
      <c r="D31" s="159">
        <f>IF(F30+SUM(E$17:E30)=D$10,F30,D$10-SUM(E$17:E30))</f>
        <v>1179069.7674418611</v>
      </c>
      <c r="E31" s="160">
        <f>IF(+I14&lt;F30,I14,D31)</f>
        <v>39302.325581395351</v>
      </c>
      <c r="F31" s="159">
        <f t="shared" si="4"/>
        <v>1139767.4418604658</v>
      </c>
      <c r="G31" s="161">
        <f t="shared" si="5"/>
        <v>154729.02442900059</v>
      </c>
      <c r="H31" s="142">
        <f t="shared" si="6"/>
        <v>154729.02442900059</v>
      </c>
      <c r="I31" s="156">
        <f t="shared" si="0"/>
        <v>0</v>
      </c>
      <c r="J31" s="156"/>
      <c r="K31" s="334"/>
      <c r="L31" s="158">
        <f t="shared" si="1"/>
        <v>0</v>
      </c>
      <c r="M31" s="334"/>
      <c r="N31" s="158">
        <f t="shared" si="2"/>
        <v>0</v>
      </c>
      <c r="O31" s="158">
        <f t="shared" si="3"/>
        <v>0</v>
      </c>
      <c r="P31" s="4"/>
    </row>
    <row r="32" spans="2:16">
      <c r="B32" s="9" t="str">
        <f t="shared" si="7"/>
        <v/>
      </c>
      <c r="C32" s="153">
        <f>IF(D11="","-",+C31+1)</f>
        <v>2033</v>
      </c>
      <c r="D32" s="159">
        <f>IF(F31+SUM(E$17:E31)=D$10,F31,D$10-SUM(E$17:E31))</f>
        <v>1139767.4418604658</v>
      </c>
      <c r="E32" s="160">
        <f>IF(+I14&lt;F31,I14,D32)</f>
        <v>39302.325581395351</v>
      </c>
      <c r="F32" s="159">
        <f t="shared" si="4"/>
        <v>1100465.1162790705</v>
      </c>
      <c r="G32" s="161">
        <f t="shared" si="5"/>
        <v>150816.25497653944</v>
      </c>
      <c r="H32" s="142">
        <f t="shared" si="6"/>
        <v>150816.25497653944</v>
      </c>
      <c r="I32" s="156">
        <f t="shared" si="0"/>
        <v>0</v>
      </c>
      <c r="J32" s="156"/>
      <c r="K32" s="334"/>
      <c r="L32" s="158">
        <f t="shared" si="1"/>
        <v>0</v>
      </c>
      <c r="M32" s="334"/>
      <c r="N32" s="158">
        <f t="shared" si="2"/>
        <v>0</v>
      </c>
      <c r="O32" s="158">
        <f t="shared" si="3"/>
        <v>0</v>
      </c>
      <c r="P32" s="4"/>
    </row>
    <row r="33" spans="2:16">
      <c r="B33" s="9" t="str">
        <f t="shared" si="7"/>
        <v/>
      </c>
      <c r="C33" s="153">
        <f>IF(D11="","-",+C32+1)</f>
        <v>2034</v>
      </c>
      <c r="D33" s="159">
        <f>IF(F32+SUM(E$17:E32)=D$10,F32,D$10-SUM(E$17:E32))</f>
        <v>1100465.1162790705</v>
      </c>
      <c r="E33" s="160">
        <f>IF(+I14&lt;F32,I14,D33)</f>
        <v>39302.325581395351</v>
      </c>
      <c r="F33" s="159">
        <f t="shared" si="4"/>
        <v>1061162.7906976752</v>
      </c>
      <c r="G33" s="161">
        <f t="shared" si="5"/>
        <v>146903.48552407822</v>
      </c>
      <c r="H33" s="142">
        <f t="shared" si="6"/>
        <v>146903.48552407822</v>
      </c>
      <c r="I33" s="156">
        <f t="shared" si="0"/>
        <v>0</v>
      </c>
      <c r="J33" s="156"/>
      <c r="K33" s="334"/>
      <c r="L33" s="158">
        <f t="shared" si="1"/>
        <v>0</v>
      </c>
      <c r="M33" s="334"/>
      <c r="N33" s="158">
        <f t="shared" si="2"/>
        <v>0</v>
      </c>
      <c r="O33" s="158">
        <f t="shared" si="3"/>
        <v>0</v>
      </c>
      <c r="P33" s="4"/>
    </row>
    <row r="34" spans="2:16">
      <c r="B34" s="9" t="str">
        <f t="shared" si="7"/>
        <v/>
      </c>
      <c r="C34" s="153">
        <f>IF(D11="","-",+C33+1)</f>
        <v>2035</v>
      </c>
      <c r="D34" s="159">
        <f>IF(F33+SUM(E$17:E33)=D$10,F33,D$10-SUM(E$17:E33))</f>
        <v>1061162.7906976752</v>
      </c>
      <c r="E34" s="160">
        <f>IF(+I14&lt;F33,I14,D34)</f>
        <v>39302.325581395351</v>
      </c>
      <c r="F34" s="159">
        <f t="shared" si="4"/>
        <v>1021860.4651162799</v>
      </c>
      <c r="G34" s="161">
        <f t="shared" si="5"/>
        <v>142990.71607161706</v>
      </c>
      <c r="H34" s="142">
        <f t="shared" si="6"/>
        <v>142990.71607161706</v>
      </c>
      <c r="I34" s="156">
        <f t="shared" si="0"/>
        <v>0</v>
      </c>
      <c r="J34" s="156"/>
      <c r="K34" s="334"/>
      <c r="L34" s="158">
        <f t="shared" si="1"/>
        <v>0</v>
      </c>
      <c r="M34" s="334"/>
      <c r="N34" s="158">
        <f t="shared" si="2"/>
        <v>0</v>
      </c>
      <c r="O34" s="158">
        <f t="shared" si="3"/>
        <v>0</v>
      </c>
      <c r="P34" s="4"/>
    </row>
    <row r="35" spans="2:16">
      <c r="B35" s="9" t="str">
        <f t="shared" si="7"/>
        <v/>
      </c>
      <c r="C35" s="153">
        <f>IF(D11="","-",+C34+1)</f>
        <v>2036</v>
      </c>
      <c r="D35" s="159">
        <f>IF(F34+SUM(E$17:E34)=D$10,F34,D$10-SUM(E$17:E34))</f>
        <v>1021860.4651162799</v>
      </c>
      <c r="E35" s="160">
        <f>IF(+I14&lt;F34,I14,D35)</f>
        <v>39302.325581395351</v>
      </c>
      <c r="F35" s="159">
        <f t="shared" si="4"/>
        <v>982558.1395348846</v>
      </c>
      <c r="G35" s="161">
        <f t="shared" si="5"/>
        <v>139077.94661915587</v>
      </c>
      <c r="H35" s="142">
        <f t="shared" si="6"/>
        <v>139077.94661915587</v>
      </c>
      <c r="I35" s="156">
        <f t="shared" si="0"/>
        <v>0</v>
      </c>
      <c r="J35" s="156"/>
      <c r="K35" s="334"/>
      <c r="L35" s="158">
        <f t="shared" si="1"/>
        <v>0</v>
      </c>
      <c r="M35" s="334"/>
      <c r="N35" s="158">
        <f t="shared" si="2"/>
        <v>0</v>
      </c>
      <c r="O35" s="158">
        <f t="shared" si="3"/>
        <v>0</v>
      </c>
      <c r="P35" s="4"/>
    </row>
    <row r="36" spans="2:16">
      <c r="B36" s="9" t="str">
        <f t="shared" si="7"/>
        <v/>
      </c>
      <c r="C36" s="153">
        <f>IF(D11="","-",+C35+1)</f>
        <v>2037</v>
      </c>
      <c r="D36" s="159">
        <f>IF(F35+SUM(E$17:E35)=D$10,F35,D$10-SUM(E$17:E35))</f>
        <v>982558.1395348846</v>
      </c>
      <c r="E36" s="160">
        <f>IF(+I14&lt;F35,I14,D36)</f>
        <v>39302.325581395351</v>
      </c>
      <c r="F36" s="159">
        <f t="shared" si="4"/>
        <v>943255.8139534893</v>
      </c>
      <c r="G36" s="161">
        <f t="shared" si="5"/>
        <v>135165.17716669466</v>
      </c>
      <c r="H36" s="142">
        <f t="shared" si="6"/>
        <v>135165.17716669466</v>
      </c>
      <c r="I36" s="156">
        <f t="shared" si="0"/>
        <v>0</v>
      </c>
      <c r="J36" s="156"/>
      <c r="K36" s="334"/>
      <c r="L36" s="158">
        <f t="shared" si="1"/>
        <v>0</v>
      </c>
      <c r="M36" s="334"/>
      <c r="N36" s="158">
        <f t="shared" si="2"/>
        <v>0</v>
      </c>
      <c r="O36" s="158">
        <f t="shared" si="3"/>
        <v>0</v>
      </c>
      <c r="P36" s="4"/>
    </row>
    <row r="37" spans="2:16">
      <c r="B37" s="9" t="str">
        <f t="shared" si="7"/>
        <v/>
      </c>
      <c r="C37" s="153">
        <f>IF(D11="","-",+C36+1)</f>
        <v>2038</v>
      </c>
      <c r="D37" s="159">
        <f>IF(F36+SUM(E$17:E36)=D$10,F36,D$10-SUM(E$17:E36))</f>
        <v>943255.8139534893</v>
      </c>
      <c r="E37" s="160">
        <f>IF(+I14&lt;F36,I14,D37)</f>
        <v>39302.325581395351</v>
      </c>
      <c r="F37" s="159">
        <f t="shared" si="4"/>
        <v>903953.488372094</v>
      </c>
      <c r="G37" s="161">
        <f t="shared" si="5"/>
        <v>131252.40771423347</v>
      </c>
      <c r="H37" s="142">
        <f t="shared" si="6"/>
        <v>131252.40771423347</v>
      </c>
      <c r="I37" s="156">
        <f t="shared" si="0"/>
        <v>0</v>
      </c>
      <c r="J37" s="156"/>
      <c r="K37" s="334"/>
      <c r="L37" s="158">
        <f t="shared" si="1"/>
        <v>0</v>
      </c>
      <c r="M37" s="334"/>
      <c r="N37" s="158">
        <f t="shared" si="2"/>
        <v>0</v>
      </c>
      <c r="O37" s="158">
        <f t="shared" si="3"/>
        <v>0</v>
      </c>
      <c r="P37" s="4"/>
    </row>
    <row r="38" spans="2:16">
      <c r="B38" s="9" t="str">
        <f t="shared" si="7"/>
        <v/>
      </c>
      <c r="C38" s="153">
        <f>IF(D11="","-",+C37+1)</f>
        <v>2039</v>
      </c>
      <c r="D38" s="159">
        <f>IF(F37+SUM(E$17:E37)=D$10,F37,D$10-SUM(E$17:E37))</f>
        <v>903953.488372094</v>
      </c>
      <c r="E38" s="160">
        <f>IF(+I14&lt;F37,I14,D38)</f>
        <v>39302.325581395351</v>
      </c>
      <c r="F38" s="159">
        <f t="shared" si="4"/>
        <v>864651.1627906987</v>
      </c>
      <c r="G38" s="161">
        <f t="shared" si="5"/>
        <v>127339.63826177228</v>
      </c>
      <c r="H38" s="142">
        <f t="shared" si="6"/>
        <v>127339.63826177228</v>
      </c>
      <c r="I38" s="156">
        <f t="shared" si="0"/>
        <v>0</v>
      </c>
      <c r="J38" s="156"/>
      <c r="K38" s="334"/>
      <c r="L38" s="158">
        <f t="shared" si="1"/>
        <v>0</v>
      </c>
      <c r="M38" s="334"/>
      <c r="N38" s="158">
        <f t="shared" si="2"/>
        <v>0</v>
      </c>
      <c r="O38" s="158">
        <f t="shared" si="3"/>
        <v>0</v>
      </c>
      <c r="P38" s="4"/>
    </row>
    <row r="39" spans="2:16">
      <c r="B39" s="9" t="str">
        <f t="shared" si="7"/>
        <v/>
      </c>
      <c r="C39" s="153">
        <f>IF(D11="","-",+C38+1)</f>
        <v>2040</v>
      </c>
      <c r="D39" s="159">
        <f>IF(F38+SUM(E$17:E38)=D$10,F38,D$10-SUM(E$17:E38))</f>
        <v>864651.1627906987</v>
      </c>
      <c r="E39" s="160">
        <f>IF(+I14&lt;F38,I14,D39)</f>
        <v>39302.325581395351</v>
      </c>
      <c r="F39" s="159">
        <f t="shared" si="4"/>
        <v>825348.8372093034</v>
      </c>
      <c r="G39" s="161">
        <f t="shared" si="5"/>
        <v>123426.8688093111</v>
      </c>
      <c r="H39" s="142">
        <f t="shared" si="6"/>
        <v>123426.8688093111</v>
      </c>
      <c r="I39" s="156">
        <f t="shared" si="0"/>
        <v>0</v>
      </c>
      <c r="J39" s="156"/>
      <c r="K39" s="334"/>
      <c r="L39" s="158">
        <f t="shared" si="1"/>
        <v>0</v>
      </c>
      <c r="M39" s="334"/>
      <c r="N39" s="158">
        <f t="shared" si="2"/>
        <v>0</v>
      </c>
      <c r="O39" s="158">
        <f t="shared" si="3"/>
        <v>0</v>
      </c>
      <c r="P39" s="4"/>
    </row>
    <row r="40" spans="2:16">
      <c r="B40" s="9" t="str">
        <f t="shared" si="7"/>
        <v/>
      </c>
      <c r="C40" s="153">
        <f>IF(D11="","-",+C39+1)</f>
        <v>2041</v>
      </c>
      <c r="D40" s="159">
        <f>IF(F39+SUM(E$17:E39)=D$10,F39,D$10-SUM(E$17:E39))</f>
        <v>825348.8372093034</v>
      </c>
      <c r="E40" s="160">
        <f>IF(+I14&lt;F39,I14,D40)</f>
        <v>39302.325581395351</v>
      </c>
      <c r="F40" s="159">
        <f t="shared" si="4"/>
        <v>786046.5116279081</v>
      </c>
      <c r="G40" s="161">
        <f t="shared" si="5"/>
        <v>119514.09935684991</v>
      </c>
      <c r="H40" s="142">
        <f t="shared" si="6"/>
        <v>119514.09935684991</v>
      </c>
      <c r="I40" s="156">
        <f t="shared" si="0"/>
        <v>0</v>
      </c>
      <c r="J40" s="156"/>
      <c r="K40" s="334"/>
      <c r="L40" s="158">
        <f t="shared" si="1"/>
        <v>0</v>
      </c>
      <c r="M40" s="334"/>
      <c r="N40" s="158">
        <f t="shared" si="2"/>
        <v>0</v>
      </c>
      <c r="O40" s="158">
        <f t="shared" si="3"/>
        <v>0</v>
      </c>
      <c r="P40" s="4"/>
    </row>
    <row r="41" spans="2:16">
      <c r="B41" s="9" t="str">
        <f t="shared" si="7"/>
        <v/>
      </c>
      <c r="C41" s="153">
        <f>IF(D11="","-",+C40+1)</f>
        <v>2042</v>
      </c>
      <c r="D41" s="159">
        <f>IF(F40+SUM(E$17:E40)=D$10,F40,D$10-SUM(E$17:E40))</f>
        <v>786046.5116279081</v>
      </c>
      <c r="E41" s="160">
        <f>IF(+I14&lt;F40,I14,D41)</f>
        <v>39302.325581395351</v>
      </c>
      <c r="F41" s="159">
        <f t="shared" si="4"/>
        <v>746744.1860465128</v>
      </c>
      <c r="G41" s="161">
        <f t="shared" si="5"/>
        <v>115601.32990438872</v>
      </c>
      <c r="H41" s="142">
        <f t="shared" si="6"/>
        <v>115601.32990438872</v>
      </c>
      <c r="I41" s="156">
        <f t="shared" si="0"/>
        <v>0</v>
      </c>
      <c r="J41" s="156"/>
      <c r="K41" s="334"/>
      <c r="L41" s="158">
        <f t="shared" si="1"/>
        <v>0</v>
      </c>
      <c r="M41" s="334"/>
      <c r="N41" s="158">
        <f t="shared" si="2"/>
        <v>0</v>
      </c>
      <c r="O41" s="158">
        <f t="shared" si="3"/>
        <v>0</v>
      </c>
      <c r="P41" s="4"/>
    </row>
    <row r="42" spans="2:16">
      <c r="B42" s="9" t="str">
        <f t="shared" si="7"/>
        <v/>
      </c>
      <c r="C42" s="153">
        <f>IF(D11="","-",+C41+1)</f>
        <v>2043</v>
      </c>
      <c r="D42" s="159">
        <f>IF(F41+SUM(E$17:E41)=D$10,F41,D$10-SUM(E$17:E41))</f>
        <v>746744.1860465128</v>
      </c>
      <c r="E42" s="160">
        <f>IF(+I14&lt;F41,I14,D42)</f>
        <v>39302.325581395351</v>
      </c>
      <c r="F42" s="159">
        <f t="shared" si="4"/>
        <v>707441.8604651175</v>
      </c>
      <c r="G42" s="161">
        <f t="shared" si="5"/>
        <v>111688.56045192754</v>
      </c>
      <c r="H42" s="142">
        <f t="shared" si="6"/>
        <v>111688.56045192754</v>
      </c>
      <c r="I42" s="156">
        <f t="shared" si="0"/>
        <v>0</v>
      </c>
      <c r="J42" s="156"/>
      <c r="K42" s="334"/>
      <c r="L42" s="158">
        <f t="shared" si="1"/>
        <v>0</v>
      </c>
      <c r="M42" s="334"/>
      <c r="N42" s="158">
        <f t="shared" si="2"/>
        <v>0</v>
      </c>
      <c r="O42" s="158">
        <f t="shared" si="3"/>
        <v>0</v>
      </c>
      <c r="P42" s="4"/>
    </row>
    <row r="43" spans="2:16">
      <c r="B43" s="9" t="str">
        <f t="shared" si="7"/>
        <v/>
      </c>
      <c r="C43" s="153">
        <f>IF(D11="","-",+C42+1)</f>
        <v>2044</v>
      </c>
      <c r="D43" s="159">
        <f>IF(F42+SUM(E$17:E42)=D$10,F42,D$10-SUM(E$17:E42))</f>
        <v>707441.8604651175</v>
      </c>
      <c r="E43" s="160">
        <f>IF(+I14&lt;F42,I14,D43)</f>
        <v>39302.325581395351</v>
      </c>
      <c r="F43" s="159">
        <f t="shared" si="4"/>
        <v>668139.5348837222</v>
      </c>
      <c r="G43" s="161">
        <f t="shared" si="5"/>
        <v>107775.79099946635</v>
      </c>
      <c r="H43" s="142">
        <f t="shared" si="6"/>
        <v>107775.79099946635</v>
      </c>
      <c r="I43" s="156">
        <f t="shared" si="0"/>
        <v>0</v>
      </c>
      <c r="J43" s="156"/>
      <c r="K43" s="334"/>
      <c r="L43" s="158">
        <f t="shared" si="1"/>
        <v>0</v>
      </c>
      <c r="M43" s="334"/>
      <c r="N43" s="158">
        <f t="shared" si="2"/>
        <v>0</v>
      </c>
      <c r="O43" s="158">
        <f t="shared" si="3"/>
        <v>0</v>
      </c>
      <c r="P43" s="4"/>
    </row>
    <row r="44" spans="2:16">
      <c r="B44" s="9" t="str">
        <f t="shared" si="7"/>
        <v/>
      </c>
      <c r="C44" s="153">
        <f>IF(D11="","-",+C43+1)</f>
        <v>2045</v>
      </c>
      <c r="D44" s="159">
        <f>IF(F43+SUM(E$17:E43)=D$10,F43,D$10-SUM(E$17:E43))</f>
        <v>668139.5348837222</v>
      </c>
      <c r="E44" s="160">
        <f>IF(+I14&lt;F43,I14,D44)</f>
        <v>39302.325581395351</v>
      </c>
      <c r="F44" s="159">
        <f t="shared" si="4"/>
        <v>628837.2093023269</v>
      </c>
      <c r="G44" s="161">
        <f t="shared" si="5"/>
        <v>103863.02154700516</v>
      </c>
      <c r="H44" s="142">
        <f t="shared" si="6"/>
        <v>103863.02154700516</v>
      </c>
      <c r="I44" s="156">
        <f t="shared" si="0"/>
        <v>0</v>
      </c>
      <c r="J44" s="156"/>
      <c r="K44" s="334"/>
      <c r="L44" s="158">
        <f t="shared" si="1"/>
        <v>0</v>
      </c>
      <c r="M44" s="334"/>
      <c r="N44" s="158">
        <f t="shared" si="2"/>
        <v>0</v>
      </c>
      <c r="O44" s="158">
        <f t="shared" si="3"/>
        <v>0</v>
      </c>
      <c r="P44" s="4"/>
    </row>
    <row r="45" spans="2:16">
      <c r="B45" s="9" t="str">
        <f t="shared" si="7"/>
        <v/>
      </c>
      <c r="C45" s="153">
        <f>IF(D11="","-",+C44+1)</f>
        <v>2046</v>
      </c>
      <c r="D45" s="159">
        <f>IF(F44+SUM(E$17:E44)=D$10,F44,D$10-SUM(E$17:E44))</f>
        <v>628837.2093023269</v>
      </c>
      <c r="E45" s="160">
        <f>IF(+I14&lt;F44,I14,D45)</f>
        <v>39302.325581395351</v>
      </c>
      <c r="F45" s="159">
        <f t="shared" si="4"/>
        <v>589534.8837209316</v>
      </c>
      <c r="G45" s="161">
        <f t="shared" si="5"/>
        <v>99950.252094543976</v>
      </c>
      <c r="H45" s="142">
        <f t="shared" si="6"/>
        <v>99950.252094543976</v>
      </c>
      <c r="I45" s="156">
        <f t="shared" si="0"/>
        <v>0</v>
      </c>
      <c r="J45" s="156"/>
      <c r="K45" s="334"/>
      <c r="L45" s="158">
        <f t="shared" si="1"/>
        <v>0</v>
      </c>
      <c r="M45" s="334"/>
      <c r="N45" s="158">
        <f t="shared" si="2"/>
        <v>0</v>
      </c>
      <c r="O45" s="158">
        <f t="shared" si="3"/>
        <v>0</v>
      </c>
      <c r="P45" s="4"/>
    </row>
    <row r="46" spans="2:16">
      <c r="B46" s="9" t="str">
        <f t="shared" si="7"/>
        <v/>
      </c>
      <c r="C46" s="153">
        <f>IF(D11="","-",+C45+1)</f>
        <v>2047</v>
      </c>
      <c r="D46" s="159">
        <f>IF(F45+SUM(E$17:E45)=D$10,F45,D$10-SUM(E$17:E45))</f>
        <v>589534.8837209316</v>
      </c>
      <c r="E46" s="160">
        <f>IF(+I14&lt;F45,I14,D46)</f>
        <v>39302.325581395351</v>
      </c>
      <c r="F46" s="159">
        <f t="shared" si="4"/>
        <v>550232.5581395363</v>
      </c>
      <c r="G46" s="161">
        <f t="shared" si="5"/>
        <v>96037.482642082789</v>
      </c>
      <c r="H46" s="142">
        <f t="shared" si="6"/>
        <v>96037.482642082789</v>
      </c>
      <c r="I46" s="156">
        <f t="shared" si="0"/>
        <v>0</v>
      </c>
      <c r="J46" s="156"/>
      <c r="K46" s="334"/>
      <c r="L46" s="158">
        <f t="shared" si="1"/>
        <v>0</v>
      </c>
      <c r="M46" s="334"/>
      <c r="N46" s="158">
        <f t="shared" si="2"/>
        <v>0</v>
      </c>
      <c r="O46" s="158">
        <f t="shared" si="3"/>
        <v>0</v>
      </c>
      <c r="P46" s="4"/>
    </row>
    <row r="47" spans="2:16">
      <c r="B47" s="9" t="str">
        <f t="shared" si="7"/>
        <v/>
      </c>
      <c r="C47" s="153">
        <f>IF(D11="","-",+C46+1)</f>
        <v>2048</v>
      </c>
      <c r="D47" s="159">
        <f>IF(F46+SUM(E$17:E46)=D$10,F46,D$10-SUM(E$17:E46))</f>
        <v>550232.5581395363</v>
      </c>
      <c r="E47" s="160">
        <f>IF(+I14&lt;F46,I14,D47)</f>
        <v>39302.325581395351</v>
      </c>
      <c r="F47" s="159">
        <f t="shared" si="4"/>
        <v>510930.23255814094</v>
      </c>
      <c r="G47" s="161">
        <f t="shared" si="5"/>
        <v>92124.713189621601</v>
      </c>
      <c r="H47" s="142">
        <f t="shared" si="6"/>
        <v>92124.713189621601</v>
      </c>
      <c r="I47" s="156">
        <f t="shared" si="0"/>
        <v>0</v>
      </c>
      <c r="J47" s="156"/>
      <c r="K47" s="334"/>
      <c r="L47" s="158">
        <f t="shared" si="1"/>
        <v>0</v>
      </c>
      <c r="M47" s="334"/>
      <c r="N47" s="158">
        <f t="shared" si="2"/>
        <v>0</v>
      </c>
      <c r="O47" s="158">
        <f t="shared" si="3"/>
        <v>0</v>
      </c>
      <c r="P47" s="4"/>
    </row>
    <row r="48" spans="2:16">
      <c r="B48" s="9" t="str">
        <f t="shared" si="7"/>
        <v/>
      </c>
      <c r="C48" s="153">
        <f>IF(D11="","-",+C47+1)</f>
        <v>2049</v>
      </c>
      <c r="D48" s="159">
        <f>IF(F47+SUM(E$17:E47)=D$10,F47,D$10-SUM(E$17:E47))</f>
        <v>510930.23255814094</v>
      </c>
      <c r="E48" s="160">
        <f>IF(+I14&lt;F47,I14,D48)</f>
        <v>39302.325581395351</v>
      </c>
      <c r="F48" s="159">
        <f t="shared" si="4"/>
        <v>471627.90697674558</v>
      </c>
      <c r="G48" s="161">
        <f t="shared" si="5"/>
        <v>88211.9437371604</v>
      </c>
      <c r="H48" s="142">
        <f t="shared" si="6"/>
        <v>88211.9437371604</v>
      </c>
      <c r="I48" s="156">
        <f t="shared" si="0"/>
        <v>0</v>
      </c>
      <c r="J48" s="156"/>
      <c r="K48" s="334"/>
      <c r="L48" s="158">
        <f t="shared" si="1"/>
        <v>0</v>
      </c>
      <c r="M48" s="334"/>
      <c r="N48" s="158">
        <f t="shared" si="2"/>
        <v>0</v>
      </c>
      <c r="O48" s="158">
        <f t="shared" si="3"/>
        <v>0</v>
      </c>
      <c r="P48" s="4"/>
    </row>
    <row r="49" spans="2:16">
      <c r="B49" s="9" t="str">
        <f t="shared" si="7"/>
        <v/>
      </c>
      <c r="C49" s="153">
        <f>IF(D11="","-",+C48+1)</f>
        <v>2050</v>
      </c>
      <c r="D49" s="159">
        <f>IF(F48+SUM(E$17:E48)=D$10,F48,D$10-SUM(E$17:E48))</f>
        <v>471627.90697674558</v>
      </c>
      <c r="E49" s="160">
        <f>IF(+I14&lt;F48,I14,D49)</f>
        <v>39302.325581395351</v>
      </c>
      <c r="F49" s="159">
        <f t="shared" si="4"/>
        <v>432325.58139535022</v>
      </c>
      <c r="G49" s="161">
        <f t="shared" si="5"/>
        <v>84299.174284699213</v>
      </c>
      <c r="H49" s="142">
        <f t="shared" si="6"/>
        <v>84299.174284699213</v>
      </c>
      <c r="I49" s="156">
        <f t="shared" si="0"/>
        <v>0</v>
      </c>
      <c r="J49" s="156"/>
      <c r="K49" s="334"/>
      <c r="L49" s="158">
        <f t="shared" si="1"/>
        <v>0</v>
      </c>
      <c r="M49" s="334"/>
      <c r="N49" s="158">
        <f t="shared" si="2"/>
        <v>0</v>
      </c>
      <c r="O49" s="158">
        <f t="shared" si="3"/>
        <v>0</v>
      </c>
      <c r="P49" s="4"/>
    </row>
    <row r="50" spans="2:16">
      <c r="B50" s="9" t="str">
        <f t="shared" si="7"/>
        <v/>
      </c>
      <c r="C50" s="153">
        <f>IF(D11="","-",+C49+1)</f>
        <v>2051</v>
      </c>
      <c r="D50" s="159">
        <f>IF(F49+SUM(E$17:E49)=D$10,F49,D$10-SUM(E$17:E49))</f>
        <v>432325.58139535022</v>
      </c>
      <c r="E50" s="160">
        <f>IF(+I14&lt;F49,I14,D50)</f>
        <v>39302.325581395351</v>
      </c>
      <c r="F50" s="159">
        <f t="shared" si="4"/>
        <v>393023.25581395486</v>
      </c>
      <c r="G50" s="161">
        <f t="shared" si="5"/>
        <v>80386.404832238011</v>
      </c>
      <c r="H50" s="142">
        <f t="shared" si="6"/>
        <v>80386.404832238011</v>
      </c>
      <c r="I50" s="156">
        <f t="shared" si="0"/>
        <v>0</v>
      </c>
      <c r="J50" s="156"/>
      <c r="K50" s="334"/>
      <c r="L50" s="158">
        <f t="shared" si="1"/>
        <v>0</v>
      </c>
      <c r="M50" s="334"/>
      <c r="N50" s="158">
        <f t="shared" si="2"/>
        <v>0</v>
      </c>
      <c r="O50" s="158">
        <f t="shared" si="3"/>
        <v>0</v>
      </c>
      <c r="P50" s="4"/>
    </row>
    <row r="51" spans="2:16">
      <c r="B51" s="9" t="str">
        <f t="shared" si="7"/>
        <v/>
      </c>
      <c r="C51" s="153">
        <f>IF(D11="","-",+C50+1)</f>
        <v>2052</v>
      </c>
      <c r="D51" s="159">
        <f>IF(F50+SUM(E$17:E50)=D$10,F50,D$10-SUM(E$17:E50))</f>
        <v>393023.25581395486</v>
      </c>
      <c r="E51" s="160">
        <f>IF(+I14&lt;F50,I14,D51)</f>
        <v>39302.325581395351</v>
      </c>
      <c r="F51" s="159">
        <f t="shared" si="4"/>
        <v>353720.93023255951</v>
      </c>
      <c r="G51" s="161">
        <f t="shared" si="5"/>
        <v>76473.635379776824</v>
      </c>
      <c r="H51" s="142">
        <f t="shared" si="6"/>
        <v>76473.635379776824</v>
      </c>
      <c r="I51" s="156">
        <f t="shared" si="0"/>
        <v>0</v>
      </c>
      <c r="J51" s="156"/>
      <c r="K51" s="334"/>
      <c r="L51" s="158">
        <f t="shared" si="1"/>
        <v>0</v>
      </c>
      <c r="M51" s="334"/>
      <c r="N51" s="158">
        <f t="shared" si="2"/>
        <v>0</v>
      </c>
      <c r="O51" s="158">
        <f t="shared" si="3"/>
        <v>0</v>
      </c>
      <c r="P51" s="4"/>
    </row>
    <row r="52" spans="2:16">
      <c r="B52" s="9" t="str">
        <f t="shared" si="7"/>
        <v/>
      </c>
      <c r="C52" s="153">
        <f>IF(D11="","-",+C51+1)</f>
        <v>2053</v>
      </c>
      <c r="D52" s="159">
        <f>IF(F51+SUM(E$17:E51)=D$10,F51,D$10-SUM(E$17:E51))</f>
        <v>353720.93023255951</v>
      </c>
      <c r="E52" s="160">
        <f>IF(+I14&lt;F51,I14,D52)</f>
        <v>39302.325581395351</v>
      </c>
      <c r="F52" s="159">
        <f t="shared" si="4"/>
        <v>314418.60465116415</v>
      </c>
      <c r="G52" s="161">
        <f t="shared" si="5"/>
        <v>72560.865927315623</v>
      </c>
      <c r="H52" s="142">
        <f t="shared" si="6"/>
        <v>72560.865927315623</v>
      </c>
      <c r="I52" s="156">
        <f t="shared" si="0"/>
        <v>0</v>
      </c>
      <c r="J52" s="156"/>
      <c r="K52" s="334"/>
      <c r="L52" s="158">
        <f t="shared" si="1"/>
        <v>0</v>
      </c>
      <c r="M52" s="334"/>
      <c r="N52" s="158">
        <f t="shared" si="2"/>
        <v>0</v>
      </c>
      <c r="O52" s="158">
        <f t="shared" si="3"/>
        <v>0</v>
      </c>
      <c r="P52" s="4"/>
    </row>
    <row r="53" spans="2:16">
      <c r="B53" s="9" t="str">
        <f t="shared" si="7"/>
        <v/>
      </c>
      <c r="C53" s="153">
        <f>IF(D11="","-",+C52+1)</f>
        <v>2054</v>
      </c>
      <c r="D53" s="159">
        <f>IF(F52+SUM(E$17:E52)=D$10,F52,D$10-SUM(E$17:E52))</f>
        <v>314418.60465116415</v>
      </c>
      <c r="E53" s="160">
        <f>IF(+I14&lt;F52,I14,D53)</f>
        <v>39302.325581395351</v>
      </c>
      <c r="F53" s="159">
        <f t="shared" si="4"/>
        <v>275116.27906976879</v>
      </c>
      <c r="G53" s="161">
        <f t="shared" si="5"/>
        <v>68648.096474854436</v>
      </c>
      <c r="H53" s="142">
        <f t="shared" si="6"/>
        <v>68648.096474854436</v>
      </c>
      <c r="I53" s="156">
        <f t="shared" si="0"/>
        <v>0</v>
      </c>
      <c r="J53" s="156"/>
      <c r="K53" s="334"/>
      <c r="L53" s="158">
        <f t="shared" si="1"/>
        <v>0</v>
      </c>
      <c r="M53" s="334"/>
      <c r="N53" s="158">
        <f t="shared" si="2"/>
        <v>0</v>
      </c>
      <c r="O53" s="158">
        <f t="shared" si="3"/>
        <v>0</v>
      </c>
      <c r="P53" s="4"/>
    </row>
    <row r="54" spans="2:16">
      <c r="B54" s="9" t="str">
        <f t="shared" si="7"/>
        <v/>
      </c>
      <c r="C54" s="153">
        <f>IF(D11="","-",+C53+1)</f>
        <v>2055</v>
      </c>
      <c r="D54" s="159">
        <f>IF(F53+SUM(E$17:E53)=D$10,F53,D$10-SUM(E$17:E53))</f>
        <v>275116.27906976879</v>
      </c>
      <c r="E54" s="160">
        <f>IF(+I14&lt;F53,I14,D54)</f>
        <v>39302.325581395351</v>
      </c>
      <c r="F54" s="159">
        <f t="shared" si="4"/>
        <v>235813.95348837343</v>
      </c>
      <c r="G54" s="161">
        <f t="shared" si="5"/>
        <v>64735.327022393241</v>
      </c>
      <c r="H54" s="142">
        <f t="shared" si="6"/>
        <v>64735.327022393241</v>
      </c>
      <c r="I54" s="156">
        <f t="shared" si="0"/>
        <v>0</v>
      </c>
      <c r="J54" s="156"/>
      <c r="K54" s="334"/>
      <c r="L54" s="158">
        <f t="shared" si="1"/>
        <v>0</v>
      </c>
      <c r="M54" s="334"/>
      <c r="N54" s="158">
        <f t="shared" si="2"/>
        <v>0</v>
      </c>
      <c r="O54" s="158">
        <f t="shared" si="3"/>
        <v>0</v>
      </c>
      <c r="P54" s="4"/>
    </row>
    <row r="55" spans="2:16">
      <c r="B55" s="9" t="str">
        <f t="shared" si="7"/>
        <v/>
      </c>
      <c r="C55" s="153">
        <f>IF(D11="","-",+C54+1)</f>
        <v>2056</v>
      </c>
      <c r="D55" s="159">
        <f>IF(F54+SUM(E$17:E54)=D$10,F54,D$10-SUM(E$17:E54))</f>
        <v>235813.95348837343</v>
      </c>
      <c r="E55" s="160">
        <f>IF(+I14&lt;F54,I14,D55)</f>
        <v>39302.325581395351</v>
      </c>
      <c r="F55" s="159">
        <f t="shared" si="4"/>
        <v>196511.62790697807</v>
      </c>
      <c r="G55" s="161">
        <f t="shared" si="5"/>
        <v>60822.557569932047</v>
      </c>
      <c r="H55" s="142">
        <f t="shared" si="6"/>
        <v>60822.557569932047</v>
      </c>
      <c r="I55" s="156">
        <f t="shared" si="0"/>
        <v>0</v>
      </c>
      <c r="J55" s="156"/>
      <c r="K55" s="334"/>
      <c r="L55" s="158">
        <f t="shared" si="1"/>
        <v>0</v>
      </c>
      <c r="M55" s="334"/>
      <c r="N55" s="158">
        <f t="shared" si="2"/>
        <v>0</v>
      </c>
      <c r="O55" s="158">
        <f t="shared" si="3"/>
        <v>0</v>
      </c>
      <c r="P55" s="4"/>
    </row>
    <row r="56" spans="2:16">
      <c r="B56" s="9" t="str">
        <f t="shared" si="7"/>
        <v/>
      </c>
      <c r="C56" s="153">
        <f>IF(D11="","-",+C55+1)</f>
        <v>2057</v>
      </c>
      <c r="D56" s="159">
        <f>IF(F55+SUM(E$17:E55)=D$10,F55,D$10-SUM(E$17:E55))</f>
        <v>196511.62790697807</v>
      </c>
      <c r="E56" s="160">
        <f>IF(+I14&lt;F55,I14,D56)</f>
        <v>39302.325581395351</v>
      </c>
      <c r="F56" s="159">
        <f t="shared" si="4"/>
        <v>157209.30232558271</v>
      </c>
      <c r="G56" s="161">
        <f t="shared" si="5"/>
        <v>56909.788117470853</v>
      </c>
      <c r="H56" s="142">
        <f t="shared" si="6"/>
        <v>56909.788117470853</v>
      </c>
      <c r="I56" s="156">
        <f t="shared" si="0"/>
        <v>0</v>
      </c>
      <c r="J56" s="156"/>
      <c r="K56" s="334"/>
      <c r="L56" s="158">
        <f t="shared" si="1"/>
        <v>0</v>
      </c>
      <c r="M56" s="334"/>
      <c r="N56" s="158">
        <f t="shared" si="2"/>
        <v>0</v>
      </c>
      <c r="O56" s="158">
        <f t="shared" si="3"/>
        <v>0</v>
      </c>
      <c r="P56" s="4"/>
    </row>
    <row r="57" spans="2:16">
      <c r="B57" s="9" t="str">
        <f t="shared" si="7"/>
        <v/>
      </c>
      <c r="C57" s="153">
        <f>IF(D11="","-",+C56+1)</f>
        <v>2058</v>
      </c>
      <c r="D57" s="159">
        <f>IF(F56+SUM(E$17:E56)=D$10,F56,D$10-SUM(E$17:E56))</f>
        <v>157209.30232558271</v>
      </c>
      <c r="E57" s="160">
        <f>IF(+I14&lt;F56,I14,D57)</f>
        <v>39302.325581395351</v>
      </c>
      <c r="F57" s="159">
        <f t="shared" si="4"/>
        <v>117906.97674418736</v>
      </c>
      <c r="G57" s="161">
        <f t="shared" si="5"/>
        <v>52997.018665009658</v>
      </c>
      <c r="H57" s="142">
        <f t="shared" si="6"/>
        <v>52997.018665009658</v>
      </c>
      <c r="I57" s="156">
        <f t="shared" si="0"/>
        <v>0</v>
      </c>
      <c r="J57" s="156"/>
      <c r="K57" s="334"/>
      <c r="L57" s="158">
        <f t="shared" si="1"/>
        <v>0</v>
      </c>
      <c r="M57" s="334"/>
      <c r="N57" s="158">
        <f t="shared" si="2"/>
        <v>0</v>
      </c>
      <c r="O57" s="158">
        <f t="shared" si="3"/>
        <v>0</v>
      </c>
      <c r="P57" s="4"/>
    </row>
    <row r="58" spans="2:16">
      <c r="B58" s="9" t="str">
        <f t="shared" si="7"/>
        <v/>
      </c>
      <c r="C58" s="153">
        <f>IF(D11="","-",+C57+1)</f>
        <v>2059</v>
      </c>
      <c r="D58" s="159">
        <f>IF(F57+SUM(E$17:E57)=D$10,F57,D$10-SUM(E$17:E57))</f>
        <v>117906.97674418736</v>
      </c>
      <c r="E58" s="160">
        <f>IF(+I14&lt;F57,I14,D58)</f>
        <v>39302.325581395351</v>
      </c>
      <c r="F58" s="159">
        <f t="shared" si="4"/>
        <v>78604.651162791997</v>
      </c>
      <c r="G58" s="161">
        <f t="shared" si="5"/>
        <v>49084.249212548464</v>
      </c>
      <c r="H58" s="142">
        <f t="shared" si="6"/>
        <v>49084.249212548464</v>
      </c>
      <c r="I58" s="156">
        <f t="shared" si="0"/>
        <v>0</v>
      </c>
      <c r="J58" s="156"/>
      <c r="K58" s="334"/>
      <c r="L58" s="158">
        <f t="shared" si="1"/>
        <v>0</v>
      </c>
      <c r="M58" s="334"/>
      <c r="N58" s="158">
        <f t="shared" si="2"/>
        <v>0</v>
      </c>
      <c r="O58" s="158">
        <f t="shared" si="3"/>
        <v>0</v>
      </c>
      <c r="P58" s="4"/>
    </row>
    <row r="59" spans="2:16">
      <c r="B59" s="9" t="str">
        <f t="shared" si="7"/>
        <v/>
      </c>
      <c r="C59" s="153">
        <f>IF(D11="","-",+C58+1)</f>
        <v>2060</v>
      </c>
      <c r="D59" s="159">
        <f>IF(F58+SUM(E$17:E58)=D$10,F58,D$10-SUM(E$17:E58))</f>
        <v>78604.651162791997</v>
      </c>
      <c r="E59" s="160">
        <f>IF(+I14&lt;F58,I14,D59)</f>
        <v>39302.325581395351</v>
      </c>
      <c r="F59" s="159">
        <f t="shared" si="4"/>
        <v>39302.325581396646</v>
      </c>
      <c r="G59" s="161">
        <f t="shared" si="5"/>
        <v>45171.47976008727</v>
      </c>
      <c r="H59" s="142">
        <f t="shared" si="6"/>
        <v>45171.47976008727</v>
      </c>
      <c r="I59" s="156">
        <f t="shared" si="0"/>
        <v>0</v>
      </c>
      <c r="J59" s="156"/>
      <c r="K59" s="334"/>
      <c r="L59" s="158">
        <f t="shared" si="1"/>
        <v>0</v>
      </c>
      <c r="M59" s="334"/>
      <c r="N59" s="158">
        <f t="shared" si="2"/>
        <v>0</v>
      </c>
      <c r="O59" s="158">
        <f t="shared" si="3"/>
        <v>0</v>
      </c>
      <c r="P59" s="4"/>
    </row>
    <row r="60" spans="2:16">
      <c r="B60" s="9" t="str">
        <f t="shared" si="7"/>
        <v/>
      </c>
      <c r="C60" s="153">
        <f>IF(D11="","-",+C59+1)</f>
        <v>2061</v>
      </c>
      <c r="D60" s="159">
        <f>IF(F59+SUM(E$17:E59)=D$10,F59,D$10-SUM(E$17:E59))</f>
        <v>39302.325581396646</v>
      </c>
      <c r="E60" s="160">
        <f>IF(+I14&lt;F59,I14,D60)</f>
        <v>39302.325581395351</v>
      </c>
      <c r="F60" s="159">
        <f t="shared" si="4"/>
        <v>1.2951204553246498E-9</v>
      </c>
      <c r="G60" s="161">
        <f t="shared" si="5"/>
        <v>41258.710307626076</v>
      </c>
      <c r="H60" s="142">
        <f t="shared" si="6"/>
        <v>41258.710307626076</v>
      </c>
      <c r="I60" s="156">
        <f t="shared" si="0"/>
        <v>0</v>
      </c>
      <c r="J60" s="156"/>
      <c r="K60" s="334"/>
      <c r="L60" s="158">
        <f t="shared" si="1"/>
        <v>0</v>
      </c>
      <c r="M60" s="334"/>
      <c r="N60" s="158">
        <f t="shared" si="2"/>
        <v>0</v>
      </c>
      <c r="O60" s="158">
        <f t="shared" si="3"/>
        <v>0</v>
      </c>
      <c r="P60" s="4"/>
    </row>
    <row r="61" spans="2:16">
      <c r="B61" s="9" t="str">
        <f t="shared" si="7"/>
        <v/>
      </c>
      <c r="C61" s="153">
        <f>IF(D11="","-",+C60+1)</f>
        <v>2062</v>
      </c>
      <c r="D61" s="159">
        <f>IF(F60+SUM(E$17:E60)=D$10,F60,D$10-SUM(E$17:E60))</f>
        <v>1.2951204553246498E-9</v>
      </c>
      <c r="E61" s="160">
        <f>IF(+I14&lt;F60,I14,D61)</f>
        <v>1.2951204553246498E-9</v>
      </c>
      <c r="F61" s="159">
        <f t="shared" si="4"/>
        <v>0</v>
      </c>
      <c r="G61" s="163">
        <f t="shared" si="5"/>
        <v>1.3595887492473222E-9</v>
      </c>
      <c r="H61" s="142">
        <f t="shared" si="6"/>
        <v>1.3595887492473222E-9</v>
      </c>
      <c r="I61" s="156">
        <f t="shared" si="0"/>
        <v>0</v>
      </c>
      <c r="J61" s="156"/>
      <c r="K61" s="334"/>
      <c r="L61" s="158">
        <f t="shared" si="1"/>
        <v>0</v>
      </c>
      <c r="M61" s="334"/>
      <c r="N61" s="158">
        <f t="shared" si="2"/>
        <v>0</v>
      </c>
      <c r="O61" s="158">
        <f t="shared" si="3"/>
        <v>0</v>
      </c>
      <c r="P61" s="4"/>
    </row>
    <row r="62" spans="2:16">
      <c r="B62" s="9" t="str">
        <f t="shared" si="7"/>
        <v/>
      </c>
      <c r="C62" s="153">
        <f>IF(D11="","-",+C61+1)</f>
        <v>2063</v>
      </c>
      <c r="D62" s="159">
        <f>IF(F61+SUM(E$17:E61)=D$10,F61,D$10-SUM(E$17:E61))</f>
        <v>0</v>
      </c>
      <c r="E62" s="160">
        <f>IF(+I14&lt;F61,I14,D62)</f>
        <v>0</v>
      </c>
      <c r="F62" s="159">
        <f t="shared" si="4"/>
        <v>0</v>
      </c>
      <c r="G62" s="163">
        <f t="shared" si="5"/>
        <v>0</v>
      </c>
      <c r="H62" s="142">
        <f t="shared" si="6"/>
        <v>0</v>
      </c>
      <c r="I62" s="156">
        <f t="shared" si="0"/>
        <v>0</v>
      </c>
      <c r="J62" s="156"/>
      <c r="K62" s="334"/>
      <c r="L62" s="158">
        <f t="shared" si="1"/>
        <v>0</v>
      </c>
      <c r="M62" s="334"/>
      <c r="N62" s="158">
        <f t="shared" si="2"/>
        <v>0</v>
      </c>
      <c r="O62" s="158">
        <f t="shared" si="3"/>
        <v>0</v>
      </c>
      <c r="P62" s="4"/>
    </row>
    <row r="63" spans="2:16">
      <c r="B63" s="9" t="str">
        <f t="shared" si="7"/>
        <v/>
      </c>
      <c r="C63" s="153">
        <f>IF(D11="","-",+C62+1)</f>
        <v>2064</v>
      </c>
      <c r="D63" s="159">
        <f>IF(F62+SUM(E$17:E62)=D$10,F62,D$10-SUM(E$17:E62))</f>
        <v>0</v>
      </c>
      <c r="E63" s="160">
        <f>IF(+I14&lt;F62,I14,D63)</f>
        <v>0</v>
      </c>
      <c r="F63" s="159">
        <f t="shared" si="4"/>
        <v>0</v>
      </c>
      <c r="G63" s="163">
        <f t="shared" si="5"/>
        <v>0</v>
      </c>
      <c r="H63" s="142">
        <f t="shared" si="6"/>
        <v>0</v>
      </c>
      <c r="I63" s="156">
        <f t="shared" si="0"/>
        <v>0</v>
      </c>
      <c r="J63" s="156"/>
      <c r="K63" s="334"/>
      <c r="L63" s="158">
        <f t="shared" si="1"/>
        <v>0</v>
      </c>
      <c r="M63" s="334"/>
      <c r="N63" s="158">
        <f t="shared" si="2"/>
        <v>0</v>
      </c>
      <c r="O63" s="158">
        <f t="shared" si="3"/>
        <v>0</v>
      </c>
      <c r="P63" s="4"/>
    </row>
    <row r="64" spans="2:16">
      <c r="B64" s="9" t="str">
        <f t="shared" si="7"/>
        <v/>
      </c>
      <c r="C64" s="153">
        <f>IF(D11="","-",+C63+1)</f>
        <v>2065</v>
      </c>
      <c r="D64" s="159">
        <f>IF(F63+SUM(E$17:E63)=D$10,F63,D$10-SUM(E$17:E63))</f>
        <v>0</v>
      </c>
      <c r="E64" s="160">
        <f>IF(+I14&lt;F63,I14,D64)</f>
        <v>0</v>
      </c>
      <c r="F64" s="159">
        <f t="shared" si="4"/>
        <v>0</v>
      </c>
      <c r="G64" s="163">
        <f t="shared" si="5"/>
        <v>0</v>
      </c>
      <c r="H64" s="142">
        <f t="shared" si="6"/>
        <v>0</v>
      </c>
      <c r="I64" s="156">
        <f t="shared" si="0"/>
        <v>0</v>
      </c>
      <c r="J64" s="156"/>
      <c r="K64" s="334"/>
      <c r="L64" s="158">
        <f t="shared" si="1"/>
        <v>0</v>
      </c>
      <c r="M64" s="334"/>
      <c r="N64" s="158">
        <f t="shared" si="2"/>
        <v>0</v>
      </c>
      <c r="O64" s="158">
        <f t="shared" si="3"/>
        <v>0</v>
      </c>
      <c r="P64" s="4"/>
    </row>
    <row r="65" spans="2:16">
      <c r="B65" s="9" t="str">
        <f t="shared" si="7"/>
        <v/>
      </c>
      <c r="C65" s="153">
        <f>IF(D11="","-",+C64+1)</f>
        <v>2066</v>
      </c>
      <c r="D65" s="159">
        <f>IF(F64+SUM(E$17:E64)=D$10,F64,D$10-SUM(E$17:E64))</f>
        <v>0</v>
      </c>
      <c r="E65" s="160">
        <f>IF(+I14&lt;F64,I14,D65)</f>
        <v>0</v>
      </c>
      <c r="F65" s="159">
        <f t="shared" si="4"/>
        <v>0</v>
      </c>
      <c r="G65" s="163">
        <f t="shared" si="5"/>
        <v>0</v>
      </c>
      <c r="H65" s="142">
        <f t="shared" si="6"/>
        <v>0</v>
      </c>
      <c r="I65" s="156">
        <f t="shared" si="0"/>
        <v>0</v>
      </c>
      <c r="J65" s="156"/>
      <c r="K65" s="334"/>
      <c r="L65" s="158">
        <f t="shared" si="1"/>
        <v>0</v>
      </c>
      <c r="M65" s="334"/>
      <c r="N65" s="158">
        <f t="shared" si="2"/>
        <v>0</v>
      </c>
      <c r="O65" s="158">
        <f t="shared" si="3"/>
        <v>0</v>
      </c>
      <c r="P65" s="4"/>
    </row>
    <row r="66" spans="2:16">
      <c r="B66" s="9" t="str">
        <f t="shared" si="7"/>
        <v/>
      </c>
      <c r="C66" s="153">
        <f>IF(D11="","-",+C65+1)</f>
        <v>2067</v>
      </c>
      <c r="D66" s="159">
        <f>IF(F65+SUM(E$17:E65)=D$10,F65,D$10-SUM(E$17:E65))</f>
        <v>0</v>
      </c>
      <c r="E66" s="160">
        <f>IF(+I14&lt;F65,I14,D66)</f>
        <v>0</v>
      </c>
      <c r="F66" s="159">
        <f t="shared" si="4"/>
        <v>0</v>
      </c>
      <c r="G66" s="163">
        <f t="shared" si="5"/>
        <v>0</v>
      </c>
      <c r="H66" s="142">
        <f t="shared" si="6"/>
        <v>0</v>
      </c>
      <c r="I66" s="156">
        <f t="shared" si="0"/>
        <v>0</v>
      </c>
      <c r="J66" s="156"/>
      <c r="K66" s="334"/>
      <c r="L66" s="158">
        <f t="shared" si="1"/>
        <v>0</v>
      </c>
      <c r="M66" s="334"/>
      <c r="N66" s="158">
        <f t="shared" si="2"/>
        <v>0</v>
      </c>
      <c r="O66" s="158">
        <f t="shared" si="3"/>
        <v>0</v>
      </c>
      <c r="P66" s="4"/>
    </row>
    <row r="67" spans="2:16">
      <c r="B67" s="9" t="str">
        <f t="shared" si="7"/>
        <v/>
      </c>
      <c r="C67" s="153">
        <f>IF(D11="","-",+C66+1)</f>
        <v>2068</v>
      </c>
      <c r="D67" s="159">
        <f>IF(F66+SUM(E$17:E66)=D$10,F66,D$10-SUM(E$17:E66))</f>
        <v>0</v>
      </c>
      <c r="E67" s="160">
        <f>IF(+I14&lt;F66,I14,D67)</f>
        <v>0</v>
      </c>
      <c r="F67" s="159">
        <f t="shared" si="4"/>
        <v>0</v>
      </c>
      <c r="G67" s="163">
        <f t="shared" si="5"/>
        <v>0</v>
      </c>
      <c r="H67" s="142">
        <f t="shared" si="6"/>
        <v>0</v>
      </c>
      <c r="I67" s="156">
        <f t="shared" si="0"/>
        <v>0</v>
      </c>
      <c r="J67" s="156"/>
      <c r="K67" s="334"/>
      <c r="L67" s="158">
        <f t="shared" si="1"/>
        <v>0</v>
      </c>
      <c r="M67" s="334"/>
      <c r="N67" s="158">
        <f t="shared" si="2"/>
        <v>0</v>
      </c>
      <c r="O67" s="158">
        <f t="shared" si="3"/>
        <v>0</v>
      </c>
      <c r="P67" s="4"/>
    </row>
    <row r="68" spans="2:16">
      <c r="B68" s="9" t="str">
        <f t="shared" si="7"/>
        <v/>
      </c>
      <c r="C68" s="153">
        <f>IF(D11="","-",+C67+1)</f>
        <v>2069</v>
      </c>
      <c r="D68" s="159">
        <f>IF(F67+SUM(E$17:E67)=D$10,F67,D$10-SUM(E$17:E67))</f>
        <v>0</v>
      </c>
      <c r="E68" s="160">
        <f>IF(+I14&lt;F67,I14,D68)</f>
        <v>0</v>
      </c>
      <c r="F68" s="159">
        <f t="shared" si="4"/>
        <v>0</v>
      </c>
      <c r="G68" s="163">
        <f t="shared" si="5"/>
        <v>0</v>
      </c>
      <c r="H68" s="142">
        <f t="shared" si="6"/>
        <v>0</v>
      </c>
      <c r="I68" s="156">
        <f t="shared" si="0"/>
        <v>0</v>
      </c>
      <c r="J68" s="156"/>
      <c r="K68" s="334"/>
      <c r="L68" s="158">
        <f t="shared" si="1"/>
        <v>0</v>
      </c>
      <c r="M68" s="334"/>
      <c r="N68" s="158">
        <f t="shared" si="2"/>
        <v>0</v>
      </c>
      <c r="O68" s="158">
        <f t="shared" si="3"/>
        <v>0</v>
      </c>
      <c r="P68" s="4"/>
    </row>
    <row r="69" spans="2:16">
      <c r="B69" s="9" t="str">
        <f t="shared" si="7"/>
        <v/>
      </c>
      <c r="C69" s="153">
        <f>IF(D11="","-",+C68+1)</f>
        <v>2070</v>
      </c>
      <c r="D69" s="159">
        <f>IF(F68+SUM(E$17:E68)=D$10,F68,D$10-SUM(E$17:E68))</f>
        <v>0</v>
      </c>
      <c r="E69" s="160">
        <f>IF(+I14&lt;F68,I14,D69)</f>
        <v>0</v>
      </c>
      <c r="F69" s="159">
        <f t="shared" si="4"/>
        <v>0</v>
      </c>
      <c r="G69" s="163">
        <f t="shared" si="5"/>
        <v>0</v>
      </c>
      <c r="H69" s="142">
        <f t="shared" si="6"/>
        <v>0</v>
      </c>
      <c r="I69" s="156">
        <f t="shared" si="0"/>
        <v>0</v>
      </c>
      <c r="J69" s="156"/>
      <c r="K69" s="334"/>
      <c r="L69" s="158">
        <f t="shared" si="1"/>
        <v>0</v>
      </c>
      <c r="M69" s="334"/>
      <c r="N69" s="158">
        <f t="shared" si="2"/>
        <v>0</v>
      </c>
      <c r="O69" s="158">
        <f t="shared" si="3"/>
        <v>0</v>
      </c>
      <c r="P69" s="4"/>
    </row>
    <row r="70" spans="2:16">
      <c r="B70" s="9" t="str">
        <f t="shared" si="7"/>
        <v/>
      </c>
      <c r="C70" s="153">
        <f>IF(D11="","-",+C69+1)</f>
        <v>2071</v>
      </c>
      <c r="D70" s="159">
        <f>IF(F69+SUM(E$17:E69)=D$10,F69,D$10-SUM(E$17:E69))</f>
        <v>0</v>
      </c>
      <c r="E70" s="160">
        <f>IF(+I14&lt;F69,I14,D70)</f>
        <v>0</v>
      </c>
      <c r="F70" s="159">
        <f t="shared" si="4"/>
        <v>0</v>
      </c>
      <c r="G70" s="163">
        <f t="shared" si="5"/>
        <v>0</v>
      </c>
      <c r="H70" s="142">
        <f t="shared" si="6"/>
        <v>0</v>
      </c>
      <c r="I70" s="156">
        <f t="shared" si="0"/>
        <v>0</v>
      </c>
      <c r="J70" s="156"/>
      <c r="K70" s="334"/>
      <c r="L70" s="158">
        <f t="shared" si="1"/>
        <v>0</v>
      </c>
      <c r="M70" s="334"/>
      <c r="N70" s="158">
        <f t="shared" si="2"/>
        <v>0</v>
      </c>
      <c r="O70" s="158">
        <f t="shared" si="3"/>
        <v>0</v>
      </c>
      <c r="P70" s="4"/>
    </row>
    <row r="71" spans="2:16">
      <c r="B71" s="9" t="str">
        <f t="shared" si="7"/>
        <v/>
      </c>
      <c r="C71" s="153">
        <f>IF(D11="","-",+C70+1)</f>
        <v>2072</v>
      </c>
      <c r="D71" s="159">
        <f>IF(F70+SUM(E$17:E70)=D$10,F70,D$10-SUM(E$17:E70))</f>
        <v>0</v>
      </c>
      <c r="E71" s="160">
        <f>IF(+I14&lt;F70,I14,D71)</f>
        <v>0</v>
      </c>
      <c r="F71" s="159">
        <f t="shared" si="4"/>
        <v>0</v>
      </c>
      <c r="G71" s="163">
        <f t="shared" si="5"/>
        <v>0</v>
      </c>
      <c r="H71" s="142">
        <f t="shared" si="6"/>
        <v>0</v>
      </c>
      <c r="I71" s="156">
        <f t="shared" si="0"/>
        <v>0</v>
      </c>
      <c r="J71" s="156"/>
      <c r="K71" s="334"/>
      <c r="L71" s="158">
        <f t="shared" si="1"/>
        <v>0</v>
      </c>
      <c r="M71" s="334"/>
      <c r="N71" s="158">
        <f t="shared" si="2"/>
        <v>0</v>
      </c>
      <c r="O71" s="158">
        <f t="shared" si="3"/>
        <v>0</v>
      </c>
      <c r="P71" s="4"/>
    </row>
    <row r="72" spans="2:16" ht="13.5" thickBot="1">
      <c r="B72" s="9" t="str">
        <f t="shared" si="7"/>
        <v/>
      </c>
      <c r="C72" s="164">
        <f>IF(D11="","-",+C71+1)</f>
        <v>2073</v>
      </c>
      <c r="D72" s="165">
        <f>IF(F71+SUM(E$17:E71)=D$10,F71,D$10-SUM(E$17:E71))</f>
        <v>0</v>
      </c>
      <c r="E72" s="166">
        <f>IF(+I14&lt;F71,I14,D72)</f>
        <v>0</v>
      </c>
      <c r="F72" s="165">
        <f t="shared" si="4"/>
        <v>0</v>
      </c>
      <c r="G72" s="167">
        <f t="shared" si="5"/>
        <v>0</v>
      </c>
      <c r="H72" s="124">
        <f t="shared" si="6"/>
        <v>0</v>
      </c>
      <c r="I72" s="168">
        <f t="shared" si="0"/>
        <v>0</v>
      </c>
      <c r="J72" s="156"/>
      <c r="K72" s="335"/>
      <c r="L72" s="169">
        <f t="shared" si="1"/>
        <v>0</v>
      </c>
      <c r="M72" s="335"/>
      <c r="N72" s="169">
        <f t="shared" si="2"/>
        <v>0</v>
      </c>
      <c r="O72" s="169">
        <f t="shared" si="3"/>
        <v>0</v>
      </c>
      <c r="P72" s="4"/>
    </row>
    <row r="73" spans="2:16">
      <c r="C73" s="154" t="s">
        <v>73</v>
      </c>
      <c r="D73" s="111"/>
      <c r="E73" s="111">
        <f>SUM(E17:E72)</f>
        <v>1690000</v>
      </c>
      <c r="F73" s="111"/>
      <c r="G73" s="111">
        <f>SUM(G17:G72)</f>
        <v>5377506.7584946351</v>
      </c>
      <c r="H73" s="111">
        <f>SUM(H17:H72)</f>
        <v>5377506.7584946351</v>
      </c>
      <c r="I73" s="111">
        <f>SUM(I17:I72)</f>
        <v>0</v>
      </c>
      <c r="J73" s="111"/>
      <c r="K73" s="111"/>
      <c r="L73" s="111"/>
      <c r="M73" s="111"/>
      <c r="N73" s="111"/>
      <c r="O73" s="4"/>
      <c r="P73" s="4"/>
    </row>
    <row r="74" spans="2:16">
      <c r="D74" s="2"/>
      <c r="E74" s="1"/>
      <c r="F74" s="1"/>
      <c r="G74" s="1"/>
      <c r="H74" s="3"/>
      <c r="I74" s="3"/>
      <c r="J74" s="111"/>
      <c r="K74" s="3"/>
      <c r="L74" s="3"/>
      <c r="M74" s="3"/>
      <c r="N74" s="3"/>
      <c r="O74" s="1"/>
      <c r="P74" s="1"/>
    </row>
    <row r="75" spans="2:16">
      <c r="C75" s="170" t="s">
        <v>91</v>
      </c>
      <c r="D75" s="2"/>
      <c r="E75" s="1"/>
      <c r="F75" s="1"/>
      <c r="G75" s="1"/>
      <c r="H75" s="3"/>
      <c r="I75" s="3"/>
      <c r="J75" s="111"/>
      <c r="K75" s="3"/>
      <c r="L75" s="3"/>
      <c r="M75" s="3"/>
      <c r="N75" s="3"/>
      <c r="O75" s="1"/>
      <c r="P75" s="1"/>
    </row>
    <row r="76" spans="2:16">
      <c r="C76" s="121" t="s">
        <v>74</v>
      </c>
      <c r="D76" s="2"/>
      <c r="E76" s="1"/>
      <c r="F76" s="1"/>
      <c r="G76" s="1"/>
      <c r="H76" s="3"/>
      <c r="I76" s="3"/>
      <c r="J76" s="111"/>
      <c r="K76" s="3"/>
      <c r="L76" s="3"/>
      <c r="M76" s="3"/>
      <c r="N76" s="3"/>
      <c r="O76" s="4"/>
      <c r="P76" s="4"/>
    </row>
    <row r="77" spans="2:16">
      <c r="C77" s="121" t="s">
        <v>75</v>
      </c>
      <c r="D77" s="154"/>
      <c r="E77" s="154"/>
      <c r="F77" s="154"/>
      <c r="G77" s="111"/>
      <c r="H77" s="111"/>
      <c r="I77" s="171"/>
      <c r="J77" s="171"/>
      <c r="K77" s="171"/>
      <c r="L77" s="171"/>
      <c r="M77" s="171"/>
      <c r="N77" s="171"/>
      <c r="O77" s="4"/>
      <c r="P77" s="4"/>
    </row>
    <row r="78" spans="2:16">
      <c r="C78" s="121"/>
      <c r="D78" s="154"/>
      <c r="E78" s="154"/>
      <c r="F78" s="154"/>
      <c r="G78" s="111"/>
      <c r="H78" s="111"/>
      <c r="I78" s="171"/>
      <c r="J78" s="171"/>
      <c r="K78" s="171"/>
      <c r="L78" s="171"/>
      <c r="M78" s="171"/>
      <c r="N78" s="171"/>
      <c r="O78" s="4"/>
      <c r="P78" s="1"/>
    </row>
    <row r="79" spans="2:16">
      <c r="B79" s="1"/>
      <c r="C79" s="21"/>
      <c r="D79" s="2"/>
      <c r="E79" s="1"/>
      <c r="F79" s="107"/>
      <c r="G79" s="1"/>
      <c r="H79" s="3"/>
      <c r="I79" s="1"/>
      <c r="J79" s="4"/>
      <c r="K79" s="1"/>
      <c r="L79" s="1"/>
      <c r="M79" s="1"/>
      <c r="N79" s="1"/>
      <c r="O79" s="1"/>
      <c r="P79" s="1"/>
    </row>
    <row r="80" spans="2:16" ht="18">
      <c r="B80" s="1"/>
      <c r="C80" s="242"/>
      <c r="D80" s="2"/>
      <c r="E80" s="1"/>
      <c r="F80" s="107"/>
      <c r="G80" s="1"/>
      <c r="H80" s="3"/>
      <c r="I80" s="1"/>
      <c r="J80" s="4"/>
      <c r="K80" s="1"/>
      <c r="L80" s="1"/>
      <c r="M80" s="1"/>
      <c r="N80" s="1"/>
      <c r="P80" s="244" t="s">
        <v>125</v>
      </c>
    </row>
    <row r="81" spans="1:16">
      <c r="B81" s="1"/>
      <c r="C81" s="21"/>
      <c r="D81" s="2"/>
      <c r="E81" s="1"/>
      <c r="F81" s="107"/>
      <c r="G81" s="1"/>
      <c r="H81" s="3"/>
      <c r="I81" s="1"/>
      <c r="J81" s="4"/>
      <c r="K81" s="1"/>
      <c r="L81" s="1"/>
      <c r="M81" s="1"/>
      <c r="N81" s="1"/>
      <c r="O81" s="1"/>
      <c r="P81" s="1"/>
    </row>
    <row r="82" spans="1:16">
      <c r="B82" s="1"/>
      <c r="C82" s="21"/>
      <c r="D82" s="2"/>
      <c r="E82" s="1"/>
      <c r="F82" s="107"/>
      <c r="G82" s="1"/>
      <c r="H82" s="3"/>
      <c r="I82" s="1"/>
      <c r="J82" s="4"/>
      <c r="K82" s="1"/>
      <c r="L82" s="1"/>
      <c r="M82" s="1"/>
      <c r="N82" s="1"/>
      <c r="O82" s="1"/>
      <c r="P82" s="1"/>
    </row>
    <row r="83" spans="1:16" ht="20.25">
      <c r="A83" s="243" t="s">
        <v>129</v>
      </c>
      <c r="B83" s="1"/>
      <c r="C83" s="21"/>
      <c r="D83" s="2"/>
      <c r="E83" s="1"/>
      <c r="F83" s="99"/>
      <c r="G83" s="99"/>
      <c r="H83" s="1"/>
      <c r="I83" s="3"/>
      <c r="K83" s="7"/>
      <c r="L83" s="109"/>
      <c r="M83" s="109"/>
      <c r="P83" s="109" t="str">
        <f ca="1">P1</f>
        <v>SWEPCO Project 71 of 73</v>
      </c>
    </row>
    <row r="84" spans="1:16" ht="18">
      <c r="B84" s="1"/>
      <c r="C84" s="1"/>
      <c r="D84" s="2"/>
      <c r="E84" s="1"/>
      <c r="F84" s="1"/>
      <c r="G84" s="1"/>
      <c r="H84" s="1"/>
      <c r="I84" s="3"/>
      <c r="J84" s="1"/>
      <c r="K84" s="4"/>
      <c r="L84" s="1"/>
      <c r="M84" s="1"/>
      <c r="P84" s="244" t="s">
        <v>123</v>
      </c>
    </row>
    <row r="85" spans="1:16" ht="18.75" thickBot="1">
      <c r="B85" s="5" t="s">
        <v>40</v>
      </c>
      <c r="C85" s="197" t="s">
        <v>78</v>
      </c>
      <c r="D85" s="2"/>
      <c r="E85" s="1"/>
      <c r="F85" s="1"/>
      <c r="G85" s="1"/>
      <c r="H85" s="1"/>
      <c r="I85" s="3"/>
      <c r="J85" s="3"/>
      <c r="K85" s="111"/>
      <c r="L85" s="3"/>
      <c r="M85" s="3"/>
      <c r="N85" s="3"/>
      <c r="O85" s="111"/>
      <c r="P85" s="1"/>
    </row>
    <row r="86" spans="1:16" ht="15.75" thickBot="1">
      <c r="C86" s="67"/>
      <c r="D86" s="2"/>
      <c r="E86" s="1"/>
      <c r="F86" s="1"/>
      <c r="G86" s="1"/>
      <c r="H86" s="1"/>
      <c r="I86" s="3"/>
      <c r="J86" s="3"/>
      <c r="K86" s="111"/>
      <c r="L86" s="265">
        <f>+J92</f>
        <v>2017</v>
      </c>
      <c r="M86" s="266" t="s">
        <v>7</v>
      </c>
      <c r="N86" s="270" t="s">
        <v>154</v>
      </c>
      <c r="O86" s="267" t="s">
        <v>9</v>
      </c>
      <c r="P86" s="1"/>
    </row>
    <row r="87" spans="1:16" ht="15">
      <c r="C87" s="235" t="s">
        <v>42</v>
      </c>
      <c r="D87" s="2"/>
      <c r="E87" s="1"/>
      <c r="F87" s="1"/>
      <c r="G87" s="1"/>
      <c r="H87" s="113"/>
      <c r="I87" s="1" t="s">
        <v>43</v>
      </c>
      <c r="J87" s="1"/>
      <c r="K87" s="261"/>
      <c r="L87" s="259" t="s">
        <v>381</v>
      </c>
      <c r="M87" s="198">
        <f>IF(J92&lt;D11,0,VLOOKUP(J92,C17:O72,9))</f>
        <v>0</v>
      </c>
      <c r="N87" s="198">
        <f>IF(J92&lt;D11,0,VLOOKUP(J92,C17:O72,11))</f>
        <v>0</v>
      </c>
      <c r="O87" s="199">
        <f>+N87-M87</f>
        <v>0</v>
      </c>
      <c r="P87" s="1"/>
    </row>
    <row r="88" spans="1:16" ht="15.75">
      <c r="C88" s="8"/>
      <c r="D88" s="2"/>
      <c r="E88" s="1"/>
      <c r="F88" s="1"/>
      <c r="G88" s="1"/>
      <c r="H88" s="1"/>
      <c r="I88" s="117"/>
      <c r="J88" s="117"/>
      <c r="K88" s="263"/>
      <c r="L88" s="264" t="s">
        <v>382</v>
      </c>
      <c r="M88" s="200">
        <f>IF(J92&lt;D11,0,VLOOKUP(J92,C99:P154,6))</f>
        <v>0</v>
      </c>
      <c r="N88" s="200">
        <f>IF(J92&lt;D11,0,VLOOKUP(J92,C99:P154,7))</f>
        <v>0</v>
      </c>
      <c r="O88" s="201">
        <f>+N88-M88</f>
        <v>0</v>
      </c>
      <c r="P88" s="1"/>
    </row>
    <row r="89" spans="1:16" ht="13.5" thickBot="1">
      <c r="C89" s="121" t="s">
        <v>79</v>
      </c>
      <c r="D89" s="246" t="str">
        <f>+D7</f>
        <v>IPC 138 KV Capacitor Bank Addtion</v>
      </c>
      <c r="E89" s="1"/>
      <c r="F89" s="1"/>
      <c r="G89" s="1"/>
      <c r="H89" s="1"/>
      <c r="I89" s="3"/>
      <c r="J89" s="3"/>
      <c r="K89" s="262"/>
      <c r="L89" s="260" t="s">
        <v>151</v>
      </c>
      <c r="M89" s="203">
        <f>+M88-M87</f>
        <v>0</v>
      </c>
      <c r="N89" s="203">
        <f>+N88-N87</f>
        <v>0</v>
      </c>
      <c r="O89" s="204">
        <f>+O88-O87</f>
        <v>0</v>
      </c>
      <c r="P89" s="1"/>
    </row>
    <row r="90" spans="1:16" ht="13.5" thickBot="1">
      <c r="C90" s="170"/>
      <c r="D90" s="173" t="str">
        <f>D8</f>
        <v/>
      </c>
      <c r="E90" s="107"/>
      <c r="F90" s="107"/>
      <c r="G90" s="107"/>
      <c r="H90" s="126"/>
      <c r="I90" s="3"/>
      <c r="J90" s="3"/>
      <c r="K90" s="111"/>
      <c r="L90" s="3"/>
      <c r="M90" s="3"/>
      <c r="N90" s="3"/>
      <c r="O90" s="111"/>
      <c r="P90" s="1"/>
    </row>
    <row r="91" spans="1:16" ht="13.5" thickBot="1">
      <c r="A91" s="103"/>
      <c r="C91" s="205" t="s">
        <v>80</v>
      </c>
      <c r="D91" s="224" t="str">
        <f>+D9</f>
        <v>TP______</v>
      </c>
      <c r="E91" s="206"/>
      <c r="F91" s="206"/>
      <c r="G91" s="206"/>
      <c r="H91" s="206"/>
      <c r="I91" s="206"/>
      <c r="J91" s="206"/>
      <c r="K91" s="207"/>
      <c r="P91" s="131"/>
    </row>
    <row r="92" spans="1:16">
      <c r="C92" s="136" t="s">
        <v>47</v>
      </c>
      <c r="D92" s="218">
        <f>+D10</f>
        <v>1690000</v>
      </c>
      <c r="E92" s="21" t="s">
        <v>81</v>
      </c>
      <c r="H92" s="134"/>
      <c r="I92" s="134"/>
      <c r="J92" s="135">
        <f>+'SWE.WS.G.BPU.ATRR.True-up'!M15</f>
        <v>2017</v>
      </c>
      <c r="K92" s="130"/>
      <c r="L92" s="111" t="s">
        <v>82</v>
      </c>
      <c r="P92" s="4"/>
    </row>
    <row r="93" spans="1:16">
      <c r="C93" s="136" t="s">
        <v>49</v>
      </c>
      <c r="D93" s="468">
        <f>+D11</f>
        <v>2018</v>
      </c>
      <c r="E93" s="136" t="s">
        <v>50</v>
      </c>
      <c r="F93" s="134"/>
      <c r="G93" s="134"/>
      <c r="J93" s="138">
        <f>IF(H87="",0,'SWE.WS.G.BPU.ATRR.True-up'!$F$12)</f>
        <v>0</v>
      </c>
      <c r="K93" s="139"/>
      <c r="L93" t="str">
        <f>"          INPUT TRUE-UP ARR (WITH &amp; WITHOUT INCENTIVES) FROM EACH PRIOR YEAR"</f>
        <v xml:space="preserve">          INPUT TRUE-UP ARR (WITH &amp; WITHOUT INCENTIVES) FROM EACH PRIOR YEAR</v>
      </c>
      <c r="P93" s="4"/>
    </row>
    <row r="94" spans="1:16">
      <c r="C94" s="136" t="s">
        <v>51</v>
      </c>
      <c r="D94" s="218">
        <f>+D12</f>
        <v>12</v>
      </c>
      <c r="E94" s="136" t="s">
        <v>52</v>
      </c>
      <c r="F94" s="134"/>
      <c r="G94" s="134"/>
      <c r="J94" s="140">
        <f>'SWE.WS.G.BPU.ATRR.True-up'!$F$80</f>
        <v>0.12147145768398206</v>
      </c>
      <c r="K94" s="141"/>
      <c r="L94" t="s">
        <v>83</v>
      </c>
      <c r="P94" s="4"/>
    </row>
    <row r="95" spans="1:16">
      <c r="C95" s="136" t="s">
        <v>54</v>
      </c>
      <c r="D95" s="138">
        <f>'SWE.WS.G.BPU.ATRR.True-up'!F$92</f>
        <v>42</v>
      </c>
      <c r="E95" s="136" t="s">
        <v>55</v>
      </c>
      <c r="F95" s="134"/>
      <c r="G95" s="134"/>
      <c r="J95" s="140">
        <f>IF(H87="",J94,'SWE.WS.G.BPU.ATRR.True-up'!$F$79)</f>
        <v>0.12147145768398206</v>
      </c>
      <c r="K95" s="58"/>
      <c r="L95" s="111" t="s">
        <v>56</v>
      </c>
      <c r="M95" s="58"/>
      <c r="N95" s="58"/>
      <c r="O95" s="58"/>
      <c r="P95" s="4"/>
    </row>
    <row r="96" spans="1:16" ht="13.5" thickBot="1">
      <c r="C96" s="136" t="s">
        <v>57</v>
      </c>
      <c r="D96" s="220" t="str">
        <f>+D14</f>
        <v>No</v>
      </c>
      <c r="E96" s="202" t="s">
        <v>59</v>
      </c>
      <c r="F96" s="208"/>
      <c r="G96" s="208"/>
      <c r="H96" s="209"/>
      <c r="I96" s="209"/>
      <c r="J96" s="124">
        <f>IF(D92=0,0,D92/D95)</f>
        <v>40238.095238095237</v>
      </c>
      <c r="K96" s="111"/>
      <c r="L96" s="111"/>
      <c r="M96" s="111"/>
      <c r="N96" s="111"/>
      <c r="O96" s="111"/>
      <c r="P96" s="4"/>
    </row>
    <row r="97" spans="1:16" ht="38.25">
      <c r="A97" s="6"/>
      <c r="B97" s="6"/>
      <c r="C97" s="210" t="s">
        <v>47</v>
      </c>
      <c r="D97" s="211" t="s">
        <v>60</v>
      </c>
      <c r="E97" s="146" t="s">
        <v>61</v>
      </c>
      <c r="F97" s="146" t="s">
        <v>62</v>
      </c>
      <c r="G97" s="144" t="s">
        <v>84</v>
      </c>
      <c r="H97" s="434" t="s">
        <v>378</v>
      </c>
      <c r="I97" s="435" t="s">
        <v>379</v>
      </c>
      <c r="J97" s="210" t="s">
        <v>85</v>
      </c>
      <c r="K97" s="212"/>
      <c r="L97" s="271" t="s">
        <v>220</v>
      </c>
      <c r="M97" s="146" t="s">
        <v>86</v>
      </c>
      <c r="N97" s="271" t="s">
        <v>220</v>
      </c>
      <c r="O97" s="146" t="s">
        <v>86</v>
      </c>
      <c r="P97" s="146" t="s">
        <v>65</v>
      </c>
    </row>
    <row r="98" spans="1:16" ht="13.5" thickBot="1">
      <c r="C98" s="147" t="s">
        <v>66</v>
      </c>
      <c r="D98" s="213" t="s">
        <v>67</v>
      </c>
      <c r="E98" s="147" t="s">
        <v>68</v>
      </c>
      <c r="F98" s="147" t="s">
        <v>67</v>
      </c>
      <c r="G98" s="147" t="s">
        <v>67</v>
      </c>
      <c r="H98" s="255" t="s">
        <v>69</v>
      </c>
      <c r="I98" s="148" t="s">
        <v>70</v>
      </c>
      <c r="J98" s="149" t="s">
        <v>89</v>
      </c>
      <c r="K98" s="150"/>
      <c r="L98" s="151" t="s">
        <v>72</v>
      </c>
      <c r="M98" s="151" t="s">
        <v>72</v>
      </c>
      <c r="N98" s="151" t="s">
        <v>90</v>
      </c>
      <c r="O98" s="151" t="s">
        <v>90</v>
      </c>
      <c r="P98" s="151" t="s">
        <v>90</v>
      </c>
    </row>
    <row r="99" spans="1:16">
      <c r="C99" s="153">
        <f>IF(D93= "","-",D93)</f>
        <v>2018</v>
      </c>
      <c r="D99" s="154">
        <f>IF(D93=C99,0,D92)</f>
        <v>0</v>
      </c>
      <c r="E99" s="161">
        <f>IF(D11=I10,0,J96/12*(12-D94))</f>
        <v>0</v>
      </c>
      <c r="F99" s="159">
        <f>IF(D93=C99,+D92-E99,+D99-E99)</f>
        <v>1690000</v>
      </c>
      <c r="G99" s="214">
        <f t="shared" ref="G99:G154" si="8">+(F99+D99)/2</f>
        <v>845000</v>
      </c>
      <c r="H99" s="251">
        <f>+J94*G99+E99</f>
        <v>102643.38174296483</v>
      </c>
      <c r="I99" s="252">
        <f>+J95*G99+E99</f>
        <v>102643.38174296483</v>
      </c>
      <c r="J99" s="158">
        <f t="shared" ref="J99:J130" si="9">+I99-H99</f>
        <v>0</v>
      </c>
      <c r="K99" s="158"/>
      <c r="L99" s="333"/>
      <c r="M99" s="157">
        <f t="shared" ref="M99:M130" si="10">IF(L99&lt;&gt;0,+H99-L99,0)</f>
        <v>0</v>
      </c>
      <c r="N99" s="333"/>
      <c r="O99" s="157">
        <f t="shared" ref="O99:O130" si="11">IF(N99&lt;&gt;0,+I99-N99,0)</f>
        <v>0</v>
      </c>
      <c r="P99" s="157">
        <f t="shared" ref="P99:P130" si="12">+O99-M99</f>
        <v>0</v>
      </c>
    </row>
    <row r="100" spans="1:16">
      <c r="B100" s="9" t="str">
        <f>IF(D100=F99,"","IU")</f>
        <v/>
      </c>
      <c r="C100" s="153">
        <f>IF(D93="","-",+C99+1)</f>
        <v>2019</v>
      </c>
      <c r="D100" s="154">
        <f>IF(F99+SUM(E$99:E99)=D$92,F99,D$92-SUM(E$99:E99))</f>
        <v>1690000</v>
      </c>
      <c r="E100" s="160">
        <f>IF(+J96&lt;F99,J96,D100)</f>
        <v>40238.095238095237</v>
      </c>
      <c r="F100" s="159">
        <f t="shared" ref="F100:F154" si="13">+D100-E100</f>
        <v>1649761.9047619049</v>
      </c>
      <c r="G100" s="159">
        <f t="shared" si="8"/>
        <v>1669880.9523809524</v>
      </c>
      <c r="H100" s="163">
        <f t="shared" ref="H100:H154" si="14">+J$94*G100+E100</f>
        <v>243080.96868252577</v>
      </c>
      <c r="I100" s="253">
        <f t="shared" ref="I100:I154" si="15">+J$95*G100+E100</f>
        <v>243080.96868252577</v>
      </c>
      <c r="J100" s="158">
        <f t="shared" si="9"/>
        <v>0</v>
      </c>
      <c r="K100" s="158"/>
      <c r="L100" s="334"/>
      <c r="M100" s="158">
        <f t="shared" si="10"/>
        <v>0</v>
      </c>
      <c r="N100" s="334"/>
      <c r="O100" s="158">
        <f t="shared" si="11"/>
        <v>0</v>
      </c>
      <c r="P100" s="158">
        <f t="shared" si="12"/>
        <v>0</v>
      </c>
    </row>
    <row r="101" spans="1:16">
      <c r="B101" s="9" t="str">
        <f t="shared" ref="B101:B154" si="16">IF(D101=F100,"","IU")</f>
        <v/>
      </c>
      <c r="C101" s="153">
        <f>IF(D93="","-",+C100+1)</f>
        <v>2020</v>
      </c>
      <c r="D101" s="154">
        <f>IF(F100+SUM(E$99:E100)=D$92,F100,D$92-SUM(E$99:E100))</f>
        <v>1649761.9047619049</v>
      </c>
      <c r="E101" s="160">
        <f>IF(+J96&lt;F100,J96,D101)</f>
        <v>40238.095238095237</v>
      </c>
      <c r="F101" s="159">
        <f t="shared" si="13"/>
        <v>1609523.8095238097</v>
      </c>
      <c r="G101" s="159">
        <f t="shared" si="8"/>
        <v>1629642.8571428573</v>
      </c>
      <c r="H101" s="163">
        <f t="shared" si="14"/>
        <v>238193.18859952744</v>
      </c>
      <c r="I101" s="253">
        <f t="shared" si="15"/>
        <v>238193.18859952744</v>
      </c>
      <c r="J101" s="158">
        <f t="shared" si="9"/>
        <v>0</v>
      </c>
      <c r="K101" s="158"/>
      <c r="L101" s="334"/>
      <c r="M101" s="158">
        <f t="shared" si="10"/>
        <v>0</v>
      </c>
      <c r="N101" s="334"/>
      <c r="O101" s="158">
        <f t="shared" si="11"/>
        <v>0</v>
      </c>
      <c r="P101" s="158">
        <f t="shared" si="12"/>
        <v>0</v>
      </c>
    </row>
    <row r="102" spans="1:16">
      <c r="B102" s="9" t="str">
        <f t="shared" si="16"/>
        <v/>
      </c>
      <c r="C102" s="153">
        <f>IF(D93="","-",+C101+1)</f>
        <v>2021</v>
      </c>
      <c r="D102" s="154">
        <f>IF(F101+SUM(E$99:E101)=D$92,F101,D$92-SUM(E$99:E101))</f>
        <v>1609523.8095238097</v>
      </c>
      <c r="E102" s="160">
        <f>IF(+J96&lt;F101,J96,D102)</f>
        <v>40238.095238095237</v>
      </c>
      <c r="F102" s="159">
        <f t="shared" si="13"/>
        <v>1569285.7142857146</v>
      </c>
      <c r="G102" s="159">
        <f t="shared" si="8"/>
        <v>1589404.7619047621</v>
      </c>
      <c r="H102" s="163">
        <f t="shared" si="14"/>
        <v>233305.40851652913</v>
      </c>
      <c r="I102" s="253">
        <f t="shared" si="15"/>
        <v>233305.40851652913</v>
      </c>
      <c r="J102" s="158">
        <f t="shared" si="9"/>
        <v>0</v>
      </c>
      <c r="K102" s="158"/>
      <c r="L102" s="334"/>
      <c r="M102" s="158">
        <f t="shared" si="10"/>
        <v>0</v>
      </c>
      <c r="N102" s="334"/>
      <c r="O102" s="158">
        <f t="shared" si="11"/>
        <v>0</v>
      </c>
      <c r="P102" s="158">
        <f t="shared" si="12"/>
        <v>0</v>
      </c>
    </row>
    <row r="103" spans="1:16">
      <c r="B103" s="9" t="str">
        <f t="shared" si="16"/>
        <v/>
      </c>
      <c r="C103" s="153">
        <f>IF(D93="","-",+C102+1)</f>
        <v>2022</v>
      </c>
      <c r="D103" s="154">
        <f>IF(F102+SUM(E$99:E102)=D$92,F102,D$92-SUM(E$99:E102))</f>
        <v>1569285.7142857146</v>
      </c>
      <c r="E103" s="160">
        <f>IF(+J96&lt;F102,J96,D103)</f>
        <v>40238.095238095237</v>
      </c>
      <c r="F103" s="159">
        <f t="shared" si="13"/>
        <v>1529047.6190476194</v>
      </c>
      <c r="G103" s="159">
        <f t="shared" si="8"/>
        <v>1549166.666666667</v>
      </c>
      <c r="H103" s="163">
        <f t="shared" si="14"/>
        <v>228417.6284335308</v>
      </c>
      <c r="I103" s="253">
        <f t="shared" si="15"/>
        <v>228417.6284335308</v>
      </c>
      <c r="J103" s="158">
        <f t="shared" si="9"/>
        <v>0</v>
      </c>
      <c r="K103" s="158"/>
      <c r="L103" s="334"/>
      <c r="M103" s="158">
        <f t="shared" si="10"/>
        <v>0</v>
      </c>
      <c r="N103" s="334"/>
      <c r="O103" s="158">
        <f t="shared" si="11"/>
        <v>0</v>
      </c>
      <c r="P103" s="158">
        <f t="shared" si="12"/>
        <v>0</v>
      </c>
    </row>
    <row r="104" spans="1:16">
      <c r="B104" s="9" t="str">
        <f t="shared" si="16"/>
        <v/>
      </c>
      <c r="C104" s="153">
        <f>IF(D93="","-",+C103+1)</f>
        <v>2023</v>
      </c>
      <c r="D104" s="154">
        <f>IF(F103+SUM(E$99:E103)=D$92,F103,D$92-SUM(E$99:E103))</f>
        <v>1529047.6190476194</v>
      </c>
      <c r="E104" s="160">
        <f>IF(+J96&lt;F103,J96,D104)</f>
        <v>40238.095238095237</v>
      </c>
      <c r="F104" s="159">
        <f t="shared" si="13"/>
        <v>1488809.5238095243</v>
      </c>
      <c r="G104" s="159">
        <f t="shared" si="8"/>
        <v>1508928.5714285718</v>
      </c>
      <c r="H104" s="163">
        <f t="shared" si="14"/>
        <v>223529.8483505325</v>
      </c>
      <c r="I104" s="253">
        <f t="shared" si="15"/>
        <v>223529.8483505325</v>
      </c>
      <c r="J104" s="158">
        <f t="shared" si="9"/>
        <v>0</v>
      </c>
      <c r="K104" s="158"/>
      <c r="L104" s="334"/>
      <c r="M104" s="158">
        <f t="shared" si="10"/>
        <v>0</v>
      </c>
      <c r="N104" s="334"/>
      <c r="O104" s="158">
        <f t="shared" si="11"/>
        <v>0</v>
      </c>
      <c r="P104" s="158">
        <f t="shared" si="12"/>
        <v>0</v>
      </c>
    </row>
    <row r="105" spans="1:16">
      <c r="B105" s="9" t="str">
        <f t="shared" si="16"/>
        <v/>
      </c>
      <c r="C105" s="153">
        <f>IF(D93="","-",+C104+1)</f>
        <v>2024</v>
      </c>
      <c r="D105" s="154">
        <f>IF(F104+SUM(E$99:E104)=D$92,F104,D$92-SUM(E$99:E104))</f>
        <v>1488809.5238095243</v>
      </c>
      <c r="E105" s="160">
        <f>IF(+J96&lt;F104,J96,D105)</f>
        <v>40238.095238095237</v>
      </c>
      <c r="F105" s="159">
        <f t="shared" si="13"/>
        <v>1448571.4285714291</v>
      </c>
      <c r="G105" s="159">
        <f t="shared" si="8"/>
        <v>1468690.4761904767</v>
      </c>
      <c r="H105" s="163">
        <f t="shared" si="14"/>
        <v>218642.06826753417</v>
      </c>
      <c r="I105" s="253">
        <f t="shared" si="15"/>
        <v>218642.06826753417</v>
      </c>
      <c r="J105" s="158">
        <f t="shared" si="9"/>
        <v>0</v>
      </c>
      <c r="K105" s="158"/>
      <c r="L105" s="334"/>
      <c r="M105" s="158">
        <f t="shared" si="10"/>
        <v>0</v>
      </c>
      <c r="N105" s="334"/>
      <c r="O105" s="158">
        <f t="shared" si="11"/>
        <v>0</v>
      </c>
      <c r="P105" s="158">
        <f t="shared" si="12"/>
        <v>0</v>
      </c>
    </row>
    <row r="106" spans="1:16">
      <c r="B106" s="9" t="str">
        <f t="shared" si="16"/>
        <v/>
      </c>
      <c r="C106" s="153">
        <f>IF(D93="","-",+C105+1)</f>
        <v>2025</v>
      </c>
      <c r="D106" s="154">
        <f>IF(F105+SUM(E$99:E105)=D$92,F105,D$92-SUM(E$99:E105))</f>
        <v>1448571.4285714291</v>
      </c>
      <c r="E106" s="160">
        <f>IF(+J96&lt;F105,J96,D106)</f>
        <v>40238.095238095237</v>
      </c>
      <c r="F106" s="159">
        <f t="shared" si="13"/>
        <v>1408333.333333334</v>
      </c>
      <c r="G106" s="159">
        <f t="shared" si="8"/>
        <v>1428452.3809523815</v>
      </c>
      <c r="H106" s="163">
        <f t="shared" si="14"/>
        <v>213754.28818453586</v>
      </c>
      <c r="I106" s="253">
        <f t="shared" si="15"/>
        <v>213754.28818453586</v>
      </c>
      <c r="J106" s="158">
        <f t="shared" si="9"/>
        <v>0</v>
      </c>
      <c r="K106" s="158"/>
      <c r="L106" s="334"/>
      <c r="M106" s="158">
        <f t="shared" si="10"/>
        <v>0</v>
      </c>
      <c r="N106" s="334"/>
      <c r="O106" s="158">
        <f t="shared" si="11"/>
        <v>0</v>
      </c>
      <c r="P106" s="158">
        <f t="shared" si="12"/>
        <v>0</v>
      </c>
    </row>
    <row r="107" spans="1:16">
      <c r="B107" s="9" t="str">
        <f t="shared" si="16"/>
        <v/>
      </c>
      <c r="C107" s="153">
        <f>IF(D93="","-",+C106+1)</f>
        <v>2026</v>
      </c>
      <c r="D107" s="154">
        <f>IF(F106+SUM(E$99:E106)=D$92,F106,D$92-SUM(E$99:E106))</f>
        <v>1408333.333333334</v>
      </c>
      <c r="E107" s="160">
        <f>IF(+J96&lt;F106,J96,D107)</f>
        <v>40238.095238095237</v>
      </c>
      <c r="F107" s="159">
        <f t="shared" si="13"/>
        <v>1368095.2380952388</v>
      </c>
      <c r="G107" s="159">
        <f t="shared" si="8"/>
        <v>1388214.2857142864</v>
      </c>
      <c r="H107" s="163">
        <f t="shared" si="14"/>
        <v>208866.50810153756</v>
      </c>
      <c r="I107" s="253">
        <f t="shared" si="15"/>
        <v>208866.50810153756</v>
      </c>
      <c r="J107" s="158">
        <f t="shared" si="9"/>
        <v>0</v>
      </c>
      <c r="K107" s="158"/>
      <c r="L107" s="334"/>
      <c r="M107" s="158">
        <f t="shared" si="10"/>
        <v>0</v>
      </c>
      <c r="N107" s="334"/>
      <c r="O107" s="158">
        <f t="shared" si="11"/>
        <v>0</v>
      </c>
      <c r="P107" s="158">
        <f t="shared" si="12"/>
        <v>0</v>
      </c>
    </row>
    <row r="108" spans="1:16">
      <c r="B108" s="9" t="str">
        <f t="shared" si="16"/>
        <v/>
      </c>
      <c r="C108" s="153">
        <f>IF(D93="","-",+C107+1)</f>
        <v>2027</v>
      </c>
      <c r="D108" s="154">
        <f>IF(F107+SUM(E$99:E107)=D$92,F107,D$92-SUM(E$99:E107))</f>
        <v>1368095.2380952388</v>
      </c>
      <c r="E108" s="160">
        <f>IF(+J96&lt;F107,J96,D108)</f>
        <v>40238.095238095237</v>
      </c>
      <c r="F108" s="159">
        <f t="shared" si="13"/>
        <v>1327857.1428571437</v>
      </c>
      <c r="G108" s="159">
        <f t="shared" si="8"/>
        <v>1347976.1904761912</v>
      </c>
      <c r="H108" s="163">
        <f t="shared" si="14"/>
        <v>203978.72801853923</v>
      </c>
      <c r="I108" s="253">
        <f t="shared" si="15"/>
        <v>203978.72801853923</v>
      </c>
      <c r="J108" s="158">
        <f t="shared" si="9"/>
        <v>0</v>
      </c>
      <c r="K108" s="158"/>
      <c r="L108" s="334"/>
      <c r="M108" s="158">
        <f t="shared" si="10"/>
        <v>0</v>
      </c>
      <c r="N108" s="334"/>
      <c r="O108" s="158">
        <f t="shared" si="11"/>
        <v>0</v>
      </c>
      <c r="P108" s="158">
        <f t="shared" si="12"/>
        <v>0</v>
      </c>
    </row>
    <row r="109" spans="1:16">
      <c r="B109" s="9" t="str">
        <f t="shared" si="16"/>
        <v/>
      </c>
      <c r="C109" s="153">
        <f>IF(D93="","-",+C108+1)</f>
        <v>2028</v>
      </c>
      <c r="D109" s="154">
        <f>IF(F108+SUM(E$99:E108)=D$92,F108,D$92-SUM(E$99:E108))</f>
        <v>1327857.1428571437</v>
      </c>
      <c r="E109" s="160">
        <f>IF(+J96&lt;F108,J96,D109)</f>
        <v>40238.095238095237</v>
      </c>
      <c r="F109" s="159">
        <f t="shared" si="13"/>
        <v>1287619.0476190485</v>
      </c>
      <c r="G109" s="159">
        <f t="shared" si="8"/>
        <v>1307738.0952380961</v>
      </c>
      <c r="H109" s="163">
        <f t="shared" si="14"/>
        <v>199090.94793554093</v>
      </c>
      <c r="I109" s="253">
        <f t="shared" si="15"/>
        <v>199090.94793554093</v>
      </c>
      <c r="J109" s="158">
        <f t="shared" si="9"/>
        <v>0</v>
      </c>
      <c r="K109" s="158"/>
      <c r="L109" s="334"/>
      <c r="M109" s="158">
        <f t="shared" si="10"/>
        <v>0</v>
      </c>
      <c r="N109" s="334"/>
      <c r="O109" s="158">
        <f t="shared" si="11"/>
        <v>0</v>
      </c>
      <c r="P109" s="158">
        <f t="shared" si="12"/>
        <v>0</v>
      </c>
    </row>
    <row r="110" spans="1:16">
      <c r="B110" s="9" t="str">
        <f t="shared" si="16"/>
        <v/>
      </c>
      <c r="C110" s="153">
        <f>IF(D93="","-",+C109+1)</f>
        <v>2029</v>
      </c>
      <c r="D110" s="154">
        <f>IF(F109+SUM(E$99:E109)=D$92,F109,D$92-SUM(E$99:E109))</f>
        <v>1287619.0476190485</v>
      </c>
      <c r="E110" s="160">
        <f>IF(+J96&lt;F109,J96,D110)</f>
        <v>40238.095238095237</v>
      </c>
      <c r="F110" s="159">
        <f t="shared" si="13"/>
        <v>1247380.9523809534</v>
      </c>
      <c r="G110" s="159">
        <f t="shared" si="8"/>
        <v>1267500.0000000009</v>
      </c>
      <c r="H110" s="163">
        <f t="shared" si="14"/>
        <v>194203.1678525426</v>
      </c>
      <c r="I110" s="253">
        <f t="shared" si="15"/>
        <v>194203.1678525426</v>
      </c>
      <c r="J110" s="158">
        <f t="shared" si="9"/>
        <v>0</v>
      </c>
      <c r="K110" s="158"/>
      <c r="L110" s="334"/>
      <c r="M110" s="158">
        <f t="shared" si="10"/>
        <v>0</v>
      </c>
      <c r="N110" s="334"/>
      <c r="O110" s="158">
        <f t="shared" si="11"/>
        <v>0</v>
      </c>
      <c r="P110" s="158">
        <f t="shared" si="12"/>
        <v>0</v>
      </c>
    </row>
    <row r="111" spans="1:16">
      <c r="B111" s="9" t="str">
        <f t="shared" si="16"/>
        <v/>
      </c>
      <c r="C111" s="153">
        <f>IF(D93="","-",+C110+1)</f>
        <v>2030</v>
      </c>
      <c r="D111" s="154">
        <f>IF(F110+SUM(E$99:E110)=D$92,F110,D$92-SUM(E$99:E110))</f>
        <v>1247380.9523809534</v>
      </c>
      <c r="E111" s="160">
        <f>IF(+J96&lt;F110,J96,D111)</f>
        <v>40238.095238095237</v>
      </c>
      <c r="F111" s="159">
        <f t="shared" si="13"/>
        <v>1207142.8571428582</v>
      </c>
      <c r="G111" s="159">
        <f t="shared" si="8"/>
        <v>1227261.9047619058</v>
      </c>
      <c r="H111" s="163">
        <f t="shared" si="14"/>
        <v>189315.38776954429</v>
      </c>
      <c r="I111" s="253">
        <f t="shared" si="15"/>
        <v>189315.38776954429</v>
      </c>
      <c r="J111" s="158">
        <f t="shared" si="9"/>
        <v>0</v>
      </c>
      <c r="K111" s="158"/>
      <c r="L111" s="334"/>
      <c r="M111" s="158">
        <f t="shared" si="10"/>
        <v>0</v>
      </c>
      <c r="N111" s="334"/>
      <c r="O111" s="158">
        <f t="shared" si="11"/>
        <v>0</v>
      </c>
      <c r="P111" s="158">
        <f t="shared" si="12"/>
        <v>0</v>
      </c>
    </row>
    <row r="112" spans="1:16">
      <c r="B112" s="9" t="str">
        <f t="shared" si="16"/>
        <v/>
      </c>
      <c r="C112" s="153">
        <f>IF(D93="","-",+C111+1)</f>
        <v>2031</v>
      </c>
      <c r="D112" s="154">
        <f>IF(F111+SUM(E$99:E111)=D$92,F111,D$92-SUM(E$99:E111))</f>
        <v>1207142.8571428582</v>
      </c>
      <c r="E112" s="160">
        <f>IF(+J96&lt;F111,J96,D112)</f>
        <v>40238.095238095237</v>
      </c>
      <c r="F112" s="159">
        <f t="shared" si="13"/>
        <v>1166904.7619047631</v>
      </c>
      <c r="G112" s="159">
        <f t="shared" si="8"/>
        <v>1187023.8095238106</v>
      </c>
      <c r="H112" s="163">
        <f t="shared" si="14"/>
        <v>184427.60768654599</v>
      </c>
      <c r="I112" s="253">
        <f t="shared" si="15"/>
        <v>184427.60768654599</v>
      </c>
      <c r="J112" s="158">
        <f t="shared" si="9"/>
        <v>0</v>
      </c>
      <c r="K112" s="158"/>
      <c r="L112" s="334"/>
      <c r="M112" s="158">
        <f t="shared" si="10"/>
        <v>0</v>
      </c>
      <c r="N112" s="334"/>
      <c r="O112" s="158">
        <f t="shared" si="11"/>
        <v>0</v>
      </c>
      <c r="P112" s="158">
        <f t="shared" si="12"/>
        <v>0</v>
      </c>
    </row>
    <row r="113" spans="2:16">
      <c r="B113" s="9" t="str">
        <f t="shared" si="16"/>
        <v/>
      </c>
      <c r="C113" s="153">
        <f>IF(D93="","-",+C112+1)</f>
        <v>2032</v>
      </c>
      <c r="D113" s="154">
        <f>IF(F112+SUM(E$99:E112)=D$92,F112,D$92-SUM(E$99:E112))</f>
        <v>1166904.7619047631</v>
      </c>
      <c r="E113" s="160">
        <f>IF(+J96&lt;F112,J96,D113)</f>
        <v>40238.095238095237</v>
      </c>
      <c r="F113" s="159">
        <f t="shared" si="13"/>
        <v>1126666.6666666679</v>
      </c>
      <c r="G113" s="159">
        <f t="shared" si="8"/>
        <v>1146785.7142857155</v>
      </c>
      <c r="H113" s="163">
        <f t="shared" si="14"/>
        <v>179539.82760354766</v>
      </c>
      <c r="I113" s="253">
        <f t="shared" si="15"/>
        <v>179539.82760354766</v>
      </c>
      <c r="J113" s="158">
        <f t="shared" si="9"/>
        <v>0</v>
      </c>
      <c r="K113" s="158"/>
      <c r="L113" s="334"/>
      <c r="M113" s="158">
        <f t="shared" si="10"/>
        <v>0</v>
      </c>
      <c r="N113" s="334"/>
      <c r="O113" s="158">
        <f t="shared" si="11"/>
        <v>0</v>
      </c>
      <c r="P113" s="158">
        <f t="shared" si="12"/>
        <v>0</v>
      </c>
    </row>
    <row r="114" spans="2:16">
      <c r="B114" s="9" t="str">
        <f t="shared" si="16"/>
        <v/>
      </c>
      <c r="C114" s="153">
        <f>IF(D93="","-",+C113+1)</f>
        <v>2033</v>
      </c>
      <c r="D114" s="154">
        <f>IF(F113+SUM(E$99:E113)=D$92,F113,D$92-SUM(E$99:E113))</f>
        <v>1126666.6666666679</v>
      </c>
      <c r="E114" s="160">
        <f>IF(+J96&lt;F113,J96,D114)</f>
        <v>40238.095238095237</v>
      </c>
      <c r="F114" s="159">
        <f t="shared" si="13"/>
        <v>1086428.5714285728</v>
      </c>
      <c r="G114" s="159">
        <f t="shared" si="8"/>
        <v>1106547.6190476203</v>
      </c>
      <c r="H114" s="163">
        <f t="shared" si="14"/>
        <v>174652.04752054936</v>
      </c>
      <c r="I114" s="253">
        <f t="shared" si="15"/>
        <v>174652.04752054936</v>
      </c>
      <c r="J114" s="158">
        <f t="shared" si="9"/>
        <v>0</v>
      </c>
      <c r="K114" s="158"/>
      <c r="L114" s="334"/>
      <c r="M114" s="158">
        <f t="shared" si="10"/>
        <v>0</v>
      </c>
      <c r="N114" s="334"/>
      <c r="O114" s="158">
        <f t="shared" si="11"/>
        <v>0</v>
      </c>
      <c r="P114" s="158">
        <f t="shared" si="12"/>
        <v>0</v>
      </c>
    </row>
    <row r="115" spans="2:16">
      <c r="B115" s="9" t="str">
        <f t="shared" si="16"/>
        <v/>
      </c>
      <c r="C115" s="153">
        <f>IF(D93="","-",+C114+1)</f>
        <v>2034</v>
      </c>
      <c r="D115" s="154">
        <f>IF(F114+SUM(E$99:E114)=D$92,F114,D$92-SUM(E$99:E114))</f>
        <v>1086428.5714285728</v>
      </c>
      <c r="E115" s="160">
        <f>IF(+J96&lt;F114,J96,D115)</f>
        <v>40238.095238095237</v>
      </c>
      <c r="F115" s="159">
        <f t="shared" si="13"/>
        <v>1046190.4761904775</v>
      </c>
      <c r="G115" s="159">
        <f t="shared" si="8"/>
        <v>1066309.5238095252</v>
      </c>
      <c r="H115" s="163">
        <f t="shared" si="14"/>
        <v>169764.26743755103</v>
      </c>
      <c r="I115" s="253">
        <f t="shared" si="15"/>
        <v>169764.26743755103</v>
      </c>
      <c r="J115" s="158">
        <f t="shared" si="9"/>
        <v>0</v>
      </c>
      <c r="K115" s="158"/>
      <c r="L115" s="334"/>
      <c r="M115" s="158">
        <f t="shared" si="10"/>
        <v>0</v>
      </c>
      <c r="N115" s="334"/>
      <c r="O115" s="158">
        <f t="shared" si="11"/>
        <v>0</v>
      </c>
      <c r="P115" s="158">
        <f t="shared" si="12"/>
        <v>0</v>
      </c>
    </row>
    <row r="116" spans="2:16">
      <c r="B116" s="9" t="str">
        <f t="shared" si="16"/>
        <v/>
      </c>
      <c r="C116" s="153">
        <f>IF(D93="","-",+C115+1)</f>
        <v>2035</v>
      </c>
      <c r="D116" s="154">
        <f>IF(F115+SUM(E$99:E115)=D$92,F115,D$92-SUM(E$99:E115))</f>
        <v>1046190.4761904775</v>
      </c>
      <c r="E116" s="160">
        <f>IF(+J96&lt;F115,J96,D116)</f>
        <v>40238.095238095237</v>
      </c>
      <c r="F116" s="159">
        <f t="shared" si="13"/>
        <v>1005952.3809523822</v>
      </c>
      <c r="G116" s="159">
        <f t="shared" si="8"/>
        <v>1026071.4285714298</v>
      </c>
      <c r="H116" s="163">
        <f t="shared" si="14"/>
        <v>164876.48735455269</v>
      </c>
      <c r="I116" s="253">
        <f t="shared" si="15"/>
        <v>164876.48735455269</v>
      </c>
      <c r="J116" s="158">
        <f t="shared" si="9"/>
        <v>0</v>
      </c>
      <c r="K116" s="158"/>
      <c r="L116" s="334"/>
      <c r="M116" s="158">
        <f t="shared" si="10"/>
        <v>0</v>
      </c>
      <c r="N116" s="334"/>
      <c r="O116" s="158">
        <f t="shared" si="11"/>
        <v>0</v>
      </c>
      <c r="P116" s="158">
        <f t="shared" si="12"/>
        <v>0</v>
      </c>
    </row>
    <row r="117" spans="2:16">
      <c r="B117" s="9" t="str">
        <f t="shared" si="16"/>
        <v/>
      </c>
      <c r="C117" s="153">
        <f>IF(D93="","-",+C116+1)</f>
        <v>2036</v>
      </c>
      <c r="D117" s="154">
        <f>IF(F116+SUM(E$99:E116)=D$92,F116,D$92-SUM(E$99:E116))</f>
        <v>1005952.3809523822</v>
      </c>
      <c r="E117" s="160">
        <f>IF(+J96&lt;F116,J96,D117)</f>
        <v>40238.095238095237</v>
      </c>
      <c r="F117" s="159">
        <f t="shared" si="13"/>
        <v>965714.28571428696</v>
      </c>
      <c r="G117" s="159">
        <f t="shared" si="8"/>
        <v>985833.33333333465</v>
      </c>
      <c r="H117" s="163">
        <f t="shared" si="14"/>
        <v>159988.70727155439</v>
      </c>
      <c r="I117" s="253">
        <f t="shared" si="15"/>
        <v>159988.70727155439</v>
      </c>
      <c r="J117" s="158">
        <f t="shared" si="9"/>
        <v>0</v>
      </c>
      <c r="K117" s="158"/>
      <c r="L117" s="334"/>
      <c r="M117" s="158">
        <f t="shared" si="10"/>
        <v>0</v>
      </c>
      <c r="N117" s="334"/>
      <c r="O117" s="158">
        <f t="shared" si="11"/>
        <v>0</v>
      </c>
      <c r="P117" s="158">
        <f t="shared" si="12"/>
        <v>0</v>
      </c>
    </row>
    <row r="118" spans="2:16">
      <c r="B118" s="9" t="str">
        <f t="shared" si="16"/>
        <v/>
      </c>
      <c r="C118" s="153">
        <f>IF(D93="","-",+C117+1)</f>
        <v>2037</v>
      </c>
      <c r="D118" s="154">
        <f>IF(F117+SUM(E$99:E117)=D$92,F117,D$92-SUM(E$99:E117))</f>
        <v>965714.28571428696</v>
      </c>
      <c r="E118" s="160">
        <f>IF(+J96&lt;F117,J96,D118)</f>
        <v>40238.095238095237</v>
      </c>
      <c r="F118" s="159">
        <f t="shared" si="13"/>
        <v>925476.1904761917</v>
      </c>
      <c r="G118" s="159">
        <f t="shared" si="8"/>
        <v>945595.23809523927</v>
      </c>
      <c r="H118" s="163">
        <f t="shared" si="14"/>
        <v>155100.92718855603</v>
      </c>
      <c r="I118" s="253">
        <f t="shared" si="15"/>
        <v>155100.92718855603</v>
      </c>
      <c r="J118" s="158">
        <f t="shared" si="9"/>
        <v>0</v>
      </c>
      <c r="K118" s="158"/>
      <c r="L118" s="334"/>
      <c r="M118" s="158">
        <f t="shared" si="10"/>
        <v>0</v>
      </c>
      <c r="N118" s="334"/>
      <c r="O118" s="158">
        <f t="shared" si="11"/>
        <v>0</v>
      </c>
      <c r="P118" s="158">
        <f t="shared" si="12"/>
        <v>0</v>
      </c>
    </row>
    <row r="119" spans="2:16">
      <c r="B119" s="9" t="str">
        <f t="shared" si="16"/>
        <v/>
      </c>
      <c r="C119" s="153">
        <f>IF(D93="","-",+C118+1)</f>
        <v>2038</v>
      </c>
      <c r="D119" s="154">
        <f>IF(F118+SUM(E$99:E118)=D$92,F118,D$92-SUM(E$99:E118))</f>
        <v>925476.1904761917</v>
      </c>
      <c r="E119" s="160">
        <f>IF(+J96&lt;F118,J96,D119)</f>
        <v>40238.095238095237</v>
      </c>
      <c r="F119" s="159">
        <f t="shared" si="13"/>
        <v>885238.09523809643</v>
      </c>
      <c r="G119" s="159">
        <f t="shared" si="8"/>
        <v>905357.14285714412</v>
      </c>
      <c r="H119" s="163">
        <f t="shared" si="14"/>
        <v>150213.14710555773</v>
      </c>
      <c r="I119" s="253">
        <f t="shared" si="15"/>
        <v>150213.14710555773</v>
      </c>
      <c r="J119" s="158">
        <f t="shared" si="9"/>
        <v>0</v>
      </c>
      <c r="K119" s="158"/>
      <c r="L119" s="334"/>
      <c r="M119" s="158">
        <f t="shared" si="10"/>
        <v>0</v>
      </c>
      <c r="N119" s="334"/>
      <c r="O119" s="158">
        <f t="shared" si="11"/>
        <v>0</v>
      </c>
      <c r="P119" s="158">
        <f t="shared" si="12"/>
        <v>0</v>
      </c>
    </row>
    <row r="120" spans="2:16">
      <c r="B120" s="9" t="str">
        <f t="shared" si="16"/>
        <v/>
      </c>
      <c r="C120" s="153">
        <f>IF(D93="","-",+C119+1)</f>
        <v>2039</v>
      </c>
      <c r="D120" s="154">
        <f>IF(F119+SUM(E$99:E119)=D$92,F119,D$92-SUM(E$99:E119))</f>
        <v>885238.09523809643</v>
      </c>
      <c r="E120" s="160">
        <f>IF(+J96&lt;F119,J96,D120)</f>
        <v>40238.095238095237</v>
      </c>
      <c r="F120" s="159">
        <f t="shared" si="13"/>
        <v>845000.00000000116</v>
      </c>
      <c r="G120" s="159">
        <f t="shared" si="8"/>
        <v>865119.04761904874</v>
      </c>
      <c r="H120" s="163">
        <f t="shared" si="14"/>
        <v>145325.36702255937</v>
      </c>
      <c r="I120" s="253">
        <f t="shared" si="15"/>
        <v>145325.36702255937</v>
      </c>
      <c r="J120" s="158">
        <f t="shared" si="9"/>
        <v>0</v>
      </c>
      <c r="K120" s="158"/>
      <c r="L120" s="334"/>
      <c r="M120" s="158">
        <f t="shared" si="10"/>
        <v>0</v>
      </c>
      <c r="N120" s="334"/>
      <c r="O120" s="158">
        <f t="shared" si="11"/>
        <v>0</v>
      </c>
      <c r="P120" s="158">
        <f t="shared" si="12"/>
        <v>0</v>
      </c>
    </row>
    <row r="121" spans="2:16">
      <c r="B121" s="9" t="str">
        <f t="shared" si="16"/>
        <v/>
      </c>
      <c r="C121" s="153">
        <f>IF(D93="","-",+C120+1)</f>
        <v>2040</v>
      </c>
      <c r="D121" s="154">
        <f>IF(F120+SUM(E$99:E120)=D$92,F120,D$92-SUM(E$99:E120))</f>
        <v>845000.00000000116</v>
      </c>
      <c r="E121" s="160">
        <f>IF(+J96&lt;F120,J96,D121)</f>
        <v>40238.095238095237</v>
      </c>
      <c r="F121" s="159">
        <f t="shared" si="13"/>
        <v>804761.9047619059</v>
      </c>
      <c r="G121" s="159">
        <f t="shared" si="8"/>
        <v>824880.95238095359</v>
      </c>
      <c r="H121" s="163">
        <f t="shared" si="14"/>
        <v>140437.58693956106</v>
      </c>
      <c r="I121" s="253">
        <f t="shared" si="15"/>
        <v>140437.58693956106</v>
      </c>
      <c r="J121" s="158">
        <f t="shared" si="9"/>
        <v>0</v>
      </c>
      <c r="K121" s="158"/>
      <c r="L121" s="334"/>
      <c r="M121" s="158">
        <f t="shared" si="10"/>
        <v>0</v>
      </c>
      <c r="N121" s="334"/>
      <c r="O121" s="158">
        <f t="shared" si="11"/>
        <v>0</v>
      </c>
      <c r="P121" s="158">
        <f t="shared" si="12"/>
        <v>0</v>
      </c>
    </row>
    <row r="122" spans="2:16">
      <c r="B122" s="9" t="str">
        <f t="shared" si="16"/>
        <v/>
      </c>
      <c r="C122" s="153">
        <f>IF(D93="","-",+C121+1)</f>
        <v>2041</v>
      </c>
      <c r="D122" s="154">
        <f>IF(F121+SUM(E$99:E121)=D$92,F121,D$92-SUM(E$99:E121))</f>
        <v>804761.9047619059</v>
      </c>
      <c r="E122" s="160">
        <f>IF(+J96&lt;F121,J96,D122)</f>
        <v>40238.095238095237</v>
      </c>
      <c r="F122" s="159">
        <f t="shared" si="13"/>
        <v>764523.80952381063</v>
      </c>
      <c r="G122" s="159">
        <f t="shared" si="8"/>
        <v>784642.85714285821</v>
      </c>
      <c r="H122" s="163">
        <f t="shared" si="14"/>
        <v>135549.80685656273</v>
      </c>
      <c r="I122" s="253">
        <f t="shared" si="15"/>
        <v>135549.80685656273</v>
      </c>
      <c r="J122" s="158">
        <f t="shared" si="9"/>
        <v>0</v>
      </c>
      <c r="K122" s="158"/>
      <c r="L122" s="334"/>
      <c r="M122" s="158">
        <f t="shared" si="10"/>
        <v>0</v>
      </c>
      <c r="N122" s="334"/>
      <c r="O122" s="158">
        <f t="shared" si="11"/>
        <v>0</v>
      </c>
      <c r="P122" s="158">
        <f t="shared" si="12"/>
        <v>0</v>
      </c>
    </row>
    <row r="123" spans="2:16">
      <c r="B123" s="9" t="str">
        <f t="shared" si="16"/>
        <v/>
      </c>
      <c r="C123" s="153">
        <f>IF(D93="","-",+C122+1)</f>
        <v>2042</v>
      </c>
      <c r="D123" s="154">
        <f>IF(F122+SUM(E$99:E122)=D$92,F122,D$92-SUM(E$99:E122))</f>
        <v>764523.80952381063</v>
      </c>
      <c r="E123" s="160">
        <f>IF(+J96&lt;F122,J96,D123)</f>
        <v>40238.095238095237</v>
      </c>
      <c r="F123" s="159">
        <f t="shared" si="13"/>
        <v>724285.71428571537</v>
      </c>
      <c r="G123" s="159">
        <f t="shared" si="8"/>
        <v>744404.76190476306</v>
      </c>
      <c r="H123" s="163">
        <f t="shared" si="14"/>
        <v>130662.0267735644</v>
      </c>
      <c r="I123" s="253">
        <f t="shared" si="15"/>
        <v>130662.0267735644</v>
      </c>
      <c r="J123" s="158">
        <f t="shared" si="9"/>
        <v>0</v>
      </c>
      <c r="K123" s="158"/>
      <c r="L123" s="334"/>
      <c r="M123" s="158">
        <f t="shared" si="10"/>
        <v>0</v>
      </c>
      <c r="N123" s="334"/>
      <c r="O123" s="158">
        <f t="shared" si="11"/>
        <v>0</v>
      </c>
      <c r="P123" s="158">
        <f t="shared" si="12"/>
        <v>0</v>
      </c>
    </row>
    <row r="124" spans="2:16">
      <c r="B124" s="9" t="str">
        <f t="shared" si="16"/>
        <v/>
      </c>
      <c r="C124" s="153">
        <f>IF(D93="","-",+C123+1)</f>
        <v>2043</v>
      </c>
      <c r="D124" s="154">
        <f>IF(F123+SUM(E$99:E123)=D$92,F123,D$92-SUM(E$99:E123))</f>
        <v>724285.71428571537</v>
      </c>
      <c r="E124" s="160">
        <f>IF(+J96&lt;F123,J96,D124)</f>
        <v>40238.095238095237</v>
      </c>
      <c r="F124" s="159">
        <f t="shared" si="13"/>
        <v>684047.6190476201</v>
      </c>
      <c r="G124" s="159">
        <f t="shared" si="8"/>
        <v>704166.66666666768</v>
      </c>
      <c r="H124" s="163">
        <f t="shared" si="14"/>
        <v>125774.24669056605</v>
      </c>
      <c r="I124" s="253">
        <f t="shared" si="15"/>
        <v>125774.24669056605</v>
      </c>
      <c r="J124" s="158">
        <f t="shared" si="9"/>
        <v>0</v>
      </c>
      <c r="K124" s="158"/>
      <c r="L124" s="334"/>
      <c r="M124" s="158">
        <f t="shared" si="10"/>
        <v>0</v>
      </c>
      <c r="N124" s="334"/>
      <c r="O124" s="158">
        <f t="shared" si="11"/>
        <v>0</v>
      </c>
      <c r="P124" s="158">
        <f t="shared" si="12"/>
        <v>0</v>
      </c>
    </row>
    <row r="125" spans="2:16">
      <c r="B125" s="9" t="str">
        <f t="shared" si="16"/>
        <v/>
      </c>
      <c r="C125" s="153">
        <f>IF(D93="","-",+C124+1)</f>
        <v>2044</v>
      </c>
      <c r="D125" s="154">
        <f>IF(F124+SUM(E$99:E124)=D$92,F124,D$92-SUM(E$99:E124))</f>
        <v>684047.6190476201</v>
      </c>
      <c r="E125" s="160">
        <f>IF(+J96&lt;F124,J96,D125)</f>
        <v>40238.095238095237</v>
      </c>
      <c r="F125" s="159">
        <f t="shared" si="13"/>
        <v>643809.52380952484</v>
      </c>
      <c r="G125" s="159">
        <f t="shared" si="8"/>
        <v>663928.57142857253</v>
      </c>
      <c r="H125" s="163">
        <f t="shared" si="14"/>
        <v>120886.46660756774</v>
      </c>
      <c r="I125" s="253">
        <f t="shared" si="15"/>
        <v>120886.46660756774</v>
      </c>
      <c r="J125" s="158">
        <f t="shared" si="9"/>
        <v>0</v>
      </c>
      <c r="K125" s="158"/>
      <c r="L125" s="334"/>
      <c r="M125" s="158">
        <f t="shared" si="10"/>
        <v>0</v>
      </c>
      <c r="N125" s="334"/>
      <c r="O125" s="158">
        <f t="shared" si="11"/>
        <v>0</v>
      </c>
      <c r="P125" s="158">
        <f t="shared" si="12"/>
        <v>0</v>
      </c>
    </row>
    <row r="126" spans="2:16">
      <c r="B126" s="9" t="str">
        <f t="shared" si="16"/>
        <v/>
      </c>
      <c r="C126" s="153">
        <f>IF(D93="","-",+C125+1)</f>
        <v>2045</v>
      </c>
      <c r="D126" s="154">
        <f>IF(F125+SUM(E$99:E125)=D$92,F125,D$92-SUM(E$99:E125))</f>
        <v>643809.52380952484</v>
      </c>
      <c r="E126" s="160">
        <f>IF(+J96&lt;F125,J96,D126)</f>
        <v>40238.095238095237</v>
      </c>
      <c r="F126" s="159">
        <f t="shared" si="13"/>
        <v>603571.42857142957</v>
      </c>
      <c r="G126" s="159">
        <f t="shared" si="8"/>
        <v>623690.47619047714</v>
      </c>
      <c r="H126" s="163">
        <f t="shared" si="14"/>
        <v>115998.68652456941</v>
      </c>
      <c r="I126" s="253">
        <f t="shared" si="15"/>
        <v>115998.68652456941</v>
      </c>
      <c r="J126" s="158">
        <f t="shared" si="9"/>
        <v>0</v>
      </c>
      <c r="K126" s="158"/>
      <c r="L126" s="334"/>
      <c r="M126" s="158">
        <f t="shared" si="10"/>
        <v>0</v>
      </c>
      <c r="N126" s="334"/>
      <c r="O126" s="158">
        <f t="shared" si="11"/>
        <v>0</v>
      </c>
      <c r="P126" s="158">
        <f t="shared" si="12"/>
        <v>0</v>
      </c>
    </row>
    <row r="127" spans="2:16">
      <c r="B127" s="9" t="str">
        <f t="shared" si="16"/>
        <v/>
      </c>
      <c r="C127" s="153">
        <f>IF(D93="","-",+C126+1)</f>
        <v>2046</v>
      </c>
      <c r="D127" s="154">
        <f>IF(F126+SUM(E$99:E126)=D$92,F126,D$92-SUM(E$99:E126))</f>
        <v>603571.42857142957</v>
      </c>
      <c r="E127" s="160">
        <f>IF(+J96&lt;F126,J96,D127)</f>
        <v>40238.095238095237</v>
      </c>
      <c r="F127" s="159">
        <f t="shared" si="13"/>
        <v>563333.3333333343</v>
      </c>
      <c r="G127" s="159">
        <f t="shared" si="8"/>
        <v>583452.38095238199</v>
      </c>
      <c r="H127" s="163">
        <f t="shared" si="14"/>
        <v>111110.90644157109</v>
      </c>
      <c r="I127" s="253">
        <f t="shared" si="15"/>
        <v>111110.90644157109</v>
      </c>
      <c r="J127" s="158">
        <f t="shared" si="9"/>
        <v>0</v>
      </c>
      <c r="K127" s="158"/>
      <c r="L127" s="334"/>
      <c r="M127" s="158">
        <f t="shared" si="10"/>
        <v>0</v>
      </c>
      <c r="N127" s="334"/>
      <c r="O127" s="158">
        <f t="shared" si="11"/>
        <v>0</v>
      </c>
      <c r="P127" s="158">
        <f t="shared" si="12"/>
        <v>0</v>
      </c>
    </row>
    <row r="128" spans="2:16">
      <c r="B128" s="9" t="str">
        <f t="shared" si="16"/>
        <v/>
      </c>
      <c r="C128" s="153">
        <f>IF(D93="","-",+C127+1)</f>
        <v>2047</v>
      </c>
      <c r="D128" s="154">
        <f>IF(F127+SUM(E$99:E127)=D$92,F127,D$92-SUM(E$99:E127))</f>
        <v>563333.3333333343</v>
      </c>
      <c r="E128" s="160">
        <f>IF(+J96&lt;F127,J96,D128)</f>
        <v>40238.095238095237</v>
      </c>
      <c r="F128" s="159">
        <f t="shared" si="13"/>
        <v>523095.23809523904</v>
      </c>
      <c r="G128" s="159">
        <f t="shared" si="8"/>
        <v>543214.28571428661</v>
      </c>
      <c r="H128" s="163">
        <f t="shared" si="14"/>
        <v>106223.12635857274</v>
      </c>
      <c r="I128" s="253">
        <f t="shared" si="15"/>
        <v>106223.12635857274</v>
      </c>
      <c r="J128" s="158">
        <f t="shared" si="9"/>
        <v>0</v>
      </c>
      <c r="K128" s="158"/>
      <c r="L128" s="334"/>
      <c r="M128" s="158">
        <f t="shared" si="10"/>
        <v>0</v>
      </c>
      <c r="N128" s="334"/>
      <c r="O128" s="158">
        <f t="shared" si="11"/>
        <v>0</v>
      </c>
      <c r="P128" s="158">
        <f t="shared" si="12"/>
        <v>0</v>
      </c>
    </row>
    <row r="129" spans="2:16">
      <c r="B129" s="9" t="str">
        <f t="shared" si="16"/>
        <v/>
      </c>
      <c r="C129" s="153">
        <f>IF(D93="","-",+C128+1)</f>
        <v>2048</v>
      </c>
      <c r="D129" s="154">
        <f>IF(F128+SUM(E$99:E128)=D$92,F128,D$92-SUM(E$99:E128))</f>
        <v>523095.23809523904</v>
      </c>
      <c r="E129" s="160">
        <f>IF(+J96&lt;F128,J96,D129)</f>
        <v>40238.095238095237</v>
      </c>
      <c r="F129" s="159">
        <f t="shared" si="13"/>
        <v>482857.14285714377</v>
      </c>
      <c r="G129" s="159">
        <f t="shared" si="8"/>
        <v>502976.1904761914</v>
      </c>
      <c r="H129" s="163">
        <f t="shared" si="14"/>
        <v>101335.34627557441</v>
      </c>
      <c r="I129" s="253">
        <f t="shared" si="15"/>
        <v>101335.34627557441</v>
      </c>
      <c r="J129" s="158">
        <f t="shared" si="9"/>
        <v>0</v>
      </c>
      <c r="K129" s="158"/>
      <c r="L129" s="334"/>
      <c r="M129" s="158">
        <f t="shared" si="10"/>
        <v>0</v>
      </c>
      <c r="N129" s="334"/>
      <c r="O129" s="158">
        <f t="shared" si="11"/>
        <v>0</v>
      </c>
      <c r="P129" s="158">
        <f t="shared" si="12"/>
        <v>0</v>
      </c>
    </row>
    <row r="130" spans="2:16">
      <c r="B130" s="9" t="str">
        <f t="shared" si="16"/>
        <v/>
      </c>
      <c r="C130" s="153">
        <f>IF(D93="","-",+C129+1)</f>
        <v>2049</v>
      </c>
      <c r="D130" s="154">
        <f>IF(F129+SUM(E$99:E129)=D$92,F129,D$92-SUM(E$99:E129))</f>
        <v>482857.14285714377</v>
      </c>
      <c r="E130" s="160">
        <f>IF(+J96&lt;F129,J96,D130)</f>
        <v>40238.095238095237</v>
      </c>
      <c r="F130" s="159">
        <f t="shared" si="13"/>
        <v>442619.04761904851</v>
      </c>
      <c r="G130" s="159">
        <f t="shared" si="8"/>
        <v>462738.09523809614</v>
      </c>
      <c r="H130" s="163">
        <f t="shared" si="14"/>
        <v>96447.566192576094</v>
      </c>
      <c r="I130" s="253">
        <f t="shared" si="15"/>
        <v>96447.566192576094</v>
      </c>
      <c r="J130" s="158">
        <f t="shared" si="9"/>
        <v>0</v>
      </c>
      <c r="K130" s="158"/>
      <c r="L130" s="334"/>
      <c r="M130" s="158">
        <f t="shared" si="10"/>
        <v>0</v>
      </c>
      <c r="N130" s="334"/>
      <c r="O130" s="158">
        <f t="shared" si="11"/>
        <v>0</v>
      </c>
      <c r="P130" s="158">
        <f t="shared" si="12"/>
        <v>0</v>
      </c>
    </row>
    <row r="131" spans="2:16">
      <c r="B131" s="9" t="str">
        <f t="shared" si="16"/>
        <v/>
      </c>
      <c r="C131" s="153">
        <f>IF(D93="","-",+C130+1)</f>
        <v>2050</v>
      </c>
      <c r="D131" s="154">
        <f>IF(F130+SUM(E$99:E130)=D$92,F130,D$92-SUM(E$99:E130))</f>
        <v>442619.04761904851</v>
      </c>
      <c r="E131" s="160">
        <f>IF(+J96&lt;F130,J96,D131)</f>
        <v>40238.095238095237</v>
      </c>
      <c r="F131" s="159">
        <f t="shared" si="13"/>
        <v>402380.95238095324</v>
      </c>
      <c r="G131" s="159">
        <f t="shared" si="8"/>
        <v>422500.00000000087</v>
      </c>
      <c r="H131" s="163">
        <f t="shared" si="14"/>
        <v>91559.786109577763</v>
      </c>
      <c r="I131" s="253">
        <f t="shared" si="15"/>
        <v>91559.786109577763</v>
      </c>
      <c r="J131" s="158">
        <f t="shared" ref="J131:J154" si="17">+I541-H541</f>
        <v>0</v>
      </c>
      <c r="K131" s="158"/>
      <c r="L131" s="334"/>
      <c r="M131" s="158">
        <f t="shared" ref="M131:M154" si="18">IF(L541&lt;&gt;0,+H541-L541,0)</f>
        <v>0</v>
      </c>
      <c r="N131" s="334"/>
      <c r="O131" s="158">
        <f t="shared" ref="O131:O154" si="19">IF(N541&lt;&gt;0,+I541-N541,0)</f>
        <v>0</v>
      </c>
      <c r="P131" s="158">
        <f t="shared" ref="P131:P154" si="20">+O541-M541</f>
        <v>0</v>
      </c>
    </row>
    <row r="132" spans="2:16">
      <c r="B132" s="9" t="str">
        <f t="shared" si="16"/>
        <v/>
      </c>
      <c r="C132" s="153">
        <f>IF(D93="","-",+C131+1)</f>
        <v>2051</v>
      </c>
      <c r="D132" s="154">
        <f>IF(F131+SUM(E$99:E131)=D$92,F131,D$92-SUM(E$99:E131))</f>
        <v>402380.95238095324</v>
      </c>
      <c r="E132" s="160">
        <f>IF(+J96&lt;F131,J96,D132)</f>
        <v>40238.095238095237</v>
      </c>
      <c r="F132" s="159">
        <f t="shared" si="13"/>
        <v>362142.85714285797</v>
      </c>
      <c r="G132" s="159">
        <f t="shared" si="8"/>
        <v>382261.90476190561</v>
      </c>
      <c r="H132" s="163">
        <f t="shared" si="14"/>
        <v>86672.006026579431</v>
      </c>
      <c r="I132" s="253">
        <f t="shared" si="15"/>
        <v>86672.006026579431</v>
      </c>
      <c r="J132" s="158">
        <f t="shared" si="17"/>
        <v>0</v>
      </c>
      <c r="K132" s="158"/>
      <c r="L132" s="334"/>
      <c r="M132" s="158">
        <f t="shared" si="18"/>
        <v>0</v>
      </c>
      <c r="N132" s="334"/>
      <c r="O132" s="158">
        <f t="shared" si="19"/>
        <v>0</v>
      </c>
      <c r="P132" s="158">
        <f t="shared" si="20"/>
        <v>0</v>
      </c>
    </row>
    <row r="133" spans="2:16">
      <c r="B133" s="9" t="str">
        <f t="shared" si="16"/>
        <v/>
      </c>
      <c r="C133" s="153">
        <f>IF(D93="","-",+C132+1)</f>
        <v>2052</v>
      </c>
      <c r="D133" s="154">
        <f>IF(F132+SUM(E$99:E132)=D$92,F132,D$92-SUM(E$99:E132))</f>
        <v>362142.85714285797</v>
      </c>
      <c r="E133" s="160">
        <f>IF(+J96&lt;F132,J96,D133)</f>
        <v>40238.095238095237</v>
      </c>
      <c r="F133" s="159">
        <f t="shared" si="13"/>
        <v>321904.76190476271</v>
      </c>
      <c r="G133" s="159">
        <f t="shared" si="8"/>
        <v>342023.80952381034</v>
      </c>
      <c r="H133" s="163">
        <f t="shared" si="14"/>
        <v>81784.225943581114</v>
      </c>
      <c r="I133" s="253">
        <f t="shared" si="15"/>
        <v>81784.225943581114</v>
      </c>
      <c r="J133" s="158">
        <f t="shared" si="17"/>
        <v>0</v>
      </c>
      <c r="K133" s="158"/>
      <c r="L133" s="334"/>
      <c r="M133" s="158">
        <f t="shared" si="18"/>
        <v>0</v>
      </c>
      <c r="N133" s="334"/>
      <c r="O133" s="158">
        <f t="shared" si="19"/>
        <v>0</v>
      </c>
      <c r="P133" s="158">
        <f t="shared" si="20"/>
        <v>0</v>
      </c>
    </row>
    <row r="134" spans="2:16">
      <c r="B134" s="9" t="str">
        <f t="shared" si="16"/>
        <v/>
      </c>
      <c r="C134" s="153">
        <f>IF(D93="","-",+C133+1)</f>
        <v>2053</v>
      </c>
      <c r="D134" s="154">
        <f>IF(F133+SUM(E$99:E133)=D$92,F133,D$92-SUM(E$99:E133))</f>
        <v>321904.76190476271</v>
      </c>
      <c r="E134" s="160">
        <f>IF(+J96&lt;F133,J96,D134)</f>
        <v>40238.095238095237</v>
      </c>
      <c r="F134" s="159">
        <f t="shared" si="13"/>
        <v>281666.66666666744</v>
      </c>
      <c r="G134" s="159">
        <f t="shared" si="8"/>
        <v>301785.71428571508</v>
      </c>
      <c r="H134" s="163">
        <f t="shared" si="14"/>
        <v>76896.445860582782</v>
      </c>
      <c r="I134" s="253">
        <f t="shared" si="15"/>
        <v>76896.445860582782</v>
      </c>
      <c r="J134" s="158">
        <f t="shared" si="17"/>
        <v>0</v>
      </c>
      <c r="K134" s="158"/>
      <c r="L134" s="334"/>
      <c r="M134" s="158">
        <f t="shared" si="18"/>
        <v>0</v>
      </c>
      <c r="N134" s="334"/>
      <c r="O134" s="158">
        <f t="shared" si="19"/>
        <v>0</v>
      </c>
      <c r="P134" s="158">
        <f t="shared" si="20"/>
        <v>0</v>
      </c>
    </row>
    <row r="135" spans="2:16">
      <c r="B135" s="9" t="str">
        <f t="shared" si="16"/>
        <v/>
      </c>
      <c r="C135" s="153">
        <f>IF(D93="","-",+C134+1)</f>
        <v>2054</v>
      </c>
      <c r="D135" s="154">
        <f>IF(F134+SUM(E$99:E134)=D$92,F134,D$92-SUM(E$99:E134))</f>
        <v>281666.66666666744</v>
      </c>
      <c r="E135" s="160">
        <f>IF(+J96&lt;F134,J96,D135)</f>
        <v>40238.095238095237</v>
      </c>
      <c r="F135" s="159">
        <f t="shared" si="13"/>
        <v>241428.57142857221</v>
      </c>
      <c r="G135" s="159">
        <f t="shared" si="8"/>
        <v>261547.61904761981</v>
      </c>
      <c r="H135" s="163">
        <f t="shared" si="14"/>
        <v>72008.665777584451</v>
      </c>
      <c r="I135" s="253">
        <f t="shared" si="15"/>
        <v>72008.665777584451</v>
      </c>
      <c r="J135" s="158">
        <f t="shared" si="17"/>
        <v>0</v>
      </c>
      <c r="K135" s="158"/>
      <c r="L135" s="334"/>
      <c r="M135" s="158">
        <f t="shared" si="18"/>
        <v>0</v>
      </c>
      <c r="N135" s="334"/>
      <c r="O135" s="158">
        <f t="shared" si="19"/>
        <v>0</v>
      </c>
      <c r="P135" s="158">
        <f t="shared" si="20"/>
        <v>0</v>
      </c>
    </row>
    <row r="136" spans="2:16">
      <c r="B136" s="9" t="str">
        <f t="shared" si="16"/>
        <v/>
      </c>
      <c r="C136" s="153">
        <f>IF(D93="","-",+C135+1)</f>
        <v>2055</v>
      </c>
      <c r="D136" s="154">
        <f>IF(F135+SUM(E$99:E135)=D$92,F135,D$92-SUM(E$99:E135))</f>
        <v>241428.57142857221</v>
      </c>
      <c r="E136" s="160">
        <f>IF(+J96&lt;F135,J96,D136)</f>
        <v>40238.095238095237</v>
      </c>
      <c r="F136" s="159">
        <f t="shared" si="13"/>
        <v>201190.47619047697</v>
      </c>
      <c r="G136" s="159">
        <f t="shared" si="8"/>
        <v>221309.5238095246</v>
      </c>
      <c r="H136" s="163">
        <f t="shared" si="14"/>
        <v>67120.885694586119</v>
      </c>
      <c r="I136" s="253">
        <f t="shared" si="15"/>
        <v>67120.885694586119</v>
      </c>
      <c r="J136" s="158">
        <f t="shared" si="17"/>
        <v>0</v>
      </c>
      <c r="K136" s="158"/>
      <c r="L136" s="334"/>
      <c r="M136" s="158">
        <f t="shared" si="18"/>
        <v>0</v>
      </c>
      <c r="N136" s="334"/>
      <c r="O136" s="158">
        <f t="shared" si="19"/>
        <v>0</v>
      </c>
      <c r="P136" s="158">
        <f t="shared" si="20"/>
        <v>0</v>
      </c>
    </row>
    <row r="137" spans="2:16">
      <c r="B137" s="9" t="str">
        <f t="shared" si="16"/>
        <v/>
      </c>
      <c r="C137" s="153">
        <f>IF(D93="","-",+C136+1)</f>
        <v>2056</v>
      </c>
      <c r="D137" s="154">
        <f>IF(F136+SUM(E$99:E136)=D$92,F136,D$92-SUM(E$99:E136))</f>
        <v>201190.47619047697</v>
      </c>
      <c r="E137" s="160">
        <f>IF(+J96&lt;F136,J96,D137)</f>
        <v>40238.095238095237</v>
      </c>
      <c r="F137" s="159">
        <f t="shared" si="13"/>
        <v>160952.38095238173</v>
      </c>
      <c r="G137" s="159">
        <f t="shared" si="8"/>
        <v>181071.42857142934</v>
      </c>
      <c r="H137" s="163">
        <f t="shared" si="14"/>
        <v>62233.105611587795</v>
      </c>
      <c r="I137" s="253">
        <f t="shared" si="15"/>
        <v>62233.105611587795</v>
      </c>
      <c r="J137" s="158">
        <f t="shared" si="17"/>
        <v>0</v>
      </c>
      <c r="K137" s="158"/>
      <c r="L137" s="334"/>
      <c r="M137" s="158">
        <f t="shared" si="18"/>
        <v>0</v>
      </c>
      <c r="N137" s="334"/>
      <c r="O137" s="158">
        <f t="shared" si="19"/>
        <v>0</v>
      </c>
      <c r="P137" s="158">
        <f t="shared" si="20"/>
        <v>0</v>
      </c>
    </row>
    <row r="138" spans="2:16">
      <c r="B138" s="9" t="str">
        <f t="shared" si="16"/>
        <v/>
      </c>
      <c r="C138" s="153">
        <f>IF(D93="","-",+C137+1)</f>
        <v>2057</v>
      </c>
      <c r="D138" s="154">
        <f>IF(F137+SUM(E$99:E137)=D$92,F137,D$92-SUM(E$99:E137))</f>
        <v>160952.38095238173</v>
      </c>
      <c r="E138" s="160">
        <f>IF(+J96&lt;F137,J96,D138)</f>
        <v>40238.095238095237</v>
      </c>
      <c r="F138" s="159">
        <f t="shared" si="13"/>
        <v>120714.2857142865</v>
      </c>
      <c r="G138" s="159">
        <f t="shared" si="8"/>
        <v>140833.33333333413</v>
      </c>
      <c r="H138" s="163">
        <f t="shared" si="14"/>
        <v>57345.32552858947</v>
      </c>
      <c r="I138" s="253">
        <f t="shared" si="15"/>
        <v>57345.32552858947</v>
      </c>
      <c r="J138" s="158">
        <f t="shared" si="17"/>
        <v>0</v>
      </c>
      <c r="K138" s="158"/>
      <c r="L138" s="334"/>
      <c r="M138" s="158">
        <f t="shared" si="18"/>
        <v>0</v>
      </c>
      <c r="N138" s="334"/>
      <c r="O138" s="158">
        <f t="shared" si="19"/>
        <v>0</v>
      </c>
      <c r="P138" s="158">
        <f t="shared" si="20"/>
        <v>0</v>
      </c>
    </row>
    <row r="139" spans="2:16">
      <c r="B139" s="9" t="str">
        <f t="shared" si="16"/>
        <v/>
      </c>
      <c r="C139" s="153">
        <f>IF(D93="","-",+C138+1)</f>
        <v>2058</v>
      </c>
      <c r="D139" s="154">
        <f>IF(F138+SUM(E$99:E138)=D$92,F138,D$92-SUM(E$99:E138))</f>
        <v>120714.2857142865</v>
      </c>
      <c r="E139" s="160">
        <f>IF(+J96&lt;F138,J96,D139)</f>
        <v>40238.095238095237</v>
      </c>
      <c r="F139" s="159">
        <f t="shared" si="13"/>
        <v>80476.190476191259</v>
      </c>
      <c r="G139" s="159">
        <f t="shared" si="8"/>
        <v>100595.23809523888</v>
      </c>
      <c r="H139" s="163">
        <f t="shared" si="14"/>
        <v>52457.545445591146</v>
      </c>
      <c r="I139" s="253">
        <f t="shared" si="15"/>
        <v>52457.545445591146</v>
      </c>
      <c r="J139" s="158">
        <f t="shared" si="17"/>
        <v>0</v>
      </c>
      <c r="K139" s="158"/>
      <c r="L139" s="334"/>
      <c r="M139" s="158">
        <f t="shared" si="18"/>
        <v>0</v>
      </c>
      <c r="N139" s="334"/>
      <c r="O139" s="158">
        <f t="shared" si="19"/>
        <v>0</v>
      </c>
      <c r="P139" s="158">
        <f t="shared" si="20"/>
        <v>0</v>
      </c>
    </row>
    <row r="140" spans="2:16">
      <c r="B140" s="9" t="str">
        <f t="shared" si="16"/>
        <v/>
      </c>
      <c r="C140" s="153">
        <f>IF(D93="","-",+C139+1)</f>
        <v>2059</v>
      </c>
      <c r="D140" s="154">
        <f>IF(F139+SUM(E$99:E139)=D$92,F139,D$92-SUM(E$99:E139))</f>
        <v>80476.190476191259</v>
      </c>
      <c r="E140" s="160">
        <f>IF(+J96&lt;F139,J96,D140)</f>
        <v>40238.095238095237</v>
      </c>
      <c r="F140" s="159">
        <f t="shared" si="13"/>
        <v>40238.095238096023</v>
      </c>
      <c r="G140" s="159">
        <f t="shared" si="8"/>
        <v>60357.142857143641</v>
      </c>
      <c r="H140" s="163">
        <f t="shared" si="14"/>
        <v>47569.765362592821</v>
      </c>
      <c r="I140" s="253">
        <f t="shared" si="15"/>
        <v>47569.765362592821</v>
      </c>
      <c r="J140" s="158">
        <f t="shared" si="17"/>
        <v>0</v>
      </c>
      <c r="K140" s="158"/>
      <c r="L140" s="334"/>
      <c r="M140" s="158">
        <f t="shared" si="18"/>
        <v>0</v>
      </c>
      <c r="N140" s="334"/>
      <c r="O140" s="158">
        <f t="shared" si="19"/>
        <v>0</v>
      </c>
      <c r="P140" s="158">
        <f t="shared" si="20"/>
        <v>0</v>
      </c>
    </row>
    <row r="141" spans="2:16">
      <c r="B141" s="9" t="str">
        <f t="shared" si="16"/>
        <v/>
      </c>
      <c r="C141" s="153">
        <f>IF(D93="","-",+C140+1)</f>
        <v>2060</v>
      </c>
      <c r="D141" s="154">
        <f>IF(F140+SUM(E$99:E140)=D$92,F140,D$92-SUM(E$99:E140))</f>
        <v>40238.095238096023</v>
      </c>
      <c r="E141" s="160">
        <f>IF(+J96&lt;F140,J96,D141)</f>
        <v>40238.095238095237</v>
      </c>
      <c r="F141" s="159">
        <f t="shared" si="13"/>
        <v>7.8580342233181E-10</v>
      </c>
      <c r="G141" s="159">
        <f t="shared" si="8"/>
        <v>20119.047619048404</v>
      </c>
      <c r="H141" s="163">
        <f t="shared" si="14"/>
        <v>42681.985279594497</v>
      </c>
      <c r="I141" s="253">
        <f t="shared" si="15"/>
        <v>42681.985279594497</v>
      </c>
      <c r="J141" s="158">
        <f t="shared" si="17"/>
        <v>0</v>
      </c>
      <c r="K141" s="158"/>
      <c r="L141" s="334"/>
      <c r="M141" s="158">
        <f t="shared" si="18"/>
        <v>0</v>
      </c>
      <c r="N141" s="334"/>
      <c r="O141" s="158">
        <f t="shared" si="19"/>
        <v>0</v>
      </c>
      <c r="P141" s="158">
        <f t="shared" si="20"/>
        <v>0</v>
      </c>
    </row>
    <row r="142" spans="2:16">
      <c r="B142" s="9" t="str">
        <f t="shared" si="16"/>
        <v/>
      </c>
      <c r="C142" s="153">
        <f>IF(D93="","-",+C141+1)</f>
        <v>2061</v>
      </c>
      <c r="D142" s="154">
        <f>IF(F141+SUM(E$99:E141)=D$92,F141,D$92-SUM(E$99:E141))</f>
        <v>7.8580342233181E-10</v>
      </c>
      <c r="E142" s="160">
        <f>IF(+J96&lt;F141,J96,D142)</f>
        <v>7.8580342233181E-10</v>
      </c>
      <c r="F142" s="159">
        <f t="shared" si="13"/>
        <v>0</v>
      </c>
      <c r="G142" s="159">
        <f t="shared" si="8"/>
        <v>3.92901711165905E-10</v>
      </c>
      <c r="H142" s="163">
        <f t="shared" si="14"/>
        <v>8.3352976591366338E-10</v>
      </c>
      <c r="I142" s="253">
        <f t="shared" si="15"/>
        <v>8.3352976591366338E-10</v>
      </c>
      <c r="J142" s="158">
        <f t="shared" si="17"/>
        <v>0</v>
      </c>
      <c r="K142" s="158"/>
      <c r="L142" s="334"/>
      <c r="M142" s="158">
        <f t="shared" si="18"/>
        <v>0</v>
      </c>
      <c r="N142" s="334"/>
      <c r="O142" s="158">
        <f t="shared" si="19"/>
        <v>0</v>
      </c>
      <c r="P142" s="158">
        <f t="shared" si="20"/>
        <v>0</v>
      </c>
    </row>
    <row r="143" spans="2:16">
      <c r="B143" s="9" t="str">
        <f t="shared" si="16"/>
        <v/>
      </c>
      <c r="C143" s="153">
        <f>IF(D93="","-",+C142+1)</f>
        <v>2062</v>
      </c>
      <c r="D143" s="154">
        <f>IF(F142+SUM(E$99:E142)=D$92,F142,D$92-SUM(E$99:E142))</f>
        <v>0</v>
      </c>
      <c r="E143" s="160">
        <f>IF(+J96&lt;F142,J96,D143)</f>
        <v>0</v>
      </c>
      <c r="F143" s="159">
        <f t="shared" si="13"/>
        <v>0</v>
      </c>
      <c r="G143" s="159">
        <f t="shared" si="8"/>
        <v>0</v>
      </c>
      <c r="H143" s="163">
        <f t="shared" si="14"/>
        <v>0</v>
      </c>
      <c r="I143" s="253">
        <f t="shared" si="15"/>
        <v>0</v>
      </c>
      <c r="J143" s="158">
        <f t="shared" si="17"/>
        <v>0</v>
      </c>
      <c r="K143" s="158"/>
      <c r="L143" s="334"/>
      <c r="M143" s="158">
        <f t="shared" si="18"/>
        <v>0</v>
      </c>
      <c r="N143" s="334"/>
      <c r="O143" s="158">
        <f t="shared" si="19"/>
        <v>0</v>
      </c>
      <c r="P143" s="158">
        <f t="shared" si="20"/>
        <v>0</v>
      </c>
    </row>
    <row r="144" spans="2:16">
      <c r="B144" s="9" t="str">
        <f t="shared" si="16"/>
        <v/>
      </c>
      <c r="C144" s="153">
        <f>IF(D93="","-",+C143+1)</f>
        <v>2063</v>
      </c>
      <c r="D144" s="154">
        <f>IF(F143+SUM(E$99:E143)=D$92,F143,D$92-SUM(E$99:E143))</f>
        <v>0</v>
      </c>
      <c r="E144" s="160">
        <f>IF(+J96&lt;F143,J96,D144)</f>
        <v>0</v>
      </c>
      <c r="F144" s="159">
        <f t="shared" si="13"/>
        <v>0</v>
      </c>
      <c r="G144" s="159">
        <f t="shared" si="8"/>
        <v>0</v>
      </c>
      <c r="H144" s="163">
        <f t="shared" si="14"/>
        <v>0</v>
      </c>
      <c r="I144" s="253">
        <f t="shared" si="15"/>
        <v>0</v>
      </c>
      <c r="J144" s="158">
        <f t="shared" si="17"/>
        <v>0</v>
      </c>
      <c r="K144" s="158"/>
      <c r="L144" s="334"/>
      <c r="M144" s="158">
        <f t="shared" si="18"/>
        <v>0</v>
      </c>
      <c r="N144" s="334"/>
      <c r="O144" s="158">
        <f t="shared" si="19"/>
        <v>0</v>
      </c>
      <c r="P144" s="158">
        <f t="shared" si="20"/>
        <v>0</v>
      </c>
    </row>
    <row r="145" spans="2:16">
      <c r="B145" s="9" t="str">
        <f t="shared" si="16"/>
        <v/>
      </c>
      <c r="C145" s="153">
        <f>IF(D93="","-",+C144+1)</f>
        <v>2064</v>
      </c>
      <c r="D145" s="154">
        <f>IF(F144+SUM(E$99:E144)=D$92,F144,D$92-SUM(E$99:E144))</f>
        <v>0</v>
      </c>
      <c r="E145" s="160">
        <f>IF(+J96&lt;F144,J96,D145)</f>
        <v>0</v>
      </c>
      <c r="F145" s="159">
        <f t="shared" si="13"/>
        <v>0</v>
      </c>
      <c r="G145" s="159">
        <f t="shared" si="8"/>
        <v>0</v>
      </c>
      <c r="H145" s="163">
        <f t="shared" si="14"/>
        <v>0</v>
      </c>
      <c r="I145" s="253">
        <f t="shared" si="15"/>
        <v>0</v>
      </c>
      <c r="J145" s="158">
        <f t="shared" si="17"/>
        <v>0</v>
      </c>
      <c r="K145" s="158"/>
      <c r="L145" s="334"/>
      <c r="M145" s="158">
        <f t="shared" si="18"/>
        <v>0</v>
      </c>
      <c r="N145" s="334"/>
      <c r="O145" s="158">
        <f t="shared" si="19"/>
        <v>0</v>
      </c>
      <c r="P145" s="158">
        <f t="shared" si="20"/>
        <v>0</v>
      </c>
    </row>
    <row r="146" spans="2:16">
      <c r="B146" s="9" t="str">
        <f t="shared" si="16"/>
        <v/>
      </c>
      <c r="C146" s="153">
        <f>IF(D93="","-",+C145+1)</f>
        <v>2065</v>
      </c>
      <c r="D146" s="154">
        <f>IF(F145+SUM(E$99:E145)=D$92,F145,D$92-SUM(E$99:E145))</f>
        <v>0</v>
      </c>
      <c r="E146" s="160">
        <f>IF(+J96&lt;F145,J96,D146)</f>
        <v>0</v>
      </c>
      <c r="F146" s="159">
        <f t="shared" si="13"/>
        <v>0</v>
      </c>
      <c r="G146" s="159">
        <f t="shared" si="8"/>
        <v>0</v>
      </c>
      <c r="H146" s="163">
        <f t="shared" si="14"/>
        <v>0</v>
      </c>
      <c r="I146" s="253">
        <f t="shared" si="15"/>
        <v>0</v>
      </c>
      <c r="J146" s="158">
        <f t="shared" si="17"/>
        <v>0</v>
      </c>
      <c r="K146" s="158"/>
      <c r="L146" s="334"/>
      <c r="M146" s="158">
        <f t="shared" si="18"/>
        <v>0</v>
      </c>
      <c r="N146" s="334"/>
      <c r="O146" s="158">
        <f t="shared" si="19"/>
        <v>0</v>
      </c>
      <c r="P146" s="158">
        <f t="shared" si="20"/>
        <v>0</v>
      </c>
    </row>
    <row r="147" spans="2:16">
      <c r="B147" s="9" t="str">
        <f t="shared" si="16"/>
        <v/>
      </c>
      <c r="C147" s="153">
        <f>IF(D93="","-",+C146+1)</f>
        <v>2066</v>
      </c>
      <c r="D147" s="154">
        <f>IF(F146+SUM(E$99:E146)=D$92,F146,D$92-SUM(E$99:E146))</f>
        <v>0</v>
      </c>
      <c r="E147" s="160">
        <f>IF(+J96&lt;F146,J96,D147)</f>
        <v>0</v>
      </c>
      <c r="F147" s="159">
        <f t="shared" si="13"/>
        <v>0</v>
      </c>
      <c r="G147" s="159">
        <f t="shared" si="8"/>
        <v>0</v>
      </c>
      <c r="H147" s="163">
        <f t="shared" si="14"/>
        <v>0</v>
      </c>
      <c r="I147" s="253">
        <f t="shared" si="15"/>
        <v>0</v>
      </c>
      <c r="J147" s="158">
        <f t="shared" si="17"/>
        <v>0</v>
      </c>
      <c r="K147" s="158"/>
      <c r="L147" s="334"/>
      <c r="M147" s="158">
        <f t="shared" si="18"/>
        <v>0</v>
      </c>
      <c r="N147" s="334"/>
      <c r="O147" s="158">
        <f t="shared" si="19"/>
        <v>0</v>
      </c>
      <c r="P147" s="158">
        <f t="shared" si="20"/>
        <v>0</v>
      </c>
    </row>
    <row r="148" spans="2:16">
      <c r="B148" s="9" t="str">
        <f t="shared" si="16"/>
        <v/>
      </c>
      <c r="C148" s="153">
        <f>IF(D93="","-",+C147+1)</f>
        <v>2067</v>
      </c>
      <c r="D148" s="154">
        <f>IF(F147+SUM(E$99:E147)=D$92,F147,D$92-SUM(E$99:E147))</f>
        <v>0</v>
      </c>
      <c r="E148" s="160">
        <f>IF(+J96&lt;F147,J96,D148)</f>
        <v>0</v>
      </c>
      <c r="F148" s="159">
        <f t="shared" si="13"/>
        <v>0</v>
      </c>
      <c r="G148" s="159">
        <f t="shared" si="8"/>
        <v>0</v>
      </c>
      <c r="H148" s="163">
        <f t="shared" si="14"/>
        <v>0</v>
      </c>
      <c r="I148" s="253">
        <f t="shared" si="15"/>
        <v>0</v>
      </c>
      <c r="J148" s="158">
        <f t="shared" si="17"/>
        <v>0</v>
      </c>
      <c r="K148" s="158"/>
      <c r="L148" s="334"/>
      <c r="M148" s="158">
        <f t="shared" si="18"/>
        <v>0</v>
      </c>
      <c r="N148" s="334"/>
      <c r="O148" s="158">
        <f t="shared" si="19"/>
        <v>0</v>
      </c>
      <c r="P148" s="158">
        <f t="shared" si="20"/>
        <v>0</v>
      </c>
    </row>
    <row r="149" spans="2:16">
      <c r="B149" s="9" t="str">
        <f t="shared" si="16"/>
        <v/>
      </c>
      <c r="C149" s="153">
        <f>IF(D93="","-",+C148+1)</f>
        <v>2068</v>
      </c>
      <c r="D149" s="154">
        <f>IF(F148+SUM(E$99:E148)=D$92,F148,D$92-SUM(E$99:E148))</f>
        <v>0</v>
      </c>
      <c r="E149" s="160">
        <f>IF(+J96&lt;F148,J96,D149)</f>
        <v>0</v>
      </c>
      <c r="F149" s="159">
        <f t="shared" si="13"/>
        <v>0</v>
      </c>
      <c r="G149" s="159">
        <f t="shared" si="8"/>
        <v>0</v>
      </c>
      <c r="H149" s="163">
        <f t="shared" si="14"/>
        <v>0</v>
      </c>
      <c r="I149" s="253">
        <f t="shared" si="15"/>
        <v>0</v>
      </c>
      <c r="J149" s="158">
        <f t="shared" si="17"/>
        <v>0</v>
      </c>
      <c r="K149" s="158"/>
      <c r="L149" s="334"/>
      <c r="M149" s="158">
        <f t="shared" si="18"/>
        <v>0</v>
      </c>
      <c r="N149" s="334"/>
      <c r="O149" s="158">
        <f t="shared" si="19"/>
        <v>0</v>
      </c>
      <c r="P149" s="158">
        <f t="shared" si="20"/>
        <v>0</v>
      </c>
    </row>
    <row r="150" spans="2:16">
      <c r="B150" s="9" t="str">
        <f t="shared" si="16"/>
        <v/>
      </c>
      <c r="C150" s="153">
        <f>IF(D93="","-",+C149+1)</f>
        <v>2069</v>
      </c>
      <c r="D150" s="154">
        <f>IF(F149+SUM(E$99:E149)=D$92,F149,D$92-SUM(E$99:E149))</f>
        <v>0</v>
      </c>
      <c r="E150" s="160">
        <f>IF(+J96&lt;F149,J96,D150)</f>
        <v>0</v>
      </c>
      <c r="F150" s="159">
        <f t="shared" si="13"/>
        <v>0</v>
      </c>
      <c r="G150" s="159">
        <f t="shared" si="8"/>
        <v>0</v>
      </c>
      <c r="H150" s="163">
        <f t="shared" si="14"/>
        <v>0</v>
      </c>
      <c r="I150" s="253">
        <f t="shared" si="15"/>
        <v>0</v>
      </c>
      <c r="J150" s="158">
        <f t="shared" si="17"/>
        <v>0</v>
      </c>
      <c r="K150" s="158"/>
      <c r="L150" s="334"/>
      <c r="M150" s="158">
        <f t="shared" si="18"/>
        <v>0</v>
      </c>
      <c r="N150" s="334"/>
      <c r="O150" s="158">
        <f t="shared" si="19"/>
        <v>0</v>
      </c>
      <c r="P150" s="158">
        <f t="shared" si="20"/>
        <v>0</v>
      </c>
    </row>
    <row r="151" spans="2:16">
      <c r="B151" s="9" t="str">
        <f t="shared" si="16"/>
        <v/>
      </c>
      <c r="C151" s="153">
        <f>IF(D93="","-",+C150+1)</f>
        <v>2070</v>
      </c>
      <c r="D151" s="154">
        <f>IF(F150+SUM(E$99:E150)=D$92,F150,D$92-SUM(E$99:E150))</f>
        <v>0</v>
      </c>
      <c r="E151" s="160">
        <f>IF(+J96&lt;F150,J96,D151)</f>
        <v>0</v>
      </c>
      <c r="F151" s="159">
        <f t="shared" si="13"/>
        <v>0</v>
      </c>
      <c r="G151" s="159">
        <f t="shared" si="8"/>
        <v>0</v>
      </c>
      <c r="H151" s="163">
        <f t="shared" si="14"/>
        <v>0</v>
      </c>
      <c r="I151" s="253">
        <f t="shared" si="15"/>
        <v>0</v>
      </c>
      <c r="J151" s="158">
        <f t="shared" si="17"/>
        <v>0</v>
      </c>
      <c r="K151" s="158"/>
      <c r="L151" s="334"/>
      <c r="M151" s="158">
        <f t="shared" si="18"/>
        <v>0</v>
      </c>
      <c r="N151" s="334"/>
      <c r="O151" s="158">
        <f t="shared" si="19"/>
        <v>0</v>
      </c>
      <c r="P151" s="158">
        <f t="shared" si="20"/>
        <v>0</v>
      </c>
    </row>
    <row r="152" spans="2:16">
      <c r="B152" s="9" t="str">
        <f t="shared" si="16"/>
        <v/>
      </c>
      <c r="C152" s="153">
        <f>IF(D93="","-",+C151+1)</f>
        <v>2071</v>
      </c>
      <c r="D152" s="154">
        <f>IF(F151+SUM(E$99:E151)=D$92,F151,D$92-SUM(E$99:E151))</f>
        <v>0</v>
      </c>
      <c r="E152" s="160">
        <f>IF(+J96&lt;F151,J96,D152)</f>
        <v>0</v>
      </c>
      <c r="F152" s="159">
        <f t="shared" si="13"/>
        <v>0</v>
      </c>
      <c r="G152" s="159">
        <f t="shared" si="8"/>
        <v>0</v>
      </c>
      <c r="H152" s="163">
        <f t="shared" si="14"/>
        <v>0</v>
      </c>
      <c r="I152" s="253">
        <f t="shared" si="15"/>
        <v>0</v>
      </c>
      <c r="J152" s="158">
        <f t="shared" si="17"/>
        <v>0</v>
      </c>
      <c r="K152" s="158"/>
      <c r="L152" s="334"/>
      <c r="M152" s="158">
        <f t="shared" si="18"/>
        <v>0</v>
      </c>
      <c r="N152" s="334"/>
      <c r="O152" s="158">
        <f t="shared" si="19"/>
        <v>0</v>
      </c>
      <c r="P152" s="158">
        <f t="shared" si="20"/>
        <v>0</v>
      </c>
    </row>
    <row r="153" spans="2:16">
      <c r="B153" s="9" t="str">
        <f t="shared" si="16"/>
        <v/>
      </c>
      <c r="C153" s="153">
        <f>IF(D93="","-",+C152+1)</f>
        <v>2072</v>
      </c>
      <c r="D153" s="154">
        <f>IF(F152+SUM(E$99:E152)=D$92,F152,D$92-SUM(E$99:E152))</f>
        <v>0</v>
      </c>
      <c r="E153" s="160">
        <f>IF(+J96&lt;F152,J96,D153)</f>
        <v>0</v>
      </c>
      <c r="F153" s="159">
        <f t="shared" si="13"/>
        <v>0</v>
      </c>
      <c r="G153" s="159">
        <f t="shared" si="8"/>
        <v>0</v>
      </c>
      <c r="H153" s="163">
        <f t="shared" si="14"/>
        <v>0</v>
      </c>
      <c r="I153" s="253">
        <f t="shared" si="15"/>
        <v>0</v>
      </c>
      <c r="J153" s="158">
        <f t="shared" si="17"/>
        <v>0</v>
      </c>
      <c r="K153" s="158"/>
      <c r="L153" s="334"/>
      <c r="M153" s="158">
        <f t="shared" si="18"/>
        <v>0</v>
      </c>
      <c r="N153" s="334"/>
      <c r="O153" s="158">
        <f t="shared" si="19"/>
        <v>0</v>
      </c>
      <c r="P153" s="158">
        <f t="shared" si="20"/>
        <v>0</v>
      </c>
    </row>
    <row r="154" spans="2:16" ht="13.5" thickBot="1">
      <c r="B154" s="9" t="str">
        <f t="shared" si="16"/>
        <v/>
      </c>
      <c r="C154" s="164">
        <f>IF(D93="","-",+C153+1)</f>
        <v>2073</v>
      </c>
      <c r="D154" s="215">
        <f>IF(F153+SUM(E$99:E153)=D$92,F153,D$92-SUM(E$99:E153))</f>
        <v>0</v>
      </c>
      <c r="E154" s="166">
        <f>IF(+J96&lt;F153,J96,D154)</f>
        <v>0</v>
      </c>
      <c r="F154" s="165">
        <f t="shared" si="13"/>
        <v>0</v>
      </c>
      <c r="G154" s="165">
        <f t="shared" si="8"/>
        <v>0</v>
      </c>
      <c r="H154" s="167">
        <f t="shared" si="14"/>
        <v>0</v>
      </c>
      <c r="I154" s="254">
        <f t="shared" si="15"/>
        <v>0</v>
      </c>
      <c r="J154" s="169">
        <f t="shared" si="17"/>
        <v>0</v>
      </c>
      <c r="K154" s="158"/>
      <c r="L154" s="335"/>
      <c r="M154" s="169">
        <f t="shared" si="18"/>
        <v>0</v>
      </c>
      <c r="N154" s="335"/>
      <c r="O154" s="169">
        <f t="shared" si="19"/>
        <v>0</v>
      </c>
      <c r="P154" s="169">
        <f t="shared" si="20"/>
        <v>0</v>
      </c>
    </row>
    <row r="155" spans="2:16">
      <c r="C155" s="154" t="s">
        <v>73</v>
      </c>
      <c r="D155" s="111"/>
      <c r="E155" s="111">
        <f>SUM(E99:E154)</f>
        <v>1689999.9999999998</v>
      </c>
      <c r="F155" s="111"/>
      <c r="G155" s="111"/>
      <c r="H155" s="111">
        <f>SUM(H99:H154)</f>
        <v>6103665.4149474921</v>
      </c>
      <c r="I155" s="111">
        <f>SUM(I99:I154)</f>
        <v>6103665.4149474921</v>
      </c>
      <c r="J155" s="111">
        <f>SUM(J99:J154)</f>
        <v>0</v>
      </c>
      <c r="K155" s="111"/>
      <c r="L155" s="111"/>
      <c r="M155" s="111"/>
      <c r="N155" s="111"/>
      <c r="O155" s="111"/>
      <c r="P155" s="1"/>
    </row>
    <row r="156" spans="2:16">
      <c r="C156" t="s">
        <v>87</v>
      </c>
      <c r="D156" s="2"/>
      <c r="E156" s="1"/>
      <c r="F156" s="1"/>
      <c r="G156" s="1"/>
      <c r="H156" s="1"/>
      <c r="I156" s="3"/>
      <c r="J156" s="3"/>
      <c r="K156" s="111"/>
      <c r="L156" s="3"/>
      <c r="M156" s="3"/>
      <c r="N156" s="3"/>
      <c r="O156" s="3"/>
      <c r="P156" s="1"/>
    </row>
    <row r="157" spans="2:16">
      <c r="C157" s="216"/>
      <c r="D157" s="2"/>
      <c r="E157" s="1"/>
      <c r="F157" s="1"/>
      <c r="G157" s="1"/>
      <c r="H157" s="1"/>
      <c r="I157" s="3"/>
      <c r="J157" s="3"/>
      <c r="K157" s="111"/>
      <c r="L157" s="3"/>
      <c r="M157" s="3"/>
      <c r="N157" s="3"/>
      <c r="O157" s="3"/>
      <c r="P157" s="1"/>
    </row>
    <row r="158" spans="2:16">
      <c r="C158" s="248" t="s">
        <v>127</v>
      </c>
      <c r="D158" s="2"/>
      <c r="E158" s="1"/>
      <c r="F158" s="1"/>
      <c r="G158" s="1"/>
      <c r="H158" s="1"/>
      <c r="I158" s="3"/>
      <c r="J158" s="3"/>
      <c r="K158" s="111"/>
      <c r="L158" s="3"/>
      <c r="M158" s="3"/>
      <c r="N158" s="3"/>
      <c r="O158" s="3"/>
      <c r="P158" s="1"/>
    </row>
    <row r="159" spans="2:16">
      <c r="C159" s="121" t="s">
        <v>74</v>
      </c>
      <c r="D159" s="154"/>
      <c r="E159" s="154"/>
      <c r="F159" s="154"/>
      <c r="G159" s="154"/>
      <c r="H159" s="111"/>
      <c r="I159" s="111"/>
      <c r="J159" s="171"/>
      <c r="K159" s="171"/>
      <c r="L159" s="171"/>
      <c r="M159" s="171"/>
      <c r="N159" s="171"/>
      <c r="O159" s="171"/>
      <c r="P159" s="1"/>
    </row>
    <row r="160" spans="2:16">
      <c r="C160" s="217" t="s">
        <v>75</v>
      </c>
      <c r="D160" s="154"/>
      <c r="E160" s="154"/>
      <c r="F160" s="154"/>
      <c r="G160" s="154"/>
      <c r="H160" s="111"/>
      <c r="I160" s="111"/>
      <c r="J160" s="171"/>
      <c r="K160" s="171"/>
      <c r="L160" s="171"/>
      <c r="M160" s="171"/>
      <c r="N160" s="171"/>
      <c r="O160" s="171"/>
      <c r="P160" s="1"/>
    </row>
    <row r="161" spans="3:16">
      <c r="C161" s="217"/>
      <c r="D161" s="154"/>
      <c r="E161" s="154"/>
      <c r="F161" s="154"/>
      <c r="G161" s="154"/>
      <c r="H161" s="111"/>
      <c r="I161" s="111"/>
      <c r="J161" s="171"/>
      <c r="K161" s="171"/>
      <c r="L161" s="171"/>
      <c r="M161" s="171"/>
      <c r="N161" s="171"/>
      <c r="O161" s="171"/>
      <c r="P161" s="1"/>
    </row>
    <row r="162" spans="3:16" ht="18">
      <c r="C162" s="217"/>
      <c r="D162" s="154"/>
      <c r="E162" s="154"/>
      <c r="F162" s="154"/>
      <c r="G162" s="154"/>
      <c r="H162" s="111"/>
      <c r="I162" s="111"/>
      <c r="J162" s="171"/>
      <c r="K162" s="171"/>
      <c r="L162" s="171"/>
      <c r="M162" s="171"/>
      <c r="N162" s="171"/>
      <c r="P162" s="245" t="s">
        <v>126</v>
      </c>
    </row>
  </sheetData>
  <conditionalFormatting sqref="C18:C72">
    <cfRule type="cellIs" dxfId="10" priority="2" stopIfTrue="1" operator="equal">
      <formula>$I$10</formula>
    </cfRule>
  </conditionalFormatting>
  <conditionalFormatting sqref="C99:C154">
    <cfRule type="cellIs" dxfId="9" priority="3" stopIfTrue="1" operator="equal">
      <formula>$J$92</formula>
    </cfRule>
  </conditionalFormatting>
  <conditionalFormatting sqref="C17">
    <cfRule type="cellIs" dxfId="8" priority="1" stopIfTrue="1" operator="equal">
      <formula>$I$10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62"/>
  <sheetViews>
    <sheetView topLeftCell="A55" zoomScale="70" zoomScaleNormal="70" workbookViewId="0">
      <selection activeCell="C19" sqref="C19"/>
    </sheetView>
  </sheetViews>
  <sheetFormatPr defaultRowHeight="12.75" customHeight="1"/>
  <cols>
    <col min="1" max="1" width="4.7109375" customWidth="1"/>
    <col min="2" max="2" width="6.7109375" customWidth="1"/>
    <col min="3" max="3" width="23.28515625" customWidth="1"/>
    <col min="4" max="8" width="17.7109375" customWidth="1"/>
    <col min="9" max="9" width="20.42578125" customWidth="1"/>
    <col min="10" max="10" width="16.42578125" customWidth="1"/>
    <col min="11" max="11" width="17.7109375" customWidth="1"/>
    <col min="12" max="12" width="16.140625" customWidth="1"/>
    <col min="13" max="13" width="17.7109375" customWidth="1"/>
    <col min="14" max="14" width="16.7109375" customWidth="1"/>
    <col min="15" max="15" width="16.85546875" customWidth="1"/>
    <col min="16" max="16" width="24.42578125" customWidth="1"/>
    <col min="17" max="17" width="9.140625" customWidth="1"/>
    <col min="23" max="23" width="9.140625" customWidth="1"/>
  </cols>
  <sheetData>
    <row r="1" spans="1:16" ht="20.25">
      <c r="A1" s="243" t="s">
        <v>128</v>
      </c>
      <c r="B1" s="1"/>
      <c r="C1" s="21"/>
      <c r="D1" s="2"/>
      <c r="E1" s="1"/>
      <c r="F1" s="99"/>
      <c r="G1" s="1"/>
      <c r="H1" s="3"/>
      <c r="J1" s="7"/>
      <c r="K1" s="109"/>
      <c r="L1" s="109"/>
      <c r="M1" s="109"/>
      <c r="P1" s="249" t="str">
        <f ca="1">"SWEPCO Project "&amp;RIGHT(MID(CELL("filename",$A$1),FIND("]",CELL("filename",$A$1))+1,256),2)&amp;" of "&amp;COUNT('S.001:S.xyz - blank'!$P$3)-1</f>
        <v>SWEPCO Project 72 of 73</v>
      </c>
    </row>
    <row r="2" spans="1:16" ht="18">
      <c r="B2" s="1"/>
      <c r="C2" s="1"/>
      <c r="D2" s="2"/>
      <c r="E2" s="1"/>
      <c r="F2" s="1"/>
      <c r="G2" s="1"/>
      <c r="H2" s="3"/>
      <c r="I2" s="1"/>
      <c r="J2" s="4"/>
      <c r="K2" s="1"/>
      <c r="L2" s="1"/>
      <c r="M2" s="1"/>
      <c r="N2" s="1"/>
      <c r="P2" s="244" t="s">
        <v>124</v>
      </c>
    </row>
    <row r="3" spans="1:16" ht="18.75">
      <c r="B3" s="5" t="s">
        <v>40</v>
      </c>
      <c r="C3" s="68" t="s">
        <v>41</v>
      </c>
      <c r="D3" s="2"/>
      <c r="E3" s="1"/>
      <c r="F3" s="1"/>
      <c r="G3" s="1"/>
      <c r="H3" s="3"/>
      <c r="I3" s="3"/>
      <c r="J3" s="111"/>
      <c r="K3" s="3"/>
      <c r="L3" s="3"/>
      <c r="M3" s="3"/>
      <c r="N3" s="3"/>
      <c r="O3" s="1"/>
      <c r="P3" s="240">
        <v>1</v>
      </c>
    </row>
    <row r="4" spans="1:16" ht="15.75" thickBot="1">
      <c r="C4" s="67"/>
      <c r="D4" s="2"/>
      <c r="E4" s="1"/>
      <c r="F4" s="1"/>
      <c r="G4" s="1"/>
      <c r="H4" s="3"/>
      <c r="I4" s="3"/>
      <c r="J4" s="111"/>
      <c r="K4" s="3"/>
      <c r="L4" s="3"/>
      <c r="M4" s="3"/>
      <c r="N4" s="3"/>
      <c r="O4" s="1"/>
      <c r="P4" s="1"/>
    </row>
    <row r="5" spans="1:16" ht="15">
      <c r="C5" s="112" t="s">
        <v>42</v>
      </c>
      <c r="D5" s="2"/>
      <c r="E5" s="1"/>
      <c r="F5" s="1"/>
      <c r="G5" s="113"/>
      <c r="H5" s="1" t="s">
        <v>43</v>
      </c>
      <c r="I5" s="1"/>
      <c r="J5" s="4"/>
      <c r="K5" s="268" t="s">
        <v>152</v>
      </c>
      <c r="L5" s="114"/>
      <c r="M5" s="115"/>
      <c r="N5" s="116">
        <f>VLOOKUP(I10,C17:I72,5)</f>
        <v>396082.33747842355</v>
      </c>
      <c r="P5" s="1"/>
    </row>
    <row r="6" spans="1:16" ht="15.75">
      <c r="C6" s="8"/>
      <c r="D6" s="2"/>
      <c r="E6" s="1"/>
      <c r="F6" s="1"/>
      <c r="G6" s="1"/>
      <c r="H6" s="117"/>
      <c r="I6" s="117"/>
      <c r="J6" s="118"/>
      <c r="K6" s="269" t="s">
        <v>153</v>
      </c>
      <c r="L6" s="119"/>
      <c r="M6" s="4"/>
      <c r="N6" s="120">
        <f>VLOOKUP(I10,C17:I72,6)</f>
        <v>396082.33747842355</v>
      </c>
      <c r="O6" s="1"/>
      <c r="P6" s="1"/>
    </row>
    <row r="7" spans="1:16" ht="13.5" thickBot="1">
      <c r="C7" s="121" t="s">
        <v>44</v>
      </c>
      <c r="D7" s="223" t="s">
        <v>495</v>
      </c>
      <c r="E7" s="1"/>
      <c r="F7" s="1"/>
      <c r="G7" s="1"/>
      <c r="H7" s="3"/>
      <c r="I7" s="3"/>
      <c r="J7" s="111"/>
      <c r="K7" s="122" t="s">
        <v>45</v>
      </c>
      <c r="L7" s="123"/>
      <c r="M7" s="123"/>
      <c r="N7" s="124">
        <f>+N6-N5</f>
        <v>0</v>
      </c>
      <c r="O7" s="1"/>
      <c r="P7" s="1"/>
    </row>
    <row r="8" spans="1:16" ht="13.5" thickBot="1">
      <c r="C8" s="125"/>
      <c r="D8" s="352" t="str">
        <f>IF(D10&lt;100000,"DOES NOT MEET SPP $100,000 MINIMUM INVESTMENT FOR REGIONAL BPU SHARING.","")</f>
        <v/>
      </c>
      <c r="E8" s="126"/>
      <c r="F8" s="126"/>
      <c r="G8" s="126"/>
      <c r="H8" s="126"/>
      <c r="I8" s="126"/>
      <c r="J8" s="101"/>
      <c r="K8" s="126"/>
      <c r="L8" s="126"/>
      <c r="M8" s="126"/>
      <c r="N8" s="126"/>
      <c r="O8" s="101"/>
      <c r="P8" s="21"/>
    </row>
    <row r="9" spans="1:16" ht="13.5" thickBot="1">
      <c r="C9" s="127" t="s">
        <v>46</v>
      </c>
      <c r="D9" s="225" t="s">
        <v>252</v>
      </c>
      <c r="E9" s="401" t="s">
        <v>494</v>
      </c>
      <c r="F9" s="128"/>
      <c r="G9" s="128"/>
      <c r="H9" s="128"/>
      <c r="I9" s="129"/>
      <c r="J9" s="130"/>
      <c r="O9" s="131"/>
      <c r="P9" s="4"/>
    </row>
    <row r="10" spans="1:16">
      <c r="C10" s="132" t="s">
        <v>47</v>
      </c>
      <c r="D10" s="133">
        <v>7957000</v>
      </c>
      <c r="E10" s="61" t="s">
        <v>459</v>
      </c>
      <c r="F10" s="131"/>
      <c r="G10" s="134"/>
      <c r="H10" s="134"/>
      <c r="I10" s="135">
        <f>+SWE.WS.F.BPU.ATRR.Projected!K17</f>
        <v>2019</v>
      </c>
      <c r="J10" s="130"/>
      <c r="K10" s="111" t="s">
        <v>48</v>
      </c>
      <c r="O10" s="4"/>
      <c r="P10" s="4"/>
    </row>
    <row r="11" spans="1:16">
      <c r="C11" s="136" t="s">
        <v>49</v>
      </c>
      <c r="D11" s="137">
        <v>2019</v>
      </c>
      <c r="E11" s="136" t="s">
        <v>50</v>
      </c>
      <c r="F11" s="134"/>
      <c r="G11" s="7"/>
      <c r="H11" s="7"/>
      <c r="I11" s="138">
        <f>IF(G5="",0,SWE.WS.F.BPU.ATRR.Projected!F$11)</f>
        <v>0</v>
      </c>
      <c r="J11" s="139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4"/>
      <c r="P11" s="4"/>
    </row>
    <row r="12" spans="1:16">
      <c r="C12" s="136" t="s">
        <v>51</v>
      </c>
      <c r="D12" s="133">
        <v>3</v>
      </c>
      <c r="E12" s="136" t="s">
        <v>52</v>
      </c>
      <c r="F12" s="134"/>
      <c r="G12" s="7"/>
      <c r="H12" s="7"/>
      <c r="I12" s="140">
        <f>SWE.WS.F.BPU.ATRR.Projected!$F$76</f>
        <v>9.9555672459071778E-2</v>
      </c>
      <c r="J12" s="141"/>
      <c r="K12" t="s">
        <v>53</v>
      </c>
      <c r="O12" s="4"/>
      <c r="P12" s="4"/>
    </row>
    <row r="13" spans="1:16">
      <c r="C13" s="136" t="s">
        <v>54</v>
      </c>
      <c r="D13" s="138">
        <f>+SWE.WS.F.BPU.ATRR.Projected!F$87</f>
        <v>43</v>
      </c>
      <c r="E13" s="136" t="s">
        <v>55</v>
      </c>
      <c r="F13" s="134"/>
      <c r="G13" s="7"/>
      <c r="H13" s="7"/>
      <c r="I13" s="140">
        <f>IF(G5="",I12,SWE.WS.F.BPU.ATRR.Projected!$F$75)</f>
        <v>9.9555672459071778E-2</v>
      </c>
      <c r="J13" s="141"/>
      <c r="K13" s="111" t="s">
        <v>56</v>
      </c>
      <c r="L13" s="58"/>
      <c r="M13" s="58"/>
      <c r="N13" s="58"/>
      <c r="O13" s="4"/>
      <c r="P13" s="4"/>
    </row>
    <row r="14" spans="1:16" ht="13.5" thickBot="1">
      <c r="C14" s="136" t="s">
        <v>57</v>
      </c>
      <c r="D14" s="137" t="s">
        <v>58</v>
      </c>
      <c r="E14" s="4" t="s">
        <v>59</v>
      </c>
      <c r="F14" s="134"/>
      <c r="G14" s="7"/>
      <c r="H14" s="7"/>
      <c r="I14" s="142">
        <f>IF(D10=0,0,D10/D13)</f>
        <v>185046.51162790696</v>
      </c>
      <c r="J14" s="111"/>
      <c r="K14" s="111"/>
      <c r="L14" s="111"/>
      <c r="M14" s="111"/>
      <c r="N14" s="111"/>
      <c r="O14" s="4"/>
      <c r="P14" s="4"/>
    </row>
    <row r="15" spans="1:16" ht="38.25">
      <c r="C15" s="143" t="s">
        <v>47</v>
      </c>
      <c r="D15" s="144" t="s">
        <v>60</v>
      </c>
      <c r="E15" s="144" t="s">
        <v>61</v>
      </c>
      <c r="F15" s="144" t="s">
        <v>62</v>
      </c>
      <c r="G15" s="434" t="s">
        <v>378</v>
      </c>
      <c r="H15" s="435" t="s">
        <v>379</v>
      </c>
      <c r="I15" s="143" t="s">
        <v>63</v>
      </c>
      <c r="J15" s="145"/>
      <c r="K15" s="271" t="s">
        <v>219</v>
      </c>
      <c r="L15" s="146" t="s">
        <v>64</v>
      </c>
      <c r="M15" s="271" t="s">
        <v>219</v>
      </c>
      <c r="N15" s="146" t="s">
        <v>64</v>
      </c>
      <c r="O15" s="146" t="s">
        <v>65</v>
      </c>
      <c r="P15" s="4"/>
    </row>
    <row r="16" spans="1:16" ht="13.5" thickBot="1">
      <c r="C16" s="147" t="s">
        <v>66</v>
      </c>
      <c r="D16" s="147" t="s">
        <v>67</v>
      </c>
      <c r="E16" s="147" t="s">
        <v>68</v>
      </c>
      <c r="F16" s="147" t="s">
        <v>67</v>
      </c>
      <c r="G16" s="408" t="s">
        <v>69</v>
      </c>
      <c r="H16" s="148" t="s">
        <v>70</v>
      </c>
      <c r="I16" s="149" t="s">
        <v>89</v>
      </c>
      <c r="J16" s="150" t="s">
        <v>71</v>
      </c>
      <c r="K16" s="151" t="s">
        <v>72</v>
      </c>
      <c r="L16" s="151" t="s">
        <v>72</v>
      </c>
      <c r="M16" s="151" t="s">
        <v>90</v>
      </c>
      <c r="N16" s="152" t="s">
        <v>90</v>
      </c>
      <c r="O16" s="151" t="s">
        <v>90</v>
      </c>
      <c r="P16" s="4"/>
    </row>
    <row r="17" spans="2:16">
      <c r="C17" s="153">
        <f>IF(D11= "","-",D11)</f>
        <v>2019</v>
      </c>
      <c r="D17" s="154">
        <f>IF(D11=C17,0,D10)</f>
        <v>0</v>
      </c>
      <c r="E17" s="160">
        <f>IF(+I13&lt;F16,I13,D17)</f>
        <v>9.9555672459071778E-2</v>
      </c>
      <c r="F17" s="159">
        <f>IF(D11=C17,+D10-E17,+D17-E17)</f>
        <v>7956999.9004443279</v>
      </c>
      <c r="G17" s="161">
        <f t="shared" ref="G17:G72" si="0">+I$12*((D17+F17)/2)+E17</f>
        <v>396082.33747842355</v>
      </c>
      <c r="H17" s="142">
        <f t="shared" ref="H17:H72" si="1">+I$13*((D17+F17)/2)+E17</f>
        <v>396082.33747842355</v>
      </c>
      <c r="I17" s="156">
        <f t="shared" ref="I17:I72" si="2">H17-G17</f>
        <v>0</v>
      </c>
      <c r="J17" s="156"/>
      <c r="K17" s="334"/>
      <c r="L17" s="157">
        <f t="shared" ref="L17:L72" si="3">IF(K17&lt;&gt;0,+G17-K17,0)</f>
        <v>0</v>
      </c>
      <c r="M17" s="334"/>
      <c r="N17" s="157">
        <f t="shared" ref="N17:N72" si="4">IF(M17&lt;&gt;0,+H17-M17,0)</f>
        <v>0</v>
      </c>
      <c r="O17" s="158">
        <f t="shared" ref="O17:O72" si="5">+N17-L17</f>
        <v>0</v>
      </c>
      <c r="P17" s="4"/>
    </row>
    <row r="18" spans="2:16">
      <c r="B18" s="9" t="str">
        <f>IF(D18=F17,"","IU")</f>
        <v/>
      </c>
      <c r="C18" s="153">
        <f>IF(D11="","-",+C17+1)</f>
        <v>2020</v>
      </c>
      <c r="D18" s="159">
        <f>IF(F17+SUM(E$17:E17)=D$10,F17,D$10-SUM(E$17:E17))</f>
        <v>7956999.9004443279</v>
      </c>
      <c r="E18" s="160">
        <f>IF(+I14&lt;F17,I14,D18)</f>
        <v>185046.51162790696</v>
      </c>
      <c r="F18" s="159">
        <f t="shared" ref="F18:F72" si="6">+D18-E18</f>
        <v>7771953.3888164209</v>
      </c>
      <c r="G18" s="161">
        <f t="shared" si="0"/>
        <v>967999.77252274833</v>
      </c>
      <c r="H18" s="142">
        <f t="shared" si="1"/>
        <v>967999.77252274833</v>
      </c>
      <c r="I18" s="156">
        <f t="shared" si="2"/>
        <v>0</v>
      </c>
      <c r="J18" s="156"/>
      <c r="K18" s="334"/>
      <c r="L18" s="158">
        <f t="shared" si="3"/>
        <v>0</v>
      </c>
      <c r="M18" s="334"/>
      <c r="N18" s="158">
        <f t="shared" si="4"/>
        <v>0</v>
      </c>
      <c r="O18" s="158">
        <f t="shared" si="5"/>
        <v>0</v>
      </c>
      <c r="P18" s="4"/>
    </row>
    <row r="19" spans="2:16">
      <c r="B19" s="9" t="str">
        <f>IF(D19=F18,"","IU")</f>
        <v/>
      </c>
      <c r="C19" s="153">
        <f>IF(D11="","-",+C18+1)</f>
        <v>2021</v>
      </c>
      <c r="D19" s="159">
        <f>IF(F18+SUM(E$17:E18)=D$10,F18,D$10-SUM(E$17:E18))</f>
        <v>7771953.3888164209</v>
      </c>
      <c r="E19" s="160">
        <f>IF(+I14&lt;F18,I14,D19)</f>
        <v>185046.51162790696</v>
      </c>
      <c r="F19" s="159">
        <f t="shared" si="6"/>
        <v>7586906.877188514</v>
      </c>
      <c r="G19" s="161">
        <f t="shared" si="0"/>
        <v>949577.34262142656</v>
      </c>
      <c r="H19" s="142">
        <f t="shared" si="1"/>
        <v>949577.34262142656</v>
      </c>
      <c r="I19" s="156">
        <f t="shared" si="2"/>
        <v>0</v>
      </c>
      <c r="J19" s="156"/>
      <c r="K19" s="334"/>
      <c r="L19" s="158">
        <f t="shared" si="3"/>
        <v>0</v>
      </c>
      <c r="M19" s="334"/>
      <c r="N19" s="158">
        <f t="shared" si="4"/>
        <v>0</v>
      </c>
      <c r="O19" s="158">
        <f t="shared" si="5"/>
        <v>0</v>
      </c>
      <c r="P19" s="4"/>
    </row>
    <row r="20" spans="2:16">
      <c r="B20" s="9" t="str">
        <f t="shared" ref="B20:B72" si="7">IF(D20=F19,"","IU")</f>
        <v/>
      </c>
      <c r="C20" s="153">
        <f>IF(D11="","-",+C19+1)</f>
        <v>2022</v>
      </c>
      <c r="D20" s="159">
        <f>IF(F19+SUM(E$17:E19)=D$10,F19,D$10-SUM(E$17:E19))</f>
        <v>7586906.877188514</v>
      </c>
      <c r="E20" s="160">
        <f>IF(+I14&lt;F19,I14,D20)</f>
        <v>185046.51162790696</v>
      </c>
      <c r="F20" s="159">
        <f t="shared" si="6"/>
        <v>7401860.3655606071</v>
      </c>
      <c r="G20" s="161">
        <f t="shared" si="0"/>
        <v>931154.91272010491</v>
      </c>
      <c r="H20" s="142">
        <f t="shared" si="1"/>
        <v>931154.91272010491</v>
      </c>
      <c r="I20" s="156">
        <f t="shared" si="2"/>
        <v>0</v>
      </c>
      <c r="J20" s="156"/>
      <c r="K20" s="334"/>
      <c r="L20" s="158">
        <f t="shared" si="3"/>
        <v>0</v>
      </c>
      <c r="M20" s="334"/>
      <c r="N20" s="158">
        <f t="shared" si="4"/>
        <v>0</v>
      </c>
      <c r="O20" s="158">
        <f t="shared" si="5"/>
        <v>0</v>
      </c>
      <c r="P20" s="4"/>
    </row>
    <row r="21" spans="2:16">
      <c r="B21" s="9" t="str">
        <f t="shared" si="7"/>
        <v/>
      </c>
      <c r="C21" s="153">
        <f>IF(D11="","-",+C20+1)</f>
        <v>2023</v>
      </c>
      <c r="D21" s="159">
        <f>IF(F20+SUM(E$17:E20)=D$10,F20,D$10-SUM(E$17:E20))</f>
        <v>7401860.3655606071</v>
      </c>
      <c r="E21" s="160">
        <f>IF(+I14&lt;F20,I14,D21)</f>
        <v>185046.51162790696</v>
      </c>
      <c r="F21" s="159">
        <f t="shared" si="6"/>
        <v>7216813.8539327001</v>
      </c>
      <c r="G21" s="161">
        <f t="shared" si="0"/>
        <v>912732.48281878314</v>
      </c>
      <c r="H21" s="142">
        <f t="shared" si="1"/>
        <v>912732.48281878314</v>
      </c>
      <c r="I21" s="156">
        <f t="shared" si="2"/>
        <v>0</v>
      </c>
      <c r="J21" s="156"/>
      <c r="K21" s="334"/>
      <c r="L21" s="158">
        <f t="shared" si="3"/>
        <v>0</v>
      </c>
      <c r="M21" s="334"/>
      <c r="N21" s="158">
        <f t="shared" si="4"/>
        <v>0</v>
      </c>
      <c r="O21" s="158">
        <f t="shared" si="5"/>
        <v>0</v>
      </c>
      <c r="P21" s="4"/>
    </row>
    <row r="22" spans="2:16">
      <c r="B22" s="9" t="str">
        <f t="shared" si="7"/>
        <v/>
      </c>
      <c r="C22" s="153">
        <f>IF(D11="","-",+C21+1)</f>
        <v>2024</v>
      </c>
      <c r="D22" s="159">
        <f>IF(F21+SUM(E$17:E21)=D$10,F21,D$10-SUM(E$17:E21))</f>
        <v>7216813.8539327001</v>
      </c>
      <c r="E22" s="160">
        <f>IF(+I14&lt;F21,I14,D22)</f>
        <v>185046.51162790696</v>
      </c>
      <c r="F22" s="159">
        <f t="shared" si="6"/>
        <v>7031767.3423047932</v>
      </c>
      <c r="G22" s="161">
        <f t="shared" si="0"/>
        <v>894310.05291746149</v>
      </c>
      <c r="H22" s="142">
        <f t="shared" si="1"/>
        <v>894310.05291746149</v>
      </c>
      <c r="I22" s="156">
        <f t="shared" si="2"/>
        <v>0</v>
      </c>
      <c r="J22" s="156"/>
      <c r="K22" s="334"/>
      <c r="L22" s="158">
        <f t="shared" si="3"/>
        <v>0</v>
      </c>
      <c r="M22" s="334"/>
      <c r="N22" s="158">
        <f t="shared" si="4"/>
        <v>0</v>
      </c>
      <c r="O22" s="158">
        <f t="shared" si="5"/>
        <v>0</v>
      </c>
      <c r="P22" s="4"/>
    </row>
    <row r="23" spans="2:16">
      <c r="B23" s="9" t="str">
        <f t="shared" si="7"/>
        <v/>
      </c>
      <c r="C23" s="153">
        <f>IF(D11="","-",+C22+1)</f>
        <v>2025</v>
      </c>
      <c r="D23" s="159">
        <f>IF(F22+SUM(E$17:E22)=D$10,F22,D$10-SUM(E$17:E22))</f>
        <v>7031767.3423047932</v>
      </c>
      <c r="E23" s="160">
        <f>IF(+I14&lt;F22,I14,D23)</f>
        <v>185046.51162790696</v>
      </c>
      <c r="F23" s="159">
        <f t="shared" si="6"/>
        <v>6846720.8306768863</v>
      </c>
      <c r="G23" s="161">
        <f t="shared" si="0"/>
        <v>875887.62301613973</v>
      </c>
      <c r="H23" s="142">
        <f t="shared" si="1"/>
        <v>875887.62301613973</v>
      </c>
      <c r="I23" s="156">
        <f t="shared" si="2"/>
        <v>0</v>
      </c>
      <c r="J23" s="156"/>
      <c r="K23" s="334"/>
      <c r="L23" s="158">
        <f t="shared" si="3"/>
        <v>0</v>
      </c>
      <c r="M23" s="334"/>
      <c r="N23" s="158">
        <f t="shared" si="4"/>
        <v>0</v>
      </c>
      <c r="O23" s="158">
        <f t="shared" si="5"/>
        <v>0</v>
      </c>
      <c r="P23" s="4"/>
    </row>
    <row r="24" spans="2:16">
      <c r="B24" s="9" t="str">
        <f t="shared" si="7"/>
        <v/>
      </c>
      <c r="C24" s="153">
        <f>IF(D11="","-",+C23+1)</f>
        <v>2026</v>
      </c>
      <c r="D24" s="159">
        <f>IF(F23+SUM(E$17:E23)=D$10,F23,D$10-SUM(E$17:E23))</f>
        <v>6846720.8306768863</v>
      </c>
      <c r="E24" s="160">
        <f>IF(+I14&lt;F23,I14,D24)</f>
        <v>185046.51162790696</v>
      </c>
      <c r="F24" s="159">
        <f t="shared" si="6"/>
        <v>6661674.3190489793</v>
      </c>
      <c r="G24" s="161">
        <f t="shared" si="0"/>
        <v>857465.19311481796</v>
      </c>
      <c r="H24" s="142">
        <f t="shared" si="1"/>
        <v>857465.19311481796</v>
      </c>
      <c r="I24" s="156">
        <f t="shared" si="2"/>
        <v>0</v>
      </c>
      <c r="J24" s="156"/>
      <c r="K24" s="334"/>
      <c r="L24" s="158">
        <f t="shared" si="3"/>
        <v>0</v>
      </c>
      <c r="M24" s="334"/>
      <c r="N24" s="158">
        <f t="shared" si="4"/>
        <v>0</v>
      </c>
      <c r="O24" s="158">
        <f t="shared" si="5"/>
        <v>0</v>
      </c>
      <c r="P24" s="4"/>
    </row>
    <row r="25" spans="2:16">
      <c r="B25" s="9" t="str">
        <f t="shared" si="7"/>
        <v/>
      </c>
      <c r="C25" s="153">
        <f>IF(D11="","-",+C24+1)</f>
        <v>2027</v>
      </c>
      <c r="D25" s="159">
        <f>IF(F24+SUM(E$17:E24)=D$10,F24,D$10-SUM(E$17:E24))</f>
        <v>6661674.3190489793</v>
      </c>
      <c r="E25" s="160">
        <f>IF(+I14&lt;F24,I14,D25)</f>
        <v>185046.51162790696</v>
      </c>
      <c r="F25" s="159">
        <f t="shared" si="6"/>
        <v>6476627.8074210724</v>
      </c>
      <c r="G25" s="161">
        <f t="shared" si="0"/>
        <v>839042.76321349631</v>
      </c>
      <c r="H25" s="142">
        <f t="shared" si="1"/>
        <v>839042.76321349631</v>
      </c>
      <c r="I25" s="156">
        <f t="shared" si="2"/>
        <v>0</v>
      </c>
      <c r="J25" s="156"/>
      <c r="K25" s="334"/>
      <c r="L25" s="158">
        <f t="shared" si="3"/>
        <v>0</v>
      </c>
      <c r="M25" s="334"/>
      <c r="N25" s="158">
        <f t="shared" si="4"/>
        <v>0</v>
      </c>
      <c r="O25" s="158">
        <f t="shared" si="5"/>
        <v>0</v>
      </c>
      <c r="P25" s="4"/>
    </row>
    <row r="26" spans="2:16">
      <c r="B26" s="9" t="str">
        <f t="shared" si="7"/>
        <v/>
      </c>
      <c r="C26" s="153">
        <f>IF(D11="","-",+C25+1)</f>
        <v>2028</v>
      </c>
      <c r="D26" s="159">
        <f>IF(F25+SUM(E$17:E25)=D$10,F25,D$10-SUM(E$17:E25))</f>
        <v>6476627.8074210724</v>
      </c>
      <c r="E26" s="160">
        <f>IF(+I14&lt;F25,I14,D26)</f>
        <v>185046.51162790696</v>
      </c>
      <c r="F26" s="159">
        <f t="shared" si="6"/>
        <v>6291581.2957931655</v>
      </c>
      <c r="G26" s="161">
        <f t="shared" si="0"/>
        <v>820620.33331217454</v>
      </c>
      <c r="H26" s="142">
        <f t="shared" si="1"/>
        <v>820620.33331217454</v>
      </c>
      <c r="I26" s="156">
        <f t="shared" si="2"/>
        <v>0</v>
      </c>
      <c r="J26" s="156"/>
      <c r="K26" s="334"/>
      <c r="L26" s="158">
        <f t="shared" si="3"/>
        <v>0</v>
      </c>
      <c r="M26" s="334"/>
      <c r="N26" s="158">
        <f t="shared" si="4"/>
        <v>0</v>
      </c>
      <c r="O26" s="158">
        <f t="shared" si="5"/>
        <v>0</v>
      </c>
      <c r="P26" s="4"/>
    </row>
    <row r="27" spans="2:16">
      <c r="B27" s="9" t="str">
        <f t="shared" si="7"/>
        <v/>
      </c>
      <c r="C27" s="153">
        <f>IF(D11="","-",+C26+1)</f>
        <v>2029</v>
      </c>
      <c r="D27" s="159">
        <f>IF(F26+SUM(E$17:E26)=D$10,F26,D$10-SUM(E$17:E26))</f>
        <v>6291581.2957931655</v>
      </c>
      <c r="E27" s="160">
        <f>IF(+I14&lt;F26,I14,D27)</f>
        <v>185046.51162790696</v>
      </c>
      <c r="F27" s="159">
        <f t="shared" si="6"/>
        <v>6106534.7841652585</v>
      </c>
      <c r="G27" s="161">
        <f t="shared" si="0"/>
        <v>802197.90341085289</v>
      </c>
      <c r="H27" s="142">
        <f t="shared" si="1"/>
        <v>802197.90341085289</v>
      </c>
      <c r="I27" s="156">
        <f t="shared" si="2"/>
        <v>0</v>
      </c>
      <c r="J27" s="156"/>
      <c r="K27" s="334"/>
      <c r="L27" s="158">
        <f t="shared" si="3"/>
        <v>0</v>
      </c>
      <c r="M27" s="334"/>
      <c r="N27" s="158">
        <f t="shared" si="4"/>
        <v>0</v>
      </c>
      <c r="O27" s="158">
        <f t="shared" si="5"/>
        <v>0</v>
      </c>
      <c r="P27" s="4"/>
    </row>
    <row r="28" spans="2:16">
      <c r="B28" s="9" t="str">
        <f t="shared" si="7"/>
        <v/>
      </c>
      <c r="C28" s="153">
        <f>IF(D11="","-",+C27+1)</f>
        <v>2030</v>
      </c>
      <c r="D28" s="159">
        <f>IF(F27+SUM(E$17:E27)=D$10,F27,D$10-SUM(E$17:E27))</f>
        <v>6106534.7841652585</v>
      </c>
      <c r="E28" s="160">
        <f>IF(+I14&lt;F27,I14,D28)</f>
        <v>185046.51162790696</v>
      </c>
      <c r="F28" s="159">
        <f t="shared" si="6"/>
        <v>5921488.2725373516</v>
      </c>
      <c r="G28" s="161">
        <f t="shared" si="0"/>
        <v>783775.47350953112</v>
      </c>
      <c r="H28" s="142">
        <f t="shared" si="1"/>
        <v>783775.47350953112</v>
      </c>
      <c r="I28" s="156">
        <f t="shared" si="2"/>
        <v>0</v>
      </c>
      <c r="J28" s="156"/>
      <c r="K28" s="334"/>
      <c r="L28" s="158">
        <f t="shared" si="3"/>
        <v>0</v>
      </c>
      <c r="M28" s="334"/>
      <c r="N28" s="158">
        <f t="shared" si="4"/>
        <v>0</v>
      </c>
      <c r="O28" s="158">
        <f t="shared" si="5"/>
        <v>0</v>
      </c>
      <c r="P28" s="4"/>
    </row>
    <row r="29" spans="2:16">
      <c r="B29" s="9" t="str">
        <f t="shared" si="7"/>
        <v/>
      </c>
      <c r="C29" s="153">
        <f>IF(D11="","-",+C28+1)</f>
        <v>2031</v>
      </c>
      <c r="D29" s="159">
        <f>IF(F28+SUM(E$17:E28)=D$10,F28,D$10-SUM(E$17:E28))</f>
        <v>5921488.2725373516</v>
      </c>
      <c r="E29" s="160">
        <f>IF(+I14&lt;F28,I14,D29)</f>
        <v>185046.51162790696</v>
      </c>
      <c r="F29" s="159">
        <f t="shared" si="6"/>
        <v>5736441.7609094447</v>
      </c>
      <c r="G29" s="161">
        <f t="shared" si="0"/>
        <v>765353.04360820935</v>
      </c>
      <c r="H29" s="142">
        <f t="shared" si="1"/>
        <v>765353.04360820935</v>
      </c>
      <c r="I29" s="156">
        <f t="shared" si="2"/>
        <v>0</v>
      </c>
      <c r="J29" s="156"/>
      <c r="K29" s="334"/>
      <c r="L29" s="158">
        <f t="shared" si="3"/>
        <v>0</v>
      </c>
      <c r="M29" s="334"/>
      <c r="N29" s="158">
        <f t="shared" si="4"/>
        <v>0</v>
      </c>
      <c r="O29" s="158">
        <f t="shared" si="5"/>
        <v>0</v>
      </c>
      <c r="P29" s="4"/>
    </row>
    <row r="30" spans="2:16">
      <c r="B30" s="9" t="str">
        <f t="shared" si="7"/>
        <v/>
      </c>
      <c r="C30" s="153">
        <f>IF(D11="","-",+C29+1)</f>
        <v>2032</v>
      </c>
      <c r="D30" s="159">
        <f>IF(F29+SUM(E$17:E29)=D$10,F29,D$10-SUM(E$17:E29))</f>
        <v>5736441.7609094447</v>
      </c>
      <c r="E30" s="160">
        <f>IF(+I14&lt;F29,I14,D30)</f>
        <v>185046.51162790696</v>
      </c>
      <c r="F30" s="159">
        <f t="shared" si="6"/>
        <v>5551395.2492815377</v>
      </c>
      <c r="G30" s="161">
        <f t="shared" si="0"/>
        <v>746930.6137068877</v>
      </c>
      <c r="H30" s="142">
        <f t="shared" si="1"/>
        <v>746930.6137068877</v>
      </c>
      <c r="I30" s="156">
        <f t="shared" si="2"/>
        <v>0</v>
      </c>
      <c r="J30" s="156"/>
      <c r="K30" s="334"/>
      <c r="L30" s="158">
        <f t="shared" si="3"/>
        <v>0</v>
      </c>
      <c r="M30" s="334"/>
      <c r="N30" s="158">
        <f t="shared" si="4"/>
        <v>0</v>
      </c>
      <c r="O30" s="158">
        <f t="shared" si="5"/>
        <v>0</v>
      </c>
      <c r="P30" s="4"/>
    </row>
    <row r="31" spans="2:16">
      <c r="B31" s="9" t="str">
        <f t="shared" si="7"/>
        <v/>
      </c>
      <c r="C31" s="153">
        <f>IF(D11="","-",+C30+1)</f>
        <v>2033</v>
      </c>
      <c r="D31" s="159">
        <f>IF(F30+SUM(E$17:E30)=D$10,F30,D$10-SUM(E$17:E30))</f>
        <v>5551395.2492815377</v>
      </c>
      <c r="E31" s="160">
        <f>IF(+I14&lt;F30,I14,D31)</f>
        <v>185046.51162790696</v>
      </c>
      <c r="F31" s="159">
        <f t="shared" si="6"/>
        <v>5366348.7376536308</v>
      </c>
      <c r="G31" s="161">
        <f t="shared" si="0"/>
        <v>728508.18380556593</v>
      </c>
      <c r="H31" s="142">
        <f t="shared" si="1"/>
        <v>728508.18380556593</v>
      </c>
      <c r="I31" s="156">
        <f t="shared" si="2"/>
        <v>0</v>
      </c>
      <c r="J31" s="156"/>
      <c r="K31" s="334"/>
      <c r="L31" s="158">
        <f t="shared" si="3"/>
        <v>0</v>
      </c>
      <c r="M31" s="334"/>
      <c r="N31" s="158">
        <f t="shared" si="4"/>
        <v>0</v>
      </c>
      <c r="O31" s="158">
        <f t="shared" si="5"/>
        <v>0</v>
      </c>
      <c r="P31" s="4"/>
    </row>
    <row r="32" spans="2:16">
      <c r="B32" s="9" t="str">
        <f t="shared" si="7"/>
        <v/>
      </c>
      <c r="C32" s="153">
        <f>IF(D11="","-",+C31+1)</f>
        <v>2034</v>
      </c>
      <c r="D32" s="159">
        <f>IF(F31+SUM(E$17:E31)=D$10,F31,D$10-SUM(E$17:E31))</f>
        <v>5366348.7376536308</v>
      </c>
      <c r="E32" s="160">
        <f>IF(+I14&lt;F31,I14,D32)</f>
        <v>185046.51162790696</v>
      </c>
      <c r="F32" s="159">
        <f t="shared" si="6"/>
        <v>5181302.2260257239</v>
      </c>
      <c r="G32" s="161">
        <f t="shared" si="0"/>
        <v>710085.75390424428</v>
      </c>
      <c r="H32" s="142">
        <f t="shared" si="1"/>
        <v>710085.75390424428</v>
      </c>
      <c r="I32" s="156">
        <f t="shared" si="2"/>
        <v>0</v>
      </c>
      <c r="J32" s="156"/>
      <c r="K32" s="334"/>
      <c r="L32" s="158">
        <f t="shared" si="3"/>
        <v>0</v>
      </c>
      <c r="M32" s="334"/>
      <c r="N32" s="158">
        <f t="shared" si="4"/>
        <v>0</v>
      </c>
      <c r="O32" s="158">
        <f t="shared" si="5"/>
        <v>0</v>
      </c>
      <c r="P32" s="4"/>
    </row>
    <row r="33" spans="2:16">
      <c r="B33" s="9" t="str">
        <f t="shared" si="7"/>
        <v/>
      </c>
      <c r="C33" s="153">
        <f>IF(D11="","-",+C32+1)</f>
        <v>2035</v>
      </c>
      <c r="D33" s="159">
        <f>IF(F32+SUM(E$17:E32)=D$10,F32,D$10-SUM(E$17:E32))</f>
        <v>5181302.2260257239</v>
      </c>
      <c r="E33" s="160">
        <f>IF(+I14&lt;F32,I14,D33)</f>
        <v>185046.51162790696</v>
      </c>
      <c r="F33" s="159">
        <f t="shared" si="6"/>
        <v>4996255.7143978169</v>
      </c>
      <c r="G33" s="161">
        <f t="shared" si="0"/>
        <v>691663.32400292251</v>
      </c>
      <c r="H33" s="142">
        <f t="shared" si="1"/>
        <v>691663.32400292251</v>
      </c>
      <c r="I33" s="156">
        <f t="shared" si="2"/>
        <v>0</v>
      </c>
      <c r="J33" s="156"/>
      <c r="K33" s="334"/>
      <c r="L33" s="158">
        <f t="shared" si="3"/>
        <v>0</v>
      </c>
      <c r="M33" s="334"/>
      <c r="N33" s="158">
        <f t="shared" si="4"/>
        <v>0</v>
      </c>
      <c r="O33" s="158">
        <f t="shared" si="5"/>
        <v>0</v>
      </c>
      <c r="P33" s="4"/>
    </row>
    <row r="34" spans="2:16">
      <c r="B34" s="9" t="str">
        <f t="shared" si="7"/>
        <v/>
      </c>
      <c r="C34" s="153">
        <f>IF(D11="","-",+C33+1)</f>
        <v>2036</v>
      </c>
      <c r="D34" s="159">
        <f>IF(F33+SUM(E$17:E33)=D$10,F33,D$10-SUM(E$17:E33))</f>
        <v>4996255.7143978169</v>
      </c>
      <c r="E34" s="160">
        <f>IF(+I14&lt;F33,I14,D34)</f>
        <v>185046.51162790696</v>
      </c>
      <c r="F34" s="159">
        <f t="shared" si="6"/>
        <v>4811209.20276991</v>
      </c>
      <c r="G34" s="161">
        <f t="shared" si="0"/>
        <v>673240.89410160086</v>
      </c>
      <c r="H34" s="142">
        <f t="shared" si="1"/>
        <v>673240.89410160086</v>
      </c>
      <c r="I34" s="156">
        <f t="shared" si="2"/>
        <v>0</v>
      </c>
      <c r="J34" s="156"/>
      <c r="K34" s="334"/>
      <c r="L34" s="158">
        <f t="shared" si="3"/>
        <v>0</v>
      </c>
      <c r="M34" s="334"/>
      <c r="N34" s="158">
        <f t="shared" si="4"/>
        <v>0</v>
      </c>
      <c r="O34" s="158">
        <f t="shared" si="5"/>
        <v>0</v>
      </c>
      <c r="P34" s="4"/>
    </row>
    <row r="35" spans="2:16">
      <c r="B35" s="9" t="str">
        <f t="shared" si="7"/>
        <v/>
      </c>
      <c r="C35" s="153">
        <f>IF(D11="","-",+C34+1)</f>
        <v>2037</v>
      </c>
      <c r="D35" s="159">
        <f>IF(F34+SUM(E$17:E34)=D$10,F34,D$10-SUM(E$17:E34))</f>
        <v>4811209.20276991</v>
      </c>
      <c r="E35" s="160">
        <f>IF(+I14&lt;F34,I14,D35)</f>
        <v>185046.51162790696</v>
      </c>
      <c r="F35" s="159">
        <f t="shared" si="6"/>
        <v>4626162.6911420031</v>
      </c>
      <c r="G35" s="161">
        <f t="shared" si="0"/>
        <v>654818.46420027909</v>
      </c>
      <c r="H35" s="142">
        <f t="shared" si="1"/>
        <v>654818.46420027909</v>
      </c>
      <c r="I35" s="156">
        <f t="shared" si="2"/>
        <v>0</v>
      </c>
      <c r="J35" s="156"/>
      <c r="K35" s="334"/>
      <c r="L35" s="158">
        <f t="shared" si="3"/>
        <v>0</v>
      </c>
      <c r="M35" s="334"/>
      <c r="N35" s="158">
        <f t="shared" si="4"/>
        <v>0</v>
      </c>
      <c r="O35" s="158">
        <f t="shared" si="5"/>
        <v>0</v>
      </c>
      <c r="P35" s="4"/>
    </row>
    <row r="36" spans="2:16">
      <c r="B36" s="9" t="str">
        <f t="shared" si="7"/>
        <v/>
      </c>
      <c r="C36" s="153">
        <f>IF(D11="","-",+C35+1)</f>
        <v>2038</v>
      </c>
      <c r="D36" s="159">
        <f>IF(F35+SUM(E$17:E35)=D$10,F35,D$10-SUM(E$17:E35))</f>
        <v>4626162.6911420031</v>
      </c>
      <c r="E36" s="160">
        <f>IF(+I14&lt;F35,I14,D36)</f>
        <v>185046.51162790696</v>
      </c>
      <c r="F36" s="159">
        <f t="shared" si="6"/>
        <v>4441116.1795140961</v>
      </c>
      <c r="G36" s="161">
        <f t="shared" si="0"/>
        <v>636396.03429895744</v>
      </c>
      <c r="H36" s="142">
        <f t="shared" si="1"/>
        <v>636396.03429895744</v>
      </c>
      <c r="I36" s="156">
        <f t="shared" si="2"/>
        <v>0</v>
      </c>
      <c r="J36" s="156"/>
      <c r="K36" s="334"/>
      <c r="L36" s="158">
        <f t="shared" si="3"/>
        <v>0</v>
      </c>
      <c r="M36" s="334"/>
      <c r="N36" s="158">
        <f t="shared" si="4"/>
        <v>0</v>
      </c>
      <c r="O36" s="158">
        <f t="shared" si="5"/>
        <v>0</v>
      </c>
      <c r="P36" s="4"/>
    </row>
    <row r="37" spans="2:16">
      <c r="B37" s="9" t="str">
        <f t="shared" si="7"/>
        <v/>
      </c>
      <c r="C37" s="153">
        <f>IF(D11="","-",+C36+1)</f>
        <v>2039</v>
      </c>
      <c r="D37" s="159">
        <f>IF(F36+SUM(E$17:E36)=D$10,F36,D$10-SUM(E$17:E36))</f>
        <v>4441116.1795140961</v>
      </c>
      <c r="E37" s="160">
        <f>IF(+I14&lt;F36,I14,D37)</f>
        <v>185046.51162790696</v>
      </c>
      <c r="F37" s="159">
        <f t="shared" si="6"/>
        <v>4256069.6678861892</v>
      </c>
      <c r="G37" s="161">
        <f t="shared" si="0"/>
        <v>617973.60439763567</v>
      </c>
      <c r="H37" s="142">
        <f t="shared" si="1"/>
        <v>617973.60439763567</v>
      </c>
      <c r="I37" s="156">
        <f t="shared" si="2"/>
        <v>0</v>
      </c>
      <c r="J37" s="156"/>
      <c r="K37" s="334"/>
      <c r="L37" s="158">
        <f t="shared" si="3"/>
        <v>0</v>
      </c>
      <c r="M37" s="334"/>
      <c r="N37" s="158">
        <f t="shared" si="4"/>
        <v>0</v>
      </c>
      <c r="O37" s="158">
        <f t="shared" si="5"/>
        <v>0</v>
      </c>
      <c r="P37" s="4"/>
    </row>
    <row r="38" spans="2:16">
      <c r="B38" s="9" t="str">
        <f t="shared" si="7"/>
        <v/>
      </c>
      <c r="C38" s="153">
        <f>IF(D11="","-",+C37+1)</f>
        <v>2040</v>
      </c>
      <c r="D38" s="159">
        <f>IF(F37+SUM(E$17:E37)=D$10,F37,D$10-SUM(E$17:E37))</f>
        <v>4256069.6678861892</v>
      </c>
      <c r="E38" s="160">
        <f>IF(+I14&lt;F37,I14,D38)</f>
        <v>185046.51162790696</v>
      </c>
      <c r="F38" s="159">
        <f t="shared" si="6"/>
        <v>4071023.1562582823</v>
      </c>
      <c r="G38" s="161">
        <f t="shared" si="0"/>
        <v>599551.17449631391</v>
      </c>
      <c r="H38" s="142">
        <f t="shared" si="1"/>
        <v>599551.17449631391</v>
      </c>
      <c r="I38" s="156">
        <f t="shared" si="2"/>
        <v>0</v>
      </c>
      <c r="J38" s="156"/>
      <c r="K38" s="334"/>
      <c r="L38" s="158">
        <f t="shared" si="3"/>
        <v>0</v>
      </c>
      <c r="M38" s="334"/>
      <c r="N38" s="158">
        <f t="shared" si="4"/>
        <v>0</v>
      </c>
      <c r="O38" s="158">
        <f t="shared" si="5"/>
        <v>0</v>
      </c>
      <c r="P38" s="4"/>
    </row>
    <row r="39" spans="2:16">
      <c r="B39" s="9" t="str">
        <f t="shared" si="7"/>
        <v/>
      </c>
      <c r="C39" s="153">
        <f>IF(D11="","-",+C38+1)</f>
        <v>2041</v>
      </c>
      <c r="D39" s="159">
        <f>IF(F38+SUM(E$17:E38)=D$10,F38,D$10-SUM(E$17:E38))</f>
        <v>4071023.1562582823</v>
      </c>
      <c r="E39" s="160">
        <f>IF(+I14&lt;F38,I14,D39)</f>
        <v>185046.51162790696</v>
      </c>
      <c r="F39" s="159">
        <f t="shared" si="6"/>
        <v>3885976.6446303753</v>
      </c>
      <c r="G39" s="161">
        <f t="shared" si="0"/>
        <v>581128.74459499225</v>
      </c>
      <c r="H39" s="142">
        <f t="shared" si="1"/>
        <v>581128.74459499225</v>
      </c>
      <c r="I39" s="156">
        <f t="shared" si="2"/>
        <v>0</v>
      </c>
      <c r="J39" s="156"/>
      <c r="K39" s="334"/>
      <c r="L39" s="158">
        <f t="shared" si="3"/>
        <v>0</v>
      </c>
      <c r="M39" s="334"/>
      <c r="N39" s="158">
        <f t="shared" si="4"/>
        <v>0</v>
      </c>
      <c r="O39" s="158">
        <f t="shared" si="5"/>
        <v>0</v>
      </c>
      <c r="P39" s="4"/>
    </row>
    <row r="40" spans="2:16">
      <c r="B40" s="9" t="str">
        <f t="shared" si="7"/>
        <v/>
      </c>
      <c r="C40" s="153">
        <f>IF(D11="","-",+C39+1)</f>
        <v>2042</v>
      </c>
      <c r="D40" s="159">
        <f>IF(F39+SUM(E$17:E39)=D$10,F39,D$10-SUM(E$17:E39))</f>
        <v>3885976.6446303753</v>
      </c>
      <c r="E40" s="160">
        <f>IF(+I14&lt;F39,I14,D40)</f>
        <v>185046.51162790696</v>
      </c>
      <c r="F40" s="159">
        <f t="shared" si="6"/>
        <v>3700930.1330024684</v>
      </c>
      <c r="G40" s="161">
        <f t="shared" si="0"/>
        <v>562706.31469367049</v>
      </c>
      <c r="H40" s="142">
        <f t="shared" si="1"/>
        <v>562706.31469367049</v>
      </c>
      <c r="I40" s="156">
        <f t="shared" si="2"/>
        <v>0</v>
      </c>
      <c r="J40" s="156"/>
      <c r="K40" s="334"/>
      <c r="L40" s="158">
        <f t="shared" si="3"/>
        <v>0</v>
      </c>
      <c r="M40" s="334"/>
      <c r="N40" s="158">
        <f t="shared" si="4"/>
        <v>0</v>
      </c>
      <c r="O40" s="158">
        <f t="shared" si="5"/>
        <v>0</v>
      </c>
      <c r="P40" s="4"/>
    </row>
    <row r="41" spans="2:16">
      <c r="B41" s="9" t="str">
        <f t="shared" si="7"/>
        <v/>
      </c>
      <c r="C41" s="153">
        <f>IF(D11="","-",+C40+1)</f>
        <v>2043</v>
      </c>
      <c r="D41" s="159">
        <f>IF(F40+SUM(E$17:E40)=D$10,F40,D$10-SUM(E$17:E40))</f>
        <v>3700930.1330024684</v>
      </c>
      <c r="E41" s="160">
        <f>IF(+I14&lt;F40,I14,D41)</f>
        <v>185046.51162790696</v>
      </c>
      <c r="F41" s="159">
        <f t="shared" si="6"/>
        <v>3515883.6213745615</v>
      </c>
      <c r="G41" s="161">
        <f t="shared" si="0"/>
        <v>544283.88479234884</v>
      </c>
      <c r="H41" s="142">
        <f t="shared" si="1"/>
        <v>544283.88479234884</v>
      </c>
      <c r="I41" s="156">
        <f t="shared" si="2"/>
        <v>0</v>
      </c>
      <c r="J41" s="156"/>
      <c r="K41" s="334"/>
      <c r="L41" s="158">
        <f t="shared" si="3"/>
        <v>0</v>
      </c>
      <c r="M41" s="334"/>
      <c r="N41" s="158">
        <f t="shared" si="4"/>
        <v>0</v>
      </c>
      <c r="O41" s="158">
        <f t="shared" si="5"/>
        <v>0</v>
      </c>
      <c r="P41" s="4"/>
    </row>
    <row r="42" spans="2:16">
      <c r="B42" s="9" t="str">
        <f t="shared" si="7"/>
        <v/>
      </c>
      <c r="C42" s="153">
        <f>IF(D11="","-",+C41+1)</f>
        <v>2044</v>
      </c>
      <c r="D42" s="159">
        <f>IF(F41+SUM(E$17:E41)=D$10,F41,D$10-SUM(E$17:E41))</f>
        <v>3515883.6213745615</v>
      </c>
      <c r="E42" s="160">
        <f>IF(+I14&lt;F41,I14,D42)</f>
        <v>185046.51162790696</v>
      </c>
      <c r="F42" s="159">
        <f t="shared" si="6"/>
        <v>3330837.1097466545</v>
      </c>
      <c r="G42" s="161">
        <f t="shared" si="0"/>
        <v>525861.45489102707</v>
      </c>
      <c r="H42" s="142">
        <f t="shared" si="1"/>
        <v>525861.45489102707</v>
      </c>
      <c r="I42" s="156">
        <f t="shared" si="2"/>
        <v>0</v>
      </c>
      <c r="J42" s="156"/>
      <c r="K42" s="334"/>
      <c r="L42" s="158">
        <f t="shared" si="3"/>
        <v>0</v>
      </c>
      <c r="M42" s="334"/>
      <c r="N42" s="158">
        <f t="shared" si="4"/>
        <v>0</v>
      </c>
      <c r="O42" s="158">
        <f t="shared" si="5"/>
        <v>0</v>
      </c>
      <c r="P42" s="4"/>
    </row>
    <row r="43" spans="2:16">
      <c r="B43" s="9" t="str">
        <f t="shared" si="7"/>
        <v/>
      </c>
      <c r="C43" s="153">
        <f>IF(D11="","-",+C42+1)</f>
        <v>2045</v>
      </c>
      <c r="D43" s="159">
        <f>IF(F42+SUM(E$17:E42)=D$10,F42,D$10-SUM(E$17:E42))</f>
        <v>3330837.1097466545</v>
      </c>
      <c r="E43" s="160">
        <f>IF(+I14&lt;F42,I14,D43)</f>
        <v>185046.51162790696</v>
      </c>
      <c r="F43" s="159">
        <f t="shared" si="6"/>
        <v>3145790.5981187476</v>
      </c>
      <c r="G43" s="161">
        <f t="shared" si="0"/>
        <v>507439.02498970542</v>
      </c>
      <c r="H43" s="142">
        <f t="shared" si="1"/>
        <v>507439.02498970542</v>
      </c>
      <c r="I43" s="156">
        <f t="shared" si="2"/>
        <v>0</v>
      </c>
      <c r="J43" s="156"/>
      <c r="K43" s="334"/>
      <c r="L43" s="158">
        <f t="shared" si="3"/>
        <v>0</v>
      </c>
      <c r="M43" s="334"/>
      <c r="N43" s="158">
        <f t="shared" si="4"/>
        <v>0</v>
      </c>
      <c r="O43" s="158">
        <f t="shared" si="5"/>
        <v>0</v>
      </c>
      <c r="P43" s="4"/>
    </row>
    <row r="44" spans="2:16">
      <c r="B44" s="9" t="str">
        <f t="shared" si="7"/>
        <v/>
      </c>
      <c r="C44" s="153">
        <f>IF(D11="","-",+C43+1)</f>
        <v>2046</v>
      </c>
      <c r="D44" s="159">
        <f>IF(F43+SUM(E$17:E43)=D$10,F43,D$10-SUM(E$17:E43))</f>
        <v>3145790.5981187476</v>
      </c>
      <c r="E44" s="160">
        <f>IF(+I14&lt;F43,I14,D44)</f>
        <v>185046.51162790696</v>
      </c>
      <c r="F44" s="159">
        <f t="shared" si="6"/>
        <v>2960744.0864908407</v>
      </c>
      <c r="G44" s="161">
        <f t="shared" si="0"/>
        <v>489016.59508838365</v>
      </c>
      <c r="H44" s="142">
        <f t="shared" si="1"/>
        <v>489016.59508838365</v>
      </c>
      <c r="I44" s="156">
        <f t="shared" si="2"/>
        <v>0</v>
      </c>
      <c r="J44" s="156"/>
      <c r="K44" s="334"/>
      <c r="L44" s="158">
        <f t="shared" si="3"/>
        <v>0</v>
      </c>
      <c r="M44" s="334"/>
      <c r="N44" s="158">
        <f t="shared" si="4"/>
        <v>0</v>
      </c>
      <c r="O44" s="158">
        <f t="shared" si="5"/>
        <v>0</v>
      </c>
      <c r="P44" s="4"/>
    </row>
    <row r="45" spans="2:16">
      <c r="B45" s="9" t="str">
        <f t="shared" si="7"/>
        <v/>
      </c>
      <c r="C45" s="153">
        <f>IF(D11="","-",+C44+1)</f>
        <v>2047</v>
      </c>
      <c r="D45" s="159">
        <f>IF(F44+SUM(E$17:E44)=D$10,F44,D$10-SUM(E$17:E44))</f>
        <v>2960744.0864908407</v>
      </c>
      <c r="E45" s="160">
        <f>IF(+I14&lt;F44,I14,D45)</f>
        <v>185046.51162790696</v>
      </c>
      <c r="F45" s="159">
        <f t="shared" si="6"/>
        <v>2775697.5748629337</v>
      </c>
      <c r="G45" s="161">
        <f t="shared" si="0"/>
        <v>470594.16518706188</v>
      </c>
      <c r="H45" s="142">
        <f t="shared" si="1"/>
        <v>470594.16518706188</v>
      </c>
      <c r="I45" s="156">
        <f t="shared" si="2"/>
        <v>0</v>
      </c>
      <c r="J45" s="156"/>
      <c r="K45" s="334"/>
      <c r="L45" s="158">
        <f t="shared" si="3"/>
        <v>0</v>
      </c>
      <c r="M45" s="334"/>
      <c r="N45" s="158">
        <f t="shared" si="4"/>
        <v>0</v>
      </c>
      <c r="O45" s="158">
        <f t="shared" si="5"/>
        <v>0</v>
      </c>
      <c r="P45" s="4"/>
    </row>
    <row r="46" spans="2:16">
      <c r="B46" s="9" t="str">
        <f t="shared" si="7"/>
        <v/>
      </c>
      <c r="C46" s="153">
        <f>IF(D11="","-",+C45+1)</f>
        <v>2048</v>
      </c>
      <c r="D46" s="159">
        <f>IF(F45+SUM(E$17:E45)=D$10,F45,D$10-SUM(E$17:E45))</f>
        <v>2775697.5748629337</v>
      </c>
      <c r="E46" s="160">
        <f>IF(+I14&lt;F45,I14,D46)</f>
        <v>185046.51162790696</v>
      </c>
      <c r="F46" s="159">
        <f t="shared" si="6"/>
        <v>2590651.0632350268</v>
      </c>
      <c r="G46" s="161">
        <f t="shared" si="0"/>
        <v>452171.73528574023</v>
      </c>
      <c r="H46" s="142">
        <f t="shared" si="1"/>
        <v>452171.73528574023</v>
      </c>
      <c r="I46" s="156">
        <f t="shared" si="2"/>
        <v>0</v>
      </c>
      <c r="J46" s="156"/>
      <c r="K46" s="334"/>
      <c r="L46" s="158">
        <f t="shared" si="3"/>
        <v>0</v>
      </c>
      <c r="M46" s="334"/>
      <c r="N46" s="158">
        <f t="shared" si="4"/>
        <v>0</v>
      </c>
      <c r="O46" s="158">
        <f t="shared" si="5"/>
        <v>0</v>
      </c>
      <c r="P46" s="4"/>
    </row>
    <row r="47" spans="2:16">
      <c r="B47" s="9" t="str">
        <f t="shared" si="7"/>
        <v/>
      </c>
      <c r="C47" s="153">
        <f>IF(D11="","-",+C46+1)</f>
        <v>2049</v>
      </c>
      <c r="D47" s="159">
        <f>IF(F46+SUM(E$17:E46)=D$10,F46,D$10-SUM(E$17:E46))</f>
        <v>2590651.0632350268</v>
      </c>
      <c r="E47" s="160">
        <f>IF(+I14&lt;F46,I14,D47)</f>
        <v>185046.51162790696</v>
      </c>
      <c r="F47" s="159">
        <f t="shared" si="6"/>
        <v>2405604.5516071199</v>
      </c>
      <c r="G47" s="161">
        <f t="shared" si="0"/>
        <v>433749.30538441846</v>
      </c>
      <c r="H47" s="142">
        <f t="shared" si="1"/>
        <v>433749.30538441846</v>
      </c>
      <c r="I47" s="156">
        <f t="shared" si="2"/>
        <v>0</v>
      </c>
      <c r="J47" s="156"/>
      <c r="K47" s="334"/>
      <c r="L47" s="158">
        <f t="shared" si="3"/>
        <v>0</v>
      </c>
      <c r="M47" s="334"/>
      <c r="N47" s="158">
        <f t="shared" si="4"/>
        <v>0</v>
      </c>
      <c r="O47" s="158">
        <f t="shared" si="5"/>
        <v>0</v>
      </c>
      <c r="P47" s="4"/>
    </row>
    <row r="48" spans="2:16">
      <c r="B48" s="9" t="str">
        <f t="shared" si="7"/>
        <v/>
      </c>
      <c r="C48" s="153">
        <f>IF(D11="","-",+C47+1)</f>
        <v>2050</v>
      </c>
      <c r="D48" s="159">
        <f>IF(F47+SUM(E$17:E47)=D$10,F47,D$10-SUM(E$17:E47))</f>
        <v>2405604.5516071199</v>
      </c>
      <c r="E48" s="160">
        <f>IF(+I14&lt;F47,I14,D48)</f>
        <v>185046.51162790696</v>
      </c>
      <c r="F48" s="159">
        <f t="shared" si="6"/>
        <v>2220558.0399792129</v>
      </c>
      <c r="G48" s="161">
        <f t="shared" si="0"/>
        <v>415326.87548309675</v>
      </c>
      <c r="H48" s="142">
        <f t="shared" si="1"/>
        <v>415326.87548309675</v>
      </c>
      <c r="I48" s="156">
        <f t="shared" si="2"/>
        <v>0</v>
      </c>
      <c r="J48" s="156"/>
      <c r="K48" s="334"/>
      <c r="L48" s="158">
        <f t="shared" si="3"/>
        <v>0</v>
      </c>
      <c r="M48" s="334"/>
      <c r="N48" s="158">
        <f t="shared" si="4"/>
        <v>0</v>
      </c>
      <c r="O48" s="158">
        <f t="shared" si="5"/>
        <v>0</v>
      </c>
      <c r="P48" s="4"/>
    </row>
    <row r="49" spans="2:16">
      <c r="B49" s="9" t="str">
        <f t="shared" si="7"/>
        <v/>
      </c>
      <c r="C49" s="153">
        <f>IF(D11="","-",+C48+1)</f>
        <v>2051</v>
      </c>
      <c r="D49" s="159">
        <f>IF(F48+SUM(E$17:E48)=D$10,F48,D$10-SUM(E$17:E48))</f>
        <v>2220558.0399792129</v>
      </c>
      <c r="E49" s="160">
        <f>IF(+I14&lt;F48,I14,D49)</f>
        <v>185046.51162790696</v>
      </c>
      <c r="F49" s="159">
        <f t="shared" si="6"/>
        <v>2035511.528351306</v>
      </c>
      <c r="G49" s="161">
        <f t="shared" si="0"/>
        <v>396904.44558177504</v>
      </c>
      <c r="H49" s="142">
        <f t="shared" si="1"/>
        <v>396904.44558177504</v>
      </c>
      <c r="I49" s="156">
        <f t="shared" si="2"/>
        <v>0</v>
      </c>
      <c r="J49" s="156"/>
      <c r="K49" s="334"/>
      <c r="L49" s="158">
        <f t="shared" si="3"/>
        <v>0</v>
      </c>
      <c r="M49" s="334"/>
      <c r="N49" s="158">
        <f t="shared" si="4"/>
        <v>0</v>
      </c>
      <c r="O49" s="158">
        <f t="shared" si="5"/>
        <v>0</v>
      </c>
      <c r="P49" s="4"/>
    </row>
    <row r="50" spans="2:16">
      <c r="B50" s="9" t="str">
        <f t="shared" si="7"/>
        <v/>
      </c>
      <c r="C50" s="153">
        <f>IF(D11="","-",+C49+1)</f>
        <v>2052</v>
      </c>
      <c r="D50" s="159">
        <f>IF(F49+SUM(E$17:E49)=D$10,F49,D$10-SUM(E$17:E49))</f>
        <v>2035511.528351306</v>
      </c>
      <c r="E50" s="160">
        <f>IF(+I14&lt;F49,I14,D50)</f>
        <v>185046.51162790696</v>
      </c>
      <c r="F50" s="159">
        <f t="shared" si="6"/>
        <v>1850465.0167233991</v>
      </c>
      <c r="G50" s="161">
        <f t="shared" si="0"/>
        <v>378482.01568045333</v>
      </c>
      <c r="H50" s="142">
        <f t="shared" si="1"/>
        <v>378482.01568045333</v>
      </c>
      <c r="I50" s="156">
        <f t="shared" si="2"/>
        <v>0</v>
      </c>
      <c r="J50" s="156"/>
      <c r="K50" s="334"/>
      <c r="L50" s="158">
        <f t="shared" si="3"/>
        <v>0</v>
      </c>
      <c r="M50" s="334"/>
      <c r="N50" s="158">
        <f t="shared" si="4"/>
        <v>0</v>
      </c>
      <c r="O50" s="158">
        <f t="shared" si="5"/>
        <v>0</v>
      </c>
      <c r="P50" s="4"/>
    </row>
    <row r="51" spans="2:16">
      <c r="B51" s="9" t="str">
        <f t="shared" si="7"/>
        <v/>
      </c>
      <c r="C51" s="153">
        <f>IF(D11="","-",+C50+1)</f>
        <v>2053</v>
      </c>
      <c r="D51" s="159">
        <f>IF(F50+SUM(E$17:E50)=D$10,F50,D$10-SUM(E$17:E50))</f>
        <v>1850465.0167233991</v>
      </c>
      <c r="E51" s="160">
        <f>IF(+I14&lt;F50,I14,D51)</f>
        <v>185046.51162790696</v>
      </c>
      <c r="F51" s="159">
        <f t="shared" si="6"/>
        <v>1665418.5050954921</v>
      </c>
      <c r="G51" s="161">
        <f t="shared" si="0"/>
        <v>360059.58577913162</v>
      </c>
      <c r="H51" s="142">
        <f t="shared" si="1"/>
        <v>360059.58577913162</v>
      </c>
      <c r="I51" s="156">
        <f t="shared" si="2"/>
        <v>0</v>
      </c>
      <c r="J51" s="156"/>
      <c r="K51" s="334"/>
      <c r="L51" s="158">
        <f t="shared" si="3"/>
        <v>0</v>
      </c>
      <c r="M51" s="334"/>
      <c r="N51" s="158">
        <f t="shared" si="4"/>
        <v>0</v>
      </c>
      <c r="O51" s="158">
        <f t="shared" si="5"/>
        <v>0</v>
      </c>
      <c r="P51" s="4"/>
    </row>
    <row r="52" spans="2:16">
      <c r="B52" s="9" t="str">
        <f t="shared" si="7"/>
        <v/>
      </c>
      <c r="C52" s="153">
        <f>IF(D11="","-",+C51+1)</f>
        <v>2054</v>
      </c>
      <c r="D52" s="159">
        <f>IF(F51+SUM(E$17:E51)=D$10,F51,D$10-SUM(E$17:E51))</f>
        <v>1665418.5050954921</v>
      </c>
      <c r="E52" s="160">
        <f>IF(+I14&lt;F51,I14,D52)</f>
        <v>185046.51162790696</v>
      </c>
      <c r="F52" s="159">
        <f t="shared" si="6"/>
        <v>1480371.9934675852</v>
      </c>
      <c r="G52" s="161">
        <f t="shared" si="0"/>
        <v>341637.15587780986</v>
      </c>
      <c r="H52" s="142">
        <f t="shared" si="1"/>
        <v>341637.15587780986</v>
      </c>
      <c r="I52" s="156">
        <f t="shared" si="2"/>
        <v>0</v>
      </c>
      <c r="J52" s="156"/>
      <c r="K52" s="334"/>
      <c r="L52" s="158">
        <f t="shared" si="3"/>
        <v>0</v>
      </c>
      <c r="M52" s="334"/>
      <c r="N52" s="158">
        <f t="shared" si="4"/>
        <v>0</v>
      </c>
      <c r="O52" s="158">
        <f t="shared" si="5"/>
        <v>0</v>
      </c>
      <c r="P52" s="4"/>
    </row>
    <row r="53" spans="2:16">
      <c r="B53" s="9" t="str">
        <f t="shared" si="7"/>
        <v/>
      </c>
      <c r="C53" s="153">
        <f>IF(D11="","-",+C52+1)</f>
        <v>2055</v>
      </c>
      <c r="D53" s="159">
        <f>IF(F52+SUM(E$17:E52)=D$10,F52,D$10-SUM(E$17:E52))</f>
        <v>1480371.9934675852</v>
      </c>
      <c r="E53" s="160">
        <f>IF(+I14&lt;F52,I14,D53)</f>
        <v>185046.51162790696</v>
      </c>
      <c r="F53" s="159">
        <f t="shared" si="6"/>
        <v>1295325.4818396783</v>
      </c>
      <c r="G53" s="161">
        <f t="shared" si="0"/>
        <v>323214.72597648815</v>
      </c>
      <c r="H53" s="142">
        <f t="shared" si="1"/>
        <v>323214.72597648815</v>
      </c>
      <c r="I53" s="156">
        <f t="shared" si="2"/>
        <v>0</v>
      </c>
      <c r="J53" s="156"/>
      <c r="K53" s="334"/>
      <c r="L53" s="158">
        <f t="shared" si="3"/>
        <v>0</v>
      </c>
      <c r="M53" s="334"/>
      <c r="N53" s="158">
        <f t="shared" si="4"/>
        <v>0</v>
      </c>
      <c r="O53" s="158">
        <f t="shared" si="5"/>
        <v>0</v>
      </c>
      <c r="P53" s="4"/>
    </row>
    <row r="54" spans="2:16">
      <c r="B54" s="9" t="str">
        <f t="shared" si="7"/>
        <v/>
      </c>
      <c r="C54" s="153">
        <f>IF(D11="","-",+C53+1)</f>
        <v>2056</v>
      </c>
      <c r="D54" s="159">
        <f>IF(F53+SUM(E$17:E53)=D$10,F53,D$10-SUM(E$17:E53))</f>
        <v>1295325.4818396783</v>
      </c>
      <c r="E54" s="160">
        <f>IF(+I14&lt;F53,I14,D54)</f>
        <v>185046.51162790696</v>
      </c>
      <c r="F54" s="159">
        <f t="shared" si="6"/>
        <v>1110278.9702117713</v>
      </c>
      <c r="G54" s="161">
        <f t="shared" si="0"/>
        <v>304792.29607516644</v>
      </c>
      <c r="H54" s="142">
        <f t="shared" si="1"/>
        <v>304792.29607516644</v>
      </c>
      <c r="I54" s="156">
        <f t="shared" si="2"/>
        <v>0</v>
      </c>
      <c r="J54" s="156"/>
      <c r="K54" s="334"/>
      <c r="L54" s="158">
        <f t="shared" si="3"/>
        <v>0</v>
      </c>
      <c r="M54" s="334"/>
      <c r="N54" s="158">
        <f t="shared" si="4"/>
        <v>0</v>
      </c>
      <c r="O54" s="158">
        <f t="shared" si="5"/>
        <v>0</v>
      </c>
      <c r="P54" s="4"/>
    </row>
    <row r="55" spans="2:16">
      <c r="B55" s="9" t="str">
        <f t="shared" si="7"/>
        <v/>
      </c>
      <c r="C55" s="153">
        <f>IF(D11="","-",+C54+1)</f>
        <v>2057</v>
      </c>
      <c r="D55" s="159">
        <f>IF(F54+SUM(E$17:E54)=D$10,F54,D$10-SUM(E$17:E54))</f>
        <v>1110278.9702117713</v>
      </c>
      <c r="E55" s="160">
        <f>IF(+I14&lt;F54,I14,D55)</f>
        <v>185046.51162790696</v>
      </c>
      <c r="F55" s="159">
        <f t="shared" si="6"/>
        <v>925232.45858386438</v>
      </c>
      <c r="G55" s="161">
        <f t="shared" si="0"/>
        <v>286369.86617384473</v>
      </c>
      <c r="H55" s="142">
        <f t="shared" si="1"/>
        <v>286369.86617384473</v>
      </c>
      <c r="I55" s="156">
        <f t="shared" si="2"/>
        <v>0</v>
      </c>
      <c r="J55" s="156"/>
      <c r="K55" s="334"/>
      <c r="L55" s="158">
        <f t="shared" si="3"/>
        <v>0</v>
      </c>
      <c r="M55" s="334"/>
      <c r="N55" s="158">
        <f t="shared" si="4"/>
        <v>0</v>
      </c>
      <c r="O55" s="158">
        <f t="shared" si="5"/>
        <v>0</v>
      </c>
      <c r="P55" s="4"/>
    </row>
    <row r="56" spans="2:16">
      <c r="B56" s="9" t="str">
        <f t="shared" si="7"/>
        <v/>
      </c>
      <c r="C56" s="153">
        <f>IF(D11="","-",+C55+1)</f>
        <v>2058</v>
      </c>
      <c r="D56" s="159">
        <f>IF(F55+SUM(E$17:E55)=D$10,F55,D$10-SUM(E$17:E55))</f>
        <v>925232.45858386438</v>
      </c>
      <c r="E56" s="160">
        <f>IF(+I14&lt;F55,I14,D56)</f>
        <v>185046.51162790696</v>
      </c>
      <c r="F56" s="159">
        <f t="shared" si="6"/>
        <v>740185.94695595745</v>
      </c>
      <c r="G56" s="161">
        <f t="shared" si="0"/>
        <v>267947.43627252302</v>
      </c>
      <c r="H56" s="142">
        <f t="shared" si="1"/>
        <v>267947.43627252302</v>
      </c>
      <c r="I56" s="156">
        <f t="shared" si="2"/>
        <v>0</v>
      </c>
      <c r="J56" s="156"/>
      <c r="K56" s="334"/>
      <c r="L56" s="158">
        <f t="shared" si="3"/>
        <v>0</v>
      </c>
      <c r="M56" s="334"/>
      <c r="N56" s="158">
        <f t="shared" si="4"/>
        <v>0</v>
      </c>
      <c r="O56" s="158">
        <f t="shared" si="5"/>
        <v>0</v>
      </c>
      <c r="P56" s="4"/>
    </row>
    <row r="57" spans="2:16">
      <c r="B57" s="9" t="str">
        <f t="shared" si="7"/>
        <v/>
      </c>
      <c r="C57" s="153">
        <f>IF(D11="","-",+C56+1)</f>
        <v>2059</v>
      </c>
      <c r="D57" s="159">
        <f>IF(F56+SUM(E$17:E56)=D$10,F56,D$10-SUM(E$17:E56))</f>
        <v>740185.94695595745</v>
      </c>
      <c r="E57" s="160">
        <f>IF(+I14&lt;F56,I14,D57)</f>
        <v>185046.51162790696</v>
      </c>
      <c r="F57" s="159">
        <f t="shared" si="6"/>
        <v>555139.43532805052</v>
      </c>
      <c r="G57" s="161">
        <f t="shared" si="0"/>
        <v>249525.00637120128</v>
      </c>
      <c r="H57" s="142">
        <f t="shared" si="1"/>
        <v>249525.00637120128</v>
      </c>
      <c r="I57" s="156">
        <f t="shared" si="2"/>
        <v>0</v>
      </c>
      <c r="J57" s="156"/>
      <c r="K57" s="334"/>
      <c r="L57" s="158">
        <f t="shared" si="3"/>
        <v>0</v>
      </c>
      <c r="M57" s="334"/>
      <c r="N57" s="158">
        <f t="shared" si="4"/>
        <v>0</v>
      </c>
      <c r="O57" s="158">
        <f t="shared" si="5"/>
        <v>0</v>
      </c>
      <c r="P57" s="4"/>
    </row>
    <row r="58" spans="2:16">
      <c r="B58" s="9" t="str">
        <f t="shared" si="7"/>
        <v/>
      </c>
      <c r="C58" s="153">
        <f>IF(D11="","-",+C57+1)</f>
        <v>2060</v>
      </c>
      <c r="D58" s="159">
        <f>IF(F57+SUM(E$17:E57)=D$10,F57,D$10-SUM(E$17:E57))</f>
        <v>555139.43532805052</v>
      </c>
      <c r="E58" s="160">
        <f>IF(+I14&lt;F57,I14,D58)</f>
        <v>185046.51162790696</v>
      </c>
      <c r="F58" s="159">
        <f t="shared" si="6"/>
        <v>370092.92370014358</v>
      </c>
      <c r="G58" s="161">
        <f t="shared" si="0"/>
        <v>231102.57646987957</v>
      </c>
      <c r="H58" s="142">
        <f t="shared" si="1"/>
        <v>231102.57646987957</v>
      </c>
      <c r="I58" s="156">
        <f t="shared" si="2"/>
        <v>0</v>
      </c>
      <c r="J58" s="156"/>
      <c r="K58" s="334"/>
      <c r="L58" s="158">
        <f t="shared" si="3"/>
        <v>0</v>
      </c>
      <c r="M58" s="334"/>
      <c r="N58" s="158">
        <f t="shared" si="4"/>
        <v>0</v>
      </c>
      <c r="O58" s="158">
        <f t="shared" si="5"/>
        <v>0</v>
      </c>
      <c r="P58" s="4"/>
    </row>
    <row r="59" spans="2:16">
      <c r="B59" s="9" t="str">
        <f t="shared" si="7"/>
        <v/>
      </c>
      <c r="C59" s="153">
        <f>IF(D11="","-",+C58+1)</f>
        <v>2061</v>
      </c>
      <c r="D59" s="159">
        <f>IF(F58+SUM(E$17:E58)=D$10,F58,D$10-SUM(E$17:E58))</f>
        <v>370092.92370014358</v>
      </c>
      <c r="E59" s="160">
        <f>IF(+I14&lt;F58,I14,D59)</f>
        <v>185046.51162790696</v>
      </c>
      <c r="F59" s="159">
        <f t="shared" si="6"/>
        <v>185046.41207223662</v>
      </c>
      <c r="G59" s="161">
        <f t="shared" si="0"/>
        <v>212680.14656855783</v>
      </c>
      <c r="H59" s="142">
        <f t="shared" si="1"/>
        <v>212680.14656855783</v>
      </c>
      <c r="I59" s="156">
        <f t="shared" si="2"/>
        <v>0</v>
      </c>
      <c r="J59" s="156"/>
      <c r="K59" s="334"/>
      <c r="L59" s="158">
        <f t="shared" si="3"/>
        <v>0</v>
      </c>
      <c r="M59" s="334"/>
      <c r="N59" s="158">
        <f t="shared" si="4"/>
        <v>0</v>
      </c>
      <c r="O59" s="158">
        <f t="shared" si="5"/>
        <v>0</v>
      </c>
      <c r="P59" s="4"/>
    </row>
    <row r="60" spans="2:16">
      <c r="B60" s="9" t="str">
        <f t="shared" si="7"/>
        <v/>
      </c>
      <c r="C60" s="153">
        <f>IF(D11="","-",+C59+1)</f>
        <v>2062</v>
      </c>
      <c r="D60" s="159">
        <f>IF(F59+SUM(E$17:E59)=D$10,F59,D$10-SUM(E$17:E59))</f>
        <v>185046.41207223662</v>
      </c>
      <c r="E60" s="160">
        <f>IF(+I14&lt;F59,I14,D60)</f>
        <v>185046.41207223662</v>
      </c>
      <c r="F60" s="159">
        <f t="shared" si="6"/>
        <v>0</v>
      </c>
      <c r="G60" s="161">
        <f t="shared" si="0"/>
        <v>194257.62206723163</v>
      </c>
      <c r="H60" s="142">
        <f t="shared" si="1"/>
        <v>194257.62206723163</v>
      </c>
      <c r="I60" s="156">
        <f t="shared" si="2"/>
        <v>0</v>
      </c>
      <c r="J60" s="156"/>
      <c r="K60" s="334"/>
      <c r="L60" s="158">
        <f t="shared" si="3"/>
        <v>0</v>
      </c>
      <c r="M60" s="334"/>
      <c r="N60" s="158">
        <f t="shared" si="4"/>
        <v>0</v>
      </c>
      <c r="O60" s="158">
        <f t="shared" si="5"/>
        <v>0</v>
      </c>
      <c r="P60" s="4"/>
    </row>
    <row r="61" spans="2:16">
      <c r="B61" s="9" t="str">
        <f t="shared" si="7"/>
        <v/>
      </c>
      <c r="C61" s="153">
        <f>IF(D11="","-",+C60+1)</f>
        <v>2063</v>
      </c>
      <c r="D61" s="159">
        <f>IF(F60+SUM(E$17:E60)=D$10,F60,D$10-SUM(E$17:E60))</f>
        <v>0</v>
      </c>
      <c r="E61" s="160">
        <f>IF(+I14&lt;F60,I14,D61)</f>
        <v>0</v>
      </c>
      <c r="F61" s="159">
        <f t="shared" si="6"/>
        <v>0</v>
      </c>
      <c r="G61" s="163">
        <f t="shared" si="0"/>
        <v>0</v>
      </c>
      <c r="H61" s="142">
        <f t="shared" si="1"/>
        <v>0</v>
      </c>
      <c r="I61" s="156">
        <f t="shared" si="2"/>
        <v>0</v>
      </c>
      <c r="J61" s="156"/>
      <c r="K61" s="334"/>
      <c r="L61" s="158">
        <f t="shared" si="3"/>
        <v>0</v>
      </c>
      <c r="M61" s="334"/>
      <c r="N61" s="158">
        <f t="shared" si="4"/>
        <v>0</v>
      </c>
      <c r="O61" s="158">
        <f t="shared" si="5"/>
        <v>0</v>
      </c>
      <c r="P61" s="4"/>
    </row>
    <row r="62" spans="2:16">
      <c r="B62" s="9" t="str">
        <f t="shared" si="7"/>
        <v/>
      </c>
      <c r="C62" s="153">
        <f>IF(D11="","-",+C61+1)</f>
        <v>2064</v>
      </c>
      <c r="D62" s="159">
        <f>IF(F61+SUM(E$17:E61)=D$10,F61,D$10-SUM(E$17:E61))</f>
        <v>0</v>
      </c>
      <c r="E62" s="160">
        <f>IF(+I14&lt;F61,I14,D62)</f>
        <v>0</v>
      </c>
      <c r="F62" s="159">
        <f t="shared" si="6"/>
        <v>0</v>
      </c>
      <c r="G62" s="163">
        <f t="shared" si="0"/>
        <v>0</v>
      </c>
      <c r="H62" s="142">
        <f t="shared" si="1"/>
        <v>0</v>
      </c>
      <c r="I62" s="156">
        <f t="shared" si="2"/>
        <v>0</v>
      </c>
      <c r="J62" s="156"/>
      <c r="K62" s="334"/>
      <c r="L62" s="158">
        <f t="shared" si="3"/>
        <v>0</v>
      </c>
      <c r="M62" s="334"/>
      <c r="N62" s="158">
        <f t="shared" si="4"/>
        <v>0</v>
      </c>
      <c r="O62" s="158">
        <f t="shared" si="5"/>
        <v>0</v>
      </c>
      <c r="P62" s="4"/>
    </row>
    <row r="63" spans="2:16">
      <c r="B63" s="9" t="str">
        <f t="shared" si="7"/>
        <v/>
      </c>
      <c r="C63" s="153">
        <f>IF(D11="","-",+C62+1)</f>
        <v>2065</v>
      </c>
      <c r="D63" s="159">
        <f>IF(F62+SUM(E$17:E62)=D$10,F62,D$10-SUM(E$17:E62))</f>
        <v>0</v>
      </c>
      <c r="E63" s="160">
        <f>IF(+I14&lt;F62,I14,D63)</f>
        <v>0</v>
      </c>
      <c r="F63" s="159">
        <f t="shared" si="6"/>
        <v>0</v>
      </c>
      <c r="G63" s="163">
        <f t="shared" si="0"/>
        <v>0</v>
      </c>
      <c r="H63" s="142">
        <f t="shared" si="1"/>
        <v>0</v>
      </c>
      <c r="I63" s="156">
        <f t="shared" si="2"/>
        <v>0</v>
      </c>
      <c r="J63" s="156"/>
      <c r="K63" s="334"/>
      <c r="L63" s="158">
        <f t="shared" si="3"/>
        <v>0</v>
      </c>
      <c r="M63" s="334"/>
      <c r="N63" s="158">
        <f t="shared" si="4"/>
        <v>0</v>
      </c>
      <c r="O63" s="158">
        <f t="shared" si="5"/>
        <v>0</v>
      </c>
      <c r="P63" s="4"/>
    </row>
    <row r="64" spans="2:16">
      <c r="B64" s="9" t="str">
        <f t="shared" si="7"/>
        <v/>
      </c>
      <c r="C64" s="153">
        <f>IF(D11="","-",+C63+1)</f>
        <v>2066</v>
      </c>
      <c r="D64" s="159">
        <f>IF(F63+SUM(E$17:E63)=D$10,F63,D$10-SUM(E$17:E63))</f>
        <v>0</v>
      </c>
      <c r="E64" s="160">
        <f>IF(+I14&lt;F63,I14,D64)</f>
        <v>0</v>
      </c>
      <c r="F64" s="159">
        <f t="shared" si="6"/>
        <v>0</v>
      </c>
      <c r="G64" s="163">
        <f t="shared" si="0"/>
        <v>0</v>
      </c>
      <c r="H64" s="142">
        <f t="shared" si="1"/>
        <v>0</v>
      </c>
      <c r="I64" s="156">
        <f t="shared" si="2"/>
        <v>0</v>
      </c>
      <c r="J64" s="156"/>
      <c r="K64" s="334"/>
      <c r="L64" s="158">
        <f t="shared" si="3"/>
        <v>0</v>
      </c>
      <c r="M64" s="334"/>
      <c r="N64" s="158">
        <f t="shared" si="4"/>
        <v>0</v>
      </c>
      <c r="O64" s="158">
        <f t="shared" si="5"/>
        <v>0</v>
      </c>
      <c r="P64" s="4"/>
    </row>
    <row r="65" spans="2:16">
      <c r="B65" s="9" t="str">
        <f t="shared" si="7"/>
        <v/>
      </c>
      <c r="C65" s="153">
        <f>IF(D11="","-",+C64+1)</f>
        <v>2067</v>
      </c>
      <c r="D65" s="159">
        <f>IF(F64+SUM(E$17:E64)=D$10,F64,D$10-SUM(E$17:E64))</f>
        <v>0</v>
      </c>
      <c r="E65" s="160">
        <f>IF(+I14&lt;F64,I14,D65)</f>
        <v>0</v>
      </c>
      <c r="F65" s="159">
        <f t="shared" si="6"/>
        <v>0</v>
      </c>
      <c r="G65" s="163">
        <f t="shared" si="0"/>
        <v>0</v>
      </c>
      <c r="H65" s="142">
        <f t="shared" si="1"/>
        <v>0</v>
      </c>
      <c r="I65" s="156">
        <f t="shared" si="2"/>
        <v>0</v>
      </c>
      <c r="J65" s="156"/>
      <c r="K65" s="334"/>
      <c r="L65" s="158">
        <f t="shared" si="3"/>
        <v>0</v>
      </c>
      <c r="M65" s="334"/>
      <c r="N65" s="158">
        <f t="shared" si="4"/>
        <v>0</v>
      </c>
      <c r="O65" s="158">
        <f t="shared" si="5"/>
        <v>0</v>
      </c>
      <c r="P65" s="4"/>
    </row>
    <row r="66" spans="2:16">
      <c r="B66" s="9" t="str">
        <f t="shared" si="7"/>
        <v/>
      </c>
      <c r="C66" s="153">
        <f>IF(D11="","-",+C65+1)</f>
        <v>2068</v>
      </c>
      <c r="D66" s="159">
        <f>IF(F65+SUM(E$17:E65)=D$10,F65,D$10-SUM(E$17:E65))</f>
        <v>0</v>
      </c>
      <c r="E66" s="160">
        <f>IF(+I14&lt;F65,I14,D66)</f>
        <v>0</v>
      </c>
      <c r="F66" s="159">
        <f t="shared" si="6"/>
        <v>0</v>
      </c>
      <c r="G66" s="163">
        <f t="shared" si="0"/>
        <v>0</v>
      </c>
      <c r="H66" s="142">
        <f t="shared" si="1"/>
        <v>0</v>
      </c>
      <c r="I66" s="156">
        <f t="shared" si="2"/>
        <v>0</v>
      </c>
      <c r="J66" s="156"/>
      <c r="K66" s="334"/>
      <c r="L66" s="158">
        <f t="shared" si="3"/>
        <v>0</v>
      </c>
      <c r="M66" s="334"/>
      <c r="N66" s="158">
        <f t="shared" si="4"/>
        <v>0</v>
      </c>
      <c r="O66" s="158">
        <f t="shared" si="5"/>
        <v>0</v>
      </c>
      <c r="P66" s="4"/>
    </row>
    <row r="67" spans="2:16">
      <c r="B67" s="9" t="str">
        <f t="shared" si="7"/>
        <v/>
      </c>
      <c r="C67" s="153">
        <f>IF(D11="","-",+C66+1)</f>
        <v>2069</v>
      </c>
      <c r="D67" s="159">
        <f>IF(F66+SUM(E$17:E66)=D$10,F66,D$10-SUM(E$17:E66))</f>
        <v>0</v>
      </c>
      <c r="E67" s="160">
        <f>IF(+I14&lt;F66,I14,D67)</f>
        <v>0</v>
      </c>
      <c r="F67" s="159">
        <f t="shared" si="6"/>
        <v>0</v>
      </c>
      <c r="G67" s="163">
        <f t="shared" si="0"/>
        <v>0</v>
      </c>
      <c r="H67" s="142">
        <f t="shared" si="1"/>
        <v>0</v>
      </c>
      <c r="I67" s="156">
        <f t="shared" si="2"/>
        <v>0</v>
      </c>
      <c r="J67" s="156"/>
      <c r="K67" s="334"/>
      <c r="L67" s="158">
        <f t="shared" si="3"/>
        <v>0</v>
      </c>
      <c r="M67" s="334"/>
      <c r="N67" s="158">
        <f t="shared" si="4"/>
        <v>0</v>
      </c>
      <c r="O67" s="158">
        <f t="shared" si="5"/>
        <v>0</v>
      </c>
      <c r="P67" s="4"/>
    </row>
    <row r="68" spans="2:16">
      <c r="B68" s="9" t="str">
        <f t="shared" si="7"/>
        <v/>
      </c>
      <c r="C68" s="153">
        <f>IF(D11="","-",+C67+1)</f>
        <v>2070</v>
      </c>
      <c r="D68" s="159">
        <f>IF(F67+SUM(E$17:E67)=D$10,F67,D$10-SUM(E$17:E67))</f>
        <v>0</v>
      </c>
      <c r="E68" s="160">
        <f>IF(+I14&lt;F67,I14,D68)</f>
        <v>0</v>
      </c>
      <c r="F68" s="159">
        <f t="shared" si="6"/>
        <v>0</v>
      </c>
      <c r="G68" s="163">
        <f t="shared" si="0"/>
        <v>0</v>
      </c>
      <c r="H68" s="142">
        <f t="shared" si="1"/>
        <v>0</v>
      </c>
      <c r="I68" s="156">
        <f t="shared" si="2"/>
        <v>0</v>
      </c>
      <c r="J68" s="156"/>
      <c r="K68" s="334"/>
      <c r="L68" s="158">
        <f t="shared" si="3"/>
        <v>0</v>
      </c>
      <c r="M68" s="334"/>
      <c r="N68" s="158">
        <f t="shared" si="4"/>
        <v>0</v>
      </c>
      <c r="O68" s="158">
        <f t="shared" si="5"/>
        <v>0</v>
      </c>
      <c r="P68" s="4"/>
    </row>
    <row r="69" spans="2:16">
      <c r="B69" s="9" t="str">
        <f t="shared" si="7"/>
        <v/>
      </c>
      <c r="C69" s="153">
        <f>IF(D11="","-",+C68+1)</f>
        <v>2071</v>
      </c>
      <c r="D69" s="159">
        <f>IF(F68+SUM(E$17:E68)=D$10,F68,D$10-SUM(E$17:E68))</f>
        <v>0</v>
      </c>
      <c r="E69" s="160">
        <f>IF(+I14&lt;F68,I14,D69)</f>
        <v>0</v>
      </c>
      <c r="F69" s="159">
        <f t="shared" si="6"/>
        <v>0</v>
      </c>
      <c r="G69" s="163">
        <f t="shared" si="0"/>
        <v>0</v>
      </c>
      <c r="H69" s="142">
        <f t="shared" si="1"/>
        <v>0</v>
      </c>
      <c r="I69" s="156">
        <f t="shared" si="2"/>
        <v>0</v>
      </c>
      <c r="J69" s="156"/>
      <c r="K69" s="334"/>
      <c r="L69" s="158">
        <f t="shared" si="3"/>
        <v>0</v>
      </c>
      <c r="M69" s="334"/>
      <c r="N69" s="158">
        <f t="shared" si="4"/>
        <v>0</v>
      </c>
      <c r="O69" s="158">
        <f t="shared" si="5"/>
        <v>0</v>
      </c>
      <c r="P69" s="4"/>
    </row>
    <row r="70" spans="2:16">
      <c r="B70" s="9" t="str">
        <f t="shared" si="7"/>
        <v/>
      </c>
      <c r="C70" s="153">
        <f>IF(D11="","-",+C69+1)</f>
        <v>2072</v>
      </c>
      <c r="D70" s="159">
        <f>IF(F69+SUM(E$17:E69)=D$10,F69,D$10-SUM(E$17:E69))</f>
        <v>0</v>
      </c>
      <c r="E70" s="160">
        <f>IF(+I14&lt;F69,I14,D70)</f>
        <v>0</v>
      </c>
      <c r="F70" s="159">
        <f t="shared" si="6"/>
        <v>0</v>
      </c>
      <c r="G70" s="163">
        <f t="shared" si="0"/>
        <v>0</v>
      </c>
      <c r="H70" s="142">
        <f t="shared" si="1"/>
        <v>0</v>
      </c>
      <c r="I70" s="156">
        <f t="shared" si="2"/>
        <v>0</v>
      </c>
      <c r="J70" s="156"/>
      <c r="K70" s="334"/>
      <c r="L70" s="158">
        <f t="shared" si="3"/>
        <v>0</v>
      </c>
      <c r="M70" s="334"/>
      <c r="N70" s="158">
        <f t="shared" si="4"/>
        <v>0</v>
      </c>
      <c r="O70" s="158">
        <f t="shared" si="5"/>
        <v>0</v>
      </c>
      <c r="P70" s="4"/>
    </row>
    <row r="71" spans="2:16">
      <c r="B71" s="9" t="str">
        <f t="shared" si="7"/>
        <v/>
      </c>
      <c r="C71" s="153">
        <f>IF(D11="","-",+C70+1)</f>
        <v>2073</v>
      </c>
      <c r="D71" s="159">
        <f>IF(F70+SUM(E$17:E70)=D$10,F70,D$10-SUM(E$17:E70))</f>
        <v>0</v>
      </c>
      <c r="E71" s="160">
        <f>IF(+I14&lt;F70,I14,D71)</f>
        <v>0</v>
      </c>
      <c r="F71" s="159">
        <f t="shared" si="6"/>
        <v>0</v>
      </c>
      <c r="G71" s="163">
        <f t="shared" si="0"/>
        <v>0</v>
      </c>
      <c r="H71" s="142">
        <f t="shared" si="1"/>
        <v>0</v>
      </c>
      <c r="I71" s="156">
        <f t="shared" si="2"/>
        <v>0</v>
      </c>
      <c r="J71" s="156"/>
      <c r="K71" s="334"/>
      <c r="L71" s="158">
        <f t="shared" si="3"/>
        <v>0</v>
      </c>
      <c r="M71" s="334"/>
      <c r="N71" s="158">
        <f t="shared" si="4"/>
        <v>0</v>
      </c>
      <c r="O71" s="158">
        <f t="shared" si="5"/>
        <v>0</v>
      </c>
      <c r="P71" s="4"/>
    </row>
    <row r="72" spans="2:16" ht="13.5" thickBot="1">
      <c r="B72" s="9" t="str">
        <f t="shared" si="7"/>
        <v/>
      </c>
      <c r="C72" s="164">
        <f>IF(D11="","-",+C71+1)</f>
        <v>2074</v>
      </c>
      <c r="D72" s="165">
        <f>IF(F71+SUM(E$17:E71)=D$10,F71,D$10-SUM(E$17:E71))</f>
        <v>0</v>
      </c>
      <c r="E72" s="166">
        <f>IF(+I14&lt;F71,I14,D72)</f>
        <v>0</v>
      </c>
      <c r="F72" s="165">
        <f t="shared" si="6"/>
        <v>0</v>
      </c>
      <c r="G72" s="167">
        <f t="shared" si="0"/>
        <v>0</v>
      </c>
      <c r="H72" s="124">
        <f t="shared" si="1"/>
        <v>0</v>
      </c>
      <c r="I72" s="168">
        <f t="shared" si="2"/>
        <v>0</v>
      </c>
      <c r="J72" s="156"/>
      <c r="K72" s="335"/>
      <c r="L72" s="169">
        <f t="shared" si="3"/>
        <v>0</v>
      </c>
      <c r="M72" s="335"/>
      <c r="N72" s="169">
        <f t="shared" si="4"/>
        <v>0</v>
      </c>
      <c r="O72" s="169">
        <f t="shared" si="5"/>
        <v>0</v>
      </c>
      <c r="P72" s="4"/>
    </row>
    <row r="73" spans="2:16">
      <c r="C73" s="154" t="s">
        <v>73</v>
      </c>
      <c r="D73" s="111"/>
      <c r="E73" s="111">
        <f>SUM(E17:E72)</f>
        <v>7957000.0000000009</v>
      </c>
      <c r="F73" s="111"/>
      <c r="G73" s="111">
        <f>SUM(G17:G72)</f>
        <v>25384618.260463092</v>
      </c>
      <c r="H73" s="111">
        <f>SUM(H17:H72)</f>
        <v>25384618.260463092</v>
      </c>
      <c r="I73" s="111">
        <f>SUM(I17:I72)</f>
        <v>0</v>
      </c>
      <c r="J73" s="111"/>
      <c r="K73" s="111"/>
      <c r="L73" s="111"/>
      <c r="M73" s="111"/>
      <c r="N73" s="111"/>
      <c r="O73" s="4"/>
      <c r="P73" s="4"/>
    </row>
    <row r="74" spans="2:16">
      <c r="D74" s="2"/>
      <c r="E74" s="1"/>
      <c r="F74" s="1"/>
      <c r="G74" s="1"/>
      <c r="H74" s="3"/>
      <c r="I74" s="3"/>
      <c r="J74" s="111"/>
      <c r="K74" s="3"/>
      <c r="L74" s="3"/>
      <c r="M74" s="3"/>
      <c r="N74" s="3"/>
      <c r="O74" s="1"/>
      <c r="P74" s="1"/>
    </row>
    <row r="75" spans="2:16">
      <c r="C75" s="170" t="s">
        <v>91</v>
      </c>
      <c r="D75" s="2"/>
      <c r="E75" s="1"/>
      <c r="F75" s="1"/>
      <c r="G75" s="1"/>
      <c r="H75" s="3"/>
      <c r="I75" s="3"/>
      <c r="J75" s="111"/>
      <c r="K75" s="3"/>
      <c r="L75" s="3"/>
      <c r="M75" s="3"/>
      <c r="N75" s="3"/>
      <c r="O75" s="1"/>
      <c r="P75" s="1"/>
    </row>
    <row r="76" spans="2:16">
      <c r="C76" s="121" t="s">
        <v>74</v>
      </c>
      <c r="D76" s="2"/>
      <c r="E76" s="1"/>
      <c r="F76" s="1"/>
      <c r="G76" s="1"/>
      <c r="H76" s="3"/>
      <c r="I76" s="3"/>
      <c r="J76" s="111"/>
      <c r="K76" s="3"/>
      <c r="L76" s="3"/>
      <c r="M76" s="3"/>
      <c r="N76" s="3"/>
      <c r="O76" s="4"/>
      <c r="P76" s="4"/>
    </row>
    <row r="77" spans="2:16">
      <c r="C77" s="121" t="s">
        <v>75</v>
      </c>
      <c r="D77" s="154"/>
      <c r="E77" s="154"/>
      <c r="F77" s="154"/>
      <c r="G77" s="111"/>
      <c r="H77" s="111"/>
      <c r="I77" s="171"/>
      <c r="J77" s="171"/>
      <c r="K77" s="171"/>
      <c r="L77" s="171"/>
      <c r="M77" s="171"/>
      <c r="N77" s="171"/>
      <c r="O77" s="4"/>
      <c r="P77" s="4"/>
    </row>
    <row r="78" spans="2:16">
      <c r="C78" s="121"/>
      <c r="D78" s="154"/>
      <c r="E78" s="154"/>
      <c r="F78" s="154"/>
      <c r="G78" s="111"/>
      <c r="H78" s="111"/>
      <c r="I78" s="171"/>
      <c r="J78" s="171"/>
      <c r="K78" s="171"/>
      <c r="L78" s="171"/>
      <c r="M78" s="171"/>
      <c r="N78" s="171"/>
      <c r="O78" s="4"/>
      <c r="P78" s="1"/>
    </row>
    <row r="79" spans="2:16">
      <c r="B79" s="1"/>
      <c r="C79" s="21"/>
      <c r="D79" s="2"/>
      <c r="E79" s="1"/>
      <c r="F79" s="107"/>
      <c r="G79" s="1"/>
      <c r="H79" s="3"/>
      <c r="I79" s="1"/>
      <c r="J79" s="4"/>
      <c r="K79" s="1"/>
      <c r="L79" s="1"/>
      <c r="M79" s="1"/>
      <c r="N79" s="1"/>
      <c r="O79" s="1"/>
      <c r="P79" s="1"/>
    </row>
    <row r="80" spans="2:16" ht="18">
      <c r="B80" s="1"/>
      <c r="C80" s="242"/>
      <c r="D80" s="2"/>
      <c r="E80" s="1"/>
      <c r="F80" s="107"/>
      <c r="G80" s="1"/>
      <c r="H80" s="3"/>
      <c r="I80" s="1"/>
      <c r="J80" s="4"/>
      <c r="K80" s="1"/>
      <c r="L80" s="1"/>
      <c r="M80" s="1"/>
      <c r="N80" s="1"/>
      <c r="P80" s="244" t="s">
        <v>125</v>
      </c>
    </row>
    <row r="81" spans="1:16">
      <c r="B81" s="1"/>
      <c r="C81" s="21"/>
      <c r="D81" s="2"/>
      <c r="E81" s="1"/>
      <c r="F81" s="107"/>
      <c r="G81" s="1"/>
      <c r="H81" s="3"/>
      <c r="I81" s="1"/>
      <c r="J81" s="4"/>
      <c r="K81" s="1"/>
      <c r="L81" s="1"/>
      <c r="M81" s="1"/>
      <c r="N81" s="1"/>
      <c r="O81" s="1"/>
      <c r="P81" s="1"/>
    </row>
    <row r="82" spans="1:16">
      <c r="B82" s="1"/>
      <c r="C82" s="21"/>
      <c r="D82" s="2"/>
      <c r="E82" s="1"/>
      <c r="F82" s="107"/>
      <c r="G82" s="1"/>
      <c r="H82" s="3"/>
      <c r="I82" s="1"/>
      <c r="J82" s="4"/>
      <c r="K82" s="1"/>
      <c r="L82" s="1"/>
      <c r="M82" s="1"/>
      <c r="N82" s="1"/>
      <c r="O82" s="1"/>
      <c r="P82" s="1"/>
    </row>
    <row r="83" spans="1:16" ht="20.25">
      <c r="A83" s="243" t="s">
        <v>129</v>
      </c>
      <c r="B83" s="1"/>
      <c r="C83" s="21"/>
      <c r="D83" s="2"/>
      <c r="E83" s="1"/>
      <c r="F83" s="99"/>
      <c r="G83" s="99"/>
      <c r="H83" s="1"/>
      <c r="I83" s="3"/>
      <c r="K83" s="7"/>
      <c r="L83" s="109"/>
      <c r="M83" s="109"/>
      <c r="P83" s="109" t="str">
        <f ca="1">P1</f>
        <v>SWEPCO Project 72 of 73</v>
      </c>
    </row>
    <row r="84" spans="1:16" ht="18">
      <c r="B84" s="1"/>
      <c r="C84" s="1"/>
      <c r="D84" s="2"/>
      <c r="E84" s="1"/>
      <c r="F84" s="1"/>
      <c r="G84" s="1"/>
      <c r="H84" s="1"/>
      <c r="I84" s="3"/>
      <c r="J84" s="1"/>
      <c r="K84" s="4"/>
      <c r="L84" s="1"/>
      <c r="M84" s="1"/>
      <c r="P84" s="244" t="s">
        <v>123</v>
      </c>
    </row>
    <row r="85" spans="1:16" ht="18.75" thickBot="1">
      <c r="B85" s="5" t="s">
        <v>40</v>
      </c>
      <c r="C85" s="197" t="s">
        <v>78</v>
      </c>
      <c r="D85" s="2"/>
      <c r="E85" s="1"/>
      <c r="F85" s="1"/>
      <c r="G85" s="1"/>
      <c r="H85" s="1"/>
      <c r="I85" s="3"/>
      <c r="J85" s="3"/>
      <c r="K85" s="111"/>
      <c r="L85" s="3"/>
      <c r="M85" s="3"/>
      <c r="N85" s="3"/>
      <c r="O85" s="111"/>
      <c r="P85" s="1"/>
    </row>
    <row r="86" spans="1:16" ht="15.75" thickBot="1">
      <c r="C86" s="67"/>
      <c r="D86" s="2"/>
      <c r="E86" s="1"/>
      <c r="F86" s="1"/>
      <c r="G86" s="1"/>
      <c r="H86" s="1"/>
      <c r="I86" s="3"/>
      <c r="J86" s="3"/>
      <c r="K86" s="111"/>
      <c r="L86" s="265">
        <f>+J92</f>
        <v>2017</v>
      </c>
      <c r="M86" s="266" t="s">
        <v>7</v>
      </c>
      <c r="N86" s="270" t="s">
        <v>154</v>
      </c>
      <c r="O86" s="267" t="s">
        <v>9</v>
      </c>
      <c r="P86" s="1"/>
    </row>
    <row r="87" spans="1:16" ht="15">
      <c r="C87" s="235" t="s">
        <v>42</v>
      </c>
      <c r="D87" s="2"/>
      <c r="E87" s="1"/>
      <c r="F87" s="1"/>
      <c r="G87" s="1"/>
      <c r="H87" s="113"/>
      <c r="I87" s="1" t="s">
        <v>43</v>
      </c>
      <c r="J87" s="1"/>
      <c r="K87" s="261"/>
      <c r="L87" s="259" t="s">
        <v>381</v>
      </c>
      <c r="M87" s="198">
        <f>IF(J92&lt;D11,0,VLOOKUP(J92,C17:O72,9))</f>
        <v>0</v>
      </c>
      <c r="N87" s="198">
        <f>IF(J92&lt;D11,0,VLOOKUP(J92,C17:O72,11))</f>
        <v>0</v>
      </c>
      <c r="O87" s="199">
        <f>+N87-M87</f>
        <v>0</v>
      </c>
      <c r="P87" s="1"/>
    </row>
    <row r="88" spans="1:16" ht="15.75">
      <c r="C88" s="8"/>
      <c r="D88" s="2"/>
      <c r="E88" s="1"/>
      <c r="F88" s="1"/>
      <c r="G88" s="1"/>
      <c r="H88" s="1"/>
      <c r="I88" s="117"/>
      <c r="J88" s="117"/>
      <c r="K88" s="263"/>
      <c r="L88" s="264" t="s">
        <v>382</v>
      </c>
      <c r="M88" s="200">
        <f>IF(J92&lt;D11,0,VLOOKUP(J92,C99:P154,6))</f>
        <v>0</v>
      </c>
      <c r="N88" s="200">
        <f>IF(J92&lt;D11,0,VLOOKUP(J92,C99:P154,7))</f>
        <v>0</v>
      </c>
      <c r="O88" s="201">
        <f>+N88-M88</f>
        <v>0</v>
      </c>
      <c r="P88" s="1"/>
    </row>
    <row r="89" spans="1:16" ht="13.5" thickBot="1">
      <c r="C89" s="121" t="s">
        <v>79</v>
      </c>
      <c r="D89" s="246" t="str">
        <f>+D7</f>
        <v>Ellerbe Road - Lucas 69 kV Rebuild</v>
      </c>
      <c r="E89" s="1"/>
      <c r="F89" s="1"/>
      <c r="G89" s="1"/>
      <c r="H89" s="1"/>
      <c r="I89" s="3"/>
      <c r="J89" s="3"/>
      <c r="K89" s="262"/>
      <c r="L89" s="260" t="s">
        <v>151</v>
      </c>
      <c r="M89" s="203">
        <f>+M88-M87</f>
        <v>0</v>
      </c>
      <c r="N89" s="203">
        <f>+N88-N87</f>
        <v>0</v>
      </c>
      <c r="O89" s="204">
        <f>+O88-O87</f>
        <v>0</v>
      </c>
      <c r="P89" s="1"/>
    </row>
    <row r="90" spans="1:16" ht="13.5" thickBot="1">
      <c r="C90" s="170"/>
      <c r="D90" s="173" t="str">
        <f>D8</f>
        <v/>
      </c>
      <c r="E90" s="107"/>
      <c r="F90" s="107"/>
      <c r="G90" s="107"/>
      <c r="H90" s="126"/>
      <c r="I90" s="3"/>
      <c r="J90" s="3"/>
      <c r="K90" s="111"/>
      <c r="L90" s="3"/>
      <c r="M90" s="3"/>
      <c r="N90" s="3"/>
      <c r="O90" s="111"/>
      <c r="P90" s="1"/>
    </row>
    <row r="91" spans="1:16" ht="13.5" thickBot="1">
      <c r="A91" s="103"/>
      <c r="C91" s="205" t="s">
        <v>80</v>
      </c>
      <c r="D91" s="224" t="str">
        <f>+D9</f>
        <v>TP______</v>
      </c>
      <c r="E91" s="206"/>
      <c r="F91" s="206"/>
      <c r="G91" s="206"/>
      <c r="H91" s="206"/>
      <c r="I91" s="206"/>
      <c r="J91" s="206"/>
      <c r="K91" s="207"/>
      <c r="P91" s="131"/>
    </row>
    <row r="92" spans="1:16">
      <c r="C92" s="136" t="s">
        <v>47</v>
      </c>
      <c r="D92" s="218">
        <f>+D10</f>
        <v>7957000</v>
      </c>
      <c r="E92" s="21" t="s">
        <v>81</v>
      </c>
      <c r="H92" s="134"/>
      <c r="I92" s="134"/>
      <c r="J92" s="135">
        <f>+'SWE.WS.G.BPU.ATRR.True-up'!M15</f>
        <v>2017</v>
      </c>
      <c r="K92" s="130"/>
      <c r="L92" s="111" t="s">
        <v>82</v>
      </c>
      <c r="P92" s="4"/>
    </row>
    <row r="93" spans="1:16">
      <c r="C93" s="136" t="s">
        <v>49</v>
      </c>
      <c r="D93" s="468">
        <f>+D11</f>
        <v>2019</v>
      </c>
      <c r="E93" s="136" t="s">
        <v>50</v>
      </c>
      <c r="F93" s="134"/>
      <c r="G93" s="134"/>
      <c r="J93" s="138">
        <f>IF(H87="",0,'SWE.WS.G.BPU.ATRR.True-up'!$F$12)</f>
        <v>0</v>
      </c>
      <c r="K93" s="139"/>
      <c r="L93" t="str">
        <f>"          INPUT TRUE-UP ARR (WITH &amp; WITHOUT INCENTIVES) FROM EACH PRIOR YEAR"</f>
        <v xml:space="preserve">          INPUT TRUE-UP ARR (WITH &amp; WITHOUT INCENTIVES) FROM EACH PRIOR YEAR</v>
      </c>
      <c r="P93" s="4"/>
    </row>
    <row r="94" spans="1:16">
      <c r="C94" s="136" t="s">
        <v>51</v>
      </c>
      <c r="D94" s="218">
        <f>+D12</f>
        <v>3</v>
      </c>
      <c r="E94" s="136" t="s">
        <v>52</v>
      </c>
      <c r="F94" s="134"/>
      <c r="G94" s="134"/>
      <c r="J94" s="140">
        <f>'SWE.WS.G.BPU.ATRR.True-up'!$F$80</f>
        <v>0.12147145768398206</v>
      </c>
      <c r="K94" s="141"/>
      <c r="L94" t="s">
        <v>83</v>
      </c>
      <c r="P94" s="4"/>
    </row>
    <row r="95" spans="1:16">
      <c r="C95" s="136" t="s">
        <v>54</v>
      </c>
      <c r="D95" s="138">
        <f>'SWE.WS.G.BPU.ATRR.True-up'!F$92</f>
        <v>42</v>
      </c>
      <c r="E95" s="136" t="s">
        <v>55</v>
      </c>
      <c r="F95" s="134"/>
      <c r="G95" s="134"/>
      <c r="J95" s="140">
        <f>IF(H87="",J94,'SWE.WS.G.BPU.ATRR.True-up'!$F$79)</f>
        <v>0.12147145768398206</v>
      </c>
      <c r="K95" s="58"/>
      <c r="L95" s="111" t="s">
        <v>56</v>
      </c>
      <c r="M95" s="58"/>
      <c r="N95" s="58"/>
      <c r="O95" s="58"/>
      <c r="P95" s="4"/>
    </row>
    <row r="96" spans="1:16" ht="13.5" thickBot="1">
      <c r="C96" s="136" t="s">
        <v>57</v>
      </c>
      <c r="D96" s="220" t="str">
        <f>+D14</f>
        <v>No</v>
      </c>
      <c r="E96" s="202" t="s">
        <v>59</v>
      </c>
      <c r="F96" s="208"/>
      <c r="G96" s="208"/>
      <c r="H96" s="209"/>
      <c r="I96" s="209"/>
      <c r="J96" s="124">
        <f>IF(D92=0,0,D92/D95)</f>
        <v>189452.38095238095</v>
      </c>
      <c r="K96" s="111"/>
      <c r="L96" s="111"/>
      <c r="M96" s="111"/>
      <c r="N96" s="111"/>
      <c r="O96" s="111"/>
      <c r="P96" s="4"/>
    </row>
    <row r="97" spans="1:16" ht="51">
      <c r="A97" s="6"/>
      <c r="B97" s="6"/>
      <c r="C97" s="210" t="s">
        <v>47</v>
      </c>
      <c r="D97" s="211" t="s">
        <v>60</v>
      </c>
      <c r="E97" s="146" t="s">
        <v>61</v>
      </c>
      <c r="F97" s="146" t="s">
        <v>62</v>
      </c>
      <c r="G97" s="144" t="s">
        <v>84</v>
      </c>
      <c r="H97" s="434" t="s">
        <v>378</v>
      </c>
      <c r="I97" s="435" t="s">
        <v>379</v>
      </c>
      <c r="J97" s="210" t="s">
        <v>85</v>
      </c>
      <c r="K97" s="212"/>
      <c r="L97" s="271" t="s">
        <v>220</v>
      </c>
      <c r="M97" s="146" t="s">
        <v>86</v>
      </c>
      <c r="N97" s="271" t="s">
        <v>220</v>
      </c>
      <c r="O97" s="146" t="s">
        <v>86</v>
      </c>
      <c r="P97" s="146" t="s">
        <v>65</v>
      </c>
    </row>
    <row r="98" spans="1:16" ht="13.5" thickBot="1">
      <c r="C98" s="147" t="s">
        <v>66</v>
      </c>
      <c r="D98" s="213" t="s">
        <v>67</v>
      </c>
      <c r="E98" s="147" t="s">
        <v>68</v>
      </c>
      <c r="F98" s="147" t="s">
        <v>67</v>
      </c>
      <c r="G98" s="147" t="s">
        <v>67</v>
      </c>
      <c r="H98" s="255" t="s">
        <v>69</v>
      </c>
      <c r="I98" s="148" t="s">
        <v>70</v>
      </c>
      <c r="J98" s="149" t="s">
        <v>89</v>
      </c>
      <c r="K98" s="150"/>
      <c r="L98" s="151" t="s">
        <v>72</v>
      </c>
      <c r="M98" s="151" t="s">
        <v>72</v>
      </c>
      <c r="N98" s="151" t="s">
        <v>90</v>
      </c>
      <c r="O98" s="151" t="s">
        <v>90</v>
      </c>
      <c r="P98" s="151" t="s">
        <v>90</v>
      </c>
    </row>
    <row r="99" spans="1:16">
      <c r="C99" s="153">
        <f>IF(D93= "","-",D93)</f>
        <v>2019</v>
      </c>
      <c r="D99" s="154">
        <f>IF(D93=C99,0,D92)</f>
        <v>0</v>
      </c>
      <c r="E99" s="161">
        <f>IF(D11=I10,0,J96/12*(12-D94))</f>
        <v>0</v>
      </c>
      <c r="F99" s="159">
        <f>IF(D93=C99,+D92-E99,+D99-E99)</f>
        <v>7957000</v>
      </c>
      <c r="G99" s="214">
        <f t="shared" ref="G99:G154" si="8">+(F99+D99)/2</f>
        <v>3978500</v>
      </c>
      <c r="H99" s="251">
        <f>+J94*G99+E99</f>
        <v>483274.19439572259</v>
      </c>
      <c r="I99" s="252">
        <f>+J95*G99+E99</f>
        <v>483274.19439572259</v>
      </c>
      <c r="J99" s="158">
        <f t="shared" ref="J99:J130" si="9">+I99-H99</f>
        <v>0</v>
      </c>
      <c r="K99" s="158"/>
      <c r="L99" s="333"/>
      <c r="M99" s="157">
        <f t="shared" ref="M99:M130" si="10">IF(L99&lt;&gt;0,+H99-L99,0)</f>
        <v>0</v>
      </c>
      <c r="N99" s="333"/>
      <c r="O99" s="157">
        <f t="shared" ref="O99:O130" si="11">IF(N99&lt;&gt;0,+I99-N99,0)</f>
        <v>0</v>
      </c>
      <c r="P99" s="157">
        <f t="shared" ref="P99:P130" si="12">+O99-M99</f>
        <v>0</v>
      </c>
    </row>
    <row r="100" spans="1:16">
      <c r="B100" s="9" t="str">
        <f>IF(D100=F99,"","IU")</f>
        <v/>
      </c>
      <c r="C100" s="153">
        <f>IF(D93="","-",+C99+1)</f>
        <v>2020</v>
      </c>
      <c r="D100" s="154">
        <f>IF(F99+SUM(E$99:E99)=D$92,F99,D$92-SUM(E$99:E99))</f>
        <v>7957000</v>
      </c>
      <c r="E100" s="160">
        <f>IF(+J96&lt;F99,J96,D100)</f>
        <v>189452.38095238095</v>
      </c>
      <c r="F100" s="159">
        <f t="shared" ref="F100:F154" si="13">+D100-E100</f>
        <v>7767547.6190476194</v>
      </c>
      <c r="G100" s="159">
        <f t="shared" si="8"/>
        <v>7862273.8095238097</v>
      </c>
      <c r="H100" s="163">
        <f t="shared" ref="H100:H154" si="14">+J$94*G100+E100</f>
        <v>1144494.2413058328</v>
      </c>
      <c r="I100" s="253">
        <f t="shared" ref="I100:I154" si="15">+J$95*G100+E100</f>
        <v>1144494.2413058328</v>
      </c>
      <c r="J100" s="158">
        <f t="shared" si="9"/>
        <v>0</v>
      </c>
      <c r="K100" s="158"/>
      <c r="L100" s="334"/>
      <c r="M100" s="158">
        <f t="shared" si="10"/>
        <v>0</v>
      </c>
      <c r="N100" s="334"/>
      <c r="O100" s="158">
        <f t="shared" si="11"/>
        <v>0</v>
      </c>
      <c r="P100" s="158">
        <f t="shared" si="12"/>
        <v>0</v>
      </c>
    </row>
    <row r="101" spans="1:16">
      <c r="B101" s="9" t="str">
        <f t="shared" ref="B101:B154" si="16">IF(D101=F100,"","IU")</f>
        <v/>
      </c>
      <c r="C101" s="153">
        <f>IF(D93="","-",+C100+1)</f>
        <v>2021</v>
      </c>
      <c r="D101" s="154">
        <f>IF(F100+SUM(E$99:E100)=D$92,F100,D$92-SUM(E$99:E100))</f>
        <v>7767547.6190476194</v>
      </c>
      <c r="E101" s="160">
        <f>IF(+J96&lt;F100,J96,D101)</f>
        <v>189452.38095238095</v>
      </c>
      <c r="F101" s="159">
        <f t="shared" si="13"/>
        <v>7578095.2380952388</v>
      </c>
      <c r="G101" s="159">
        <f t="shared" si="8"/>
        <v>7672821.4285714291</v>
      </c>
      <c r="H101" s="163">
        <f t="shared" si="14"/>
        <v>1121481.184429846</v>
      </c>
      <c r="I101" s="253">
        <f t="shared" si="15"/>
        <v>1121481.184429846</v>
      </c>
      <c r="J101" s="158">
        <f t="shared" si="9"/>
        <v>0</v>
      </c>
      <c r="K101" s="158"/>
      <c r="L101" s="334"/>
      <c r="M101" s="158">
        <f t="shared" si="10"/>
        <v>0</v>
      </c>
      <c r="N101" s="334"/>
      <c r="O101" s="158">
        <f t="shared" si="11"/>
        <v>0</v>
      </c>
      <c r="P101" s="158">
        <f t="shared" si="12"/>
        <v>0</v>
      </c>
    </row>
    <row r="102" spans="1:16">
      <c r="B102" s="9" t="str">
        <f t="shared" si="16"/>
        <v/>
      </c>
      <c r="C102" s="153">
        <f>IF(D93="","-",+C101+1)</f>
        <v>2022</v>
      </c>
      <c r="D102" s="154">
        <f>IF(F101+SUM(E$99:E101)=D$92,F101,D$92-SUM(E$99:E101))</f>
        <v>7578095.2380952388</v>
      </c>
      <c r="E102" s="160">
        <f>IF(+J96&lt;F101,J96,D102)</f>
        <v>189452.38095238095</v>
      </c>
      <c r="F102" s="159">
        <f t="shared" si="13"/>
        <v>7388642.8571428582</v>
      </c>
      <c r="G102" s="159">
        <f t="shared" si="8"/>
        <v>7483369.0476190485</v>
      </c>
      <c r="H102" s="163">
        <f t="shared" si="14"/>
        <v>1098468.1275538593</v>
      </c>
      <c r="I102" s="253">
        <f t="shared" si="15"/>
        <v>1098468.1275538593</v>
      </c>
      <c r="J102" s="158">
        <f t="shared" si="9"/>
        <v>0</v>
      </c>
      <c r="K102" s="158"/>
      <c r="L102" s="334"/>
      <c r="M102" s="158">
        <f t="shared" si="10"/>
        <v>0</v>
      </c>
      <c r="N102" s="334"/>
      <c r="O102" s="158">
        <f t="shared" si="11"/>
        <v>0</v>
      </c>
      <c r="P102" s="158">
        <f t="shared" si="12"/>
        <v>0</v>
      </c>
    </row>
    <row r="103" spans="1:16">
      <c r="B103" s="9" t="str">
        <f t="shared" si="16"/>
        <v/>
      </c>
      <c r="C103" s="153">
        <f>IF(D93="","-",+C102+1)</f>
        <v>2023</v>
      </c>
      <c r="D103" s="154">
        <f>IF(F102+SUM(E$99:E102)=D$92,F102,D$92-SUM(E$99:E102))</f>
        <v>7388642.8571428582</v>
      </c>
      <c r="E103" s="160">
        <f>IF(+J96&lt;F102,J96,D103)</f>
        <v>189452.38095238095</v>
      </c>
      <c r="F103" s="159">
        <f t="shared" si="13"/>
        <v>7199190.4761904776</v>
      </c>
      <c r="G103" s="159">
        <f t="shared" si="8"/>
        <v>7293916.6666666679</v>
      </c>
      <c r="H103" s="163">
        <f t="shared" si="14"/>
        <v>1075455.0706778725</v>
      </c>
      <c r="I103" s="253">
        <f t="shared" si="15"/>
        <v>1075455.0706778725</v>
      </c>
      <c r="J103" s="158">
        <f t="shared" si="9"/>
        <v>0</v>
      </c>
      <c r="K103" s="158"/>
      <c r="L103" s="334"/>
      <c r="M103" s="158">
        <f t="shared" si="10"/>
        <v>0</v>
      </c>
      <c r="N103" s="334"/>
      <c r="O103" s="158">
        <f t="shared" si="11"/>
        <v>0</v>
      </c>
      <c r="P103" s="158">
        <f t="shared" si="12"/>
        <v>0</v>
      </c>
    </row>
    <row r="104" spans="1:16">
      <c r="B104" s="9" t="str">
        <f t="shared" si="16"/>
        <v/>
      </c>
      <c r="C104" s="153">
        <f>IF(D93="","-",+C103+1)</f>
        <v>2024</v>
      </c>
      <c r="D104" s="154">
        <f>IF(F103+SUM(E$99:E103)=D$92,F103,D$92-SUM(E$99:E103))</f>
        <v>7199190.4761904776</v>
      </c>
      <c r="E104" s="160">
        <f>IF(+J96&lt;F103,J96,D104)</f>
        <v>189452.38095238095</v>
      </c>
      <c r="F104" s="159">
        <f t="shared" si="13"/>
        <v>7009738.095238097</v>
      </c>
      <c r="G104" s="159">
        <f t="shared" si="8"/>
        <v>7104464.2857142873</v>
      </c>
      <c r="H104" s="163">
        <f t="shared" si="14"/>
        <v>1052442.0138018858</v>
      </c>
      <c r="I104" s="253">
        <f t="shared" si="15"/>
        <v>1052442.0138018858</v>
      </c>
      <c r="J104" s="158">
        <f t="shared" si="9"/>
        <v>0</v>
      </c>
      <c r="K104" s="158"/>
      <c r="L104" s="334"/>
      <c r="M104" s="158">
        <f t="shared" si="10"/>
        <v>0</v>
      </c>
      <c r="N104" s="334"/>
      <c r="O104" s="158">
        <f t="shared" si="11"/>
        <v>0</v>
      </c>
      <c r="P104" s="158">
        <f t="shared" si="12"/>
        <v>0</v>
      </c>
    </row>
    <row r="105" spans="1:16">
      <c r="B105" s="9" t="str">
        <f t="shared" si="16"/>
        <v/>
      </c>
      <c r="C105" s="153">
        <f>IF(D93="","-",+C104+1)</f>
        <v>2025</v>
      </c>
      <c r="D105" s="154">
        <f>IF(F104+SUM(E$99:E104)=D$92,F104,D$92-SUM(E$99:E104))</f>
        <v>7009738.095238097</v>
      </c>
      <c r="E105" s="160">
        <f>IF(+J96&lt;F104,J96,D105)</f>
        <v>189452.38095238095</v>
      </c>
      <c r="F105" s="159">
        <f t="shared" si="13"/>
        <v>6820285.7142857164</v>
      </c>
      <c r="G105" s="159">
        <f t="shared" si="8"/>
        <v>6915011.9047619067</v>
      </c>
      <c r="H105" s="163">
        <f t="shared" si="14"/>
        <v>1029428.956925899</v>
      </c>
      <c r="I105" s="253">
        <f t="shared" si="15"/>
        <v>1029428.956925899</v>
      </c>
      <c r="J105" s="158">
        <f t="shared" si="9"/>
        <v>0</v>
      </c>
      <c r="K105" s="158"/>
      <c r="L105" s="334"/>
      <c r="M105" s="158">
        <f t="shared" si="10"/>
        <v>0</v>
      </c>
      <c r="N105" s="334"/>
      <c r="O105" s="158">
        <f t="shared" si="11"/>
        <v>0</v>
      </c>
      <c r="P105" s="158">
        <f t="shared" si="12"/>
        <v>0</v>
      </c>
    </row>
    <row r="106" spans="1:16">
      <c r="B106" s="9" t="str">
        <f t="shared" si="16"/>
        <v/>
      </c>
      <c r="C106" s="153">
        <f>IF(D93="","-",+C105+1)</f>
        <v>2026</v>
      </c>
      <c r="D106" s="154">
        <f>IF(F105+SUM(E$99:E105)=D$92,F105,D$92-SUM(E$99:E105))</f>
        <v>6820285.7142857164</v>
      </c>
      <c r="E106" s="160">
        <f>IF(+J96&lt;F105,J96,D106)</f>
        <v>189452.38095238095</v>
      </c>
      <c r="F106" s="159">
        <f t="shared" si="13"/>
        <v>6630833.3333333358</v>
      </c>
      <c r="G106" s="159">
        <f t="shared" si="8"/>
        <v>6725559.5238095261</v>
      </c>
      <c r="H106" s="163">
        <f t="shared" si="14"/>
        <v>1006415.9000499123</v>
      </c>
      <c r="I106" s="253">
        <f t="shared" si="15"/>
        <v>1006415.9000499123</v>
      </c>
      <c r="J106" s="158">
        <f t="shared" si="9"/>
        <v>0</v>
      </c>
      <c r="K106" s="158"/>
      <c r="L106" s="334"/>
      <c r="M106" s="158">
        <f t="shared" si="10"/>
        <v>0</v>
      </c>
      <c r="N106" s="334"/>
      <c r="O106" s="158">
        <f t="shared" si="11"/>
        <v>0</v>
      </c>
      <c r="P106" s="158">
        <f t="shared" si="12"/>
        <v>0</v>
      </c>
    </row>
    <row r="107" spans="1:16">
      <c r="B107" s="9" t="str">
        <f t="shared" si="16"/>
        <v/>
      </c>
      <c r="C107" s="153">
        <f>IF(D93="","-",+C106+1)</f>
        <v>2027</v>
      </c>
      <c r="D107" s="154">
        <f>IF(F106+SUM(E$99:E106)=D$92,F106,D$92-SUM(E$99:E106))</f>
        <v>6630833.3333333358</v>
      </c>
      <c r="E107" s="160">
        <f>IF(+J96&lt;F106,J96,D107)</f>
        <v>189452.38095238095</v>
      </c>
      <c r="F107" s="159">
        <f t="shared" si="13"/>
        <v>6441380.9523809552</v>
      </c>
      <c r="G107" s="159">
        <f t="shared" si="8"/>
        <v>6536107.1428571455</v>
      </c>
      <c r="H107" s="163">
        <f t="shared" si="14"/>
        <v>983402.84317392553</v>
      </c>
      <c r="I107" s="253">
        <f t="shared" si="15"/>
        <v>983402.84317392553</v>
      </c>
      <c r="J107" s="158">
        <f t="shared" si="9"/>
        <v>0</v>
      </c>
      <c r="K107" s="158"/>
      <c r="L107" s="334"/>
      <c r="M107" s="158">
        <f t="shared" si="10"/>
        <v>0</v>
      </c>
      <c r="N107" s="334"/>
      <c r="O107" s="158">
        <f t="shared" si="11"/>
        <v>0</v>
      </c>
      <c r="P107" s="158">
        <f t="shared" si="12"/>
        <v>0</v>
      </c>
    </row>
    <row r="108" spans="1:16">
      <c r="B108" s="9" t="str">
        <f t="shared" si="16"/>
        <v/>
      </c>
      <c r="C108" s="153">
        <f>IF(D93="","-",+C107+1)</f>
        <v>2028</v>
      </c>
      <c r="D108" s="154">
        <f>IF(F107+SUM(E$99:E107)=D$92,F107,D$92-SUM(E$99:E107))</f>
        <v>6441380.9523809552</v>
      </c>
      <c r="E108" s="160">
        <f>IF(+J96&lt;F107,J96,D108)</f>
        <v>189452.38095238095</v>
      </c>
      <c r="F108" s="159">
        <f t="shared" si="13"/>
        <v>6251928.5714285746</v>
      </c>
      <c r="G108" s="159">
        <f t="shared" si="8"/>
        <v>6346654.7619047649</v>
      </c>
      <c r="H108" s="163">
        <f t="shared" si="14"/>
        <v>960389.78629793879</v>
      </c>
      <c r="I108" s="253">
        <f t="shared" si="15"/>
        <v>960389.78629793879</v>
      </c>
      <c r="J108" s="158">
        <f t="shared" si="9"/>
        <v>0</v>
      </c>
      <c r="K108" s="158"/>
      <c r="L108" s="334"/>
      <c r="M108" s="158">
        <f t="shared" si="10"/>
        <v>0</v>
      </c>
      <c r="N108" s="334"/>
      <c r="O108" s="158">
        <f t="shared" si="11"/>
        <v>0</v>
      </c>
      <c r="P108" s="158">
        <f t="shared" si="12"/>
        <v>0</v>
      </c>
    </row>
    <row r="109" spans="1:16">
      <c r="B109" s="9" t="str">
        <f t="shared" si="16"/>
        <v/>
      </c>
      <c r="C109" s="153">
        <f>IF(D93="","-",+C108+1)</f>
        <v>2029</v>
      </c>
      <c r="D109" s="154">
        <f>IF(F108+SUM(E$99:E108)=D$92,F108,D$92-SUM(E$99:E108))</f>
        <v>6251928.5714285746</v>
      </c>
      <c r="E109" s="160">
        <f>IF(+J96&lt;F108,J96,D109)</f>
        <v>189452.38095238095</v>
      </c>
      <c r="F109" s="159">
        <f t="shared" si="13"/>
        <v>6062476.190476194</v>
      </c>
      <c r="G109" s="159">
        <f t="shared" si="8"/>
        <v>6157202.3809523843</v>
      </c>
      <c r="H109" s="163">
        <f t="shared" si="14"/>
        <v>937376.72942195204</v>
      </c>
      <c r="I109" s="253">
        <f t="shared" si="15"/>
        <v>937376.72942195204</v>
      </c>
      <c r="J109" s="158">
        <f t="shared" si="9"/>
        <v>0</v>
      </c>
      <c r="K109" s="158"/>
      <c r="L109" s="334"/>
      <c r="M109" s="158">
        <f t="shared" si="10"/>
        <v>0</v>
      </c>
      <c r="N109" s="334"/>
      <c r="O109" s="158">
        <f t="shared" si="11"/>
        <v>0</v>
      </c>
      <c r="P109" s="158">
        <f t="shared" si="12"/>
        <v>0</v>
      </c>
    </row>
    <row r="110" spans="1:16">
      <c r="B110" s="9" t="str">
        <f t="shared" si="16"/>
        <v/>
      </c>
      <c r="C110" s="153">
        <f>IF(D93="","-",+C109+1)</f>
        <v>2030</v>
      </c>
      <c r="D110" s="154">
        <f>IF(F109+SUM(E$99:E109)=D$92,F109,D$92-SUM(E$99:E109))</f>
        <v>6062476.190476194</v>
      </c>
      <c r="E110" s="160">
        <f>IF(+J96&lt;F109,J96,D110)</f>
        <v>189452.38095238095</v>
      </c>
      <c r="F110" s="159">
        <f t="shared" si="13"/>
        <v>5873023.8095238134</v>
      </c>
      <c r="G110" s="159">
        <f t="shared" si="8"/>
        <v>5967750.0000000037</v>
      </c>
      <c r="H110" s="163">
        <f t="shared" si="14"/>
        <v>914363.6725459653</v>
      </c>
      <c r="I110" s="253">
        <f t="shared" si="15"/>
        <v>914363.6725459653</v>
      </c>
      <c r="J110" s="158">
        <f t="shared" si="9"/>
        <v>0</v>
      </c>
      <c r="K110" s="158"/>
      <c r="L110" s="334"/>
      <c r="M110" s="158">
        <f t="shared" si="10"/>
        <v>0</v>
      </c>
      <c r="N110" s="334"/>
      <c r="O110" s="158">
        <f t="shared" si="11"/>
        <v>0</v>
      </c>
      <c r="P110" s="158">
        <f t="shared" si="12"/>
        <v>0</v>
      </c>
    </row>
    <row r="111" spans="1:16">
      <c r="B111" s="9" t="str">
        <f t="shared" si="16"/>
        <v/>
      </c>
      <c r="C111" s="153">
        <f>IF(D93="","-",+C110+1)</f>
        <v>2031</v>
      </c>
      <c r="D111" s="154">
        <f>IF(F110+SUM(E$99:E110)=D$92,F110,D$92-SUM(E$99:E110))</f>
        <v>5873023.8095238134</v>
      </c>
      <c r="E111" s="160">
        <f>IF(+J96&lt;F110,J96,D111)</f>
        <v>189452.38095238095</v>
      </c>
      <c r="F111" s="159">
        <f t="shared" si="13"/>
        <v>5683571.4285714328</v>
      </c>
      <c r="G111" s="159">
        <f t="shared" si="8"/>
        <v>5778297.6190476231</v>
      </c>
      <c r="H111" s="163">
        <f t="shared" si="14"/>
        <v>891350.61566997855</v>
      </c>
      <c r="I111" s="253">
        <f t="shared" si="15"/>
        <v>891350.61566997855</v>
      </c>
      <c r="J111" s="158">
        <f t="shared" si="9"/>
        <v>0</v>
      </c>
      <c r="K111" s="158"/>
      <c r="L111" s="334"/>
      <c r="M111" s="158">
        <f t="shared" si="10"/>
        <v>0</v>
      </c>
      <c r="N111" s="334"/>
      <c r="O111" s="158">
        <f t="shared" si="11"/>
        <v>0</v>
      </c>
      <c r="P111" s="158">
        <f t="shared" si="12"/>
        <v>0</v>
      </c>
    </row>
    <row r="112" spans="1:16">
      <c r="B112" s="9" t="str">
        <f t="shared" si="16"/>
        <v/>
      </c>
      <c r="C112" s="153">
        <f>IF(D93="","-",+C111+1)</f>
        <v>2032</v>
      </c>
      <c r="D112" s="154">
        <f>IF(F111+SUM(E$99:E111)=D$92,F111,D$92-SUM(E$99:E111))</f>
        <v>5683571.4285714328</v>
      </c>
      <c r="E112" s="160">
        <f>IF(+J96&lt;F111,J96,D112)</f>
        <v>189452.38095238095</v>
      </c>
      <c r="F112" s="159">
        <f t="shared" si="13"/>
        <v>5494119.0476190522</v>
      </c>
      <c r="G112" s="159">
        <f t="shared" si="8"/>
        <v>5588845.2380952425</v>
      </c>
      <c r="H112" s="163">
        <f t="shared" si="14"/>
        <v>868337.5587939918</v>
      </c>
      <c r="I112" s="253">
        <f t="shared" si="15"/>
        <v>868337.5587939918</v>
      </c>
      <c r="J112" s="158">
        <f t="shared" si="9"/>
        <v>0</v>
      </c>
      <c r="K112" s="158"/>
      <c r="L112" s="334"/>
      <c r="M112" s="158">
        <f t="shared" si="10"/>
        <v>0</v>
      </c>
      <c r="N112" s="334"/>
      <c r="O112" s="158">
        <f t="shared" si="11"/>
        <v>0</v>
      </c>
      <c r="P112" s="158">
        <f t="shared" si="12"/>
        <v>0</v>
      </c>
    </row>
    <row r="113" spans="2:16">
      <c r="B113" s="9" t="str">
        <f t="shared" si="16"/>
        <v/>
      </c>
      <c r="C113" s="153">
        <f>IF(D93="","-",+C112+1)</f>
        <v>2033</v>
      </c>
      <c r="D113" s="154">
        <f>IF(F112+SUM(E$99:E112)=D$92,F112,D$92-SUM(E$99:E112))</f>
        <v>5494119.0476190466</v>
      </c>
      <c r="E113" s="160">
        <f>IF(+J96&lt;F112,J96,D113)</f>
        <v>189452.38095238095</v>
      </c>
      <c r="F113" s="159">
        <f t="shared" si="13"/>
        <v>5304666.666666666</v>
      </c>
      <c r="G113" s="159">
        <f t="shared" si="8"/>
        <v>5399392.8571428563</v>
      </c>
      <c r="H113" s="163">
        <f t="shared" si="14"/>
        <v>845324.50191800436</v>
      </c>
      <c r="I113" s="253">
        <f t="shared" si="15"/>
        <v>845324.50191800436</v>
      </c>
      <c r="J113" s="158">
        <f t="shared" si="9"/>
        <v>0</v>
      </c>
      <c r="K113" s="158"/>
      <c r="L113" s="334"/>
      <c r="M113" s="158">
        <f t="shared" si="10"/>
        <v>0</v>
      </c>
      <c r="N113" s="334"/>
      <c r="O113" s="158">
        <f t="shared" si="11"/>
        <v>0</v>
      </c>
      <c r="P113" s="158">
        <f t="shared" si="12"/>
        <v>0</v>
      </c>
    </row>
    <row r="114" spans="2:16">
      <c r="B114" s="9" t="str">
        <f t="shared" si="16"/>
        <v/>
      </c>
      <c r="C114" s="153">
        <f>IF(D93="","-",+C113+1)</f>
        <v>2034</v>
      </c>
      <c r="D114" s="154">
        <f>IF(F113+SUM(E$99:E113)=D$92,F113,D$92-SUM(E$99:E113))</f>
        <v>5304666.666666666</v>
      </c>
      <c r="E114" s="160">
        <f>IF(+J96&lt;F113,J96,D114)</f>
        <v>189452.38095238095</v>
      </c>
      <c r="F114" s="159">
        <f t="shared" si="13"/>
        <v>5115214.2857142854</v>
      </c>
      <c r="G114" s="159">
        <f t="shared" si="8"/>
        <v>5209940.4761904757</v>
      </c>
      <c r="H114" s="163">
        <f t="shared" si="14"/>
        <v>822311.44504201761</v>
      </c>
      <c r="I114" s="253">
        <f t="shared" si="15"/>
        <v>822311.44504201761</v>
      </c>
      <c r="J114" s="158">
        <f t="shared" si="9"/>
        <v>0</v>
      </c>
      <c r="K114" s="158"/>
      <c r="L114" s="334"/>
      <c r="M114" s="158">
        <f t="shared" si="10"/>
        <v>0</v>
      </c>
      <c r="N114" s="334"/>
      <c r="O114" s="158">
        <f t="shared" si="11"/>
        <v>0</v>
      </c>
      <c r="P114" s="158">
        <f t="shared" si="12"/>
        <v>0</v>
      </c>
    </row>
    <row r="115" spans="2:16">
      <c r="B115" s="9" t="str">
        <f t="shared" si="16"/>
        <v/>
      </c>
      <c r="C115" s="153">
        <f>IF(D93="","-",+C114+1)</f>
        <v>2035</v>
      </c>
      <c r="D115" s="154">
        <f>IF(F114+SUM(E$99:E114)=D$92,F114,D$92-SUM(E$99:E114))</f>
        <v>5115214.2857142854</v>
      </c>
      <c r="E115" s="160">
        <f>IF(+J96&lt;F114,J96,D115)</f>
        <v>189452.38095238095</v>
      </c>
      <c r="F115" s="159">
        <f t="shared" si="13"/>
        <v>4925761.9047619049</v>
      </c>
      <c r="G115" s="159">
        <f t="shared" si="8"/>
        <v>5020488.0952380951</v>
      </c>
      <c r="H115" s="163">
        <f t="shared" si="14"/>
        <v>799298.38816603087</v>
      </c>
      <c r="I115" s="253">
        <f t="shared" si="15"/>
        <v>799298.38816603087</v>
      </c>
      <c r="J115" s="158">
        <f t="shared" si="9"/>
        <v>0</v>
      </c>
      <c r="K115" s="158"/>
      <c r="L115" s="334"/>
      <c r="M115" s="158">
        <f t="shared" si="10"/>
        <v>0</v>
      </c>
      <c r="N115" s="334"/>
      <c r="O115" s="158">
        <f t="shared" si="11"/>
        <v>0</v>
      </c>
      <c r="P115" s="158">
        <f t="shared" si="12"/>
        <v>0</v>
      </c>
    </row>
    <row r="116" spans="2:16">
      <c r="B116" s="9" t="str">
        <f t="shared" si="16"/>
        <v/>
      </c>
      <c r="C116" s="153">
        <f>IF(D93="","-",+C115+1)</f>
        <v>2036</v>
      </c>
      <c r="D116" s="154">
        <f>IF(F115+SUM(E$99:E115)=D$92,F115,D$92-SUM(E$99:E115))</f>
        <v>4925761.9047619049</v>
      </c>
      <c r="E116" s="160">
        <f>IF(+J96&lt;F115,J96,D116)</f>
        <v>189452.38095238095</v>
      </c>
      <c r="F116" s="159">
        <f t="shared" si="13"/>
        <v>4736309.5238095243</v>
      </c>
      <c r="G116" s="159">
        <f t="shared" si="8"/>
        <v>4831035.7142857146</v>
      </c>
      <c r="H116" s="163">
        <f t="shared" si="14"/>
        <v>776285.33129004412</v>
      </c>
      <c r="I116" s="253">
        <f t="shared" si="15"/>
        <v>776285.33129004412</v>
      </c>
      <c r="J116" s="158">
        <f t="shared" si="9"/>
        <v>0</v>
      </c>
      <c r="K116" s="158"/>
      <c r="L116" s="334"/>
      <c r="M116" s="158">
        <f t="shared" si="10"/>
        <v>0</v>
      </c>
      <c r="N116" s="334"/>
      <c r="O116" s="158">
        <f t="shared" si="11"/>
        <v>0</v>
      </c>
      <c r="P116" s="158">
        <f t="shared" si="12"/>
        <v>0</v>
      </c>
    </row>
    <row r="117" spans="2:16">
      <c r="B117" s="9" t="str">
        <f t="shared" si="16"/>
        <v/>
      </c>
      <c r="C117" s="153">
        <f>IF(D93="","-",+C116+1)</f>
        <v>2037</v>
      </c>
      <c r="D117" s="154">
        <f>IF(F116+SUM(E$99:E116)=D$92,F116,D$92-SUM(E$99:E116))</f>
        <v>4736309.5238095243</v>
      </c>
      <c r="E117" s="160">
        <f>IF(+J96&lt;F116,J96,D117)</f>
        <v>189452.38095238095</v>
      </c>
      <c r="F117" s="159">
        <f t="shared" si="13"/>
        <v>4546857.1428571437</v>
      </c>
      <c r="G117" s="159">
        <f t="shared" si="8"/>
        <v>4641583.333333334</v>
      </c>
      <c r="H117" s="163">
        <f t="shared" si="14"/>
        <v>753272.27441405738</v>
      </c>
      <c r="I117" s="253">
        <f t="shared" si="15"/>
        <v>753272.27441405738</v>
      </c>
      <c r="J117" s="158">
        <f t="shared" si="9"/>
        <v>0</v>
      </c>
      <c r="K117" s="158"/>
      <c r="L117" s="334"/>
      <c r="M117" s="158">
        <f t="shared" si="10"/>
        <v>0</v>
      </c>
      <c r="N117" s="334"/>
      <c r="O117" s="158">
        <f t="shared" si="11"/>
        <v>0</v>
      </c>
      <c r="P117" s="158">
        <f t="shared" si="12"/>
        <v>0</v>
      </c>
    </row>
    <row r="118" spans="2:16">
      <c r="B118" s="9" t="str">
        <f t="shared" si="16"/>
        <v/>
      </c>
      <c r="C118" s="153">
        <f>IF(D93="","-",+C117+1)</f>
        <v>2038</v>
      </c>
      <c r="D118" s="154">
        <f>IF(F117+SUM(E$99:E117)=D$92,F117,D$92-SUM(E$99:E117))</f>
        <v>4546857.1428571437</v>
      </c>
      <c r="E118" s="160">
        <f>IF(+J96&lt;F117,J96,D118)</f>
        <v>189452.38095238095</v>
      </c>
      <c r="F118" s="159">
        <f t="shared" si="13"/>
        <v>4357404.7619047631</v>
      </c>
      <c r="G118" s="159">
        <f t="shared" si="8"/>
        <v>4452130.9523809534</v>
      </c>
      <c r="H118" s="163">
        <f t="shared" si="14"/>
        <v>730259.21753807063</v>
      </c>
      <c r="I118" s="253">
        <f t="shared" si="15"/>
        <v>730259.21753807063</v>
      </c>
      <c r="J118" s="158">
        <f t="shared" si="9"/>
        <v>0</v>
      </c>
      <c r="K118" s="158"/>
      <c r="L118" s="334"/>
      <c r="M118" s="158">
        <f t="shared" si="10"/>
        <v>0</v>
      </c>
      <c r="N118" s="334"/>
      <c r="O118" s="158">
        <f t="shared" si="11"/>
        <v>0</v>
      </c>
      <c r="P118" s="158">
        <f t="shared" si="12"/>
        <v>0</v>
      </c>
    </row>
    <row r="119" spans="2:16">
      <c r="B119" s="9" t="str">
        <f t="shared" si="16"/>
        <v/>
      </c>
      <c r="C119" s="153">
        <f>IF(D93="","-",+C118+1)</f>
        <v>2039</v>
      </c>
      <c r="D119" s="154">
        <f>IF(F118+SUM(E$99:E118)=D$92,F118,D$92-SUM(E$99:E118))</f>
        <v>4357404.7619047631</v>
      </c>
      <c r="E119" s="160">
        <f>IF(+J96&lt;F118,J96,D119)</f>
        <v>189452.38095238095</v>
      </c>
      <c r="F119" s="159">
        <f t="shared" si="13"/>
        <v>4167952.380952382</v>
      </c>
      <c r="G119" s="159">
        <f t="shared" si="8"/>
        <v>4262678.5714285728</v>
      </c>
      <c r="H119" s="163">
        <f t="shared" si="14"/>
        <v>707246.16066208389</v>
      </c>
      <c r="I119" s="253">
        <f t="shared" si="15"/>
        <v>707246.16066208389</v>
      </c>
      <c r="J119" s="158">
        <f t="shared" si="9"/>
        <v>0</v>
      </c>
      <c r="K119" s="158"/>
      <c r="L119" s="334"/>
      <c r="M119" s="158">
        <f t="shared" si="10"/>
        <v>0</v>
      </c>
      <c r="N119" s="334"/>
      <c r="O119" s="158">
        <f t="shared" si="11"/>
        <v>0</v>
      </c>
      <c r="P119" s="158">
        <f t="shared" si="12"/>
        <v>0</v>
      </c>
    </row>
    <row r="120" spans="2:16">
      <c r="B120" s="9" t="str">
        <f t="shared" si="16"/>
        <v/>
      </c>
      <c r="C120" s="153">
        <f>IF(D93="","-",+C119+1)</f>
        <v>2040</v>
      </c>
      <c r="D120" s="154">
        <f>IF(F119+SUM(E$99:E119)=D$92,F119,D$92-SUM(E$99:E119))</f>
        <v>4167952.380952382</v>
      </c>
      <c r="E120" s="160">
        <f>IF(+J96&lt;F119,J96,D120)</f>
        <v>189452.38095238095</v>
      </c>
      <c r="F120" s="159">
        <f t="shared" si="13"/>
        <v>3978500.0000000009</v>
      </c>
      <c r="G120" s="159">
        <f t="shared" si="8"/>
        <v>4073226.1904761912</v>
      </c>
      <c r="H120" s="163">
        <f t="shared" si="14"/>
        <v>684233.10378609702</v>
      </c>
      <c r="I120" s="253">
        <f t="shared" si="15"/>
        <v>684233.10378609702</v>
      </c>
      <c r="J120" s="158">
        <f t="shared" si="9"/>
        <v>0</v>
      </c>
      <c r="K120" s="158"/>
      <c r="L120" s="334"/>
      <c r="M120" s="158">
        <f t="shared" si="10"/>
        <v>0</v>
      </c>
      <c r="N120" s="334"/>
      <c r="O120" s="158">
        <f t="shared" si="11"/>
        <v>0</v>
      </c>
      <c r="P120" s="158">
        <f t="shared" si="12"/>
        <v>0</v>
      </c>
    </row>
    <row r="121" spans="2:16">
      <c r="B121" s="9" t="str">
        <f t="shared" si="16"/>
        <v/>
      </c>
      <c r="C121" s="153">
        <f>IF(D93="","-",+C120+1)</f>
        <v>2041</v>
      </c>
      <c r="D121" s="154">
        <f>IF(F120+SUM(E$99:E120)=D$92,F120,D$92-SUM(E$99:E120))</f>
        <v>3978500.0000000009</v>
      </c>
      <c r="E121" s="160">
        <f>IF(+J96&lt;F120,J96,D121)</f>
        <v>189452.38095238095</v>
      </c>
      <c r="F121" s="159">
        <f t="shared" si="13"/>
        <v>3789047.6190476199</v>
      </c>
      <c r="G121" s="159">
        <f t="shared" si="8"/>
        <v>3883773.8095238106</v>
      </c>
      <c r="H121" s="163">
        <f t="shared" si="14"/>
        <v>661220.04691011028</v>
      </c>
      <c r="I121" s="253">
        <f t="shared" si="15"/>
        <v>661220.04691011028</v>
      </c>
      <c r="J121" s="158">
        <f t="shared" si="9"/>
        <v>0</v>
      </c>
      <c r="K121" s="158"/>
      <c r="L121" s="334"/>
      <c r="M121" s="158">
        <f t="shared" si="10"/>
        <v>0</v>
      </c>
      <c r="N121" s="334"/>
      <c r="O121" s="158">
        <f t="shared" si="11"/>
        <v>0</v>
      </c>
      <c r="P121" s="158">
        <f t="shared" si="12"/>
        <v>0</v>
      </c>
    </row>
    <row r="122" spans="2:16">
      <c r="B122" s="9" t="str">
        <f t="shared" si="16"/>
        <v/>
      </c>
      <c r="C122" s="153">
        <f>IF(D93="","-",+C121+1)</f>
        <v>2042</v>
      </c>
      <c r="D122" s="154">
        <f>IF(F121+SUM(E$99:E121)=D$92,F121,D$92-SUM(E$99:E121))</f>
        <v>3789047.6190476199</v>
      </c>
      <c r="E122" s="160">
        <f>IF(+J96&lt;F121,J96,D122)</f>
        <v>189452.38095238095</v>
      </c>
      <c r="F122" s="159">
        <f t="shared" si="13"/>
        <v>3599595.2380952388</v>
      </c>
      <c r="G122" s="159">
        <f t="shared" si="8"/>
        <v>3694321.4285714291</v>
      </c>
      <c r="H122" s="163">
        <f t="shared" si="14"/>
        <v>638206.99003412342</v>
      </c>
      <c r="I122" s="253">
        <f t="shared" si="15"/>
        <v>638206.99003412342</v>
      </c>
      <c r="J122" s="158">
        <f t="shared" si="9"/>
        <v>0</v>
      </c>
      <c r="K122" s="158"/>
      <c r="L122" s="334"/>
      <c r="M122" s="158">
        <f t="shared" si="10"/>
        <v>0</v>
      </c>
      <c r="N122" s="334"/>
      <c r="O122" s="158">
        <f t="shared" si="11"/>
        <v>0</v>
      </c>
      <c r="P122" s="158">
        <f t="shared" si="12"/>
        <v>0</v>
      </c>
    </row>
    <row r="123" spans="2:16">
      <c r="B123" s="9" t="str">
        <f t="shared" si="16"/>
        <v/>
      </c>
      <c r="C123" s="153">
        <f>IF(D93="","-",+C122+1)</f>
        <v>2043</v>
      </c>
      <c r="D123" s="154">
        <f>IF(F122+SUM(E$99:E122)=D$92,F122,D$92-SUM(E$99:E122))</f>
        <v>3599595.2380952388</v>
      </c>
      <c r="E123" s="160">
        <f>IF(+J96&lt;F122,J96,D123)</f>
        <v>189452.38095238095</v>
      </c>
      <c r="F123" s="159">
        <f t="shared" si="13"/>
        <v>3410142.8571428577</v>
      </c>
      <c r="G123" s="159">
        <f t="shared" si="8"/>
        <v>3504869.0476190485</v>
      </c>
      <c r="H123" s="163">
        <f t="shared" si="14"/>
        <v>615193.93315813667</v>
      </c>
      <c r="I123" s="253">
        <f t="shared" si="15"/>
        <v>615193.93315813667</v>
      </c>
      <c r="J123" s="158">
        <f t="shared" si="9"/>
        <v>0</v>
      </c>
      <c r="K123" s="158"/>
      <c r="L123" s="334"/>
      <c r="M123" s="158">
        <f t="shared" si="10"/>
        <v>0</v>
      </c>
      <c r="N123" s="334"/>
      <c r="O123" s="158">
        <f t="shared" si="11"/>
        <v>0</v>
      </c>
      <c r="P123" s="158">
        <f t="shared" si="12"/>
        <v>0</v>
      </c>
    </row>
    <row r="124" spans="2:16">
      <c r="B124" s="9" t="str">
        <f t="shared" si="16"/>
        <v/>
      </c>
      <c r="C124" s="153">
        <f>IF(D93="","-",+C123+1)</f>
        <v>2044</v>
      </c>
      <c r="D124" s="154">
        <f>IF(F123+SUM(E$99:E123)=D$92,F123,D$92-SUM(E$99:E123))</f>
        <v>3410142.8571428577</v>
      </c>
      <c r="E124" s="160">
        <f>IF(+J96&lt;F123,J96,D124)</f>
        <v>189452.38095238095</v>
      </c>
      <c r="F124" s="159">
        <f t="shared" si="13"/>
        <v>3220690.4761904767</v>
      </c>
      <c r="G124" s="159">
        <f t="shared" si="8"/>
        <v>3315416.666666667</v>
      </c>
      <c r="H124" s="163">
        <f t="shared" si="14"/>
        <v>592180.87628214981</v>
      </c>
      <c r="I124" s="253">
        <f t="shared" si="15"/>
        <v>592180.87628214981</v>
      </c>
      <c r="J124" s="158">
        <f t="shared" si="9"/>
        <v>0</v>
      </c>
      <c r="K124" s="158"/>
      <c r="L124" s="334"/>
      <c r="M124" s="158">
        <f t="shared" si="10"/>
        <v>0</v>
      </c>
      <c r="N124" s="334"/>
      <c r="O124" s="158">
        <f t="shared" si="11"/>
        <v>0</v>
      </c>
      <c r="P124" s="158">
        <f t="shared" si="12"/>
        <v>0</v>
      </c>
    </row>
    <row r="125" spans="2:16">
      <c r="B125" s="9" t="str">
        <f t="shared" si="16"/>
        <v/>
      </c>
      <c r="C125" s="153">
        <f>IF(D93="","-",+C124+1)</f>
        <v>2045</v>
      </c>
      <c r="D125" s="154">
        <f>IF(F124+SUM(E$99:E124)=D$92,F124,D$92-SUM(E$99:E124))</f>
        <v>3220690.4761904767</v>
      </c>
      <c r="E125" s="160">
        <f>IF(+J96&lt;F124,J96,D125)</f>
        <v>189452.38095238095</v>
      </c>
      <c r="F125" s="159">
        <f t="shared" si="13"/>
        <v>3031238.0952380956</v>
      </c>
      <c r="G125" s="159">
        <f t="shared" si="8"/>
        <v>3125964.2857142864</v>
      </c>
      <c r="H125" s="163">
        <f t="shared" si="14"/>
        <v>569167.81940616306</v>
      </c>
      <c r="I125" s="253">
        <f t="shared" si="15"/>
        <v>569167.81940616306</v>
      </c>
      <c r="J125" s="158">
        <f t="shared" si="9"/>
        <v>0</v>
      </c>
      <c r="K125" s="158"/>
      <c r="L125" s="334"/>
      <c r="M125" s="158">
        <f t="shared" si="10"/>
        <v>0</v>
      </c>
      <c r="N125" s="334"/>
      <c r="O125" s="158">
        <f t="shared" si="11"/>
        <v>0</v>
      </c>
      <c r="P125" s="158">
        <f t="shared" si="12"/>
        <v>0</v>
      </c>
    </row>
    <row r="126" spans="2:16">
      <c r="B126" s="9" t="str">
        <f t="shared" si="16"/>
        <v/>
      </c>
      <c r="C126" s="153">
        <f>IF(D93="","-",+C125+1)</f>
        <v>2046</v>
      </c>
      <c r="D126" s="154">
        <f>IF(F125+SUM(E$99:E125)=D$92,F125,D$92-SUM(E$99:E125))</f>
        <v>3031238.0952380956</v>
      </c>
      <c r="E126" s="160">
        <f>IF(+J96&lt;F125,J96,D126)</f>
        <v>189452.38095238095</v>
      </c>
      <c r="F126" s="159">
        <f t="shared" si="13"/>
        <v>2841785.7142857146</v>
      </c>
      <c r="G126" s="159">
        <f t="shared" si="8"/>
        <v>2936511.9047619049</v>
      </c>
      <c r="H126" s="163">
        <f t="shared" si="14"/>
        <v>546154.7625301762</v>
      </c>
      <c r="I126" s="253">
        <f t="shared" si="15"/>
        <v>546154.7625301762</v>
      </c>
      <c r="J126" s="158">
        <f t="shared" si="9"/>
        <v>0</v>
      </c>
      <c r="K126" s="158"/>
      <c r="L126" s="334"/>
      <c r="M126" s="158">
        <f t="shared" si="10"/>
        <v>0</v>
      </c>
      <c r="N126" s="334"/>
      <c r="O126" s="158">
        <f t="shared" si="11"/>
        <v>0</v>
      </c>
      <c r="P126" s="158">
        <f t="shared" si="12"/>
        <v>0</v>
      </c>
    </row>
    <row r="127" spans="2:16">
      <c r="B127" s="9" t="str">
        <f t="shared" si="16"/>
        <v/>
      </c>
      <c r="C127" s="153">
        <f>IF(D93="","-",+C126+1)</f>
        <v>2047</v>
      </c>
      <c r="D127" s="154">
        <f>IF(F126+SUM(E$99:E126)=D$92,F126,D$92-SUM(E$99:E126))</f>
        <v>2841785.7142857146</v>
      </c>
      <c r="E127" s="160">
        <f>IF(+J96&lt;F126,J96,D127)</f>
        <v>189452.38095238095</v>
      </c>
      <c r="F127" s="159">
        <f t="shared" si="13"/>
        <v>2652333.3333333335</v>
      </c>
      <c r="G127" s="159">
        <f t="shared" si="8"/>
        <v>2747059.5238095243</v>
      </c>
      <c r="H127" s="163">
        <f t="shared" si="14"/>
        <v>523141.70565418946</v>
      </c>
      <c r="I127" s="253">
        <f t="shared" si="15"/>
        <v>523141.70565418946</v>
      </c>
      <c r="J127" s="158">
        <f t="shared" si="9"/>
        <v>0</v>
      </c>
      <c r="K127" s="158"/>
      <c r="L127" s="334"/>
      <c r="M127" s="158">
        <f t="shared" si="10"/>
        <v>0</v>
      </c>
      <c r="N127" s="334"/>
      <c r="O127" s="158">
        <f t="shared" si="11"/>
        <v>0</v>
      </c>
      <c r="P127" s="158">
        <f t="shared" si="12"/>
        <v>0</v>
      </c>
    </row>
    <row r="128" spans="2:16">
      <c r="B128" s="9" t="str">
        <f t="shared" si="16"/>
        <v/>
      </c>
      <c r="C128" s="153">
        <f>IF(D93="","-",+C127+1)</f>
        <v>2048</v>
      </c>
      <c r="D128" s="154">
        <f>IF(F127+SUM(E$99:E127)=D$92,F127,D$92-SUM(E$99:E127))</f>
        <v>2652333.3333333335</v>
      </c>
      <c r="E128" s="160">
        <f>IF(+J96&lt;F127,J96,D128)</f>
        <v>189452.38095238095</v>
      </c>
      <c r="F128" s="159">
        <f t="shared" si="13"/>
        <v>2462880.9523809524</v>
      </c>
      <c r="G128" s="159">
        <f t="shared" si="8"/>
        <v>2557607.1428571427</v>
      </c>
      <c r="H128" s="163">
        <f t="shared" si="14"/>
        <v>500128.64877820259</v>
      </c>
      <c r="I128" s="253">
        <f t="shared" si="15"/>
        <v>500128.64877820259</v>
      </c>
      <c r="J128" s="158">
        <f t="shared" si="9"/>
        <v>0</v>
      </c>
      <c r="K128" s="158"/>
      <c r="L128" s="334"/>
      <c r="M128" s="158">
        <f t="shared" si="10"/>
        <v>0</v>
      </c>
      <c r="N128" s="334"/>
      <c r="O128" s="158">
        <f t="shared" si="11"/>
        <v>0</v>
      </c>
      <c r="P128" s="158">
        <f t="shared" si="12"/>
        <v>0</v>
      </c>
    </row>
    <row r="129" spans="2:16">
      <c r="B129" s="9" t="str">
        <f t="shared" si="16"/>
        <v/>
      </c>
      <c r="C129" s="153">
        <f>IF(D93="","-",+C128+1)</f>
        <v>2049</v>
      </c>
      <c r="D129" s="154">
        <f>IF(F128+SUM(E$99:E128)=D$92,F128,D$92-SUM(E$99:E128))</f>
        <v>2462880.9523809524</v>
      </c>
      <c r="E129" s="160">
        <f>IF(+J96&lt;F128,J96,D129)</f>
        <v>189452.38095238095</v>
      </c>
      <c r="F129" s="159">
        <f t="shared" si="13"/>
        <v>2273428.5714285714</v>
      </c>
      <c r="G129" s="159">
        <f t="shared" si="8"/>
        <v>2368154.7619047621</v>
      </c>
      <c r="H129" s="163">
        <f t="shared" si="14"/>
        <v>477115.59190221585</v>
      </c>
      <c r="I129" s="253">
        <f t="shared" si="15"/>
        <v>477115.59190221585</v>
      </c>
      <c r="J129" s="158">
        <f t="shared" si="9"/>
        <v>0</v>
      </c>
      <c r="K129" s="158"/>
      <c r="L129" s="334"/>
      <c r="M129" s="158">
        <f t="shared" si="10"/>
        <v>0</v>
      </c>
      <c r="N129" s="334"/>
      <c r="O129" s="158">
        <f t="shared" si="11"/>
        <v>0</v>
      </c>
      <c r="P129" s="158">
        <f t="shared" si="12"/>
        <v>0</v>
      </c>
    </row>
    <row r="130" spans="2:16">
      <c r="B130" s="9" t="str">
        <f t="shared" si="16"/>
        <v/>
      </c>
      <c r="C130" s="153">
        <f>IF(D93="","-",+C129+1)</f>
        <v>2050</v>
      </c>
      <c r="D130" s="154">
        <f>IF(F129+SUM(E$99:E129)=D$92,F129,D$92-SUM(E$99:E129))</f>
        <v>2273428.5714285714</v>
      </c>
      <c r="E130" s="160">
        <f>IF(+J96&lt;F129,J96,D130)</f>
        <v>189452.38095238095</v>
      </c>
      <c r="F130" s="159">
        <f t="shared" si="13"/>
        <v>2083976.1904761903</v>
      </c>
      <c r="G130" s="159">
        <f t="shared" si="8"/>
        <v>2178702.3809523806</v>
      </c>
      <c r="H130" s="163">
        <f t="shared" si="14"/>
        <v>454102.53502622899</v>
      </c>
      <c r="I130" s="253">
        <f t="shared" si="15"/>
        <v>454102.53502622899</v>
      </c>
      <c r="J130" s="158">
        <f t="shared" si="9"/>
        <v>0</v>
      </c>
      <c r="K130" s="158"/>
      <c r="L130" s="334"/>
      <c r="M130" s="158">
        <f t="shared" si="10"/>
        <v>0</v>
      </c>
      <c r="N130" s="334"/>
      <c r="O130" s="158">
        <f t="shared" si="11"/>
        <v>0</v>
      </c>
      <c r="P130" s="158">
        <f t="shared" si="12"/>
        <v>0</v>
      </c>
    </row>
    <row r="131" spans="2:16">
      <c r="B131" s="9" t="str">
        <f t="shared" si="16"/>
        <v/>
      </c>
      <c r="C131" s="153">
        <f>IF(D93="","-",+C130+1)</f>
        <v>2051</v>
      </c>
      <c r="D131" s="154">
        <f>IF(F130+SUM(E$99:E130)=D$92,F130,D$92-SUM(E$99:E130))</f>
        <v>2083976.1904761903</v>
      </c>
      <c r="E131" s="160">
        <f>IF(+J96&lt;F130,J96,D131)</f>
        <v>189452.38095238095</v>
      </c>
      <c r="F131" s="159">
        <f t="shared" si="13"/>
        <v>1894523.8095238092</v>
      </c>
      <c r="G131" s="159">
        <f t="shared" si="8"/>
        <v>1989249.9999999998</v>
      </c>
      <c r="H131" s="163">
        <f t="shared" si="14"/>
        <v>431089.47815024224</v>
      </c>
      <c r="I131" s="253">
        <f t="shared" si="15"/>
        <v>431089.47815024224</v>
      </c>
      <c r="J131" s="158">
        <f t="shared" ref="J131:J154" si="17">+I541-H541</f>
        <v>0</v>
      </c>
      <c r="K131" s="158"/>
      <c r="L131" s="334"/>
      <c r="M131" s="158">
        <f t="shared" ref="M131:M154" si="18">IF(L541&lt;&gt;0,+H541-L541,0)</f>
        <v>0</v>
      </c>
      <c r="N131" s="334"/>
      <c r="O131" s="158">
        <f t="shared" ref="O131:O154" si="19">IF(N541&lt;&gt;0,+I541-N541,0)</f>
        <v>0</v>
      </c>
      <c r="P131" s="158">
        <f t="shared" ref="P131:P154" si="20">+O541-M541</f>
        <v>0</v>
      </c>
    </row>
    <row r="132" spans="2:16">
      <c r="B132" s="9" t="str">
        <f t="shared" si="16"/>
        <v/>
      </c>
      <c r="C132" s="153">
        <f>IF(D93="","-",+C131+1)</f>
        <v>2052</v>
      </c>
      <c r="D132" s="154">
        <f>IF(F131+SUM(E$99:E131)=D$92,F131,D$92-SUM(E$99:E131))</f>
        <v>1894523.8095238092</v>
      </c>
      <c r="E132" s="160">
        <f>IF(+J96&lt;F131,J96,D132)</f>
        <v>189452.38095238095</v>
      </c>
      <c r="F132" s="159">
        <f t="shared" si="13"/>
        <v>1705071.4285714282</v>
      </c>
      <c r="G132" s="159">
        <f t="shared" si="8"/>
        <v>1799797.6190476187</v>
      </c>
      <c r="H132" s="163">
        <f t="shared" si="14"/>
        <v>408076.42127425538</v>
      </c>
      <c r="I132" s="253">
        <f t="shared" si="15"/>
        <v>408076.42127425538</v>
      </c>
      <c r="J132" s="158">
        <f t="shared" si="17"/>
        <v>0</v>
      </c>
      <c r="K132" s="158"/>
      <c r="L132" s="334"/>
      <c r="M132" s="158">
        <f t="shared" si="18"/>
        <v>0</v>
      </c>
      <c r="N132" s="334"/>
      <c r="O132" s="158">
        <f t="shared" si="19"/>
        <v>0</v>
      </c>
      <c r="P132" s="158">
        <f t="shared" si="20"/>
        <v>0</v>
      </c>
    </row>
    <row r="133" spans="2:16">
      <c r="B133" s="9" t="str">
        <f t="shared" si="16"/>
        <v/>
      </c>
      <c r="C133" s="153">
        <f>IF(D93="","-",+C132+1)</f>
        <v>2053</v>
      </c>
      <c r="D133" s="154">
        <f>IF(F132+SUM(E$99:E132)=D$92,F132,D$92-SUM(E$99:E132))</f>
        <v>1705071.4285714282</v>
      </c>
      <c r="E133" s="160">
        <f>IF(+J96&lt;F132,J96,D133)</f>
        <v>189452.38095238095</v>
      </c>
      <c r="F133" s="159">
        <f t="shared" si="13"/>
        <v>1515619.0476190471</v>
      </c>
      <c r="G133" s="159">
        <f t="shared" si="8"/>
        <v>1610345.2380952376</v>
      </c>
      <c r="H133" s="163">
        <f t="shared" si="14"/>
        <v>385063.36439826863</v>
      </c>
      <c r="I133" s="253">
        <f t="shared" si="15"/>
        <v>385063.36439826863</v>
      </c>
      <c r="J133" s="158">
        <f t="shared" si="17"/>
        <v>0</v>
      </c>
      <c r="K133" s="158"/>
      <c r="L133" s="334"/>
      <c r="M133" s="158">
        <f t="shared" si="18"/>
        <v>0</v>
      </c>
      <c r="N133" s="334"/>
      <c r="O133" s="158">
        <f t="shared" si="19"/>
        <v>0</v>
      </c>
      <c r="P133" s="158">
        <f t="shared" si="20"/>
        <v>0</v>
      </c>
    </row>
    <row r="134" spans="2:16">
      <c r="B134" s="9" t="str">
        <f t="shared" si="16"/>
        <v/>
      </c>
      <c r="C134" s="153">
        <f>IF(D93="","-",+C133+1)</f>
        <v>2054</v>
      </c>
      <c r="D134" s="154">
        <f>IF(F133+SUM(E$99:E133)=D$92,F133,D$92-SUM(E$99:E133))</f>
        <v>1515619.0476190471</v>
      </c>
      <c r="E134" s="160">
        <f>IF(+J96&lt;F133,J96,D134)</f>
        <v>189452.38095238095</v>
      </c>
      <c r="F134" s="159">
        <f t="shared" si="13"/>
        <v>1326166.666666666</v>
      </c>
      <c r="G134" s="159">
        <f t="shared" si="8"/>
        <v>1420892.8571428566</v>
      </c>
      <c r="H134" s="163">
        <f t="shared" si="14"/>
        <v>362050.30752228177</v>
      </c>
      <c r="I134" s="253">
        <f t="shared" si="15"/>
        <v>362050.30752228177</v>
      </c>
      <c r="J134" s="158">
        <f t="shared" si="17"/>
        <v>0</v>
      </c>
      <c r="K134" s="158"/>
      <c r="L134" s="334"/>
      <c r="M134" s="158">
        <f t="shared" si="18"/>
        <v>0</v>
      </c>
      <c r="N134" s="334"/>
      <c r="O134" s="158">
        <f t="shared" si="19"/>
        <v>0</v>
      </c>
      <c r="P134" s="158">
        <f t="shared" si="20"/>
        <v>0</v>
      </c>
    </row>
    <row r="135" spans="2:16">
      <c r="B135" s="9" t="str">
        <f t="shared" si="16"/>
        <v/>
      </c>
      <c r="C135" s="153">
        <f>IF(D93="","-",+C134+1)</f>
        <v>2055</v>
      </c>
      <c r="D135" s="154">
        <f>IF(F134+SUM(E$99:E134)=D$92,F134,D$92-SUM(E$99:E134))</f>
        <v>1326166.666666666</v>
      </c>
      <c r="E135" s="160">
        <f>IF(+J96&lt;F134,J96,D135)</f>
        <v>189452.38095238095</v>
      </c>
      <c r="F135" s="159">
        <f t="shared" si="13"/>
        <v>1136714.285714285</v>
      </c>
      <c r="G135" s="159">
        <f t="shared" si="8"/>
        <v>1231440.4761904755</v>
      </c>
      <c r="H135" s="163">
        <f t="shared" si="14"/>
        <v>339037.25064629503</v>
      </c>
      <c r="I135" s="253">
        <f t="shared" si="15"/>
        <v>339037.25064629503</v>
      </c>
      <c r="J135" s="158">
        <f t="shared" si="17"/>
        <v>0</v>
      </c>
      <c r="K135" s="158"/>
      <c r="L135" s="334"/>
      <c r="M135" s="158">
        <f t="shared" si="18"/>
        <v>0</v>
      </c>
      <c r="N135" s="334"/>
      <c r="O135" s="158">
        <f t="shared" si="19"/>
        <v>0</v>
      </c>
      <c r="P135" s="158">
        <f t="shared" si="20"/>
        <v>0</v>
      </c>
    </row>
    <row r="136" spans="2:16">
      <c r="B136" s="9" t="str">
        <f t="shared" si="16"/>
        <v/>
      </c>
      <c r="C136" s="153">
        <f>IF(D93="","-",+C135+1)</f>
        <v>2056</v>
      </c>
      <c r="D136" s="154">
        <f>IF(F135+SUM(E$99:E135)=D$92,F135,D$92-SUM(E$99:E135))</f>
        <v>1136714.285714285</v>
      </c>
      <c r="E136" s="160">
        <f>IF(+J96&lt;F135,J96,D136)</f>
        <v>189452.38095238095</v>
      </c>
      <c r="F136" s="159">
        <f t="shared" si="13"/>
        <v>947261.90476190404</v>
      </c>
      <c r="G136" s="159">
        <f t="shared" si="8"/>
        <v>1041988.0952380945</v>
      </c>
      <c r="H136" s="163">
        <f t="shared" si="14"/>
        <v>316024.19377030822</v>
      </c>
      <c r="I136" s="253">
        <f t="shared" si="15"/>
        <v>316024.19377030822</v>
      </c>
      <c r="J136" s="158">
        <f t="shared" si="17"/>
        <v>0</v>
      </c>
      <c r="K136" s="158"/>
      <c r="L136" s="334"/>
      <c r="M136" s="158">
        <f t="shared" si="18"/>
        <v>0</v>
      </c>
      <c r="N136" s="334"/>
      <c r="O136" s="158">
        <f t="shared" si="19"/>
        <v>0</v>
      </c>
      <c r="P136" s="158">
        <f t="shared" si="20"/>
        <v>0</v>
      </c>
    </row>
    <row r="137" spans="2:16">
      <c r="B137" s="9" t="str">
        <f t="shared" si="16"/>
        <v/>
      </c>
      <c r="C137" s="153">
        <f>IF(D93="","-",+C136+1)</f>
        <v>2057</v>
      </c>
      <c r="D137" s="154">
        <f>IF(F136+SUM(E$99:E136)=D$92,F136,D$92-SUM(E$99:E136))</f>
        <v>947261.90476190404</v>
      </c>
      <c r="E137" s="160">
        <f>IF(+J96&lt;F136,J96,D137)</f>
        <v>189452.38095238095</v>
      </c>
      <c r="F137" s="159">
        <f t="shared" si="13"/>
        <v>757809.52380952309</v>
      </c>
      <c r="G137" s="159">
        <f t="shared" si="8"/>
        <v>852535.71428571362</v>
      </c>
      <c r="H137" s="163">
        <f t="shared" si="14"/>
        <v>293011.13689432142</v>
      </c>
      <c r="I137" s="253">
        <f t="shared" si="15"/>
        <v>293011.13689432142</v>
      </c>
      <c r="J137" s="158">
        <f t="shared" si="17"/>
        <v>0</v>
      </c>
      <c r="K137" s="158"/>
      <c r="L137" s="334"/>
      <c r="M137" s="158">
        <f t="shared" si="18"/>
        <v>0</v>
      </c>
      <c r="N137" s="334"/>
      <c r="O137" s="158">
        <f t="shared" si="19"/>
        <v>0</v>
      </c>
      <c r="P137" s="158">
        <f t="shared" si="20"/>
        <v>0</v>
      </c>
    </row>
    <row r="138" spans="2:16">
      <c r="B138" s="9" t="str">
        <f t="shared" si="16"/>
        <v/>
      </c>
      <c r="C138" s="153">
        <f>IF(D93="","-",+C137+1)</f>
        <v>2058</v>
      </c>
      <c r="D138" s="154">
        <f>IF(F137+SUM(E$99:E137)=D$92,F137,D$92-SUM(E$99:E137))</f>
        <v>757809.52380952309</v>
      </c>
      <c r="E138" s="160">
        <f>IF(+J96&lt;F137,J96,D138)</f>
        <v>189452.38095238095</v>
      </c>
      <c r="F138" s="159">
        <f t="shared" si="13"/>
        <v>568357.14285714214</v>
      </c>
      <c r="G138" s="159">
        <f t="shared" si="8"/>
        <v>663083.33333333256</v>
      </c>
      <c r="H138" s="163">
        <f t="shared" si="14"/>
        <v>269998.08001833461</v>
      </c>
      <c r="I138" s="253">
        <f t="shared" si="15"/>
        <v>269998.08001833461</v>
      </c>
      <c r="J138" s="158">
        <f t="shared" si="17"/>
        <v>0</v>
      </c>
      <c r="K138" s="158"/>
      <c r="L138" s="334"/>
      <c r="M138" s="158">
        <f t="shared" si="18"/>
        <v>0</v>
      </c>
      <c r="N138" s="334"/>
      <c r="O138" s="158">
        <f t="shared" si="19"/>
        <v>0</v>
      </c>
      <c r="P138" s="158">
        <f t="shared" si="20"/>
        <v>0</v>
      </c>
    </row>
    <row r="139" spans="2:16">
      <c r="B139" s="9" t="str">
        <f t="shared" si="16"/>
        <v>IU</v>
      </c>
      <c r="C139" s="153">
        <f>IF(D93="","-",+C138+1)</f>
        <v>2059</v>
      </c>
      <c r="D139" s="154">
        <f>IF(F138+SUM(E$99:E138)=D$92,F138,D$92-SUM(E$99:E138))</f>
        <v>568357.14285714738</v>
      </c>
      <c r="E139" s="160">
        <f>IF(+J96&lt;F138,J96,D139)</f>
        <v>189452.38095238095</v>
      </c>
      <c r="F139" s="159">
        <f t="shared" si="13"/>
        <v>378904.76190476643</v>
      </c>
      <c r="G139" s="159">
        <f t="shared" si="8"/>
        <v>473630.95238095691</v>
      </c>
      <c r="H139" s="163">
        <f t="shared" si="14"/>
        <v>246985.02314234848</v>
      </c>
      <c r="I139" s="253">
        <f t="shared" si="15"/>
        <v>246985.02314234848</v>
      </c>
      <c r="J139" s="158">
        <f t="shared" si="17"/>
        <v>0</v>
      </c>
      <c r="K139" s="158"/>
      <c r="L139" s="334"/>
      <c r="M139" s="158">
        <f t="shared" si="18"/>
        <v>0</v>
      </c>
      <c r="N139" s="334"/>
      <c r="O139" s="158">
        <f t="shared" si="19"/>
        <v>0</v>
      </c>
      <c r="P139" s="158">
        <f t="shared" si="20"/>
        <v>0</v>
      </c>
    </row>
    <row r="140" spans="2:16">
      <c r="B140" s="9" t="str">
        <f t="shared" si="16"/>
        <v/>
      </c>
      <c r="C140" s="153">
        <f>IF(D93="","-",+C139+1)</f>
        <v>2060</v>
      </c>
      <c r="D140" s="154">
        <f>IF(F139+SUM(E$99:E139)=D$92,F139,D$92-SUM(E$99:E139))</f>
        <v>378904.76190476643</v>
      </c>
      <c r="E140" s="160">
        <f>IF(+J96&lt;F139,J96,D140)</f>
        <v>189452.38095238095</v>
      </c>
      <c r="F140" s="159">
        <f t="shared" si="13"/>
        <v>189452.38095238549</v>
      </c>
      <c r="G140" s="159">
        <f t="shared" si="8"/>
        <v>284178.57142857596</v>
      </c>
      <c r="H140" s="163">
        <f t="shared" si="14"/>
        <v>223971.96626636168</v>
      </c>
      <c r="I140" s="253">
        <f t="shared" si="15"/>
        <v>223971.96626636168</v>
      </c>
      <c r="J140" s="158">
        <f t="shared" si="17"/>
        <v>0</v>
      </c>
      <c r="K140" s="158"/>
      <c r="L140" s="334"/>
      <c r="M140" s="158">
        <f t="shared" si="18"/>
        <v>0</v>
      </c>
      <c r="N140" s="334"/>
      <c r="O140" s="158">
        <f t="shared" si="19"/>
        <v>0</v>
      </c>
      <c r="P140" s="158">
        <f t="shared" si="20"/>
        <v>0</v>
      </c>
    </row>
    <row r="141" spans="2:16">
      <c r="B141" s="9" t="str">
        <f t="shared" si="16"/>
        <v/>
      </c>
      <c r="C141" s="153">
        <f>IF(D93="","-",+C140+1)</f>
        <v>2061</v>
      </c>
      <c r="D141" s="154">
        <f>IF(F140+SUM(E$99:E140)=D$92,F140,D$92-SUM(E$99:E140))</f>
        <v>189452.38095238549</v>
      </c>
      <c r="E141" s="160">
        <f>IF(+J96&lt;F140,J96,D141)</f>
        <v>189452.38095238095</v>
      </c>
      <c r="F141" s="159">
        <f t="shared" si="13"/>
        <v>4.5401975512504578E-9</v>
      </c>
      <c r="G141" s="159">
        <f t="shared" si="8"/>
        <v>94726.190476195014</v>
      </c>
      <c r="H141" s="163">
        <f t="shared" si="14"/>
        <v>200958.9093903749</v>
      </c>
      <c r="I141" s="253">
        <f t="shared" si="15"/>
        <v>200958.9093903749</v>
      </c>
      <c r="J141" s="158">
        <f t="shared" si="17"/>
        <v>0</v>
      </c>
      <c r="K141" s="158"/>
      <c r="L141" s="334"/>
      <c r="M141" s="158">
        <f t="shared" si="18"/>
        <v>0</v>
      </c>
      <c r="N141" s="334"/>
      <c r="O141" s="158">
        <f t="shared" si="19"/>
        <v>0</v>
      </c>
      <c r="P141" s="158">
        <f t="shared" si="20"/>
        <v>0</v>
      </c>
    </row>
    <row r="142" spans="2:16">
      <c r="B142" s="9" t="str">
        <f t="shared" si="16"/>
        <v/>
      </c>
      <c r="C142" s="153">
        <f>IF(D93="","-",+C141+1)</f>
        <v>2062</v>
      </c>
      <c r="D142" s="154">
        <f>IF(F141+SUM(E$99:E141)=D$92,F141,D$92-SUM(E$99:E141))</f>
        <v>4.5401975512504578E-9</v>
      </c>
      <c r="E142" s="160">
        <f>IF(+J96&lt;F141,J96,D142)</f>
        <v>4.5401975512504578E-9</v>
      </c>
      <c r="F142" s="159">
        <f t="shared" si="13"/>
        <v>0</v>
      </c>
      <c r="G142" s="159">
        <f t="shared" si="8"/>
        <v>2.2700987756252289E-9</v>
      </c>
      <c r="H142" s="163">
        <f t="shared" si="14"/>
        <v>4.8159497586122774E-9</v>
      </c>
      <c r="I142" s="253">
        <f t="shared" si="15"/>
        <v>4.8159497586122774E-9</v>
      </c>
      <c r="J142" s="158">
        <f t="shared" si="17"/>
        <v>0</v>
      </c>
      <c r="K142" s="158"/>
      <c r="L142" s="334"/>
      <c r="M142" s="158">
        <f t="shared" si="18"/>
        <v>0</v>
      </c>
      <c r="N142" s="334"/>
      <c r="O142" s="158">
        <f t="shared" si="19"/>
        <v>0</v>
      </c>
      <c r="P142" s="158">
        <f t="shared" si="20"/>
        <v>0</v>
      </c>
    </row>
    <row r="143" spans="2:16">
      <c r="B143" s="9" t="str">
        <f t="shared" si="16"/>
        <v/>
      </c>
      <c r="C143" s="153">
        <f>IF(D93="","-",+C142+1)</f>
        <v>2063</v>
      </c>
      <c r="D143" s="154">
        <f>IF(F142+SUM(E$99:E142)=D$92,F142,D$92-SUM(E$99:E142))</f>
        <v>0</v>
      </c>
      <c r="E143" s="160">
        <f>IF(+J96&lt;F142,J96,D143)</f>
        <v>0</v>
      </c>
      <c r="F143" s="159">
        <f t="shared" si="13"/>
        <v>0</v>
      </c>
      <c r="G143" s="159">
        <f t="shared" si="8"/>
        <v>0</v>
      </c>
      <c r="H143" s="163">
        <f t="shared" si="14"/>
        <v>0</v>
      </c>
      <c r="I143" s="253">
        <f t="shared" si="15"/>
        <v>0</v>
      </c>
      <c r="J143" s="158">
        <f t="shared" si="17"/>
        <v>0</v>
      </c>
      <c r="K143" s="158"/>
      <c r="L143" s="334"/>
      <c r="M143" s="158">
        <f t="shared" si="18"/>
        <v>0</v>
      </c>
      <c r="N143" s="334"/>
      <c r="O143" s="158">
        <f t="shared" si="19"/>
        <v>0</v>
      </c>
      <c r="P143" s="158">
        <f t="shared" si="20"/>
        <v>0</v>
      </c>
    </row>
    <row r="144" spans="2:16">
      <c r="B144" s="9" t="str">
        <f t="shared" si="16"/>
        <v/>
      </c>
      <c r="C144" s="153">
        <f>IF(D93="","-",+C143+1)</f>
        <v>2064</v>
      </c>
      <c r="D144" s="154">
        <f>IF(F143+SUM(E$99:E143)=D$92,F143,D$92-SUM(E$99:E143))</f>
        <v>0</v>
      </c>
      <c r="E144" s="160">
        <f>IF(+J96&lt;F143,J96,D144)</f>
        <v>0</v>
      </c>
      <c r="F144" s="159">
        <f t="shared" si="13"/>
        <v>0</v>
      </c>
      <c r="G144" s="159">
        <f t="shared" si="8"/>
        <v>0</v>
      </c>
      <c r="H144" s="163">
        <f t="shared" si="14"/>
        <v>0</v>
      </c>
      <c r="I144" s="253">
        <f t="shared" si="15"/>
        <v>0</v>
      </c>
      <c r="J144" s="158">
        <f t="shared" si="17"/>
        <v>0</v>
      </c>
      <c r="K144" s="158"/>
      <c r="L144" s="334"/>
      <c r="M144" s="158">
        <f t="shared" si="18"/>
        <v>0</v>
      </c>
      <c r="N144" s="334"/>
      <c r="O144" s="158">
        <f t="shared" si="19"/>
        <v>0</v>
      </c>
      <c r="P144" s="158">
        <f t="shared" si="20"/>
        <v>0</v>
      </c>
    </row>
    <row r="145" spans="2:16">
      <c r="B145" s="9" t="str">
        <f t="shared" si="16"/>
        <v/>
      </c>
      <c r="C145" s="153">
        <f>IF(D93="","-",+C144+1)</f>
        <v>2065</v>
      </c>
      <c r="D145" s="154">
        <f>IF(F144+SUM(E$99:E144)=D$92,F144,D$92-SUM(E$99:E144))</f>
        <v>0</v>
      </c>
      <c r="E145" s="160">
        <f>IF(+J96&lt;F144,J96,D145)</f>
        <v>0</v>
      </c>
      <c r="F145" s="159">
        <f t="shared" si="13"/>
        <v>0</v>
      </c>
      <c r="G145" s="159">
        <f t="shared" si="8"/>
        <v>0</v>
      </c>
      <c r="H145" s="163">
        <f t="shared" si="14"/>
        <v>0</v>
      </c>
      <c r="I145" s="253">
        <f t="shared" si="15"/>
        <v>0</v>
      </c>
      <c r="J145" s="158">
        <f t="shared" si="17"/>
        <v>0</v>
      </c>
      <c r="K145" s="158"/>
      <c r="L145" s="334"/>
      <c r="M145" s="158">
        <f t="shared" si="18"/>
        <v>0</v>
      </c>
      <c r="N145" s="334"/>
      <c r="O145" s="158">
        <f t="shared" si="19"/>
        <v>0</v>
      </c>
      <c r="P145" s="158">
        <f t="shared" si="20"/>
        <v>0</v>
      </c>
    </row>
    <row r="146" spans="2:16">
      <c r="B146" s="9" t="str">
        <f t="shared" si="16"/>
        <v/>
      </c>
      <c r="C146" s="153">
        <f>IF(D93="","-",+C145+1)</f>
        <v>2066</v>
      </c>
      <c r="D146" s="154">
        <f>IF(F145+SUM(E$99:E145)=D$92,F145,D$92-SUM(E$99:E145))</f>
        <v>0</v>
      </c>
      <c r="E146" s="160">
        <f>IF(+J96&lt;F145,J96,D146)</f>
        <v>0</v>
      </c>
      <c r="F146" s="159">
        <f t="shared" si="13"/>
        <v>0</v>
      </c>
      <c r="G146" s="159">
        <f t="shared" si="8"/>
        <v>0</v>
      </c>
      <c r="H146" s="163">
        <f t="shared" si="14"/>
        <v>0</v>
      </c>
      <c r="I146" s="253">
        <f t="shared" si="15"/>
        <v>0</v>
      </c>
      <c r="J146" s="158">
        <f t="shared" si="17"/>
        <v>0</v>
      </c>
      <c r="K146" s="158"/>
      <c r="L146" s="334"/>
      <c r="M146" s="158">
        <f t="shared" si="18"/>
        <v>0</v>
      </c>
      <c r="N146" s="334"/>
      <c r="O146" s="158">
        <f t="shared" si="19"/>
        <v>0</v>
      </c>
      <c r="P146" s="158">
        <f t="shared" si="20"/>
        <v>0</v>
      </c>
    </row>
    <row r="147" spans="2:16">
      <c r="B147" s="9" t="str">
        <f t="shared" si="16"/>
        <v/>
      </c>
      <c r="C147" s="153">
        <f>IF(D93="","-",+C146+1)</f>
        <v>2067</v>
      </c>
      <c r="D147" s="154">
        <f>IF(F146+SUM(E$99:E146)=D$92,F146,D$92-SUM(E$99:E146))</f>
        <v>0</v>
      </c>
      <c r="E147" s="160">
        <f>IF(+J96&lt;F146,J96,D147)</f>
        <v>0</v>
      </c>
      <c r="F147" s="159">
        <f t="shared" si="13"/>
        <v>0</v>
      </c>
      <c r="G147" s="159">
        <f t="shared" si="8"/>
        <v>0</v>
      </c>
      <c r="H147" s="163">
        <f t="shared" si="14"/>
        <v>0</v>
      </c>
      <c r="I147" s="253">
        <f t="shared" si="15"/>
        <v>0</v>
      </c>
      <c r="J147" s="158">
        <f t="shared" si="17"/>
        <v>0</v>
      </c>
      <c r="K147" s="158"/>
      <c r="L147" s="334"/>
      <c r="M147" s="158">
        <f t="shared" si="18"/>
        <v>0</v>
      </c>
      <c r="N147" s="334"/>
      <c r="O147" s="158">
        <f t="shared" si="19"/>
        <v>0</v>
      </c>
      <c r="P147" s="158">
        <f t="shared" si="20"/>
        <v>0</v>
      </c>
    </row>
    <row r="148" spans="2:16">
      <c r="B148" s="9" t="str">
        <f t="shared" si="16"/>
        <v/>
      </c>
      <c r="C148" s="153">
        <f>IF(D93="","-",+C147+1)</f>
        <v>2068</v>
      </c>
      <c r="D148" s="154">
        <f>IF(F147+SUM(E$99:E147)=D$92,F147,D$92-SUM(E$99:E147))</f>
        <v>0</v>
      </c>
      <c r="E148" s="160">
        <f>IF(+J96&lt;F147,J96,D148)</f>
        <v>0</v>
      </c>
      <c r="F148" s="159">
        <f t="shared" si="13"/>
        <v>0</v>
      </c>
      <c r="G148" s="159">
        <f t="shared" si="8"/>
        <v>0</v>
      </c>
      <c r="H148" s="163">
        <f t="shared" si="14"/>
        <v>0</v>
      </c>
      <c r="I148" s="253">
        <f t="shared" si="15"/>
        <v>0</v>
      </c>
      <c r="J148" s="158">
        <f t="shared" si="17"/>
        <v>0</v>
      </c>
      <c r="K148" s="158"/>
      <c r="L148" s="334"/>
      <c r="M148" s="158">
        <f t="shared" si="18"/>
        <v>0</v>
      </c>
      <c r="N148" s="334"/>
      <c r="O148" s="158">
        <f t="shared" si="19"/>
        <v>0</v>
      </c>
      <c r="P148" s="158">
        <f t="shared" si="20"/>
        <v>0</v>
      </c>
    </row>
    <row r="149" spans="2:16">
      <c r="B149" s="9" t="str">
        <f t="shared" si="16"/>
        <v/>
      </c>
      <c r="C149" s="153">
        <f>IF(D93="","-",+C148+1)</f>
        <v>2069</v>
      </c>
      <c r="D149" s="154">
        <f>IF(F148+SUM(E$99:E148)=D$92,F148,D$92-SUM(E$99:E148))</f>
        <v>0</v>
      </c>
      <c r="E149" s="160">
        <f>IF(+J96&lt;F148,J96,D149)</f>
        <v>0</v>
      </c>
      <c r="F149" s="159">
        <f t="shared" si="13"/>
        <v>0</v>
      </c>
      <c r="G149" s="159">
        <f t="shared" si="8"/>
        <v>0</v>
      </c>
      <c r="H149" s="163">
        <f t="shared" si="14"/>
        <v>0</v>
      </c>
      <c r="I149" s="253">
        <f t="shared" si="15"/>
        <v>0</v>
      </c>
      <c r="J149" s="158">
        <f t="shared" si="17"/>
        <v>0</v>
      </c>
      <c r="K149" s="158"/>
      <c r="L149" s="334"/>
      <c r="M149" s="158">
        <f t="shared" si="18"/>
        <v>0</v>
      </c>
      <c r="N149" s="334"/>
      <c r="O149" s="158">
        <f t="shared" si="19"/>
        <v>0</v>
      </c>
      <c r="P149" s="158">
        <f t="shared" si="20"/>
        <v>0</v>
      </c>
    </row>
    <row r="150" spans="2:16">
      <c r="B150" s="9" t="str">
        <f t="shared" si="16"/>
        <v/>
      </c>
      <c r="C150" s="153">
        <f>IF(D93="","-",+C149+1)</f>
        <v>2070</v>
      </c>
      <c r="D150" s="154">
        <f>IF(F149+SUM(E$99:E149)=D$92,F149,D$92-SUM(E$99:E149))</f>
        <v>0</v>
      </c>
      <c r="E150" s="160">
        <f>IF(+J96&lt;F149,J96,D150)</f>
        <v>0</v>
      </c>
      <c r="F150" s="159">
        <f t="shared" si="13"/>
        <v>0</v>
      </c>
      <c r="G150" s="159">
        <f t="shared" si="8"/>
        <v>0</v>
      </c>
      <c r="H150" s="163">
        <f t="shared" si="14"/>
        <v>0</v>
      </c>
      <c r="I150" s="253">
        <f t="shared" si="15"/>
        <v>0</v>
      </c>
      <c r="J150" s="158">
        <f t="shared" si="17"/>
        <v>0</v>
      </c>
      <c r="K150" s="158"/>
      <c r="L150" s="334"/>
      <c r="M150" s="158">
        <f t="shared" si="18"/>
        <v>0</v>
      </c>
      <c r="N150" s="334"/>
      <c r="O150" s="158">
        <f t="shared" si="19"/>
        <v>0</v>
      </c>
      <c r="P150" s="158">
        <f t="shared" si="20"/>
        <v>0</v>
      </c>
    </row>
    <row r="151" spans="2:16">
      <c r="B151" s="9" t="str">
        <f t="shared" si="16"/>
        <v/>
      </c>
      <c r="C151" s="153">
        <f>IF(D93="","-",+C150+1)</f>
        <v>2071</v>
      </c>
      <c r="D151" s="154">
        <f>IF(F150+SUM(E$99:E150)=D$92,F150,D$92-SUM(E$99:E150))</f>
        <v>0</v>
      </c>
      <c r="E151" s="160">
        <f>IF(+J96&lt;F150,J96,D151)</f>
        <v>0</v>
      </c>
      <c r="F151" s="159">
        <f t="shared" si="13"/>
        <v>0</v>
      </c>
      <c r="G151" s="159">
        <f t="shared" si="8"/>
        <v>0</v>
      </c>
      <c r="H151" s="163">
        <f t="shared" si="14"/>
        <v>0</v>
      </c>
      <c r="I151" s="253">
        <f t="shared" si="15"/>
        <v>0</v>
      </c>
      <c r="J151" s="158">
        <f t="shared" si="17"/>
        <v>0</v>
      </c>
      <c r="K151" s="158"/>
      <c r="L151" s="334"/>
      <c r="M151" s="158">
        <f t="shared" si="18"/>
        <v>0</v>
      </c>
      <c r="N151" s="334"/>
      <c r="O151" s="158">
        <f t="shared" si="19"/>
        <v>0</v>
      </c>
      <c r="P151" s="158">
        <f t="shared" si="20"/>
        <v>0</v>
      </c>
    </row>
    <row r="152" spans="2:16">
      <c r="B152" s="9" t="str">
        <f t="shared" si="16"/>
        <v/>
      </c>
      <c r="C152" s="153">
        <f>IF(D93="","-",+C151+1)</f>
        <v>2072</v>
      </c>
      <c r="D152" s="154">
        <f>IF(F151+SUM(E$99:E151)=D$92,F151,D$92-SUM(E$99:E151))</f>
        <v>0</v>
      </c>
      <c r="E152" s="160">
        <f>IF(+J96&lt;F151,J96,D152)</f>
        <v>0</v>
      </c>
      <c r="F152" s="159">
        <f t="shared" si="13"/>
        <v>0</v>
      </c>
      <c r="G152" s="159">
        <f t="shared" si="8"/>
        <v>0</v>
      </c>
      <c r="H152" s="163">
        <f t="shared" si="14"/>
        <v>0</v>
      </c>
      <c r="I152" s="253">
        <f t="shared" si="15"/>
        <v>0</v>
      </c>
      <c r="J152" s="158">
        <f t="shared" si="17"/>
        <v>0</v>
      </c>
      <c r="K152" s="158"/>
      <c r="L152" s="334"/>
      <c r="M152" s="158">
        <f t="shared" si="18"/>
        <v>0</v>
      </c>
      <c r="N152" s="334"/>
      <c r="O152" s="158">
        <f t="shared" si="19"/>
        <v>0</v>
      </c>
      <c r="P152" s="158">
        <f t="shared" si="20"/>
        <v>0</v>
      </c>
    </row>
    <row r="153" spans="2:16">
      <c r="B153" s="9" t="str">
        <f t="shared" si="16"/>
        <v/>
      </c>
      <c r="C153" s="153">
        <f>IF(D93="","-",+C152+1)</f>
        <v>2073</v>
      </c>
      <c r="D153" s="154">
        <f>IF(F152+SUM(E$99:E152)=D$92,F152,D$92-SUM(E$99:E152))</f>
        <v>0</v>
      </c>
      <c r="E153" s="160">
        <f>IF(+J96&lt;F152,J96,D153)</f>
        <v>0</v>
      </c>
      <c r="F153" s="159">
        <f t="shared" si="13"/>
        <v>0</v>
      </c>
      <c r="G153" s="159">
        <f t="shared" si="8"/>
        <v>0</v>
      </c>
      <c r="H153" s="163">
        <f t="shared" si="14"/>
        <v>0</v>
      </c>
      <c r="I153" s="253">
        <f t="shared" si="15"/>
        <v>0</v>
      </c>
      <c r="J153" s="158">
        <f t="shared" si="17"/>
        <v>0</v>
      </c>
      <c r="K153" s="158"/>
      <c r="L153" s="334"/>
      <c r="M153" s="158">
        <f t="shared" si="18"/>
        <v>0</v>
      </c>
      <c r="N153" s="334"/>
      <c r="O153" s="158">
        <f t="shared" si="19"/>
        <v>0</v>
      </c>
      <c r="P153" s="158">
        <f t="shared" si="20"/>
        <v>0</v>
      </c>
    </row>
    <row r="154" spans="2:16" ht="13.5" thickBot="1">
      <c r="B154" s="9" t="str">
        <f t="shared" si="16"/>
        <v/>
      </c>
      <c r="C154" s="164">
        <f>IF(D93="","-",+C153+1)</f>
        <v>2074</v>
      </c>
      <c r="D154" s="215">
        <f>IF(F153+SUM(E$99:E153)=D$92,F153,D$92-SUM(E$99:E153))</f>
        <v>0</v>
      </c>
      <c r="E154" s="166">
        <f>IF(+J96&lt;F153,J96,D154)</f>
        <v>0</v>
      </c>
      <c r="F154" s="165">
        <f t="shared" si="13"/>
        <v>0</v>
      </c>
      <c r="G154" s="165">
        <f t="shared" si="8"/>
        <v>0</v>
      </c>
      <c r="H154" s="167">
        <f t="shared" si="14"/>
        <v>0</v>
      </c>
      <c r="I154" s="254">
        <f t="shared" si="15"/>
        <v>0</v>
      </c>
      <c r="J154" s="169">
        <f t="shared" si="17"/>
        <v>0</v>
      </c>
      <c r="K154" s="158"/>
      <c r="L154" s="335"/>
      <c r="M154" s="169">
        <f t="shared" si="18"/>
        <v>0</v>
      </c>
      <c r="N154" s="335"/>
      <c r="O154" s="169">
        <f t="shared" si="19"/>
        <v>0</v>
      </c>
      <c r="P154" s="169">
        <f t="shared" si="20"/>
        <v>0</v>
      </c>
    </row>
    <row r="155" spans="2:16">
      <c r="C155" s="154" t="s">
        <v>73</v>
      </c>
      <c r="D155" s="111"/>
      <c r="E155" s="111">
        <f>SUM(E99:E154)</f>
        <v>7956999.9999999991</v>
      </c>
      <c r="F155" s="111"/>
      <c r="G155" s="111"/>
      <c r="H155" s="111">
        <f>SUM(H99:H154)</f>
        <v>28737790.359016083</v>
      </c>
      <c r="I155" s="111">
        <f>SUM(I99:I154)</f>
        <v>28737790.359016083</v>
      </c>
      <c r="J155" s="111">
        <f>SUM(J99:J154)</f>
        <v>0</v>
      </c>
      <c r="K155" s="111"/>
      <c r="L155" s="111"/>
      <c r="M155" s="111"/>
      <c r="N155" s="111"/>
      <c r="O155" s="111"/>
      <c r="P155" s="1"/>
    </row>
    <row r="156" spans="2:16">
      <c r="C156" t="s">
        <v>87</v>
      </c>
      <c r="D156" s="2"/>
      <c r="E156" s="1"/>
      <c r="F156" s="1"/>
      <c r="G156" s="1"/>
      <c r="H156" s="1"/>
      <c r="I156" s="3"/>
      <c r="J156" s="3"/>
      <c r="K156" s="111"/>
      <c r="L156" s="3"/>
      <c r="M156" s="3"/>
      <c r="N156" s="3"/>
      <c r="O156" s="3"/>
      <c r="P156" s="1"/>
    </row>
    <row r="157" spans="2:16">
      <c r="C157" s="216"/>
      <c r="D157" s="2"/>
      <c r="E157" s="1"/>
      <c r="F157" s="1"/>
      <c r="G157" s="1"/>
      <c r="H157" s="1"/>
      <c r="I157" s="3"/>
      <c r="J157" s="3"/>
      <c r="K157" s="111"/>
      <c r="L157" s="3"/>
      <c r="M157" s="3"/>
      <c r="N157" s="3"/>
      <c r="O157" s="3"/>
      <c r="P157" s="1"/>
    </row>
    <row r="158" spans="2:16">
      <c r="C158" s="248" t="s">
        <v>127</v>
      </c>
      <c r="D158" s="2"/>
      <c r="E158" s="1"/>
      <c r="F158" s="1"/>
      <c r="G158" s="1"/>
      <c r="H158" s="1"/>
      <c r="I158" s="3"/>
      <c r="J158" s="3"/>
      <c r="K158" s="111"/>
      <c r="L158" s="3"/>
      <c r="M158" s="3"/>
      <c r="N158" s="3"/>
      <c r="O158" s="3"/>
      <c r="P158" s="1"/>
    </row>
    <row r="159" spans="2:16">
      <c r="C159" s="121" t="s">
        <v>74</v>
      </c>
      <c r="D159" s="154"/>
      <c r="E159" s="154"/>
      <c r="F159" s="154"/>
      <c r="G159" s="154"/>
      <c r="H159" s="111"/>
      <c r="I159" s="111"/>
      <c r="J159" s="171"/>
      <c r="K159" s="171"/>
      <c r="L159" s="171"/>
      <c r="M159" s="171"/>
      <c r="N159" s="171"/>
      <c r="O159" s="171"/>
      <c r="P159" s="1"/>
    </row>
    <row r="160" spans="2:16">
      <c r="C160" s="217" t="s">
        <v>75</v>
      </c>
      <c r="D160" s="154"/>
      <c r="E160" s="154"/>
      <c r="F160" s="154"/>
      <c r="G160" s="154"/>
      <c r="H160" s="111"/>
      <c r="I160" s="111"/>
      <c r="J160" s="171"/>
      <c r="K160" s="171"/>
      <c r="L160" s="171"/>
      <c r="M160" s="171"/>
      <c r="N160" s="171"/>
      <c r="O160" s="171"/>
      <c r="P160" s="1"/>
    </row>
    <row r="161" spans="3:16">
      <c r="C161" s="217"/>
      <c r="D161" s="154"/>
      <c r="E161" s="154"/>
      <c r="F161" s="154"/>
      <c r="G161" s="154"/>
      <c r="H161" s="111"/>
      <c r="I161" s="111"/>
      <c r="J161" s="171"/>
      <c r="K161" s="171"/>
      <c r="L161" s="171"/>
      <c r="M161" s="171"/>
      <c r="N161" s="171"/>
      <c r="O161" s="171"/>
      <c r="P161" s="1"/>
    </row>
    <row r="162" spans="3:16" ht="18">
      <c r="C162" s="217"/>
      <c r="D162" s="154"/>
      <c r="E162" s="154"/>
      <c r="F162" s="154"/>
      <c r="G162" s="154"/>
      <c r="H162" s="111"/>
      <c r="I162" s="111"/>
      <c r="J162" s="171"/>
      <c r="K162" s="171"/>
      <c r="L162" s="171"/>
      <c r="M162" s="171"/>
      <c r="N162" s="171"/>
      <c r="P162" s="245" t="s">
        <v>126</v>
      </c>
    </row>
  </sheetData>
  <conditionalFormatting sqref="C18:C72">
    <cfRule type="cellIs" dxfId="7" priority="2" stopIfTrue="1" operator="equal">
      <formula>$I$10</formula>
    </cfRule>
  </conditionalFormatting>
  <conditionalFormatting sqref="C99:C154">
    <cfRule type="cellIs" dxfId="6" priority="3" stopIfTrue="1" operator="equal">
      <formula>$J$92</formula>
    </cfRule>
  </conditionalFormatting>
  <conditionalFormatting sqref="C17">
    <cfRule type="cellIs" dxfId="5" priority="1" stopIfTrue="1" operator="equal">
      <formula>$I$10</formula>
    </cfRule>
  </conditionalFormatting>
  <pageMargins left="0.5" right="0.25" top="1" bottom="0.25" header="0.25" footer="0.5"/>
  <pageSetup scale="47" orientation="landscape" r:id="rId1"/>
  <headerFooter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6383" man="1"/>
  </rowBreaks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62"/>
  <sheetViews>
    <sheetView topLeftCell="A70" zoomScale="70" zoomScaleNormal="70" workbookViewId="0">
      <selection activeCell="C19" sqref="C19"/>
    </sheetView>
  </sheetViews>
  <sheetFormatPr defaultRowHeight="12.75" customHeight="1"/>
  <cols>
    <col min="1" max="1" width="4.7109375" customWidth="1"/>
    <col min="2" max="2" width="6.7109375" customWidth="1"/>
    <col min="3" max="3" width="23.28515625" customWidth="1"/>
    <col min="4" max="8" width="17.7109375" customWidth="1"/>
    <col min="9" max="9" width="20.42578125" customWidth="1"/>
    <col min="10" max="10" width="16.42578125" customWidth="1"/>
    <col min="11" max="11" width="17.7109375" customWidth="1"/>
    <col min="12" max="12" width="16.140625" customWidth="1"/>
    <col min="13" max="13" width="17.7109375" customWidth="1"/>
    <col min="14" max="14" width="16.7109375" customWidth="1"/>
    <col min="15" max="15" width="16.85546875" customWidth="1"/>
    <col min="16" max="16" width="24.42578125" customWidth="1"/>
    <col min="17" max="17" width="9.140625" customWidth="1"/>
    <col min="23" max="23" width="9.140625" customWidth="1"/>
  </cols>
  <sheetData>
    <row r="1" spans="1:16" ht="20.25">
      <c r="A1" s="243" t="s">
        <v>128</v>
      </c>
      <c r="B1" s="1"/>
      <c r="C1" s="21"/>
      <c r="D1" s="2"/>
      <c r="E1" s="1"/>
      <c r="F1" s="99"/>
      <c r="G1" s="1"/>
      <c r="H1" s="3"/>
      <c r="J1" s="7"/>
      <c r="K1" s="109"/>
      <c r="L1" s="109"/>
      <c r="M1" s="109"/>
      <c r="P1" s="249" t="str">
        <f ca="1">"SWEPCO Project "&amp;RIGHT(MID(CELL("filename",$A$1),FIND("]",CELL("filename",$A$1))+1,256),2)&amp;" of "&amp;COUNT('S.001:S.xyz - blank'!$P$3)-1</f>
        <v>SWEPCO Project 73 of 73</v>
      </c>
    </row>
    <row r="2" spans="1:16" ht="18">
      <c r="B2" s="1"/>
      <c r="C2" s="1"/>
      <c r="D2" s="2"/>
      <c r="E2" s="1"/>
      <c r="F2" s="1"/>
      <c r="G2" s="1"/>
      <c r="H2" s="3"/>
      <c r="I2" s="1"/>
      <c r="J2" s="4"/>
      <c r="K2" s="1"/>
      <c r="L2" s="1"/>
      <c r="M2" s="1"/>
      <c r="N2" s="1"/>
      <c r="P2" s="244" t="s">
        <v>124</v>
      </c>
    </row>
    <row r="3" spans="1:16" ht="18.75">
      <c r="B3" s="5" t="s">
        <v>40</v>
      </c>
      <c r="C3" s="68" t="s">
        <v>41</v>
      </c>
      <c r="D3" s="2"/>
      <c r="E3" s="1"/>
      <c r="F3" s="1"/>
      <c r="G3" s="1"/>
      <c r="H3" s="3"/>
      <c r="I3" s="3"/>
      <c r="J3" s="111"/>
      <c r="K3" s="3"/>
      <c r="L3" s="3"/>
      <c r="M3" s="3"/>
      <c r="N3" s="3"/>
      <c r="O3" s="1"/>
      <c r="P3" s="240">
        <v>1</v>
      </c>
    </row>
    <row r="4" spans="1:16" ht="15.75" thickBot="1">
      <c r="C4" s="67"/>
      <c r="D4" s="2"/>
      <c r="E4" s="1"/>
      <c r="F4" s="1"/>
      <c r="G4" s="1"/>
      <c r="H4" s="3"/>
      <c r="I4" s="3"/>
      <c r="J4" s="111"/>
      <c r="K4" s="3"/>
      <c r="L4" s="3"/>
      <c r="M4" s="3"/>
      <c r="N4" s="3"/>
      <c r="O4" s="1"/>
      <c r="P4" s="1"/>
    </row>
    <row r="5" spans="1:16" ht="15">
      <c r="C5" s="112" t="s">
        <v>42</v>
      </c>
      <c r="D5" s="2"/>
      <c r="E5" s="1"/>
      <c r="F5" s="1"/>
      <c r="G5" s="113"/>
      <c r="H5" s="1" t="s">
        <v>43</v>
      </c>
      <c r="I5" s="1"/>
      <c r="J5" s="4"/>
      <c r="K5" s="268" t="s">
        <v>152</v>
      </c>
      <c r="L5" s="114"/>
      <c r="M5" s="115"/>
      <c r="N5" s="116">
        <f>VLOOKUP(I10,C17:I72,5)</f>
        <v>192042.98677355595</v>
      </c>
      <c r="P5" s="1"/>
    </row>
    <row r="6" spans="1:16" ht="15.75">
      <c r="C6" s="8"/>
      <c r="D6" s="2"/>
      <c r="E6" s="1"/>
      <c r="F6" s="1"/>
      <c r="G6" s="1"/>
      <c r="H6" s="117"/>
      <c r="I6" s="117"/>
      <c r="J6" s="118"/>
      <c r="K6" s="269" t="s">
        <v>153</v>
      </c>
      <c r="L6" s="119"/>
      <c r="M6" s="4"/>
      <c r="N6" s="120">
        <f>VLOOKUP(I10,C17:I72,6)</f>
        <v>192042.98677355595</v>
      </c>
      <c r="O6" s="1"/>
      <c r="P6" s="1"/>
    </row>
    <row r="7" spans="1:16" ht="13.5" thickBot="1">
      <c r="C7" s="121" t="s">
        <v>44</v>
      </c>
      <c r="D7" s="223" t="s">
        <v>496</v>
      </c>
      <c r="E7" s="1"/>
      <c r="F7" s="1"/>
      <c r="G7" s="1"/>
      <c r="H7" s="3"/>
      <c r="I7" s="3"/>
      <c r="J7" s="111"/>
      <c r="K7" s="122" t="s">
        <v>45</v>
      </c>
      <c r="L7" s="123"/>
      <c r="M7" s="123"/>
      <c r="N7" s="124">
        <f>+N6-N5</f>
        <v>0</v>
      </c>
      <c r="O7" s="1"/>
      <c r="P7" s="1"/>
    </row>
    <row r="8" spans="1:16" ht="13.5" thickBot="1">
      <c r="C8" s="125"/>
      <c r="D8" s="352" t="str">
        <f>IF(D10&lt;100000,"DOES NOT MEET SPP $100,000 MINIMUM INVESTMENT FOR REGIONAL BPU SHARING.","")</f>
        <v/>
      </c>
      <c r="E8" s="126"/>
      <c r="F8" s="126"/>
      <c r="G8" s="126"/>
      <c r="H8" s="126"/>
      <c r="I8" s="126"/>
      <c r="J8" s="101"/>
      <c r="K8" s="126"/>
      <c r="L8" s="126"/>
      <c r="M8" s="126"/>
      <c r="N8" s="126"/>
      <c r="O8" s="101"/>
      <c r="P8" s="21"/>
    </row>
    <row r="9" spans="1:16" ht="13.5" thickBot="1">
      <c r="C9" s="127" t="s">
        <v>46</v>
      </c>
      <c r="D9" s="225" t="s">
        <v>252</v>
      </c>
      <c r="E9" s="401" t="s">
        <v>497</v>
      </c>
      <c r="F9" s="128"/>
      <c r="G9" s="128"/>
      <c r="H9" s="128"/>
      <c r="I9" s="129"/>
      <c r="J9" s="130"/>
      <c r="O9" s="131"/>
      <c r="P9" s="4"/>
    </row>
    <row r="10" spans="1:16">
      <c r="C10" s="132" t="s">
        <v>47</v>
      </c>
      <c r="D10" s="133">
        <v>3858000</v>
      </c>
      <c r="E10" s="61" t="s">
        <v>459</v>
      </c>
      <c r="F10" s="131"/>
      <c r="G10" s="134"/>
      <c r="H10" s="134"/>
      <c r="I10" s="135">
        <f>+SWE.WS.F.BPU.ATRR.Projected!K17</f>
        <v>2019</v>
      </c>
      <c r="J10" s="130"/>
      <c r="K10" s="111" t="s">
        <v>48</v>
      </c>
      <c r="O10" s="4"/>
      <c r="P10" s="4"/>
    </row>
    <row r="11" spans="1:16">
      <c r="C11" s="136" t="s">
        <v>49</v>
      </c>
      <c r="D11" s="137">
        <v>2019</v>
      </c>
      <c r="E11" s="136" t="s">
        <v>50</v>
      </c>
      <c r="F11" s="134"/>
      <c r="G11" s="7"/>
      <c r="H11" s="7"/>
      <c r="I11" s="138">
        <f>IF(G5="",0,SWE.WS.F.BPU.ATRR.Projected!F$11)</f>
        <v>0</v>
      </c>
      <c r="J11" s="139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4"/>
      <c r="P11" s="4"/>
    </row>
    <row r="12" spans="1:16">
      <c r="C12" s="136" t="s">
        <v>51</v>
      </c>
      <c r="D12" s="133">
        <v>6</v>
      </c>
      <c r="E12" s="136" t="s">
        <v>52</v>
      </c>
      <c r="F12" s="134"/>
      <c r="G12" s="7"/>
      <c r="H12" s="7"/>
      <c r="I12" s="140">
        <f>SWE.WS.F.BPU.ATRR.Projected!$F$76</f>
        <v>9.9555672459071778E-2</v>
      </c>
      <c r="J12" s="141"/>
      <c r="K12" t="s">
        <v>53</v>
      </c>
      <c r="O12" s="4"/>
      <c r="P12" s="4"/>
    </row>
    <row r="13" spans="1:16">
      <c r="C13" s="136" t="s">
        <v>54</v>
      </c>
      <c r="D13" s="138">
        <f>+SWE.WS.F.BPU.ATRR.Projected!F$87</f>
        <v>43</v>
      </c>
      <c r="E13" s="136" t="s">
        <v>55</v>
      </c>
      <c r="F13" s="134"/>
      <c r="G13" s="7"/>
      <c r="H13" s="7"/>
      <c r="I13" s="140">
        <f>IF(G5="",I12,SWE.WS.F.BPU.ATRR.Projected!$F$75)</f>
        <v>9.9555672459071778E-2</v>
      </c>
      <c r="J13" s="141"/>
      <c r="K13" s="111" t="s">
        <v>56</v>
      </c>
      <c r="L13" s="58"/>
      <c r="M13" s="58"/>
      <c r="N13" s="58"/>
      <c r="O13" s="4"/>
      <c r="P13" s="4"/>
    </row>
    <row r="14" spans="1:16" ht="13.5" thickBot="1">
      <c r="C14" s="136" t="s">
        <v>57</v>
      </c>
      <c r="D14" s="137" t="s">
        <v>58</v>
      </c>
      <c r="E14" s="4" t="s">
        <v>59</v>
      </c>
      <c r="F14" s="134"/>
      <c r="G14" s="7"/>
      <c r="H14" s="7"/>
      <c r="I14" s="142">
        <f>IF(D10=0,0,D10/D13)</f>
        <v>89720.930232558138</v>
      </c>
      <c r="J14" s="111"/>
      <c r="K14" s="111"/>
      <c r="L14" s="111"/>
      <c r="M14" s="111"/>
      <c r="N14" s="111"/>
      <c r="O14" s="4"/>
      <c r="P14" s="4"/>
    </row>
    <row r="15" spans="1:16" ht="38.25">
      <c r="C15" s="143" t="s">
        <v>47</v>
      </c>
      <c r="D15" s="144" t="s">
        <v>60</v>
      </c>
      <c r="E15" s="144" t="s">
        <v>61</v>
      </c>
      <c r="F15" s="144" t="s">
        <v>62</v>
      </c>
      <c r="G15" s="434" t="s">
        <v>378</v>
      </c>
      <c r="H15" s="435" t="s">
        <v>379</v>
      </c>
      <c r="I15" s="143" t="s">
        <v>63</v>
      </c>
      <c r="J15" s="145"/>
      <c r="K15" s="271" t="s">
        <v>219</v>
      </c>
      <c r="L15" s="146" t="s">
        <v>64</v>
      </c>
      <c r="M15" s="271" t="s">
        <v>219</v>
      </c>
      <c r="N15" s="146" t="s">
        <v>64</v>
      </c>
      <c r="O15" s="146" t="s">
        <v>65</v>
      </c>
      <c r="P15" s="4"/>
    </row>
    <row r="16" spans="1:16" ht="13.5" thickBot="1">
      <c r="C16" s="147" t="s">
        <v>66</v>
      </c>
      <c r="D16" s="147" t="s">
        <v>67</v>
      </c>
      <c r="E16" s="147" t="s">
        <v>68</v>
      </c>
      <c r="F16" s="147" t="s">
        <v>67</v>
      </c>
      <c r="G16" s="408" t="s">
        <v>69</v>
      </c>
      <c r="H16" s="148" t="s">
        <v>70</v>
      </c>
      <c r="I16" s="149" t="s">
        <v>89</v>
      </c>
      <c r="J16" s="150" t="s">
        <v>71</v>
      </c>
      <c r="K16" s="151" t="s">
        <v>72</v>
      </c>
      <c r="L16" s="151" t="s">
        <v>72</v>
      </c>
      <c r="M16" s="151" t="s">
        <v>90</v>
      </c>
      <c r="N16" s="152" t="s">
        <v>90</v>
      </c>
      <c r="O16" s="151" t="s">
        <v>90</v>
      </c>
      <c r="P16" s="4"/>
    </row>
    <row r="17" spans="2:16">
      <c r="C17" s="153">
        <f>IF(D11= "","-",D11)</f>
        <v>2019</v>
      </c>
      <c r="D17" s="154">
        <f>IF(D11=C17,0,D10)</f>
        <v>0</v>
      </c>
      <c r="E17" s="160">
        <f>IF(+I13&lt;F16,I13,D17)</f>
        <v>9.9555672459071778E-2</v>
      </c>
      <c r="F17" s="159">
        <f>IF(D11=C17,+D10-E17,+D17-E17)</f>
        <v>3857999.9004443274</v>
      </c>
      <c r="G17" s="161">
        <f t="shared" ref="G17:G72" si="0">+I$12*((D17+F17)/2)+E17</f>
        <v>192042.98677355595</v>
      </c>
      <c r="H17" s="142">
        <f t="shared" ref="H17:H72" si="1">+I$13*((D17+F17)/2)+E17</f>
        <v>192042.98677355595</v>
      </c>
      <c r="I17" s="156">
        <f t="shared" ref="I17:I72" si="2">H17-G17</f>
        <v>0</v>
      </c>
      <c r="J17" s="156"/>
      <c r="K17" s="334"/>
      <c r="L17" s="157">
        <f t="shared" ref="L17:L72" si="3">IF(K17&lt;&gt;0,+G17-K17,0)</f>
        <v>0</v>
      </c>
      <c r="M17" s="334"/>
      <c r="N17" s="157">
        <f t="shared" ref="N17:N72" si="4">IF(M17&lt;&gt;0,+H17-M17,0)</f>
        <v>0</v>
      </c>
      <c r="O17" s="158">
        <f t="shared" ref="O17:O72" si="5">+N17-L17</f>
        <v>0</v>
      </c>
      <c r="P17" s="4"/>
    </row>
    <row r="18" spans="2:16">
      <c r="B18" s="9" t="str">
        <f>IF(D18=F17,"","IU")</f>
        <v/>
      </c>
      <c r="C18" s="153">
        <f>IF(D11="","-",+C17+1)</f>
        <v>2020</v>
      </c>
      <c r="D18" s="159">
        <f>IF(F17+SUM(E$17:E17)=D$10,F17,D$10-SUM(E$17:E17))</f>
        <v>3857999.9004443274</v>
      </c>
      <c r="E18" s="160">
        <f>IF(+I14&lt;F17,I14,D18)</f>
        <v>89720.930232558138</v>
      </c>
      <c r="F18" s="159">
        <f t="shared" ref="F18:F72" si="6">+D18-E18</f>
        <v>3768278.9702117695</v>
      </c>
      <c r="G18" s="161">
        <f t="shared" si="0"/>
        <v>469340.59089684731</v>
      </c>
      <c r="H18" s="142">
        <f t="shared" si="1"/>
        <v>469340.59089684731</v>
      </c>
      <c r="I18" s="156">
        <f t="shared" si="2"/>
        <v>0</v>
      </c>
      <c r="J18" s="156"/>
      <c r="K18" s="334"/>
      <c r="L18" s="158">
        <f t="shared" si="3"/>
        <v>0</v>
      </c>
      <c r="M18" s="334"/>
      <c r="N18" s="158">
        <f t="shared" si="4"/>
        <v>0</v>
      </c>
      <c r="O18" s="158">
        <f t="shared" si="5"/>
        <v>0</v>
      </c>
      <c r="P18" s="4"/>
    </row>
    <row r="19" spans="2:16">
      <c r="B19" s="9" t="str">
        <f>IF(D19=F18,"","IU")</f>
        <v/>
      </c>
      <c r="C19" s="153">
        <f>IF(D11="","-",+C18+1)</f>
        <v>2021</v>
      </c>
      <c r="D19" s="159">
        <f>IF(F18+SUM(E$17:E18)=D$10,F18,D$10-SUM(E$17:E18))</f>
        <v>3768278.9702117695</v>
      </c>
      <c r="E19" s="160">
        <f>IF(+I14&lt;F18,I14,D19)</f>
        <v>89720.930232558138</v>
      </c>
      <c r="F19" s="159">
        <f t="shared" si="6"/>
        <v>3678558.0399792115</v>
      </c>
      <c r="G19" s="161">
        <f t="shared" si="0"/>
        <v>460408.36335389141</v>
      </c>
      <c r="H19" s="142">
        <f t="shared" si="1"/>
        <v>460408.36335389141</v>
      </c>
      <c r="I19" s="156">
        <f t="shared" si="2"/>
        <v>0</v>
      </c>
      <c r="J19" s="156"/>
      <c r="K19" s="334"/>
      <c r="L19" s="158">
        <f t="shared" si="3"/>
        <v>0</v>
      </c>
      <c r="M19" s="334"/>
      <c r="N19" s="158">
        <f t="shared" si="4"/>
        <v>0</v>
      </c>
      <c r="O19" s="158">
        <f t="shared" si="5"/>
        <v>0</v>
      </c>
      <c r="P19" s="4"/>
    </row>
    <row r="20" spans="2:16">
      <c r="B20" s="9" t="str">
        <f t="shared" ref="B20:B72" si="7">IF(D20=F19,"","IU")</f>
        <v/>
      </c>
      <c r="C20" s="153">
        <f>IF(D11="","-",+C19+1)</f>
        <v>2022</v>
      </c>
      <c r="D20" s="159">
        <f>IF(F19+SUM(E$17:E19)=D$10,F19,D$10-SUM(E$17:E19))</f>
        <v>3678558.0399792115</v>
      </c>
      <c r="E20" s="160">
        <f>IF(+I14&lt;F19,I14,D20)</f>
        <v>89720.930232558138</v>
      </c>
      <c r="F20" s="159">
        <f t="shared" si="6"/>
        <v>3588837.1097466536</v>
      </c>
      <c r="G20" s="161">
        <f t="shared" si="0"/>
        <v>451476.13581093575</v>
      </c>
      <c r="H20" s="142">
        <f t="shared" si="1"/>
        <v>451476.13581093575</v>
      </c>
      <c r="I20" s="156">
        <f t="shared" si="2"/>
        <v>0</v>
      </c>
      <c r="J20" s="156"/>
      <c r="K20" s="334"/>
      <c r="L20" s="158">
        <f t="shared" si="3"/>
        <v>0</v>
      </c>
      <c r="M20" s="334"/>
      <c r="N20" s="158">
        <f t="shared" si="4"/>
        <v>0</v>
      </c>
      <c r="O20" s="158">
        <f t="shared" si="5"/>
        <v>0</v>
      </c>
      <c r="P20" s="4"/>
    </row>
    <row r="21" spans="2:16">
      <c r="B21" s="9" t="str">
        <f t="shared" si="7"/>
        <v/>
      </c>
      <c r="C21" s="153">
        <f>IF(D11="","-",+C20+1)</f>
        <v>2023</v>
      </c>
      <c r="D21" s="159">
        <f>IF(F20+SUM(E$17:E20)=D$10,F20,D$10-SUM(E$17:E20))</f>
        <v>3588837.1097466536</v>
      </c>
      <c r="E21" s="160">
        <f>IF(+I14&lt;F20,I14,D21)</f>
        <v>89720.930232558138</v>
      </c>
      <c r="F21" s="159">
        <f t="shared" si="6"/>
        <v>3499116.1795140957</v>
      </c>
      <c r="G21" s="161">
        <f t="shared" si="0"/>
        <v>442543.90826797986</v>
      </c>
      <c r="H21" s="142">
        <f t="shared" si="1"/>
        <v>442543.90826797986</v>
      </c>
      <c r="I21" s="156">
        <f t="shared" si="2"/>
        <v>0</v>
      </c>
      <c r="J21" s="156"/>
      <c r="K21" s="334"/>
      <c r="L21" s="158">
        <f t="shared" si="3"/>
        <v>0</v>
      </c>
      <c r="M21" s="334"/>
      <c r="N21" s="158">
        <f t="shared" si="4"/>
        <v>0</v>
      </c>
      <c r="O21" s="158">
        <f t="shared" si="5"/>
        <v>0</v>
      </c>
      <c r="P21" s="4"/>
    </row>
    <row r="22" spans="2:16">
      <c r="B22" s="9" t="str">
        <f t="shared" si="7"/>
        <v/>
      </c>
      <c r="C22" s="153">
        <f>IF(D11="","-",+C21+1)</f>
        <v>2024</v>
      </c>
      <c r="D22" s="159">
        <f>IF(F21+SUM(E$17:E21)=D$10,F21,D$10-SUM(E$17:E21))</f>
        <v>3499116.1795140957</v>
      </c>
      <c r="E22" s="160">
        <f>IF(+I14&lt;F21,I14,D22)</f>
        <v>89720.930232558138</v>
      </c>
      <c r="F22" s="159">
        <f t="shared" si="6"/>
        <v>3409395.2492815377</v>
      </c>
      <c r="G22" s="161">
        <f t="shared" si="0"/>
        <v>433611.6807250242</v>
      </c>
      <c r="H22" s="142">
        <f t="shared" si="1"/>
        <v>433611.6807250242</v>
      </c>
      <c r="I22" s="156">
        <f t="shared" si="2"/>
        <v>0</v>
      </c>
      <c r="J22" s="156"/>
      <c r="K22" s="334"/>
      <c r="L22" s="158">
        <f t="shared" si="3"/>
        <v>0</v>
      </c>
      <c r="M22" s="334"/>
      <c r="N22" s="158">
        <f t="shared" si="4"/>
        <v>0</v>
      </c>
      <c r="O22" s="158">
        <f t="shared" si="5"/>
        <v>0</v>
      </c>
      <c r="P22" s="4"/>
    </row>
    <row r="23" spans="2:16">
      <c r="B23" s="9" t="str">
        <f t="shared" si="7"/>
        <v/>
      </c>
      <c r="C23" s="153">
        <f>IF(D11="","-",+C22+1)</f>
        <v>2025</v>
      </c>
      <c r="D23" s="159">
        <f>IF(F22+SUM(E$17:E22)=D$10,F22,D$10-SUM(E$17:E22))</f>
        <v>3409395.2492815377</v>
      </c>
      <c r="E23" s="160">
        <f>IF(+I14&lt;F22,I14,D23)</f>
        <v>89720.930232558138</v>
      </c>
      <c r="F23" s="159">
        <f t="shared" si="6"/>
        <v>3319674.3190489798</v>
      </c>
      <c r="G23" s="161">
        <f t="shared" si="0"/>
        <v>424679.45318206842</v>
      </c>
      <c r="H23" s="142">
        <f t="shared" si="1"/>
        <v>424679.45318206842</v>
      </c>
      <c r="I23" s="156">
        <f t="shared" si="2"/>
        <v>0</v>
      </c>
      <c r="J23" s="156"/>
      <c r="K23" s="334"/>
      <c r="L23" s="158">
        <f t="shared" si="3"/>
        <v>0</v>
      </c>
      <c r="M23" s="334"/>
      <c r="N23" s="158">
        <f t="shared" si="4"/>
        <v>0</v>
      </c>
      <c r="O23" s="158">
        <f t="shared" si="5"/>
        <v>0</v>
      </c>
      <c r="P23" s="4"/>
    </row>
    <row r="24" spans="2:16">
      <c r="B24" s="9" t="str">
        <f t="shared" si="7"/>
        <v/>
      </c>
      <c r="C24" s="153">
        <f>IF(D11="","-",+C23+1)</f>
        <v>2026</v>
      </c>
      <c r="D24" s="159">
        <f>IF(F23+SUM(E$17:E23)=D$10,F23,D$10-SUM(E$17:E23))</f>
        <v>3319674.3190489798</v>
      </c>
      <c r="E24" s="160">
        <f>IF(+I14&lt;F23,I14,D24)</f>
        <v>89720.930232558138</v>
      </c>
      <c r="F24" s="159">
        <f t="shared" si="6"/>
        <v>3229953.3888164219</v>
      </c>
      <c r="G24" s="161">
        <f t="shared" si="0"/>
        <v>415747.22563911264</v>
      </c>
      <c r="H24" s="142">
        <f t="shared" si="1"/>
        <v>415747.22563911264</v>
      </c>
      <c r="I24" s="156">
        <f t="shared" si="2"/>
        <v>0</v>
      </c>
      <c r="J24" s="156"/>
      <c r="K24" s="334"/>
      <c r="L24" s="158">
        <f t="shared" si="3"/>
        <v>0</v>
      </c>
      <c r="M24" s="334"/>
      <c r="N24" s="158">
        <f t="shared" si="4"/>
        <v>0</v>
      </c>
      <c r="O24" s="158">
        <f t="shared" si="5"/>
        <v>0</v>
      </c>
      <c r="P24" s="4"/>
    </row>
    <row r="25" spans="2:16">
      <c r="B25" s="9" t="str">
        <f t="shared" si="7"/>
        <v/>
      </c>
      <c r="C25" s="153">
        <f>IF(D11="","-",+C24+1)</f>
        <v>2027</v>
      </c>
      <c r="D25" s="159">
        <f>IF(F24+SUM(E$17:E24)=D$10,F24,D$10-SUM(E$17:E24))</f>
        <v>3229953.3888164219</v>
      </c>
      <c r="E25" s="160">
        <f>IF(+I14&lt;F24,I14,D25)</f>
        <v>89720.930232558138</v>
      </c>
      <c r="F25" s="159">
        <f t="shared" si="6"/>
        <v>3140232.4585838639</v>
      </c>
      <c r="G25" s="161">
        <f t="shared" si="0"/>
        <v>406814.99809615687</v>
      </c>
      <c r="H25" s="142">
        <f t="shared" si="1"/>
        <v>406814.99809615687</v>
      </c>
      <c r="I25" s="156">
        <f t="shared" si="2"/>
        <v>0</v>
      </c>
      <c r="J25" s="156"/>
      <c r="K25" s="334"/>
      <c r="L25" s="158">
        <f t="shared" si="3"/>
        <v>0</v>
      </c>
      <c r="M25" s="334"/>
      <c r="N25" s="158">
        <f t="shared" si="4"/>
        <v>0</v>
      </c>
      <c r="O25" s="158">
        <f t="shared" si="5"/>
        <v>0</v>
      </c>
      <c r="P25" s="4"/>
    </row>
    <row r="26" spans="2:16">
      <c r="B26" s="9" t="str">
        <f t="shared" si="7"/>
        <v/>
      </c>
      <c r="C26" s="153">
        <f>IF(D11="","-",+C25+1)</f>
        <v>2028</v>
      </c>
      <c r="D26" s="159">
        <f>IF(F25+SUM(E$17:E25)=D$10,F25,D$10-SUM(E$17:E25))</f>
        <v>3140232.4585838639</v>
      </c>
      <c r="E26" s="160">
        <f>IF(+I14&lt;F25,I14,D26)</f>
        <v>89720.930232558138</v>
      </c>
      <c r="F26" s="159">
        <f t="shared" si="6"/>
        <v>3050511.528351306</v>
      </c>
      <c r="G26" s="161">
        <f t="shared" si="0"/>
        <v>397882.77055320109</v>
      </c>
      <c r="H26" s="142">
        <f t="shared" si="1"/>
        <v>397882.77055320109</v>
      </c>
      <c r="I26" s="156">
        <f t="shared" si="2"/>
        <v>0</v>
      </c>
      <c r="J26" s="156"/>
      <c r="K26" s="334"/>
      <c r="L26" s="158">
        <f t="shared" si="3"/>
        <v>0</v>
      </c>
      <c r="M26" s="334"/>
      <c r="N26" s="158">
        <f t="shared" si="4"/>
        <v>0</v>
      </c>
      <c r="O26" s="158">
        <f t="shared" si="5"/>
        <v>0</v>
      </c>
      <c r="P26" s="4"/>
    </row>
    <row r="27" spans="2:16">
      <c r="B27" s="9" t="str">
        <f t="shared" si="7"/>
        <v/>
      </c>
      <c r="C27" s="153">
        <f>IF(D11="","-",+C26+1)</f>
        <v>2029</v>
      </c>
      <c r="D27" s="159">
        <f>IF(F26+SUM(E$17:E26)=D$10,F26,D$10-SUM(E$17:E26))</f>
        <v>3050511.528351306</v>
      </c>
      <c r="E27" s="160">
        <f>IF(+I14&lt;F26,I14,D27)</f>
        <v>89720.930232558138</v>
      </c>
      <c r="F27" s="159">
        <f t="shared" si="6"/>
        <v>2960790.5981187481</v>
      </c>
      <c r="G27" s="161">
        <f t="shared" si="0"/>
        <v>388950.54301024531</v>
      </c>
      <c r="H27" s="142">
        <f t="shared" si="1"/>
        <v>388950.54301024531</v>
      </c>
      <c r="I27" s="156">
        <f t="shared" si="2"/>
        <v>0</v>
      </c>
      <c r="J27" s="156"/>
      <c r="K27" s="334"/>
      <c r="L27" s="158">
        <f t="shared" si="3"/>
        <v>0</v>
      </c>
      <c r="M27" s="334"/>
      <c r="N27" s="158">
        <f t="shared" si="4"/>
        <v>0</v>
      </c>
      <c r="O27" s="158">
        <f t="shared" si="5"/>
        <v>0</v>
      </c>
      <c r="P27" s="4"/>
    </row>
    <row r="28" spans="2:16">
      <c r="B28" s="9" t="str">
        <f t="shared" si="7"/>
        <v/>
      </c>
      <c r="C28" s="153">
        <f>IF(D11="","-",+C27+1)</f>
        <v>2030</v>
      </c>
      <c r="D28" s="159">
        <f>IF(F27+SUM(E$17:E27)=D$10,F27,D$10-SUM(E$17:E27))</f>
        <v>2960790.5981187481</v>
      </c>
      <c r="E28" s="160">
        <f>IF(+I14&lt;F27,I14,D28)</f>
        <v>89720.930232558138</v>
      </c>
      <c r="F28" s="159">
        <f t="shared" si="6"/>
        <v>2871069.6678861901</v>
      </c>
      <c r="G28" s="161">
        <f t="shared" si="0"/>
        <v>380018.31546728953</v>
      </c>
      <c r="H28" s="142">
        <f t="shared" si="1"/>
        <v>380018.31546728953</v>
      </c>
      <c r="I28" s="156">
        <f t="shared" si="2"/>
        <v>0</v>
      </c>
      <c r="J28" s="156"/>
      <c r="K28" s="334"/>
      <c r="L28" s="158">
        <f t="shared" si="3"/>
        <v>0</v>
      </c>
      <c r="M28" s="334"/>
      <c r="N28" s="158">
        <f t="shared" si="4"/>
        <v>0</v>
      </c>
      <c r="O28" s="158">
        <f t="shared" si="5"/>
        <v>0</v>
      </c>
      <c r="P28" s="4"/>
    </row>
    <row r="29" spans="2:16">
      <c r="B29" s="9" t="str">
        <f t="shared" si="7"/>
        <v/>
      </c>
      <c r="C29" s="153">
        <f>IF(D11="","-",+C28+1)</f>
        <v>2031</v>
      </c>
      <c r="D29" s="159">
        <f>IF(F28+SUM(E$17:E28)=D$10,F28,D$10-SUM(E$17:E28))</f>
        <v>2871069.6678861901</v>
      </c>
      <c r="E29" s="160">
        <f>IF(+I14&lt;F28,I14,D29)</f>
        <v>89720.930232558138</v>
      </c>
      <c r="F29" s="159">
        <f t="shared" si="6"/>
        <v>2781348.7376536322</v>
      </c>
      <c r="G29" s="161">
        <f t="shared" si="0"/>
        <v>371086.08792433375</v>
      </c>
      <c r="H29" s="142">
        <f t="shared" si="1"/>
        <v>371086.08792433375</v>
      </c>
      <c r="I29" s="156">
        <f t="shared" si="2"/>
        <v>0</v>
      </c>
      <c r="J29" s="156"/>
      <c r="K29" s="334"/>
      <c r="L29" s="158">
        <f t="shared" si="3"/>
        <v>0</v>
      </c>
      <c r="M29" s="334"/>
      <c r="N29" s="158">
        <f t="shared" si="4"/>
        <v>0</v>
      </c>
      <c r="O29" s="158">
        <f t="shared" si="5"/>
        <v>0</v>
      </c>
      <c r="P29" s="4"/>
    </row>
    <row r="30" spans="2:16">
      <c r="B30" s="9" t="str">
        <f t="shared" si="7"/>
        <v/>
      </c>
      <c r="C30" s="153">
        <f>IF(D11="","-",+C29+1)</f>
        <v>2032</v>
      </c>
      <c r="D30" s="159">
        <f>IF(F29+SUM(E$17:E29)=D$10,F29,D$10-SUM(E$17:E29))</f>
        <v>2781348.7376536322</v>
      </c>
      <c r="E30" s="160">
        <f>IF(+I14&lt;F29,I14,D30)</f>
        <v>89720.930232558138</v>
      </c>
      <c r="F30" s="159">
        <f t="shared" si="6"/>
        <v>2691627.8074210742</v>
      </c>
      <c r="G30" s="161">
        <f t="shared" si="0"/>
        <v>362153.86038137809</v>
      </c>
      <c r="H30" s="142">
        <f t="shared" si="1"/>
        <v>362153.86038137809</v>
      </c>
      <c r="I30" s="156">
        <f t="shared" si="2"/>
        <v>0</v>
      </c>
      <c r="J30" s="156"/>
      <c r="K30" s="334"/>
      <c r="L30" s="158">
        <f t="shared" si="3"/>
        <v>0</v>
      </c>
      <c r="M30" s="334"/>
      <c r="N30" s="158">
        <f t="shared" si="4"/>
        <v>0</v>
      </c>
      <c r="O30" s="158">
        <f t="shared" si="5"/>
        <v>0</v>
      </c>
      <c r="P30" s="4"/>
    </row>
    <row r="31" spans="2:16">
      <c r="B31" s="9" t="str">
        <f t="shared" si="7"/>
        <v/>
      </c>
      <c r="C31" s="153">
        <f>IF(D11="","-",+C30+1)</f>
        <v>2033</v>
      </c>
      <c r="D31" s="159">
        <f>IF(F30+SUM(E$17:E30)=D$10,F30,D$10-SUM(E$17:E30))</f>
        <v>2691627.8074210742</v>
      </c>
      <c r="E31" s="160">
        <f>IF(+I14&lt;F30,I14,D31)</f>
        <v>89720.930232558138</v>
      </c>
      <c r="F31" s="159">
        <f t="shared" si="6"/>
        <v>2601906.8771885163</v>
      </c>
      <c r="G31" s="161">
        <f t="shared" si="0"/>
        <v>353221.6328384222</v>
      </c>
      <c r="H31" s="142">
        <f t="shared" si="1"/>
        <v>353221.6328384222</v>
      </c>
      <c r="I31" s="156">
        <f t="shared" si="2"/>
        <v>0</v>
      </c>
      <c r="J31" s="156"/>
      <c r="K31" s="334"/>
      <c r="L31" s="158">
        <f t="shared" si="3"/>
        <v>0</v>
      </c>
      <c r="M31" s="334"/>
      <c r="N31" s="158">
        <f t="shared" si="4"/>
        <v>0</v>
      </c>
      <c r="O31" s="158">
        <f t="shared" si="5"/>
        <v>0</v>
      </c>
      <c r="P31" s="4"/>
    </row>
    <row r="32" spans="2:16">
      <c r="B32" s="9" t="str">
        <f t="shared" si="7"/>
        <v/>
      </c>
      <c r="C32" s="153">
        <f>IF(D11="","-",+C31+1)</f>
        <v>2034</v>
      </c>
      <c r="D32" s="159">
        <f>IF(F31+SUM(E$17:E31)=D$10,F31,D$10-SUM(E$17:E31))</f>
        <v>2601906.8771885163</v>
      </c>
      <c r="E32" s="160">
        <f>IF(+I14&lt;F31,I14,D32)</f>
        <v>89720.930232558138</v>
      </c>
      <c r="F32" s="159">
        <f t="shared" si="6"/>
        <v>2512185.9469559584</v>
      </c>
      <c r="G32" s="161">
        <f t="shared" si="0"/>
        <v>344289.40529546654</v>
      </c>
      <c r="H32" s="142">
        <f t="shared" si="1"/>
        <v>344289.40529546654</v>
      </c>
      <c r="I32" s="156">
        <f t="shared" si="2"/>
        <v>0</v>
      </c>
      <c r="J32" s="156"/>
      <c r="K32" s="334"/>
      <c r="L32" s="158">
        <f t="shared" si="3"/>
        <v>0</v>
      </c>
      <c r="M32" s="334"/>
      <c r="N32" s="158">
        <f t="shared" si="4"/>
        <v>0</v>
      </c>
      <c r="O32" s="158">
        <f t="shared" si="5"/>
        <v>0</v>
      </c>
      <c r="P32" s="4"/>
    </row>
    <row r="33" spans="2:16">
      <c r="B33" s="9" t="str">
        <f t="shared" si="7"/>
        <v/>
      </c>
      <c r="C33" s="153">
        <f>IF(D11="","-",+C32+1)</f>
        <v>2035</v>
      </c>
      <c r="D33" s="159">
        <f>IF(F32+SUM(E$17:E32)=D$10,F32,D$10-SUM(E$17:E32))</f>
        <v>2512185.9469559584</v>
      </c>
      <c r="E33" s="160">
        <f>IF(+I14&lt;F32,I14,D33)</f>
        <v>89720.930232558138</v>
      </c>
      <c r="F33" s="159">
        <f t="shared" si="6"/>
        <v>2422465.0167234004</v>
      </c>
      <c r="G33" s="161">
        <f t="shared" si="0"/>
        <v>335357.1777525107</v>
      </c>
      <c r="H33" s="142">
        <f t="shared" si="1"/>
        <v>335357.1777525107</v>
      </c>
      <c r="I33" s="156">
        <f t="shared" si="2"/>
        <v>0</v>
      </c>
      <c r="J33" s="156"/>
      <c r="K33" s="334"/>
      <c r="L33" s="158">
        <f t="shared" si="3"/>
        <v>0</v>
      </c>
      <c r="M33" s="334"/>
      <c r="N33" s="158">
        <f t="shared" si="4"/>
        <v>0</v>
      </c>
      <c r="O33" s="158">
        <f t="shared" si="5"/>
        <v>0</v>
      </c>
      <c r="P33" s="4"/>
    </row>
    <row r="34" spans="2:16">
      <c r="B34" s="9" t="str">
        <f t="shared" si="7"/>
        <v/>
      </c>
      <c r="C34" s="153">
        <f>IF(D11="","-",+C33+1)</f>
        <v>2036</v>
      </c>
      <c r="D34" s="159">
        <f>IF(F33+SUM(E$17:E33)=D$10,F33,D$10-SUM(E$17:E33))</f>
        <v>2422465.0167234004</v>
      </c>
      <c r="E34" s="160">
        <f>IF(+I14&lt;F33,I14,D34)</f>
        <v>89720.930232558138</v>
      </c>
      <c r="F34" s="159">
        <f t="shared" si="6"/>
        <v>2332744.0864908425</v>
      </c>
      <c r="G34" s="161">
        <f t="shared" si="0"/>
        <v>326424.95020955498</v>
      </c>
      <c r="H34" s="142">
        <f t="shared" si="1"/>
        <v>326424.95020955498</v>
      </c>
      <c r="I34" s="156">
        <f t="shared" si="2"/>
        <v>0</v>
      </c>
      <c r="J34" s="156"/>
      <c r="K34" s="334"/>
      <c r="L34" s="158">
        <f t="shared" si="3"/>
        <v>0</v>
      </c>
      <c r="M34" s="334"/>
      <c r="N34" s="158">
        <f t="shared" si="4"/>
        <v>0</v>
      </c>
      <c r="O34" s="158">
        <f t="shared" si="5"/>
        <v>0</v>
      </c>
      <c r="P34" s="4"/>
    </row>
    <row r="35" spans="2:16">
      <c r="B35" s="9" t="str">
        <f t="shared" si="7"/>
        <v/>
      </c>
      <c r="C35" s="153">
        <f>IF(D11="","-",+C34+1)</f>
        <v>2037</v>
      </c>
      <c r="D35" s="159">
        <f>IF(F34+SUM(E$17:E34)=D$10,F34,D$10-SUM(E$17:E34))</f>
        <v>2332744.0864908425</v>
      </c>
      <c r="E35" s="160">
        <f>IF(+I14&lt;F34,I14,D35)</f>
        <v>89720.930232558138</v>
      </c>
      <c r="F35" s="159">
        <f t="shared" si="6"/>
        <v>2243023.1562582846</v>
      </c>
      <c r="G35" s="161">
        <f t="shared" si="0"/>
        <v>317492.72266659915</v>
      </c>
      <c r="H35" s="142">
        <f t="shared" si="1"/>
        <v>317492.72266659915</v>
      </c>
      <c r="I35" s="156">
        <f t="shared" si="2"/>
        <v>0</v>
      </c>
      <c r="J35" s="156"/>
      <c r="K35" s="334"/>
      <c r="L35" s="158">
        <f t="shared" si="3"/>
        <v>0</v>
      </c>
      <c r="M35" s="334"/>
      <c r="N35" s="158">
        <f t="shared" si="4"/>
        <v>0</v>
      </c>
      <c r="O35" s="158">
        <f t="shared" si="5"/>
        <v>0</v>
      </c>
      <c r="P35" s="4"/>
    </row>
    <row r="36" spans="2:16">
      <c r="B36" s="9" t="str">
        <f t="shared" si="7"/>
        <v/>
      </c>
      <c r="C36" s="153">
        <f>IF(D11="","-",+C35+1)</f>
        <v>2038</v>
      </c>
      <c r="D36" s="159">
        <f>IF(F35+SUM(E$17:E35)=D$10,F35,D$10-SUM(E$17:E35))</f>
        <v>2243023.1562582846</v>
      </c>
      <c r="E36" s="160">
        <f>IF(+I14&lt;F35,I14,D36)</f>
        <v>89720.930232558138</v>
      </c>
      <c r="F36" s="159">
        <f t="shared" si="6"/>
        <v>2153302.2260257266</v>
      </c>
      <c r="G36" s="161">
        <f t="shared" si="0"/>
        <v>308560.49512364343</v>
      </c>
      <c r="H36" s="142">
        <f t="shared" si="1"/>
        <v>308560.49512364343</v>
      </c>
      <c r="I36" s="156">
        <f t="shared" si="2"/>
        <v>0</v>
      </c>
      <c r="J36" s="156"/>
      <c r="K36" s="334"/>
      <c r="L36" s="158">
        <f t="shared" si="3"/>
        <v>0</v>
      </c>
      <c r="M36" s="334"/>
      <c r="N36" s="158">
        <f t="shared" si="4"/>
        <v>0</v>
      </c>
      <c r="O36" s="158">
        <f t="shared" si="5"/>
        <v>0</v>
      </c>
      <c r="P36" s="4"/>
    </row>
    <row r="37" spans="2:16">
      <c r="B37" s="9" t="str">
        <f t="shared" si="7"/>
        <v/>
      </c>
      <c r="C37" s="153">
        <f>IF(D11="","-",+C36+1)</f>
        <v>2039</v>
      </c>
      <c r="D37" s="159">
        <f>IF(F36+SUM(E$17:E36)=D$10,F36,D$10-SUM(E$17:E36))</f>
        <v>2153302.2260257266</v>
      </c>
      <c r="E37" s="160">
        <f>IF(+I14&lt;F36,I14,D37)</f>
        <v>89720.930232558138</v>
      </c>
      <c r="F37" s="159">
        <f t="shared" si="6"/>
        <v>2063581.2957931685</v>
      </c>
      <c r="G37" s="161">
        <f t="shared" si="0"/>
        <v>299628.26758068765</v>
      </c>
      <c r="H37" s="142">
        <f t="shared" si="1"/>
        <v>299628.26758068765</v>
      </c>
      <c r="I37" s="156">
        <f t="shared" si="2"/>
        <v>0</v>
      </c>
      <c r="J37" s="156"/>
      <c r="K37" s="334"/>
      <c r="L37" s="158">
        <f t="shared" si="3"/>
        <v>0</v>
      </c>
      <c r="M37" s="334"/>
      <c r="N37" s="158">
        <f t="shared" si="4"/>
        <v>0</v>
      </c>
      <c r="O37" s="158">
        <f t="shared" si="5"/>
        <v>0</v>
      </c>
      <c r="P37" s="4"/>
    </row>
    <row r="38" spans="2:16">
      <c r="B38" s="9" t="str">
        <f t="shared" si="7"/>
        <v/>
      </c>
      <c r="C38" s="153">
        <f>IF(D11="","-",+C37+1)</f>
        <v>2040</v>
      </c>
      <c r="D38" s="159">
        <f>IF(F37+SUM(E$17:E37)=D$10,F37,D$10-SUM(E$17:E37))</f>
        <v>2063581.2957931685</v>
      </c>
      <c r="E38" s="160">
        <f>IF(+I14&lt;F37,I14,D38)</f>
        <v>89720.930232558138</v>
      </c>
      <c r="F38" s="159">
        <f t="shared" si="6"/>
        <v>1973860.3655606103</v>
      </c>
      <c r="G38" s="161">
        <f t="shared" si="0"/>
        <v>290696.04003773187</v>
      </c>
      <c r="H38" s="142">
        <f t="shared" si="1"/>
        <v>290696.04003773187</v>
      </c>
      <c r="I38" s="156">
        <f t="shared" si="2"/>
        <v>0</v>
      </c>
      <c r="J38" s="156"/>
      <c r="K38" s="334"/>
      <c r="L38" s="158">
        <f t="shared" si="3"/>
        <v>0</v>
      </c>
      <c r="M38" s="334"/>
      <c r="N38" s="158">
        <f t="shared" si="4"/>
        <v>0</v>
      </c>
      <c r="O38" s="158">
        <f t="shared" si="5"/>
        <v>0</v>
      </c>
      <c r="P38" s="4"/>
    </row>
    <row r="39" spans="2:16">
      <c r="B39" s="9" t="str">
        <f t="shared" si="7"/>
        <v/>
      </c>
      <c r="C39" s="153">
        <f>IF(D11="","-",+C38+1)</f>
        <v>2041</v>
      </c>
      <c r="D39" s="159">
        <f>IF(F38+SUM(E$17:E38)=D$10,F38,D$10-SUM(E$17:E38))</f>
        <v>1973860.3655606103</v>
      </c>
      <c r="E39" s="160">
        <f>IF(+I14&lt;F38,I14,D39)</f>
        <v>89720.930232558138</v>
      </c>
      <c r="F39" s="159">
        <f t="shared" si="6"/>
        <v>1884139.4353280521</v>
      </c>
      <c r="G39" s="161">
        <f t="shared" si="0"/>
        <v>281763.81249477604</v>
      </c>
      <c r="H39" s="142">
        <f t="shared" si="1"/>
        <v>281763.81249477604</v>
      </c>
      <c r="I39" s="156">
        <f t="shared" si="2"/>
        <v>0</v>
      </c>
      <c r="J39" s="156"/>
      <c r="K39" s="334"/>
      <c r="L39" s="158">
        <f t="shared" si="3"/>
        <v>0</v>
      </c>
      <c r="M39" s="334"/>
      <c r="N39" s="158">
        <f t="shared" si="4"/>
        <v>0</v>
      </c>
      <c r="O39" s="158">
        <f t="shared" si="5"/>
        <v>0</v>
      </c>
      <c r="P39" s="4"/>
    </row>
    <row r="40" spans="2:16">
      <c r="B40" s="9" t="str">
        <f t="shared" si="7"/>
        <v/>
      </c>
      <c r="C40" s="153">
        <f>IF(D11="","-",+C39+1)</f>
        <v>2042</v>
      </c>
      <c r="D40" s="159">
        <f>IF(F39+SUM(E$17:E39)=D$10,F39,D$10-SUM(E$17:E39))</f>
        <v>1884139.4353280521</v>
      </c>
      <c r="E40" s="160">
        <f>IF(+I14&lt;F39,I14,D40)</f>
        <v>89720.930232558138</v>
      </c>
      <c r="F40" s="159">
        <f t="shared" si="6"/>
        <v>1794418.505095494</v>
      </c>
      <c r="G40" s="161">
        <f t="shared" si="0"/>
        <v>272831.58495182026</v>
      </c>
      <c r="H40" s="142">
        <f t="shared" si="1"/>
        <v>272831.58495182026</v>
      </c>
      <c r="I40" s="156">
        <f t="shared" si="2"/>
        <v>0</v>
      </c>
      <c r="J40" s="156"/>
      <c r="K40" s="334"/>
      <c r="L40" s="158">
        <f t="shared" si="3"/>
        <v>0</v>
      </c>
      <c r="M40" s="334"/>
      <c r="N40" s="158">
        <f t="shared" si="4"/>
        <v>0</v>
      </c>
      <c r="O40" s="158">
        <f t="shared" si="5"/>
        <v>0</v>
      </c>
      <c r="P40" s="4"/>
    </row>
    <row r="41" spans="2:16">
      <c r="B41" s="9" t="str">
        <f t="shared" si="7"/>
        <v/>
      </c>
      <c r="C41" s="153">
        <f>IF(D11="","-",+C40+1)</f>
        <v>2043</v>
      </c>
      <c r="D41" s="159">
        <f>IF(F40+SUM(E$17:E40)=D$10,F40,D$10-SUM(E$17:E40))</f>
        <v>1794418.505095494</v>
      </c>
      <c r="E41" s="160">
        <f>IF(+I14&lt;F40,I14,D41)</f>
        <v>89720.930232558138</v>
      </c>
      <c r="F41" s="159">
        <f t="shared" si="6"/>
        <v>1704697.5748629358</v>
      </c>
      <c r="G41" s="161">
        <f t="shared" si="0"/>
        <v>263899.35740886442</v>
      </c>
      <c r="H41" s="142">
        <f t="shared" si="1"/>
        <v>263899.35740886442</v>
      </c>
      <c r="I41" s="156">
        <f t="shared" si="2"/>
        <v>0</v>
      </c>
      <c r="J41" s="156"/>
      <c r="K41" s="334"/>
      <c r="L41" s="158">
        <f t="shared" si="3"/>
        <v>0</v>
      </c>
      <c r="M41" s="334"/>
      <c r="N41" s="158">
        <f t="shared" si="4"/>
        <v>0</v>
      </c>
      <c r="O41" s="158">
        <f t="shared" si="5"/>
        <v>0</v>
      </c>
      <c r="P41" s="4"/>
    </row>
    <row r="42" spans="2:16">
      <c r="B42" s="9" t="str">
        <f t="shared" si="7"/>
        <v/>
      </c>
      <c r="C42" s="153">
        <f>IF(D11="","-",+C41+1)</f>
        <v>2044</v>
      </c>
      <c r="D42" s="159">
        <f>IF(F41+SUM(E$17:E41)=D$10,F41,D$10-SUM(E$17:E41))</f>
        <v>1704697.5748629358</v>
      </c>
      <c r="E42" s="160">
        <f>IF(+I14&lt;F41,I14,D42)</f>
        <v>89720.930232558138</v>
      </c>
      <c r="F42" s="159">
        <f t="shared" si="6"/>
        <v>1614976.6446303776</v>
      </c>
      <c r="G42" s="161">
        <f t="shared" si="0"/>
        <v>254967.12986590868</v>
      </c>
      <c r="H42" s="142">
        <f t="shared" si="1"/>
        <v>254967.12986590868</v>
      </c>
      <c r="I42" s="156">
        <f t="shared" si="2"/>
        <v>0</v>
      </c>
      <c r="J42" s="156"/>
      <c r="K42" s="334"/>
      <c r="L42" s="158">
        <f t="shared" si="3"/>
        <v>0</v>
      </c>
      <c r="M42" s="334"/>
      <c r="N42" s="158">
        <f t="shared" si="4"/>
        <v>0</v>
      </c>
      <c r="O42" s="158">
        <f t="shared" si="5"/>
        <v>0</v>
      </c>
      <c r="P42" s="4"/>
    </row>
    <row r="43" spans="2:16">
      <c r="B43" s="9" t="str">
        <f t="shared" si="7"/>
        <v/>
      </c>
      <c r="C43" s="153">
        <f>IF(D11="","-",+C42+1)</f>
        <v>2045</v>
      </c>
      <c r="D43" s="159">
        <f>IF(F42+SUM(E$17:E42)=D$10,F42,D$10-SUM(E$17:E42))</f>
        <v>1614976.6446303776</v>
      </c>
      <c r="E43" s="160">
        <f>IF(+I14&lt;F42,I14,D43)</f>
        <v>89720.930232558138</v>
      </c>
      <c r="F43" s="159">
        <f t="shared" si="6"/>
        <v>1525255.7143978195</v>
      </c>
      <c r="G43" s="161">
        <f t="shared" si="0"/>
        <v>246034.90232295287</v>
      </c>
      <c r="H43" s="142">
        <f t="shared" si="1"/>
        <v>246034.90232295287</v>
      </c>
      <c r="I43" s="156">
        <f t="shared" si="2"/>
        <v>0</v>
      </c>
      <c r="J43" s="156"/>
      <c r="K43" s="334"/>
      <c r="L43" s="158">
        <f t="shared" si="3"/>
        <v>0</v>
      </c>
      <c r="M43" s="334"/>
      <c r="N43" s="158">
        <f t="shared" si="4"/>
        <v>0</v>
      </c>
      <c r="O43" s="158">
        <f t="shared" si="5"/>
        <v>0</v>
      </c>
      <c r="P43" s="4"/>
    </row>
    <row r="44" spans="2:16">
      <c r="B44" s="9" t="str">
        <f t="shared" si="7"/>
        <v/>
      </c>
      <c r="C44" s="153">
        <f>IF(D11="","-",+C43+1)</f>
        <v>2046</v>
      </c>
      <c r="D44" s="159">
        <f>IF(F43+SUM(E$17:E43)=D$10,F43,D$10-SUM(E$17:E43))</f>
        <v>1525255.7143978195</v>
      </c>
      <c r="E44" s="160">
        <f>IF(+I14&lt;F43,I14,D44)</f>
        <v>89720.930232558138</v>
      </c>
      <c r="F44" s="159">
        <f t="shared" si="6"/>
        <v>1435534.7841652613</v>
      </c>
      <c r="G44" s="161">
        <f t="shared" si="0"/>
        <v>237102.67477999709</v>
      </c>
      <c r="H44" s="142">
        <f t="shared" si="1"/>
        <v>237102.67477999709</v>
      </c>
      <c r="I44" s="156">
        <f t="shared" si="2"/>
        <v>0</v>
      </c>
      <c r="J44" s="156"/>
      <c r="K44" s="334"/>
      <c r="L44" s="158">
        <f t="shared" si="3"/>
        <v>0</v>
      </c>
      <c r="M44" s="334"/>
      <c r="N44" s="158">
        <f t="shared" si="4"/>
        <v>0</v>
      </c>
      <c r="O44" s="158">
        <f t="shared" si="5"/>
        <v>0</v>
      </c>
      <c r="P44" s="4"/>
    </row>
    <row r="45" spans="2:16">
      <c r="B45" s="9" t="str">
        <f t="shared" si="7"/>
        <v/>
      </c>
      <c r="C45" s="153">
        <f>IF(D11="","-",+C44+1)</f>
        <v>2047</v>
      </c>
      <c r="D45" s="159">
        <f>IF(F44+SUM(E$17:E44)=D$10,F44,D$10-SUM(E$17:E44))</f>
        <v>1435534.7841652613</v>
      </c>
      <c r="E45" s="160">
        <f>IF(+I14&lt;F44,I14,D45)</f>
        <v>89720.930232558138</v>
      </c>
      <c r="F45" s="159">
        <f t="shared" si="6"/>
        <v>1345813.8539327031</v>
      </c>
      <c r="G45" s="161">
        <f t="shared" si="0"/>
        <v>228170.44723704128</v>
      </c>
      <c r="H45" s="142">
        <f t="shared" si="1"/>
        <v>228170.44723704128</v>
      </c>
      <c r="I45" s="156">
        <f t="shared" si="2"/>
        <v>0</v>
      </c>
      <c r="J45" s="156"/>
      <c r="K45" s="334"/>
      <c r="L45" s="158">
        <f t="shared" si="3"/>
        <v>0</v>
      </c>
      <c r="M45" s="334"/>
      <c r="N45" s="158">
        <f t="shared" si="4"/>
        <v>0</v>
      </c>
      <c r="O45" s="158">
        <f t="shared" si="5"/>
        <v>0</v>
      </c>
      <c r="P45" s="4"/>
    </row>
    <row r="46" spans="2:16">
      <c r="B46" s="9" t="str">
        <f t="shared" si="7"/>
        <v/>
      </c>
      <c r="C46" s="153">
        <f>IF(D11="","-",+C45+1)</f>
        <v>2048</v>
      </c>
      <c r="D46" s="159">
        <f>IF(F45+SUM(E$17:E45)=D$10,F45,D$10-SUM(E$17:E45))</f>
        <v>1345813.8539327031</v>
      </c>
      <c r="E46" s="160">
        <f>IF(+I14&lt;F45,I14,D46)</f>
        <v>89720.930232558138</v>
      </c>
      <c r="F46" s="159">
        <f t="shared" si="6"/>
        <v>1256092.923700145</v>
      </c>
      <c r="G46" s="161">
        <f t="shared" si="0"/>
        <v>219238.21969408554</v>
      </c>
      <c r="H46" s="142">
        <f t="shared" si="1"/>
        <v>219238.21969408554</v>
      </c>
      <c r="I46" s="156">
        <f t="shared" si="2"/>
        <v>0</v>
      </c>
      <c r="J46" s="156"/>
      <c r="K46" s="334"/>
      <c r="L46" s="158">
        <f t="shared" si="3"/>
        <v>0</v>
      </c>
      <c r="M46" s="334"/>
      <c r="N46" s="158">
        <f t="shared" si="4"/>
        <v>0</v>
      </c>
      <c r="O46" s="158">
        <f t="shared" si="5"/>
        <v>0</v>
      </c>
      <c r="P46" s="4"/>
    </row>
    <row r="47" spans="2:16">
      <c r="B47" s="9" t="str">
        <f t="shared" si="7"/>
        <v/>
      </c>
      <c r="C47" s="153">
        <f>IF(D11="","-",+C46+1)</f>
        <v>2049</v>
      </c>
      <c r="D47" s="159">
        <f>IF(F46+SUM(E$17:E46)=D$10,F46,D$10-SUM(E$17:E46))</f>
        <v>1256092.923700145</v>
      </c>
      <c r="E47" s="160">
        <f>IF(+I14&lt;F46,I14,D47)</f>
        <v>89720.930232558138</v>
      </c>
      <c r="F47" s="159">
        <f t="shared" si="6"/>
        <v>1166371.9934675868</v>
      </c>
      <c r="G47" s="161">
        <f t="shared" si="0"/>
        <v>210305.9921511297</v>
      </c>
      <c r="H47" s="142">
        <f t="shared" si="1"/>
        <v>210305.9921511297</v>
      </c>
      <c r="I47" s="156">
        <f t="shared" si="2"/>
        <v>0</v>
      </c>
      <c r="J47" s="156"/>
      <c r="K47" s="334"/>
      <c r="L47" s="158">
        <f t="shared" si="3"/>
        <v>0</v>
      </c>
      <c r="M47" s="334"/>
      <c r="N47" s="158">
        <f t="shared" si="4"/>
        <v>0</v>
      </c>
      <c r="O47" s="158">
        <f t="shared" si="5"/>
        <v>0</v>
      </c>
      <c r="P47" s="4"/>
    </row>
    <row r="48" spans="2:16">
      <c r="B48" s="9" t="str">
        <f t="shared" si="7"/>
        <v/>
      </c>
      <c r="C48" s="153">
        <f>IF(D11="","-",+C47+1)</f>
        <v>2050</v>
      </c>
      <c r="D48" s="159">
        <f>IF(F47+SUM(E$17:E47)=D$10,F47,D$10-SUM(E$17:E47))</f>
        <v>1166371.9934675868</v>
      </c>
      <c r="E48" s="160">
        <f>IF(+I14&lt;F47,I14,D48)</f>
        <v>89720.930232558138</v>
      </c>
      <c r="F48" s="159">
        <f t="shared" si="6"/>
        <v>1076651.0632350286</v>
      </c>
      <c r="G48" s="161">
        <f t="shared" si="0"/>
        <v>201373.76460817392</v>
      </c>
      <c r="H48" s="142">
        <f t="shared" si="1"/>
        <v>201373.76460817392</v>
      </c>
      <c r="I48" s="156">
        <f t="shared" si="2"/>
        <v>0</v>
      </c>
      <c r="J48" s="156"/>
      <c r="K48" s="334"/>
      <c r="L48" s="158">
        <f t="shared" si="3"/>
        <v>0</v>
      </c>
      <c r="M48" s="334"/>
      <c r="N48" s="158">
        <f t="shared" si="4"/>
        <v>0</v>
      </c>
      <c r="O48" s="158">
        <f t="shared" si="5"/>
        <v>0</v>
      </c>
      <c r="P48" s="4"/>
    </row>
    <row r="49" spans="2:16">
      <c r="B49" s="9" t="str">
        <f t="shared" si="7"/>
        <v/>
      </c>
      <c r="C49" s="153">
        <f>IF(D11="","-",+C48+1)</f>
        <v>2051</v>
      </c>
      <c r="D49" s="159">
        <f>IF(F48+SUM(E$17:E48)=D$10,F48,D$10-SUM(E$17:E48))</f>
        <v>1076651.0632350286</v>
      </c>
      <c r="E49" s="160">
        <f>IF(+I14&lt;F48,I14,D49)</f>
        <v>89720.930232558138</v>
      </c>
      <c r="F49" s="159">
        <f t="shared" si="6"/>
        <v>986930.13300247048</v>
      </c>
      <c r="G49" s="161">
        <f t="shared" si="0"/>
        <v>192441.53706521814</v>
      </c>
      <c r="H49" s="142">
        <f t="shared" si="1"/>
        <v>192441.53706521814</v>
      </c>
      <c r="I49" s="156">
        <f t="shared" si="2"/>
        <v>0</v>
      </c>
      <c r="J49" s="156"/>
      <c r="K49" s="334"/>
      <c r="L49" s="158">
        <f t="shared" si="3"/>
        <v>0</v>
      </c>
      <c r="M49" s="334"/>
      <c r="N49" s="158">
        <f t="shared" si="4"/>
        <v>0</v>
      </c>
      <c r="O49" s="158">
        <f t="shared" si="5"/>
        <v>0</v>
      </c>
      <c r="P49" s="4"/>
    </row>
    <row r="50" spans="2:16">
      <c r="B50" s="9" t="str">
        <f t="shared" si="7"/>
        <v/>
      </c>
      <c r="C50" s="153">
        <f>IF(D11="","-",+C49+1)</f>
        <v>2052</v>
      </c>
      <c r="D50" s="159">
        <f>IF(F49+SUM(E$17:E49)=D$10,F49,D$10-SUM(E$17:E49))</f>
        <v>986930.13300247048</v>
      </c>
      <c r="E50" s="160">
        <f>IF(+I14&lt;F49,I14,D50)</f>
        <v>89720.930232558138</v>
      </c>
      <c r="F50" s="159">
        <f t="shared" si="6"/>
        <v>897209.20276991231</v>
      </c>
      <c r="G50" s="161">
        <f t="shared" si="0"/>
        <v>183509.30952226234</v>
      </c>
      <c r="H50" s="142">
        <f t="shared" si="1"/>
        <v>183509.30952226234</v>
      </c>
      <c r="I50" s="156">
        <f t="shared" si="2"/>
        <v>0</v>
      </c>
      <c r="J50" s="156"/>
      <c r="K50" s="334"/>
      <c r="L50" s="158">
        <f t="shared" si="3"/>
        <v>0</v>
      </c>
      <c r="M50" s="334"/>
      <c r="N50" s="158">
        <f t="shared" si="4"/>
        <v>0</v>
      </c>
      <c r="O50" s="158">
        <f t="shared" si="5"/>
        <v>0</v>
      </c>
      <c r="P50" s="4"/>
    </row>
    <row r="51" spans="2:16">
      <c r="B51" s="9" t="str">
        <f t="shared" si="7"/>
        <v/>
      </c>
      <c r="C51" s="153">
        <f>IF(D11="","-",+C50+1)</f>
        <v>2053</v>
      </c>
      <c r="D51" s="159">
        <f>IF(F50+SUM(E$17:E50)=D$10,F50,D$10-SUM(E$17:E50))</f>
        <v>897209.20276991231</v>
      </c>
      <c r="E51" s="160">
        <f>IF(+I14&lt;F50,I14,D51)</f>
        <v>89720.930232558138</v>
      </c>
      <c r="F51" s="159">
        <f t="shared" si="6"/>
        <v>807488.27253735415</v>
      </c>
      <c r="G51" s="161">
        <f t="shared" si="0"/>
        <v>174577.08197930653</v>
      </c>
      <c r="H51" s="142">
        <f t="shared" si="1"/>
        <v>174577.08197930653</v>
      </c>
      <c r="I51" s="156">
        <f t="shared" si="2"/>
        <v>0</v>
      </c>
      <c r="J51" s="156"/>
      <c r="K51" s="334"/>
      <c r="L51" s="158">
        <f t="shared" si="3"/>
        <v>0</v>
      </c>
      <c r="M51" s="334"/>
      <c r="N51" s="158">
        <f t="shared" si="4"/>
        <v>0</v>
      </c>
      <c r="O51" s="158">
        <f t="shared" si="5"/>
        <v>0</v>
      </c>
      <c r="P51" s="4"/>
    </row>
    <row r="52" spans="2:16">
      <c r="B52" s="9" t="str">
        <f t="shared" si="7"/>
        <v/>
      </c>
      <c r="C52" s="153">
        <f>IF(D11="","-",+C51+1)</f>
        <v>2054</v>
      </c>
      <c r="D52" s="159">
        <f>IF(F51+SUM(E$17:E51)=D$10,F51,D$10-SUM(E$17:E51))</f>
        <v>807488.27253735415</v>
      </c>
      <c r="E52" s="160">
        <f>IF(+I14&lt;F51,I14,D52)</f>
        <v>89720.930232558138</v>
      </c>
      <c r="F52" s="159">
        <f t="shared" si="6"/>
        <v>717767.34230479598</v>
      </c>
      <c r="G52" s="161">
        <f t="shared" si="0"/>
        <v>165644.85443635075</v>
      </c>
      <c r="H52" s="142">
        <f t="shared" si="1"/>
        <v>165644.85443635075</v>
      </c>
      <c r="I52" s="156">
        <f t="shared" si="2"/>
        <v>0</v>
      </c>
      <c r="J52" s="156"/>
      <c r="K52" s="334"/>
      <c r="L52" s="158">
        <f t="shared" si="3"/>
        <v>0</v>
      </c>
      <c r="M52" s="334"/>
      <c r="N52" s="158">
        <f t="shared" si="4"/>
        <v>0</v>
      </c>
      <c r="O52" s="158">
        <f t="shared" si="5"/>
        <v>0</v>
      </c>
      <c r="P52" s="4"/>
    </row>
    <row r="53" spans="2:16">
      <c r="B53" s="9" t="str">
        <f t="shared" si="7"/>
        <v/>
      </c>
      <c r="C53" s="153">
        <f>IF(D11="","-",+C52+1)</f>
        <v>2055</v>
      </c>
      <c r="D53" s="159">
        <f>IF(F52+SUM(E$17:E52)=D$10,F52,D$10-SUM(E$17:E52))</f>
        <v>717767.34230479598</v>
      </c>
      <c r="E53" s="160">
        <f>IF(+I14&lt;F52,I14,D53)</f>
        <v>89720.930232558138</v>
      </c>
      <c r="F53" s="159">
        <f t="shared" si="6"/>
        <v>628046.41207223781</v>
      </c>
      <c r="G53" s="161">
        <f t="shared" si="0"/>
        <v>156712.62689339498</v>
      </c>
      <c r="H53" s="142">
        <f t="shared" si="1"/>
        <v>156712.62689339498</v>
      </c>
      <c r="I53" s="156">
        <f t="shared" si="2"/>
        <v>0</v>
      </c>
      <c r="J53" s="156"/>
      <c r="K53" s="334"/>
      <c r="L53" s="158">
        <f t="shared" si="3"/>
        <v>0</v>
      </c>
      <c r="M53" s="334"/>
      <c r="N53" s="158">
        <f t="shared" si="4"/>
        <v>0</v>
      </c>
      <c r="O53" s="158">
        <f t="shared" si="5"/>
        <v>0</v>
      </c>
      <c r="P53" s="4"/>
    </row>
    <row r="54" spans="2:16">
      <c r="B54" s="9" t="str">
        <f t="shared" si="7"/>
        <v/>
      </c>
      <c r="C54" s="153">
        <f>IF(D11="","-",+C53+1)</f>
        <v>2056</v>
      </c>
      <c r="D54" s="159">
        <f>IF(F53+SUM(E$17:E53)=D$10,F53,D$10-SUM(E$17:E53))</f>
        <v>628046.41207223781</v>
      </c>
      <c r="E54" s="160">
        <f>IF(+I14&lt;F53,I14,D54)</f>
        <v>89720.930232558138</v>
      </c>
      <c r="F54" s="159">
        <f t="shared" si="6"/>
        <v>538325.48183967965</v>
      </c>
      <c r="G54" s="161">
        <f t="shared" si="0"/>
        <v>147780.39935043917</v>
      </c>
      <c r="H54" s="142">
        <f t="shared" si="1"/>
        <v>147780.39935043917</v>
      </c>
      <c r="I54" s="156">
        <f t="shared" si="2"/>
        <v>0</v>
      </c>
      <c r="J54" s="156"/>
      <c r="K54" s="334"/>
      <c r="L54" s="158">
        <f t="shared" si="3"/>
        <v>0</v>
      </c>
      <c r="M54" s="334"/>
      <c r="N54" s="158">
        <f t="shared" si="4"/>
        <v>0</v>
      </c>
      <c r="O54" s="158">
        <f t="shared" si="5"/>
        <v>0</v>
      </c>
      <c r="P54" s="4"/>
    </row>
    <row r="55" spans="2:16">
      <c r="B55" s="9" t="str">
        <f t="shared" si="7"/>
        <v/>
      </c>
      <c r="C55" s="153">
        <f>IF(D11="","-",+C54+1)</f>
        <v>2057</v>
      </c>
      <c r="D55" s="159">
        <f>IF(F54+SUM(E$17:E54)=D$10,F54,D$10-SUM(E$17:E54))</f>
        <v>538325.48183967965</v>
      </c>
      <c r="E55" s="160">
        <f>IF(+I14&lt;F54,I14,D55)</f>
        <v>89720.930232558138</v>
      </c>
      <c r="F55" s="159">
        <f t="shared" si="6"/>
        <v>448604.55160712148</v>
      </c>
      <c r="G55" s="161">
        <f t="shared" si="0"/>
        <v>138848.17180748339</v>
      </c>
      <c r="H55" s="142">
        <f t="shared" si="1"/>
        <v>138848.17180748339</v>
      </c>
      <c r="I55" s="156">
        <f t="shared" si="2"/>
        <v>0</v>
      </c>
      <c r="J55" s="156"/>
      <c r="K55" s="334"/>
      <c r="L55" s="158">
        <f t="shared" si="3"/>
        <v>0</v>
      </c>
      <c r="M55" s="334"/>
      <c r="N55" s="158">
        <f t="shared" si="4"/>
        <v>0</v>
      </c>
      <c r="O55" s="158">
        <f t="shared" si="5"/>
        <v>0</v>
      </c>
      <c r="P55" s="4"/>
    </row>
    <row r="56" spans="2:16">
      <c r="B56" s="9" t="str">
        <f t="shared" si="7"/>
        <v/>
      </c>
      <c r="C56" s="153">
        <f>IF(D11="","-",+C55+1)</f>
        <v>2058</v>
      </c>
      <c r="D56" s="159">
        <f>IF(F55+SUM(E$17:E55)=D$10,F55,D$10-SUM(E$17:E55))</f>
        <v>448604.55160712148</v>
      </c>
      <c r="E56" s="160">
        <f>IF(+I14&lt;F55,I14,D56)</f>
        <v>89720.930232558138</v>
      </c>
      <c r="F56" s="159">
        <f t="shared" si="6"/>
        <v>358883.62137456331</v>
      </c>
      <c r="G56" s="161">
        <f t="shared" si="0"/>
        <v>129915.94426452758</v>
      </c>
      <c r="H56" s="142">
        <f t="shared" si="1"/>
        <v>129915.94426452758</v>
      </c>
      <c r="I56" s="156">
        <f t="shared" si="2"/>
        <v>0</v>
      </c>
      <c r="J56" s="156"/>
      <c r="K56" s="334"/>
      <c r="L56" s="158">
        <f t="shared" si="3"/>
        <v>0</v>
      </c>
      <c r="M56" s="334"/>
      <c r="N56" s="158">
        <f t="shared" si="4"/>
        <v>0</v>
      </c>
      <c r="O56" s="158">
        <f t="shared" si="5"/>
        <v>0</v>
      </c>
      <c r="P56" s="4"/>
    </row>
    <row r="57" spans="2:16">
      <c r="B57" s="9" t="str">
        <f t="shared" si="7"/>
        <v/>
      </c>
      <c r="C57" s="153">
        <f>IF(D11="","-",+C56+1)</f>
        <v>2059</v>
      </c>
      <c r="D57" s="159">
        <f>IF(F56+SUM(E$17:E56)=D$10,F56,D$10-SUM(E$17:E56))</f>
        <v>358883.62137456331</v>
      </c>
      <c r="E57" s="160">
        <f>IF(+I14&lt;F56,I14,D57)</f>
        <v>89720.930232558138</v>
      </c>
      <c r="F57" s="159">
        <f t="shared" si="6"/>
        <v>269162.69114200515</v>
      </c>
      <c r="G57" s="161">
        <f t="shared" si="0"/>
        <v>120983.71672157181</v>
      </c>
      <c r="H57" s="142">
        <f t="shared" si="1"/>
        <v>120983.71672157181</v>
      </c>
      <c r="I57" s="156">
        <f t="shared" si="2"/>
        <v>0</v>
      </c>
      <c r="J57" s="156"/>
      <c r="K57" s="334"/>
      <c r="L57" s="158">
        <f t="shared" si="3"/>
        <v>0</v>
      </c>
      <c r="M57" s="334"/>
      <c r="N57" s="158">
        <f t="shared" si="4"/>
        <v>0</v>
      </c>
      <c r="O57" s="158">
        <f t="shared" si="5"/>
        <v>0</v>
      </c>
      <c r="P57" s="4"/>
    </row>
    <row r="58" spans="2:16">
      <c r="B58" s="9" t="str">
        <f t="shared" si="7"/>
        <v/>
      </c>
      <c r="C58" s="153">
        <f>IF(D11="","-",+C57+1)</f>
        <v>2060</v>
      </c>
      <c r="D58" s="159">
        <f>IF(F57+SUM(E$17:E57)=D$10,F57,D$10-SUM(E$17:E57))</f>
        <v>269162.69114200515</v>
      </c>
      <c r="E58" s="160">
        <f>IF(+I14&lt;F57,I14,D58)</f>
        <v>89720.930232558138</v>
      </c>
      <c r="F58" s="159">
        <f t="shared" si="6"/>
        <v>179441.76090944701</v>
      </c>
      <c r="G58" s="161">
        <f t="shared" si="0"/>
        <v>112051.489178616</v>
      </c>
      <c r="H58" s="142">
        <f t="shared" si="1"/>
        <v>112051.489178616</v>
      </c>
      <c r="I58" s="156">
        <f t="shared" si="2"/>
        <v>0</v>
      </c>
      <c r="J58" s="156"/>
      <c r="K58" s="334"/>
      <c r="L58" s="158">
        <f t="shared" si="3"/>
        <v>0</v>
      </c>
      <c r="M58" s="334"/>
      <c r="N58" s="158">
        <f t="shared" si="4"/>
        <v>0</v>
      </c>
      <c r="O58" s="158">
        <f t="shared" si="5"/>
        <v>0</v>
      </c>
      <c r="P58" s="4"/>
    </row>
    <row r="59" spans="2:16">
      <c r="B59" s="9" t="str">
        <f t="shared" si="7"/>
        <v/>
      </c>
      <c r="C59" s="153">
        <f>IF(D11="","-",+C58+1)</f>
        <v>2061</v>
      </c>
      <c r="D59" s="159">
        <f>IF(F58+SUM(E$17:E58)=D$10,F58,D$10-SUM(E$17:E58))</f>
        <v>179441.76090944701</v>
      </c>
      <c r="E59" s="160">
        <f>IF(+I14&lt;F58,I14,D59)</f>
        <v>89720.930232558138</v>
      </c>
      <c r="F59" s="159">
        <f t="shared" si="6"/>
        <v>89720.830676888872</v>
      </c>
      <c r="G59" s="161">
        <f t="shared" si="0"/>
        <v>103119.26163566022</v>
      </c>
      <c r="H59" s="142">
        <f t="shared" si="1"/>
        <v>103119.26163566022</v>
      </c>
      <c r="I59" s="156">
        <f t="shared" si="2"/>
        <v>0</v>
      </c>
      <c r="J59" s="156"/>
      <c r="K59" s="334"/>
      <c r="L59" s="158">
        <f t="shared" si="3"/>
        <v>0</v>
      </c>
      <c r="M59" s="334"/>
      <c r="N59" s="158">
        <f t="shared" si="4"/>
        <v>0</v>
      </c>
      <c r="O59" s="158">
        <f t="shared" si="5"/>
        <v>0</v>
      </c>
      <c r="P59" s="4"/>
    </row>
    <row r="60" spans="2:16">
      <c r="B60" s="9" t="str">
        <f t="shared" si="7"/>
        <v/>
      </c>
      <c r="C60" s="153">
        <f>IF(D11="","-",+C59+1)</f>
        <v>2062</v>
      </c>
      <c r="D60" s="159">
        <f>IF(F59+SUM(E$17:E59)=D$10,F59,D$10-SUM(E$17:E59))</f>
        <v>89720.830676888872</v>
      </c>
      <c r="E60" s="160">
        <f>IF(+I14&lt;F59,I14,D60)</f>
        <v>89720.830676888872</v>
      </c>
      <c r="F60" s="159">
        <f t="shared" si="6"/>
        <v>0</v>
      </c>
      <c r="G60" s="161">
        <f t="shared" si="0"/>
        <v>94186.939492700971</v>
      </c>
      <c r="H60" s="142">
        <f t="shared" si="1"/>
        <v>94186.939492700971</v>
      </c>
      <c r="I60" s="156">
        <f t="shared" si="2"/>
        <v>0</v>
      </c>
      <c r="J60" s="156"/>
      <c r="K60" s="334"/>
      <c r="L60" s="158">
        <f t="shared" si="3"/>
        <v>0</v>
      </c>
      <c r="M60" s="334"/>
      <c r="N60" s="158">
        <f t="shared" si="4"/>
        <v>0</v>
      </c>
      <c r="O60" s="158">
        <f t="shared" si="5"/>
        <v>0</v>
      </c>
      <c r="P60" s="4"/>
    </row>
    <row r="61" spans="2:16">
      <c r="B61" s="9" t="str">
        <f t="shared" si="7"/>
        <v/>
      </c>
      <c r="C61" s="153">
        <f>IF(D11="","-",+C60+1)</f>
        <v>2063</v>
      </c>
      <c r="D61" s="159">
        <f>IF(F60+SUM(E$17:E60)=D$10,F60,D$10-SUM(E$17:E60))</f>
        <v>0</v>
      </c>
      <c r="E61" s="160">
        <f>IF(+I14&lt;F60,I14,D61)</f>
        <v>0</v>
      </c>
      <c r="F61" s="159">
        <f t="shared" si="6"/>
        <v>0</v>
      </c>
      <c r="G61" s="163">
        <f t="shared" si="0"/>
        <v>0</v>
      </c>
      <c r="H61" s="142">
        <f t="shared" si="1"/>
        <v>0</v>
      </c>
      <c r="I61" s="156">
        <f t="shared" si="2"/>
        <v>0</v>
      </c>
      <c r="J61" s="156"/>
      <c r="K61" s="334"/>
      <c r="L61" s="158">
        <f t="shared" si="3"/>
        <v>0</v>
      </c>
      <c r="M61" s="334"/>
      <c r="N61" s="158">
        <f t="shared" si="4"/>
        <v>0</v>
      </c>
      <c r="O61" s="158">
        <f t="shared" si="5"/>
        <v>0</v>
      </c>
      <c r="P61" s="4"/>
    </row>
    <row r="62" spans="2:16">
      <c r="B62" s="9" t="str">
        <f t="shared" si="7"/>
        <v/>
      </c>
      <c r="C62" s="153">
        <f>IF(D11="","-",+C61+1)</f>
        <v>2064</v>
      </c>
      <c r="D62" s="159">
        <f>IF(F61+SUM(E$17:E61)=D$10,F61,D$10-SUM(E$17:E61))</f>
        <v>0</v>
      </c>
      <c r="E62" s="160">
        <f>IF(+I14&lt;F61,I14,D62)</f>
        <v>0</v>
      </c>
      <c r="F62" s="159">
        <f t="shared" si="6"/>
        <v>0</v>
      </c>
      <c r="G62" s="163">
        <f t="shared" si="0"/>
        <v>0</v>
      </c>
      <c r="H62" s="142">
        <f t="shared" si="1"/>
        <v>0</v>
      </c>
      <c r="I62" s="156">
        <f t="shared" si="2"/>
        <v>0</v>
      </c>
      <c r="J62" s="156"/>
      <c r="K62" s="334"/>
      <c r="L62" s="158">
        <f t="shared" si="3"/>
        <v>0</v>
      </c>
      <c r="M62" s="334"/>
      <c r="N62" s="158">
        <f t="shared" si="4"/>
        <v>0</v>
      </c>
      <c r="O62" s="158">
        <f t="shared" si="5"/>
        <v>0</v>
      </c>
      <c r="P62" s="4"/>
    </row>
    <row r="63" spans="2:16">
      <c r="B63" s="9" t="str">
        <f t="shared" si="7"/>
        <v/>
      </c>
      <c r="C63" s="153">
        <f>IF(D11="","-",+C62+1)</f>
        <v>2065</v>
      </c>
      <c r="D63" s="159">
        <f>IF(F62+SUM(E$17:E62)=D$10,F62,D$10-SUM(E$17:E62))</f>
        <v>0</v>
      </c>
      <c r="E63" s="160">
        <f>IF(+I14&lt;F62,I14,D63)</f>
        <v>0</v>
      </c>
      <c r="F63" s="159">
        <f t="shared" si="6"/>
        <v>0</v>
      </c>
      <c r="G63" s="163">
        <f t="shared" si="0"/>
        <v>0</v>
      </c>
      <c r="H63" s="142">
        <f t="shared" si="1"/>
        <v>0</v>
      </c>
      <c r="I63" s="156">
        <f t="shared" si="2"/>
        <v>0</v>
      </c>
      <c r="J63" s="156"/>
      <c r="K63" s="334"/>
      <c r="L63" s="158">
        <f t="shared" si="3"/>
        <v>0</v>
      </c>
      <c r="M63" s="334"/>
      <c r="N63" s="158">
        <f t="shared" si="4"/>
        <v>0</v>
      </c>
      <c r="O63" s="158">
        <f t="shared" si="5"/>
        <v>0</v>
      </c>
      <c r="P63" s="4"/>
    </row>
    <row r="64" spans="2:16">
      <c r="B64" s="9" t="str">
        <f t="shared" si="7"/>
        <v/>
      </c>
      <c r="C64" s="153">
        <f>IF(D11="","-",+C63+1)</f>
        <v>2066</v>
      </c>
      <c r="D64" s="159">
        <f>IF(F63+SUM(E$17:E63)=D$10,F63,D$10-SUM(E$17:E63))</f>
        <v>0</v>
      </c>
      <c r="E64" s="160">
        <f>IF(+I14&lt;F63,I14,D64)</f>
        <v>0</v>
      </c>
      <c r="F64" s="159">
        <f t="shared" si="6"/>
        <v>0</v>
      </c>
      <c r="G64" s="163">
        <f t="shared" si="0"/>
        <v>0</v>
      </c>
      <c r="H64" s="142">
        <f t="shared" si="1"/>
        <v>0</v>
      </c>
      <c r="I64" s="156">
        <f t="shared" si="2"/>
        <v>0</v>
      </c>
      <c r="J64" s="156"/>
      <c r="K64" s="334"/>
      <c r="L64" s="158">
        <f t="shared" si="3"/>
        <v>0</v>
      </c>
      <c r="M64" s="334"/>
      <c r="N64" s="158">
        <f t="shared" si="4"/>
        <v>0</v>
      </c>
      <c r="O64" s="158">
        <f t="shared" si="5"/>
        <v>0</v>
      </c>
      <c r="P64" s="4"/>
    </row>
    <row r="65" spans="2:16">
      <c r="B65" s="9" t="str">
        <f t="shared" si="7"/>
        <v/>
      </c>
      <c r="C65" s="153">
        <f>IF(D11="","-",+C64+1)</f>
        <v>2067</v>
      </c>
      <c r="D65" s="159">
        <f>IF(F64+SUM(E$17:E64)=D$10,F64,D$10-SUM(E$17:E64))</f>
        <v>0</v>
      </c>
      <c r="E65" s="160">
        <f>IF(+I14&lt;F64,I14,D65)</f>
        <v>0</v>
      </c>
      <c r="F65" s="159">
        <f t="shared" si="6"/>
        <v>0</v>
      </c>
      <c r="G65" s="163">
        <f t="shared" si="0"/>
        <v>0</v>
      </c>
      <c r="H65" s="142">
        <f t="shared" si="1"/>
        <v>0</v>
      </c>
      <c r="I65" s="156">
        <f t="shared" si="2"/>
        <v>0</v>
      </c>
      <c r="J65" s="156"/>
      <c r="K65" s="334"/>
      <c r="L65" s="158">
        <f t="shared" si="3"/>
        <v>0</v>
      </c>
      <c r="M65" s="334"/>
      <c r="N65" s="158">
        <f t="shared" si="4"/>
        <v>0</v>
      </c>
      <c r="O65" s="158">
        <f t="shared" si="5"/>
        <v>0</v>
      </c>
      <c r="P65" s="4"/>
    </row>
    <row r="66" spans="2:16">
      <c r="B66" s="9" t="str">
        <f t="shared" si="7"/>
        <v/>
      </c>
      <c r="C66" s="153">
        <f>IF(D11="","-",+C65+1)</f>
        <v>2068</v>
      </c>
      <c r="D66" s="159">
        <f>IF(F65+SUM(E$17:E65)=D$10,F65,D$10-SUM(E$17:E65))</f>
        <v>0</v>
      </c>
      <c r="E66" s="160">
        <f>IF(+I14&lt;F65,I14,D66)</f>
        <v>0</v>
      </c>
      <c r="F66" s="159">
        <f t="shared" si="6"/>
        <v>0</v>
      </c>
      <c r="G66" s="163">
        <f t="shared" si="0"/>
        <v>0</v>
      </c>
      <c r="H66" s="142">
        <f t="shared" si="1"/>
        <v>0</v>
      </c>
      <c r="I66" s="156">
        <f t="shared" si="2"/>
        <v>0</v>
      </c>
      <c r="J66" s="156"/>
      <c r="K66" s="334"/>
      <c r="L66" s="158">
        <f t="shared" si="3"/>
        <v>0</v>
      </c>
      <c r="M66" s="334"/>
      <c r="N66" s="158">
        <f t="shared" si="4"/>
        <v>0</v>
      </c>
      <c r="O66" s="158">
        <f t="shared" si="5"/>
        <v>0</v>
      </c>
      <c r="P66" s="4"/>
    </row>
    <row r="67" spans="2:16">
      <c r="B67" s="9" t="str">
        <f t="shared" si="7"/>
        <v/>
      </c>
      <c r="C67" s="153">
        <f>IF(D11="","-",+C66+1)</f>
        <v>2069</v>
      </c>
      <c r="D67" s="159">
        <f>IF(F66+SUM(E$17:E66)=D$10,F66,D$10-SUM(E$17:E66))</f>
        <v>0</v>
      </c>
      <c r="E67" s="160">
        <f>IF(+I14&lt;F66,I14,D67)</f>
        <v>0</v>
      </c>
      <c r="F67" s="159">
        <f t="shared" si="6"/>
        <v>0</v>
      </c>
      <c r="G67" s="163">
        <f t="shared" si="0"/>
        <v>0</v>
      </c>
      <c r="H67" s="142">
        <f t="shared" si="1"/>
        <v>0</v>
      </c>
      <c r="I67" s="156">
        <f t="shared" si="2"/>
        <v>0</v>
      </c>
      <c r="J67" s="156"/>
      <c r="K67" s="334"/>
      <c r="L67" s="158">
        <f t="shared" si="3"/>
        <v>0</v>
      </c>
      <c r="M67" s="334"/>
      <c r="N67" s="158">
        <f t="shared" si="4"/>
        <v>0</v>
      </c>
      <c r="O67" s="158">
        <f t="shared" si="5"/>
        <v>0</v>
      </c>
      <c r="P67" s="4"/>
    </row>
    <row r="68" spans="2:16">
      <c r="B68" s="9" t="str">
        <f t="shared" si="7"/>
        <v/>
      </c>
      <c r="C68" s="153">
        <f>IF(D11="","-",+C67+1)</f>
        <v>2070</v>
      </c>
      <c r="D68" s="159">
        <f>IF(F67+SUM(E$17:E67)=D$10,F67,D$10-SUM(E$17:E67))</f>
        <v>0</v>
      </c>
      <c r="E68" s="160">
        <f>IF(+I14&lt;F67,I14,D68)</f>
        <v>0</v>
      </c>
      <c r="F68" s="159">
        <f t="shared" si="6"/>
        <v>0</v>
      </c>
      <c r="G68" s="163">
        <f t="shared" si="0"/>
        <v>0</v>
      </c>
      <c r="H68" s="142">
        <f t="shared" si="1"/>
        <v>0</v>
      </c>
      <c r="I68" s="156">
        <f t="shared" si="2"/>
        <v>0</v>
      </c>
      <c r="J68" s="156"/>
      <c r="K68" s="334"/>
      <c r="L68" s="158">
        <f t="shared" si="3"/>
        <v>0</v>
      </c>
      <c r="M68" s="334"/>
      <c r="N68" s="158">
        <f t="shared" si="4"/>
        <v>0</v>
      </c>
      <c r="O68" s="158">
        <f t="shared" si="5"/>
        <v>0</v>
      </c>
      <c r="P68" s="4"/>
    </row>
    <row r="69" spans="2:16">
      <c r="B69" s="9" t="str">
        <f t="shared" si="7"/>
        <v/>
      </c>
      <c r="C69" s="153">
        <f>IF(D11="","-",+C68+1)</f>
        <v>2071</v>
      </c>
      <c r="D69" s="159">
        <f>IF(F68+SUM(E$17:E68)=D$10,F68,D$10-SUM(E$17:E68))</f>
        <v>0</v>
      </c>
      <c r="E69" s="160">
        <f>IF(+I14&lt;F68,I14,D69)</f>
        <v>0</v>
      </c>
      <c r="F69" s="159">
        <f t="shared" si="6"/>
        <v>0</v>
      </c>
      <c r="G69" s="163">
        <f t="shared" si="0"/>
        <v>0</v>
      </c>
      <c r="H69" s="142">
        <f t="shared" si="1"/>
        <v>0</v>
      </c>
      <c r="I69" s="156">
        <f t="shared" si="2"/>
        <v>0</v>
      </c>
      <c r="J69" s="156"/>
      <c r="K69" s="334"/>
      <c r="L69" s="158">
        <f t="shared" si="3"/>
        <v>0</v>
      </c>
      <c r="M69" s="334"/>
      <c r="N69" s="158">
        <f t="shared" si="4"/>
        <v>0</v>
      </c>
      <c r="O69" s="158">
        <f t="shared" si="5"/>
        <v>0</v>
      </c>
      <c r="P69" s="4"/>
    </row>
    <row r="70" spans="2:16">
      <c r="B70" s="9" t="str">
        <f t="shared" si="7"/>
        <v/>
      </c>
      <c r="C70" s="153">
        <f>IF(D11="","-",+C69+1)</f>
        <v>2072</v>
      </c>
      <c r="D70" s="159">
        <f>IF(F69+SUM(E$17:E69)=D$10,F69,D$10-SUM(E$17:E69))</f>
        <v>0</v>
      </c>
      <c r="E70" s="160">
        <f>IF(+I14&lt;F69,I14,D70)</f>
        <v>0</v>
      </c>
      <c r="F70" s="159">
        <f t="shared" si="6"/>
        <v>0</v>
      </c>
      <c r="G70" s="163">
        <f t="shared" si="0"/>
        <v>0</v>
      </c>
      <c r="H70" s="142">
        <f t="shared" si="1"/>
        <v>0</v>
      </c>
      <c r="I70" s="156">
        <f t="shared" si="2"/>
        <v>0</v>
      </c>
      <c r="J70" s="156"/>
      <c r="K70" s="334"/>
      <c r="L70" s="158">
        <f t="shared" si="3"/>
        <v>0</v>
      </c>
      <c r="M70" s="334"/>
      <c r="N70" s="158">
        <f t="shared" si="4"/>
        <v>0</v>
      </c>
      <c r="O70" s="158">
        <f t="shared" si="5"/>
        <v>0</v>
      </c>
      <c r="P70" s="4"/>
    </row>
    <row r="71" spans="2:16">
      <c r="B71" s="9" t="str">
        <f t="shared" si="7"/>
        <v/>
      </c>
      <c r="C71" s="153">
        <f>IF(D11="","-",+C70+1)</f>
        <v>2073</v>
      </c>
      <c r="D71" s="159">
        <f>IF(F70+SUM(E$17:E70)=D$10,F70,D$10-SUM(E$17:E70))</f>
        <v>0</v>
      </c>
      <c r="E71" s="160">
        <f>IF(+I14&lt;F70,I14,D71)</f>
        <v>0</v>
      </c>
      <c r="F71" s="159">
        <f t="shared" si="6"/>
        <v>0</v>
      </c>
      <c r="G71" s="163">
        <f t="shared" si="0"/>
        <v>0</v>
      </c>
      <c r="H71" s="142">
        <f t="shared" si="1"/>
        <v>0</v>
      </c>
      <c r="I71" s="156">
        <f t="shared" si="2"/>
        <v>0</v>
      </c>
      <c r="J71" s="156"/>
      <c r="K71" s="334"/>
      <c r="L71" s="158">
        <f t="shared" si="3"/>
        <v>0</v>
      </c>
      <c r="M71" s="334"/>
      <c r="N71" s="158">
        <f t="shared" si="4"/>
        <v>0</v>
      </c>
      <c r="O71" s="158">
        <f t="shared" si="5"/>
        <v>0</v>
      </c>
      <c r="P71" s="4"/>
    </row>
    <row r="72" spans="2:16" ht="13.5" thickBot="1">
      <c r="B72" s="9" t="str">
        <f t="shared" si="7"/>
        <v/>
      </c>
      <c r="C72" s="164">
        <f>IF(D11="","-",+C71+1)</f>
        <v>2074</v>
      </c>
      <c r="D72" s="165">
        <f>IF(F71+SUM(E$17:E71)=D$10,F71,D$10-SUM(E$17:E71))</f>
        <v>0</v>
      </c>
      <c r="E72" s="166">
        <f>IF(+I14&lt;F71,I14,D72)</f>
        <v>0</v>
      </c>
      <c r="F72" s="165">
        <f t="shared" si="6"/>
        <v>0</v>
      </c>
      <c r="G72" s="167">
        <f t="shared" si="0"/>
        <v>0</v>
      </c>
      <c r="H72" s="124">
        <f t="shared" si="1"/>
        <v>0</v>
      </c>
      <c r="I72" s="168">
        <f t="shared" si="2"/>
        <v>0</v>
      </c>
      <c r="J72" s="156"/>
      <c r="K72" s="335"/>
      <c r="L72" s="169">
        <f t="shared" si="3"/>
        <v>0</v>
      </c>
      <c r="M72" s="335"/>
      <c r="N72" s="169">
        <f t="shared" si="4"/>
        <v>0</v>
      </c>
      <c r="O72" s="169">
        <f t="shared" si="5"/>
        <v>0</v>
      </c>
      <c r="P72" s="4"/>
    </row>
    <row r="73" spans="2:16">
      <c r="C73" s="154" t="s">
        <v>73</v>
      </c>
      <c r="D73" s="111"/>
      <c r="E73" s="111">
        <f>SUM(E17:E72)</f>
        <v>3858000</v>
      </c>
      <c r="F73" s="111"/>
      <c r="G73" s="111">
        <f>SUM(G17:G72)</f>
        <v>12307886.829448918</v>
      </c>
      <c r="H73" s="111">
        <f>SUM(H17:H72)</f>
        <v>12307886.829448918</v>
      </c>
      <c r="I73" s="111">
        <f>SUM(I17:I72)</f>
        <v>0</v>
      </c>
      <c r="J73" s="111"/>
      <c r="K73" s="111"/>
      <c r="L73" s="111"/>
      <c r="M73" s="111"/>
      <c r="N73" s="111"/>
      <c r="O73" s="4"/>
      <c r="P73" s="4"/>
    </row>
    <row r="74" spans="2:16">
      <c r="D74" s="2"/>
      <c r="E74" s="1"/>
      <c r="F74" s="1"/>
      <c r="G74" s="1"/>
      <c r="H74" s="3"/>
      <c r="I74" s="3"/>
      <c r="J74" s="111"/>
      <c r="K74" s="3"/>
      <c r="L74" s="3"/>
      <c r="M74" s="3"/>
      <c r="N74" s="3"/>
      <c r="O74" s="1"/>
      <c r="P74" s="1"/>
    </row>
    <row r="75" spans="2:16">
      <c r="C75" s="170" t="s">
        <v>91</v>
      </c>
      <c r="D75" s="2"/>
      <c r="E75" s="1"/>
      <c r="F75" s="1"/>
      <c r="G75" s="1"/>
      <c r="H75" s="3"/>
      <c r="I75" s="3"/>
      <c r="J75" s="111"/>
      <c r="K75" s="3"/>
      <c r="L75" s="3"/>
      <c r="M75" s="3"/>
      <c r="N75" s="3"/>
      <c r="O75" s="1"/>
      <c r="P75" s="1"/>
    </row>
    <row r="76" spans="2:16">
      <c r="C76" s="121" t="s">
        <v>74</v>
      </c>
      <c r="D76" s="2"/>
      <c r="E76" s="1"/>
      <c r="F76" s="1"/>
      <c r="G76" s="1"/>
      <c r="H76" s="3"/>
      <c r="I76" s="3"/>
      <c r="J76" s="111"/>
      <c r="K76" s="3"/>
      <c r="L76" s="3"/>
      <c r="M76" s="3"/>
      <c r="N76" s="3"/>
      <c r="O76" s="4"/>
      <c r="P76" s="4"/>
    </row>
    <row r="77" spans="2:16">
      <c r="C77" s="121" t="s">
        <v>75</v>
      </c>
      <c r="D77" s="154"/>
      <c r="E77" s="154"/>
      <c r="F77" s="154"/>
      <c r="G77" s="111"/>
      <c r="H77" s="111"/>
      <c r="I77" s="171"/>
      <c r="J77" s="171"/>
      <c r="K77" s="171"/>
      <c r="L77" s="171"/>
      <c r="M77" s="171"/>
      <c r="N77" s="171"/>
      <c r="O77" s="4"/>
      <c r="P77" s="4"/>
    </row>
    <row r="78" spans="2:16">
      <c r="C78" s="121"/>
      <c r="D78" s="154"/>
      <c r="E78" s="154"/>
      <c r="F78" s="154"/>
      <c r="G78" s="111"/>
      <c r="H78" s="111"/>
      <c r="I78" s="171"/>
      <c r="J78" s="171"/>
      <c r="K78" s="171"/>
      <c r="L78" s="171"/>
      <c r="M78" s="171"/>
      <c r="N78" s="171"/>
      <c r="O78" s="4"/>
      <c r="P78" s="1"/>
    </row>
    <row r="79" spans="2:16">
      <c r="B79" s="1"/>
      <c r="C79" s="21"/>
      <c r="D79" s="2"/>
      <c r="E79" s="1"/>
      <c r="F79" s="107"/>
      <c r="G79" s="1"/>
      <c r="H79" s="3"/>
      <c r="I79" s="1"/>
      <c r="J79" s="4"/>
      <c r="K79" s="1"/>
      <c r="L79" s="1"/>
      <c r="M79" s="1"/>
      <c r="N79" s="1"/>
      <c r="O79" s="1"/>
      <c r="P79" s="1"/>
    </row>
    <row r="80" spans="2:16" ht="18">
      <c r="B80" s="1"/>
      <c r="C80" s="242"/>
      <c r="D80" s="2"/>
      <c r="E80" s="1"/>
      <c r="F80" s="107"/>
      <c r="G80" s="1"/>
      <c r="H80" s="3"/>
      <c r="I80" s="1"/>
      <c r="J80" s="4"/>
      <c r="K80" s="1"/>
      <c r="L80" s="1"/>
      <c r="M80" s="1"/>
      <c r="N80" s="1"/>
      <c r="P80" s="244" t="s">
        <v>125</v>
      </c>
    </row>
    <row r="81" spans="1:16">
      <c r="B81" s="1"/>
      <c r="C81" s="21"/>
      <c r="D81" s="2"/>
      <c r="E81" s="1"/>
      <c r="F81" s="107"/>
      <c r="G81" s="1"/>
      <c r="H81" s="3"/>
      <c r="I81" s="1"/>
      <c r="J81" s="4"/>
      <c r="K81" s="1"/>
      <c r="L81" s="1"/>
      <c r="M81" s="1"/>
      <c r="N81" s="1"/>
      <c r="O81" s="1"/>
      <c r="P81" s="1"/>
    </row>
    <row r="82" spans="1:16">
      <c r="B82" s="1"/>
      <c r="C82" s="21"/>
      <c r="D82" s="2"/>
      <c r="E82" s="1"/>
      <c r="F82" s="107"/>
      <c r="G82" s="1"/>
      <c r="H82" s="3"/>
      <c r="I82" s="1"/>
      <c r="J82" s="4"/>
      <c r="K82" s="1"/>
      <c r="L82" s="1"/>
      <c r="M82" s="1"/>
      <c r="N82" s="1"/>
      <c r="O82" s="1"/>
      <c r="P82" s="1"/>
    </row>
    <row r="83" spans="1:16" ht="20.25">
      <c r="A83" s="243" t="s">
        <v>129</v>
      </c>
      <c r="B83" s="1"/>
      <c r="C83" s="21"/>
      <c r="D83" s="2"/>
      <c r="E83" s="1"/>
      <c r="F83" s="99"/>
      <c r="G83" s="99"/>
      <c r="H83" s="1"/>
      <c r="I83" s="3"/>
      <c r="K83" s="7"/>
      <c r="L83" s="109"/>
      <c r="M83" s="109"/>
      <c r="P83" s="109" t="str">
        <f ca="1">P1</f>
        <v>SWEPCO Project 73 of 73</v>
      </c>
    </row>
    <row r="84" spans="1:16" ht="18">
      <c r="B84" s="1"/>
      <c r="C84" s="1"/>
      <c r="D84" s="2"/>
      <c r="E84" s="1"/>
      <c r="F84" s="1"/>
      <c r="G84" s="1"/>
      <c r="H84" s="1"/>
      <c r="I84" s="3"/>
      <c r="J84" s="1"/>
      <c r="K84" s="4"/>
      <c r="L84" s="1"/>
      <c r="M84" s="1"/>
      <c r="P84" s="244" t="s">
        <v>123</v>
      </c>
    </row>
    <row r="85" spans="1:16" ht="18.75" thickBot="1">
      <c r="B85" s="5" t="s">
        <v>40</v>
      </c>
      <c r="C85" s="197" t="s">
        <v>78</v>
      </c>
      <c r="D85" s="2"/>
      <c r="E85" s="1"/>
      <c r="F85" s="1"/>
      <c r="G85" s="1"/>
      <c r="H85" s="1"/>
      <c r="I85" s="3"/>
      <c r="J85" s="3"/>
      <c r="K85" s="111"/>
      <c r="L85" s="3"/>
      <c r="M85" s="3"/>
      <c r="N85" s="3"/>
      <c r="O85" s="111"/>
      <c r="P85" s="1"/>
    </row>
    <row r="86" spans="1:16" ht="15.75" thickBot="1">
      <c r="C86" s="67"/>
      <c r="D86" s="2"/>
      <c r="E86" s="1"/>
      <c r="F86" s="1"/>
      <c r="G86" s="1"/>
      <c r="H86" s="1"/>
      <c r="I86" s="3"/>
      <c r="J86" s="3"/>
      <c r="K86" s="111"/>
      <c r="L86" s="265">
        <f>+J92</f>
        <v>2017</v>
      </c>
      <c r="M86" s="266" t="s">
        <v>7</v>
      </c>
      <c r="N86" s="270" t="s">
        <v>154</v>
      </c>
      <c r="O86" s="267" t="s">
        <v>9</v>
      </c>
      <c r="P86" s="1"/>
    </row>
    <row r="87" spans="1:16" ht="15">
      <c r="C87" s="235" t="s">
        <v>42</v>
      </c>
      <c r="D87" s="2"/>
      <c r="E87" s="1"/>
      <c r="F87" s="1"/>
      <c r="G87" s="1"/>
      <c r="H87" s="113"/>
      <c r="I87" s="1" t="s">
        <v>43</v>
      </c>
      <c r="J87" s="1"/>
      <c r="K87" s="261"/>
      <c r="L87" s="259" t="s">
        <v>381</v>
      </c>
      <c r="M87" s="198">
        <f>IF(J92&lt;D11,0,VLOOKUP(J92,C17:O72,9))</f>
        <v>0</v>
      </c>
      <c r="N87" s="198">
        <f>IF(J92&lt;D11,0,VLOOKUP(J92,C17:O72,11))</f>
        <v>0</v>
      </c>
      <c r="O87" s="199">
        <f>+N87-M87</f>
        <v>0</v>
      </c>
      <c r="P87" s="1"/>
    </row>
    <row r="88" spans="1:16" ht="15.75">
      <c r="C88" s="8"/>
      <c r="D88" s="2"/>
      <c r="E88" s="1"/>
      <c r="F88" s="1"/>
      <c r="G88" s="1"/>
      <c r="H88" s="1"/>
      <c r="I88" s="117"/>
      <c r="J88" s="117"/>
      <c r="K88" s="263"/>
      <c r="L88" s="264" t="s">
        <v>382</v>
      </c>
      <c r="M88" s="200">
        <f>IF(J92&lt;D11,0,VLOOKUP(J92,C99:P154,6))</f>
        <v>0</v>
      </c>
      <c r="N88" s="200">
        <f>IF(J92&lt;D11,0,VLOOKUP(J92,C99:P154,7))</f>
        <v>0</v>
      </c>
      <c r="O88" s="201">
        <f>+N88-M88</f>
        <v>0</v>
      </c>
      <c r="P88" s="1"/>
    </row>
    <row r="89" spans="1:16" ht="13.5" thickBot="1">
      <c r="C89" s="121" t="s">
        <v>79</v>
      </c>
      <c r="D89" s="246" t="str">
        <f>+D7</f>
        <v>Siloam Springs - Siloam Springs City 161 kV Rebuild</v>
      </c>
      <c r="E89" s="1"/>
      <c r="F89" s="1"/>
      <c r="G89" s="1"/>
      <c r="H89" s="1"/>
      <c r="I89" s="3"/>
      <c r="J89" s="3"/>
      <c r="K89" s="262"/>
      <c r="L89" s="260" t="s">
        <v>151</v>
      </c>
      <c r="M89" s="203">
        <f>+M88-M87</f>
        <v>0</v>
      </c>
      <c r="N89" s="203">
        <f>+N88-N87</f>
        <v>0</v>
      </c>
      <c r="O89" s="204">
        <f>+O88-O87</f>
        <v>0</v>
      </c>
      <c r="P89" s="1"/>
    </row>
    <row r="90" spans="1:16" ht="13.5" thickBot="1">
      <c r="C90" s="170"/>
      <c r="D90" s="173" t="str">
        <f>D8</f>
        <v/>
      </c>
      <c r="E90" s="107"/>
      <c r="F90" s="107"/>
      <c r="G90" s="107"/>
      <c r="H90" s="126"/>
      <c r="I90" s="3"/>
      <c r="J90" s="3"/>
      <c r="K90" s="111"/>
      <c r="L90" s="3"/>
      <c r="M90" s="3"/>
      <c r="N90" s="3"/>
      <c r="O90" s="111"/>
      <c r="P90" s="1"/>
    </row>
    <row r="91" spans="1:16" ht="13.5" thickBot="1">
      <c r="A91" s="103"/>
      <c r="C91" s="205" t="s">
        <v>80</v>
      </c>
      <c r="D91" s="224" t="str">
        <f>+D9</f>
        <v>TP______</v>
      </c>
      <c r="E91" s="206"/>
      <c r="F91" s="206"/>
      <c r="G91" s="206"/>
      <c r="H91" s="206"/>
      <c r="I91" s="206"/>
      <c r="J91" s="206"/>
      <c r="K91" s="207"/>
      <c r="P91" s="131"/>
    </row>
    <row r="92" spans="1:16">
      <c r="C92" s="136" t="s">
        <v>47</v>
      </c>
      <c r="D92" s="218">
        <f>+D10</f>
        <v>3858000</v>
      </c>
      <c r="E92" s="21" t="s">
        <v>81</v>
      </c>
      <c r="H92" s="134"/>
      <c r="I92" s="134"/>
      <c r="J92" s="135">
        <f>+'SWE.WS.G.BPU.ATRR.True-up'!M15</f>
        <v>2017</v>
      </c>
      <c r="K92" s="130"/>
      <c r="L92" s="111" t="s">
        <v>82</v>
      </c>
      <c r="P92" s="4"/>
    </row>
    <row r="93" spans="1:16">
      <c r="C93" s="136" t="s">
        <v>49</v>
      </c>
      <c r="D93" s="468">
        <f>+D11</f>
        <v>2019</v>
      </c>
      <c r="E93" s="136" t="s">
        <v>50</v>
      </c>
      <c r="F93" s="134"/>
      <c r="G93" s="134"/>
      <c r="J93" s="138">
        <f>IF(H87="",0,'SWE.WS.G.BPU.ATRR.True-up'!$F$12)</f>
        <v>0</v>
      </c>
      <c r="K93" s="139"/>
      <c r="L93" t="str">
        <f>"          INPUT TRUE-UP ARR (WITH &amp; WITHOUT INCENTIVES) FROM EACH PRIOR YEAR"</f>
        <v xml:space="preserve">          INPUT TRUE-UP ARR (WITH &amp; WITHOUT INCENTIVES) FROM EACH PRIOR YEAR</v>
      </c>
      <c r="P93" s="4"/>
    </row>
    <row r="94" spans="1:16">
      <c r="C94" s="136" t="s">
        <v>51</v>
      </c>
      <c r="D94" s="218">
        <f>+D12</f>
        <v>6</v>
      </c>
      <c r="E94" s="136" t="s">
        <v>52</v>
      </c>
      <c r="F94" s="134"/>
      <c r="G94" s="134"/>
      <c r="J94" s="140">
        <f>'SWE.WS.G.BPU.ATRR.True-up'!$F$80</f>
        <v>0.12147145768398206</v>
      </c>
      <c r="K94" s="141"/>
      <c r="L94" t="s">
        <v>83</v>
      </c>
      <c r="P94" s="4"/>
    </row>
    <row r="95" spans="1:16">
      <c r="C95" s="136" t="s">
        <v>54</v>
      </c>
      <c r="D95" s="138">
        <f>'SWE.WS.G.BPU.ATRR.True-up'!F$92</f>
        <v>42</v>
      </c>
      <c r="E95" s="136" t="s">
        <v>55</v>
      </c>
      <c r="F95" s="134"/>
      <c r="G95" s="134"/>
      <c r="J95" s="140">
        <f>IF(H87="",J94,'SWE.WS.G.BPU.ATRR.True-up'!$F$79)</f>
        <v>0.12147145768398206</v>
      </c>
      <c r="K95" s="58"/>
      <c r="L95" s="111" t="s">
        <v>56</v>
      </c>
      <c r="M95" s="58"/>
      <c r="N95" s="58"/>
      <c r="O95" s="58"/>
      <c r="P95" s="4"/>
    </row>
    <row r="96" spans="1:16" ht="13.5" thickBot="1">
      <c r="C96" s="136" t="s">
        <v>57</v>
      </c>
      <c r="D96" s="220" t="str">
        <f>+D14</f>
        <v>No</v>
      </c>
      <c r="E96" s="202" t="s">
        <v>59</v>
      </c>
      <c r="F96" s="208"/>
      <c r="G96" s="208"/>
      <c r="H96" s="209"/>
      <c r="I96" s="209"/>
      <c r="J96" s="124">
        <f>IF(D92=0,0,D92/D95)</f>
        <v>91857.142857142855</v>
      </c>
      <c r="K96" s="111"/>
      <c r="L96" s="111"/>
      <c r="M96" s="111"/>
      <c r="N96" s="111"/>
      <c r="O96" s="111"/>
      <c r="P96" s="4"/>
    </row>
    <row r="97" spans="1:16" ht="51">
      <c r="A97" s="6"/>
      <c r="B97" s="6"/>
      <c r="C97" s="210" t="s">
        <v>47</v>
      </c>
      <c r="D97" s="211" t="s">
        <v>60</v>
      </c>
      <c r="E97" s="146" t="s">
        <v>61</v>
      </c>
      <c r="F97" s="146" t="s">
        <v>62</v>
      </c>
      <c r="G97" s="144" t="s">
        <v>84</v>
      </c>
      <c r="H97" s="434" t="s">
        <v>378</v>
      </c>
      <c r="I97" s="435" t="s">
        <v>379</v>
      </c>
      <c r="J97" s="210" t="s">
        <v>85</v>
      </c>
      <c r="K97" s="212"/>
      <c r="L97" s="271" t="s">
        <v>220</v>
      </c>
      <c r="M97" s="146" t="s">
        <v>86</v>
      </c>
      <c r="N97" s="271" t="s">
        <v>220</v>
      </c>
      <c r="O97" s="146" t="s">
        <v>86</v>
      </c>
      <c r="P97" s="146" t="s">
        <v>65</v>
      </c>
    </row>
    <row r="98" spans="1:16" ht="13.5" thickBot="1">
      <c r="C98" s="147" t="s">
        <v>66</v>
      </c>
      <c r="D98" s="213" t="s">
        <v>67</v>
      </c>
      <c r="E98" s="147" t="s">
        <v>68</v>
      </c>
      <c r="F98" s="147" t="s">
        <v>67</v>
      </c>
      <c r="G98" s="147" t="s">
        <v>67</v>
      </c>
      <c r="H98" s="255" t="s">
        <v>69</v>
      </c>
      <c r="I98" s="148" t="s">
        <v>70</v>
      </c>
      <c r="J98" s="149" t="s">
        <v>89</v>
      </c>
      <c r="K98" s="150"/>
      <c r="L98" s="151" t="s">
        <v>72</v>
      </c>
      <c r="M98" s="151" t="s">
        <v>72</v>
      </c>
      <c r="N98" s="151" t="s">
        <v>90</v>
      </c>
      <c r="O98" s="151" t="s">
        <v>90</v>
      </c>
      <c r="P98" s="151" t="s">
        <v>90</v>
      </c>
    </row>
    <row r="99" spans="1:16">
      <c r="C99" s="153">
        <f>IF(D93= "","-",D93)</f>
        <v>2019</v>
      </c>
      <c r="D99" s="154">
        <f>IF(D93=C99,0,D92)</f>
        <v>0</v>
      </c>
      <c r="E99" s="161">
        <f>IF(D11=I10,0,J96/12*(12-D94))</f>
        <v>0</v>
      </c>
      <c r="F99" s="159">
        <f>IF(D93=C99,+D92-E99,+D99-E99)</f>
        <v>3858000</v>
      </c>
      <c r="G99" s="214">
        <f t="shared" ref="G99:G154" si="8">+(F99+D99)/2</f>
        <v>1929000</v>
      </c>
      <c r="H99" s="251">
        <f>+J94*G99+E99</f>
        <v>234318.4418724014</v>
      </c>
      <c r="I99" s="252">
        <f>+J95*G99+E99</f>
        <v>234318.4418724014</v>
      </c>
      <c r="J99" s="158">
        <f t="shared" ref="J99:J130" si="9">+I99-H99</f>
        <v>0</v>
      </c>
      <c r="K99" s="158"/>
      <c r="L99" s="333"/>
      <c r="M99" s="157">
        <f t="shared" ref="M99:M130" si="10">IF(L99&lt;&gt;0,+H99-L99,0)</f>
        <v>0</v>
      </c>
      <c r="N99" s="333"/>
      <c r="O99" s="157">
        <f t="shared" ref="O99:O130" si="11">IF(N99&lt;&gt;0,+I99-N99,0)</f>
        <v>0</v>
      </c>
      <c r="P99" s="157">
        <f t="shared" ref="P99:P130" si="12">+O99-M99</f>
        <v>0</v>
      </c>
    </row>
    <row r="100" spans="1:16">
      <c r="B100" s="9" t="str">
        <f>IF(D100=F99,"","IU")</f>
        <v/>
      </c>
      <c r="C100" s="153">
        <f>IF(D93="","-",+C99+1)</f>
        <v>2020</v>
      </c>
      <c r="D100" s="154">
        <f>IF(F99+SUM(E$99:E99)=D$92,F99,D$92-SUM(E$99:E99))</f>
        <v>3858000</v>
      </c>
      <c r="E100" s="160">
        <f>IF(+J96&lt;F99,J96,D100)</f>
        <v>91857.142857142855</v>
      </c>
      <c r="F100" s="159">
        <f t="shared" ref="F100:F154" si="13">+D100-E100</f>
        <v>3766142.8571428573</v>
      </c>
      <c r="G100" s="159">
        <f t="shared" si="8"/>
        <v>3812071.4285714286</v>
      </c>
      <c r="H100" s="163">
        <f t="shared" ref="H100:H154" si="14">+J$94*G100+E100</f>
        <v>554915.01608117414</v>
      </c>
      <c r="I100" s="253">
        <f t="shared" ref="I100:I154" si="15">+J$95*G100+E100</f>
        <v>554915.01608117414</v>
      </c>
      <c r="J100" s="158">
        <f t="shared" si="9"/>
        <v>0</v>
      </c>
      <c r="K100" s="158"/>
      <c r="L100" s="334"/>
      <c r="M100" s="158">
        <f t="shared" si="10"/>
        <v>0</v>
      </c>
      <c r="N100" s="334"/>
      <c r="O100" s="158">
        <f t="shared" si="11"/>
        <v>0</v>
      </c>
      <c r="P100" s="158">
        <f t="shared" si="12"/>
        <v>0</v>
      </c>
    </row>
    <row r="101" spans="1:16">
      <c r="B101" s="9" t="str">
        <f t="shared" ref="B101:B154" si="16">IF(D101=F100,"","IU")</f>
        <v/>
      </c>
      <c r="C101" s="153">
        <f>IF(D93="","-",+C100+1)</f>
        <v>2021</v>
      </c>
      <c r="D101" s="154">
        <f>IF(F100+SUM(E$99:E100)=D$92,F100,D$92-SUM(E$99:E100))</f>
        <v>3766142.8571428573</v>
      </c>
      <c r="E101" s="160">
        <f>IF(+J96&lt;F100,J96,D101)</f>
        <v>91857.142857142855</v>
      </c>
      <c r="F101" s="159">
        <f t="shared" si="13"/>
        <v>3674285.7142857146</v>
      </c>
      <c r="G101" s="159">
        <f t="shared" si="8"/>
        <v>3720214.2857142859</v>
      </c>
      <c r="H101" s="163">
        <f t="shared" si="14"/>
        <v>543756.99503963126</v>
      </c>
      <c r="I101" s="253">
        <f t="shared" si="15"/>
        <v>543756.99503963126</v>
      </c>
      <c r="J101" s="158">
        <f t="shared" si="9"/>
        <v>0</v>
      </c>
      <c r="K101" s="158"/>
      <c r="L101" s="334"/>
      <c r="M101" s="158">
        <f t="shared" si="10"/>
        <v>0</v>
      </c>
      <c r="N101" s="334"/>
      <c r="O101" s="158">
        <f t="shared" si="11"/>
        <v>0</v>
      </c>
      <c r="P101" s="158">
        <f t="shared" si="12"/>
        <v>0</v>
      </c>
    </row>
    <row r="102" spans="1:16">
      <c r="B102" s="9" t="str">
        <f t="shared" si="16"/>
        <v/>
      </c>
      <c r="C102" s="153">
        <f>IF(D93="","-",+C101+1)</f>
        <v>2022</v>
      </c>
      <c r="D102" s="154">
        <f>IF(F101+SUM(E$99:E101)=D$92,F101,D$92-SUM(E$99:E101))</f>
        <v>3674285.7142857146</v>
      </c>
      <c r="E102" s="160">
        <f>IF(+J96&lt;F101,J96,D102)</f>
        <v>91857.142857142855</v>
      </c>
      <c r="F102" s="159">
        <f t="shared" si="13"/>
        <v>3582428.5714285718</v>
      </c>
      <c r="G102" s="159">
        <f t="shared" si="8"/>
        <v>3628357.1428571432</v>
      </c>
      <c r="H102" s="163">
        <f t="shared" si="14"/>
        <v>532598.97399808839</v>
      </c>
      <c r="I102" s="253">
        <f t="shared" si="15"/>
        <v>532598.97399808839</v>
      </c>
      <c r="J102" s="158">
        <f t="shared" si="9"/>
        <v>0</v>
      </c>
      <c r="K102" s="158"/>
      <c r="L102" s="334"/>
      <c r="M102" s="158">
        <f t="shared" si="10"/>
        <v>0</v>
      </c>
      <c r="N102" s="334"/>
      <c r="O102" s="158">
        <f t="shared" si="11"/>
        <v>0</v>
      </c>
      <c r="P102" s="158">
        <f t="shared" si="12"/>
        <v>0</v>
      </c>
    </row>
    <row r="103" spans="1:16">
      <c r="B103" s="9" t="str">
        <f t="shared" si="16"/>
        <v/>
      </c>
      <c r="C103" s="153">
        <f>IF(D93="","-",+C102+1)</f>
        <v>2023</v>
      </c>
      <c r="D103" s="154">
        <f>IF(F102+SUM(E$99:E102)=D$92,F102,D$92-SUM(E$99:E102))</f>
        <v>3582428.5714285718</v>
      </c>
      <c r="E103" s="160">
        <f>IF(+J96&lt;F102,J96,D103)</f>
        <v>91857.142857142855</v>
      </c>
      <c r="F103" s="159">
        <f t="shared" si="13"/>
        <v>3490571.4285714291</v>
      </c>
      <c r="G103" s="159">
        <f t="shared" si="8"/>
        <v>3536500.0000000005</v>
      </c>
      <c r="H103" s="163">
        <f t="shared" si="14"/>
        <v>521440.95295654546</v>
      </c>
      <c r="I103" s="253">
        <f t="shared" si="15"/>
        <v>521440.95295654546</v>
      </c>
      <c r="J103" s="158">
        <f t="shared" si="9"/>
        <v>0</v>
      </c>
      <c r="K103" s="158"/>
      <c r="L103" s="334"/>
      <c r="M103" s="158">
        <f t="shared" si="10"/>
        <v>0</v>
      </c>
      <c r="N103" s="334"/>
      <c r="O103" s="158">
        <f t="shared" si="11"/>
        <v>0</v>
      </c>
      <c r="P103" s="158">
        <f t="shared" si="12"/>
        <v>0</v>
      </c>
    </row>
    <row r="104" spans="1:16">
      <c r="B104" s="9" t="str">
        <f t="shared" si="16"/>
        <v/>
      </c>
      <c r="C104" s="153">
        <f>IF(D93="","-",+C103+1)</f>
        <v>2024</v>
      </c>
      <c r="D104" s="154">
        <f>IF(F103+SUM(E$99:E103)=D$92,F103,D$92-SUM(E$99:E103))</f>
        <v>3490571.4285714291</v>
      </c>
      <c r="E104" s="160">
        <f>IF(+J96&lt;F103,J96,D104)</f>
        <v>91857.142857142855</v>
      </c>
      <c r="F104" s="159">
        <f t="shared" si="13"/>
        <v>3398714.2857142864</v>
      </c>
      <c r="G104" s="159">
        <f t="shared" si="8"/>
        <v>3444642.8571428577</v>
      </c>
      <c r="H104" s="163">
        <f t="shared" si="14"/>
        <v>510282.93191500253</v>
      </c>
      <c r="I104" s="253">
        <f t="shared" si="15"/>
        <v>510282.93191500253</v>
      </c>
      <c r="J104" s="158">
        <f t="shared" si="9"/>
        <v>0</v>
      </c>
      <c r="K104" s="158"/>
      <c r="L104" s="334"/>
      <c r="M104" s="158">
        <f t="shared" si="10"/>
        <v>0</v>
      </c>
      <c r="N104" s="334"/>
      <c r="O104" s="158">
        <f t="shared" si="11"/>
        <v>0</v>
      </c>
      <c r="P104" s="158">
        <f t="shared" si="12"/>
        <v>0</v>
      </c>
    </row>
    <row r="105" spans="1:16">
      <c r="B105" s="9" t="str">
        <f t="shared" si="16"/>
        <v/>
      </c>
      <c r="C105" s="153">
        <f>IF(D93="","-",+C104+1)</f>
        <v>2025</v>
      </c>
      <c r="D105" s="154">
        <f>IF(F104+SUM(E$99:E104)=D$92,F104,D$92-SUM(E$99:E104))</f>
        <v>3398714.2857142864</v>
      </c>
      <c r="E105" s="160">
        <f>IF(+J96&lt;F104,J96,D105)</f>
        <v>91857.142857142855</v>
      </c>
      <c r="F105" s="159">
        <f t="shared" si="13"/>
        <v>3306857.1428571437</v>
      </c>
      <c r="G105" s="159">
        <f t="shared" si="8"/>
        <v>3352785.714285715</v>
      </c>
      <c r="H105" s="163">
        <f t="shared" si="14"/>
        <v>499124.91087345965</v>
      </c>
      <c r="I105" s="253">
        <f t="shared" si="15"/>
        <v>499124.91087345965</v>
      </c>
      <c r="J105" s="158">
        <f t="shared" si="9"/>
        <v>0</v>
      </c>
      <c r="K105" s="158"/>
      <c r="L105" s="334"/>
      <c r="M105" s="158">
        <f t="shared" si="10"/>
        <v>0</v>
      </c>
      <c r="N105" s="334"/>
      <c r="O105" s="158">
        <f t="shared" si="11"/>
        <v>0</v>
      </c>
      <c r="P105" s="158">
        <f t="shared" si="12"/>
        <v>0</v>
      </c>
    </row>
    <row r="106" spans="1:16">
      <c r="B106" s="9" t="str">
        <f t="shared" si="16"/>
        <v/>
      </c>
      <c r="C106" s="153">
        <f>IF(D93="","-",+C105+1)</f>
        <v>2026</v>
      </c>
      <c r="D106" s="154">
        <f>IF(F105+SUM(E$99:E105)=D$92,F105,D$92-SUM(E$99:E105))</f>
        <v>3306857.1428571437</v>
      </c>
      <c r="E106" s="160">
        <f>IF(+J96&lt;F105,J96,D106)</f>
        <v>91857.142857142855</v>
      </c>
      <c r="F106" s="159">
        <f t="shared" si="13"/>
        <v>3215000.0000000009</v>
      </c>
      <c r="G106" s="159">
        <f t="shared" si="8"/>
        <v>3260928.5714285723</v>
      </c>
      <c r="H106" s="163">
        <f t="shared" si="14"/>
        <v>487966.88983191672</v>
      </c>
      <c r="I106" s="253">
        <f t="shared" si="15"/>
        <v>487966.88983191672</v>
      </c>
      <c r="J106" s="158">
        <f t="shared" si="9"/>
        <v>0</v>
      </c>
      <c r="K106" s="158"/>
      <c r="L106" s="334"/>
      <c r="M106" s="158">
        <f t="shared" si="10"/>
        <v>0</v>
      </c>
      <c r="N106" s="334"/>
      <c r="O106" s="158">
        <f t="shared" si="11"/>
        <v>0</v>
      </c>
      <c r="P106" s="158">
        <f t="shared" si="12"/>
        <v>0</v>
      </c>
    </row>
    <row r="107" spans="1:16">
      <c r="B107" s="9" t="str">
        <f t="shared" si="16"/>
        <v/>
      </c>
      <c r="C107" s="153">
        <f>IF(D93="","-",+C106+1)</f>
        <v>2027</v>
      </c>
      <c r="D107" s="154">
        <f>IF(F106+SUM(E$99:E106)=D$92,F106,D$92-SUM(E$99:E106))</f>
        <v>3215000.0000000009</v>
      </c>
      <c r="E107" s="160">
        <f>IF(+J96&lt;F106,J96,D107)</f>
        <v>91857.142857142855</v>
      </c>
      <c r="F107" s="159">
        <f t="shared" si="13"/>
        <v>3123142.8571428582</v>
      </c>
      <c r="G107" s="159">
        <f t="shared" si="8"/>
        <v>3169071.4285714296</v>
      </c>
      <c r="H107" s="163">
        <f t="shared" si="14"/>
        <v>476808.86879037379</v>
      </c>
      <c r="I107" s="253">
        <f t="shared" si="15"/>
        <v>476808.86879037379</v>
      </c>
      <c r="J107" s="158">
        <f t="shared" si="9"/>
        <v>0</v>
      </c>
      <c r="K107" s="158"/>
      <c r="L107" s="334"/>
      <c r="M107" s="158">
        <f t="shared" si="10"/>
        <v>0</v>
      </c>
      <c r="N107" s="334"/>
      <c r="O107" s="158">
        <f t="shared" si="11"/>
        <v>0</v>
      </c>
      <c r="P107" s="158">
        <f t="shared" si="12"/>
        <v>0</v>
      </c>
    </row>
    <row r="108" spans="1:16">
      <c r="B108" s="9" t="str">
        <f t="shared" si="16"/>
        <v/>
      </c>
      <c r="C108" s="153">
        <f>IF(D93="","-",+C107+1)</f>
        <v>2028</v>
      </c>
      <c r="D108" s="154">
        <f>IF(F107+SUM(E$99:E107)=D$92,F107,D$92-SUM(E$99:E107))</f>
        <v>3123142.8571428582</v>
      </c>
      <c r="E108" s="160">
        <f>IF(+J96&lt;F107,J96,D108)</f>
        <v>91857.142857142855</v>
      </c>
      <c r="F108" s="159">
        <f t="shared" si="13"/>
        <v>3031285.7142857155</v>
      </c>
      <c r="G108" s="159">
        <f t="shared" si="8"/>
        <v>3077214.2857142868</v>
      </c>
      <c r="H108" s="163">
        <f t="shared" si="14"/>
        <v>465650.84774883091</v>
      </c>
      <c r="I108" s="253">
        <f t="shared" si="15"/>
        <v>465650.84774883091</v>
      </c>
      <c r="J108" s="158">
        <f t="shared" si="9"/>
        <v>0</v>
      </c>
      <c r="K108" s="158"/>
      <c r="L108" s="334"/>
      <c r="M108" s="158">
        <f t="shared" si="10"/>
        <v>0</v>
      </c>
      <c r="N108" s="334"/>
      <c r="O108" s="158">
        <f t="shared" si="11"/>
        <v>0</v>
      </c>
      <c r="P108" s="158">
        <f t="shared" si="12"/>
        <v>0</v>
      </c>
    </row>
    <row r="109" spans="1:16">
      <c r="B109" s="9" t="str">
        <f t="shared" si="16"/>
        <v/>
      </c>
      <c r="C109" s="153">
        <f>IF(D93="","-",+C108+1)</f>
        <v>2029</v>
      </c>
      <c r="D109" s="154">
        <f>IF(F108+SUM(E$99:E108)=D$92,F108,D$92-SUM(E$99:E108))</f>
        <v>3031285.7142857155</v>
      </c>
      <c r="E109" s="160">
        <f>IF(+J96&lt;F108,J96,D109)</f>
        <v>91857.142857142855</v>
      </c>
      <c r="F109" s="159">
        <f t="shared" si="13"/>
        <v>2939428.5714285728</v>
      </c>
      <c r="G109" s="159">
        <f t="shared" si="8"/>
        <v>2985357.1428571441</v>
      </c>
      <c r="H109" s="163">
        <f t="shared" si="14"/>
        <v>454492.82670728798</v>
      </c>
      <c r="I109" s="253">
        <f t="shared" si="15"/>
        <v>454492.82670728798</v>
      </c>
      <c r="J109" s="158">
        <f t="shared" si="9"/>
        <v>0</v>
      </c>
      <c r="K109" s="158"/>
      <c r="L109" s="334"/>
      <c r="M109" s="158">
        <f t="shared" si="10"/>
        <v>0</v>
      </c>
      <c r="N109" s="334"/>
      <c r="O109" s="158">
        <f t="shared" si="11"/>
        <v>0</v>
      </c>
      <c r="P109" s="158">
        <f t="shared" si="12"/>
        <v>0</v>
      </c>
    </row>
    <row r="110" spans="1:16">
      <c r="B110" s="9" t="str">
        <f t="shared" si="16"/>
        <v/>
      </c>
      <c r="C110" s="153">
        <f>IF(D93="","-",+C109+1)</f>
        <v>2030</v>
      </c>
      <c r="D110" s="154">
        <f>IF(F109+SUM(E$99:E109)=D$92,F109,D$92-SUM(E$99:E109))</f>
        <v>2939428.5714285728</v>
      </c>
      <c r="E110" s="160">
        <f>IF(+J96&lt;F109,J96,D110)</f>
        <v>91857.142857142855</v>
      </c>
      <c r="F110" s="159">
        <f t="shared" si="13"/>
        <v>2847571.42857143</v>
      </c>
      <c r="G110" s="159">
        <f t="shared" si="8"/>
        <v>2893500.0000000014</v>
      </c>
      <c r="H110" s="163">
        <f t="shared" si="14"/>
        <v>443334.80566574511</v>
      </c>
      <c r="I110" s="253">
        <f t="shared" si="15"/>
        <v>443334.80566574511</v>
      </c>
      <c r="J110" s="158">
        <f t="shared" si="9"/>
        <v>0</v>
      </c>
      <c r="K110" s="158"/>
      <c r="L110" s="334"/>
      <c r="M110" s="158">
        <f t="shared" si="10"/>
        <v>0</v>
      </c>
      <c r="N110" s="334"/>
      <c r="O110" s="158">
        <f t="shared" si="11"/>
        <v>0</v>
      </c>
      <c r="P110" s="158">
        <f t="shared" si="12"/>
        <v>0</v>
      </c>
    </row>
    <row r="111" spans="1:16">
      <c r="B111" s="9" t="str">
        <f t="shared" si="16"/>
        <v/>
      </c>
      <c r="C111" s="153">
        <f>IF(D93="","-",+C110+1)</f>
        <v>2031</v>
      </c>
      <c r="D111" s="154">
        <f>IF(F110+SUM(E$99:E110)=D$92,F110,D$92-SUM(E$99:E110))</f>
        <v>2847571.42857143</v>
      </c>
      <c r="E111" s="160">
        <f>IF(+J96&lt;F110,J96,D111)</f>
        <v>91857.142857142855</v>
      </c>
      <c r="F111" s="159">
        <f t="shared" si="13"/>
        <v>2755714.2857142873</v>
      </c>
      <c r="G111" s="159">
        <f t="shared" si="8"/>
        <v>2801642.8571428587</v>
      </c>
      <c r="H111" s="163">
        <f t="shared" si="14"/>
        <v>432176.78462420218</v>
      </c>
      <c r="I111" s="253">
        <f t="shared" si="15"/>
        <v>432176.78462420218</v>
      </c>
      <c r="J111" s="158">
        <f t="shared" si="9"/>
        <v>0</v>
      </c>
      <c r="K111" s="158"/>
      <c r="L111" s="334"/>
      <c r="M111" s="158">
        <f t="shared" si="10"/>
        <v>0</v>
      </c>
      <c r="N111" s="334"/>
      <c r="O111" s="158">
        <f t="shared" si="11"/>
        <v>0</v>
      </c>
      <c r="P111" s="158">
        <f t="shared" si="12"/>
        <v>0</v>
      </c>
    </row>
    <row r="112" spans="1:16">
      <c r="B112" s="9" t="str">
        <f t="shared" si="16"/>
        <v/>
      </c>
      <c r="C112" s="153">
        <f>IF(D93="","-",+C111+1)</f>
        <v>2032</v>
      </c>
      <c r="D112" s="154">
        <f>IF(F111+SUM(E$99:E111)=D$92,F111,D$92-SUM(E$99:E111))</f>
        <v>2755714.2857142873</v>
      </c>
      <c r="E112" s="160">
        <f>IF(+J96&lt;F111,J96,D112)</f>
        <v>91857.142857142855</v>
      </c>
      <c r="F112" s="159">
        <f t="shared" si="13"/>
        <v>2663857.1428571446</v>
      </c>
      <c r="G112" s="159">
        <f t="shared" si="8"/>
        <v>2709785.7142857159</v>
      </c>
      <c r="H112" s="163">
        <f t="shared" si="14"/>
        <v>421018.7635826593</v>
      </c>
      <c r="I112" s="253">
        <f t="shared" si="15"/>
        <v>421018.7635826593</v>
      </c>
      <c r="J112" s="158">
        <f t="shared" si="9"/>
        <v>0</v>
      </c>
      <c r="K112" s="158"/>
      <c r="L112" s="334"/>
      <c r="M112" s="158">
        <f t="shared" si="10"/>
        <v>0</v>
      </c>
      <c r="N112" s="334"/>
      <c r="O112" s="158">
        <f t="shared" si="11"/>
        <v>0</v>
      </c>
      <c r="P112" s="158">
        <f t="shared" si="12"/>
        <v>0</v>
      </c>
    </row>
    <row r="113" spans="2:16">
      <c r="B113" s="9" t="str">
        <f t="shared" si="16"/>
        <v/>
      </c>
      <c r="C113" s="153">
        <f>IF(D93="","-",+C112+1)</f>
        <v>2033</v>
      </c>
      <c r="D113" s="154">
        <f>IF(F112+SUM(E$99:E112)=D$92,F112,D$92-SUM(E$99:E112))</f>
        <v>2663857.1428571446</v>
      </c>
      <c r="E113" s="160">
        <f>IF(+J96&lt;F112,J96,D113)</f>
        <v>91857.142857142855</v>
      </c>
      <c r="F113" s="159">
        <f t="shared" si="13"/>
        <v>2572000.0000000019</v>
      </c>
      <c r="G113" s="159">
        <f t="shared" si="8"/>
        <v>2617928.5714285732</v>
      </c>
      <c r="H113" s="163">
        <f t="shared" si="14"/>
        <v>409860.74254111637</v>
      </c>
      <c r="I113" s="253">
        <f t="shared" si="15"/>
        <v>409860.74254111637</v>
      </c>
      <c r="J113" s="158">
        <f t="shared" si="9"/>
        <v>0</v>
      </c>
      <c r="K113" s="158"/>
      <c r="L113" s="334"/>
      <c r="M113" s="158">
        <f t="shared" si="10"/>
        <v>0</v>
      </c>
      <c r="N113" s="334"/>
      <c r="O113" s="158">
        <f t="shared" si="11"/>
        <v>0</v>
      </c>
      <c r="P113" s="158">
        <f t="shared" si="12"/>
        <v>0</v>
      </c>
    </row>
    <row r="114" spans="2:16">
      <c r="B114" s="9" t="str">
        <f t="shared" si="16"/>
        <v/>
      </c>
      <c r="C114" s="153">
        <f>IF(D93="","-",+C113+1)</f>
        <v>2034</v>
      </c>
      <c r="D114" s="154">
        <f>IF(F113+SUM(E$99:E113)=D$92,F113,D$92-SUM(E$99:E113))</f>
        <v>2572000.0000000019</v>
      </c>
      <c r="E114" s="160">
        <f>IF(+J96&lt;F113,J96,D114)</f>
        <v>91857.142857142855</v>
      </c>
      <c r="F114" s="159">
        <f t="shared" si="13"/>
        <v>2480142.8571428591</v>
      </c>
      <c r="G114" s="159">
        <f t="shared" si="8"/>
        <v>2526071.4285714305</v>
      </c>
      <c r="H114" s="163">
        <f t="shared" si="14"/>
        <v>398702.72149957344</v>
      </c>
      <c r="I114" s="253">
        <f t="shared" si="15"/>
        <v>398702.72149957344</v>
      </c>
      <c r="J114" s="158">
        <f t="shared" si="9"/>
        <v>0</v>
      </c>
      <c r="K114" s="158"/>
      <c r="L114" s="334"/>
      <c r="M114" s="158">
        <f t="shared" si="10"/>
        <v>0</v>
      </c>
      <c r="N114" s="334"/>
      <c r="O114" s="158">
        <f t="shared" si="11"/>
        <v>0</v>
      </c>
      <c r="P114" s="158">
        <f t="shared" si="12"/>
        <v>0</v>
      </c>
    </row>
    <row r="115" spans="2:16">
      <c r="B115" s="9" t="str">
        <f t="shared" si="16"/>
        <v/>
      </c>
      <c r="C115" s="153">
        <f>IF(D93="","-",+C114+1)</f>
        <v>2035</v>
      </c>
      <c r="D115" s="154">
        <f>IF(F114+SUM(E$99:E114)=D$92,F114,D$92-SUM(E$99:E114))</f>
        <v>2480142.8571428591</v>
      </c>
      <c r="E115" s="160">
        <f>IF(+J96&lt;F114,J96,D115)</f>
        <v>91857.142857142855</v>
      </c>
      <c r="F115" s="159">
        <f t="shared" si="13"/>
        <v>2388285.7142857164</v>
      </c>
      <c r="G115" s="159">
        <f t="shared" si="8"/>
        <v>2434214.2857142878</v>
      </c>
      <c r="H115" s="163">
        <f t="shared" si="14"/>
        <v>387544.70045803057</v>
      </c>
      <c r="I115" s="253">
        <f t="shared" si="15"/>
        <v>387544.70045803057</v>
      </c>
      <c r="J115" s="158">
        <f t="shared" si="9"/>
        <v>0</v>
      </c>
      <c r="K115" s="158"/>
      <c r="L115" s="334"/>
      <c r="M115" s="158">
        <f t="shared" si="10"/>
        <v>0</v>
      </c>
      <c r="N115" s="334"/>
      <c r="O115" s="158">
        <f t="shared" si="11"/>
        <v>0</v>
      </c>
      <c r="P115" s="158">
        <f t="shared" si="12"/>
        <v>0</v>
      </c>
    </row>
    <row r="116" spans="2:16">
      <c r="B116" s="9" t="str">
        <f t="shared" si="16"/>
        <v/>
      </c>
      <c r="C116" s="153">
        <f>IF(D93="","-",+C115+1)</f>
        <v>2036</v>
      </c>
      <c r="D116" s="154">
        <f>IF(F115+SUM(E$99:E115)=D$92,F115,D$92-SUM(E$99:E115))</f>
        <v>2388285.7142857164</v>
      </c>
      <c r="E116" s="160">
        <f>IF(+J96&lt;F115,J96,D116)</f>
        <v>91857.142857142855</v>
      </c>
      <c r="F116" s="159">
        <f t="shared" si="13"/>
        <v>2296428.5714285737</v>
      </c>
      <c r="G116" s="159">
        <f t="shared" si="8"/>
        <v>2342357.1428571451</v>
      </c>
      <c r="H116" s="163">
        <f t="shared" si="14"/>
        <v>376386.67941648763</v>
      </c>
      <c r="I116" s="253">
        <f t="shared" si="15"/>
        <v>376386.67941648763</v>
      </c>
      <c r="J116" s="158">
        <f t="shared" si="9"/>
        <v>0</v>
      </c>
      <c r="K116" s="158"/>
      <c r="L116" s="334"/>
      <c r="M116" s="158">
        <f t="shared" si="10"/>
        <v>0</v>
      </c>
      <c r="N116" s="334"/>
      <c r="O116" s="158">
        <f t="shared" si="11"/>
        <v>0</v>
      </c>
      <c r="P116" s="158">
        <f t="shared" si="12"/>
        <v>0</v>
      </c>
    </row>
    <row r="117" spans="2:16">
      <c r="B117" s="9" t="str">
        <f t="shared" si="16"/>
        <v/>
      </c>
      <c r="C117" s="153">
        <f>IF(D93="","-",+C116+1)</f>
        <v>2037</v>
      </c>
      <c r="D117" s="154">
        <f>IF(F116+SUM(E$99:E116)=D$92,F116,D$92-SUM(E$99:E116))</f>
        <v>2296428.5714285737</v>
      </c>
      <c r="E117" s="160">
        <f>IF(+J96&lt;F116,J96,D117)</f>
        <v>91857.142857142855</v>
      </c>
      <c r="F117" s="159">
        <f t="shared" si="13"/>
        <v>2204571.428571431</v>
      </c>
      <c r="G117" s="159">
        <f t="shared" si="8"/>
        <v>2250500.0000000023</v>
      </c>
      <c r="H117" s="163">
        <f t="shared" si="14"/>
        <v>365228.65837494476</v>
      </c>
      <c r="I117" s="253">
        <f t="shared" si="15"/>
        <v>365228.65837494476</v>
      </c>
      <c r="J117" s="158">
        <f t="shared" si="9"/>
        <v>0</v>
      </c>
      <c r="K117" s="158"/>
      <c r="L117" s="334"/>
      <c r="M117" s="158">
        <f t="shared" si="10"/>
        <v>0</v>
      </c>
      <c r="N117" s="334"/>
      <c r="O117" s="158">
        <f t="shared" si="11"/>
        <v>0</v>
      </c>
      <c r="P117" s="158">
        <f t="shared" si="12"/>
        <v>0</v>
      </c>
    </row>
    <row r="118" spans="2:16">
      <c r="B118" s="9" t="str">
        <f t="shared" si="16"/>
        <v/>
      </c>
      <c r="C118" s="153">
        <f>IF(D93="","-",+C117+1)</f>
        <v>2038</v>
      </c>
      <c r="D118" s="154">
        <f>IF(F117+SUM(E$99:E117)=D$92,F117,D$92-SUM(E$99:E117))</f>
        <v>2204571.428571431</v>
      </c>
      <c r="E118" s="160">
        <f>IF(+J96&lt;F117,J96,D118)</f>
        <v>91857.142857142855</v>
      </c>
      <c r="F118" s="159">
        <f t="shared" si="13"/>
        <v>2112714.2857142882</v>
      </c>
      <c r="G118" s="159">
        <f t="shared" si="8"/>
        <v>2158642.8571428596</v>
      </c>
      <c r="H118" s="163">
        <f t="shared" si="14"/>
        <v>354070.63733340183</v>
      </c>
      <c r="I118" s="253">
        <f t="shared" si="15"/>
        <v>354070.63733340183</v>
      </c>
      <c r="J118" s="158">
        <f t="shared" si="9"/>
        <v>0</v>
      </c>
      <c r="K118" s="158"/>
      <c r="L118" s="334"/>
      <c r="M118" s="158">
        <f t="shared" si="10"/>
        <v>0</v>
      </c>
      <c r="N118" s="334"/>
      <c r="O118" s="158">
        <f t="shared" si="11"/>
        <v>0</v>
      </c>
      <c r="P118" s="158">
        <f t="shared" si="12"/>
        <v>0</v>
      </c>
    </row>
    <row r="119" spans="2:16">
      <c r="B119" s="9" t="str">
        <f t="shared" si="16"/>
        <v/>
      </c>
      <c r="C119" s="153">
        <f>IF(D93="","-",+C118+1)</f>
        <v>2039</v>
      </c>
      <c r="D119" s="154">
        <f>IF(F118+SUM(E$99:E118)=D$92,F118,D$92-SUM(E$99:E118))</f>
        <v>2112714.2857142882</v>
      </c>
      <c r="E119" s="160">
        <f>IF(+J96&lt;F118,J96,D119)</f>
        <v>91857.142857142855</v>
      </c>
      <c r="F119" s="159">
        <f t="shared" si="13"/>
        <v>2020857.1428571453</v>
      </c>
      <c r="G119" s="159">
        <f t="shared" si="8"/>
        <v>2066785.7142857169</v>
      </c>
      <c r="H119" s="163">
        <f t="shared" si="14"/>
        <v>342912.61629185895</v>
      </c>
      <c r="I119" s="253">
        <f t="shared" si="15"/>
        <v>342912.61629185895</v>
      </c>
      <c r="J119" s="158">
        <f t="shared" si="9"/>
        <v>0</v>
      </c>
      <c r="K119" s="158"/>
      <c r="L119" s="334"/>
      <c r="M119" s="158">
        <f t="shared" si="10"/>
        <v>0</v>
      </c>
      <c r="N119" s="334"/>
      <c r="O119" s="158">
        <f t="shared" si="11"/>
        <v>0</v>
      </c>
      <c r="P119" s="158">
        <f t="shared" si="12"/>
        <v>0</v>
      </c>
    </row>
    <row r="120" spans="2:16">
      <c r="B120" s="9" t="str">
        <f t="shared" si="16"/>
        <v/>
      </c>
      <c r="C120" s="153">
        <f>IF(D93="","-",+C119+1)</f>
        <v>2040</v>
      </c>
      <c r="D120" s="154">
        <f>IF(F119+SUM(E$99:E119)=D$92,F119,D$92-SUM(E$99:E119))</f>
        <v>2020857.1428571453</v>
      </c>
      <c r="E120" s="160">
        <f>IF(+J96&lt;F119,J96,D120)</f>
        <v>91857.142857142855</v>
      </c>
      <c r="F120" s="159">
        <f t="shared" si="13"/>
        <v>1929000.0000000023</v>
      </c>
      <c r="G120" s="159">
        <f t="shared" si="8"/>
        <v>1974928.5714285737</v>
      </c>
      <c r="H120" s="163">
        <f t="shared" si="14"/>
        <v>331754.59525031596</v>
      </c>
      <c r="I120" s="253">
        <f t="shared" si="15"/>
        <v>331754.59525031596</v>
      </c>
      <c r="J120" s="158">
        <f t="shared" si="9"/>
        <v>0</v>
      </c>
      <c r="K120" s="158"/>
      <c r="L120" s="334"/>
      <c r="M120" s="158">
        <f t="shared" si="10"/>
        <v>0</v>
      </c>
      <c r="N120" s="334"/>
      <c r="O120" s="158">
        <f t="shared" si="11"/>
        <v>0</v>
      </c>
      <c r="P120" s="158">
        <f t="shared" si="12"/>
        <v>0</v>
      </c>
    </row>
    <row r="121" spans="2:16">
      <c r="B121" s="9" t="str">
        <f t="shared" si="16"/>
        <v/>
      </c>
      <c r="C121" s="153">
        <f>IF(D93="","-",+C120+1)</f>
        <v>2041</v>
      </c>
      <c r="D121" s="154">
        <f>IF(F120+SUM(E$99:E120)=D$92,F120,D$92-SUM(E$99:E120))</f>
        <v>1929000.0000000023</v>
      </c>
      <c r="E121" s="160">
        <f>IF(+J96&lt;F120,J96,D121)</f>
        <v>91857.142857142855</v>
      </c>
      <c r="F121" s="159">
        <f t="shared" si="13"/>
        <v>1837142.8571428594</v>
      </c>
      <c r="G121" s="159">
        <f t="shared" si="8"/>
        <v>1883071.428571431</v>
      </c>
      <c r="H121" s="163">
        <f t="shared" si="14"/>
        <v>320596.57420877309</v>
      </c>
      <c r="I121" s="253">
        <f t="shared" si="15"/>
        <v>320596.57420877309</v>
      </c>
      <c r="J121" s="158">
        <f t="shared" si="9"/>
        <v>0</v>
      </c>
      <c r="K121" s="158"/>
      <c r="L121" s="334"/>
      <c r="M121" s="158">
        <f t="shared" si="10"/>
        <v>0</v>
      </c>
      <c r="N121" s="334"/>
      <c r="O121" s="158">
        <f t="shared" si="11"/>
        <v>0</v>
      </c>
      <c r="P121" s="158">
        <f t="shared" si="12"/>
        <v>0</v>
      </c>
    </row>
    <row r="122" spans="2:16">
      <c r="B122" s="9" t="str">
        <f t="shared" si="16"/>
        <v/>
      </c>
      <c r="C122" s="153">
        <f>IF(D93="","-",+C121+1)</f>
        <v>2042</v>
      </c>
      <c r="D122" s="154">
        <f>IF(F121+SUM(E$99:E121)=D$92,F121,D$92-SUM(E$99:E121))</f>
        <v>1837142.8571428594</v>
      </c>
      <c r="E122" s="160">
        <f>IF(+J96&lt;F121,J96,D122)</f>
        <v>91857.142857142855</v>
      </c>
      <c r="F122" s="159">
        <f t="shared" si="13"/>
        <v>1745285.7142857164</v>
      </c>
      <c r="G122" s="159">
        <f t="shared" si="8"/>
        <v>1791214.2857142878</v>
      </c>
      <c r="H122" s="163">
        <f t="shared" si="14"/>
        <v>309438.5531672301</v>
      </c>
      <c r="I122" s="253">
        <f t="shared" si="15"/>
        <v>309438.5531672301</v>
      </c>
      <c r="J122" s="158">
        <f t="shared" si="9"/>
        <v>0</v>
      </c>
      <c r="K122" s="158"/>
      <c r="L122" s="334"/>
      <c r="M122" s="158">
        <f t="shared" si="10"/>
        <v>0</v>
      </c>
      <c r="N122" s="334"/>
      <c r="O122" s="158">
        <f t="shared" si="11"/>
        <v>0</v>
      </c>
      <c r="P122" s="158">
        <f t="shared" si="12"/>
        <v>0</v>
      </c>
    </row>
    <row r="123" spans="2:16">
      <c r="B123" s="9" t="str">
        <f t="shared" si="16"/>
        <v/>
      </c>
      <c r="C123" s="153">
        <f>IF(D93="","-",+C122+1)</f>
        <v>2043</v>
      </c>
      <c r="D123" s="154">
        <f>IF(F122+SUM(E$99:E122)=D$92,F122,D$92-SUM(E$99:E122))</f>
        <v>1745285.7142857164</v>
      </c>
      <c r="E123" s="160">
        <f>IF(+J96&lt;F122,J96,D123)</f>
        <v>91857.142857142855</v>
      </c>
      <c r="F123" s="159">
        <f t="shared" si="13"/>
        <v>1653428.5714285735</v>
      </c>
      <c r="G123" s="159">
        <f t="shared" si="8"/>
        <v>1699357.1428571451</v>
      </c>
      <c r="H123" s="163">
        <f t="shared" si="14"/>
        <v>298280.53212568723</v>
      </c>
      <c r="I123" s="253">
        <f t="shared" si="15"/>
        <v>298280.53212568723</v>
      </c>
      <c r="J123" s="158">
        <f t="shared" si="9"/>
        <v>0</v>
      </c>
      <c r="K123" s="158"/>
      <c r="L123" s="334"/>
      <c r="M123" s="158">
        <f t="shared" si="10"/>
        <v>0</v>
      </c>
      <c r="N123" s="334"/>
      <c r="O123" s="158">
        <f t="shared" si="11"/>
        <v>0</v>
      </c>
      <c r="P123" s="158">
        <f t="shared" si="12"/>
        <v>0</v>
      </c>
    </row>
    <row r="124" spans="2:16">
      <c r="B124" s="9" t="str">
        <f t="shared" si="16"/>
        <v/>
      </c>
      <c r="C124" s="153">
        <f>IF(D93="","-",+C123+1)</f>
        <v>2044</v>
      </c>
      <c r="D124" s="154">
        <f>IF(F123+SUM(E$99:E123)=D$92,F123,D$92-SUM(E$99:E123))</f>
        <v>1653428.5714285735</v>
      </c>
      <c r="E124" s="160">
        <f>IF(+J96&lt;F123,J96,D124)</f>
        <v>91857.142857142855</v>
      </c>
      <c r="F124" s="159">
        <f t="shared" si="13"/>
        <v>1561571.4285714305</v>
      </c>
      <c r="G124" s="159">
        <f t="shared" si="8"/>
        <v>1607500.0000000019</v>
      </c>
      <c r="H124" s="163">
        <f t="shared" si="14"/>
        <v>287122.51108414424</v>
      </c>
      <c r="I124" s="253">
        <f t="shared" si="15"/>
        <v>287122.51108414424</v>
      </c>
      <c r="J124" s="158">
        <f t="shared" si="9"/>
        <v>0</v>
      </c>
      <c r="K124" s="158"/>
      <c r="L124" s="334"/>
      <c r="M124" s="158">
        <f t="shared" si="10"/>
        <v>0</v>
      </c>
      <c r="N124" s="334"/>
      <c r="O124" s="158">
        <f t="shared" si="11"/>
        <v>0</v>
      </c>
      <c r="P124" s="158">
        <f t="shared" si="12"/>
        <v>0</v>
      </c>
    </row>
    <row r="125" spans="2:16">
      <c r="B125" s="9" t="str">
        <f t="shared" si="16"/>
        <v/>
      </c>
      <c r="C125" s="153">
        <f>IF(D93="","-",+C124+1)</f>
        <v>2045</v>
      </c>
      <c r="D125" s="154">
        <f>IF(F124+SUM(E$99:E124)=D$92,F124,D$92-SUM(E$99:E124))</f>
        <v>1561571.4285714305</v>
      </c>
      <c r="E125" s="160">
        <f>IF(+J96&lt;F124,J96,D125)</f>
        <v>91857.142857142855</v>
      </c>
      <c r="F125" s="159">
        <f t="shared" si="13"/>
        <v>1469714.2857142875</v>
      </c>
      <c r="G125" s="159">
        <f t="shared" si="8"/>
        <v>1515642.8571428591</v>
      </c>
      <c r="H125" s="163">
        <f t="shared" si="14"/>
        <v>275964.4900426013</v>
      </c>
      <c r="I125" s="253">
        <f t="shared" si="15"/>
        <v>275964.4900426013</v>
      </c>
      <c r="J125" s="158">
        <f t="shared" si="9"/>
        <v>0</v>
      </c>
      <c r="K125" s="158"/>
      <c r="L125" s="334"/>
      <c r="M125" s="158">
        <f t="shared" si="10"/>
        <v>0</v>
      </c>
      <c r="N125" s="334"/>
      <c r="O125" s="158">
        <f t="shared" si="11"/>
        <v>0</v>
      </c>
      <c r="P125" s="158">
        <f t="shared" si="12"/>
        <v>0</v>
      </c>
    </row>
    <row r="126" spans="2:16">
      <c r="B126" s="9" t="str">
        <f t="shared" si="16"/>
        <v/>
      </c>
      <c r="C126" s="153">
        <f>IF(D93="","-",+C125+1)</f>
        <v>2046</v>
      </c>
      <c r="D126" s="154">
        <f>IF(F125+SUM(E$99:E125)=D$92,F125,D$92-SUM(E$99:E125))</f>
        <v>1469714.2857142875</v>
      </c>
      <c r="E126" s="160">
        <f>IF(+J96&lt;F125,J96,D126)</f>
        <v>91857.142857142855</v>
      </c>
      <c r="F126" s="159">
        <f t="shared" si="13"/>
        <v>1377857.1428571446</v>
      </c>
      <c r="G126" s="159">
        <f t="shared" si="8"/>
        <v>1423785.7142857159</v>
      </c>
      <c r="H126" s="163">
        <f t="shared" si="14"/>
        <v>264806.46900105837</v>
      </c>
      <c r="I126" s="253">
        <f t="shared" si="15"/>
        <v>264806.46900105837</v>
      </c>
      <c r="J126" s="158">
        <f t="shared" si="9"/>
        <v>0</v>
      </c>
      <c r="K126" s="158"/>
      <c r="L126" s="334"/>
      <c r="M126" s="158">
        <f t="shared" si="10"/>
        <v>0</v>
      </c>
      <c r="N126" s="334"/>
      <c r="O126" s="158">
        <f t="shared" si="11"/>
        <v>0</v>
      </c>
      <c r="P126" s="158">
        <f t="shared" si="12"/>
        <v>0</v>
      </c>
    </row>
    <row r="127" spans="2:16">
      <c r="B127" s="9" t="str">
        <f t="shared" si="16"/>
        <v/>
      </c>
      <c r="C127" s="153">
        <f>IF(D93="","-",+C126+1)</f>
        <v>2047</v>
      </c>
      <c r="D127" s="154">
        <f>IF(F126+SUM(E$99:E126)=D$92,F126,D$92-SUM(E$99:E126))</f>
        <v>1377857.1428571446</v>
      </c>
      <c r="E127" s="160">
        <f>IF(+J96&lt;F126,J96,D127)</f>
        <v>91857.142857142855</v>
      </c>
      <c r="F127" s="159">
        <f t="shared" si="13"/>
        <v>1286000.0000000016</v>
      </c>
      <c r="G127" s="159">
        <f t="shared" si="8"/>
        <v>1331928.5714285732</v>
      </c>
      <c r="H127" s="163">
        <f t="shared" si="14"/>
        <v>253648.44795951544</v>
      </c>
      <c r="I127" s="253">
        <f t="shared" si="15"/>
        <v>253648.44795951544</v>
      </c>
      <c r="J127" s="158">
        <f t="shared" si="9"/>
        <v>0</v>
      </c>
      <c r="K127" s="158"/>
      <c r="L127" s="334"/>
      <c r="M127" s="158">
        <f t="shared" si="10"/>
        <v>0</v>
      </c>
      <c r="N127" s="334"/>
      <c r="O127" s="158">
        <f t="shared" si="11"/>
        <v>0</v>
      </c>
      <c r="P127" s="158">
        <f t="shared" si="12"/>
        <v>0</v>
      </c>
    </row>
    <row r="128" spans="2:16">
      <c r="B128" s="9" t="str">
        <f t="shared" si="16"/>
        <v/>
      </c>
      <c r="C128" s="153">
        <f>IF(D93="","-",+C127+1)</f>
        <v>2048</v>
      </c>
      <c r="D128" s="154">
        <f>IF(F127+SUM(E$99:E127)=D$92,F127,D$92-SUM(E$99:E127))</f>
        <v>1286000.0000000016</v>
      </c>
      <c r="E128" s="160">
        <f>IF(+J96&lt;F127,J96,D128)</f>
        <v>91857.142857142855</v>
      </c>
      <c r="F128" s="159">
        <f t="shared" si="13"/>
        <v>1194142.8571428587</v>
      </c>
      <c r="G128" s="159">
        <f t="shared" si="8"/>
        <v>1240071.42857143</v>
      </c>
      <c r="H128" s="163">
        <f t="shared" si="14"/>
        <v>242490.42691797251</v>
      </c>
      <c r="I128" s="253">
        <f t="shared" si="15"/>
        <v>242490.42691797251</v>
      </c>
      <c r="J128" s="158">
        <f t="shared" si="9"/>
        <v>0</v>
      </c>
      <c r="K128" s="158"/>
      <c r="L128" s="334"/>
      <c r="M128" s="158">
        <f t="shared" si="10"/>
        <v>0</v>
      </c>
      <c r="N128" s="334"/>
      <c r="O128" s="158">
        <f t="shared" si="11"/>
        <v>0</v>
      </c>
      <c r="P128" s="158">
        <f t="shared" si="12"/>
        <v>0</v>
      </c>
    </row>
    <row r="129" spans="2:16">
      <c r="B129" s="9" t="str">
        <f t="shared" si="16"/>
        <v/>
      </c>
      <c r="C129" s="153">
        <f>IF(D93="","-",+C128+1)</f>
        <v>2049</v>
      </c>
      <c r="D129" s="154">
        <f>IF(F128+SUM(E$99:E128)=D$92,F128,D$92-SUM(E$99:E128))</f>
        <v>1194142.8571428587</v>
      </c>
      <c r="E129" s="160">
        <f>IF(+J96&lt;F128,J96,D129)</f>
        <v>91857.142857142855</v>
      </c>
      <c r="F129" s="159">
        <f t="shared" si="13"/>
        <v>1102285.7142857157</v>
      </c>
      <c r="G129" s="159">
        <f t="shared" si="8"/>
        <v>1148214.2857142873</v>
      </c>
      <c r="H129" s="163">
        <f t="shared" si="14"/>
        <v>231332.40587642958</v>
      </c>
      <c r="I129" s="253">
        <f t="shared" si="15"/>
        <v>231332.40587642958</v>
      </c>
      <c r="J129" s="158">
        <f t="shared" si="9"/>
        <v>0</v>
      </c>
      <c r="K129" s="158"/>
      <c r="L129" s="334"/>
      <c r="M129" s="158">
        <f t="shared" si="10"/>
        <v>0</v>
      </c>
      <c r="N129" s="334"/>
      <c r="O129" s="158">
        <f t="shared" si="11"/>
        <v>0</v>
      </c>
      <c r="P129" s="158">
        <f t="shared" si="12"/>
        <v>0</v>
      </c>
    </row>
    <row r="130" spans="2:16">
      <c r="B130" s="9" t="str">
        <f t="shared" si="16"/>
        <v/>
      </c>
      <c r="C130" s="153">
        <f>IF(D93="","-",+C129+1)</f>
        <v>2050</v>
      </c>
      <c r="D130" s="154">
        <f>IF(F129+SUM(E$99:E129)=D$92,F129,D$92-SUM(E$99:E129))</f>
        <v>1102285.7142857157</v>
      </c>
      <c r="E130" s="160">
        <f>IF(+J96&lt;F129,J96,D130)</f>
        <v>91857.142857142855</v>
      </c>
      <c r="F130" s="159">
        <f t="shared" si="13"/>
        <v>1010428.5714285729</v>
      </c>
      <c r="G130" s="159">
        <f t="shared" si="8"/>
        <v>1056357.1428571444</v>
      </c>
      <c r="H130" s="163">
        <f t="shared" si="14"/>
        <v>220174.38483488664</v>
      </c>
      <c r="I130" s="253">
        <f t="shared" si="15"/>
        <v>220174.38483488664</v>
      </c>
      <c r="J130" s="158">
        <f t="shared" si="9"/>
        <v>0</v>
      </c>
      <c r="K130" s="158"/>
      <c r="L130" s="334"/>
      <c r="M130" s="158">
        <f t="shared" si="10"/>
        <v>0</v>
      </c>
      <c r="N130" s="334"/>
      <c r="O130" s="158">
        <f t="shared" si="11"/>
        <v>0</v>
      </c>
      <c r="P130" s="158">
        <f t="shared" si="12"/>
        <v>0</v>
      </c>
    </row>
    <row r="131" spans="2:16">
      <c r="B131" s="9" t="str">
        <f t="shared" si="16"/>
        <v/>
      </c>
      <c r="C131" s="153">
        <f>IF(D93="","-",+C130+1)</f>
        <v>2051</v>
      </c>
      <c r="D131" s="154">
        <f>IF(F130+SUM(E$99:E130)=D$92,F130,D$92-SUM(E$99:E130))</f>
        <v>1010428.5714285729</v>
      </c>
      <c r="E131" s="160">
        <f>IF(+J96&lt;F130,J96,D131)</f>
        <v>91857.142857142855</v>
      </c>
      <c r="F131" s="159">
        <f t="shared" si="13"/>
        <v>918571.42857143003</v>
      </c>
      <c r="G131" s="159">
        <f t="shared" si="8"/>
        <v>964500.0000000014</v>
      </c>
      <c r="H131" s="163">
        <f t="shared" si="14"/>
        <v>209016.36379334371</v>
      </c>
      <c r="I131" s="253">
        <f t="shared" si="15"/>
        <v>209016.36379334371</v>
      </c>
      <c r="J131" s="158">
        <f t="shared" ref="J131:J154" si="17">+I541-H541</f>
        <v>0</v>
      </c>
      <c r="K131" s="158"/>
      <c r="L131" s="334"/>
      <c r="M131" s="158">
        <f t="shared" ref="M131:M154" si="18">IF(L541&lt;&gt;0,+H541-L541,0)</f>
        <v>0</v>
      </c>
      <c r="N131" s="334"/>
      <c r="O131" s="158">
        <f t="shared" ref="O131:O154" si="19">IF(N541&lt;&gt;0,+I541-N541,0)</f>
        <v>0</v>
      </c>
      <c r="P131" s="158">
        <f t="shared" ref="P131:P154" si="20">+O541-M541</f>
        <v>0</v>
      </c>
    </row>
    <row r="132" spans="2:16">
      <c r="B132" s="9" t="str">
        <f t="shared" si="16"/>
        <v/>
      </c>
      <c r="C132" s="153">
        <f>IF(D93="","-",+C131+1)</f>
        <v>2052</v>
      </c>
      <c r="D132" s="154">
        <f>IF(F131+SUM(E$99:E131)=D$92,F131,D$92-SUM(E$99:E131))</f>
        <v>918571.42857143003</v>
      </c>
      <c r="E132" s="160">
        <f>IF(+J96&lt;F131,J96,D132)</f>
        <v>91857.142857142855</v>
      </c>
      <c r="F132" s="159">
        <f t="shared" si="13"/>
        <v>826714.28571428719</v>
      </c>
      <c r="G132" s="159">
        <f t="shared" si="8"/>
        <v>872642.85714285867</v>
      </c>
      <c r="H132" s="163">
        <f t="shared" si="14"/>
        <v>197858.34275180081</v>
      </c>
      <c r="I132" s="253">
        <f t="shared" si="15"/>
        <v>197858.34275180081</v>
      </c>
      <c r="J132" s="158">
        <f t="shared" si="17"/>
        <v>0</v>
      </c>
      <c r="K132" s="158"/>
      <c r="L132" s="334"/>
      <c r="M132" s="158">
        <f t="shared" si="18"/>
        <v>0</v>
      </c>
      <c r="N132" s="334"/>
      <c r="O132" s="158">
        <f t="shared" si="19"/>
        <v>0</v>
      </c>
      <c r="P132" s="158">
        <f t="shared" si="20"/>
        <v>0</v>
      </c>
    </row>
    <row r="133" spans="2:16">
      <c r="B133" s="9" t="str">
        <f t="shared" si="16"/>
        <v/>
      </c>
      <c r="C133" s="153">
        <f>IF(D93="","-",+C132+1)</f>
        <v>2053</v>
      </c>
      <c r="D133" s="154">
        <f>IF(F132+SUM(E$99:E132)=D$92,F132,D$92-SUM(E$99:E132))</f>
        <v>826714.28571428719</v>
      </c>
      <c r="E133" s="160">
        <f>IF(+J96&lt;F132,J96,D133)</f>
        <v>91857.142857142855</v>
      </c>
      <c r="F133" s="159">
        <f t="shared" si="13"/>
        <v>734857.14285714435</v>
      </c>
      <c r="G133" s="159">
        <f t="shared" si="8"/>
        <v>780785.71428571572</v>
      </c>
      <c r="H133" s="163">
        <f t="shared" si="14"/>
        <v>186700.32171025788</v>
      </c>
      <c r="I133" s="253">
        <f t="shared" si="15"/>
        <v>186700.32171025788</v>
      </c>
      <c r="J133" s="158">
        <f t="shared" si="17"/>
        <v>0</v>
      </c>
      <c r="K133" s="158"/>
      <c r="L133" s="334"/>
      <c r="M133" s="158">
        <f t="shared" si="18"/>
        <v>0</v>
      </c>
      <c r="N133" s="334"/>
      <c r="O133" s="158">
        <f t="shared" si="19"/>
        <v>0</v>
      </c>
      <c r="P133" s="158">
        <f t="shared" si="20"/>
        <v>0</v>
      </c>
    </row>
    <row r="134" spans="2:16">
      <c r="B134" s="9" t="str">
        <f t="shared" si="16"/>
        <v/>
      </c>
      <c r="C134" s="153">
        <f>IF(D93="","-",+C133+1)</f>
        <v>2054</v>
      </c>
      <c r="D134" s="154">
        <f>IF(F133+SUM(E$99:E133)=D$92,F133,D$92-SUM(E$99:E133))</f>
        <v>734857.14285714435</v>
      </c>
      <c r="E134" s="160">
        <f>IF(+J96&lt;F133,J96,D134)</f>
        <v>91857.142857142855</v>
      </c>
      <c r="F134" s="159">
        <f t="shared" si="13"/>
        <v>643000.00000000151</v>
      </c>
      <c r="G134" s="159">
        <f t="shared" si="8"/>
        <v>688928.57142857299</v>
      </c>
      <c r="H134" s="163">
        <f t="shared" si="14"/>
        <v>175542.30066871498</v>
      </c>
      <c r="I134" s="253">
        <f t="shared" si="15"/>
        <v>175542.30066871498</v>
      </c>
      <c r="J134" s="158">
        <f t="shared" si="17"/>
        <v>0</v>
      </c>
      <c r="K134" s="158"/>
      <c r="L134" s="334"/>
      <c r="M134" s="158">
        <f t="shared" si="18"/>
        <v>0</v>
      </c>
      <c r="N134" s="334"/>
      <c r="O134" s="158">
        <f t="shared" si="19"/>
        <v>0</v>
      </c>
      <c r="P134" s="158">
        <f t="shared" si="20"/>
        <v>0</v>
      </c>
    </row>
    <row r="135" spans="2:16">
      <c r="B135" s="9" t="str">
        <f t="shared" si="16"/>
        <v/>
      </c>
      <c r="C135" s="153">
        <f>IF(D93="","-",+C134+1)</f>
        <v>2055</v>
      </c>
      <c r="D135" s="154">
        <f>IF(F134+SUM(E$99:E134)=D$92,F134,D$92-SUM(E$99:E134))</f>
        <v>643000.00000000151</v>
      </c>
      <c r="E135" s="160">
        <f>IF(+J96&lt;F134,J96,D135)</f>
        <v>91857.142857142855</v>
      </c>
      <c r="F135" s="159">
        <f t="shared" si="13"/>
        <v>551142.85714285867</v>
      </c>
      <c r="G135" s="159">
        <f t="shared" si="8"/>
        <v>597071.42857143003</v>
      </c>
      <c r="H135" s="163">
        <f t="shared" si="14"/>
        <v>164384.27962717204</v>
      </c>
      <c r="I135" s="253">
        <f t="shared" si="15"/>
        <v>164384.27962717204</v>
      </c>
      <c r="J135" s="158">
        <f t="shared" si="17"/>
        <v>0</v>
      </c>
      <c r="K135" s="158"/>
      <c r="L135" s="334"/>
      <c r="M135" s="158">
        <f t="shared" si="18"/>
        <v>0</v>
      </c>
      <c r="N135" s="334"/>
      <c r="O135" s="158">
        <f t="shared" si="19"/>
        <v>0</v>
      </c>
      <c r="P135" s="158">
        <f t="shared" si="20"/>
        <v>0</v>
      </c>
    </row>
    <row r="136" spans="2:16">
      <c r="B136" s="9" t="str">
        <f t="shared" si="16"/>
        <v/>
      </c>
      <c r="C136" s="153">
        <f>IF(D93="","-",+C135+1)</f>
        <v>2056</v>
      </c>
      <c r="D136" s="154">
        <f>IF(F135+SUM(E$99:E135)=D$92,F135,D$92-SUM(E$99:E135))</f>
        <v>551142.85714285867</v>
      </c>
      <c r="E136" s="160">
        <f>IF(+J96&lt;F135,J96,D136)</f>
        <v>91857.142857142855</v>
      </c>
      <c r="F136" s="159">
        <f t="shared" si="13"/>
        <v>459285.71428571583</v>
      </c>
      <c r="G136" s="159">
        <f t="shared" si="8"/>
        <v>505214.28571428725</v>
      </c>
      <c r="H136" s="163">
        <f t="shared" si="14"/>
        <v>153226.25858562911</v>
      </c>
      <c r="I136" s="253">
        <f t="shared" si="15"/>
        <v>153226.25858562911</v>
      </c>
      <c r="J136" s="158">
        <f t="shared" si="17"/>
        <v>0</v>
      </c>
      <c r="K136" s="158"/>
      <c r="L136" s="334"/>
      <c r="M136" s="158">
        <f t="shared" si="18"/>
        <v>0</v>
      </c>
      <c r="N136" s="334"/>
      <c r="O136" s="158">
        <f t="shared" si="19"/>
        <v>0</v>
      </c>
      <c r="P136" s="158">
        <f t="shared" si="20"/>
        <v>0</v>
      </c>
    </row>
    <row r="137" spans="2:16">
      <c r="B137" s="9" t="str">
        <f t="shared" si="16"/>
        <v/>
      </c>
      <c r="C137" s="153">
        <f>IF(D93="","-",+C136+1)</f>
        <v>2057</v>
      </c>
      <c r="D137" s="154">
        <f>IF(F136+SUM(E$99:E136)=D$92,F136,D$92-SUM(E$99:E136))</f>
        <v>459285.71428571583</v>
      </c>
      <c r="E137" s="160">
        <f>IF(+J96&lt;F136,J96,D137)</f>
        <v>91857.142857142855</v>
      </c>
      <c r="F137" s="159">
        <f t="shared" si="13"/>
        <v>367428.57142857299</v>
      </c>
      <c r="G137" s="159">
        <f t="shared" si="8"/>
        <v>413357.14285714441</v>
      </c>
      <c r="H137" s="163">
        <f t="shared" si="14"/>
        <v>142068.23754408621</v>
      </c>
      <c r="I137" s="253">
        <f t="shared" si="15"/>
        <v>142068.23754408621</v>
      </c>
      <c r="J137" s="158">
        <f t="shared" si="17"/>
        <v>0</v>
      </c>
      <c r="K137" s="158"/>
      <c r="L137" s="334"/>
      <c r="M137" s="158">
        <f t="shared" si="18"/>
        <v>0</v>
      </c>
      <c r="N137" s="334"/>
      <c r="O137" s="158">
        <f t="shared" si="19"/>
        <v>0</v>
      </c>
      <c r="P137" s="158">
        <f t="shared" si="20"/>
        <v>0</v>
      </c>
    </row>
    <row r="138" spans="2:16">
      <c r="B138" s="9" t="str">
        <f t="shared" si="16"/>
        <v/>
      </c>
      <c r="C138" s="153">
        <f>IF(D93="","-",+C137+1)</f>
        <v>2058</v>
      </c>
      <c r="D138" s="154">
        <f>IF(F137+SUM(E$99:E137)=D$92,F137,D$92-SUM(E$99:E137))</f>
        <v>367428.57142857299</v>
      </c>
      <c r="E138" s="160">
        <f>IF(+J96&lt;F137,J96,D138)</f>
        <v>91857.142857142855</v>
      </c>
      <c r="F138" s="159">
        <f t="shared" si="13"/>
        <v>275571.42857143015</v>
      </c>
      <c r="G138" s="159">
        <f t="shared" si="8"/>
        <v>321500.00000000157</v>
      </c>
      <c r="H138" s="163">
        <f t="shared" si="14"/>
        <v>130910.21650254328</v>
      </c>
      <c r="I138" s="253">
        <f t="shared" si="15"/>
        <v>130910.21650254328</v>
      </c>
      <c r="J138" s="158">
        <f t="shared" si="17"/>
        <v>0</v>
      </c>
      <c r="K138" s="158"/>
      <c r="L138" s="334"/>
      <c r="M138" s="158">
        <f t="shared" si="18"/>
        <v>0</v>
      </c>
      <c r="N138" s="334"/>
      <c r="O138" s="158">
        <f t="shared" si="19"/>
        <v>0</v>
      </c>
      <c r="P138" s="158">
        <f t="shared" si="20"/>
        <v>0</v>
      </c>
    </row>
    <row r="139" spans="2:16">
      <c r="B139" s="9" t="str">
        <f t="shared" si="16"/>
        <v/>
      </c>
      <c r="C139" s="153">
        <f>IF(D93="","-",+C138+1)</f>
        <v>2059</v>
      </c>
      <c r="D139" s="154">
        <f>IF(F138+SUM(E$99:E138)=D$92,F138,D$92-SUM(E$99:E138))</f>
        <v>275571.42857143015</v>
      </c>
      <c r="E139" s="160">
        <f>IF(+J96&lt;F138,J96,D139)</f>
        <v>91857.142857142855</v>
      </c>
      <c r="F139" s="159">
        <f t="shared" si="13"/>
        <v>183714.28571428731</v>
      </c>
      <c r="G139" s="159">
        <f t="shared" si="8"/>
        <v>229642.85714285873</v>
      </c>
      <c r="H139" s="163">
        <f t="shared" si="14"/>
        <v>119752.19546100036</v>
      </c>
      <c r="I139" s="253">
        <f t="shared" si="15"/>
        <v>119752.19546100036</v>
      </c>
      <c r="J139" s="158">
        <f t="shared" si="17"/>
        <v>0</v>
      </c>
      <c r="K139" s="158"/>
      <c r="L139" s="334"/>
      <c r="M139" s="158">
        <f t="shared" si="18"/>
        <v>0</v>
      </c>
      <c r="N139" s="334"/>
      <c r="O139" s="158">
        <f t="shared" si="19"/>
        <v>0</v>
      </c>
      <c r="P139" s="158">
        <f t="shared" si="20"/>
        <v>0</v>
      </c>
    </row>
    <row r="140" spans="2:16">
      <c r="B140" s="9" t="str">
        <f t="shared" si="16"/>
        <v/>
      </c>
      <c r="C140" s="153">
        <f>IF(D93="","-",+C139+1)</f>
        <v>2060</v>
      </c>
      <c r="D140" s="154">
        <f>IF(F139+SUM(E$99:E139)=D$92,F139,D$92-SUM(E$99:E139))</f>
        <v>183714.28571428731</v>
      </c>
      <c r="E140" s="160">
        <f>IF(+J96&lt;F139,J96,D140)</f>
        <v>91857.142857142855</v>
      </c>
      <c r="F140" s="159">
        <f t="shared" si="13"/>
        <v>91857.142857144456</v>
      </c>
      <c r="G140" s="159">
        <f t="shared" si="8"/>
        <v>137785.71428571589</v>
      </c>
      <c r="H140" s="163">
        <f t="shared" si="14"/>
        <v>108594.17441945744</v>
      </c>
      <c r="I140" s="253">
        <f t="shared" si="15"/>
        <v>108594.17441945744</v>
      </c>
      <c r="J140" s="158">
        <f t="shared" si="17"/>
        <v>0</v>
      </c>
      <c r="K140" s="158"/>
      <c r="L140" s="334"/>
      <c r="M140" s="158">
        <f t="shared" si="18"/>
        <v>0</v>
      </c>
      <c r="N140" s="334"/>
      <c r="O140" s="158">
        <f t="shared" si="19"/>
        <v>0</v>
      </c>
      <c r="P140" s="158">
        <f t="shared" si="20"/>
        <v>0</v>
      </c>
    </row>
    <row r="141" spans="2:16">
      <c r="B141" s="9" t="str">
        <f t="shared" si="16"/>
        <v/>
      </c>
      <c r="C141" s="153">
        <f>IF(D93="","-",+C140+1)</f>
        <v>2061</v>
      </c>
      <c r="D141" s="154">
        <f>IF(F140+SUM(E$99:E140)=D$92,F140,D$92-SUM(E$99:E140))</f>
        <v>91857.142857144456</v>
      </c>
      <c r="E141" s="160">
        <f>IF(+J96&lt;F140,J96,D141)</f>
        <v>91857.142857142855</v>
      </c>
      <c r="F141" s="159">
        <f t="shared" si="13"/>
        <v>1.6007106751203537E-9</v>
      </c>
      <c r="G141" s="159">
        <f t="shared" si="8"/>
        <v>45928.571428573028</v>
      </c>
      <c r="H141" s="163">
        <f t="shared" si="14"/>
        <v>97436.15337791451</v>
      </c>
      <c r="I141" s="253">
        <f t="shared" si="15"/>
        <v>97436.15337791451</v>
      </c>
      <c r="J141" s="158">
        <f t="shared" si="17"/>
        <v>0</v>
      </c>
      <c r="K141" s="158"/>
      <c r="L141" s="334"/>
      <c r="M141" s="158">
        <f t="shared" si="18"/>
        <v>0</v>
      </c>
      <c r="N141" s="334"/>
      <c r="O141" s="158">
        <f t="shared" si="19"/>
        <v>0</v>
      </c>
      <c r="P141" s="158">
        <f t="shared" si="20"/>
        <v>0</v>
      </c>
    </row>
    <row r="142" spans="2:16">
      <c r="B142" s="9" t="str">
        <f t="shared" si="16"/>
        <v/>
      </c>
      <c r="C142" s="153">
        <f>IF(D93="","-",+C141+1)</f>
        <v>2062</v>
      </c>
      <c r="D142" s="154">
        <f>IF(F141+SUM(E$99:E141)=D$92,F141,D$92-SUM(E$99:E141))</f>
        <v>1.6007106751203537E-9</v>
      </c>
      <c r="E142" s="160">
        <f>IF(+J96&lt;F141,J96,D142)</f>
        <v>1.6007106751203537E-9</v>
      </c>
      <c r="F142" s="159">
        <f t="shared" si="13"/>
        <v>0</v>
      </c>
      <c r="G142" s="159">
        <f t="shared" si="8"/>
        <v>8.0035533756017685E-10</v>
      </c>
      <c r="H142" s="163">
        <f t="shared" si="14"/>
        <v>1.6979310046389439E-9</v>
      </c>
      <c r="I142" s="253">
        <f t="shared" si="15"/>
        <v>1.6979310046389439E-9</v>
      </c>
      <c r="J142" s="158">
        <f t="shared" si="17"/>
        <v>0</v>
      </c>
      <c r="K142" s="158"/>
      <c r="L142" s="334"/>
      <c r="M142" s="158">
        <f t="shared" si="18"/>
        <v>0</v>
      </c>
      <c r="N142" s="334"/>
      <c r="O142" s="158">
        <f t="shared" si="19"/>
        <v>0</v>
      </c>
      <c r="P142" s="158">
        <f t="shared" si="20"/>
        <v>0</v>
      </c>
    </row>
    <row r="143" spans="2:16">
      <c r="B143" s="9" t="str">
        <f t="shared" si="16"/>
        <v/>
      </c>
      <c r="C143" s="153">
        <f>IF(D93="","-",+C142+1)</f>
        <v>2063</v>
      </c>
      <c r="D143" s="154">
        <f>IF(F142+SUM(E$99:E142)=D$92,F142,D$92-SUM(E$99:E142))</f>
        <v>0</v>
      </c>
      <c r="E143" s="160">
        <f>IF(+J96&lt;F142,J96,D143)</f>
        <v>0</v>
      </c>
      <c r="F143" s="159">
        <f t="shared" si="13"/>
        <v>0</v>
      </c>
      <c r="G143" s="159">
        <f t="shared" si="8"/>
        <v>0</v>
      </c>
      <c r="H143" s="163">
        <f t="shared" si="14"/>
        <v>0</v>
      </c>
      <c r="I143" s="253">
        <f t="shared" si="15"/>
        <v>0</v>
      </c>
      <c r="J143" s="158">
        <f t="shared" si="17"/>
        <v>0</v>
      </c>
      <c r="K143" s="158"/>
      <c r="L143" s="334"/>
      <c r="M143" s="158">
        <f t="shared" si="18"/>
        <v>0</v>
      </c>
      <c r="N143" s="334"/>
      <c r="O143" s="158">
        <f t="shared" si="19"/>
        <v>0</v>
      </c>
      <c r="P143" s="158">
        <f t="shared" si="20"/>
        <v>0</v>
      </c>
    </row>
    <row r="144" spans="2:16">
      <c r="B144" s="9" t="str">
        <f t="shared" si="16"/>
        <v/>
      </c>
      <c r="C144" s="153">
        <f>IF(D93="","-",+C143+1)</f>
        <v>2064</v>
      </c>
      <c r="D144" s="154">
        <f>IF(F143+SUM(E$99:E143)=D$92,F143,D$92-SUM(E$99:E143))</f>
        <v>0</v>
      </c>
      <c r="E144" s="160">
        <f>IF(+J96&lt;F143,J96,D144)</f>
        <v>0</v>
      </c>
      <c r="F144" s="159">
        <f t="shared" si="13"/>
        <v>0</v>
      </c>
      <c r="G144" s="159">
        <f t="shared" si="8"/>
        <v>0</v>
      </c>
      <c r="H144" s="163">
        <f t="shared" si="14"/>
        <v>0</v>
      </c>
      <c r="I144" s="253">
        <f t="shared" si="15"/>
        <v>0</v>
      </c>
      <c r="J144" s="158">
        <f t="shared" si="17"/>
        <v>0</v>
      </c>
      <c r="K144" s="158"/>
      <c r="L144" s="334"/>
      <c r="M144" s="158">
        <f t="shared" si="18"/>
        <v>0</v>
      </c>
      <c r="N144" s="334"/>
      <c r="O144" s="158">
        <f t="shared" si="19"/>
        <v>0</v>
      </c>
      <c r="P144" s="158">
        <f t="shared" si="20"/>
        <v>0</v>
      </c>
    </row>
    <row r="145" spans="2:16">
      <c r="B145" s="9" t="str">
        <f t="shared" si="16"/>
        <v/>
      </c>
      <c r="C145" s="153">
        <f>IF(D93="","-",+C144+1)</f>
        <v>2065</v>
      </c>
      <c r="D145" s="154">
        <f>IF(F144+SUM(E$99:E144)=D$92,F144,D$92-SUM(E$99:E144))</f>
        <v>0</v>
      </c>
      <c r="E145" s="160">
        <f>IF(+J96&lt;F144,J96,D145)</f>
        <v>0</v>
      </c>
      <c r="F145" s="159">
        <f t="shared" si="13"/>
        <v>0</v>
      </c>
      <c r="G145" s="159">
        <f t="shared" si="8"/>
        <v>0</v>
      </c>
      <c r="H145" s="163">
        <f t="shared" si="14"/>
        <v>0</v>
      </c>
      <c r="I145" s="253">
        <f t="shared" si="15"/>
        <v>0</v>
      </c>
      <c r="J145" s="158">
        <f t="shared" si="17"/>
        <v>0</v>
      </c>
      <c r="K145" s="158"/>
      <c r="L145" s="334"/>
      <c r="M145" s="158">
        <f t="shared" si="18"/>
        <v>0</v>
      </c>
      <c r="N145" s="334"/>
      <c r="O145" s="158">
        <f t="shared" si="19"/>
        <v>0</v>
      </c>
      <c r="P145" s="158">
        <f t="shared" si="20"/>
        <v>0</v>
      </c>
    </row>
    <row r="146" spans="2:16">
      <c r="B146" s="9" t="str">
        <f t="shared" si="16"/>
        <v/>
      </c>
      <c r="C146" s="153">
        <f>IF(D93="","-",+C145+1)</f>
        <v>2066</v>
      </c>
      <c r="D146" s="154">
        <f>IF(F145+SUM(E$99:E145)=D$92,F145,D$92-SUM(E$99:E145))</f>
        <v>0</v>
      </c>
      <c r="E146" s="160">
        <f>IF(+J96&lt;F145,J96,D146)</f>
        <v>0</v>
      </c>
      <c r="F146" s="159">
        <f t="shared" si="13"/>
        <v>0</v>
      </c>
      <c r="G146" s="159">
        <f t="shared" si="8"/>
        <v>0</v>
      </c>
      <c r="H146" s="163">
        <f t="shared" si="14"/>
        <v>0</v>
      </c>
      <c r="I146" s="253">
        <f t="shared" si="15"/>
        <v>0</v>
      </c>
      <c r="J146" s="158">
        <f t="shared" si="17"/>
        <v>0</v>
      </c>
      <c r="K146" s="158"/>
      <c r="L146" s="334"/>
      <c r="M146" s="158">
        <f t="shared" si="18"/>
        <v>0</v>
      </c>
      <c r="N146" s="334"/>
      <c r="O146" s="158">
        <f t="shared" si="19"/>
        <v>0</v>
      </c>
      <c r="P146" s="158">
        <f t="shared" si="20"/>
        <v>0</v>
      </c>
    </row>
    <row r="147" spans="2:16">
      <c r="B147" s="9" t="str">
        <f t="shared" si="16"/>
        <v/>
      </c>
      <c r="C147" s="153">
        <f>IF(D93="","-",+C146+1)</f>
        <v>2067</v>
      </c>
      <c r="D147" s="154">
        <f>IF(F146+SUM(E$99:E146)=D$92,F146,D$92-SUM(E$99:E146))</f>
        <v>0</v>
      </c>
      <c r="E147" s="160">
        <f>IF(+J96&lt;F146,J96,D147)</f>
        <v>0</v>
      </c>
      <c r="F147" s="159">
        <f t="shared" si="13"/>
        <v>0</v>
      </c>
      <c r="G147" s="159">
        <f t="shared" si="8"/>
        <v>0</v>
      </c>
      <c r="H147" s="163">
        <f t="shared" si="14"/>
        <v>0</v>
      </c>
      <c r="I147" s="253">
        <f t="shared" si="15"/>
        <v>0</v>
      </c>
      <c r="J147" s="158">
        <f t="shared" si="17"/>
        <v>0</v>
      </c>
      <c r="K147" s="158"/>
      <c r="L147" s="334"/>
      <c r="M147" s="158">
        <f t="shared" si="18"/>
        <v>0</v>
      </c>
      <c r="N147" s="334"/>
      <c r="O147" s="158">
        <f t="shared" si="19"/>
        <v>0</v>
      </c>
      <c r="P147" s="158">
        <f t="shared" si="20"/>
        <v>0</v>
      </c>
    </row>
    <row r="148" spans="2:16">
      <c r="B148" s="9" t="str">
        <f t="shared" si="16"/>
        <v/>
      </c>
      <c r="C148" s="153">
        <f>IF(D93="","-",+C147+1)</f>
        <v>2068</v>
      </c>
      <c r="D148" s="154">
        <f>IF(F147+SUM(E$99:E147)=D$92,F147,D$92-SUM(E$99:E147))</f>
        <v>0</v>
      </c>
      <c r="E148" s="160">
        <f>IF(+J96&lt;F147,J96,D148)</f>
        <v>0</v>
      </c>
      <c r="F148" s="159">
        <f t="shared" si="13"/>
        <v>0</v>
      </c>
      <c r="G148" s="159">
        <f t="shared" si="8"/>
        <v>0</v>
      </c>
      <c r="H148" s="163">
        <f t="shared" si="14"/>
        <v>0</v>
      </c>
      <c r="I148" s="253">
        <f t="shared" si="15"/>
        <v>0</v>
      </c>
      <c r="J148" s="158">
        <f t="shared" si="17"/>
        <v>0</v>
      </c>
      <c r="K148" s="158"/>
      <c r="L148" s="334"/>
      <c r="M148" s="158">
        <f t="shared" si="18"/>
        <v>0</v>
      </c>
      <c r="N148" s="334"/>
      <c r="O148" s="158">
        <f t="shared" si="19"/>
        <v>0</v>
      </c>
      <c r="P148" s="158">
        <f t="shared" si="20"/>
        <v>0</v>
      </c>
    </row>
    <row r="149" spans="2:16">
      <c r="B149" s="9" t="str">
        <f t="shared" si="16"/>
        <v/>
      </c>
      <c r="C149" s="153">
        <f>IF(D93="","-",+C148+1)</f>
        <v>2069</v>
      </c>
      <c r="D149" s="154">
        <f>IF(F148+SUM(E$99:E148)=D$92,F148,D$92-SUM(E$99:E148))</f>
        <v>0</v>
      </c>
      <c r="E149" s="160">
        <f>IF(+J96&lt;F148,J96,D149)</f>
        <v>0</v>
      </c>
      <c r="F149" s="159">
        <f t="shared" si="13"/>
        <v>0</v>
      </c>
      <c r="G149" s="159">
        <f t="shared" si="8"/>
        <v>0</v>
      </c>
      <c r="H149" s="163">
        <f t="shared" si="14"/>
        <v>0</v>
      </c>
      <c r="I149" s="253">
        <f t="shared" si="15"/>
        <v>0</v>
      </c>
      <c r="J149" s="158">
        <f t="shared" si="17"/>
        <v>0</v>
      </c>
      <c r="K149" s="158"/>
      <c r="L149" s="334"/>
      <c r="M149" s="158">
        <f t="shared" si="18"/>
        <v>0</v>
      </c>
      <c r="N149" s="334"/>
      <c r="O149" s="158">
        <f t="shared" si="19"/>
        <v>0</v>
      </c>
      <c r="P149" s="158">
        <f t="shared" si="20"/>
        <v>0</v>
      </c>
    </row>
    <row r="150" spans="2:16">
      <c r="B150" s="9" t="str">
        <f t="shared" si="16"/>
        <v/>
      </c>
      <c r="C150" s="153">
        <f>IF(D93="","-",+C149+1)</f>
        <v>2070</v>
      </c>
      <c r="D150" s="154">
        <f>IF(F149+SUM(E$99:E149)=D$92,F149,D$92-SUM(E$99:E149))</f>
        <v>0</v>
      </c>
      <c r="E150" s="160">
        <f>IF(+J96&lt;F149,J96,D150)</f>
        <v>0</v>
      </c>
      <c r="F150" s="159">
        <f t="shared" si="13"/>
        <v>0</v>
      </c>
      <c r="G150" s="159">
        <f t="shared" si="8"/>
        <v>0</v>
      </c>
      <c r="H150" s="163">
        <f t="shared" si="14"/>
        <v>0</v>
      </c>
      <c r="I150" s="253">
        <f t="shared" si="15"/>
        <v>0</v>
      </c>
      <c r="J150" s="158">
        <f t="shared" si="17"/>
        <v>0</v>
      </c>
      <c r="K150" s="158"/>
      <c r="L150" s="334"/>
      <c r="M150" s="158">
        <f t="shared" si="18"/>
        <v>0</v>
      </c>
      <c r="N150" s="334"/>
      <c r="O150" s="158">
        <f t="shared" si="19"/>
        <v>0</v>
      </c>
      <c r="P150" s="158">
        <f t="shared" si="20"/>
        <v>0</v>
      </c>
    </row>
    <row r="151" spans="2:16">
      <c r="B151" s="9" t="str">
        <f t="shared" si="16"/>
        <v/>
      </c>
      <c r="C151" s="153">
        <f>IF(D93="","-",+C150+1)</f>
        <v>2071</v>
      </c>
      <c r="D151" s="154">
        <f>IF(F150+SUM(E$99:E150)=D$92,F150,D$92-SUM(E$99:E150))</f>
        <v>0</v>
      </c>
      <c r="E151" s="160">
        <f>IF(+J96&lt;F150,J96,D151)</f>
        <v>0</v>
      </c>
      <c r="F151" s="159">
        <f t="shared" si="13"/>
        <v>0</v>
      </c>
      <c r="G151" s="159">
        <f t="shared" si="8"/>
        <v>0</v>
      </c>
      <c r="H151" s="163">
        <f t="shared" si="14"/>
        <v>0</v>
      </c>
      <c r="I151" s="253">
        <f t="shared" si="15"/>
        <v>0</v>
      </c>
      <c r="J151" s="158">
        <f t="shared" si="17"/>
        <v>0</v>
      </c>
      <c r="K151" s="158"/>
      <c r="L151" s="334"/>
      <c r="M151" s="158">
        <f t="shared" si="18"/>
        <v>0</v>
      </c>
      <c r="N151" s="334"/>
      <c r="O151" s="158">
        <f t="shared" si="19"/>
        <v>0</v>
      </c>
      <c r="P151" s="158">
        <f t="shared" si="20"/>
        <v>0</v>
      </c>
    </row>
    <row r="152" spans="2:16">
      <c r="B152" s="9" t="str">
        <f t="shared" si="16"/>
        <v/>
      </c>
      <c r="C152" s="153">
        <f>IF(D93="","-",+C151+1)</f>
        <v>2072</v>
      </c>
      <c r="D152" s="154">
        <f>IF(F151+SUM(E$99:E151)=D$92,F151,D$92-SUM(E$99:E151))</f>
        <v>0</v>
      </c>
      <c r="E152" s="160">
        <f>IF(+J96&lt;F151,J96,D152)</f>
        <v>0</v>
      </c>
      <c r="F152" s="159">
        <f t="shared" si="13"/>
        <v>0</v>
      </c>
      <c r="G152" s="159">
        <f t="shared" si="8"/>
        <v>0</v>
      </c>
      <c r="H152" s="163">
        <f t="shared" si="14"/>
        <v>0</v>
      </c>
      <c r="I152" s="253">
        <f t="shared" si="15"/>
        <v>0</v>
      </c>
      <c r="J152" s="158">
        <f t="shared" si="17"/>
        <v>0</v>
      </c>
      <c r="K152" s="158"/>
      <c r="L152" s="334"/>
      <c r="M152" s="158">
        <f t="shared" si="18"/>
        <v>0</v>
      </c>
      <c r="N152" s="334"/>
      <c r="O152" s="158">
        <f t="shared" si="19"/>
        <v>0</v>
      </c>
      <c r="P152" s="158">
        <f t="shared" si="20"/>
        <v>0</v>
      </c>
    </row>
    <row r="153" spans="2:16">
      <c r="B153" s="9" t="str">
        <f t="shared" si="16"/>
        <v/>
      </c>
      <c r="C153" s="153">
        <f>IF(D93="","-",+C152+1)</f>
        <v>2073</v>
      </c>
      <c r="D153" s="154">
        <f>IF(F152+SUM(E$99:E152)=D$92,F152,D$92-SUM(E$99:E152))</f>
        <v>0</v>
      </c>
      <c r="E153" s="160">
        <f>IF(+J96&lt;F152,J96,D153)</f>
        <v>0</v>
      </c>
      <c r="F153" s="159">
        <f t="shared" si="13"/>
        <v>0</v>
      </c>
      <c r="G153" s="159">
        <f t="shared" si="8"/>
        <v>0</v>
      </c>
      <c r="H153" s="163">
        <f t="shared" si="14"/>
        <v>0</v>
      </c>
      <c r="I153" s="253">
        <f t="shared" si="15"/>
        <v>0</v>
      </c>
      <c r="J153" s="158">
        <f t="shared" si="17"/>
        <v>0</v>
      </c>
      <c r="K153" s="158"/>
      <c r="L153" s="334"/>
      <c r="M153" s="158">
        <f t="shared" si="18"/>
        <v>0</v>
      </c>
      <c r="N153" s="334"/>
      <c r="O153" s="158">
        <f t="shared" si="19"/>
        <v>0</v>
      </c>
      <c r="P153" s="158">
        <f t="shared" si="20"/>
        <v>0</v>
      </c>
    </row>
    <row r="154" spans="2:16" ht="13.5" thickBot="1">
      <c r="B154" s="9" t="str">
        <f t="shared" si="16"/>
        <v/>
      </c>
      <c r="C154" s="164">
        <f>IF(D93="","-",+C153+1)</f>
        <v>2074</v>
      </c>
      <c r="D154" s="215">
        <f>IF(F153+SUM(E$99:E153)=D$92,F153,D$92-SUM(E$99:E153))</f>
        <v>0</v>
      </c>
      <c r="E154" s="166">
        <f>IF(+J96&lt;F153,J96,D154)</f>
        <v>0</v>
      </c>
      <c r="F154" s="165">
        <f t="shared" si="13"/>
        <v>0</v>
      </c>
      <c r="G154" s="165">
        <f t="shared" si="8"/>
        <v>0</v>
      </c>
      <c r="H154" s="167">
        <f t="shared" si="14"/>
        <v>0</v>
      </c>
      <c r="I154" s="254">
        <f t="shared" si="15"/>
        <v>0</v>
      </c>
      <c r="J154" s="169">
        <f t="shared" si="17"/>
        <v>0</v>
      </c>
      <c r="K154" s="158"/>
      <c r="L154" s="335"/>
      <c r="M154" s="169">
        <f t="shared" si="18"/>
        <v>0</v>
      </c>
      <c r="N154" s="335"/>
      <c r="O154" s="169">
        <f t="shared" si="19"/>
        <v>0</v>
      </c>
      <c r="P154" s="169">
        <f t="shared" si="20"/>
        <v>0</v>
      </c>
    </row>
    <row r="155" spans="2:16">
      <c r="C155" s="154" t="s">
        <v>73</v>
      </c>
      <c r="D155" s="111"/>
      <c r="E155" s="111">
        <f>SUM(E99:E154)</f>
        <v>3858000</v>
      </c>
      <c r="F155" s="111"/>
      <c r="G155" s="111"/>
      <c r="H155" s="111">
        <f>SUM(H99:H154)</f>
        <v>13933693.000513272</v>
      </c>
      <c r="I155" s="111">
        <f>SUM(I99:I154)</f>
        <v>13933693.000513272</v>
      </c>
      <c r="J155" s="111">
        <f>SUM(J99:J154)</f>
        <v>0</v>
      </c>
      <c r="K155" s="111"/>
      <c r="L155" s="111"/>
      <c r="M155" s="111"/>
      <c r="N155" s="111"/>
      <c r="O155" s="111"/>
      <c r="P155" s="1"/>
    </row>
    <row r="156" spans="2:16">
      <c r="C156" t="s">
        <v>87</v>
      </c>
      <c r="D156" s="2"/>
      <c r="E156" s="1"/>
      <c r="F156" s="1"/>
      <c r="G156" s="1"/>
      <c r="H156" s="1"/>
      <c r="I156" s="3"/>
      <c r="J156" s="3"/>
      <c r="K156" s="111"/>
      <c r="L156" s="3"/>
      <c r="M156" s="3"/>
      <c r="N156" s="3"/>
      <c r="O156" s="3"/>
      <c r="P156" s="1"/>
    </row>
    <row r="157" spans="2:16">
      <c r="C157" s="216"/>
      <c r="D157" s="2"/>
      <c r="E157" s="1"/>
      <c r="F157" s="1"/>
      <c r="G157" s="1"/>
      <c r="H157" s="1"/>
      <c r="I157" s="3"/>
      <c r="J157" s="3"/>
      <c r="K157" s="111"/>
      <c r="L157" s="3"/>
      <c r="M157" s="3"/>
      <c r="N157" s="3"/>
      <c r="O157" s="3"/>
      <c r="P157" s="1"/>
    </row>
    <row r="158" spans="2:16">
      <c r="C158" s="248" t="s">
        <v>127</v>
      </c>
      <c r="D158" s="2"/>
      <c r="E158" s="1"/>
      <c r="F158" s="1"/>
      <c r="G158" s="1"/>
      <c r="H158" s="1"/>
      <c r="I158" s="3"/>
      <c r="J158" s="3"/>
      <c r="K158" s="111"/>
      <c r="L158" s="3"/>
      <c r="M158" s="3"/>
      <c r="N158" s="3"/>
      <c r="O158" s="3"/>
      <c r="P158" s="1"/>
    </row>
    <row r="159" spans="2:16">
      <c r="C159" s="121" t="s">
        <v>74</v>
      </c>
      <c r="D159" s="154"/>
      <c r="E159" s="154"/>
      <c r="F159" s="154"/>
      <c r="G159" s="154"/>
      <c r="H159" s="111"/>
      <c r="I159" s="111"/>
      <c r="J159" s="171"/>
      <c r="K159" s="171"/>
      <c r="L159" s="171"/>
      <c r="M159" s="171"/>
      <c r="N159" s="171"/>
      <c r="O159" s="171"/>
      <c r="P159" s="1"/>
    </row>
    <row r="160" spans="2:16">
      <c r="C160" s="217" t="s">
        <v>75</v>
      </c>
      <c r="D160" s="154"/>
      <c r="E160" s="154"/>
      <c r="F160" s="154"/>
      <c r="G160" s="154"/>
      <c r="H160" s="111"/>
      <c r="I160" s="111"/>
      <c r="J160" s="171"/>
      <c r="K160" s="171"/>
      <c r="L160" s="171"/>
      <c r="M160" s="171"/>
      <c r="N160" s="171"/>
      <c r="O160" s="171"/>
      <c r="P160" s="1"/>
    </row>
    <row r="161" spans="3:16">
      <c r="C161" s="217"/>
      <c r="D161" s="154"/>
      <c r="E161" s="154"/>
      <c r="F161" s="154"/>
      <c r="G161" s="154"/>
      <c r="H161" s="111"/>
      <c r="I161" s="111"/>
      <c r="J161" s="171"/>
      <c r="K161" s="171"/>
      <c r="L161" s="171"/>
      <c r="M161" s="171"/>
      <c r="N161" s="171"/>
      <c r="O161" s="171"/>
      <c r="P161" s="1"/>
    </row>
    <row r="162" spans="3:16" ht="18">
      <c r="C162" s="217"/>
      <c r="D162" s="154"/>
      <c r="E162" s="154"/>
      <c r="F162" s="154"/>
      <c r="G162" s="154"/>
      <c r="H162" s="111"/>
      <c r="I162" s="111"/>
      <c r="J162" s="171"/>
      <c r="K162" s="171"/>
      <c r="L162" s="171"/>
      <c r="M162" s="171"/>
      <c r="N162" s="171"/>
      <c r="P162" s="245" t="s">
        <v>126</v>
      </c>
    </row>
  </sheetData>
  <conditionalFormatting sqref="C18:C72">
    <cfRule type="cellIs" dxfId="4" priority="2" stopIfTrue="1" operator="equal">
      <formula>$I$10</formula>
    </cfRule>
  </conditionalFormatting>
  <conditionalFormatting sqref="C99:C154">
    <cfRule type="cellIs" dxfId="3" priority="3" stopIfTrue="1" operator="equal">
      <formula>$J$92</formula>
    </cfRule>
  </conditionalFormatting>
  <conditionalFormatting sqref="C17">
    <cfRule type="cellIs" dxfId="2" priority="1" stopIfTrue="1" operator="equal">
      <formula>$I$10</formula>
    </cfRule>
  </conditionalFormatting>
  <pageMargins left="0.5" right="0.25" top="1" bottom="0.25" header="0.25" footer="0.5"/>
  <pageSetup scale="47" orientation="landscape" r:id="rId1"/>
  <headerFooter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6383" man="1"/>
  </rowBreaks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/>
  <dimension ref="A1:P162"/>
  <sheetViews>
    <sheetView view="pageBreakPreview" topLeftCell="A73" zoomScale="80" zoomScaleNormal="100" zoomScaleSheetLayoutView="80" workbookViewId="0">
      <selection activeCell="F99" sqref="F99"/>
    </sheetView>
  </sheetViews>
  <sheetFormatPr defaultRowHeight="12.75" customHeight="1"/>
  <cols>
    <col min="1" max="1" width="4.7109375" customWidth="1"/>
    <col min="2" max="2" width="6.7109375" customWidth="1"/>
    <col min="3" max="3" width="23.28515625" customWidth="1"/>
    <col min="4" max="8" width="17.7109375" customWidth="1"/>
    <col min="9" max="9" width="20.42578125" customWidth="1"/>
    <col min="10" max="10" width="16.42578125" customWidth="1"/>
    <col min="11" max="11" width="17.7109375" customWidth="1"/>
    <col min="12" max="12" width="16.140625" customWidth="1"/>
    <col min="13" max="13" width="17.7109375" customWidth="1"/>
    <col min="14" max="14" width="16.7109375" customWidth="1"/>
    <col min="15" max="15" width="16.85546875" customWidth="1"/>
    <col min="16" max="16" width="24.42578125" customWidth="1"/>
    <col min="17" max="17" width="9.140625" customWidth="1"/>
    <col min="23" max="23" width="9.140625" customWidth="1"/>
  </cols>
  <sheetData>
    <row r="1" spans="1:16" ht="20.25">
      <c r="A1" s="243" t="s">
        <v>128</v>
      </c>
      <c r="B1" s="1"/>
      <c r="C1" s="21"/>
      <c r="D1" s="2"/>
      <c r="E1" s="1"/>
      <c r="F1" s="99"/>
      <c r="G1" s="1"/>
      <c r="H1" s="3"/>
      <c r="J1" s="7"/>
      <c r="K1" s="109"/>
      <c r="L1" s="109"/>
      <c r="M1" s="109"/>
      <c r="P1" s="249" t="str">
        <f ca="1">"SWEPCO Project "&amp;RIGHT(MID(CELL("filename",$A$1),FIND("]",CELL("filename",$A$1))+1,256),2)&amp;" of "&amp;COUNT('S.001:S.xyz - blank'!$P$3)-1</f>
        <v>SWEPCO Project nk of 73</v>
      </c>
    </row>
    <row r="2" spans="1:16" ht="18">
      <c r="B2" s="1"/>
      <c r="C2" s="1"/>
      <c r="D2" s="2"/>
      <c r="E2" s="1"/>
      <c r="F2" s="1"/>
      <c r="G2" s="1"/>
      <c r="H2" s="3"/>
      <c r="I2" s="1"/>
      <c r="J2" s="4"/>
      <c r="K2" s="1"/>
      <c r="L2" s="1"/>
      <c r="M2" s="1"/>
      <c r="N2" s="1"/>
      <c r="P2" s="244" t="s">
        <v>124</v>
      </c>
    </row>
    <row r="3" spans="1:16" ht="18.75">
      <c r="B3" s="5" t="s">
        <v>40</v>
      </c>
      <c r="C3" s="68" t="s">
        <v>41</v>
      </c>
      <c r="D3" s="2"/>
      <c r="E3" s="1"/>
      <c r="F3" s="1"/>
      <c r="G3" s="1"/>
      <c r="H3" s="3"/>
      <c r="I3" s="3"/>
      <c r="J3" s="111"/>
      <c r="K3" s="3"/>
      <c r="L3" s="3"/>
      <c r="M3" s="3"/>
      <c r="N3" s="3"/>
      <c r="O3" s="1"/>
      <c r="P3" s="240">
        <v>1</v>
      </c>
    </row>
    <row r="4" spans="1:16" ht="15.75" thickBot="1">
      <c r="C4" s="67"/>
      <c r="D4" s="2"/>
      <c r="E4" s="1"/>
      <c r="F4" s="1"/>
      <c r="G4" s="1"/>
      <c r="H4" s="3"/>
      <c r="I4" s="3"/>
      <c r="J4" s="111"/>
      <c r="K4" s="3"/>
      <c r="L4" s="3"/>
      <c r="M4" s="3"/>
      <c r="N4" s="3"/>
      <c r="O4" s="1"/>
      <c r="P4" s="1"/>
    </row>
    <row r="5" spans="1:16" ht="15">
      <c r="C5" s="112" t="s">
        <v>42</v>
      </c>
      <c r="D5" s="2"/>
      <c r="E5" s="1"/>
      <c r="F5" s="1"/>
      <c r="G5" s="113"/>
      <c r="H5" s="1" t="s">
        <v>43</v>
      </c>
      <c r="I5" s="1"/>
      <c r="J5" s="4"/>
      <c r="K5" s="268" t="s">
        <v>152</v>
      </c>
      <c r="L5" s="114"/>
      <c r="M5" s="115"/>
      <c r="N5" s="116">
        <f>VLOOKUP(I10,C17:I72,5)</f>
        <v>0</v>
      </c>
      <c r="P5" s="1"/>
    </row>
    <row r="6" spans="1:16" ht="15.75">
      <c r="C6" s="8"/>
      <c r="D6" s="2"/>
      <c r="E6" s="1"/>
      <c r="F6" s="1"/>
      <c r="G6" s="1"/>
      <c r="H6" s="117"/>
      <c r="I6" s="117"/>
      <c r="J6" s="118"/>
      <c r="K6" s="269" t="s">
        <v>153</v>
      </c>
      <c r="L6" s="119"/>
      <c r="M6" s="4"/>
      <c r="N6" s="120">
        <f>VLOOKUP(I10,C17:I72,6)</f>
        <v>0</v>
      </c>
      <c r="O6" s="1"/>
      <c r="P6" s="1"/>
    </row>
    <row r="7" spans="1:16" ht="13.5" thickBot="1">
      <c r="C7" s="121" t="s">
        <v>44</v>
      </c>
      <c r="D7" s="223" t="s">
        <v>380</v>
      </c>
      <c r="E7" s="1"/>
      <c r="F7" s="1"/>
      <c r="G7" s="1"/>
      <c r="H7" s="3"/>
      <c r="I7" s="3"/>
      <c r="J7" s="111"/>
      <c r="K7" s="122" t="s">
        <v>45</v>
      </c>
      <c r="L7" s="123"/>
      <c r="M7" s="123"/>
      <c r="N7" s="124">
        <f>+N6-N5</f>
        <v>0</v>
      </c>
      <c r="O7" s="1"/>
      <c r="P7" s="1"/>
    </row>
    <row r="8" spans="1:16" ht="13.5" thickBot="1">
      <c r="C8" s="125"/>
      <c r="D8" s="352" t="str">
        <f>IF(D10&lt;100000,"DOES NOT MEET SPP $100,000 MINIMUM INVESTMENT FOR REGIONAL BPU SHARING.","")</f>
        <v>DOES NOT MEET SPP $100,000 MINIMUM INVESTMENT FOR REGIONAL BPU SHARING.</v>
      </c>
      <c r="E8" s="126"/>
      <c r="F8" s="126"/>
      <c r="G8" s="126"/>
      <c r="H8" s="126"/>
      <c r="I8" s="126"/>
      <c r="J8" s="101"/>
      <c r="K8" s="126"/>
      <c r="L8" s="126"/>
      <c r="M8" s="126"/>
      <c r="N8" s="126"/>
      <c r="O8" s="101"/>
      <c r="P8" s="21"/>
    </row>
    <row r="9" spans="1:16" ht="13.5" thickBot="1">
      <c r="C9" s="127" t="s">
        <v>46</v>
      </c>
      <c r="D9" s="225" t="s">
        <v>252</v>
      </c>
      <c r="E9" s="128"/>
      <c r="F9" s="128"/>
      <c r="G9" s="128"/>
      <c r="H9" s="128"/>
      <c r="I9" s="129"/>
      <c r="J9" s="130"/>
      <c r="O9" s="131"/>
      <c r="P9" s="4"/>
    </row>
    <row r="10" spans="1:16">
      <c r="C10" s="132" t="s">
        <v>47</v>
      </c>
      <c r="D10" s="133">
        <v>0</v>
      </c>
      <c r="E10" s="61" t="s">
        <v>459</v>
      </c>
      <c r="F10" s="131"/>
      <c r="G10" s="134"/>
      <c r="H10" s="134"/>
      <c r="I10" s="135">
        <f>+SWE.WS.F.BPU.ATRR.Projected!K17</f>
        <v>2019</v>
      </c>
      <c r="J10" s="130"/>
      <c r="K10" s="111" t="s">
        <v>48</v>
      </c>
      <c r="O10" s="4"/>
      <c r="P10" s="4"/>
    </row>
    <row r="11" spans="1:16">
      <c r="C11" s="136" t="s">
        <v>49</v>
      </c>
      <c r="D11" s="137">
        <v>2018</v>
      </c>
      <c r="E11" s="136" t="s">
        <v>50</v>
      </c>
      <c r="F11" s="134"/>
      <c r="G11" s="7"/>
      <c r="H11" s="7"/>
      <c r="I11" s="138">
        <f>IF(G5="",0,SWE.WS.F.BPU.ATRR.Projected!F$11)</f>
        <v>0</v>
      </c>
      <c r="J11" s="139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4"/>
      <c r="P11" s="4"/>
    </row>
    <row r="12" spans="1:16">
      <c r="C12" s="136" t="s">
        <v>51</v>
      </c>
      <c r="D12" s="133">
        <v>4</v>
      </c>
      <c r="E12" s="136" t="s">
        <v>52</v>
      </c>
      <c r="F12" s="134"/>
      <c r="G12" s="7"/>
      <c r="H12" s="7"/>
      <c r="I12" s="140">
        <f>SWE.WS.F.BPU.ATRR.Projected!$F$76</f>
        <v>9.9555672459071778E-2</v>
      </c>
      <c r="J12" s="141"/>
      <c r="K12" t="s">
        <v>53</v>
      </c>
      <c r="O12" s="4"/>
      <c r="P12" s="4"/>
    </row>
    <row r="13" spans="1:16">
      <c r="C13" s="136" t="s">
        <v>54</v>
      </c>
      <c r="D13" s="138">
        <f>+SWE.WS.F.BPU.ATRR.Projected!F$87</f>
        <v>43</v>
      </c>
      <c r="E13" s="136" t="s">
        <v>55</v>
      </c>
      <c r="F13" s="134"/>
      <c r="G13" s="7"/>
      <c r="H13" s="7"/>
      <c r="I13" s="140">
        <f>IF(G5="",I12,SWE.WS.F.BPU.ATRR.Projected!$F$75)</f>
        <v>9.9555672459071778E-2</v>
      </c>
      <c r="J13" s="141"/>
      <c r="K13" s="111" t="s">
        <v>56</v>
      </c>
      <c r="L13" s="58"/>
      <c r="M13" s="58"/>
      <c r="N13" s="58"/>
      <c r="O13" s="4"/>
      <c r="P13" s="4"/>
    </row>
    <row r="14" spans="1:16" ht="13.5" thickBot="1">
      <c r="C14" s="136" t="s">
        <v>57</v>
      </c>
      <c r="D14" s="137" t="s">
        <v>58</v>
      </c>
      <c r="E14" s="4" t="s">
        <v>59</v>
      </c>
      <c r="F14" s="134"/>
      <c r="G14" s="7"/>
      <c r="H14" s="7"/>
      <c r="I14" s="142">
        <f>IF(D10=0,0,D10/D13)</f>
        <v>0</v>
      </c>
      <c r="J14" s="111"/>
      <c r="K14" s="111"/>
      <c r="L14" s="111"/>
      <c r="M14" s="111"/>
      <c r="N14" s="111"/>
      <c r="O14" s="4"/>
      <c r="P14" s="4"/>
    </row>
    <row r="15" spans="1:16" ht="38.25">
      <c r="C15" s="143" t="s">
        <v>47</v>
      </c>
      <c r="D15" s="144" t="s">
        <v>60</v>
      </c>
      <c r="E15" s="144" t="s">
        <v>61</v>
      </c>
      <c r="F15" s="144" t="s">
        <v>62</v>
      </c>
      <c r="G15" s="434" t="s">
        <v>378</v>
      </c>
      <c r="H15" s="435" t="s">
        <v>379</v>
      </c>
      <c r="I15" s="143" t="s">
        <v>63</v>
      </c>
      <c r="J15" s="145"/>
      <c r="K15" s="271" t="s">
        <v>219</v>
      </c>
      <c r="L15" s="146" t="s">
        <v>64</v>
      </c>
      <c r="M15" s="271" t="s">
        <v>219</v>
      </c>
      <c r="N15" s="146" t="s">
        <v>64</v>
      </c>
      <c r="O15" s="146" t="s">
        <v>65</v>
      </c>
      <c r="P15" s="4"/>
    </row>
    <row r="16" spans="1:16" ht="13.5" thickBot="1">
      <c r="C16" s="147" t="s">
        <v>66</v>
      </c>
      <c r="D16" s="147" t="s">
        <v>67</v>
      </c>
      <c r="E16" s="147" t="s">
        <v>68</v>
      </c>
      <c r="F16" s="147" t="s">
        <v>67</v>
      </c>
      <c r="G16" s="408" t="s">
        <v>69</v>
      </c>
      <c r="H16" s="148" t="s">
        <v>70</v>
      </c>
      <c r="I16" s="149" t="s">
        <v>89</v>
      </c>
      <c r="J16" s="150" t="s">
        <v>71</v>
      </c>
      <c r="K16" s="151" t="s">
        <v>72</v>
      </c>
      <c r="L16" s="151" t="s">
        <v>72</v>
      </c>
      <c r="M16" s="151" t="s">
        <v>90</v>
      </c>
      <c r="N16" s="152" t="s">
        <v>90</v>
      </c>
      <c r="O16" s="151" t="s">
        <v>90</v>
      </c>
      <c r="P16" s="4"/>
    </row>
    <row r="17" spans="2:16">
      <c r="C17" s="153">
        <f>IF(D11= "","-",D11)</f>
        <v>2018</v>
      </c>
      <c r="D17" s="466">
        <v>0</v>
      </c>
      <c r="E17" s="436">
        <f>IF(D10&gt;=100000,I$14/12*(12-D12),0)</f>
        <v>0</v>
      </c>
      <c r="F17" s="159">
        <f>IF(D11=C17,+D10-E17,+D17-E17)</f>
        <v>0</v>
      </c>
      <c r="G17" s="155">
        <f t="shared" ref="G17:G48" si="0">+I$12*((D17+F17)/2)+E17</f>
        <v>0</v>
      </c>
      <c r="H17" s="142">
        <f t="shared" ref="H17:H48" si="1">+I$13*((D17+F17)/2)+E17</f>
        <v>0</v>
      </c>
      <c r="I17" s="156">
        <f t="shared" ref="I17:I48" si="2">H17-G17</f>
        <v>0</v>
      </c>
      <c r="J17" s="156"/>
      <c r="K17" s="256"/>
      <c r="L17" s="157">
        <f t="shared" ref="L17:L48" si="3">IF(K17&lt;&gt;0,+G17-K17,0)</f>
        <v>0</v>
      </c>
      <c r="M17" s="256"/>
      <c r="N17" s="157">
        <f t="shared" ref="N17:N48" si="4">IF(M17&lt;&gt;0,+H17-M17,0)</f>
        <v>0</v>
      </c>
      <c r="O17" s="158">
        <f t="shared" ref="O17:O48" si="5">+N17-L17</f>
        <v>0</v>
      </c>
      <c r="P17" s="4"/>
    </row>
    <row r="18" spans="2:16">
      <c r="B18" s="9" t="str">
        <f>IF(D18=F17,"","IU")</f>
        <v/>
      </c>
      <c r="C18" s="153">
        <f>IF(D11="","-",+C17+1)</f>
        <v>2019</v>
      </c>
      <c r="D18" s="159">
        <f>IF(F17+SUM(E$17:E17)=D$10,F17,D$10-SUM(E$17:E17))</f>
        <v>0</v>
      </c>
      <c r="E18" s="160">
        <f>IF(+I14&lt;F17,I14,D18)</f>
        <v>0</v>
      </c>
      <c r="F18" s="159">
        <f t="shared" ref="F18:F48" si="6">+D18-E18</f>
        <v>0</v>
      </c>
      <c r="G18" s="161">
        <f t="shared" si="0"/>
        <v>0</v>
      </c>
      <c r="H18" s="142">
        <f t="shared" si="1"/>
        <v>0</v>
      </c>
      <c r="I18" s="156">
        <f t="shared" si="2"/>
        <v>0</v>
      </c>
      <c r="J18" s="156"/>
      <c r="K18" s="334"/>
      <c r="L18" s="158">
        <f t="shared" si="3"/>
        <v>0</v>
      </c>
      <c r="M18" s="334"/>
      <c r="N18" s="158">
        <f t="shared" si="4"/>
        <v>0</v>
      </c>
      <c r="O18" s="158">
        <f t="shared" si="5"/>
        <v>0</v>
      </c>
      <c r="P18" s="4"/>
    </row>
    <row r="19" spans="2:16">
      <c r="B19" s="9" t="str">
        <f>IF(D19=F18,"","IU")</f>
        <v/>
      </c>
      <c r="C19" s="153">
        <f>IF(D11="","-",+C18+1)</f>
        <v>2020</v>
      </c>
      <c r="D19" s="159">
        <f>IF(F18+SUM(E$17:E18)=D$10,F18,D$10-SUM(E$17:E18))</f>
        <v>0</v>
      </c>
      <c r="E19" s="160">
        <f>IF(+I14&lt;F18,I14,D19)</f>
        <v>0</v>
      </c>
      <c r="F19" s="159">
        <f t="shared" si="6"/>
        <v>0</v>
      </c>
      <c r="G19" s="161">
        <f t="shared" si="0"/>
        <v>0</v>
      </c>
      <c r="H19" s="142">
        <f t="shared" si="1"/>
        <v>0</v>
      </c>
      <c r="I19" s="156">
        <f t="shared" si="2"/>
        <v>0</v>
      </c>
      <c r="J19" s="156"/>
      <c r="K19" s="334"/>
      <c r="L19" s="158">
        <f t="shared" si="3"/>
        <v>0</v>
      </c>
      <c r="M19" s="334"/>
      <c r="N19" s="158">
        <f t="shared" si="4"/>
        <v>0</v>
      </c>
      <c r="O19" s="158">
        <f t="shared" si="5"/>
        <v>0</v>
      </c>
      <c r="P19" s="4"/>
    </row>
    <row r="20" spans="2:16">
      <c r="B20" s="9" t="str">
        <f t="shared" ref="B20:B72" si="7">IF(D20=F19,"","IU")</f>
        <v/>
      </c>
      <c r="C20" s="153">
        <f>IF(D11="","-",+C19+1)</f>
        <v>2021</v>
      </c>
      <c r="D20" s="159">
        <f>IF(F19+SUM(E$17:E19)=D$10,F19,D$10-SUM(E$17:E19))</f>
        <v>0</v>
      </c>
      <c r="E20" s="160">
        <f>IF(+I14&lt;F19,I14,D20)</f>
        <v>0</v>
      </c>
      <c r="F20" s="159">
        <f t="shared" si="6"/>
        <v>0</v>
      </c>
      <c r="G20" s="161">
        <f t="shared" si="0"/>
        <v>0</v>
      </c>
      <c r="H20" s="142">
        <f t="shared" si="1"/>
        <v>0</v>
      </c>
      <c r="I20" s="156">
        <f t="shared" si="2"/>
        <v>0</v>
      </c>
      <c r="J20" s="156"/>
      <c r="K20" s="334"/>
      <c r="L20" s="158">
        <f t="shared" si="3"/>
        <v>0</v>
      </c>
      <c r="M20" s="334"/>
      <c r="N20" s="158">
        <f t="shared" si="4"/>
        <v>0</v>
      </c>
      <c r="O20" s="158">
        <f t="shared" si="5"/>
        <v>0</v>
      </c>
      <c r="P20" s="4"/>
    </row>
    <row r="21" spans="2:16">
      <c r="B21" s="9" t="str">
        <f t="shared" si="7"/>
        <v/>
      </c>
      <c r="C21" s="153">
        <f>IF(D11="","-",+C20+1)</f>
        <v>2022</v>
      </c>
      <c r="D21" s="159">
        <f>IF(F20+SUM(E$17:E20)=D$10,F20,D$10-SUM(E$17:E20))</f>
        <v>0</v>
      </c>
      <c r="E21" s="160">
        <f>IF(+I14&lt;F20,I14,D21)</f>
        <v>0</v>
      </c>
      <c r="F21" s="159">
        <f t="shared" si="6"/>
        <v>0</v>
      </c>
      <c r="G21" s="161">
        <f t="shared" si="0"/>
        <v>0</v>
      </c>
      <c r="H21" s="142">
        <f t="shared" si="1"/>
        <v>0</v>
      </c>
      <c r="I21" s="156">
        <f t="shared" si="2"/>
        <v>0</v>
      </c>
      <c r="J21" s="156"/>
      <c r="K21" s="334"/>
      <c r="L21" s="158">
        <f t="shared" si="3"/>
        <v>0</v>
      </c>
      <c r="M21" s="334"/>
      <c r="N21" s="158">
        <f t="shared" si="4"/>
        <v>0</v>
      </c>
      <c r="O21" s="158">
        <f t="shared" si="5"/>
        <v>0</v>
      </c>
      <c r="P21" s="4"/>
    </row>
    <row r="22" spans="2:16">
      <c r="B22" s="9" t="str">
        <f t="shared" si="7"/>
        <v/>
      </c>
      <c r="C22" s="153">
        <f>IF(D11="","-",+C21+1)</f>
        <v>2023</v>
      </c>
      <c r="D22" s="159">
        <f>IF(F21+SUM(E$17:E21)=D$10,F21,D$10-SUM(E$17:E21))</f>
        <v>0</v>
      </c>
      <c r="E22" s="160">
        <f>IF(+I14&lt;F21,I14,D22)</f>
        <v>0</v>
      </c>
      <c r="F22" s="159">
        <f t="shared" si="6"/>
        <v>0</v>
      </c>
      <c r="G22" s="161">
        <f t="shared" si="0"/>
        <v>0</v>
      </c>
      <c r="H22" s="142">
        <f t="shared" si="1"/>
        <v>0</v>
      </c>
      <c r="I22" s="156">
        <f t="shared" si="2"/>
        <v>0</v>
      </c>
      <c r="J22" s="156"/>
      <c r="K22" s="334"/>
      <c r="L22" s="158">
        <f t="shared" si="3"/>
        <v>0</v>
      </c>
      <c r="M22" s="334"/>
      <c r="N22" s="158">
        <f t="shared" si="4"/>
        <v>0</v>
      </c>
      <c r="O22" s="158">
        <f t="shared" si="5"/>
        <v>0</v>
      </c>
      <c r="P22" s="4"/>
    </row>
    <row r="23" spans="2:16">
      <c r="B23" s="9" t="str">
        <f t="shared" si="7"/>
        <v/>
      </c>
      <c r="C23" s="153">
        <f>IF(D11="","-",+C22+1)</f>
        <v>2024</v>
      </c>
      <c r="D23" s="159">
        <f>IF(F22+SUM(E$17:E22)=D$10,F22,D$10-SUM(E$17:E22))</f>
        <v>0</v>
      </c>
      <c r="E23" s="160">
        <f>IF(+I14&lt;F22,I14,D23)</f>
        <v>0</v>
      </c>
      <c r="F23" s="159">
        <f t="shared" si="6"/>
        <v>0</v>
      </c>
      <c r="G23" s="161">
        <f t="shared" si="0"/>
        <v>0</v>
      </c>
      <c r="H23" s="142">
        <f t="shared" si="1"/>
        <v>0</v>
      </c>
      <c r="I23" s="156">
        <f t="shared" si="2"/>
        <v>0</v>
      </c>
      <c r="J23" s="156"/>
      <c r="K23" s="334"/>
      <c r="L23" s="158">
        <f t="shared" si="3"/>
        <v>0</v>
      </c>
      <c r="M23" s="334"/>
      <c r="N23" s="158">
        <f t="shared" si="4"/>
        <v>0</v>
      </c>
      <c r="O23" s="158">
        <f t="shared" si="5"/>
        <v>0</v>
      </c>
      <c r="P23" s="4"/>
    </row>
    <row r="24" spans="2:16">
      <c r="B24" s="9" t="str">
        <f t="shared" si="7"/>
        <v/>
      </c>
      <c r="C24" s="153">
        <f>IF(D11="","-",+C23+1)</f>
        <v>2025</v>
      </c>
      <c r="D24" s="159">
        <f>IF(F23+SUM(E$17:E23)=D$10,F23,D$10-SUM(E$17:E23))</f>
        <v>0</v>
      </c>
      <c r="E24" s="160">
        <f>IF(+I14&lt;F23,I14,D24)</f>
        <v>0</v>
      </c>
      <c r="F24" s="159">
        <f t="shared" si="6"/>
        <v>0</v>
      </c>
      <c r="G24" s="161">
        <f t="shared" si="0"/>
        <v>0</v>
      </c>
      <c r="H24" s="142">
        <f t="shared" si="1"/>
        <v>0</v>
      </c>
      <c r="I24" s="156">
        <f t="shared" si="2"/>
        <v>0</v>
      </c>
      <c r="J24" s="156"/>
      <c r="K24" s="334"/>
      <c r="L24" s="158">
        <f t="shared" si="3"/>
        <v>0</v>
      </c>
      <c r="M24" s="334"/>
      <c r="N24" s="158">
        <f t="shared" si="4"/>
        <v>0</v>
      </c>
      <c r="O24" s="158">
        <f t="shared" si="5"/>
        <v>0</v>
      </c>
      <c r="P24" s="4"/>
    </row>
    <row r="25" spans="2:16">
      <c r="B25" s="9" t="str">
        <f t="shared" si="7"/>
        <v/>
      </c>
      <c r="C25" s="153">
        <f>IF(D11="","-",+C24+1)</f>
        <v>2026</v>
      </c>
      <c r="D25" s="159">
        <f>IF(F24+SUM(E$17:E24)=D$10,F24,D$10-SUM(E$17:E24))</f>
        <v>0</v>
      </c>
      <c r="E25" s="160">
        <f>IF(+I14&lt;F24,I14,D25)</f>
        <v>0</v>
      </c>
      <c r="F25" s="159">
        <f t="shared" si="6"/>
        <v>0</v>
      </c>
      <c r="G25" s="161">
        <f t="shared" si="0"/>
        <v>0</v>
      </c>
      <c r="H25" s="142">
        <f t="shared" si="1"/>
        <v>0</v>
      </c>
      <c r="I25" s="156">
        <f t="shared" si="2"/>
        <v>0</v>
      </c>
      <c r="J25" s="156"/>
      <c r="K25" s="334"/>
      <c r="L25" s="158">
        <f t="shared" si="3"/>
        <v>0</v>
      </c>
      <c r="M25" s="334"/>
      <c r="N25" s="158">
        <f t="shared" si="4"/>
        <v>0</v>
      </c>
      <c r="O25" s="158">
        <f t="shared" si="5"/>
        <v>0</v>
      </c>
      <c r="P25" s="4"/>
    </row>
    <row r="26" spans="2:16">
      <c r="B26" s="9" t="str">
        <f t="shared" si="7"/>
        <v/>
      </c>
      <c r="C26" s="153">
        <f>IF(D11="","-",+C25+1)</f>
        <v>2027</v>
      </c>
      <c r="D26" s="159">
        <f>IF(F25+SUM(E$17:E25)=D$10,F25,D$10-SUM(E$17:E25))</f>
        <v>0</v>
      </c>
      <c r="E26" s="160">
        <f>IF(+I14&lt;F25,I14,D26)</f>
        <v>0</v>
      </c>
      <c r="F26" s="159">
        <f t="shared" si="6"/>
        <v>0</v>
      </c>
      <c r="G26" s="161">
        <f t="shared" si="0"/>
        <v>0</v>
      </c>
      <c r="H26" s="142">
        <f t="shared" si="1"/>
        <v>0</v>
      </c>
      <c r="I26" s="156">
        <f t="shared" si="2"/>
        <v>0</v>
      </c>
      <c r="J26" s="156"/>
      <c r="K26" s="334"/>
      <c r="L26" s="158">
        <f t="shared" si="3"/>
        <v>0</v>
      </c>
      <c r="M26" s="334"/>
      <c r="N26" s="158">
        <f t="shared" si="4"/>
        <v>0</v>
      </c>
      <c r="O26" s="158">
        <f t="shared" si="5"/>
        <v>0</v>
      </c>
      <c r="P26" s="4"/>
    </row>
    <row r="27" spans="2:16">
      <c r="B27" s="9" t="str">
        <f t="shared" si="7"/>
        <v/>
      </c>
      <c r="C27" s="153">
        <f>IF(D11="","-",+C26+1)</f>
        <v>2028</v>
      </c>
      <c r="D27" s="159">
        <f>IF(F26+SUM(E$17:E26)=D$10,F26,D$10-SUM(E$17:E26))</f>
        <v>0</v>
      </c>
      <c r="E27" s="160">
        <f>IF(+I14&lt;F26,I14,D27)</f>
        <v>0</v>
      </c>
      <c r="F27" s="159">
        <f t="shared" si="6"/>
        <v>0</v>
      </c>
      <c r="G27" s="161">
        <f t="shared" si="0"/>
        <v>0</v>
      </c>
      <c r="H27" s="142">
        <f t="shared" si="1"/>
        <v>0</v>
      </c>
      <c r="I27" s="156">
        <f t="shared" si="2"/>
        <v>0</v>
      </c>
      <c r="J27" s="156"/>
      <c r="K27" s="334"/>
      <c r="L27" s="158">
        <f t="shared" si="3"/>
        <v>0</v>
      </c>
      <c r="M27" s="334"/>
      <c r="N27" s="158">
        <f t="shared" si="4"/>
        <v>0</v>
      </c>
      <c r="O27" s="158">
        <f t="shared" si="5"/>
        <v>0</v>
      </c>
      <c r="P27" s="4"/>
    </row>
    <row r="28" spans="2:16">
      <c r="B28" s="9" t="str">
        <f t="shared" si="7"/>
        <v/>
      </c>
      <c r="C28" s="153">
        <f>IF(D11="","-",+C27+1)</f>
        <v>2029</v>
      </c>
      <c r="D28" s="159">
        <f>IF(F27+SUM(E$17:E27)=D$10,F27,D$10-SUM(E$17:E27))</f>
        <v>0</v>
      </c>
      <c r="E28" s="160">
        <f>IF(+I14&lt;F27,I14,D28)</f>
        <v>0</v>
      </c>
      <c r="F28" s="159">
        <f t="shared" si="6"/>
        <v>0</v>
      </c>
      <c r="G28" s="161">
        <f t="shared" si="0"/>
        <v>0</v>
      </c>
      <c r="H28" s="142">
        <f t="shared" si="1"/>
        <v>0</v>
      </c>
      <c r="I28" s="156">
        <f t="shared" si="2"/>
        <v>0</v>
      </c>
      <c r="J28" s="156"/>
      <c r="K28" s="334"/>
      <c r="L28" s="158">
        <f t="shared" si="3"/>
        <v>0</v>
      </c>
      <c r="M28" s="334"/>
      <c r="N28" s="158">
        <f t="shared" si="4"/>
        <v>0</v>
      </c>
      <c r="O28" s="158">
        <f t="shared" si="5"/>
        <v>0</v>
      </c>
      <c r="P28" s="4"/>
    </row>
    <row r="29" spans="2:16">
      <c r="B29" s="9" t="str">
        <f t="shared" si="7"/>
        <v/>
      </c>
      <c r="C29" s="153">
        <f>IF(D11="","-",+C28+1)</f>
        <v>2030</v>
      </c>
      <c r="D29" s="159">
        <f>IF(F28+SUM(E$17:E28)=D$10,F28,D$10-SUM(E$17:E28))</f>
        <v>0</v>
      </c>
      <c r="E29" s="160">
        <f>IF(+I14&lt;F28,I14,D29)</f>
        <v>0</v>
      </c>
      <c r="F29" s="159">
        <f t="shared" si="6"/>
        <v>0</v>
      </c>
      <c r="G29" s="161">
        <f t="shared" si="0"/>
        <v>0</v>
      </c>
      <c r="H29" s="142">
        <f t="shared" si="1"/>
        <v>0</v>
      </c>
      <c r="I29" s="156">
        <f t="shared" si="2"/>
        <v>0</v>
      </c>
      <c r="J29" s="156"/>
      <c r="K29" s="334"/>
      <c r="L29" s="158">
        <f t="shared" si="3"/>
        <v>0</v>
      </c>
      <c r="M29" s="334"/>
      <c r="N29" s="158">
        <f t="shared" si="4"/>
        <v>0</v>
      </c>
      <c r="O29" s="158">
        <f t="shared" si="5"/>
        <v>0</v>
      </c>
      <c r="P29" s="4"/>
    </row>
    <row r="30" spans="2:16">
      <c r="B30" s="9" t="str">
        <f t="shared" si="7"/>
        <v/>
      </c>
      <c r="C30" s="153">
        <f>IF(D11="","-",+C29+1)</f>
        <v>2031</v>
      </c>
      <c r="D30" s="159">
        <f>IF(F29+SUM(E$17:E29)=D$10,F29,D$10-SUM(E$17:E29))</f>
        <v>0</v>
      </c>
      <c r="E30" s="160">
        <f>IF(+I14&lt;F29,I14,D30)</f>
        <v>0</v>
      </c>
      <c r="F30" s="159">
        <f t="shared" si="6"/>
        <v>0</v>
      </c>
      <c r="G30" s="161">
        <f t="shared" si="0"/>
        <v>0</v>
      </c>
      <c r="H30" s="142">
        <f t="shared" si="1"/>
        <v>0</v>
      </c>
      <c r="I30" s="156">
        <f t="shared" si="2"/>
        <v>0</v>
      </c>
      <c r="J30" s="156"/>
      <c r="K30" s="334"/>
      <c r="L30" s="158">
        <f t="shared" si="3"/>
        <v>0</v>
      </c>
      <c r="M30" s="334"/>
      <c r="N30" s="158">
        <f t="shared" si="4"/>
        <v>0</v>
      </c>
      <c r="O30" s="158">
        <f t="shared" si="5"/>
        <v>0</v>
      </c>
      <c r="P30" s="4"/>
    </row>
    <row r="31" spans="2:16">
      <c r="B31" s="9" t="str">
        <f t="shared" si="7"/>
        <v/>
      </c>
      <c r="C31" s="153">
        <f>IF(D11="","-",+C30+1)</f>
        <v>2032</v>
      </c>
      <c r="D31" s="159">
        <f>IF(F30+SUM(E$17:E30)=D$10,F30,D$10-SUM(E$17:E30))</f>
        <v>0</v>
      </c>
      <c r="E31" s="160">
        <f>IF(+I14&lt;F30,I14,D31)</f>
        <v>0</v>
      </c>
      <c r="F31" s="159">
        <f t="shared" si="6"/>
        <v>0</v>
      </c>
      <c r="G31" s="161">
        <f t="shared" si="0"/>
        <v>0</v>
      </c>
      <c r="H31" s="142">
        <f t="shared" si="1"/>
        <v>0</v>
      </c>
      <c r="I31" s="156">
        <f t="shared" si="2"/>
        <v>0</v>
      </c>
      <c r="J31" s="156"/>
      <c r="K31" s="334"/>
      <c r="L31" s="158">
        <f t="shared" si="3"/>
        <v>0</v>
      </c>
      <c r="M31" s="334"/>
      <c r="N31" s="158">
        <f t="shared" si="4"/>
        <v>0</v>
      </c>
      <c r="O31" s="158">
        <f t="shared" si="5"/>
        <v>0</v>
      </c>
      <c r="P31" s="4"/>
    </row>
    <row r="32" spans="2:16">
      <c r="B32" s="9" t="str">
        <f t="shared" si="7"/>
        <v/>
      </c>
      <c r="C32" s="153">
        <f>IF(D11="","-",+C31+1)</f>
        <v>2033</v>
      </c>
      <c r="D32" s="159">
        <f>IF(F31+SUM(E$17:E31)=D$10,F31,D$10-SUM(E$17:E31))</f>
        <v>0</v>
      </c>
      <c r="E32" s="160">
        <f>IF(+I14&lt;F31,I14,D32)</f>
        <v>0</v>
      </c>
      <c r="F32" s="159">
        <f t="shared" si="6"/>
        <v>0</v>
      </c>
      <c r="G32" s="161">
        <f t="shared" si="0"/>
        <v>0</v>
      </c>
      <c r="H32" s="142">
        <f t="shared" si="1"/>
        <v>0</v>
      </c>
      <c r="I32" s="156">
        <f t="shared" si="2"/>
        <v>0</v>
      </c>
      <c r="J32" s="156"/>
      <c r="K32" s="334"/>
      <c r="L32" s="158">
        <f t="shared" si="3"/>
        <v>0</v>
      </c>
      <c r="M32" s="334"/>
      <c r="N32" s="158">
        <f t="shared" si="4"/>
        <v>0</v>
      </c>
      <c r="O32" s="158">
        <f t="shared" si="5"/>
        <v>0</v>
      </c>
      <c r="P32" s="4"/>
    </row>
    <row r="33" spans="2:16">
      <c r="B33" s="9" t="str">
        <f t="shared" si="7"/>
        <v/>
      </c>
      <c r="C33" s="153">
        <f>IF(D11="","-",+C32+1)</f>
        <v>2034</v>
      </c>
      <c r="D33" s="159">
        <f>IF(F32+SUM(E$17:E32)=D$10,F32,D$10-SUM(E$17:E32))</f>
        <v>0</v>
      </c>
      <c r="E33" s="160">
        <f>IF(+I14&lt;F32,I14,D33)</f>
        <v>0</v>
      </c>
      <c r="F33" s="159">
        <f t="shared" si="6"/>
        <v>0</v>
      </c>
      <c r="G33" s="161">
        <f t="shared" si="0"/>
        <v>0</v>
      </c>
      <c r="H33" s="142">
        <f t="shared" si="1"/>
        <v>0</v>
      </c>
      <c r="I33" s="156">
        <f t="shared" si="2"/>
        <v>0</v>
      </c>
      <c r="J33" s="156"/>
      <c r="K33" s="334"/>
      <c r="L33" s="158">
        <f t="shared" si="3"/>
        <v>0</v>
      </c>
      <c r="M33" s="334"/>
      <c r="N33" s="158">
        <f t="shared" si="4"/>
        <v>0</v>
      </c>
      <c r="O33" s="158">
        <f t="shared" si="5"/>
        <v>0</v>
      </c>
      <c r="P33" s="4"/>
    </row>
    <row r="34" spans="2:16">
      <c r="B34" s="9" t="str">
        <f t="shared" si="7"/>
        <v/>
      </c>
      <c r="C34" s="153">
        <f>IF(D11="","-",+C33+1)</f>
        <v>2035</v>
      </c>
      <c r="D34" s="159">
        <f>IF(F33+SUM(E$17:E33)=D$10,F33,D$10-SUM(E$17:E33))</f>
        <v>0</v>
      </c>
      <c r="E34" s="160">
        <f>IF(+I14&lt;F33,I14,D34)</f>
        <v>0</v>
      </c>
      <c r="F34" s="159">
        <f t="shared" si="6"/>
        <v>0</v>
      </c>
      <c r="G34" s="161">
        <f t="shared" si="0"/>
        <v>0</v>
      </c>
      <c r="H34" s="142">
        <f t="shared" si="1"/>
        <v>0</v>
      </c>
      <c r="I34" s="156">
        <f t="shared" si="2"/>
        <v>0</v>
      </c>
      <c r="J34" s="156"/>
      <c r="K34" s="334"/>
      <c r="L34" s="158">
        <f t="shared" si="3"/>
        <v>0</v>
      </c>
      <c r="M34" s="334"/>
      <c r="N34" s="158">
        <f t="shared" si="4"/>
        <v>0</v>
      </c>
      <c r="O34" s="158">
        <f t="shared" si="5"/>
        <v>0</v>
      </c>
      <c r="P34" s="4"/>
    </row>
    <row r="35" spans="2:16">
      <c r="B35" s="9" t="str">
        <f t="shared" si="7"/>
        <v/>
      </c>
      <c r="C35" s="153">
        <f>IF(D11="","-",+C34+1)</f>
        <v>2036</v>
      </c>
      <c r="D35" s="159">
        <f>IF(F34+SUM(E$17:E34)=D$10,F34,D$10-SUM(E$17:E34))</f>
        <v>0</v>
      </c>
      <c r="E35" s="160">
        <f>IF(+I14&lt;F34,I14,D35)</f>
        <v>0</v>
      </c>
      <c r="F35" s="159">
        <f t="shared" si="6"/>
        <v>0</v>
      </c>
      <c r="G35" s="161">
        <f t="shared" si="0"/>
        <v>0</v>
      </c>
      <c r="H35" s="142">
        <f t="shared" si="1"/>
        <v>0</v>
      </c>
      <c r="I35" s="156">
        <f t="shared" si="2"/>
        <v>0</v>
      </c>
      <c r="J35" s="156"/>
      <c r="K35" s="334"/>
      <c r="L35" s="158">
        <f t="shared" si="3"/>
        <v>0</v>
      </c>
      <c r="M35" s="334"/>
      <c r="N35" s="158">
        <f t="shared" si="4"/>
        <v>0</v>
      </c>
      <c r="O35" s="158">
        <f t="shared" si="5"/>
        <v>0</v>
      </c>
      <c r="P35" s="4"/>
    </row>
    <row r="36" spans="2:16">
      <c r="B36" s="9" t="str">
        <f t="shared" si="7"/>
        <v/>
      </c>
      <c r="C36" s="153">
        <f>IF(D11="","-",+C35+1)</f>
        <v>2037</v>
      </c>
      <c r="D36" s="159">
        <f>IF(F35+SUM(E$17:E35)=D$10,F35,D$10-SUM(E$17:E35))</f>
        <v>0</v>
      </c>
      <c r="E36" s="160">
        <f>IF(+I14&lt;F35,I14,D36)</f>
        <v>0</v>
      </c>
      <c r="F36" s="159">
        <f t="shared" si="6"/>
        <v>0</v>
      </c>
      <c r="G36" s="161">
        <f t="shared" si="0"/>
        <v>0</v>
      </c>
      <c r="H36" s="142">
        <f t="shared" si="1"/>
        <v>0</v>
      </c>
      <c r="I36" s="156">
        <f t="shared" si="2"/>
        <v>0</v>
      </c>
      <c r="J36" s="156"/>
      <c r="K36" s="334"/>
      <c r="L36" s="158">
        <f t="shared" si="3"/>
        <v>0</v>
      </c>
      <c r="M36" s="334"/>
      <c r="N36" s="158">
        <f t="shared" si="4"/>
        <v>0</v>
      </c>
      <c r="O36" s="158">
        <f t="shared" si="5"/>
        <v>0</v>
      </c>
      <c r="P36" s="4"/>
    </row>
    <row r="37" spans="2:16">
      <c r="B37" s="9" t="str">
        <f t="shared" si="7"/>
        <v/>
      </c>
      <c r="C37" s="153">
        <f>IF(D11="","-",+C36+1)</f>
        <v>2038</v>
      </c>
      <c r="D37" s="159">
        <f>IF(F36+SUM(E$17:E36)=D$10,F36,D$10-SUM(E$17:E36))</f>
        <v>0</v>
      </c>
      <c r="E37" s="160">
        <f>IF(+I14&lt;F36,I14,D37)</f>
        <v>0</v>
      </c>
      <c r="F37" s="159">
        <f t="shared" si="6"/>
        <v>0</v>
      </c>
      <c r="G37" s="161">
        <f t="shared" si="0"/>
        <v>0</v>
      </c>
      <c r="H37" s="142">
        <f t="shared" si="1"/>
        <v>0</v>
      </c>
      <c r="I37" s="156">
        <f t="shared" si="2"/>
        <v>0</v>
      </c>
      <c r="J37" s="156"/>
      <c r="K37" s="334"/>
      <c r="L37" s="158">
        <f t="shared" si="3"/>
        <v>0</v>
      </c>
      <c r="M37" s="334"/>
      <c r="N37" s="158">
        <f t="shared" si="4"/>
        <v>0</v>
      </c>
      <c r="O37" s="158">
        <f t="shared" si="5"/>
        <v>0</v>
      </c>
      <c r="P37" s="4"/>
    </row>
    <row r="38" spans="2:16">
      <c r="B38" s="9" t="str">
        <f t="shared" si="7"/>
        <v/>
      </c>
      <c r="C38" s="153">
        <f>IF(D11="","-",+C37+1)</f>
        <v>2039</v>
      </c>
      <c r="D38" s="159">
        <f>IF(F37+SUM(E$17:E37)=D$10,F37,D$10-SUM(E$17:E37))</f>
        <v>0</v>
      </c>
      <c r="E38" s="160">
        <f>IF(+I14&lt;F37,I14,D38)</f>
        <v>0</v>
      </c>
      <c r="F38" s="159">
        <f t="shared" si="6"/>
        <v>0</v>
      </c>
      <c r="G38" s="161">
        <f t="shared" si="0"/>
        <v>0</v>
      </c>
      <c r="H38" s="142">
        <f t="shared" si="1"/>
        <v>0</v>
      </c>
      <c r="I38" s="156">
        <f t="shared" si="2"/>
        <v>0</v>
      </c>
      <c r="J38" s="156"/>
      <c r="K38" s="334"/>
      <c r="L38" s="158">
        <f t="shared" si="3"/>
        <v>0</v>
      </c>
      <c r="M38" s="334"/>
      <c r="N38" s="158">
        <f t="shared" si="4"/>
        <v>0</v>
      </c>
      <c r="O38" s="158">
        <f t="shared" si="5"/>
        <v>0</v>
      </c>
      <c r="P38" s="4"/>
    </row>
    <row r="39" spans="2:16">
      <c r="B39" s="9" t="str">
        <f t="shared" si="7"/>
        <v/>
      </c>
      <c r="C39" s="153">
        <f>IF(D11="","-",+C38+1)</f>
        <v>2040</v>
      </c>
      <c r="D39" s="159">
        <f>IF(F38+SUM(E$17:E38)=D$10,F38,D$10-SUM(E$17:E38))</f>
        <v>0</v>
      </c>
      <c r="E39" s="160">
        <f>IF(+I14&lt;F38,I14,D39)</f>
        <v>0</v>
      </c>
      <c r="F39" s="159">
        <f t="shared" si="6"/>
        <v>0</v>
      </c>
      <c r="G39" s="161">
        <f t="shared" si="0"/>
        <v>0</v>
      </c>
      <c r="H39" s="142">
        <f t="shared" si="1"/>
        <v>0</v>
      </c>
      <c r="I39" s="156">
        <f t="shared" si="2"/>
        <v>0</v>
      </c>
      <c r="J39" s="156"/>
      <c r="K39" s="334"/>
      <c r="L39" s="158">
        <f t="shared" si="3"/>
        <v>0</v>
      </c>
      <c r="M39" s="334"/>
      <c r="N39" s="158">
        <f t="shared" si="4"/>
        <v>0</v>
      </c>
      <c r="O39" s="158">
        <f t="shared" si="5"/>
        <v>0</v>
      </c>
      <c r="P39" s="4"/>
    </row>
    <row r="40" spans="2:16">
      <c r="B40" s="9" t="str">
        <f t="shared" si="7"/>
        <v/>
      </c>
      <c r="C40" s="153">
        <f>IF(D11="","-",+C39+1)</f>
        <v>2041</v>
      </c>
      <c r="D40" s="159">
        <f>IF(F39+SUM(E$17:E39)=D$10,F39,D$10-SUM(E$17:E39))</f>
        <v>0</v>
      </c>
      <c r="E40" s="160">
        <f>IF(+I14&lt;F39,I14,D40)</f>
        <v>0</v>
      </c>
      <c r="F40" s="159">
        <f t="shared" si="6"/>
        <v>0</v>
      </c>
      <c r="G40" s="161">
        <f t="shared" si="0"/>
        <v>0</v>
      </c>
      <c r="H40" s="142">
        <f t="shared" si="1"/>
        <v>0</v>
      </c>
      <c r="I40" s="156">
        <f t="shared" si="2"/>
        <v>0</v>
      </c>
      <c r="J40" s="156"/>
      <c r="K40" s="334"/>
      <c r="L40" s="158">
        <f t="shared" si="3"/>
        <v>0</v>
      </c>
      <c r="M40" s="334"/>
      <c r="N40" s="158">
        <f t="shared" si="4"/>
        <v>0</v>
      </c>
      <c r="O40" s="158">
        <f t="shared" si="5"/>
        <v>0</v>
      </c>
      <c r="P40" s="4"/>
    </row>
    <row r="41" spans="2:16">
      <c r="B41" s="9" t="str">
        <f t="shared" si="7"/>
        <v/>
      </c>
      <c r="C41" s="153">
        <f>IF(D11="","-",+C40+1)</f>
        <v>2042</v>
      </c>
      <c r="D41" s="159">
        <f>IF(F40+SUM(E$17:E40)=D$10,F40,D$10-SUM(E$17:E40))</f>
        <v>0</v>
      </c>
      <c r="E41" s="160">
        <f>IF(+I14&lt;F40,I14,D41)</f>
        <v>0</v>
      </c>
      <c r="F41" s="159">
        <f t="shared" si="6"/>
        <v>0</v>
      </c>
      <c r="G41" s="161">
        <f t="shared" si="0"/>
        <v>0</v>
      </c>
      <c r="H41" s="142">
        <f t="shared" si="1"/>
        <v>0</v>
      </c>
      <c r="I41" s="156">
        <f t="shared" si="2"/>
        <v>0</v>
      </c>
      <c r="J41" s="156"/>
      <c r="K41" s="334"/>
      <c r="L41" s="158">
        <f t="shared" si="3"/>
        <v>0</v>
      </c>
      <c r="M41" s="334"/>
      <c r="N41" s="158">
        <f t="shared" si="4"/>
        <v>0</v>
      </c>
      <c r="O41" s="158">
        <f t="shared" si="5"/>
        <v>0</v>
      </c>
      <c r="P41" s="4"/>
    </row>
    <row r="42" spans="2:16">
      <c r="B42" s="9" t="str">
        <f t="shared" si="7"/>
        <v/>
      </c>
      <c r="C42" s="153">
        <f>IF(D11="","-",+C41+1)</f>
        <v>2043</v>
      </c>
      <c r="D42" s="159">
        <f>IF(F41+SUM(E$17:E41)=D$10,F41,D$10-SUM(E$17:E41))</f>
        <v>0</v>
      </c>
      <c r="E42" s="160">
        <f>IF(+I14&lt;F41,I14,D42)</f>
        <v>0</v>
      </c>
      <c r="F42" s="159">
        <f t="shared" si="6"/>
        <v>0</v>
      </c>
      <c r="G42" s="161">
        <f t="shared" si="0"/>
        <v>0</v>
      </c>
      <c r="H42" s="142">
        <f t="shared" si="1"/>
        <v>0</v>
      </c>
      <c r="I42" s="156">
        <f t="shared" si="2"/>
        <v>0</v>
      </c>
      <c r="J42" s="156"/>
      <c r="K42" s="334"/>
      <c r="L42" s="158">
        <f t="shared" si="3"/>
        <v>0</v>
      </c>
      <c r="M42" s="334"/>
      <c r="N42" s="158">
        <f t="shared" si="4"/>
        <v>0</v>
      </c>
      <c r="O42" s="158">
        <f t="shared" si="5"/>
        <v>0</v>
      </c>
      <c r="P42" s="4"/>
    </row>
    <row r="43" spans="2:16">
      <c r="B43" s="9" t="str">
        <f t="shared" si="7"/>
        <v/>
      </c>
      <c r="C43" s="153">
        <f>IF(D11="","-",+C42+1)</f>
        <v>2044</v>
      </c>
      <c r="D43" s="159">
        <f>IF(F42+SUM(E$17:E42)=D$10,F42,D$10-SUM(E$17:E42))</f>
        <v>0</v>
      </c>
      <c r="E43" s="160">
        <f>IF(+I14&lt;F42,I14,D43)</f>
        <v>0</v>
      </c>
      <c r="F43" s="159">
        <f t="shared" si="6"/>
        <v>0</v>
      </c>
      <c r="G43" s="161">
        <f t="shared" si="0"/>
        <v>0</v>
      </c>
      <c r="H43" s="142">
        <f t="shared" si="1"/>
        <v>0</v>
      </c>
      <c r="I43" s="156">
        <f t="shared" si="2"/>
        <v>0</v>
      </c>
      <c r="J43" s="156"/>
      <c r="K43" s="334"/>
      <c r="L43" s="158">
        <f t="shared" si="3"/>
        <v>0</v>
      </c>
      <c r="M43" s="334"/>
      <c r="N43" s="158">
        <f t="shared" si="4"/>
        <v>0</v>
      </c>
      <c r="O43" s="158">
        <f t="shared" si="5"/>
        <v>0</v>
      </c>
      <c r="P43" s="4"/>
    </row>
    <row r="44" spans="2:16">
      <c r="B44" s="9" t="str">
        <f t="shared" si="7"/>
        <v/>
      </c>
      <c r="C44" s="153">
        <f>IF(D11="","-",+C43+1)</f>
        <v>2045</v>
      </c>
      <c r="D44" s="159">
        <f>IF(F43+SUM(E$17:E43)=D$10,F43,D$10-SUM(E$17:E43))</f>
        <v>0</v>
      </c>
      <c r="E44" s="160">
        <f>IF(+I14&lt;F43,I14,D44)</f>
        <v>0</v>
      </c>
      <c r="F44" s="159">
        <f t="shared" si="6"/>
        <v>0</v>
      </c>
      <c r="G44" s="161">
        <f t="shared" si="0"/>
        <v>0</v>
      </c>
      <c r="H44" s="142">
        <f t="shared" si="1"/>
        <v>0</v>
      </c>
      <c r="I44" s="156">
        <f t="shared" si="2"/>
        <v>0</v>
      </c>
      <c r="J44" s="156"/>
      <c r="K44" s="334"/>
      <c r="L44" s="158">
        <f t="shared" si="3"/>
        <v>0</v>
      </c>
      <c r="M44" s="334"/>
      <c r="N44" s="158">
        <f t="shared" si="4"/>
        <v>0</v>
      </c>
      <c r="O44" s="158">
        <f t="shared" si="5"/>
        <v>0</v>
      </c>
      <c r="P44" s="4"/>
    </row>
    <row r="45" spans="2:16">
      <c r="B45" s="9" t="str">
        <f t="shared" si="7"/>
        <v/>
      </c>
      <c r="C45" s="153">
        <f>IF(D11="","-",+C44+1)</f>
        <v>2046</v>
      </c>
      <c r="D45" s="159">
        <f>IF(F44+SUM(E$17:E44)=D$10,F44,D$10-SUM(E$17:E44))</f>
        <v>0</v>
      </c>
      <c r="E45" s="160">
        <f>IF(+I14&lt;F44,I14,D45)</f>
        <v>0</v>
      </c>
      <c r="F45" s="159">
        <f t="shared" si="6"/>
        <v>0</v>
      </c>
      <c r="G45" s="161">
        <f t="shared" si="0"/>
        <v>0</v>
      </c>
      <c r="H45" s="142">
        <f t="shared" si="1"/>
        <v>0</v>
      </c>
      <c r="I45" s="156">
        <f t="shared" si="2"/>
        <v>0</v>
      </c>
      <c r="J45" s="156"/>
      <c r="K45" s="334"/>
      <c r="L45" s="158">
        <f t="shared" si="3"/>
        <v>0</v>
      </c>
      <c r="M45" s="334"/>
      <c r="N45" s="158">
        <f t="shared" si="4"/>
        <v>0</v>
      </c>
      <c r="O45" s="158">
        <f t="shared" si="5"/>
        <v>0</v>
      </c>
      <c r="P45" s="4"/>
    </row>
    <row r="46" spans="2:16">
      <c r="B46" s="9" t="str">
        <f t="shared" si="7"/>
        <v/>
      </c>
      <c r="C46" s="153">
        <f>IF(D11="","-",+C45+1)</f>
        <v>2047</v>
      </c>
      <c r="D46" s="159">
        <f>IF(F45+SUM(E$17:E45)=D$10,F45,D$10-SUM(E$17:E45))</f>
        <v>0</v>
      </c>
      <c r="E46" s="160">
        <f>IF(+I14&lt;F45,I14,D46)</f>
        <v>0</v>
      </c>
      <c r="F46" s="159">
        <f t="shared" si="6"/>
        <v>0</v>
      </c>
      <c r="G46" s="161">
        <f t="shared" si="0"/>
        <v>0</v>
      </c>
      <c r="H46" s="142">
        <f t="shared" si="1"/>
        <v>0</v>
      </c>
      <c r="I46" s="156">
        <f t="shared" si="2"/>
        <v>0</v>
      </c>
      <c r="J46" s="156"/>
      <c r="K46" s="334"/>
      <c r="L46" s="158">
        <f t="shared" si="3"/>
        <v>0</v>
      </c>
      <c r="M46" s="334"/>
      <c r="N46" s="158">
        <f t="shared" si="4"/>
        <v>0</v>
      </c>
      <c r="O46" s="158">
        <f t="shared" si="5"/>
        <v>0</v>
      </c>
      <c r="P46" s="4"/>
    </row>
    <row r="47" spans="2:16">
      <c r="B47" s="9" t="str">
        <f t="shared" si="7"/>
        <v/>
      </c>
      <c r="C47" s="153">
        <f>IF(D11="","-",+C46+1)</f>
        <v>2048</v>
      </c>
      <c r="D47" s="159">
        <f>IF(F46+SUM(E$17:E46)=D$10,F46,D$10-SUM(E$17:E46))</f>
        <v>0</v>
      </c>
      <c r="E47" s="160">
        <f>IF(+I14&lt;F46,I14,D47)</f>
        <v>0</v>
      </c>
      <c r="F47" s="159">
        <f t="shared" si="6"/>
        <v>0</v>
      </c>
      <c r="G47" s="161">
        <f t="shared" si="0"/>
        <v>0</v>
      </c>
      <c r="H47" s="142">
        <f t="shared" si="1"/>
        <v>0</v>
      </c>
      <c r="I47" s="156">
        <f t="shared" si="2"/>
        <v>0</v>
      </c>
      <c r="J47" s="156"/>
      <c r="K47" s="334"/>
      <c r="L47" s="158">
        <f t="shared" si="3"/>
        <v>0</v>
      </c>
      <c r="M47" s="334"/>
      <c r="N47" s="158">
        <f t="shared" si="4"/>
        <v>0</v>
      </c>
      <c r="O47" s="158">
        <f t="shared" si="5"/>
        <v>0</v>
      </c>
      <c r="P47" s="4"/>
    </row>
    <row r="48" spans="2:16">
      <c r="B48" s="9" t="str">
        <f t="shared" si="7"/>
        <v/>
      </c>
      <c r="C48" s="153">
        <f>IF(D11="","-",+C47+1)</f>
        <v>2049</v>
      </c>
      <c r="D48" s="159">
        <f>IF(F47+SUM(E$17:E47)=D$10,F47,D$10-SUM(E$17:E47))</f>
        <v>0</v>
      </c>
      <c r="E48" s="160">
        <f>IF(+I14&lt;F47,I14,D48)</f>
        <v>0</v>
      </c>
      <c r="F48" s="159">
        <f t="shared" si="6"/>
        <v>0</v>
      </c>
      <c r="G48" s="161">
        <f t="shared" si="0"/>
        <v>0</v>
      </c>
      <c r="H48" s="142">
        <f t="shared" si="1"/>
        <v>0</v>
      </c>
      <c r="I48" s="156">
        <f t="shared" si="2"/>
        <v>0</v>
      </c>
      <c r="J48" s="156"/>
      <c r="K48" s="334"/>
      <c r="L48" s="158">
        <f t="shared" si="3"/>
        <v>0</v>
      </c>
      <c r="M48" s="334"/>
      <c r="N48" s="158">
        <f t="shared" si="4"/>
        <v>0</v>
      </c>
      <c r="O48" s="158">
        <f t="shared" si="5"/>
        <v>0</v>
      </c>
      <c r="P48" s="4"/>
    </row>
    <row r="49" spans="2:16">
      <c r="B49" s="9" t="str">
        <f t="shared" si="7"/>
        <v/>
      </c>
      <c r="C49" s="153">
        <f>IF(D11="","-",+C48+1)</f>
        <v>2050</v>
      </c>
      <c r="D49" s="159">
        <f>IF(F48+SUM(E$17:E48)=D$10,F48,D$10-SUM(E$17:E48))</f>
        <v>0</v>
      </c>
      <c r="E49" s="160">
        <f>IF(+I14&lt;F48,I14,D49)</f>
        <v>0</v>
      </c>
      <c r="F49" s="159">
        <f t="shared" ref="F49:F72" si="8">+D49-E49</f>
        <v>0</v>
      </c>
      <c r="G49" s="161">
        <f t="shared" ref="G49:G72" si="9">+I$12*((D49+F49)/2)+E49</f>
        <v>0</v>
      </c>
      <c r="H49" s="142">
        <f t="shared" ref="H49:H72" si="10">+I$13*((D49+F49)/2)+E49</f>
        <v>0</v>
      </c>
      <c r="I49" s="156">
        <f t="shared" ref="I49:I72" si="11">H49-G49</f>
        <v>0</v>
      </c>
      <c r="J49" s="156"/>
      <c r="K49" s="334"/>
      <c r="L49" s="158">
        <f t="shared" ref="L49:L72" si="12">IF(K49&lt;&gt;0,+G49-K49,0)</f>
        <v>0</v>
      </c>
      <c r="M49" s="334"/>
      <c r="N49" s="158">
        <f t="shared" ref="N49:N72" si="13">IF(M49&lt;&gt;0,+H49-M49,0)</f>
        <v>0</v>
      </c>
      <c r="O49" s="158">
        <f t="shared" ref="O49:O72" si="14">+N49-L49</f>
        <v>0</v>
      </c>
      <c r="P49" s="4"/>
    </row>
    <row r="50" spans="2:16">
      <c r="B50" s="9" t="str">
        <f t="shared" si="7"/>
        <v/>
      </c>
      <c r="C50" s="153">
        <f>IF(D11="","-",+C49+1)</f>
        <v>2051</v>
      </c>
      <c r="D50" s="159">
        <f>IF(F49+SUM(E$17:E49)=D$10,F49,D$10-SUM(E$17:E49))</f>
        <v>0</v>
      </c>
      <c r="E50" s="160">
        <f>IF(+I14&lt;F49,I14,D50)</f>
        <v>0</v>
      </c>
      <c r="F50" s="159">
        <f t="shared" si="8"/>
        <v>0</v>
      </c>
      <c r="G50" s="161">
        <f t="shared" si="9"/>
        <v>0</v>
      </c>
      <c r="H50" s="142">
        <f t="shared" si="10"/>
        <v>0</v>
      </c>
      <c r="I50" s="156">
        <f t="shared" si="11"/>
        <v>0</v>
      </c>
      <c r="J50" s="156"/>
      <c r="K50" s="334"/>
      <c r="L50" s="158">
        <f t="shared" si="12"/>
        <v>0</v>
      </c>
      <c r="M50" s="334"/>
      <c r="N50" s="158">
        <f t="shared" si="13"/>
        <v>0</v>
      </c>
      <c r="O50" s="158">
        <f t="shared" si="14"/>
        <v>0</v>
      </c>
      <c r="P50" s="4"/>
    </row>
    <row r="51" spans="2:16">
      <c r="B51" s="9" t="str">
        <f t="shared" si="7"/>
        <v/>
      </c>
      <c r="C51" s="153">
        <f>IF(D11="","-",+C50+1)</f>
        <v>2052</v>
      </c>
      <c r="D51" s="159">
        <f>IF(F50+SUM(E$17:E50)=D$10,F50,D$10-SUM(E$17:E50))</f>
        <v>0</v>
      </c>
      <c r="E51" s="160">
        <f>IF(+I14&lt;F50,I14,D51)</f>
        <v>0</v>
      </c>
      <c r="F51" s="159">
        <f t="shared" si="8"/>
        <v>0</v>
      </c>
      <c r="G51" s="161">
        <f t="shared" si="9"/>
        <v>0</v>
      </c>
      <c r="H51" s="142">
        <f t="shared" si="10"/>
        <v>0</v>
      </c>
      <c r="I51" s="156">
        <f t="shared" si="11"/>
        <v>0</v>
      </c>
      <c r="J51" s="156"/>
      <c r="K51" s="334"/>
      <c r="L51" s="158">
        <f t="shared" si="12"/>
        <v>0</v>
      </c>
      <c r="M51" s="334"/>
      <c r="N51" s="158">
        <f t="shared" si="13"/>
        <v>0</v>
      </c>
      <c r="O51" s="158">
        <f t="shared" si="14"/>
        <v>0</v>
      </c>
      <c r="P51" s="4"/>
    </row>
    <row r="52" spans="2:16">
      <c r="B52" s="9" t="str">
        <f t="shared" si="7"/>
        <v/>
      </c>
      <c r="C52" s="153">
        <f>IF(D11="","-",+C51+1)</f>
        <v>2053</v>
      </c>
      <c r="D52" s="159">
        <f>IF(F51+SUM(E$17:E51)=D$10,F51,D$10-SUM(E$17:E51))</f>
        <v>0</v>
      </c>
      <c r="E52" s="160">
        <f>IF(+I14&lt;F51,I14,D52)</f>
        <v>0</v>
      </c>
      <c r="F52" s="159">
        <f t="shared" si="8"/>
        <v>0</v>
      </c>
      <c r="G52" s="161">
        <f t="shared" si="9"/>
        <v>0</v>
      </c>
      <c r="H52" s="142">
        <f t="shared" si="10"/>
        <v>0</v>
      </c>
      <c r="I52" s="156">
        <f t="shared" si="11"/>
        <v>0</v>
      </c>
      <c r="J52" s="156"/>
      <c r="K52" s="334"/>
      <c r="L52" s="158">
        <f t="shared" si="12"/>
        <v>0</v>
      </c>
      <c r="M52" s="334"/>
      <c r="N52" s="158">
        <f t="shared" si="13"/>
        <v>0</v>
      </c>
      <c r="O52" s="158">
        <f t="shared" si="14"/>
        <v>0</v>
      </c>
      <c r="P52" s="4"/>
    </row>
    <row r="53" spans="2:16">
      <c r="B53" s="9" t="str">
        <f t="shared" si="7"/>
        <v/>
      </c>
      <c r="C53" s="153">
        <f>IF(D11="","-",+C52+1)</f>
        <v>2054</v>
      </c>
      <c r="D53" s="159">
        <f>IF(F52+SUM(E$17:E52)=D$10,F52,D$10-SUM(E$17:E52))</f>
        <v>0</v>
      </c>
      <c r="E53" s="160">
        <f>IF(+I14&lt;F52,I14,D53)</f>
        <v>0</v>
      </c>
      <c r="F53" s="159">
        <f t="shared" si="8"/>
        <v>0</v>
      </c>
      <c r="G53" s="161">
        <f t="shared" si="9"/>
        <v>0</v>
      </c>
      <c r="H53" s="142">
        <f t="shared" si="10"/>
        <v>0</v>
      </c>
      <c r="I53" s="156">
        <f t="shared" si="11"/>
        <v>0</v>
      </c>
      <c r="J53" s="156"/>
      <c r="K53" s="334"/>
      <c r="L53" s="158">
        <f t="shared" si="12"/>
        <v>0</v>
      </c>
      <c r="M53" s="334"/>
      <c r="N53" s="158">
        <f t="shared" si="13"/>
        <v>0</v>
      </c>
      <c r="O53" s="158">
        <f t="shared" si="14"/>
        <v>0</v>
      </c>
      <c r="P53" s="4"/>
    </row>
    <row r="54" spans="2:16">
      <c r="B54" s="9" t="str">
        <f t="shared" si="7"/>
        <v/>
      </c>
      <c r="C54" s="153">
        <f>IF(D11="","-",+C53+1)</f>
        <v>2055</v>
      </c>
      <c r="D54" s="159">
        <f>IF(F53+SUM(E$17:E53)=D$10,F53,D$10-SUM(E$17:E53))</f>
        <v>0</v>
      </c>
      <c r="E54" s="160">
        <f>IF(+I14&lt;F53,I14,D54)</f>
        <v>0</v>
      </c>
      <c r="F54" s="159">
        <f t="shared" si="8"/>
        <v>0</v>
      </c>
      <c r="G54" s="161">
        <f t="shared" si="9"/>
        <v>0</v>
      </c>
      <c r="H54" s="142">
        <f t="shared" si="10"/>
        <v>0</v>
      </c>
      <c r="I54" s="156">
        <f t="shared" si="11"/>
        <v>0</v>
      </c>
      <c r="J54" s="156"/>
      <c r="K54" s="334"/>
      <c r="L54" s="158">
        <f t="shared" si="12"/>
        <v>0</v>
      </c>
      <c r="M54" s="334"/>
      <c r="N54" s="158">
        <f t="shared" si="13"/>
        <v>0</v>
      </c>
      <c r="O54" s="158">
        <f t="shared" si="14"/>
        <v>0</v>
      </c>
      <c r="P54" s="4"/>
    </row>
    <row r="55" spans="2:16">
      <c r="B55" s="9" t="str">
        <f t="shared" si="7"/>
        <v/>
      </c>
      <c r="C55" s="153">
        <f>IF(D11="","-",+C54+1)</f>
        <v>2056</v>
      </c>
      <c r="D55" s="159">
        <f>IF(F54+SUM(E$17:E54)=D$10,F54,D$10-SUM(E$17:E54))</f>
        <v>0</v>
      </c>
      <c r="E55" s="160">
        <f>IF(+I14&lt;F54,I14,D55)</f>
        <v>0</v>
      </c>
      <c r="F55" s="159">
        <f t="shared" si="8"/>
        <v>0</v>
      </c>
      <c r="G55" s="161">
        <f t="shared" si="9"/>
        <v>0</v>
      </c>
      <c r="H55" s="142">
        <f t="shared" si="10"/>
        <v>0</v>
      </c>
      <c r="I55" s="156">
        <f t="shared" si="11"/>
        <v>0</v>
      </c>
      <c r="J55" s="156"/>
      <c r="K55" s="334"/>
      <c r="L55" s="158">
        <f t="shared" si="12"/>
        <v>0</v>
      </c>
      <c r="M55" s="334"/>
      <c r="N55" s="158">
        <f t="shared" si="13"/>
        <v>0</v>
      </c>
      <c r="O55" s="158">
        <f t="shared" si="14"/>
        <v>0</v>
      </c>
      <c r="P55" s="4"/>
    </row>
    <row r="56" spans="2:16">
      <c r="B56" s="9" t="str">
        <f t="shared" si="7"/>
        <v/>
      </c>
      <c r="C56" s="153">
        <f>IF(D11="","-",+C55+1)</f>
        <v>2057</v>
      </c>
      <c r="D56" s="159">
        <f>IF(F55+SUM(E$17:E55)=D$10,F55,D$10-SUM(E$17:E55))</f>
        <v>0</v>
      </c>
      <c r="E56" s="160">
        <f>IF(+I14&lt;F55,I14,D56)</f>
        <v>0</v>
      </c>
      <c r="F56" s="159">
        <f t="shared" si="8"/>
        <v>0</v>
      </c>
      <c r="G56" s="161">
        <f t="shared" si="9"/>
        <v>0</v>
      </c>
      <c r="H56" s="142">
        <f t="shared" si="10"/>
        <v>0</v>
      </c>
      <c r="I56" s="156">
        <f t="shared" si="11"/>
        <v>0</v>
      </c>
      <c r="J56" s="156"/>
      <c r="K56" s="334"/>
      <c r="L56" s="158">
        <f t="shared" si="12"/>
        <v>0</v>
      </c>
      <c r="M56" s="334"/>
      <c r="N56" s="158">
        <f t="shared" si="13"/>
        <v>0</v>
      </c>
      <c r="O56" s="158">
        <f t="shared" si="14"/>
        <v>0</v>
      </c>
      <c r="P56" s="4"/>
    </row>
    <row r="57" spans="2:16">
      <c r="B57" s="9" t="str">
        <f t="shared" si="7"/>
        <v/>
      </c>
      <c r="C57" s="153">
        <f>IF(D11="","-",+C56+1)</f>
        <v>2058</v>
      </c>
      <c r="D57" s="159">
        <f>IF(F56+SUM(E$17:E56)=D$10,F56,D$10-SUM(E$17:E56))</f>
        <v>0</v>
      </c>
      <c r="E57" s="160">
        <f>IF(+I14&lt;F56,I14,D57)</f>
        <v>0</v>
      </c>
      <c r="F57" s="159">
        <f t="shared" si="8"/>
        <v>0</v>
      </c>
      <c r="G57" s="161">
        <f t="shared" si="9"/>
        <v>0</v>
      </c>
      <c r="H57" s="142">
        <f t="shared" si="10"/>
        <v>0</v>
      </c>
      <c r="I57" s="156">
        <f t="shared" si="11"/>
        <v>0</v>
      </c>
      <c r="J57" s="156"/>
      <c r="K57" s="334"/>
      <c r="L57" s="158">
        <f t="shared" si="12"/>
        <v>0</v>
      </c>
      <c r="M57" s="334"/>
      <c r="N57" s="158">
        <f t="shared" si="13"/>
        <v>0</v>
      </c>
      <c r="O57" s="158">
        <f t="shared" si="14"/>
        <v>0</v>
      </c>
      <c r="P57" s="4"/>
    </row>
    <row r="58" spans="2:16">
      <c r="B58" s="9" t="str">
        <f t="shared" si="7"/>
        <v/>
      </c>
      <c r="C58" s="153">
        <f>IF(D11="","-",+C57+1)</f>
        <v>2059</v>
      </c>
      <c r="D58" s="159">
        <f>IF(F57+SUM(E$17:E57)=D$10,F57,D$10-SUM(E$17:E57))</f>
        <v>0</v>
      </c>
      <c r="E58" s="160">
        <f>IF(+I14&lt;F57,I14,D58)</f>
        <v>0</v>
      </c>
      <c r="F58" s="159">
        <f t="shared" si="8"/>
        <v>0</v>
      </c>
      <c r="G58" s="161">
        <f t="shared" si="9"/>
        <v>0</v>
      </c>
      <c r="H58" s="142">
        <f t="shared" si="10"/>
        <v>0</v>
      </c>
      <c r="I58" s="156">
        <f t="shared" si="11"/>
        <v>0</v>
      </c>
      <c r="J58" s="156"/>
      <c r="K58" s="334"/>
      <c r="L58" s="158">
        <f t="shared" si="12"/>
        <v>0</v>
      </c>
      <c r="M58" s="334"/>
      <c r="N58" s="158">
        <f t="shared" si="13"/>
        <v>0</v>
      </c>
      <c r="O58" s="158">
        <f t="shared" si="14"/>
        <v>0</v>
      </c>
      <c r="P58" s="4"/>
    </row>
    <row r="59" spans="2:16">
      <c r="B59" s="9" t="str">
        <f t="shared" si="7"/>
        <v/>
      </c>
      <c r="C59" s="153">
        <f>IF(D11="","-",+C58+1)</f>
        <v>2060</v>
      </c>
      <c r="D59" s="159">
        <f>IF(F58+SUM(E$17:E58)=D$10,F58,D$10-SUM(E$17:E58))</f>
        <v>0</v>
      </c>
      <c r="E59" s="160">
        <f>IF(+I14&lt;F58,I14,D59)</f>
        <v>0</v>
      </c>
      <c r="F59" s="159">
        <f t="shared" si="8"/>
        <v>0</v>
      </c>
      <c r="G59" s="161">
        <f t="shared" si="9"/>
        <v>0</v>
      </c>
      <c r="H59" s="142">
        <f t="shared" si="10"/>
        <v>0</v>
      </c>
      <c r="I59" s="156">
        <f t="shared" si="11"/>
        <v>0</v>
      </c>
      <c r="J59" s="156"/>
      <c r="K59" s="334"/>
      <c r="L59" s="158">
        <f t="shared" si="12"/>
        <v>0</v>
      </c>
      <c r="M59" s="334"/>
      <c r="N59" s="158">
        <f t="shared" si="13"/>
        <v>0</v>
      </c>
      <c r="O59" s="158">
        <f t="shared" si="14"/>
        <v>0</v>
      </c>
      <c r="P59" s="4"/>
    </row>
    <row r="60" spans="2:16">
      <c r="B60" s="9" t="str">
        <f t="shared" si="7"/>
        <v/>
      </c>
      <c r="C60" s="153">
        <f>IF(D11="","-",+C59+1)</f>
        <v>2061</v>
      </c>
      <c r="D60" s="159">
        <f>IF(F59+SUM(E$17:E59)=D$10,F59,D$10-SUM(E$17:E59))</f>
        <v>0</v>
      </c>
      <c r="E60" s="160">
        <f>IF(+I14&lt;F59,I14,D60)</f>
        <v>0</v>
      </c>
      <c r="F60" s="159">
        <f t="shared" si="8"/>
        <v>0</v>
      </c>
      <c r="G60" s="161">
        <f t="shared" si="9"/>
        <v>0</v>
      </c>
      <c r="H60" s="142">
        <f t="shared" si="10"/>
        <v>0</v>
      </c>
      <c r="I60" s="156">
        <f t="shared" si="11"/>
        <v>0</v>
      </c>
      <c r="J60" s="156"/>
      <c r="K60" s="334"/>
      <c r="L60" s="158">
        <f t="shared" si="12"/>
        <v>0</v>
      </c>
      <c r="M60" s="334"/>
      <c r="N60" s="158">
        <f t="shared" si="13"/>
        <v>0</v>
      </c>
      <c r="O60" s="158">
        <f t="shared" si="14"/>
        <v>0</v>
      </c>
      <c r="P60" s="4"/>
    </row>
    <row r="61" spans="2:16">
      <c r="B61" s="9" t="str">
        <f t="shared" si="7"/>
        <v/>
      </c>
      <c r="C61" s="153">
        <f>IF(D11="","-",+C60+1)</f>
        <v>2062</v>
      </c>
      <c r="D61" s="159">
        <f>IF(F60+SUM(E$17:E60)=D$10,F60,D$10-SUM(E$17:E60))</f>
        <v>0</v>
      </c>
      <c r="E61" s="160">
        <f>IF(+I14&lt;F60,I14,D61)</f>
        <v>0</v>
      </c>
      <c r="F61" s="159">
        <f t="shared" si="8"/>
        <v>0</v>
      </c>
      <c r="G61" s="163">
        <f t="shared" si="9"/>
        <v>0</v>
      </c>
      <c r="H61" s="142">
        <f t="shared" si="10"/>
        <v>0</v>
      </c>
      <c r="I61" s="156">
        <f t="shared" si="11"/>
        <v>0</v>
      </c>
      <c r="J61" s="156"/>
      <c r="K61" s="334"/>
      <c r="L61" s="158">
        <f t="shared" si="12"/>
        <v>0</v>
      </c>
      <c r="M61" s="334"/>
      <c r="N61" s="158">
        <f t="shared" si="13"/>
        <v>0</v>
      </c>
      <c r="O61" s="158">
        <f t="shared" si="14"/>
        <v>0</v>
      </c>
      <c r="P61" s="4"/>
    </row>
    <row r="62" spans="2:16">
      <c r="B62" s="9" t="str">
        <f t="shared" si="7"/>
        <v/>
      </c>
      <c r="C62" s="153">
        <f>IF(D11="","-",+C61+1)</f>
        <v>2063</v>
      </c>
      <c r="D62" s="159">
        <f>IF(F61+SUM(E$17:E61)=D$10,F61,D$10-SUM(E$17:E61))</f>
        <v>0</v>
      </c>
      <c r="E62" s="160">
        <f>IF(+I14&lt;F61,I14,D62)</f>
        <v>0</v>
      </c>
      <c r="F62" s="159">
        <f t="shared" si="8"/>
        <v>0</v>
      </c>
      <c r="G62" s="163">
        <f t="shared" si="9"/>
        <v>0</v>
      </c>
      <c r="H62" s="142">
        <f t="shared" si="10"/>
        <v>0</v>
      </c>
      <c r="I62" s="156">
        <f t="shared" si="11"/>
        <v>0</v>
      </c>
      <c r="J62" s="156"/>
      <c r="K62" s="334"/>
      <c r="L62" s="158">
        <f t="shared" si="12"/>
        <v>0</v>
      </c>
      <c r="M62" s="334"/>
      <c r="N62" s="158">
        <f t="shared" si="13"/>
        <v>0</v>
      </c>
      <c r="O62" s="158">
        <f t="shared" si="14"/>
        <v>0</v>
      </c>
      <c r="P62" s="4"/>
    </row>
    <row r="63" spans="2:16">
      <c r="B63" s="9" t="str">
        <f t="shared" si="7"/>
        <v/>
      </c>
      <c r="C63" s="153">
        <f>IF(D11="","-",+C62+1)</f>
        <v>2064</v>
      </c>
      <c r="D63" s="159">
        <f>IF(F62+SUM(E$17:E62)=D$10,F62,D$10-SUM(E$17:E62))</f>
        <v>0</v>
      </c>
      <c r="E63" s="160">
        <f>IF(+I14&lt;F62,I14,D63)</f>
        <v>0</v>
      </c>
      <c r="F63" s="159">
        <f t="shared" si="8"/>
        <v>0</v>
      </c>
      <c r="G63" s="163">
        <f t="shared" si="9"/>
        <v>0</v>
      </c>
      <c r="H63" s="142">
        <f t="shared" si="10"/>
        <v>0</v>
      </c>
      <c r="I63" s="156">
        <f t="shared" si="11"/>
        <v>0</v>
      </c>
      <c r="J63" s="156"/>
      <c r="K63" s="334"/>
      <c r="L63" s="158">
        <f t="shared" si="12"/>
        <v>0</v>
      </c>
      <c r="M63" s="334"/>
      <c r="N63" s="158">
        <f t="shared" si="13"/>
        <v>0</v>
      </c>
      <c r="O63" s="158">
        <f t="shared" si="14"/>
        <v>0</v>
      </c>
      <c r="P63" s="4"/>
    </row>
    <row r="64" spans="2:16">
      <c r="B64" s="9" t="str">
        <f t="shared" si="7"/>
        <v/>
      </c>
      <c r="C64" s="153">
        <f>IF(D11="","-",+C63+1)</f>
        <v>2065</v>
      </c>
      <c r="D64" s="159">
        <f>IF(F63+SUM(E$17:E63)=D$10,F63,D$10-SUM(E$17:E63))</f>
        <v>0</v>
      </c>
      <c r="E64" s="160">
        <f>IF(+I14&lt;F63,I14,D64)</f>
        <v>0</v>
      </c>
      <c r="F64" s="159">
        <f t="shared" si="8"/>
        <v>0</v>
      </c>
      <c r="G64" s="163">
        <f t="shared" si="9"/>
        <v>0</v>
      </c>
      <c r="H64" s="142">
        <f t="shared" si="10"/>
        <v>0</v>
      </c>
      <c r="I64" s="156">
        <f t="shared" si="11"/>
        <v>0</v>
      </c>
      <c r="J64" s="156"/>
      <c r="K64" s="334"/>
      <c r="L64" s="158">
        <f t="shared" si="12"/>
        <v>0</v>
      </c>
      <c r="M64" s="334"/>
      <c r="N64" s="158">
        <f t="shared" si="13"/>
        <v>0</v>
      </c>
      <c r="O64" s="158">
        <f t="shared" si="14"/>
        <v>0</v>
      </c>
      <c r="P64" s="4"/>
    </row>
    <row r="65" spans="2:16">
      <c r="B65" s="9" t="str">
        <f t="shared" si="7"/>
        <v/>
      </c>
      <c r="C65" s="153">
        <f>IF(D11="","-",+C64+1)</f>
        <v>2066</v>
      </c>
      <c r="D65" s="159">
        <f>IF(F64+SUM(E$17:E64)=D$10,F64,D$10-SUM(E$17:E64))</f>
        <v>0</v>
      </c>
      <c r="E65" s="160">
        <f>IF(+I14&lt;F64,I14,D65)</f>
        <v>0</v>
      </c>
      <c r="F65" s="159">
        <f t="shared" si="8"/>
        <v>0</v>
      </c>
      <c r="G65" s="163">
        <f t="shared" si="9"/>
        <v>0</v>
      </c>
      <c r="H65" s="142">
        <f t="shared" si="10"/>
        <v>0</v>
      </c>
      <c r="I65" s="156">
        <f t="shared" si="11"/>
        <v>0</v>
      </c>
      <c r="J65" s="156"/>
      <c r="K65" s="334"/>
      <c r="L65" s="158">
        <f t="shared" si="12"/>
        <v>0</v>
      </c>
      <c r="M65" s="334"/>
      <c r="N65" s="158">
        <f t="shared" si="13"/>
        <v>0</v>
      </c>
      <c r="O65" s="158">
        <f t="shared" si="14"/>
        <v>0</v>
      </c>
      <c r="P65" s="4"/>
    </row>
    <row r="66" spans="2:16">
      <c r="B66" s="9" t="str">
        <f t="shared" si="7"/>
        <v/>
      </c>
      <c r="C66" s="153">
        <f>IF(D11="","-",+C65+1)</f>
        <v>2067</v>
      </c>
      <c r="D66" s="159">
        <f>IF(F65+SUM(E$17:E65)=D$10,F65,D$10-SUM(E$17:E65))</f>
        <v>0</v>
      </c>
      <c r="E66" s="160">
        <f>IF(+I14&lt;F65,I14,D66)</f>
        <v>0</v>
      </c>
      <c r="F66" s="159">
        <f t="shared" si="8"/>
        <v>0</v>
      </c>
      <c r="G66" s="163">
        <f t="shared" si="9"/>
        <v>0</v>
      </c>
      <c r="H66" s="142">
        <f t="shared" si="10"/>
        <v>0</v>
      </c>
      <c r="I66" s="156">
        <f t="shared" si="11"/>
        <v>0</v>
      </c>
      <c r="J66" s="156"/>
      <c r="K66" s="334"/>
      <c r="L66" s="158">
        <f t="shared" si="12"/>
        <v>0</v>
      </c>
      <c r="M66" s="334"/>
      <c r="N66" s="158">
        <f t="shared" si="13"/>
        <v>0</v>
      </c>
      <c r="O66" s="158">
        <f t="shared" si="14"/>
        <v>0</v>
      </c>
      <c r="P66" s="4"/>
    </row>
    <row r="67" spans="2:16">
      <c r="B67" s="9" t="str">
        <f t="shared" si="7"/>
        <v/>
      </c>
      <c r="C67" s="153">
        <f>IF(D11="","-",+C66+1)</f>
        <v>2068</v>
      </c>
      <c r="D67" s="159">
        <f>IF(F66+SUM(E$17:E66)=D$10,F66,D$10-SUM(E$17:E66))</f>
        <v>0</v>
      </c>
      <c r="E67" s="160">
        <f>IF(+I14&lt;F66,I14,D67)</f>
        <v>0</v>
      </c>
      <c r="F67" s="159">
        <f t="shared" si="8"/>
        <v>0</v>
      </c>
      <c r="G67" s="163">
        <f t="shared" si="9"/>
        <v>0</v>
      </c>
      <c r="H67" s="142">
        <f t="shared" si="10"/>
        <v>0</v>
      </c>
      <c r="I67" s="156">
        <f t="shared" si="11"/>
        <v>0</v>
      </c>
      <c r="J67" s="156"/>
      <c r="K67" s="334"/>
      <c r="L67" s="158">
        <f t="shared" si="12"/>
        <v>0</v>
      </c>
      <c r="M67" s="334"/>
      <c r="N67" s="158">
        <f t="shared" si="13"/>
        <v>0</v>
      </c>
      <c r="O67" s="158">
        <f t="shared" si="14"/>
        <v>0</v>
      </c>
      <c r="P67" s="4"/>
    </row>
    <row r="68" spans="2:16">
      <c r="B68" s="9" t="str">
        <f t="shared" si="7"/>
        <v/>
      </c>
      <c r="C68" s="153">
        <f>IF(D11="","-",+C67+1)</f>
        <v>2069</v>
      </c>
      <c r="D68" s="159">
        <f>IF(F67+SUM(E$17:E67)=D$10,F67,D$10-SUM(E$17:E67))</f>
        <v>0</v>
      </c>
      <c r="E68" s="160">
        <f>IF(+I14&lt;F67,I14,D68)</f>
        <v>0</v>
      </c>
      <c r="F68" s="159">
        <f t="shared" si="8"/>
        <v>0</v>
      </c>
      <c r="G68" s="163">
        <f t="shared" si="9"/>
        <v>0</v>
      </c>
      <c r="H68" s="142">
        <f t="shared" si="10"/>
        <v>0</v>
      </c>
      <c r="I68" s="156">
        <f t="shared" si="11"/>
        <v>0</v>
      </c>
      <c r="J68" s="156"/>
      <c r="K68" s="334"/>
      <c r="L68" s="158">
        <f t="shared" si="12"/>
        <v>0</v>
      </c>
      <c r="M68" s="334"/>
      <c r="N68" s="158">
        <f t="shared" si="13"/>
        <v>0</v>
      </c>
      <c r="O68" s="158">
        <f t="shared" si="14"/>
        <v>0</v>
      </c>
      <c r="P68" s="4"/>
    </row>
    <row r="69" spans="2:16">
      <c r="B69" s="9" t="str">
        <f t="shared" si="7"/>
        <v/>
      </c>
      <c r="C69" s="153">
        <f>IF(D11="","-",+C68+1)</f>
        <v>2070</v>
      </c>
      <c r="D69" s="159">
        <f>IF(F68+SUM(E$17:E68)=D$10,F68,D$10-SUM(E$17:E68))</f>
        <v>0</v>
      </c>
      <c r="E69" s="160">
        <f>IF(+I14&lt;F68,I14,D69)</f>
        <v>0</v>
      </c>
      <c r="F69" s="159">
        <f t="shared" si="8"/>
        <v>0</v>
      </c>
      <c r="G69" s="163">
        <f t="shared" si="9"/>
        <v>0</v>
      </c>
      <c r="H69" s="142">
        <f t="shared" si="10"/>
        <v>0</v>
      </c>
      <c r="I69" s="156">
        <f t="shared" si="11"/>
        <v>0</v>
      </c>
      <c r="J69" s="156"/>
      <c r="K69" s="334"/>
      <c r="L69" s="158">
        <f t="shared" si="12"/>
        <v>0</v>
      </c>
      <c r="M69" s="334"/>
      <c r="N69" s="158">
        <f t="shared" si="13"/>
        <v>0</v>
      </c>
      <c r="O69" s="158">
        <f t="shared" si="14"/>
        <v>0</v>
      </c>
      <c r="P69" s="4"/>
    </row>
    <row r="70" spans="2:16">
      <c r="B70" s="9" t="str">
        <f t="shared" si="7"/>
        <v/>
      </c>
      <c r="C70" s="153">
        <f>IF(D11="","-",+C69+1)</f>
        <v>2071</v>
      </c>
      <c r="D70" s="159">
        <f>IF(F69+SUM(E$17:E69)=D$10,F69,D$10-SUM(E$17:E69))</f>
        <v>0</v>
      </c>
      <c r="E70" s="160">
        <f>IF(+I14&lt;F69,I14,D70)</f>
        <v>0</v>
      </c>
      <c r="F70" s="159">
        <f t="shared" si="8"/>
        <v>0</v>
      </c>
      <c r="G70" s="163">
        <f t="shared" si="9"/>
        <v>0</v>
      </c>
      <c r="H70" s="142">
        <f t="shared" si="10"/>
        <v>0</v>
      </c>
      <c r="I70" s="156">
        <f t="shared" si="11"/>
        <v>0</v>
      </c>
      <c r="J70" s="156"/>
      <c r="K70" s="334"/>
      <c r="L70" s="158">
        <f t="shared" si="12"/>
        <v>0</v>
      </c>
      <c r="M70" s="334"/>
      <c r="N70" s="158">
        <f t="shared" si="13"/>
        <v>0</v>
      </c>
      <c r="O70" s="158">
        <f t="shared" si="14"/>
        <v>0</v>
      </c>
      <c r="P70" s="4"/>
    </row>
    <row r="71" spans="2:16">
      <c r="B71" s="9" t="str">
        <f t="shared" si="7"/>
        <v/>
      </c>
      <c r="C71" s="153">
        <f>IF(D11="","-",+C70+1)</f>
        <v>2072</v>
      </c>
      <c r="D71" s="159">
        <f>IF(F70+SUM(E$17:E70)=D$10,F70,D$10-SUM(E$17:E70))</f>
        <v>0</v>
      </c>
      <c r="E71" s="160">
        <f>IF(+I14&lt;F70,I14,D71)</f>
        <v>0</v>
      </c>
      <c r="F71" s="159">
        <f t="shared" si="8"/>
        <v>0</v>
      </c>
      <c r="G71" s="163">
        <f t="shared" si="9"/>
        <v>0</v>
      </c>
      <c r="H71" s="142">
        <f t="shared" si="10"/>
        <v>0</v>
      </c>
      <c r="I71" s="156">
        <f t="shared" si="11"/>
        <v>0</v>
      </c>
      <c r="J71" s="156"/>
      <c r="K71" s="334"/>
      <c r="L71" s="158">
        <f t="shared" si="12"/>
        <v>0</v>
      </c>
      <c r="M71" s="334"/>
      <c r="N71" s="158">
        <f t="shared" si="13"/>
        <v>0</v>
      </c>
      <c r="O71" s="158">
        <f t="shared" si="14"/>
        <v>0</v>
      </c>
      <c r="P71" s="4"/>
    </row>
    <row r="72" spans="2:16" ht="13.5" thickBot="1">
      <c r="B72" s="9" t="str">
        <f t="shared" si="7"/>
        <v/>
      </c>
      <c r="C72" s="164">
        <f>IF(D11="","-",+C71+1)</f>
        <v>2073</v>
      </c>
      <c r="D72" s="165">
        <f>IF(F71+SUM(E$17:E71)=D$10,F71,D$10-SUM(E$17:E71))</f>
        <v>0</v>
      </c>
      <c r="E72" s="166">
        <f>IF(+I14&lt;F71,I14,D72)</f>
        <v>0</v>
      </c>
      <c r="F72" s="165">
        <f t="shared" si="8"/>
        <v>0</v>
      </c>
      <c r="G72" s="167">
        <f t="shared" si="9"/>
        <v>0</v>
      </c>
      <c r="H72" s="124">
        <f t="shared" si="10"/>
        <v>0</v>
      </c>
      <c r="I72" s="168">
        <f t="shared" si="11"/>
        <v>0</v>
      </c>
      <c r="J72" s="156"/>
      <c r="K72" s="335"/>
      <c r="L72" s="169">
        <f t="shared" si="12"/>
        <v>0</v>
      </c>
      <c r="M72" s="335"/>
      <c r="N72" s="169">
        <f t="shared" si="13"/>
        <v>0</v>
      </c>
      <c r="O72" s="169">
        <f t="shared" si="14"/>
        <v>0</v>
      </c>
      <c r="P72" s="4"/>
    </row>
    <row r="73" spans="2:16">
      <c r="C73" s="154" t="s">
        <v>73</v>
      </c>
      <c r="D73" s="111"/>
      <c r="E73" s="111">
        <f>SUM(E17:E72)</f>
        <v>0</v>
      </c>
      <c r="F73" s="111"/>
      <c r="G73" s="111">
        <f>SUM(G17:G72)</f>
        <v>0</v>
      </c>
      <c r="H73" s="111">
        <f>SUM(H17:H72)</f>
        <v>0</v>
      </c>
      <c r="I73" s="111">
        <f>SUM(I17:I72)</f>
        <v>0</v>
      </c>
      <c r="J73" s="111"/>
      <c r="K73" s="111"/>
      <c r="L73" s="111"/>
      <c r="M73" s="111"/>
      <c r="N73" s="111"/>
      <c r="O73" s="4"/>
      <c r="P73" s="4"/>
    </row>
    <row r="74" spans="2:16">
      <c r="D74" s="2"/>
      <c r="E74" s="1"/>
      <c r="F74" s="1"/>
      <c r="G74" s="1"/>
      <c r="H74" s="3"/>
      <c r="I74" s="3"/>
      <c r="J74" s="111"/>
      <c r="K74" s="3"/>
      <c r="L74" s="3"/>
      <c r="M74" s="3"/>
      <c r="N74" s="3"/>
      <c r="O74" s="1"/>
      <c r="P74" s="1"/>
    </row>
    <row r="75" spans="2:16">
      <c r="C75" s="170" t="s">
        <v>91</v>
      </c>
      <c r="D75" s="2"/>
      <c r="E75" s="1"/>
      <c r="F75" s="1"/>
      <c r="G75" s="1"/>
      <c r="H75" s="3"/>
      <c r="I75" s="3"/>
      <c r="J75" s="111"/>
      <c r="K75" s="3"/>
      <c r="L75" s="3"/>
      <c r="M75" s="3"/>
      <c r="N75" s="3"/>
      <c r="O75" s="1"/>
      <c r="P75" s="1"/>
    </row>
    <row r="76" spans="2:16">
      <c r="C76" s="121" t="s">
        <v>74</v>
      </c>
      <c r="D76" s="2"/>
      <c r="E76" s="1"/>
      <c r="F76" s="1"/>
      <c r="G76" s="1"/>
      <c r="H76" s="3"/>
      <c r="I76" s="3"/>
      <c r="J76" s="111"/>
      <c r="K76" s="3"/>
      <c r="L76" s="3"/>
      <c r="M76" s="3"/>
      <c r="N76" s="3"/>
      <c r="O76" s="4"/>
      <c r="P76" s="4"/>
    </row>
    <row r="77" spans="2:16">
      <c r="C77" s="121" t="s">
        <v>75</v>
      </c>
      <c r="D77" s="154"/>
      <c r="E77" s="154"/>
      <c r="F77" s="154"/>
      <c r="G77" s="111"/>
      <c r="H77" s="111"/>
      <c r="I77" s="171"/>
      <c r="J77" s="171"/>
      <c r="K77" s="171"/>
      <c r="L77" s="171"/>
      <c r="M77" s="171"/>
      <c r="N77" s="171"/>
      <c r="O77" s="4"/>
      <c r="P77" s="4"/>
    </row>
    <row r="78" spans="2:16">
      <c r="C78" s="121"/>
      <c r="D78" s="154"/>
      <c r="E78" s="154"/>
      <c r="F78" s="154"/>
      <c r="G78" s="111"/>
      <c r="H78" s="111"/>
      <c r="I78" s="171"/>
      <c r="J78" s="171"/>
      <c r="K78" s="171"/>
      <c r="L78" s="171"/>
      <c r="M78" s="171"/>
      <c r="N78" s="171"/>
      <c r="O78" s="4"/>
      <c r="P78" s="1"/>
    </row>
    <row r="79" spans="2:16">
      <c r="B79" s="1"/>
      <c r="C79" s="21"/>
      <c r="D79" s="2"/>
      <c r="E79" s="1"/>
      <c r="F79" s="107"/>
      <c r="G79" s="1"/>
      <c r="H79" s="3"/>
      <c r="I79" s="1"/>
      <c r="J79" s="4"/>
      <c r="K79" s="1"/>
      <c r="L79" s="1"/>
      <c r="M79" s="1"/>
      <c r="N79" s="1"/>
      <c r="O79" s="1"/>
      <c r="P79" s="1"/>
    </row>
    <row r="80" spans="2:16" ht="18">
      <c r="B80" s="1"/>
      <c r="C80" s="242"/>
      <c r="D80" s="2"/>
      <c r="E80" s="1"/>
      <c r="F80" s="107"/>
      <c r="G80" s="1"/>
      <c r="H80" s="3"/>
      <c r="I80" s="1"/>
      <c r="J80" s="4"/>
      <c r="K80" s="1"/>
      <c r="L80" s="1"/>
      <c r="M80" s="1"/>
      <c r="N80" s="1"/>
      <c r="P80" s="244" t="s">
        <v>125</v>
      </c>
    </row>
    <row r="81" spans="1:16">
      <c r="B81" s="1"/>
      <c r="C81" s="21"/>
      <c r="D81" s="2"/>
      <c r="E81" s="1"/>
      <c r="F81" s="107"/>
      <c r="G81" s="1"/>
      <c r="H81" s="3"/>
      <c r="I81" s="1"/>
      <c r="J81" s="4"/>
      <c r="K81" s="1"/>
      <c r="L81" s="1"/>
      <c r="M81" s="1"/>
      <c r="N81" s="1"/>
      <c r="O81" s="1"/>
      <c r="P81" s="1"/>
    </row>
    <row r="82" spans="1:16">
      <c r="B82" s="1"/>
      <c r="C82" s="21"/>
      <c r="D82" s="2"/>
      <c r="E82" s="1"/>
      <c r="F82" s="107"/>
      <c r="G82" s="1"/>
      <c r="H82" s="3"/>
      <c r="I82" s="1"/>
      <c r="J82" s="4"/>
      <c r="K82" s="1"/>
      <c r="L82" s="1"/>
      <c r="M82" s="1"/>
      <c r="N82" s="1"/>
      <c r="O82" s="1"/>
      <c r="P82" s="1"/>
    </row>
    <row r="83" spans="1:16" ht="20.25">
      <c r="A83" s="243" t="s">
        <v>129</v>
      </c>
      <c r="B83" s="1"/>
      <c r="C83" s="21"/>
      <c r="D83" s="2"/>
      <c r="E83" s="1"/>
      <c r="F83" s="99"/>
      <c r="G83" s="99"/>
      <c r="H83" s="1"/>
      <c r="I83" s="3"/>
      <c r="K83" s="7"/>
      <c r="L83" s="109"/>
      <c r="M83" s="109"/>
      <c r="P83" s="109" t="str">
        <f ca="1">P1</f>
        <v>SWEPCO Project nk of 73</v>
      </c>
    </row>
    <row r="84" spans="1:16" ht="18">
      <c r="B84" s="1"/>
      <c r="C84" s="1"/>
      <c r="D84" s="2"/>
      <c r="E84" s="1"/>
      <c r="F84" s="1"/>
      <c r="G84" s="1"/>
      <c r="H84" s="1"/>
      <c r="I84" s="3"/>
      <c r="J84" s="1"/>
      <c r="K84" s="4"/>
      <c r="L84" s="1"/>
      <c r="M84" s="1"/>
      <c r="P84" s="244" t="s">
        <v>123</v>
      </c>
    </row>
    <row r="85" spans="1:16" ht="18.75" thickBot="1">
      <c r="B85" s="5" t="s">
        <v>40</v>
      </c>
      <c r="C85" s="197" t="s">
        <v>78</v>
      </c>
      <c r="D85" s="2"/>
      <c r="E85" s="1"/>
      <c r="F85" s="1"/>
      <c r="G85" s="1"/>
      <c r="H85" s="1"/>
      <c r="I85" s="3"/>
      <c r="J85" s="3"/>
      <c r="K85" s="111"/>
      <c r="L85" s="3"/>
      <c r="M85" s="3"/>
      <c r="N85" s="3"/>
      <c r="O85" s="111"/>
      <c r="P85" s="1"/>
    </row>
    <row r="86" spans="1:16" ht="15.75" thickBot="1">
      <c r="C86" s="67"/>
      <c r="D86" s="2"/>
      <c r="E86" s="1"/>
      <c r="F86" s="1"/>
      <c r="G86" s="1"/>
      <c r="H86" s="1"/>
      <c r="I86" s="3"/>
      <c r="J86" s="3"/>
      <c r="K86" s="111"/>
      <c r="L86" s="265">
        <f>+J92</f>
        <v>2017</v>
      </c>
      <c r="M86" s="266" t="s">
        <v>7</v>
      </c>
      <c r="N86" s="270" t="s">
        <v>154</v>
      </c>
      <c r="O86" s="267" t="s">
        <v>9</v>
      </c>
      <c r="P86" s="1"/>
    </row>
    <row r="87" spans="1:16" ht="15">
      <c r="C87" s="235" t="s">
        <v>42</v>
      </c>
      <c r="D87" s="2"/>
      <c r="E87" s="1"/>
      <c r="F87" s="1"/>
      <c r="G87" s="1"/>
      <c r="H87" s="113"/>
      <c r="I87" s="1" t="s">
        <v>43</v>
      </c>
      <c r="J87" s="1"/>
      <c r="K87" s="261"/>
      <c r="L87" s="259" t="s">
        <v>381</v>
      </c>
      <c r="M87" s="198">
        <f>IF(J92&lt;D11,0,VLOOKUP(J92,C17:O72,9))</f>
        <v>0</v>
      </c>
      <c r="N87" s="198">
        <f>IF(J92&lt;D11,0,VLOOKUP(J92,C17:O72,11))</f>
        <v>0</v>
      </c>
      <c r="O87" s="199">
        <f>+N87-M87</f>
        <v>0</v>
      </c>
      <c r="P87" s="1"/>
    </row>
    <row r="88" spans="1:16" ht="15.75">
      <c r="C88" s="8"/>
      <c r="D88" s="2"/>
      <c r="E88" s="1"/>
      <c r="F88" s="1"/>
      <c r="G88" s="1"/>
      <c r="H88" s="1"/>
      <c r="I88" s="117"/>
      <c r="J88" s="117"/>
      <c r="K88" s="263"/>
      <c r="L88" s="264" t="s">
        <v>382</v>
      </c>
      <c r="M88" s="200">
        <f>IF(J92&lt;D11,0,VLOOKUP(J92,C99:P154,6))</f>
        <v>0</v>
      </c>
      <c r="N88" s="200">
        <f>IF(J92&lt;D11,0,VLOOKUP(J92,C99:P154,7))</f>
        <v>0</v>
      </c>
      <c r="O88" s="201">
        <f>+N88-M88</f>
        <v>0</v>
      </c>
      <c r="P88" s="1"/>
    </row>
    <row r="89" spans="1:16" ht="13.5" thickBot="1">
      <c r="C89" s="121" t="s">
        <v>79</v>
      </c>
      <c r="D89" s="246" t="str">
        <f>+D7</f>
        <v>insert project name here</v>
      </c>
      <c r="E89" s="1"/>
      <c r="F89" s="1"/>
      <c r="G89" s="1"/>
      <c r="H89" s="1"/>
      <c r="I89" s="3"/>
      <c r="J89" s="3"/>
      <c r="K89" s="262"/>
      <c r="L89" s="260" t="s">
        <v>151</v>
      </c>
      <c r="M89" s="203">
        <f>+M88-M87</f>
        <v>0</v>
      </c>
      <c r="N89" s="203">
        <f>+N88-N87</f>
        <v>0</v>
      </c>
      <c r="O89" s="204">
        <f>+O88-O87</f>
        <v>0</v>
      </c>
      <c r="P89" s="1"/>
    </row>
    <row r="90" spans="1:16" ht="13.5" thickBot="1">
      <c r="C90" s="170"/>
      <c r="D90" s="173" t="str">
        <f>D8</f>
        <v>DOES NOT MEET SPP $100,000 MINIMUM INVESTMENT FOR REGIONAL BPU SHARING.</v>
      </c>
      <c r="E90" s="107"/>
      <c r="F90" s="107"/>
      <c r="G90" s="107"/>
      <c r="H90" s="126"/>
      <c r="I90" s="3"/>
      <c r="J90" s="3"/>
      <c r="K90" s="111"/>
      <c r="L90" s="3"/>
      <c r="M90" s="3"/>
      <c r="N90" s="3"/>
      <c r="O90" s="111"/>
      <c r="P90" s="1"/>
    </row>
    <row r="91" spans="1:16" ht="13.5" thickBot="1">
      <c r="A91" s="103"/>
      <c r="C91" s="205" t="s">
        <v>80</v>
      </c>
      <c r="D91" s="224" t="str">
        <f>+D9</f>
        <v>TP______</v>
      </c>
      <c r="E91" s="206"/>
      <c r="F91" s="206"/>
      <c r="G91" s="206"/>
      <c r="H91" s="206"/>
      <c r="I91" s="206"/>
      <c r="J91" s="206"/>
      <c r="K91" s="207"/>
      <c r="P91" s="131"/>
    </row>
    <row r="92" spans="1:16">
      <c r="C92" s="136" t="s">
        <v>47</v>
      </c>
      <c r="D92" s="218">
        <f>+D10</f>
        <v>0</v>
      </c>
      <c r="E92" s="21" t="s">
        <v>81</v>
      </c>
      <c r="H92" s="134"/>
      <c r="I92" s="134"/>
      <c r="J92" s="135">
        <f>+'SWE.WS.G.BPU.ATRR.True-up'!M15</f>
        <v>2017</v>
      </c>
      <c r="K92" s="130"/>
      <c r="L92" s="111" t="s">
        <v>82</v>
      </c>
      <c r="P92" s="4"/>
    </row>
    <row r="93" spans="1:16">
      <c r="C93" s="136" t="s">
        <v>49</v>
      </c>
      <c r="D93" s="468">
        <f>+D11</f>
        <v>2018</v>
      </c>
      <c r="E93" s="136" t="s">
        <v>50</v>
      </c>
      <c r="F93" s="134"/>
      <c r="G93" s="134"/>
      <c r="J93" s="138">
        <f>IF(H87="",0,'SWE.WS.G.BPU.ATRR.True-up'!$F$12)</f>
        <v>0</v>
      </c>
      <c r="K93" s="139"/>
      <c r="L93" t="str">
        <f>"          INPUT TRUE-UP ARR (WITH &amp; WITHOUT INCENTIVES) FROM EACH PRIOR YEAR"</f>
        <v xml:space="preserve">          INPUT TRUE-UP ARR (WITH &amp; WITHOUT INCENTIVES) FROM EACH PRIOR YEAR</v>
      </c>
      <c r="P93" s="4"/>
    </row>
    <row r="94" spans="1:16">
      <c r="C94" s="136" t="s">
        <v>51</v>
      </c>
      <c r="D94" s="218">
        <f>+D12</f>
        <v>4</v>
      </c>
      <c r="E94" s="136" t="s">
        <v>52</v>
      </c>
      <c r="F94" s="134"/>
      <c r="G94" s="134"/>
      <c r="J94" s="140">
        <f>'SWE.WS.G.BPU.ATRR.True-up'!$F$80</f>
        <v>0.12147145768398206</v>
      </c>
      <c r="K94" s="141"/>
      <c r="L94" t="s">
        <v>83</v>
      </c>
      <c r="P94" s="4"/>
    </row>
    <row r="95" spans="1:16">
      <c r="C95" s="136" t="s">
        <v>54</v>
      </c>
      <c r="D95" s="138">
        <f>'SWE.WS.G.BPU.ATRR.True-up'!F$92</f>
        <v>42</v>
      </c>
      <c r="E95" s="136" t="s">
        <v>55</v>
      </c>
      <c r="F95" s="134"/>
      <c r="G95" s="134"/>
      <c r="J95" s="140">
        <f>IF(H87="",J94,'SWE.WS.G.BPU.ATRR.True-up'!$F$79)</f>
        <v>0.12147145768398206</v>
      </c>
      <c r="K95" s="58"/>
      <c r="L95" s="111" t="s">
        <v>56</v>
      </c>
      <c r="M95" s="58"/>
      <c r="N95" s="58"/>
      <c r="O95" s="58"/>
      <c r="P95" s="4"/>
    </row>
    <row r="96" spans="1:16" ht="13.5" thickBot="1">
      <c r="C96" s="136" t="s">
        <v>57</v>
      </c>
      <c r="D96" s="220" t="str">
        <f>+D14</f>
        <v>No</v>
      </c>
      <c r="E96" s="202" t="s">
        <v>59</v>
      </c>
      <c r="F96" s="208"/>
      <c r="G96" s="208"/>
      <c r="H96" s="209"/>
      <c r="I96" s="209"/>
      <c r="J96" s="124">
        <f>IF(D92=0,0,D92/D95)</f>
        <v>0</v>
      </c>
      <c r="K96" s="111"/>
      <c r="L96" s="111"/>
      <c r="M96" s="111"/>
      <c r="N96" s="111"/>
      <c r="O96" s="111"/>
      <c r="P96" s="4"/>
    </row>
    <row r="97" spans="1:16" ht="38.25">
      <c r="A97" s="6"/>
      <c r="B97" s="6"/>
      <c r="C97" s="210" t="s">
        <v>47</v>
      </c>
      <c r="D97" s="211" t="s">
        <v>60</v>
      </c>
      <c r="E97" s="146" t="s">
        <v>61</v>
      </c>
      <c r="F97" s="146" t="s">
        <v>62</v>
      </c>
      <c r="G97" s="144" t="s">
        <v>84</v>
      </c>
      <c r="H97" s="434" t="s">
        <v>378</v>
      </c>
      <c r="I97" s="435" t="s">
        <v>379</v>
      </c>
      <c r="J97" s="210" t="s">
        <v>85</v>
      </c>
      <c r="K97" s="212"/>
      <c r="L97" s="271" t="s">
        <v>220</v>
      </c>
      <c r="M97" s="146" t="s">
        <v>86</v>
      </c>
      <c r="N97" s="271" t="s">
        <v>220</v>
      </c>
      <c r="O97" s="146" t="s">
        <v>86</v>
      </c>
      <c r="P97" s="146" t="s">
        <v>65</v>
      </c>
    </row>
    <row r="98" spans="1:16" ht="13.5" thickBot="1">
      <c r="C98" s="147" t="s">
        <v>66</v>
      </c>
      <c r="D98" s="213" t="s">
        <v>67</v>
      </c>
      <c r="E98" s="147" t="s">
        <v>68</v>
      </c>
      <c r="F98" s="147" t="s">
        <v>67</v>
      </c>
      <c r="G98" s="147" t="s">
        <v>67</v>
      </c>
      <c r="H98" s="255" t="s">
        <v>69</v>
      </c>
      <c r="I98" s="148" t="s">
        <v>70</v>
      </c>
      <c r="J98" s="149" t="s">
        <v>89</v>
      </c>
      <c r="K98" s="150"/>
      <c r="L98" s="151" t="s">
        <v>72</v>
      </c>
      <c r="M98" s="151" t="s">
        <v>72</v>
      </c>
      <c r="N98" s="151" t="s">
        <v>90</v>
      </c>
      <c r="O98" s="151" t="s">
        <v>90</v>
      </c>
      <c r="P98" s="151" t="s">
        <v>90</v>
      </c>
    </row>
    <row r="99" spans="1:16">
      <c r="C99" s="153">
        <f>IF(D93= "","-",D93)</f>
        <v>2018</v>
      </c>
      <c r="D99" s="154">
        <f>IF(D93=C99,0,D92)</f>
        <v>0</v>
      </c>
      <c r="E99" s="161">
        <f>IF(D11=I10,0,J96/12*(12-D94))</f>
        <v>0</v>
      </c>
      <c r="F99" s="159">
        <f>IF(D93=C99,+D92-E99,+D99-E99)</f>
        <v>0</v>
      </c>
      <c r="G99" s="214">
        <f t="shared" ref="G99:G130" si="15">+(F99+D99)/2</f>
        <v>0</v>
      </c>
      <c r="H99" s="251">
        <f>+J94*G99+E99</f>
        <v>0</v>
      </c>
      <c r="I99" s="252">
        <f>+J95*G99+E99</f>
        <v>0</v>
      </c>
      <c r="J99" s="158">
        <f t="shared" ref="J99:J130" si="16">+I99-H99</f>
        <v>0</v>
      </c>
      <c r="K99" s="158"/>
      <c r="L99" s="333"/>
      <c r="M99" s="157">
        <f t="shared" ref="M99:M130" si="17">IF(L99&lt;&gt;0,+H99-L99,0)</f>
        <v>0</v>
      </c>
      <c r="N99" s="333"/>
      <c r="O99" s="157">
        <f t="shared" ref="O99:O130" si="18">IF(N99&lt;&gt;0,+I99-N99,0)</f>
        <v>0</v>
      </c>
      <c r="P99" s="157">
        <f t="shared" ref="P99:P130" si="19">+O99-M99</f>
        <v>0</v>
      </c>
    </row>
    <row r="100" spans="1:16">
      <c r="B100" s="9" t="str">
        <f>IF(D100=F99,"","IU")</f>
        <v/>
      </c>
      <c r="C100" s="153">
        <f>IF(D93="","-",+C99+1)</f>
        <v>2019</v>
      </c>
      <c r="D100" s="154">
        <f>IF(F99+SUM(E$99:E99)=D$92,F99,D$92-SUM(E$99:E99))</f>
        <v>0</v>
      </c>
      <c r="E100" s="160">
        <f>IF(+J96&lt;F99,J96,D100)</f>
        <v>0</v>
      </c>
      <c r="F100" s="159">
        <f t="shared" ref="F100:F130" si="20">+D100-E100</f>
        <v>0</v>
      </c>
      <c r="G100" s="159">
        <f t="shared" si="15"/>
        <v>0</v>
      </c>
      <c r="H100" s="163">
        <f t="shared" ref="H100:H112" si="21">+J$94*G100+E100</f>
        <v>0</v>
      </c>
      <c r="I100" s="253">
        <f t="shared" ref="I100:I112" si="22">+J$95*G100+E100</f>
        <v>0</v>
      </c>
      <c r="J100" s="158">
        <f t="shared" si="16"/>
        <v>0</v>
      </c>
      <c r="K100" s="158"/>
      <c r="L100" s="334"/>
      <c r="M100" s="158">
        <f t="shared" si="17"/>
        <v>0</v>
      </c>
      <c r="N100" s="334"/>
      <c r="O100" s="158">
        <f t="shared" si="18"/>
        <v>0</v>
      </c>
      <c r="P100" s="158">
        <f t="shared" si="19"/>
        <v>0</v>
      </c>
    </row>
    <row r="101" spans="1:16">
      <c r="B101" s="9" t="str">
        <f t="shared" ref="B101:B154" si="23">IF(D101=F100,"","IU")</f>
        <v/>
      </c>
      <c r="C101" s="153">
        <f>IF(D93="","-",+C100+1)</f>
        <v>2020</v>
      </c>
      <c r="D101" s="154">
        <f>IF(F100+SUM(E$99:E100)=D$92,F100,D$92-SUM(E$99:E100))</f>
        <v>0</v>
      </c>
      <c r="E101" s="160">
        <f>IF(+J96&lt;F100,J96,D101)</f>
        <v>0</v>
      </c>
      <c r="F101" s="159">
        <f t="shared" si="20"/>
        <v>0</v>
      </c>
      <c r="G101" s="159">
        <f t="shared" si="15"/>
        <v>0</v>
      </c>
      <c r="H101" s="163">
        <f t="shared" si="21"/>
        <v>0</v>
      </c>
      <c r="I101" s="253">
        <f t="shared" si="22"/>
        <v>0</v>
      </c>
      <c r="J101" s="158">
        <f t="shared" si="16"/>
        <v>0</v>
      </c>
      <c r="K101" s="158"/>
      <c r="L101" s="334"/>
      <c r="M101" s="158">
        <f t="shared" si="17"/>
        <v>0</v>
      </c>
      <c r="N101" s="334"/>
      <c r="O101" s="158">
        <f t="shared" si="18"/>
        <v>0</v>
      </c>
      <c r="P101" s="158">
        <f t="shared" si="19"/>
        <v>0</v>
      </c>
    </row>
    <row r="102" spans="1:16">
      <c r="B102" s="9" t="str">
        <f t="shared" si="23"/>
        <v/>
      </c>
      <c r="C102" s="153">
        <f>IF(D93="","-",+C101+1)</f>
        <v>2021</v>
      </c>
      <c r="D102" s="154">
        <f>IF(F101+SUM(E$99:E101)=D$92,F101,D$92-SUM(E$99:E101))</f>
        <v>0</v>
      </c>
      <c r="E102" s="160">
        <f>IF(+J96&lt;F101,J96,D102)</f>
        <v>0</v>
      </c>
      <c r="F102" s="159">
        <f t="shared" si="20"/>
        <v>0</v>
      </c>
      <c r="G102" s="159">
        <f t="shared" si="15"/>
        <v>0</v>
      </c>
      <c r="H102" s="163">
        <f t="shared" si="21"/>
        <v>0</v>
      </c>
      <c r="I102" s="253">
        <f t="shared" si="22"/>
        <v>0</v>
      </c>
      <c r="J102" s="158">
        <f t="shared" si="16"/>
        <v>0</v>
      </c>
      <c r="K102" s="158"/>
      <c r="L102" s="334"/>
      <c r="M102" s="158">
        <f t="shared" si="17"/>
        <v>0</v>
      </c>
      <c r="N102" s="334"/>
      <c r="O102" s="158">
        <f t="shared" si="18"/>
        <v>0</v>
      </c>
      <c r="P102" s="158">
        <f t="shared" si="19"/>
        <v>0</v>
      </c>
    </row>
    <row r="103" spans="1:16">
      <c r="B103" s="9" t="str">
        <f t="shared" si="23"/>
        <v/>
      </c>
      <c r="C103" s="153">
        <f>IF(D93="","-",+C102+1)</f>
        <v>2022</v>
      </c>
      <c r="D103" s="154">
        <f>IF(F102+SUM(E$99:E102)=D$92,F102,D$92-SUM(E$99:E102))</f>
        <v>0</v>
      </c>
      <c r="E103" s="160">
        <f>IF(+J96&lt;F102,J96,D103)</f>
        <v>0</v>
      </c>
      <c r="F103" s="159">
        <f t="shared" si="20"/>
        <v>0</v>
      </c>
      <c r="G103" s="159">
        <f t="shared" si="15"/>
        <v>0</v>
      </c>
      <c r="H103" s="163">
        <f t="shared" si="21"/>
        <v>0</v>
      </c>
      <c r="I103" s="253">
        <f t="shared" si="22"/>
        <v>0</v>
      </c>
      <c r="J103" s="158">
        <f t="shared" si="16"/>
        <v>0</v>
      </c>
      <c r="K103" s="158"/>
      <c r="L103" s="334"/>
      <c r="M103" s="158">
        <f t="shared" si="17"/>
        <v>0</v>
      </c>
      <c r="N103" s="334"/>
      <c r="O103" s="158">
        <f t="shared" si="18"/>
        <v>0</v>
      </c>
      <c r="P103" s="158">
        <f t="shared" si="19"/>
        <v>0</v>
      </c>
    </row>
    <row r="104" spans="1:16">
      <c r="B104" s="9" t="str">
        <f t="shared" si="23"/>
        <v/>
      </c>
      <c r="C104" s="153">
        <f>IF(D93="","-",+C103+1)</f>
        <v>2023</v>
      </c>
      <c r="D104" s="154">
        <f>IF(F103+SUM(E$99:E103)=D$92,F103,D$92-SUM(E$99:E103))</f>
        <v>0</v>
      </c>
      <c r="E104" s="160">
        <f>IF(+J96&lt;F103,J96,D104)</f>
        <v>0</v>
      </c>
      <c r="F104" s="159">
        <f t="shared" si="20"/>
        <v>0</v>
      </c>
      <c r="G104" s="159">
        <f t="shared" si="15"/>
        <v>0</v>
      </c>
      <c r="H104" s="163">
        <f t="shared" si="21"/>
        <v>0</v>
      </c>
      <c r="I104" s="253">
        <f t="shared" si="22"/>
        <v>0</v>
      </c>
      <c r="J104" s="158">
        <f t="shared" si="16"/>
        <v>0</v>
      </c>
      <c r="K104" s="158"/>
      <c r="L104" s="334"/>
      <c r="M104" s="158">
        <f t="shared" si="17"/>
        <v>0</v>
      </c>
      <c r="N104" s="334"/>
      <c r="O104" s="158">
        <f t="shared" si="18"/>
        <v>0</v>
      </c>
      <c r="P104" s="158">
        <f t="shared" si="19"/>
        <v>0</v>
      </c>
    </row>
    <row r="105" spans="1:16">
      <c r="B105" s="9" t="str">
        <f t="shared" si="23"/>
        <v/>
      </c>
      <c r="C105" s="153">
        <f>IF(D93="","-",+C104+1)</f>
        <v>2024</v>
      </c>
      <c r="D105" s="154">
        <f>IF(F104+SUM(E$99:E104)=D$92,F104,D$92-SUM(E$99:E104))</f>
        <v>0</v>
      </c>
      <c r="E105" s="160">
        <f>IF(+J96&lt;F104,J96,D105)</f>
        <v>0</v>
      </c>
      <c r="F105" s="159">
        <f t="shared" si="20"/>
        <v>0</v>
      </c>
      <c r="G105" s="159">
        <f t="shared" si="15"/>
        <v>0</v>
      </c>
      <c r="H105" s="163">
        <f t="shared" si="21"/>
        <v>0</v>
      </c>
      <c r="I105" s="253">
        <f t="shared" si="22"/>
        <v>0</v>
      </c>
      <c r="J105" s="158">
        <f t="shared" si="16"/>
        <v>0</v>
      </c>
      <c r="K105" s="158"/>
      <c r="L105" s="334"/>
      <c r="M105" s="158">
        <f t="shared" si="17"/>
        <v>0</v>
      </c>
      <c r="N105" s="334"/>
      <c r="O105" s="158">
        <f t="shared" si="18"/>
        <v>0</v>
      </c>
      <c r="P105" s="158">
        <f t="shared" si="19"/>
        <v>0</v>
      </c>
    </row>
    <row r="106" spans="1:16">
      <c r="B106" s="9" t="str">
        <f t="shared" si="23"/>
        <v/>
      </c>
      <c r="C106" s="153">
        <f>IF(D93="","-",+C105+1)</f>
        <v>2025</v>
      </c>
      <c r="D106" s="154">
        <f>IF(F105+SUM(E$99:E105)=D$92,F105,D$92-SUM(E$99:E105))</f>
        <v>0</v>
      </c>
      <c r="E106" s="160">
        <f>IF(+J96&lt;F105,J96,D106)</f>
        <v>0</v>
      </c>
      <c r="F106" s="159">
        <f t="shared" si="20"/>
        <v>0</v>
      </c>
      <c r="G106" s="159">
        <f t="shared" si="15"/>
        <v>0</v>
      </c>
      <c r="H106" s="163">
        <f t="shared" si="21"/>
        <v>0</v>
      </c>
      <c r="I106" s="253">
        <f t="shared" si="22"/>
        <v>0</v>
      </c>
      <c r="J106" s="158">
        <f t="shared" si="16"/>
        <v>0</v>
      </c>
      <c r="K106" s="158"/>
      <c r="L106" s="334"/>
      <c r="M106" s="158">
        <f t="shared" si="17"/>
        <v>0</v>
      </c>
      <c r="N106" s="334"/>
      <c r="O106" s="158">
        <f t="shared" si="18"/>
        <v>0</v>
      </c>
      <c r="P106" s="158">
        <f t="shared" si="19"/>
        <v>0</v>
      </c>
    </row>
    <row r="107" spans="1:16">
      <c r="B107" s="9" t="str">
        <f t="shared" si="23"/>
        <v/>
      </c>
      <c r="C107" s="153">
        <f>IF(D93="","-",+C106+1)</f>
        <v>2026</v>
      </c>
      <c r="D107" s="154">
        <f>IF(F106+SUM(E$99:E106)=D$92,F106,D$92-SUM(E$99:E106))</f>
        <v>0</v>
      </c>
      <c r="E107" s="160">
        <f>IF(+J96&lt;F106,J96,D107)</f>
        <v>0</v>
      </c>
      <c r="F107" s="159">
        <f t="shared" si="20"/>
        <v>0</v>
      </c>
      <c r="G107" s="159">
        <f t="shared" si="15"/>
        <v>0</v>
      </c>
      <c r="H107" s="163">
        <f t="shared" si="21"/>
        <v>0</v>
      </c>
      <c r="I107" s="253">
        <f t="shared" si="22"/>
        <v>0</v>
      </c>
      <c r="J107" s="158">
        <f t="shared" si="16"/>
        <v>0</v>
      </c>
      <c r="K107" s="158"/>
      <c r="L107" s="334"/>
      <c r="M107" s="158">
        <f t="shared" si="17"/>
        <v>0</v>
      </c>
      <c r="N107" s="334"/>
      <c r="O107" s="158">
        <f t="shared" si="18"/>
        <v>0</v>
      </c>
      <c r="P107" s="158">
        <f t="shared" si="19"/>
        <v>0</v>
      </c>
    </row>
    <row r="108" spans="1:16">
      <c r="B108" s="9" t="str">
        <f t="shared" si="23"/>
        <v/>
      </c>
      <c r="C108" s="153">
        <f>IF(D93="","-",+C107+1)</f>
        <v>2027</v>
      </c>
      <c r="D108" s="154">
        <f>IF(F107+SUM(E$99:E107)=D$92,F107,D$92-SUM(E$99:E107))</f>
        <v>0</v>
      </c>
      <c r="E108" s="160">
        <f>IF(+J96&lt;F107,J96,D108)</f>
        <v>0</v>
      </c>
      <c r="F108" s="159">
        <f t="shared" si="20"/>
        <v>0</v>
      </c>
      <c r="G108" s="159">
        <f t="shared" si="15"/>
        <v>0</v>
      </c>
      <c r="H108" s="163">
        <f t="shared" si="21"/>
        <v>0</v>
      </c>
      <c r="I108" s="253">
        <f t="shared" si="22"/>
        <v>0</v>
      </c>
      <c r="J108" s="158">
        <f t="shared" si="16"/>
        <v>0</v>
      </c>
      <c r="K108" s="158"/>
      <c r="L108" s="334"/>
      <c r="M108" s="158">
        <f t="shared" si="17"/>
        <v>0</v>
      </c>
      <c r="N108" s="334"/>
      <c r="O108" s="158">
        <f t="shared" si="18"/>
        <v>0</v>
      </c>
      <c r="P108" s="158">
        <f t="shared" si="19"/>
        <v>0</v>
      </c>
    </row>
    <row r="109" spans="1:16">
      <c r="B109" s="9" t="str">
        <f t="shared" si="23"/>
        <v/>
      </c>
      <c r="C109" s="153">
        <f>IF(D93="","-",+C108+1)</f>
        <v>2028</v>
      </c>
      <c r="D109" s="154">
        <f>IF(F108+SUM(E$99:E108)=D$92,F108,D$92-SUM(E$99:E108))</f>
        <v>0</v>
      </c>
      <c r="E109" s="160">
        <f>IF(+J96&lt;F108,J96,D109)</f>
        <v>0</v>
      </c>
      <c r="F109" s="159">
        <f t="shared" si="20"/>
        <v>0</v>
      </c>
      <c r="G109" s="159">
        <f t="shared" si="15"/>
        <v>0</v>
      </c>
      <c r="H109" s="163">
        <f t="shared" si="21"/>
        <v>0</v>
      </c>
      <c r="I109" s="253">
        <f t="shared" si="22"/>
        <v>0</v>
      </c>
      <c r="J109" s="158">
        <f t="shared" si="16"/>
        <v>0</v>
      </c>
      <c r="K109" s="158"/>
      <c r="L109" s="334"/>
      <c r="M109" s="158">
        <f t="shared" si="17"/>
        <v>0</v>
      </c>
      <c r="N109" s="334"/>
      <c r="O109" s="158">
        <f t="shared" si="18"/>
        <v>0</v>
      </c>
      <c r="P109" s="158">
        <f t="shared" si="19"/>
        <v>0</v>
      </c>
    </row>
    <row r="110" spans="1:16">
      <c r="B110" s="9" t="str">
        <f t="shared" si="23"/>
        <v/>
      </c>
      <c r="C110" s="153">
        <f>IF(D93="","-",+C109+1)</f>
        <v>2029</v>
      </c>
      <c r="D110" s="154">
        <f>IF(F109+SUM(E$99:E109)=D$92,F109,D$92-SUM(E$99:E109))</f>
        <v>0</v>
      </c>
      <c r="E110" s="160">
        <f>IF(+J96&lt;F109,J96,D110)</f>
        <v>0</v>
      </c>
      <c r="F110" s="159">
        <f t="shared" si="20"/>
        <v>0</v>
      </c>
      <c r="G110" s="159">
        <f t="shared" si="15"/>
        <v>0</v>
      </c>
      <c r="H110" s="163">
        <f t="shared" si="21"/>
        <v>0</v>
      </c>
      <c r="I110" s="253">
        <f t="shared" si="22"/>
        <v>0</v>
      </c>
      <c r="J110" s="158">
        <f t="shared" si="16"/>
        <v>0</v>
      </c>
      <c r="K110" s="158"/>
      <c r="L110" s="334"/>
      <c r="M110" s="158">
        <f t="shared" si="17"/>
        <v>0</v>
      </c>
      <c r="N110" s="334"/>
      <c r="O110" s="158">
        <f t="shared" si="18"/>
        <v>0</v>
      </c>
      <c r="P110" s="158">
        <f t="shared" si="19"/>
        <v>0</v>
      </c>
    </row>
    <row r="111" spans="1:16">
      <c r="B111" s="9" t="str">
        <f t="shared" si="23"/>
        <v/>
      </c>
      <c r="C111" s="153">
        <f>IF(D93="","-",+C110+1)</f>
        <v>2030</v>
      </c>
      <c r="D111" s="154">
        <f>IF(F110+SUM(E$99:E110)=D$92,F110,D$92-SUM(E$99:E110))</f>
        <v>0</v>
      </c>
      <c r="E111" s="160">
        <f>IF(+J96&lt;F110,J96,D111)</f>
        <v>0</v>
      </c>
      <c r="F111" s="159">
        <f t="shared" si="20"/>
        <v>0</v>
      </c>
      <c r="G111" s="159">
        <f t="shared" si="15"/>
        <v>0</v>
      </c>
      <c r="H111" s="163">
        <f t="shared" si="21"/>
        <v>0</v>
      </c>
      <c r="I111" s="253">
        <f t="shared" si="22"/>
        <v>0</v>
      </c>
      <c r="J111" s="158">
        <f t="shared" si="16"/>
        <v>0</v>
      </c>
      <c r="K111" s="158"/>
      <c r="L111" s="334"/>
      <c r="M111" s="158">
        <f t="shared" si="17"/>
        <v>0</v>
      </c>
      <c r="N111" s="334"/>
      <c r="O111" s="158">
        <f t="shared" si="18"/>
        <v>0</v>
      </c>
      <c r="P111" s="158">
        <f t="shared" si="19"/>
        <v>0</v>
      </c>
    </row>
    <row r="112" spans="1:16">
      <c r="B112" s="9" t="str">
        <f t="shared" si="23"/>
        <v/>
      </c>
      <c r="C112" s="153">
        <f>IF(D93="","-",+C111+1)</f>
        <v>2031</v>
      </c>
      <c r="D112" s="154">
        <f>IF(F111+SUM(E$99:E111)=D$92,F111,D$92-SUM(E$99:E111))</f>
        <v>0</v>
      </c>
      <c r="E112" s="160">
        <f>IF(+J96&lt;F111,J96,D112)</f>
        <v>0</v>
      </c>
      <c r="F112" s="159">
        <f t="shared" si="20"/>
        <v>0</v>
      </c>
      <c r="G112" s="159">
        <f t="shared" si="15"/>
        <v>0</v>
      </c>
      <c r="H112" s="163">
        <f t="shared" si="21"/>
        <v>0</v>
      </c>
      <c r="I112" s="253">
        <f t="shared" si="22"/>
        <v>0</v>
      </c>
      <c r="J112" s="158">
        <f t="shared" si="16"/>
        <v>0</v>
      </c>
      <c r="K112" s="158"/>
      <c r="L112" s="334"/>
      <c r="M112" s="158">
        <f t="shared" si="17"/>
        <v>0</v>
      </c>
      <c r="N112" s="334"/>
      <c r="O112" s="158">
        <f t="shared" si="18"/>
        <v>0</v>
      </c>
      <c r="P112" s="158">
        <f t="shared" si="19"/>
        <v>0</v>
      </c>
    </row>
    <row r="113" spans="2:16">
      <c r="B113" s="9" t="str">
        <f t="shared" si="23"/>
        <v/>
      </c>
      <c r="C113" s="153">
        <f>IF(D93="","-",+C112+1)</f>
        <v>2032</v>
      </c>
      <c r="D113" s="154">
        <f>IF(F112+SUM(E$99:E112)=D$92,F112,D$92-SUM(E$99:E112))</f>
        <v>0</v>
      </c>
      <c r="E113" s="160">
        <f>IF(+J96&lt;F112,J96,D113)</f>
        <v>0</v>
      </c>
      <c r="F113" s="159">
        <f t="shared" si="20"/>
        <v>0</v>
      </c>
      <c r="G113" s="159">
        <f t="shared" si="15"/>
        <v>0</v>
      </c>
      <c r="H113" s="163">
        <f t="shared" ref="H113:H154" si="24">+J$94*G113+E113</f>
        <v>0</v>
      </c>
      <c r="I113" s="253">
        <f t="shared" ref="I113:I154" si="25">+J$95*G113+E113</f>
        <v>0</v>
      </c>
      <c r="J113" s="158">
        <f t="shared" si="16"/>
        <v>0</v>
      </c>
      <c r="K113" s="158"/>
      <c r="L113" s="334"/>
      <c r="M113" s="158">
        <f t="shared" si="17"/>
        <v>0</v>
      </c>
      <c r="N113" s="334"/>
      <c r="O113" s="158">
        <f t="shared" si="18"/>
        <v>0</v>
      </c>
      <c r="P113" s="158">
        <f t="shared" si="19"/>
        <v>0</v>
      </c>
    </row>
    <row r="114" spans="2:16">
      <c r="B114" s="9" t="str">
        <f t="shared" si="23"/>
        <v/>
      </c>
      <c r="C114" s="153">
        <f>IF(D93="","-",+C113+1)</f>
        <v>2033</v>
      </c>
      <c r="D114" s="154">
        <f>IF(F113+SUM(E$99:E113)=D$92,F113,D$92-SUM(E$99:E113))</f>
        <v>0</v>
      </c>
      <c r="E114" s="160">
        <f>IF(+J96&lt;F113,J96,D114)</f>
        <v>0</v>
      </c>
      <c r="F114" s="159">
        <f t="shared" si="20"/>
        <v>0</v>
      </c>
      <c r="G114" s="159">
        <f t="shared" si="15"/>
        <v>0</v>
      </c>
      <c r="H114" s="163">
        <f t="shared" si="24"/>
        <v>0</v>
      </c>
      <c r="I114" s="253">
        <f t="shared" si="25"/>
        <v>0</v>
      </c>
      <c r="J114" s="158">
        <f t="shared" si="16"/>
        <v>0</v>
      </c>
      <c r="K114" s="158"/>
      <c r="L114" s="334"/>
      <c r="M114" s="158">
        <f t="shared" si="17"/>
        <v>0</v>
      </c>
      <c r="N114" s="334"/>
      <c r="O114" s="158">
        <f t="shared" si="18"/>
        <v>0</v>
      </c>
      <c r="P114" s="158">
        <f t="shared" si="19"/>
        <v>0</v>
      </c>
    </row>
    <row r="115" spans="2:16">
      <c r="B115" s="9" t="str">
        <f t="shared" si="23"/>
        <v/>
      </c>
      <c r="C115" s="153">
        <f>IF(D93="","-",+C114+1)</f>
        <v>2034</v>
      </c>
      <c r="D115" s="154">
        <f>IF(F114+SUM(E$99:E114)=D$92,F114,D$92-SUM(E$99:E114))</f>
        <v>0</v>
      </c>
      <c r="E115" s="160">
        <f>IF(+J96&lt;F114,J96,D115)</f>
        <v>0</v>
      </c>
      <c r="F115" s="159">
        <f t="shared" si="20"/>
        <v>0</v>
      </c>
      <c r="G115" s="159">
        <f t="shared" si="15"/>
        <v>0</v>
      </c>
      <c r="H115" s="163">
        <f t="shared" si="24"/>
        <v>0</v>
      </c>
      <c r="I115" s="253">
        <f t="shared" si="25"/>
        <v>0</v>
      </c>
      <c r="J115" s="158">
        <f t="shared" si="16"/>
        <v>0</v>
      </c>
      <c r="K115" s="158"/>
      <c r="L115" s="334"/>
      <c r="M115" s="158">
        <f t="shared" si="17"/>
        <v>0</v>
      </c>
      <c r="N115" s="334"/>
      <c r="O115" s="158">
        <f t="shared" si="18"/>
        <v>0</v>
      </c>
      <c r="P115" s="158">
        <f t="shared" si="19"/>
        <v>0</v>
      </c>
    </row>
    <row r="116" spans="2:16">
      <c r="B116" s="9" t="str">
        <f t="shared" si="23"/>
        <v/>
      </c>
      <c r="C116" s="153">
        <f>IF(D93="","-",+C115+1)</f>
        <v>2035</v>
      </c>
      <c r="D116" s="154">
        <f>IF(F115+SUM(E$99:E115)=D$92,F115,D$92-SUM(E$99:E115))</f>
        <v>0</v>
      </c>
      <c r="E116" s="160">
        <f>IF(+J96&lt;F115,J96,D116)</f>
        <v>0</v>
      </c>
      <c r="F116" s="159">
        <f t="shared" si="20"/>
        <v>0</v>
      </c>
      <c r="G116" s="159">
        <f t="shared" si="15"/>
        <v>0</v>
      </c>
      <c r="H116" s="163">
        <f t="shared" si="24"/>
        <v>0</v>
      </c>
      <c r="I116" s="253">
        <f t="shared" si="25"/>
        <v>0</v>
      </c>
      <c r="J116" s="158">
        <f t="shared" si="16"/>
        <v>0</v>
      </c>
      <c r="K116" s="158"/>
      <c r="L116" s="334"/>
      <c r="M116" s="158">
        <f t="shared" si="17"/>
        <v>0</v>
      </c>
      <c r="N116" s="334"/>
      <c r="O116" s="158">
        <f t="shared" si="18"/>
        <v>0</v>
      </c>
      <c r="P116" s="158">
        <f t="shared" si="19"/>
        <v>0</v>
      </c>
    </row>
    <row r="117" spans="2:16">
      <c r="B117" s="9" t="str">
        <f t="shared" si="23"/>
        <v/>
      </c>
      <c r="C117" s="153">
        <f>IF(D93="","-",+C116+1)</f>
        <v>2036</v>
      </c>
      <c r="D117" s="154">
        <f>IF(F116+SUM(E$99:E116)=D$92,F116,D$92-SUM(E$99:E116))</f>
        <v>0</v>
      </c>
      <c r="E117" s="160">
        <f>IF(+J96&lt;F116,J96,D117)</f>
        <v>0</v>
      </c>
      <c r="F117" s="159">
        <f t="shared" si="20"/>
        <v>0</v>
      </c>
      <c r="G117" s="159">
        <f t="shared" si="15"/>
        <v>0</v>
      </c>
      <c r="H117" s="163">
        <f t="shared" si="24"/>
        <v>0</v>
      </c>
      <c r="I117" s="253">
        <f t="shared" si="25"/>
        <v>0</v>
      </c>
      <c r="J117" s="158">
        <f t="shared" si="16"/>
        <v>0</v>
      </c>
      <c r="K117" s="158"/>
      <c r="L117" s="334"/>
      <c r="M117" s="158">
        <f t="shared" si="17"/>
        <v>0</v>
      </c>
      <c r="N117" s="334"/>
      <c r="O117" s="158">
        <f t="shared" si="18"/>
        <v>0</v>
      </c>
      <c r="P117" s="158">
        <f t="shared" si="19"/>
        <v>0</v>
      </c>
    </row>
    <row r="118" spans="2:16">
      <c r="B118" s="9" t="str">
        <f t="shared" si="23"/>
        <v/>
      </c>
      <c r="C118" s="153">
        <f>IF(D93="","-",+C117+1)</f>
        <v>2037</v>
      </c>
      <c r="D118" s="154">
        <f>IF(F117+SUM(E$99:E117)=D$92,F117,D$92-SUM(E$99:E117))</f>
        <v>0</v>
      </c>
      <c r="E118" s="160">
        <f>IF(+J96&lt;F117,J96,D118)</f>
        <v>0</v>
      </c>
      <c r="F118" s="159">
        <f t="shared" si="20"/>
        <v>0</v>
      </c>
      <c r="G118" s="159">
        <f t="shared" si="15"/>
        <v>0</v>
      </c>
      <c r="H118" s="163">
        <f t="shared" si="24"/>
        <v>0</v>
      </c>
      <c r="I118" s="253">
        <f t="shared" si="25"/>
        <v>0</v>
      </c>
      <c r="J118" s="158">
        <f t="shared" si="16"/>
        <v>0</v>
      </c>
      <c r="K118" s="158"/>
      <c r="L118" s="334"/>
      <c r="M118" s="158">
        <f t="shared" si="17"/>
        <v>0</v>
      </c>
      <c r="N118" s="334"/>
      <c r="O118" s="158">
        <f t="shared" si="18"/>
        <v>0</v>
      </c>
      <c r="P118" s="158">
        <f t="shared" si="19"/>
        <v>0</v>
      </c>
    </row>
    <row r="119" spans="2:16">
      <c r="B119" s="9" t="str">
        <f t="shared" si="23"/>
        <v/>
      </c>
      <c r="C119" s="153">
        <f>IF(D93="","-",+C118+1)</f>
        <v>2038</v>
      </c>
      <c r="D119" s="154">
        <f>IF(F118+SUM(E$99:E118)=D$92,F118,D$92-SUM(E$99:E118))</f>
        <v>0</v>
      </c>
      <c r="E119" s="160">
        <f>IF(+J96&lt;F118,J96,D119)</f>
        <v>0</v>
      </c>
      <c r="F119" s="159">
        <f t="shared" si="20"/>
        <v>0</v>
      </c>
      <c r="G119" s="159">
        <f t="shared" si="15"/>
        <v>0</v>
      </c>
      <c r="H119" s="163">
        <f t="shared" si="24"/>
        <v>0</v>
      </c>
      <c r="I119" s="253">
        <f t="shared" si="25"/>
        <v>0</v>
      </c>
      <c r="J119" s="158">
        <f t="shared" si="16"/>
        <v>0</v>
      </c>
      <c r="K119" s="158"/>
      <c r="L119" s="334"/>
      <c r="M119" s="158">
        <f t="shared" si="17"/>
        <v>0</v>
      </c>
      <c r="N119" s="334"/>
      <c r="O119" s="158">
        <f t="shared" si="18"/>
        <v>0</v>
      </c>
      <c r="P119" s="158">
        <f t="shared" si="19"/>
        <v>0</v>
      </c>
    </row>
    <row r="120" spans="2:16">
      <c r="B120" s="9" t="str">
        <f t="shared" si="23"/>
        <v/>
      </c>
      <c r="C120" s="153">
        <f>IF(D93="","-",+C119+1)</f>
        <v>2039</v>
      </c>
      <c r="D120" s="154">
        <f>IF(F119+SUM(E$99:E119)=D$92,F119,D$92-SUM(E$99:E119))</f>
        <v>0</v>
      </c>
      <c r="E120" s="160">
        <f>IF(+J96&lt;F119,J96,D120)</f>
        <v>0</v>
      </c>
      <c r="F120" s="159">
        <f t="shared" si="20"/>
        <v>0</v>
      </c>
      <c r="G120" s="159">
        <f t="shared" si="15"/>
        <v>0</v>
      </c>
      <c r="H120" s="163">
        <f t="shared" si="24"/>
        <v>0</v>
      </c>
      <c r="I120" s="253">
        <f t="shared" si="25"/>
        <v>0</v>
      </c>
      <c r="J120" s="158">
        <f t="shared" si="16"/>
        <v>0</v>
      </c>
      <c r="K120" s="158"/>
      <c r="L120" s="334"/>
      <c r="M120" s="158">
        <f t="shared" si="17"/>
        <v>0</v>
      </c>
      <c r="N120" s="334"/>
      <c r="O120" s="158">
        <f t="shared" si="18"/>
        <v>0</v>
      </c>
      <c r="P120" s="158">
        <f t="shared" si="19"/>
        <v>0</v>
      </c>
    </row>
    <row r="121" spans="2:16">
      <c r="B121" s="9" t="str">
        <f t="shared" si="23"/>
        <v/>
      </c>
      <c r="C121" s="153">
        <f>IF(D93="","-",+C120+1)</f>
        <v>2040</v>
      </c>
      <c r="D121" s="154">
        <f>IF(F120+SUM(E$99:E120)=D$92,F120,D$92-SUM(E$99:E120))</f>
        <v>0</v>
      </c>
      <c r="E121" s="160">
        <f>IF(+J96&lt;F120,J96,D121)</f>
        <v>0</v>
      </c>
      <c r="F121" s="159">
        <f t="shared" si="20"/>
        <v>0</v>
      </c>
      <c r="G121" s="159">
        <f t="shared" si="15"/>
        <v>0</v>
      </c>
      <c r="H121" s="163">
        <f t="shared" si="24"/>
        <v>0</v>
      </c>
      <c r="I121" s="253">
        <f t="shared" si="25"/>
        <v>0</v>
      </c>
      <c r="J121" s="158">
        <f t="shared" si="16"/>
        <v>0</v>
      </c>
      <c r="K121" s="158"/>
      <c r="L121" s="334"/>
      <c r="M121" s="158">
        <f t="shared" si="17"/>
        <v>0</v>
      </c>
      <c r="N121" s="334"/>
      <c r="O121" s="158">
        <f t="shared" si="18"/>
        <v>0</v>
      </c>
      <c r="P121" s="158">
        <f t="shared" si="19"/>
        <v>0</v>
      </c>
    </row>
    <row r="122" spans="2:16">
      <c r="B122" s="9" t="str">
        <f t="shared" si="23"/>
        <v/>
      </c>
      <c r="C122" s="153">
        <f>IF(D93="","-",+C121+1)</f>
        <v>2041</v>
      </c>
      <c r="D122" s="154">
        <f>IF(F121+SUM(E$99:E121)=D$92,F121,D$92-SUM(E$99:E121))</f>
        <v>0</v>
      </c>
      <c r="E122" s="160">
        <f>IF(+J96&lt;F121,J96,D122)</f>
        <v>0</v>
      </c>
      <c r="F122" s="159">
        <f t="shared" si="20"/>
        <v>0</v>
      </c>
      <c r="G122" s="159">
        <f t="shared" si="15"/>
        <v>0</v>
      </c>
      <c r="H122" s="163">
        <f t="shared" si="24"/>
        <v>0</v>
      </c>
      <c r="I122" s="253">
        <f t="shared" si="25"/>
        <v>0</v>
      </c>
      <c r="J122" s="158">
        <f t="shared" si="16"/>
        <v>0</v>
      </c>
      <c r="K122" s="158"/>
      <c r="L122" s="334"/>
      <c r="M122" s="158">
        <f t="shared" si="17"/>
        <v>0</v>
      </c>
      <c r="N122" s="334"/>
      <c r="O122" s="158">
        <f t="shared" si="18"/>
        <v>0</v>
      </c>
      <c r="P122" s="158">
        <f t="shared" si="19"/>
        <v>0</v>
      </c>
    </row>
    <row r="123" spans="2:16">
      <c r="B123" s="9" t="str">
        <f t="shared" si="23"/>
        <v/>
      </c>
      <c r="C123" s="153">
        <f>IF(D93="","-",+C122+1)</f>
        <v>2042</v>
      </c>
      <c r="D123" s="154">
        <f>IF(F122+SUM(E$99:E122)=D$92,F122,D$92-SUM(E$99:E122))</f>
        <v>0</v>
      </c>
      <c r="E123" s="160">
        <f>IF(+J96&lt;F122,J96,D123)</f>
        <v>0</v>
      </c>
      <c r="F123" s="159">
        <f t="shared" si="20"/>
        <v>0</v>
      </c>
      <c r="G123" s="159">
        <f t="shared" si="15"/>
        <v>0</v>
      </c>
      <c r="H123" s="163">
        <f t="shared" si="24"/>
        <v>0</v>
      </c>
      <c r="I123" s="253">
        <f t="shared" si="25"/>
        <v>0</v>
      </c>
      <c r="J123" s="158">
        <f t="shared" si="16"/>
        <v>0</v>
      </c>
      <c r="K123" s="158"/>
      <c r="L123" s="334"/>
      <c r="M123" s="158">
        <f t="shared" si="17"/>
        <v>0</v>
      </c>
      <c r="N123" s="334"/>
      <c r="O123" s="158">
        <f t="shared" si="18"/>
        <v>0</v>
      </c>
      <c r="P123" s="158">
        <f t="shared" si="19"/>
        <v>0</v>
      </c>
    </row>
    <row r="124" spans="2:16">
      <c r="B124" s="9" t="str">
        <f t="shared" si="23"/>
        <v/>
      </c>
      <c r="C124" s="153">
        <f>IF(D93="","-",+C123+1)</f>
        <v>2043</v>
      </c>
      <c r="D124" s="154">
        <f>IF(F123+SUM(E$99:E123)=D$92,F123,D$92-SUM(E$99:E123))</f>
        <v>0</v>
      </c>
      <c r="E124" s="160">
        <f>IF(+J96&lt;F123,J96,D124)</f>
        <v>0</v>
      </c>
      <c r="F124" s="159">
        <f t="shared" si="20"/>
        <v>0</v>
      </c>
      <c r="G124" s="159">
        <f t="shared" si="15"/>
        <v>0</v>
      </c>
      <c r="H124" s="163">
        <f t="shared" si="24"/>
        <v>0</v>
      </c>
      <c r="I124" s="253">
        <f t="shared" si="25"/>
        <v>0</v>
      </c>
      <c r="J124" s="158">
        <f t="shared" si="16"/>
        <v>0</v>
      </c>
      <c r="K124" s="158"/>
      <c r="L124" s="334"/>
      <c r="M124" s="158">
        <f t="shared" si="17"/>
        <v>0</v>
      </c>
      <c r="N124" s="334"/>
      <c r="O124" s="158">
        <f t="shared" si="18"/>
        <v>0</v>
      </c>
      <c r="P124" s="158">
        <f t="shared" si="19"/>
        <v>0</v>
      </c>
    </row>
    <row r="125" spans="2:16">
      <c r="B125" s="9" t="str">
        <f t="shared" si="23"/>
        <v/>
      </c>
      <c r="C125" s="153">
        <f>IF(D93="","-",+C124+1)</f>
        <v>2044</v>
      </c>
      <c r="D125" s="154">
        <f>IF(F124+SUM(E$99:E124)=D$92,F124,D$92-SUM(E$99:E124))</f>
        <v>0</v>
      </c>
      <c r="E125" s="160">
        <f>IF(+J96&lt;F124,J96,D125)</f>
        <v>0</v>
      </c>
      <c r="F125" s="159">
        <f t="shared" si="20"/>
        <v>0</v>
      </c>
      <c r="G125" s="159">
        <f t="shared" si="15"/>
        <v>0</v>
      </c>
      <c r="H125" s="163">
        <f t="shared" si="24"/>
        <v>0</v>
      </c>
      <c r="I125" s="253">
        <f t="shared" si="25"/>
        <v>0</v>
      </c>
      <c r="J125" s="158">
        <f t="shared" si="16"/>
        <v>0</v>
      </c>
      <c r="K125" s="158"/>
      <c r="L125" s="334"/>
      <c r="M125" s="158">
        <f t="shared" si="17"/>
        <v>0</v>
      </c>
      <c r="N125" s="334"/>
      <c r="O125" s="158">
        <f t="shared" si="18"/>
        <v>0</v>
      </c>
      <c r="P125" s="158">
        <f t="shared" si="19"/>
        <v>0</v>
      </c>
    </row>
    <row r="126" spans="2:16">
      <c r="B126" s="9" t="str">
        <f t="shared" si="23"/>
        <v/>
      </c>
      <c r="C126" s="153">
        <f>IF(D93="","-",+C125+1)</f>
        <v>2045</v>
      </c>
      <c r="D126" s="154">
        <f>IF(F125+SUM(E$99:E125)=D$92,F125,D$92-SUM(E$99:E125))</f>
        <v>0</v>
      </c>
      <c r="E126" s="160">
        <f>IF(+J96&lt;F125,J96,D126)</f>
        <v>0</v>
      </c>
      <c r="F126" s="159">
        <f t="shared" si="20"/>
        <v>0</v>
      </c>
      <c r="G126" s="159">
        <f t="shared" si="15"/>
        <v>0</v>
      </c>
      <c r="H126" s="163">
        <f t="shared" si="24"/>
        <v>0</v>
      </c>
      <c r="I126" s="253">
        <f t="shared" si="25"/>
        <v>0</v>
      </c>
      <c r="J126" s="158">
        <f t="shared" si="16"/>
        <v>0</v>
      </c>
      <c r="K126" s="158"/>
      <c r="L126" s="334"/>
      <c r="M126" s="158">
        <f t="shared" si="17"/>
        <v>0</v>
      </c>
      <c r="N126" s="334"/>
      <c r="O126" s="158">
        <f t="shared" si="18"/>
        <v>0</v>
      </c>
      <c r="P126" s="158">
        <f t="shared" si="19"/>
        <v>0</v>
      </c>
    </row>
    <row r="127" spans="2:16">
      <c r="B127" s="9" t="str">
        <f t="shared" si="23"/>
        <v/>
      </c>
      <c r="C127" s="153">
        <f>IF(D93="","-",+C126+1)</f>
        <v>2046</v>
      </c>
      <c r="D127" s="154">
        <f>IF(F126+SUM(E$99:E126)=D$92,F126,D$92-SUM(E$99:E126))</f>
        <v>0</v>
      </c>
      <c r="E127" s="160">
        <f>IF(+J96&lt;F126,J96,D127)</f>
        <v>0</v>
      </c>
      <c r="F127" s="159">
        <f t="shared" si="20"/>
        <v>0</v>
      </c>
      <c r="G127" s="159">
        <f t="shared" si="15"/>
        <v>0</v>
      </c>
      <c r="H127" s="163">
        <f t="shared" si="24"/>
        <v>0</v>
      </c>
      <c r="I127" s="253">
        <f t="shared" si="25"/>
        <v>0</v>
      </c>
      <c r="J127" s="158">
        <f t="shared" si="16"/>
        <v>0</v>
      </c>
      <c r="K127" s="158"/>
      <c r="L127" s="334"/>
      <c r="M127" s="158">
        <f t="shared" si="17"/>
        <v>0</v>
      </c>
      <c r="N127" s="334"/>
      <c r="O127" s="158">
        <f t="shared" si="18"/>
        <v>0</v>
      </c>
      <c r="P127" s="158">
        <f t="shared" si="19"/>
        <v>0</v>
      </c>
    </row>
    <row r="128" spans="2:16">
      <c r="B128" s="9" t="str">
        <f t="shared" si="23"/>
        <v/>
      </c>
      <c r="C128" s="153">
        <f>IF(D93="","-",+C127+1)</f>
        <v>2047</v>
      </c>
      <c r="D128" s="154">
        <f>IF(F127+SUM(E$99:E127)=D$92,F127,D$92-SUM(E$99:E127))</f>
        <v>0</v>
      </c>
      <c r="E128" s="160">
        <f>IF(+J96&lt;F127,J96,D128)</f>
        <v>0</v>
      </c>
      <c r="F128" s="159">
        <f t="shared" si="20"/>
        <v>0</v>
      </c>
      <c r="G128" s="159">
        <f t="shared" si="15"/>
        <v>0</v>
      </c>
      <c r="H128" s="163">
        <f t="shared" si="24"/>
        <v>0</v>
      </c>
      <c r="I128" s="253">
        <f t="shared" si="25"/>
        <v>0</v>
      </c>
      <c r="J128" s="158">
        <f t="shared" si="16"/>
        <v>0</v>
      </c>
      <c r="K128" s="158"/>
      <c r="L128" s="334"/>
      <c r="M128" s="158">
        <f t="shared" si="17"/>
        <v>0</v>
      </c>
      <c r="N128" s="334"/>
      <c r="O128" s="158">
        <f t="shared" si="18"/>
        <v>0</v>
      </c>
      <c r="P128" s="158">
        <f t="shared" si="19"/>
        <v>0</v>
      </c>
    </row>
    <row r="129" spans="2:16">
      <c r="B129" s="9" t="str">
        <f t="shared" si="23"/>
        <v/>
      </c>
      <c r="C129" s="153">
        <f>IF(D93="","-",+C128+1)</f>
        <v>2048</v>
      </c>
      <c r="D129" s="154">
        <f>IF(F128+SUM(E$99:E128)=D$92,F128,D$92-SUM(E$99:E128))</f>
        <v>0</v>
      </c>
      <c r="E129" s="160">
        <f>IF(+J96&lt;F128,J96,D129)</f>
        <v>0</v>
      </c>
      <c r="F129" s="159">
        <f t="shared" si="20"/>
        <v>0</v>
      </c>
      <c r="G129" s="159">
        <f t="shared" si="15"/>
        <v>0</v>
      </c>
      <c r="H129" s="163">
        <f t="shared" si="24"/>
        <v>0</v>
      </c>
      <c r="I129" s="253">
        <f t="shared" si="25"/>
        <v>0</v>
      </c>
      <c r="J129" s="158">
        <f t="shared" si="16"/>
        <v>0</v>
      </c>
      <c r="K129" s="158"/>
      <c r="L129" s="334"/>
      <c r="M129" s="158">
        <f t="shared" si="17"/>
        <v>0</v>
      </c>
      <c r="N129" s="334"/>
      <c r="O129" s="158">
        <f t="shared" si="18"/>
        <v>0</v>
      </c>
      <c r="P129" s="158">
        <f t="shared" si="19"/>
        <v>0</v>
      </c>
    </row>
    <row r="130" spans="2:16">
      <c r="B130" s="9" t="str">
        <f t="shared" si="23"/>
        <v/>
      </c>
      <c r="C130" s="153">
        <f>IF(D93="","-",+C129+1)</f>
        <v>2049</v>
      </c>
      <c r="D130" s="154">
        <f>IF(F129+SUM(E$99:E129)=D$92,F129,D$92-SUM(E$99:E129))</f>
        <v>0</v>
      </c>
      <c r="E130" s="160">
        <f>IF(+J96&lt;F129,J96,D130)</f>
        <v>0</v>
      </c>
      <c r="F130" s="159">
        <f t="shared" si="20"/>
        <v>0</v>
      </c>
      <c r="G130" s="159">
        <f t="shared" si="15"/>
        <v>0</v>
      </c>
      <c r="H130" s="163">
        <f t="shared" si="24"/>
        <v>0</v>
      </c>
      <c r="I130" s="253">
        <f t="shared" si="25"/>
        <v>0</v>
      </c>
      <c r="J130" s="158">
        <f t="shared" si="16"/>
        <v>0</v>
      </c>
      <c r="K130" s="158"/>
      <c r="L130" s="334"/>
      <c r="M130" s="158">
        <f t="shared" si="17"/>
        <v>0</v>
      </c>
      <c r="N130" s="334"/>
      <c r="O130" s="158">
        <f t="shared" si="18"/>
        <v>0</v>
      </c>
      <c r="P130" s="158">
        <f t="shared" si="19"/>
        <v>0</v>
      </c>
    </row>
    <row r="131" spans="2:16">
      <c r="B131" s="9" t="str">
        <f t="shared" si="23"/>
        <v/>
      </c>
      <c r="C131" s="153">
        <f>IF(D93="","-",+C130+1)</f>
        <v>2050</v>
      </c>
      <c r="D131" s="154">
        <f>IF(F130+SUM(E$99:E130)=D$92,F130,D$92-SUM(E$99:E130))</f>
        <v>0</v>
      </c>
      <c r="E131" s="160">
        <f>IF(+J96&lt;F130,J96,D131)</f>
        <v>0</v>
      </c>
      <c r="F131" s="159">
        <f t="shared" ref="F131:F154" si="26">+D131-E131</f>
        <v>0</v>
      </c>
      <c r="G131" s="159">
        <f t="shared" ref="G131:G154" si="27">+(F131+D131)/2</f>
        <v>0</v>
      </c>
      <c r="H131" s="163">
        <f t="shared" si="24"/>
        <v>0</v>
      </c>
      <c r="I131" s="253">
        <f t="shared" si="25"/>
        <v>0</v>
      </c>
      <c r="J131" s="158">
        <f t="shared" ref="J131:J154" si="28">+I541-H541</f>
        <v>0</v>
      </c>
      <c r="K131" s="158"/>
      <c r="L131" s="334"/>
      <c r="M131" s="158">
        <f t="shared" ref="M131:M154" si="29">IF(L541&lt;&gt;0,+H541-L541,0)</f>
        <v>0</v>
      </c>
      <c r="N131" s="334"/>
      <c r="O131" s="158">
        <f t="shared" ref="O131:O154" si="30">IF(N541&lt;&gt;0,+I541-N541,0)</f>
        <v>0</v>
      </c>
      <c r="P131" s="158">
        <f t="shared" ref="P131:P154" si="31">+O541-M541</f>
        <v>0</v>
      </c>
    </row>
    <row r="132" spans="2:16">
      <c r="B132" s="9" t="str">
        <f t="shared" si="23"/>
        <v/>
      </c>
      <c r="C132" s="153">
        <f>IF(D93="","-",+C131+1)</f>
        <v>2051</v>
      </c>
      <c r="D132" s="154">
        <f>IF(F131+SUM(E$99:E131)=D$92,F131,D$92-SUM(E$99:E131))</f>
        <v>0</v>
      </c>
      <c r="E132" s="160">
        <f>IF(+J96&lt;F131,J96,D132)</f>
        <v>0</v>
      </c>
      <c r="F132" s="159">
        <f t="shared" si="26"/>
        <v>0</v>
      </c>
      <c r="G132" s="159">
        <f t="shared" si="27"/>
        <v>0</v>
      </c>
      <c r="H132" s="163">
        <f t="shared" si="24"/>
        <v>0</v>
      </c>
      <c r="I132" s="253">
        <f t="shared" si="25"/>
        <v>0</v>
      </c>
      <c r="J132" s="158">
        <f t="shared" si="28"/>
        <v>0</v>
      </c>
      <c r="K132" s="158"/>
      <c r="L132" s="334"/>
      <c r="M132" s="158">
        <f t="shared" si="29"/>
        <v>0</v>
      </c>
      <c r="N132" s="334"/>
      <c r="O132" s="158">
        <f t="shared" si="30"/>
        <v>0</v>
      </c>
      <c r="P132" s="158">
        <f t="shared" si="31"/>
        <v>0</v>
      </c>
    </row>
    <row r="133" spans="2:16">
      <c r="B133" s="9" t="str">
        <f t="shared" si="23"/>
        <v/>
      </c>
      <c r="C133" s="153">
        <f>IF(D93="","-",+C132+1)</f>
        <v>2052</v>
      </c>
      <c r="D133" s="154">
        <f>IF(F132+SUM(E$99:E132)=D$92,F132,D$92-SUM(E$99:E132))</f>
        <v>0</v>
      </c>
      <c r="E133" s="160">
        <f>IF(+J96&lt;F132,J96,D133)</f>
        <v>0</v>
      </c>
      <c r="F133" s="159">
        <f t="shared" si="26"/>
        <v>0</v>
      </c>
      <c r="G133" s="159">
        <f t="shared" si="27"/>
        <v>0</v>
      </c>
      <c r="H133" s="163">
        <f t="shared" si="24"/>
        <v>0</v>
      </c>
      <c r="I133" s="253">
        <f t="shared" si="25"/>
        <v>0</v>
      </c>
      <c r="J133" s="158">
        <f t="shared" si="28"/>
        <v>0</v>
      </c>
      <c r="K133" s="158"/>
      <c r="L133" s="334"/>
      <c r="M133" s="158">
        <f t="shared" si="29"/>
        <v>0</v>
      </c>
      <c r="N133" s="334"/>
      <c r="O133" s="158">
        <f t="shared" si="30"/>
        <v>0</v>
      </c>
      <c r="P133" s="158">
        <f t="shared" si="31"/>
        <v>0</v>
      </c>
    </row>
    <row r="134" spans="2:16">
      <c r="B134" s="9" t="str">
        <f t="shared" si="23"/>
        <v/>
      </c>
      <c r="C134" s="153">
        <f>IF(D93="","-",+C133+1)</f>
        <v>2053</v>
      </c>
      <c r="D134" s="154">
        <f>IF(F133+SUM(E$99:E133)=D$92,F133,D$92-SUM(E$99:E133))</f>
        <v>0</v>
      </c>
      <c r="E134" s="160">
        <f>IF(+J96&lt;F133,J96,D134)</f>
        <v>0</v>
      </c>
      <c r="F134" s="159">
        <f t="shared" si="26"/>
        <v>0</v>
      </c>
      <c r="G134" s="159">
        <f t="shared" si="27"/>
        <v>0</v>
      </c>
      <c r="H134" s="163">
        <f t="shared" si="24"/>
        <v>0</v>
      </c>
      <c r="I134" s="253">
        <f t="shared" si="25"/>
        <v>0</v>
      </c>
      <c r="J134" s="158">
        <f t="shared" si="28"/>
        <v>0</v>
      </c>
      <c r="K134" s="158"/>
      <c r="L134" s="334"/>
      <c r="M134" s="158">
        <f t="shared" si="29"/>
        <v>0</v>
      </c>
      <c r="N134" s="334"/>
      <c r="O134" s="158">
        <f t="shared" si="30"/>
        <v>0</v>
      </c>
      <c r="P134" s="158">
        <f t="shared" si="31"/>
        <v>0</v>
      </c>
    </row>
    <row r="135" spans="2:16">
      <c r="B135" s="9" t="str">
        <f t="shared" si="23"/>
        <v/>
      </c>
      <c r="C135" s="153">
        <f>IF(D93="","-",+C134+1)</f>
        <v>2054</v>
      </c>
      <c r="D135" s="154">
        <f>IF(F134+SUM(E$99:E134)=D$92,F134,D$92-SUM(E$99:E134))</f>
        <v>0</v>
      </c>
      <c r="E135" s="160">
        <f>IF(+J96&lt;F134,J96,D135)</f>
        <v>0</v>
      </c>
      <c r="F135" s="159">
        <f t="shared" si="26"/>
        <v>0</v>
      </c>
      <c r="G135" s="159">
        <f t="shared" si="27"/>
        <v>0</v>
      </c>
      <c r="H135" s="163">
        <f t="shared" si="24"/>
        <v>0</v>
      </c>
      <c r="I135" s="253">
        <f t="shared" si="25"/>
        <v>0</v>
      </c>
      <c r="J135" s="158">
        <f t="shared" si="28"/>
        <v>0</v>
      </c>
      <c r="K135" s="158"/>
      <c r="L135" s="334"/>
      <c r="M135" s="158">
        <f t="shared" si="29"/>
        <v>0</v>
      </c>
      <c r="N135" s="334"/>
      <c r="O135" s="158">
        <f t="shared" si="30"/>
        <v>0</v>
      </c>
      <c r="P135" s="158">
        <f t="shared" si="31"/>
        <v>0</v>
      </c>
    </row>
    <row r="136" spans="2:16">
      <c r="B136" s="9" t="str">
        <f t="shared" si="23"/>
        <v/>
      </c>
      <c r="C136" s="153">
        <f>IF(D93="","-",+C135+1)</f>
        <v>2055</v>
      </c>
      <c r="D136" s="154">
        <f>IF(F135+SUM(E$99:E135)=D$92,F135,D$92-SUM(E$99:E135))</f>
        <v>0</v>
      </c>
      <c r="E136" s="160">
        <f>IF(+J96&lt;F135,J96,D136)</f>
        <v>0</v>
      </c>
      <c r="F136" s="159">
        <f t="shared" si="26"/>
        <v>0</v>
      </c>
      <c r="G136" s="159">
        <f t="shared" si="27"/>
        <v>0</v>
      </c>
      <c r="H136" s="163">
        <f t="shared" si="24"/>
        <v>0</v>
      </c>
      <c r="I136" s="253">
        <f t="shared" si="25"/>
        <v>0</v>
      </c>
      <c r="J136" s="158">
        <f t="shared" si="28"/>
        <v>0</v>
      </c>
      <c r="K136" s="158"/>
      <c r="L136" s="334"/>
      <c r="M136" s="158">
        <f t="shared" si="29"/>
        <v>0</v>
      </c>
      <c r="N136" s="334"/>
      <c r="O136" s="158">
        <f t="shared" si="30"/>
        <v>0</v>
      </c>
      <c r="P136" s="158">
        <f t="shared" si="31"/>
        <v>0</v>
      </c>
    </row>
    <row r="137" spans="2:16">
      <c r="B137" s="9" t="str">
        <f t="shared" si="23"/>
        <v/>
      </c>
      <c r="C137" s="153">
        <f>IF(D93="","-",+C136+1)</f>
        <v>2056</v>
      </c>
      <c r="D137" s="154">
        <f>IF(F136+SUM(E$99:E136)=D$92,F136,D$92-SUM(E$99:E136))</f>
        <v>0</v>
      </c>
      <c r="E137" s="160">
        <f>IF(+J96&lt;F136,J96,D137)</f>
        <v>0</v>
      </c>
      <c r="F137" s="159">
        <f t="shared" si="26"/>
        <v>0</v>
      </c>
      <c r="G137" s="159">
        <f t="shared" si="27"/>
        <v>0</v>
      </c>
      <c r="H137" s="163">
        <f t="shared" si="24"/>
        <v>0</v>
      </c>
      <c r="I137" s="253">
        <f t="shared" si="25"/>
        <v>0</v>
      </c>
      <c r="J137" s="158">
        <f t="shared" si="28"/>
        <v>0</v>
      </c>
      <c r="K137" s="158"/>
      <c r="L137" s="334"/>
      <c r="M137" s="158">
        <f t="shared" si="29"/>
        <v>0</v>
      </c>
      <c r="N137" s="334"/>
      <c r="O137" s="158">
        <f t="shared" si="30"/>
        <v>0</v>
      </c>
      <c r="P137" s="158">
        <f t="shared" si="31"/>
        <v>0</v>
      </c>
    </row>
    <row r="138" spans="2:16">
      <c r="B138" s="9" t="str">
        <f t="shared" si="23"/>
        <v/>
      </c>
      <c r="C138" s="153">
        <f>IF(D93="","-",+C137+1)</f>
        <v>2057</v>
      </c>
      <c r="D138" s="154">
        <f>IF(F137+SUM(E$99:E137)=D$92,F137,D$92-SUM(E$99:E137))</f>
        <v>0</v>
      </c>
      <c r="E138" s="160">
        <f>IF(+J96&lt;F137,J96,D138)</f>
        <v>0</v>
      </c>
      <c r="F138" s="159">
        <f t="shared" si="26"/>
        <v>0</v>
      </c>
      <c r="G138" s="159">
        <f t="shared" si="27"/>
        <v>0</v>
      </c>
      <c r="H138" s="163">
        <f t="shared" si="24"/>
        <v>0</v>
      </c>
      <c r="I138" s="253">
        <f t="shared" si="25"/>
        <v>0</v>
      </c>
      <c r="J138" s="158">
        <f t="shared" si="28"/>
        <v>0</v>
      </c>
      <c r="K138" s="158"/>
      <c r="L138" s="334"/>
      <c r="M138" s="158">
        <f t="shared" si="29"/>
        <v>0</v>
      </c>
      <c r="N138" s="334"/>
      <c r="O138" s="158">
        <f t="shared" si="30"/>
        <v>0</v>
      </c>
      <c r="P138" s="158">
        <f t="shared" si="31"/>
        <v>0</v>
      </c>
    </row>
    <row r="139" spans="2:16">
      <c r="B139" s="9" t="str">
        <f t="shared" si="23"/>
        <v/>
      </c>
      <c r="C139" s="153">
        <f>IF(D93="","-",+C138+1)</f>
        <v>2058</v>
      </c>
      <c r="D139" s="154">
        <f>IF(F138+SUM(E$99:E138)=D$92,F138,D$92-SUM(E$99:E138))</f>
        <v>0</v>
      </c>
      <c r="E139" s="160">
        <f>IF(+J96&lt;F138,J96,D139)</f>
        <v>0</v>
      </c>
      <c r="F139" s="159">
        <f t="shared" si="26"/>
        <v>0</v>
      </c>
      <c r="G139" s="159">
        <f t="shared" si="27"/>
        <v>0</v>
      </c>
      <c r="H139" s="163">
        <f t="shared" si="24"/>
        <v>0</v>
      </c>
      <c r="I139" s="253">
        <f t="shared" si="25"/>
        <v>0</v>
      </c>
      <c r="J139" s="158">
        <f t="shared" si="28"/>
        <v>0</v>
      </c>
      <c r="K139" s="158"/>
      <c r="L139" s="334"/>
      <c r="M139" s="158">
        <f t="shared" si="29"/>
        <v>0</v>
      </c>
      <c r="N139" s="334"/>
      <c r="O139" s="158">
        <f t="shared" si="30"/>
        <v>0</v>
      </c>
      <c r="P139" s="158">
        <f t="shared" si="31"/>
        <v>0</v>
      </c>
    </row>
    <row r="140" spans="2:16">
      <c r="B140" s="9" t="str">
        <f t="shared" si="23"/>
        <v/>
      </c>
      <c r="C140" s="153">
        <f>IF(D93="","-",+C139+1)</f>
        <v>2059</v>
      </c>
      <c r="D140" s="154">
        <f>IF(F139+SUM(E$99:E139)=D$92,F139,D$92-SUM(E$99:E139))</f>
        <v>0</v>
      </c>
      <c r="E140" s="160">
        <f>IF(+J96&lt;F139,J96,D140)</f>
        <v>0</v>
      </c>
      <c r="F140" s="159">
        <f t="shared" si="26"/>
        <v>0</v>
      </c>
      <c r="G140" s="159">
        <f t="shared" si="27"/>
        <v>0</v>
      </c>
      <c r="H140" s="163">
        <f t="shared" si="24"/>
        <v>0</v>
      </c>
      <c r="I140" s="253">
        <f t="shared" si="25"/>
        <v>0</v>
      </c>
      <c r="J140" s="158">
        <f t="shared" si="28"/>
        <v>0</v>
      </c>
      <c r="K140" s="158"/>
      <c r="L140" s="334"/>
      <c r="M140" s="158">
        <f t="shared" si="29"/>
        <v>0</v>
      </c>
      <c r="N140" s="334"/>
      <c r="O140" s="158">
        <f t="shared" si="30"/>
        <v>0</v>
      </c>
      <c r="P140" s="158">
        <f t="shared" si="31"/>
        <v>0</v>
      </c>
    </row>
    <row r="141" spans="2:16">
      <c r="B141" s="9" t="str">
        <f t="shared" si="23"/>
        <v/>
      </c>
      <c r="C141" s="153">
        <f>IF(D93="","-",+C140+1)</f>
        <v>2060</v>
      </c>
      <c r="D141" s="154">
        <f>IF(F140+SUM(E$99:E140)=D$92,F140,D$92-SUM(E$99:E140))</f>
        <v>0</v>
      </c>
      <c r="E141" s="160">
        <f>IF(+J96&lt;F140,J96,D141)</f>
        <v>0</v>
      </c>
      <c r="F141" s="159">
        <f t="shared" si="26"/>
        <v>0</v>
      </c>
      <c r="G141" s="159">
        <f t="shared" si="27"/>
        <v>0</v>
      </c>
      <c r="H141" s="163">
        <f t="shared" si="24"/>
        <v>0</v>
      </c>
      <c r="I141" s="253">
        <f t="shared" si="25"/>
        <v>0</v>
      </c>
      <c r="J141" s="158">
        <f t="shared" si="28"/>
        <v>0</v>
      </c>
      <c r="K141" s="158"/>
      <c r="L141" s="334"/>
      <c r="M141" s="158">
        <f t="shared" si="29"/>
        <v>0</v>
      </c>
      <c r="N141" s="334"/>
      <c r="O141" s="158">
        <f t="shared" si="30"/>
        <v>0</v>
      </c>
      <c r="P141" s="158">
        <f t="shared" si="31"/>
        <v>0</v>
      </c>
    </row>
    <row r="142" spans="2:16">
      <c r="B142" s="9" t="str">
        <f t="shared" si="23"/>
        <v/>
      </c>
      <c r="C142" s="153">
        <f>IF(D93="","-",+C141+1)</f>
        <v>2061</v>
      </c>
      <c r="D142" s="154">
        <f>IF(F141+SUM(E$99:E141)=D$92,F141,D$92-SUM(E$99:E141))</f>
        <v>0</v>
      </c>
      <c r="E142" s="160">
        <f>IF(+J96&lt;F141,J96,D142)</f>
        <v>0</v>
      </c>
      <c r="F142" s="159">
        <f t="shared" si="26"/>
        <v>0</v>
      </c>
      <c r="G142" s="159">
        <f t="shared" si="27"/>
        <v>0</v>
      </c>
      <c r="H142" s="163">
        <f t="shared" si="24"/>
        <v>0</v>
      </c>
      <c r="I142" s="253">
        <f t="shared" si="25"/>
        <v>0</v>
      </c>
      <c r="J142" s="158">
        <f t="shared" si="28"/>
        <v>0</v>
      </c>
      <c r="K142" s="158"/>
      <c r="L142" s="334"/>
      <c r="M142" s="158">
        <f t="shared" si="29"/>
        <v>0</v>
      </c>
      <c r="N142" s="334"/>
      <c r="O142" s="158">
        <f t="shared" si="30"/>
        <v>0</v>
      </c>
      <c r="P142" s="158">
        <f t="shared" si="31"/>
        <v>0</v>
      </c>
    </row>
    <row r="143" spans="2:16">
      <c r="B143" s="9" t="str">
        <f t="shared" si="23"/>
        <v/>
      </c>
      <c r="C143" s="153">
        <f>IF(D93="","-",+C142+1)</f>
        <v>2062</v>
      </c>
      <c r="D143" s="154">
        <f>IF(F142+SUM(E$99:E142)=D$92,F142,D$92-SUM(E$99:E142))</f>
        <v>0</v>
      </c>
      <c r="E143" s="160">
        <f>IF(+J96&lt;F142,J96,D143)</f>
        <v>0</v>
      </c>
      <c r="F143" s="159">
        <f t="shared" si="26"/>
        <v>0</v>
      </c>
      <c r="G143" s="159">
        <f t="shared" si="27"/>
        <v>0</v>
      </c>
      <c r="H143" s="163">
        <f t="shared" si="24"/>
        <v>0</v>
      </c>
      <c r="I143" s="253">
        <f t="shared" si="25"/>
        <v>0</v>
      </c>
      <c r="J143" s="158">
        <f t="shared" si="28"/>
        <v>0</v>
      </c>
      <c r="K143" s="158"/>
      <c r="L143" s="334"/>
      <c r="M143" s="158">
        <f t="shared" si="29"/>
        <v>0</v>
      </c>
      <c r="N143" s="334"/>
      <c r="O143" s="158">
        <f t="shared" si="30"/>
        <v>0</v>
      </c>
      <c r="P143" s="158">
        <f t="shared" si="31"/>
        <v>0</v>
      </c>
    </row>
    <row r="144" spans="2:16">
      <c r="B144" s="9" t="str">
        <f t="shared" si="23"/>
        <v/>
      </c>
      <c r="C144" s="153">
        <f>IF(D93="","-",+C143+1)</f>
        <v>2063</v>
      </c>
      <c r="D144" s="154">
        <f>IF(F143+SUM(E$99:E143)=D$92,F143,D$92-SUM(E$99:E143))</f>
        <v>0</v>
      </c>
      <c r="E144" s="160">
        <f>IF(+J96&lt;F143,J96,D144)</f>
        <v>0</v>
      </c>
      <c r="F144" s="159">
        <f t="shared" si="26"/>
        <v>0</v>
      </c>
      <c r="G144" s="159">
        <f t="shared" si="27"/>
        <v>0</v>
      </c>
      <c r="H144" s="163">
        <f t="shared" si="24"/>
        <v>0</v>
      </c>
      <c r="I144" s="253">
        <f t="shared" si="25"/>
        <v>0</v>
      </c>
      <c r="J144" s="158">
        <f t="shared" si="28"/>
        <v>0</v>
      </c>
      <c r="K144" s="158"/>
      <c r="L144" s="334"/>
      <c r="M144" s="158">
        <f t="shared" si="29"/>
        <v>0</v>
      </c>
      <c r="N144" s="334"/>
      <c r="O144" s="158">
        <f t="shared" si="30"/>
        <v>0</v>
      </c>
      <c r="P144" s="158">
        <f t="shared" si="31"/>
        <v>0</v>
      </c>
    </row>
    <row r="145" spans="2:16">
      <c r="B145" s="9" t="str">
        <f t="shared" si="23"/>
        <v/>
      </c>
      <c r="C145" s="153">
        <f>IF(D93="","-",+C144+1)</f>
        <v>2064</v>
      </c>
      <c r="D145" s="154">
        <f>IF(F144+SUM(E$99:E144)=D$92,F144,D$92-SUM(E$99:E144))</f>
        <v>0</v>
      </c>
      <c r="E145" s="160">
        <f>IF(+J96&lt;F144,J96,D145)</f>
        <v>0</v>
      </c>
      <c r="F145" s="159">
        <f t="shared" si="26"/>
        <v>0</v>
      </c>
      <c r="G145" s="159">
        <f t="shared" si="27"/>
        <v>0</v>
      </c>
      <c r="H145" s="163">
        <f t="shared" si="24"/>
        <v>0</v>
      </c>
      <c r="I145" s="253">
        <f t="shared" si="25"/>
        <v>0</v>
      </c>
      <c r="J145" s="158">
        <f t="shared" si="28"/>
        <v>0</v>
      </c>
      <c r="K145" s="158"/>
      <c r="L145" s="334"/>
      <c r="M145" s="158">
        <f t="shared" si="29"/>
        <v>0</v>
      </c>
      <c r="N145" s="334"/>
      <c r="O145" s="158">
        <f t="shared" si="30"/>
        <v>0</v>
      </c>
      <c r="P145" s="158">
        <f t="shared" si="31"/>
        <v>0</v>
      </c>
    </row>
    <row r="146" spans="2:16">
      <c r="B146" s="9" t="str">
        <f t="shared" si="23"/>
        <v/>
      </c>
      <c r="C146" s="153">
        <f>IF(D93="","-",+C145+1)</f>
        <v>2065</v>
      </c>
      <c r="D146" s="154">
        <f>IF(F145+SUM(E$99:E145)=D$92,F145,D$92-SUM(E$99:E145))</f>
        <v>0</v>
      </c>
      <c r="E146" s="160">
        <f>IF(+J96&lt;F145,J96,D146)</f>
        <v>0</v>
      </c>
      <c r="F146" s="159">
        <f t="shared" si="26"/>
        <v>0</v>
      </c>
      <c r="G146" s="159">
        <f t="shared" si="27"/>
        <v>0</v>
      </c>
      <c r="H146" s="163">
        <f t="shared" si="24"/>
        <v>0</v>
      </c>
      <c r="I146" s="253">
        <f t="shared" si="25"/>
        <v>0</v>
      </c>
      <c r="J146" s="158">
        <f t="shared" si="28"/>
        <v>0</v>
      </c>
      <c r="K146" s="158"/>
      <c r="L146" s="334"/>
      <c r="M146" s="158">
        <f t="shared" si="29"/>
        <v>0</v>
      </c>
      <c r="N146" s="334"/>
      <c r="O146" s="158">
        <f t="shared" si="30"/>
        <v>0</v>
      </c>
      <c r="P146" s="158">
        <f t="shared" si="31"/>
        <v>0</v>
      </c>
    </row>
    <row r="147" spans="2:16">
      <c r="B147" s="9" t="str">
        <f t="shared" si="23"/>
        <v/>
      </c>
      <c r="C147" s="153">
        <f>IF(D93="","-",+C146+1)</f>
        <v>2066</v>
      </c>
      <c r="D147" s="154">
        <f>IF(F146+SUM(E$99:E146)=D$92,F146,D$92-SUM(E$99:E146))</f>
        <v>0</v>
      </c>
      <c r="E147" s="160">
        <f>IF(+J96&lt;F146,J96,D147)</f>
        <v>0</v>
      </c>
      <c r="F147" s="159">
        <f t="shared" si="26"/>
        <v>0</v>
      </c>
      <c r="G147" s="159">
        <f t="shared" si="27"/>
        <v>0</v>
      </c>
      <c r="H147" s="163">
        <f t="shared" si="24"/>
        <v>0</v>
      </c>
      <c r="I147" s="253">
        <f t="shared" si="25"/>
        <v>0</v>
      </c>
      <c r="J147" s="158">
        <f t="shared" si="28"/>
        <v>0</v>
      </c>
      <c r="K147" s="158"/>
      <c r="L147" s="334"/>
      <c r="M147" s="158">
        <f t="shared" si="29"/>
        <v>0</v>
      </c>
      <c r="N147" s="334"/>
      <c r="O147" s="158">
        <f t="shared" si="30"/>
        <v>0</v>
      </c>
      <c r="P147" s="158">
        <f t="shared" si="31"/>
        <v>0</v>
      </c>
    </row>
    <row r="148" spans="2:16">
      <c r="B148" s="9" t="str">
        <f t="shared" si="23"/>
        <v/>
      </c>
      <c r="C148" s="153">
        <f>IF(D93="","-",+C147+1)</f>
        <v>2067</v>
      </c>
      <c r="D148" s="154">
        <f>IF(F147+SUM(E$99:E147)=D$92,F147,D$92-SUM(E$99:E147))</f>
        <v>0</v>
      </c>
      <c r="E148" s="160">
        <f>IF(+J96&lt;F147,J96,D148)</f>
        <v>0</v>
      </c>
      <c r="F148" s="159">
        <f t="shared" si="26"/>
        <v>0</v>
      </c>
      <c r="G148" s="159">
        <f t="shared" si="27"/>
        <v>0</v>
      </c>
      <c r="H148" s="163">
        <f t="shared" si="24"/>
        <v>0</v>
      </c>
      <c r="I148" s="253">
        <f t="shared" si="25"/>
        <v>0</v>
      </c>
      <c r="J148" s="158">
        <f t="shared" si="28"/>
        <v>0</v>
      </c>
      <c r="K148" s="158"/>
      <c r="L148" s="334"/>
      <c r="M148" s="158">
        <f t="shared" si="29"/>
        <v>0</v>
      </c>
      <c r="N148" s="334"/>
      <c r="O148" s="158">
        <f t="shared" si="30"/>
        <v>0</v>
      </c>
      <c r="P148" s="158">
        <f t="shared" si="31"/>
        <v>0</v>
      </c>
    </row>
    <row r="149" spans="2:16">
      <c r="B149" s="9" t="str">
        <f t="shared" si="23"/>
        <v/>
      </c>
      <c r="C149" s="153">
        <f>IF(D93="","-",+C148+1)</f>
        <v>2068</v>
      </c>
      <c r="D149" s="154">
        <f>IF(F148+SUM(E$99:E148)=D$92,F148,D$92-SUM(E$99:E148))</f>
        <v>0</v>
      </c>
      <c r="E149" s="160">
        <f>IF(+J96&lt;F148,J96,D149)</f>
        <v>0</v>
      </c>
      <c r="F149" s="159">
        <f t="shared" si="26"/>
        <v>0</v>
      </c>
      <c r="G149" s="159">
        <f t="shared" si="27"/>
        <v>0</v>
      </c>
      <c r="H149" s="163">
        <f t="shared" si="24"/>
        <v>0</v>
      </c>
      <c r="I149" s="253">
        <f t="shared" si="25"/>
        <v>0</v>
      </c>
      <c r="J149" s="158">
        <f t="shared" si="28"/>
        <v>0</v>
      </c>
      <c r="K149" s="158"/>
      <c r="L149" s="334"/>
      <c r="M149" s="158">
        <f t="shared" si="29"/>
        <v>0</v>
      </c>
      <c r="N149" s="334"/>
      <c r="O149" s="158">
        <f t="shared" si="30"/>
        <v>0</v>
      </c>
      <c r="P149" s="158">
        <f t="shared" si="31"/>
        <v>0</v>
      </c>
    </row>
    <row r="150" spans="2:16">
      <c r="B150" s="9" t="str">
        <f t="shared" si="23"/>
        <v/>
      </c>
      <c r="C150" s="153">
        <f>IF(D93="","-",+C149+1)</f>
        <v>2069</v>
      </c>
      <c r="D150" s="154">
        <f>IF(F149+SUM(E$99:E149)=D$92,F149,D$92-SUM(E$99:E149))</f>
        <v>0</v>
      </c>
      <c r="E150" s="160">
        <f>IF(+J96&lt;F149,J96,D150)</f>
        <v>0</v>
      </c>
      <c r="F150" s="159">
        <f t="shared" si="26"/>
        <v>0</v>
      </c>
      <c r="G150" s="159">
        <f t="shared" si="27"/>
        <v>0</v>
      </c>
      <c r="H150" s="163">
        <f t="shared" si="24"/>
        <v>0</v>
      </c>
      <c r="I150" s="253">
        <f t="shared" si="25"/>
        <v>0</v>
      </c>
      <c r="J150" s="158">
        <f t="shared" si="28"/>
        <v>0</v>
      </c>
      <c r="K150" s="158"/>
      <c r="L150" s="334"/>
      <c r="M150" s="158">
        <f t="shared" si="29"/>
        <v>0</v>
      </c>
      <c r="N150" s="334"/>
      <c r="O150" s="158">
        <f t="shared" si="30"/>
        <v>0</v>
      </c>
      <c r="P150" s="158">
        <f t="shared" si="31"/>
        <v>0</v>
      </c>
    </row>
    <row r="151" spans="2:16">
      <c r="B151" s="9" t="str">
        <f t="shared" si="23"/>
        <v/>
      </c>
      <c r="C151" s="153">
        <f>IF(D93="","-",+C150+1)</f>
        <v>2070</v>
      </c>
      <c r="D151" s="154">
        <f>IF(F150+SUM(E$99:E150)=D$92,F150,D$92-SUM(E$99:E150))</f>
        <v>0</v>
      </c>
      <c r="E151" s="160">
        <f>IF(+J96&lt;F150,J96,D151)</f>
        <v>0</v>
      </c>
      <c r="F151" s="159">
        <f t="shared" si="26"/>
        <v>0</v>
      </c>
      <c r="G151" s="159">
        <f t="shared" si="27"/>
        <v>0</v>
      </c>
      <c r="H151" s="163">
        <f t="shared" si="24"/>
        <v>0</v>
      </c>
      <c r="I151" s="253">
        <f t="shared" si="25"/>
        <v>0</v>
      </c>
      <c r="J151" s="158">
        <f t="shared" si="28"/>
        <v>0</v>
      </c>
      <c r="K151" s="158"/>
      <c r="L151" s="334"/>
      <c r="M151" s="158">
        <f t="shared" si="29"/>
        <v>0</v>
      </c>
      <c r="N151" s="334"/>
      <c r="O151" s="158">
        <f t="shared" si="30"/>
        <v>0</v>
      </c>
      <c r="P151" s="158">
        <f t="shared" si="31"/>
        <v>0</v>
      </c>
    </row>
    <row r="152" spans="2:16">
      <c r="B152" s="9" t="str">
        <f t="shared" si="23"/>
        <v/>
      </c>
      <c r="C152" s="153">
        <f>IF(D93="","-",+C151+1)</f>
        <v>2071</v>
      </c>
      <c r="D152" s="154">
        <f>IF(F151+SUM(E$99:E151)=D$92,F151,D$92-SUM(E$99:E151))</f>
        <v>0</v>
      </c>
      <c r="E152" s="160">
        <f>IF(+J96&lt;F151,J96,D152)</f>
        <v>0</v>
      </c>
      <c r="F152" s="159">
        <f t="shared" si="26"/>
        <v>0</v>
      </c>
      <c r="G152" s="159">
        <f t="shared" si="27"/>
        <v>0</v>
      </c>
      <c r="H152" s="163">
        <f t="shared" si="24"/>
        <v>0</v>
      </c>
      <c r="I152" s="253">
        <f t="shared" si="25"/>
        <v>0</v>
      </c>
      <c r="J152" s="158">
        <f t="shared" si="28"/>
        <v>0</v>
      </c>
      <c r="K152" s="158"/>
      <c r="L152" s="334"/>
      <c r="M152" s="158">
        <f t="shared" si="29"/>
        <v>0</v>
      </c>
      <c r="N152" s="334"/>
      <c r="O152" s="158">
        <f t="shared" si="30"/>
        <v>0</v>
      </c>
      <c r="P152" s="158">
        <f t="shared" si="31"/>
        <v>0</v>
      </c>
    </row>
    <row r="153" spans="2:16">
      <c r="B153" s="9" t="str">
        <f t="shared" si="23"/>
        <v/>
      </c>
      <c r="C153" s="153">
        <f>IF(D93="","-",+C152+1)</f>
        <v>2072</v>
      </c>
      <c r="D153" s="154">
        <f>IF(F152+SUM(E$99:E152)=D$92,F152,D$92-SUM(E$99:E152))</f>
        <v>0</v>
      </c>
      <c r="E153" s="160">
        <f>IF(+J96&lt;F152,J96,D153)</f>
        <v>0</v>
      </c>
      <c r="F153" s="159">
        <f t="shared" si="26"/>
        <v>0</v>
      </c>
      <c r="G153" s="159">
        <f t="shared" si="27"/>
        <v>0</v>
      </c>
      <c r="H153" s="163">
        <f t="shared" si="24"/>
        <v>0</v>
      </c>
      <c r="I153" s="253">
        <f t="shared" si="25"/>
        <v>0</v>
      </c>
      <c r="J153" s="158">
        <f t="shared" si="28"/>
        <v>0</v>
      </c>
      <c r="K153" s="158"/>
      <c r="L153" s="334"/>
      <c r="M153" s="158">
        <f t="shared" si="29"/>
        <v>0</v>
      </c>
      <c r="N153" s="334"/>
      <c r="O153" s="158">
        <f t="shared" si="30"/>
        <v>0</v>
      </c>
      <c r="P153" s="158">
        <f t="shared" si="31"/>
        <v>0</v>
      </c>
    </row>
    <row r="154" spans="2:16" ht="13.5" thickBot="1">
      <c r="B154" s="9" t="str">
        <f t="shared" si="23"/>
        <v/>
      </c>
      <c r="C154" s="164">
        <f>IF(D93="","-",+C153+1)</f>
        <v>2073</v>
      </c>
      <c r="D154" s="215">
        <f>IF(F153+SUM(E$99:E153)=D$92,F153,D$92-SUM(E$99:E153))</f>
        <v>0</v>
      </c>
      <c r="E154" s="166">
        <f>IF(+J96&lt;F153,J96,D154)</f>
        <v>0</v>
      </c>
      <c r="F154" s="165">
        <f t="shared" si="26"/>
        <v>0</v>
      </c>
      <c r="G154" s="165">
        <f t="shared" si="27"/>
        <v>0</v>
      </c>
      <c r="H154" s="167">
        <f t="shared" si="24"/>
        <v>0</v>
      </c>
      <c r="I154" s="254">
        <f t="shared" si="25"/>
        <v>0</v>
      </c>
      <c r="J154" s="169">
        <f t="shared" si="28"/>
        <v>0</v>
      </c>
      <c r="K154" s="158"/>
      <c r="L154" s="335"/>
      <c r="M154" s="169">
        <f t="shared" si="29"/>
        <v>0</v>
      </c>
      <c r="N154" s="335"/>
      <c r="O154" s="169">
        <f t="shared" si="30"/>
        <v>0</v>
      </c>
      <c r="P154" s="169">
        <f t="shared" si="31"/>
        <v>0</v>
      </c>
    </row>
    <row r="155" spans="2:16">
      <c r="C155" s="154" t="s">
        <v>73</v>
      </c>
      <c r="D155" s="111"/>
      <c r="E155" s="111">
        <f>SUM(E99:E154)</f>
        <v>0</v>
      </c>
      <c r="F155" s="111"/>
      <c r="G155" s="111"/>
      <c r="H155" s="111">
        <f>SUM(H99:H154)</f>
        <v>0</v>
      </c>
      <c r="I155" s="111">
        <f>SUM(I99:I154)</f>
        <v>0</v>
      </c>
      <c r="J155" s="111">
        <f>SUM(J99:J154)</f>
        <v>0</v>
      </c>
      <c r="K155" s="111"/>
      <c r="L155" s="111"/>
      <c r="M155" s="111"/>
      <c r="N155" s="111"/>
      <c r="O155" s="111"/>
      <c r="P155" s="1"/>
    </row>
    <row r="156" spans="2:16">
      <c r="C156" t="s">
        <v>87</v>
      </c>
      <c r="D156" s="2"/>
      <c r="E156" s="1"/>
      <c r="F156" s="1"/>
      <c r="G156" s="1"/>
      <c r="H156" s="1"/>
      <c r="I156" s="3"/>
      <c r="J156" s="3"/>
      <c r="K156" s="111"/>
      <c r="L156" s="3"/>
      <c r="M156" s="3"/>
      <c r="N156" s="3"/>
      <c r="O156" s="3"/>
      <c r="P156" s="1"/>
    </row>
    <row r="157" spans="2:16">
      <c r="C157" s="216"/>
      <c r="D157" s="2"/>
      <c r="E157" s="1"/>
      <c r="F157" s="1"/>
      <c r="G157" s="1"/>
      <c r="H157" s="1"/>
      <c r="I157" s="3"/>
      <c r="J157" s="3"/>
      <c r="K157" s="111"/>
      <c r="L157" s="3"/>
      <c r="M157" s="3"/>
      <c r="N157" s="3"/>
      <c r="O157" s="3"/>
      <c r="P157" s="1"/>
    </row>
    <row r="158" spans="2:16">
      <c r="C158" s="248" t="s">
        <v>127</v>
      </c>
      <c r="D158" s="2"/>
      <c r="E158" s="1"/>
      <c r="F158" s="1"/>
      <c r="G158" s="1"/>
      <c r="H158" s="1"/>
      <c r="I158" s="3"/>
      <c r="J158" s="3"/>
      <c r="K158" s="111"/>
      <c r="L158" s="3"/>
      <c r="M158" s="3"/>
      <c r="N158" s="3"/>
      <c r="O158" s="3"/>
      <c r="P158" s="1"/>
    </row>
    <row r="159" spans="2:16">
      <c r="C159" s="121" t="s">
        <v>74</v>
      </c>
      <c r="D159" s="154"/>
      <c r="E159" s="154"/>
      <c r="F159" s="154"/>
      <c r="G159" s="154"/>
      <c r="H159" s="111"/>
      <c r="I159" s="111"/>
      <c r="J159" s="171"/>
      <c r="K159" s="171"/>
      <c r="L159" s="171"/>
      <c r="M159" s="171"/>
      <c r="N159" s="171"/>
      <c r="O159" s="171"/>
      <c r="P159" s="1"/>
    </row>
    <row r="160" spans="2:16">
      <c r="C160" s="217" t="s">
        <v>75</v>
      </c>
      <c r="D160" s="154"/>
      <c r="E160" s="154"/>
      <c r="F160" s="154"/>
      <c r="G160" s="154"/>
      <c r="H160" s="111"/>
      <c r="I160" s="111"/>
      <c r="J160" s="171"/>
      <c r="K160" s="171"/>
      <c r="L160" s="171"/>
      <c r="M160" s="171"/>
      <c r="N160" s="171"/>
      <c r="O160" s="171"/>
      <c r="P160" s="1"/>
    </row>
    <row r="161" spans="3:16">
      <c r="C161" s="217"/>
      <c r="D161" s="154"/>
      <c r="E161" s="154"/>
      <c r="F161" s="154"/>
      <c r="G161" s="154"/>
      <c r="H161" s="111"/>
      <c r="I161" s="111"/>
      <c r="J161" s="171"/>
      <c r="K161" s="171"/>
      <c r="L161" s="171"/>
      <c r="M161" s="171"/>
      <c r="N161" s="171"/>
      <c r="O161" s="171"/>
      <c r="P161" s="1"/>
    </row>
    <row r="162" spans="3:16" ht="18">
      <c r="C162" s="217"/>
      <c r="D162" s="154"/>
      <c r="E162" s="154"/>
      <c r="F162" s="154"/>
      <c r="G162" s="154"/>
      <c r="H162" s="111"/>
      <c r="I162" s="111"/>
      <c r="J162" s="171"/>
      <c r="K162" s="171"/>
      <c r="L162" s="171"/>
      <c r="M162" s="171"/>
      <c r="N162" s="171"/>
      <c r="P162" s="245" t="s">
        <v>126</v>
      </c>
    </row>
  </sheetData>
  <phoneticPr fontId="0" type="noConversion"/>
  <conditionalFormatting sqref="C17:C72">
    <cfRule type="cellIs" dxfId="1" priority="1" stopIfTrue="1" operator="equal">
      <formula>$I$10</formula>
    </cfRule>
  </conditionalFormatting>
  <conditionalFormatting sqref="C99:C154">
    <cfRule type="cellIs" dxfId="0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/>
  <dimension ref="A1:Q162"/>
  <sheetViews>
    <sheetView view="pageBreakPreview" topLeftCell="A76" zoomScale="80" zoomScaleNormal="100" zoomScaleSheetLayoutView="80" workbookViewId="0">
      <selection activeCell="C19" sqref="C19"/>
    </sheetView>
  </sheetViews>
  <sheetFormatPr defaultRowHeight="12.75" customHeight="1"/>
  <cols>
    <col min="1" max="1" width="4.7109375" customWidth="1"/>
    <col min="2" max="2" width="6.7109375" customWidth="1"/>
    <col min="3" max="3" width="23.28515625" customWidth="1"/>
    <col min="4" max="8" width="17.7109375" customWidth="1"/>
    <col min="9" max="9" width="20.42578125" customWidth="1"/>
    <col min="10" max="10" width="16.42578125" customWidth="1"/>
    <col min="11" max="11" width="17.7109375" customWidth="1"/>
    <col min="12" max="12" width="16.140625" customWidth="1"/>
    <col min="13" max="13" width="17.7109375" customWidth="1"/>
    <col min="14" max="14" width="16.140625" customWidth="1"/>
    <col min="15" max="15" width="16.85546875" customWidth="1"/>
    <col min="16" max="16" width="24.42578125" customWidth="1"/>
    <col min="17" max="17" width="4.7109375" customWidth="1"/>
    <col min="23" max="23" width="9.140625" customWidth="1"/>
  </cols>
  <sheetData>
    <row r="1" spans="1:17" ht="20.25">
      <c r="A1" s="243" t="s">
        <v>128</v>
      </c>
      <c r="B1" s="1"/>
      <c r="C1" s="21"/>
      <c r="D1" s="2"/>
      <c r="E1" s="1"/>
      <c r="F1" s="99"/>
      <c r="G1" s="1"/>
      <c r="H1" s="3"/>
      <c r="J1" s="7"/>
      <c r="K1" s="109"/>
      <c r="L1" s="109"/>
      <c r="M1" s="109"/>
      <c r="P1" s="249" t="str">
        <f ca="1">"SWEPCO Project "&amp;RIGHT(MID(CELL("filename",$A$1),FIND("]",CELL("filename",$A$1))+1,256),1)&amp;" of "&amp;COUNT('S.001:S.xyz - blank'!$P$3)-1</f>
        <v>SWEPCO Project 5 of 73</v>
      </c>
      <c r="Q1" s="108"/>
    </row>
    <row r="2" spans="1:17" ht="18">
      <c r="B2" s="1"/>
      <c r="C2" s="1"/>
      <c r="D2" s="2"/>
      <c r="E2" s="1"/>
      <c r="F2" s="1"/>
      <c r="G2" s="1"/>
      <c r="H2" s="3"/>
      <c r="I2" s="1"/>
      <c r="J2" s="4"/>
      <c r="K2" s="1"/>
      <c r="L2" s="1"/>
      <c r="M2" s="1"/>
      <c r="N2" s="1"/>
      <c r="P2" s="237" t="s">
        <v>124</v>
      </c>
    </row>
    <row r="3" spans="1:17" ht="18.75">
      <c r="B3" s="5" t="s">
        <v>40</v>
      </c>
      <c r="C3" s="68" t="s">
        <v>41</v>
      </c>
      <c r="D3" s="2"/>
      <c r="E3" s="1"/>
      <c r="F3" s="1"/>
      <c r="G3" s="1"/>
      <c r="H3" s="3"/>
      <c r="I3" s="3"/>
      <c r="J3" s="111"/>
      <c r="K3" s="3"/>
      <c r="L3" s="3"/>
      <c r="M3" s="3"/>
      <c r="N3" s="3"/>
      <c r="O3" s="1" t="str">
        <f>RIGHT(N3,3)</f>
        <v/>
      </c>
      <c r="P3" s="239">
        <v>1</v>
      </c>
    </row>
    <row r="4" spans="1:17" ht="15.75" thickBot="1">
      <c r="C4" s="67"/>
      <c r="D4" s="2"/>
      <c r="E4" s="1"/>
      <c r="F4" s="1"/>
      <c r="G4" s="1"/>
      <c r="H4" s="3"/>
      <c r="I4" s="3"/>
      <c r="J4" s="111"/>
      <c r="K4" s="3"/>
      <c r="L4" s="3"/>
      <c r="M4" s="3"/>
      <c r="N4" s="3"/>
      <c r="O4" s="1"/>
      <c r="P4" s="1"/>
    </row>
    <row r="5" spans="1:17" ht="15">
      <c r="C5" s="112" t="s">
        <v>42</v>
      </c>
      <c r="D5" s="2"/>
      <c r="E5" s="1"/>
      <c r="F5" s="1"/>
      <c r="G5" s="113"/>
      <c r="H5" s="1" t="s">
        <v>43</v>
      </c>
      <c r="I5" s="1"/>
      <c r="J5" s="4"/>
      <c r="K5" s="268" t="s">
        <v>152</v>
      </c>
      <c r="L5" s="114"/>
      <c r="M5" s="115"/>
      <c r="N5" s="116">
        <f>VLOOKUP(I10,C17:I72,5)</f>
        <v>298215.90768337488</v>
      </c>
      <c r="P5" s="1"/>
    </row>
    <row r="6" spans="1:17" ht="15.75">
      <c r="C6" s="8"/>
      <c r="D6" s="2"/>
      <c r="E6" s="1"/>
      <c r="F6" s="1"/>
      <c r="G6" s="1"/>
      <c r="H6" s="117"/>
      <c r="I6" s="117"/>
      <c r="J6" s="118"/>
      <c r="K6" s="269" t="s">
        <v>153</v>
      </c>
      <c r="L6" s="119"/>
      <c r="M6" s="4"/>
      <c r="N6" s="120">
        <f>VLOOKUP(I10,C17:I72,6)</f>
        <v>298215.90768337488</v>
      </c>
      <c r="O6" s="1"/>
      <c r="P6" s="1"/>
    </row>
    <row r="7" spans="1:17" ht="13.5" thickBot="1">
      <c r="C7" s="121" t="s">
        <v>44</v>
      </c>
      <c r="D7" s="273" t="s">
        <v>234</v>
      </c>
      <c r="E7" s="1"/>
      <c r="F7" s="1"/>
      <c r="G7" s="1"/>
      <c r="H7" s="3"/>
      <c r="I7" s="3"/>
      <c r="J7" s="111"/>
      <c r="K7" s="122" t="s">
        <v>45</v>
      </c>
      <c r="L7" s="123"/>
      <c r="M7" s="123"/>
      <c r="N7" s="124">
        <f>+N6-N5</f>
        <v>0</v>
      </c>
      <c r="O7" s="1"/>
      <c r="P7" s="1"/>
    </row>
    <row r="8" spans="1:17" ht="13.5" thickBot="1">
      <c r="C8" s="125"/>
      <c r="D8" s="247" t="str">
        <f>IF(D10&lt;100000,"DOES NOT MEET SPP $100,000 MINIMUM INVESTMENT FOR REGIONAL BPU SHARING.","")</f>
        <v/>
      </c>
      <c r="E8" s="126"/>
      <c r="F8" s="126"/>
      <c r="G8" s="126"/>
      <c r="H8" s="126"/>
      <c r="I8" s="126"/>
      <c r="J8" s="101"/>
      <c r="K8" s="126"/>
      <c r="L8" s="126"/>
      <c r="M8" s="126"/>
      <c r="N8" s="126"/>
      <c r="O8" s="101"/>
      <c r="P8" s="21"/>
    </row>
    <row r="9" spans="1:17" ht="13.5" thickBot="1">
      <c r="A9" s="103"/>
      <c r="C9" s="127" t="s">
        <v>46</v>
      </c>
      <c r="D9" s="225" t="s">
        <v>139</v>
      </c>
      <c r="E9" s="401" t="s">
        <v>399</v>
      </c>
      <c r="F9" s="128"/>
      <c r="G9" s="128"/>
      <c r="H9" s="128"/>
      <c r="I9" s="129"/>
      <c r="J9" s="130"/>
      <c r="O9" s="131"/>
      <c r="P9" s="4"/>
    </row>
    <row r="10" spans="1:17">
      <c r="C10" s="132" t="s">
        <v>47</v>
      </c>
      <c r="D10" s="133">
        <v>2981768</v>
      </c>
      <c r="E10" s="61" t="s">
        <v>459</v>
      </c>
      <c r="F10" s="131"/>
      <c r="G10" s="134"/>
      <c r="H10" s="134"/>
      <c r="I10" s="135">
        <f>+SWE.WS.F.BPU.ATRR.Projected!K17</f>
        <v>2019</v>
      </c>
      <c r="J10" s="130"/>
      <c r="K10" s="111" t="s">
        <v>48</v>
      </c>
      <c r="O10" s="4"/>
      <c r="P10" s="4"/>
    </row>
    <row r="11" spans="1:17">
      <c r="C11" s="136" t="s">
        <v>49</v>
      </c>
      <c r="D11" s="137">
        <v>2009</v>
      </c>
      <c r="E11" s="136" t="s">
        <v>50</v>
      </c>
      <c r="F11" s="134"/>
      <c r="G11" s="7"/>
      <c r="H11" s="7"/>
      <c r="I11" s="138">
        <v>0</v>
      </c>
      <c r="J11" s="139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4"/>
      <c r="P11" s="4"/>
    </row>
    <row r="12" spans="1:17">
      <c r="C12" s="136" t="s">
        <v>51</v>
      </c>
      <c r="D12" s="133">
        <v>12</v>
      </c>
      <c r="E12" s="136" t="s">
        <v>52</v>
      </c>
      <c r="F12" s="134"/>
      <c r="G12" s="7"/>
      <c r="H12" s="7"/>
      <c r="I12" s="140">
        <f>SWE.WS.F.BPU.ATRR.Projected!$F$76</f>
        <v>9.9555672459071778E-2</v>
      </c>
      <c r="J12" s="141"/>
      <c r="K12" t="s">
        <v>53</v>
      </c>
      <c r="O12" s="4"/>
      <c r="P12" s="4"/>
    </row>
    <row r="13" spans="1:17">
      <c r="C13" s="136" t="s">
        <v>54</v>
      </c>
      <c r="D13" s="138">
        <f>+SWE.WS.F.BPU.ATRR.Projected!F$87</f>
        <v>43</v>
      </c>
      <c r="E13" s="136" t="s">
        <v>55</v>
      </c>
      <c r="F13" s="134"/>
      <c r="G13" s="7"/>
      <c r="H13" s="7"/>
      <c r="I13" s="140">
        <f>IF(G5="",I12,SWE.WS.F.BPU.ATRR.Projected!$F$75)</f>
        <v>9.9555672459071778E-2</v>
      </c>
      <c r="J13" s="141"/>
      <c r="K13" s="111" t="s">
        <v>56</v>
      </c>
      <c r="L13" s="58"/>
      <c r="M13" s="58"/>
      <c r="N13" s="58"/>
      <c r="O13" s="4"/>
      <c r="P13" s="4"/>
    </row>
    <row r="14" spans="1:17" ht="13.5" thickBot="1">
      <c r="C14" s="136" t="s">
        <v>57</v>
      </c>
      <c r="D14" s="137" t="s">
        <v>58</v>
      </c>
      <c r="E14" s="4" t="s">
        <v>59</v>
      </c>
      <c r="F14" s="134"/>
      <c r="G14" s="7"/>
      <c r="H14" s="7"/>
      <c r="I14" s="142">
        <f>IF(D10=0,0,D10/D13)</f>
        <v>69343.441860465115</v>
      </c>
      <c r="J14" s="111"/>
      <c r="K14" s="111"/>
      <c r="L14" s="111"/>
      <c r="M14" s="111"/>
      <c r="N14" s="111"/>
      <c r="O14" s="4"/>
      <c r="P14" s="4"/>
    </row>
    <row r="15" spans="1:17" ht="38.25">
      <c r="C15" s="143" t="s">
        <v>47</v>
      </c>
      <c r="D15" s="144" t="s">
        <v>60</v>
      </c>
      <c r="E15" s="144" t="s">
        <v>61</v>
      </c>
      <c r="F15" s="144" t="s">
        <v>62</v>
      </c>
      <c r="G15" s="434" t="s">
        <v>378</v>
      </c>
      <c r="H15" s="435" t="s">
        <v>379</v>
      </c>
      <c r="I15" s="351" t="s">
        <v>249</v>
      </c>
      <c r="J15" s="145"/>
      <c r="K15" s="271" t="s">
        <v>219</v>
      </c>
      <c r="L15" s="146" t="s">
        <v>64</v>
      </c>
      <c r="M15" s="271" t="s">
        <v>219</v>
      </c>
      <c r="N15" s="146" t="s">
        <v>64</v>
      </c>
      <c r="O15" s="146" t="s">
        <v>65</v>
      </c>
      <c r="P15" s="4"/>
    </row>
    <row r="16" spans="1:17" ht="13.5" thickBot="1">
      <c r="C16" s="147" t="s">
        <v>66</v>
      </c>
      <c r="D16" s="147" t="s">
        <v>67</v>
      </c>
      <c r="E16" s="147" t="s">
        <v>68</v>
      </c>
      <c r="F16" s="147" t="s">
        <v>67</v>
      </c>
      <c r="G16" s="408" t="s">
        <v>69</v>
      </c>
      <c r="H16" s="148" t="s">
        <v>70</v>
      </c>
      <c r="I16" s="149" t="s">
        <v>89</v>
      </c>
      <c r="J16" s="150" t="s">
        <v>71</v>
      </c>
      <c r="K16" s="151" t="s">
        <v>72</v>
      </c>
      <c r="L16" s="151" t="s">
        <v>72</v>
      </c>
      <c r="M16" s="151" t="s">
        <v>90</v>
      </c>
      <c r="N16" s="152" t="s">
        <v>90</v>
      </c>
      <c r="O16" s="151" t="s">
        <v>90</v>
      </c>
      <c r="P16" s="4"/>
    </row>
    <row r="17" spans="2:16">
      <c r="C17" s="153">
        <f>IF(D11= "","-",D11)</f>
        <v>2009</v>
      </c>
      <c r="D17" s="357">
        <v>2111061</v>
      </c>
      <c r="E17" s="358">
        <v>0</v>
      </c>
      <c r="F17" s="357">
        <v>2111061</v>
      </c>
      <c r="G17" s="358">
        <v>26962</v>
      </c>
      <c r="H17" s="359">
        <v>26962</v>
      </c>
      <c r="I17" s="156">
        <f t="shared" ref="I17:I48" si="0">H17-G17</f>
        <v>0</v>
      </c>
      <c r="J17" s="156"/>
      <c r="K17" s="256">
        <v>26962</v>
      </c>
      <c r="L17" s="157">
        <f t="shared" ref="L17:L48" si="1">IF(K17&lt;&gt;0,+G17-K17,0)</f>
        <v>0</v>
      </c>
      <c r="M17" s="256">
        <v>26962</v>
      </c>
      <c r="N17" s="157">
        <f t="shared" ref="N17:N48" si="2">IF(M17&lt;&gt;0,+H17-M17,0)</f>
        <v>0</v>
      </c>
      <c r="O17" s="158">
        <f t="shared" ref="O17:O48" si="3">+N17-L17</f>
        <v>0</v>
      </c>
      <c r="P17" s="4"/>
    </row>
    <row r="18" spans="2:16">
      <c r="B18" s="9" t="str">
        <f>IF(D18=F17,"","IU")</f>
        <v>IU</v>
      </c>
      <c r="C18" s="153">
        <f>IF(D11="","-",+C17+1)</f>
        <v>2010</v>
      </c>
      <c r="D18" s="361">
        <v>2981232</v>
      </c>
      <c r="E18" s="360">
        <v>78453</v>
      </c>
      <c r="F18" s="361">
        <v>2902778</v>
      </c>
      <c r="G18" s="360">
        <v>495771</v>
      </c>
      <c r="H18" s="359">
        <v>495771</v>
      </c>
      <c r="I18" s="368">
        <v>0</v>
      </c>
      <c r="J18" s="156"/>
      <c r="K18" s="258">
        <f t="shared" ref="K18:K23" si="4">G18</f>
        <v>495771</v>
      </c>
      <c r="L18" s="257">
        <f t="shared" si="1"/>
        <v>0</v>
      </c>
      <c r="M18" s="258">
        <f t="shared" ref="M18:M23" si="5">H18</f>
        <v>495771</v>
      </c>
      <c r="N18" s="158">
        <f t="shared" si="2"/>
        <v>0</v>
      </c>
      <c r="O18" s="158">
        <f t="shared" si="3"/>
        <v>0</v>
      </c>
      <c r="P18" s="4"/>
    </row>
    <row r="19" spans="2:16">
      <c r="B19" s="9" t="str">
        <f>IF(D19=F18,"","IU")</f>
        <v>IU</v>
      </c>
      <c r="C19" s="153">
        <f>IF(D11="","-",+C18+1)</f>
        <v>2011</v>
      </c>
      <c r="D19" s="361">
        <v>2902779</v>
      </c>
      <c r="E19" s="360">
        <v>72712.975609756104</v>
      </c>
      <c r="F19" s="361">
        <v>2830066.0243902439</v>
      </c>
      <c r="G19" s="360">
        <v>514747.16993514739</v>
      </c>
      <c r="H19" s="359">
        <v>514747.16993514739</v>
      </c>
      <c r="I19" s="368">
        <v>0</v>
      </c>
      <c r="J19" s="156"/>
      <c r="K19" s="258">
        <f t="shared" si="4"/>
        <v>514747.16993514739</v>
      </c>
      <c r="L19" s="257">
        <f t="shared" si="1"/>
        <v>0</v>
      </c>
      <c r="M19" s="258">
        <f t="shared" si="5"/>
        <v>514747.16993514739</v>
      </c>
      <c r="N19" s="158">
        <f t="shared" si="2"/>
        <v>0</v>
      </c>
      <c r="O19" s="158">
        <f t="shared" si="3"/>
        <v>0</v>
      </c>
      <c r="P19" s="4"/>
    </row>
    <row r="20" spans="2:16">
      <c r="B20" s="9" t="str">
        <f t="shared" ref="B20:B72" si="6">IF(D20=F19,"","IU")</f>
        <v/>
      </c>
      <c r="C20" s="153">
        <f>IF(D11="","-",+C19+1)</f>
        <v>2012</v>
      </c>
      <c r="D20" s="361">
        <v>2830066.0243902439</v>
      </c>
      <c r="E20" s="377">
        <v>70981.71428571429</v>
      </c>
      <c r="F20" s="361">
        <v>2759084.3101045298</v>
      </c>
      <c r="G20" s="360">
        <v>481313.11934217566</v>
      </c>
      <c r="H20" s="359">
        <v>481313.11934217566</v>
      </c>
      <c r="I20" s="368">
        <v>0</v>
      </c>
      <c r="J20" s="156"/>
      <c r="K20" s="258">
        <f t="shared" si="4"/>
        <v>481313.11934217566</v>
      </c>
      <c r="L20" s="257">
        <f t="shared" si="1"/>
        <v>0</v>
      </c>
      <c r="M20" s="258">
        <f t="shared" si="5"/>
        <v>481313.11934217566</v>
      </c>
      <c r="N20" s="158">
        <f t="shared" si="2"/>
        <v>0</v>
      </c>
      <c r="O20" s="158">
        <f t="shared" si="3"/>
        <v>0</v>
      </c>
      <c r="P20" s="4"/>
    </row>
    <row r="21" spans="2:16">
      <c r="B21" s="9" t="str">
        <f t="shared" si="6"/>
        <v/>
      </c>
      <c r="C21" s="153">
        <f>IF(D12="","-",+C20+1)</f>
        <v>2013</v>
      </c>
      <c r="D21" s="361">
        <v>2759084.3101045298</v>
      </c>
      <c r="E21" s="377">
        <v>70981.71428571429</v>
      </c>
      <c r="F21" s="361">
        <v>2688102.5958188158</v>
      </c>
      <c r="G21" s="360">
        <v>447281.35299477971</v>
      </c>
      <c r="H21" s="359">
        <v>447281.35299477971</v>
      </c>
      <c r="I21" s="156">
        <v>0</v>
      </c>
      <c r="J21" s="156"/>
      <c r="K21" s="258">
        <f t="shared" si="4"/>
        <v>447281.35299477971</v>
      </c>
      <c r="L21" s="257">
        <f t="shared" ref="L21:L26" si="7">IF(K21&lt;&gt;0,+G21-K21,0)</f>
        <v>0</v>
      </c>
      <c r="M21" s="258">
        <f t="shared" si="5"/>
        <v>447281.35299477971</v>
      </c>
      <c r="N21" s="158">
        <f t="shared" ref="N21:N26" si="8">IF(M21&lt;&gt;0,+H21-M21,0)</f>
        <v>0</v>
      </c>
      <c r="O21" s="158">
        <f>+N21-L21</f>
        <v>0</v>
      </c>
      <c r="P21" s="4"/>
    </row>
    <row r="22" spans="2:16">
      <c r="B22" s="9" t="str">
        <f t="shared" si="6"/>
        <v/>
      </c>
      <c r="C22" s="153">
        <f>IF(D11="","-",+C21+1)</f>
        <v>2014</v>
      </c>
      <c r="D22" s="361">
        <v>2688102.5958188158</v>
      </c>
      <c r="E22" s="377">
        <v>70981.71428571429</v>
      </c>
      <c r="F22" s="361">
        <v>2617120.8815331017</v>
      </c>
      <c r="G22" s="360">
        <v>424058.82256501901</v>
      </c>
      <c r="H22" s="359">
        <v>424058.82256501901</v>
      </c>
      <c r="I22" s="156">
        <v>0</v>
      </c>
      <c r="J22" s="156"/>
      <c r="K22" s="258">
        <f t="shared" si="4"/>
        <v>424058.82256501901</v>
      </c>
      <c r="L22" s="257">
        <f t="shared" si="7"/>
        <v>0</v>
      </c>
      <c r="M22" s="258">
        <f t="shared" si="5"/>
        <v>424058.82256501901</v>
      </c>
      <c r="N22" s="158">
        <f t="shared" si="8"/>
        <v>0</v>
      </c>
      <c r="O22" s="158">
        <f t="shared" si="3"/>
        <v>0</v>
      </c>
      <c r="P22" s="4"/>
    </row>
    <row r="23" spans="2:16">
      <c r="B23" s="9" t="str">
        <f t="shared" si="6"/>
        <v/>
      </c>
      <c r="C23" s="153">
        <f>IF(D11="","-",+C22+1)</f>
        <v>2015</v>
      </c>
      <c r="D23" s="361">
        <v>2617120.8815331017</v>
      </c>
      <c r="E23" s="377">
        <v>70981.71428571429</v>
      </c>
      <c r="F23" s="361">
        <v>2546139.1672473876</v>
      </c>
      <c r="G23" s="360">
        <v>406320.46656296717</v>
      </c>
      <c r="H23" s="359">
        <v>406320.46656296717</v>
      </c>
      <c r="I23" s="156">
        <v>0</v>
      </c>
      <c r="J23" s="156"/>
      <c r="K23" s="258">
        <f t="shared" si="4"/>
        <v>406320.46656296717</v>
      </c>
      <c r="L23" s="257">
        <f t="shared" si="7"/>
        <v>0</v>
      </c>
      <c r="M23" s="258">
        <f t="shared" si="5"/>
        <v>406320.46656296717</v>
      </c>
      <c r="N23" s="158">
        <f t="shared" si="8"/>
        <v>0</v>
      </c>
      <c r="O23" s="158">
        <f>+N23-L23</f>
        <v>0</v>
      </c>
      <c r="P23" s="4"/>
    </row>
    <row r="24" spans="2:16">
      <c r="B24" s="9" t="str">
        <f t="shared" si="6"/>
        <v>IU</v>
      </c>
      <c r="C24" s="153">
        <f>IF(D11="","-",+C23+1)</f>
        <v>2016</v>
      </c>
      <c r="D24" s="361">
        <v>2546675.1672473866</v>
      </c>
      <c r="E24" s="377">
        <v>70994.476190476184</v>
      </c>
      <c r="F24" s="361">
        <v>2475680.6910569104</v>
      </c>
      <c r="G24" s="360">
        <v>393030.95863797772</v>
      </c>
      <c r="H24" s="359">
        <v>393030.95863797772</v>
      </c>
      <c r="I24" s="156">
        <f t="shared" si="0"/>
        <v>0</v>
      </c>
      <c r="J24" s="156"/>
      <c r="K24" s="258">
        <f>G24</f>
        <v>393030.95863797772</v>
      </c>
      <c r="L24" s="257">
        <f t="shared" si="7"/>
        <v>0</v>
      </c>
      <c r="M24" s="258">
        <f>H24</f>
        <v>393030.95863797772</v>
      </c>
      <c r="N24" s="158">
        <f t="shared" si="8"/>
        <v>0</v>
      </c>
      <c r="O24" s="158">
        <f>+N24-L24</f>
        <v>0</v>
      </c>
      <c r="P24" s="4"/>
    </row>
    <row r="25" spans="2:16">
      <c r="B25" s="9" t="str">
        <f t="shared" si="6"/>
        <v/>
      </c>
      <c r="C25" s="153">
        <f>IF(D11="","-",+C24+1)</f>
        <v>2017</v>
      </c>
      <c r="D25" s="361">
        <v>2475680.6910569104</v>
      </c>
      <c r="E25" s="377">
        <v>69343.441860465115</v>
      </c>
      <c r="F25" s="361">
        <v>2406337.2491964451</v>
      </c>
      <c r="G25" s="360">
        <v>371766.22774985479</v>
      </c>
      <c r="H25" s="359">
        <v>371766.22774985479</v>
      </c>
      <c r="I25" s="156">
        <v>0</v>
      </c>
      <c r="J25" s="156"/>
      <c r="K25" s="258">
        <f>G25</f>
        <v>371766.22774985479</v>
      </c>
      <c r="L25" s="257">
        <f t="shared" si="7"/>
        <v>0</v>
      </c>
      <c r="M25" s="258">
        <f>H25</f>
        <v>371766.22774985479</v>
      </c>
      <c r="N25" s="158">
        <f t="shared" si="8"/>
        <v>0</v>
      </c>
      <c r="O25" s="158">
        <f>+N25-L25</f>
        <v>0</v>
      </c>
      <c r="P25" s="4"/>
    </row>
    <row r="26" spans="2:16">
      <c r="B26" s="9" t="str">
        <f t="shared" si="6"/>
        <v/>
      </c>
      <c r="C26" s="153">
        <f>IF(D11="","-",+C25+1)</f>
        <v>2018</v>
      </c>
      <c r="D26" s="361">
        <v>2406337.2491964451</v>
      </c>
      <c r="E26" s="377">
        <v>72726.048780487807</v>
      </c>
      <c r="F26" s="361">
        <v>2333611.2004159573</v>
      </c>
      <c r="G26" s="360">
        <v>337888.74273497704</v>
      </c>
      <c r="H26" s="359">
        <v>337888.74273497704</v>
      </c>
      <c r="I26" s="156">
        <f t="shared" si="0"/>
        <v>0</v>
      </c>
      <c r="J26" s="156"/>
      <c r="K26" s="258">
        <f>G26</f>
        <v>337888.74273497704</v>
      </c>
      <c r="L26" s="257">
        <f t="shared" si="7"/>
        <v>0</v>
      </c>
      <c r="M26" s="258">
        <f>H26</f>
        <v>337888.74273497704</v>
      </c>
      <c r="N26" s="158">
        <f t="shared" si="8"/>
        <v>0</v>
      </c>
      <c r="O26" s="158">
        <f>+N26-L26</f>
        <v>0</v>
      </c>
      <c r="P26" s="4"/>
    </row>
    <row r="27" spans="2:16">
      <c r="B27" s="9" t="str">
        <f t="shared" si="6"/>
        <v/>
      </c>
      <c r="C27" s="153">
        <f>IF(D11="","-",+C26+1)</f>
        <v>2019</v>
      </c>
      <c r="D27" s="162">
        <f>IF(F26+SUM(E$17:E26)=D$10,F26,D$10-SUM(E$17:E26))</f>
        <v>2333611.2004159573</v>
      </c>
      <c r="E27" s="160">
        <f>IF(+I14&lt;F26,I14,D27)</f>
        <v>69343.441860465115</v>
      </c>
      <c r="F27" s="159">
        <f t="shared" ref="F27:F48" si="9">+D27-E27</f>
        <v>2264267.7585554919</v>
      </c>
      <c r="G27" s="161">
        <f t="shared" ref="G27:G72" si="10">+I$12*((D27+F27)/2)+E27</f>
        <v>298215.90768337488</v>
      </c>
      <c r="H27" s="142">
        <f t="shared" ref="H27:H72" si="11">+I$13*((D27+F27)/2)+E27</f>
        <v>298215.90768337488</v>
      </c>
      <c r="I27" s="156">
        <f t="shared" si="0"/>
        <v>0</v>
      </c>
      <c r="J27" s="156"/>
      <c r="K27" s="334"/>
      <c r="L27" s="158">
        <f t="shared" si="1"/>
        <v>0</v>
      </c>
      <c r="M27" s="334"/>
      <c r="N27" s="158">
        <f t="shared" si="2"/>
        <v>0</v>
      </c>
      <c r="O27" s="158">
        <f t="shared" si="3"/>
        <v>0</v>
      </c>
      <c r="P27" s="4"/>
    </row>
    <row r="28" spans="2:16">
      <c r="B28" s="9" t="str">
        <f t="shared" si="6"/>
        <v/>
      </c>
      <c r="C28" s="153">
        <f>IF(D11="","-",+C27+1)</f>
        <v>2020</v>
      </c>
      <c r="D28" s="159">
        <f>IF(F27+SUM(E$17:E27)=D$10,F27,D$10-SUM(E$17:E27))</f>
        <v>2264267.7585554919</v>
      </c>
      <c r="E28" s="160">
        <f>IF(+I14&lt;F27,I14,D28)</f>
        <v>69343.441860465115</v>
      </c>
      <c r="F28" s="159">
        <f t="shared" si="9"/>
        <v>2194924.3166950266</v>
      </c>
      <c r="G28" s="161">
        <f t="shared" si="10"/>
        <v>291312.37469832972</v>
      </c>
      <c r="H28" s="142">
        <f t="shared" si="11"/>
        <v>291312.37469832972</v>
      </c>
      <c r="I28" s="156">
        <f t="shared" si="0"/>
        <v>0</v>
      </c>
      <c r="J28" s="156"/>
      <c r="K28" s="334"/>
      <c r="L28" s="158">
        <f t="shared" si="1"/>
        <v>0</v>
      </c>
      <c r="M28" s="334"/>
      <c r="N28" s="158">
        <f t="shared" si="2"/>
        <v>0</v>
      </c>
      <c r="O28" s="158">
        <f t="shared" si="3"/>
        <v>0</v>
      </c>
      <c r="P28" s="4"/>
    </row>
    <row r="29" spans="2:16">
      <c r="B29" s="9" t="str">
        <f t="shared" si="6"/>
        <v/>
      </c>
      <c r="C29" s="153">
        <f>IF(D11="","-",+C28+1)</f>
        <v>2021</v>
      </c>
      <c r="D29" s="159">
        <f>IF(F28+SUM(E$17:E28)=D$10,F28,D$10-SUM(E$17:E28))</f>
        <v>2194924.3166950266</v>
      </c>
      <c r="E29" s="160">
        <f>IF(+I14&lt;F28,I14,D29)</f>
        <v>69343.441860465115</v>
      </c>
      <c r="F29" s="159">
        <f t="shared" si="9"/>
        <v>2125580.8748345613</v>
      </c>
      <c r="G29" s="161">
        <f t="shared" si="10"/>
        <v>284408.84171328455</v>
      </c>
      <c r="H29" s="142">
        <f t="shared" si="11"/>
        <v>284408.84171328455</v>
      </c>
      <c r="I29" s="156">
        <f t="shared" si="0"/>
        <v>0</v>
      </c>
      <c r="J29" s="156"/>
      <c r="K29" s="334"/>
      <c r="L29" s="158">
        <f t="shared" si="1"/>
        <v>0</v>
      </c>
      <c r="M29" s="334"/>
      <c r="N29" s="158">
        <f t="shared" si="2"/>
        <v>0</v>
      </c>
      <c r="O29" s="158">
        <f t="shared" si="3"/>
        <v>0</v>
      </c>
      <c r="P29" s="4"/>
    </row>
    <row r="30" spans="2:16">
      <c r="B30" s="9" t="str">
        <f t="shared" si="6"/>
        <v/>
      </c>
      <c r="C30" s="153">
        <f>IF(D11="","-",+C29+1)</f>
        <v>2022</v>
      </c>
      <c r="D30" s="159">
        <f>IF(F29+SUM(E$17:E29)=D$10,F29,D$10-SUM(E$17:E29))</f>
        <v>2125580.8748345613</v>
      </c>
      <c r="E30" s="160">
        <f>IF(+I14&lt;F29,I14,D30)</f>
        <v>69343.441860465115</v>
      </c>
      <c r="F30" s="159">
        <f t="shared" si="9"/>
        <v>2056237.4329740962</v>
      </c>
      <c r="G30" s="161">
        <f t="shared" si="10"/>
        <v>277505.30872823938</v>
      </c>
      <c r="H30" s="142">
        <f t="shared" si="11"/>
        <v>277505.30872823938</v>
      </c>
      <c r="I30" s="156">
        <f t="shared" si="0"/>
        <v>0</v>
      </c>
      <c r="J30" s="156"/>
      <c r="K30" s="334"/>
      <c r="L30" s="158">
        <f t="shared" si="1"/>
        <v>0</v>
      </c>
      <c r="M30" s="334"/>
      <c r="N30" s="158">
        <f t="shared" si="2"/>
        <v>0</v>
      </c>
      <c r="O30" s="158">
        <f t="shared" si="3"/>
        <v>0</v>
      </c>
      <c r="P30" s="4"/>
    </row>
    <row r="31" spans="2:16">
      <c r="B31" s="9" t="str">
        <f t="shared" si="6"/>
        <v/>
      </c>
      <c r="C31" s="153">
        <f>IF(D11="","-",+C30+1)</f>
        <v>2023</v>
      </c>
      <c r="D31" s="159">
        <f>IF(F30+SUM(E$17:E30)=D$10,F30,D$10-SUM(E$17:E30))</f>
        <v>2056237.4329740962</v>
      </c>
      <c r="E31" s="160">
        <f>IF(+I14&lt;F30,I14,D31)</f>
        <v>69343.441860465115</v>
      </c>
      <c r="F31" s="159">
        <f t="shared" si="9"/>
        <v>1986893.9911136311</v>
      </c>
      <c r="G31" s="161">
        <f t="shared" si="10"/>
        <v>270601.77574319422</v>
      </c>
      <c r="H31" s="142">
        <f t="shared" si="11"/>
        <v>270601.77574319422</v>
      </c>
      <c r="I31" s="156">
        <f t="shared" si="0"/>
        <v>0</v>
      </c>
      <c r="J31" s="156"/>
      <c r="K31" s="334"/>
      <c r="L31" s="158">
        <f t="shared" si="1"/>
        <v>0</v>
      </c>
      <c r="M31" s="334"/>
      <c r="N31" s="158">
        <f t="shared" si="2"/>
        <v>0</v>
      </c>
      <c r="O31" s="158">
        <f t="shared" si="3"/>
        <v>0</v>
      </c>
      <c r="P31" s="4"/>
    </row>
    <row r="32" spans="2:16">
      <c r="B32" s="9" t="str">
        <f t="shared" si="6"/>
        <v/>
      </c>
      <c r="C32" s="153">
        <f>IF(D11="","-",+C31+1)</f>
        <v>2024</v>
      </c>
      <c r="D32" s="159">
        <f>IF(F31+SUM(E$17:E31)=D$10,F31,D$10-SUM(E$17:E31))</f>
        <v>1986893.9911136311</v>
      </c>
      <c r="E32" s="160">
        <f>IF(+I14&lt;F31,I14,D32)</f>
        <v>69343.441860465115</v>
      </c>
      <c r="F32" s="159">
        <f t="shared" si="9"/>
        <v>1917550.549253166</v>
      </c>
      <c r="G32" s="161">
        <f t="shared" si="10"/>
        <v>263698.24275814905</v>
      </c>
      <c r="H32" s="142">
        <f t="shared" si="11"/>
        <v>263698.24275814905</v>
      </c>
      <c r="I32" s="156">
        <f t="shared" si="0"/>
        <v>0</v>
      </c>
      <c r="J32" s="156"/>
      <c r="K32" s="334"/>
      <c r="L32" s="158">
        <f t="shared" si="1"/>
        <v>0</v>
      </c>
      <c r="M32" s="334"/>
      <c r="N32" s="158">
        <f t="shared" si="2"/>
        <v>0</v>
      </c>
      <c r="O32" s="158">
        <f t="shared" si="3"/>
        <v>0</v>
      </c>
      <c r="P32" s="4"/>
    </row>
    <row r="33" spans="2:16">
      <c r="B33" s="9" t="str">
        <f t="shared" si="6"/>
        <v/>
      </c>
      <c r="C33" s="153">
        <f>IF(D11="","-",+C32+1)</f>
        <v>2025</v>
      </c>
      <c r="D33" s="159">
        <f>IF(F32+SUM(E$17:E32)=D$10,F32,D$10-SUM(E$17:E32))</f>
        <v>1917550.549253166</v>
      </c>
      <c r="E33" s="160">
        <f>IF(+I14&lt;F32,I14,D33)</f>
        <v>69343.441860465115</v>
      </c>
      <c r="F33" s="159">
        <f t="shared" si="9"/>
        <v>1848207.1073927009</v>
      </c>
      <c r="G33" s="161">
        <f t="shared" si="10"/>
        <v>256794.70977310394</v>
      </c>
      <c r="H33" s="142">
        <f t="shared" si="11"/>
        <v>256794.70977310394</v>
      </c>
      <c r="I33" s="156">
        <f t="shared" si="0"/>
        <v>0</v>
      </c>
      <c r="J33" s="156"/>
      <c r="K33" s="334"/>
      <c r="L33" s="158">
        <f t="shared" si="1"/>
        <v>0</v>
      </c>
      <c r="M33" s="334"/>
      <c r="N33" s="158">
        <f t="shared" si="2"/>
        <v>0</v>
      </c>
      <c r="O33" s="158">
        <f t="shared" si="3"/>
        <v>0</v>
      </c>
      <c r="P33" s="4"/>
    </row>
    <row r="34" spans="2:16">
      <c r="B34" s="9" t="str">
        <f t="shared" si="6"/>
        <v/>
      </c>
      <c r="C34" s="153">
        <f>IF(D11="","-",+C33+1)</f>
        <v>2026</v>
      </c>
      <c r="D34" s="159">
        <f>IF(F33+SUM(E$17:E33)=D$10,F33,D$10-SUM(E$17:E33))</f>
        <v>1848207.1073927009</v>
      </c>
      <c r="E34" s="160">
        <f>IF(+I14&lt;F33,I14,D34)</f>
        <v>69343.441860465115</v>
      </c>
      <c r="F34" s="159">
        <f t="shared" si="9"/>
        <v>1778863.6655322358</v>
      </c>
      <c r="G34" s="161">
        <f t="shared" si="10"/>
        <v>249891.17678805877</v>
      </c>
      <c r="H34" s="142">
        <f t="shared" si="11"/>
        <v>249891.17678805877</v>
      </c>
      <c r="I34" s="156">
        <f t="shared" si="0"/>
        <v>0</v>
      </c>
      <c r="J34" s="156"/>
      <c r="K34" s="334"/>
      <c r="L34" s="158">
        <f t="shared" si="1"/>
        <v>0</v>
      </c>
      <c r="M34" s="334"/>
      <c r="N34" s="158">
        <f t="shared" si="2"/>
        <v>0</v>
      </c>
      <c r="O34" s="158">
        <f t="shared" si="3"/>
        <v>0</v>
      </c>
      <c r="P34" s="4"/>
    </row>
    <row r="35" spans="2:16">
      <c r="B35" s="9" t="str">
        <f t="shared" si="6"/>
        <v/>
      </c>
      <c r="C35" s="153">
        <f>IF(D11="","-",+C34+1)</f>
        <v>2027</v>
      </c>
      <c r="D35" s="159">
        <f>IF(F34+SUM(E$17:E34)=D$10,F34,D$10-SUM(E$17:E34))</f>
        <v>1778863.6655322358</v>
      </c>
      <c r="E35" s="160">
        <f>IF(+I14&lt;F34,I14,D35)</f>
        <v>69343.441860465115</v>
      </c>
      <c r="F35" s="159">
        <f t="shared" si="9"/>
        <v>1709520.2236717707</v>
      </c>
      <c r="G35" s="161">
        <f t="shared" si="10"/>
        <v>242987.64380301361</v>
      </c>
      <c r="H35" s="142">
        <f t="shared" si="11"/>
        <v>242987.64380301361</v>
      </c>
      <c r="I35" s="156">
        <f t="shared" si="0"/>
        <v>0</v>
      </c>
      <c r="J35" s="156"/>
      <c r="K35" s="334"/>
      <c r="L35" s="158">
        <f t="shared" si="1"/>
        <v>0</v>
      </c>
      <c r="M35" s="334"/>
      <c r="N35" s="158">
        <f t="shared" si="2"/>
        <v>0</v>
      </c>
      <c r="O35" s="158">
        <f t="shared" si="3"/>
        <v>0</v>
      </c>
      <c r="P35" s="4"/>
    </row>
    <row r="36" spans="2:16">
      <c r="B36" s="9" t="str">
        <f t="shared" si="6"/>
        <v/>
      </c>
      <c r="C36" s="153">
        <f>IF(D11="","-",+C35+1)</f>
        <v>2028</v>
      </c>
      <c r="D36" s="159">
        <f>IF(F35+SUM(E$17:E35)=D$10,F35,D$10-SUM(E$17:E35))</f>
        <v>1709520.2236717707</v>
      </c>
      <c r="E36" s="160">
        <f>IF(+I14&lt;F35,I14,D36)</f>
        <v>69343.441860465115</v>
      </c>
      <c r="F36" s="159">
        <f t="shared" si="9"/>
        <v>1640176.7818113056</v>
      </c>
      <c r="G36" s="161">
        <f t="shared" si="10"/>
        <v>236084.11081796844</v>
      </c>
      <c r="H36" s="142">
        <f t="shared" si="11"/>
        <v>236084.11081796844</v>
      </c>
      <c r="I36" s="156">
        <f t="shared" si="0"/>
        <v>0</v>
      </c>
      <c r="J36" s="156"/>
      <c r="K36" s="334"/>
      <c r="L36" s="158">
        <f t="shared" si="1"/>
        <v>0</v>
      </c>
      <c r="M36" s="334"/>
      <c r="N36" s="158">
        <f t="shared" si="2"/>
        <v>0</v>
      </c>
      <c r="O36" s="158">
        <f t="shared" si="3"/>
        <v>0</v>
      </c>
      <c r="P36" s="4"/>
    </row>
    <row r="37" spans="2:16">
      <c r="B37" s="9" t="str">
        <f t="shared" si="6"/>
        <v/>
      </c>
      <c r="C37" s="153">
        <f>IF(D11="","-",+C36+1)</f>
        <v>2029</v>
      </c>
      <c r="D37" s="159">
        <f>IF(F36+SUM(E$17:E36)=D$10,F36,D$10-SUM(E$17:E36))</f>
        <v>1640176.7818113056</v>
      </c>
      <c r="E37" s="160">
        <f>IF(+I14&lt;F36,I14,D37)</f>
        <v>69343.441860465115</v>
      </c>
      <c r="F37" s="159">
        <f t="shared" si="9"/>
        <v>1570833.3399508405</v>
      </c>
      <c r="G37" s="161">
        <f t="shared" si="10"/>
        <v>229180.57783292333</v>
      </c>
      <c r="H37" s="142">
        <f t="shared" si="11"/>
        <v>229180.57783292333</v>
      </c>
      <c r="I37" s="156">
        <f t="shared" si="0"/>
        <v>0</v>
      </c>
      <c r="J37" s="156"/>
      <c r="K37" s="334"/>
      <c r="L37" s="158">
        <f t="shared" si="1"/>
        <v>0</v>
      </c>
      <c r="M37" s="334"/>
      <c r="N37" s="158">
        <f t="shared" si="2"/>
        <v>0</v>
      </c>
      <c r="O37" s="158">
        <f t="shared" si="3"/>
        <v>0</v>
      </c>
      <c r="P37" s="4"/>
    </row>
    <row r="38" spans="2:16">
      <c r="B38" s="9" t="str">
        <f t="shared" si="6"/>
        <v/>
      </c>
      <c r="C38" s="153">
        <f>IF(D11="","-",+C37+1)</f>
        <v>2030</v>
      </c>
      <c r="D38" s="159">
        <f>IF(F37+SUM(E$17:E37)=D$10,F37,D$10-SUM(E$17:E37))</f>
        <v>1570833.3399508405</v>
      </c>
      <c r="E38" s="160">
        <f>IF(+I14&lt;F37,I14,D38)</f>
        <v>69343.441860465115</v>
      </c>
      <c r="F38" s="159">
        <f t="shared" si="9"/>
        <v>1501489.8980903754</v>
      </c>
      <c r="G38" s="161">
        <f t="shared" si="10"/>
        <v>222277.04484787816</v>
      </c>
      <c r="H38" s="142">
        <f t="shared" si="11"/>
        <v>222277.04484787816</v>
      </c>
      <c r="I38" s="156">
        <f t="shared" si="0"/>
        <v>0</v>
      </c>
      <c r="J38" s="156"/>
      <c r="K38" s="334"/>
      <c r="L38" s="158">
        <f t="shared" si="1"/>
        <v>0</v>
      </c>
      <c r="M38" s="334"/>
      <c r="N38" s="158">
        <f t="shared" si="2"/>
        <v>0</v>
      </c>
      <c r="O38" s="158">
        <f t="shared" si="3"/>
        <v>0</v>
      </c>
      <c r="P38" s="4"/>
    </row>
    <row r="39" spans="2:16">
      <c r="B39" s="9" t="str">
        <f t="shared" si="6"/>
        <v/>
      </c>
      <c r="C39" s="153">
        <f>IF(D11="","-",+C38+1)</f>
        <v>2031</v>
      </c>
      <c r="D39" s="159">
        <f>IF(F38+SUM(E$17:E38)=D$10,F38,D$10-SUM(E$17:E38))</f>
        <v>1501489.8980903754</v>
      </c>
      <c r="E39" s="160">
        <f>IF(+I14&lt;F38,I14,D39)</f>
        <v>69343.441860465115</v>
      </c>
      <c r="F39" s="159">
        <f t="shared" si="9"/>
        <v>1432146.4562299103</v>
      </c>
      <c r="G39" s="161">
        <f t="shared" si="10"/>
        <v>215373.51186283305</v>
      </c>
      <c r="H39" s="142">
        <f t="shared" si="11"/>
        <v>215373.51186283305</v>
      </c>
      <c r="I39" s="156">
        <f t="shared" si="0"/>
        <v>0</v>
      </c>
      <c r="J39" s="156"/>
      <c r="K39" s="334"/>
      <c r="L39" s="158">
        <f t="shared" si="1"/>
        <v>0</v>
      </c>
      <c r="M39" s="334"/>
      <c r="N39" s="158">
        <f t="shared" si="2"/>
        <v>0</v>
      </c>
      <c r="O39" s="158">
        <f t="shared" si="3"/>
        <v>0</v>
      </c>
      <c r="P39" s="4"/>
    </row>
    <row r="40" spans="2:16">
      <c r="B40" s="9" t="str">
        <f t="shared" si="6"/>
        <v/>
      </c>
      <c r="C40" s="153">
        <f>IF(D11="","-",+C39+1)</f>
        <v>2032</v>
      </c>
      <c r="D40" s="159">
        <f>IF(F39+SUM(E$17:E39)=D$10,F39,D$10-SUM(E$17:E39))</f>
        <v>1432146.4562299103</v>
      </c>
      <c r="E40" s="160">
        <f>IF(+I14&lt;F39,I14,D40)</f>
        <v>69343.441860465115</v>
      </c>
      <c r="F40" s="159">
        <f t="shared" si="9"/>
        <v>1362803.0143694452</v>
      </c>
      <c r="G40" s="161">
        <f t="shared" si="10"/>
        <v>208469.97887778783</v>
      </c>
      <c r="H40" s="142">
        <f t="shared" si="11"/>
        <v>208469.97887778783</v>
      </c>
      <c r="I40" s="156">
        <f t="shared" si="0"/>
        <v>0</v>
      </c>
      <c r="J40" s="156"/>
      <c r="K40" s="334"/>
      <c r="L40" s="158">
        <f t="shared" si="1"/>
        <v>0</v>
      </c>
      <c r="M40" s="334"/>
      <c r="N40" s="158">
        <f t="shared" si="2"/>
        <v>0</v>
      </c>
      <c r="O40" s="158">
        <f t="shared" si="3"/>
        <v>0</v>
      </c>
      <c r="P40" s="4"/>
    </row>
    <row r="41" spans="2:16">
      <c r="B41" s="9" t="str">
        <f t="shared" si="6"/>
        <v/>
      </c>
      <c r="C41" s="153">
        <f>IF(D11="","-",+C40+1)</f>
        <v>2033</v>
      </c>
      <c r="D41" s="159">
        <f>IF(F40+SUM(E$17:E40)=D$10,F40,D$10-SUM(E$17:E40))</f>
        <v>1362803.0143694452</v>
      </c>
      <c r="E41" s="160">
        <f>IF(+I14&lt;F40,I14,D41)</f>
        <v>69343.441860465115</v>
      </c>
      <c r="F41" s="159">
        <f t="shared" si="9"/>
        <v>1293459.5725089801</v>
      </c>
      <c r="G41" s="161">
        <f t="shared" si="10"/>
        <v>201566.44589274272</v>
      </c>
      <c r="H41" s="142">
        <f t="shared" si="11"/>
        <v>201566.44589274272</v>
      </c>
      <c r="I41" s="156">
        <f t="shared" si="0"/>
        <v>0</v>
      </c>
      <c r="J41" s="156"/>
      <c r="K41" s="334"/>
      <c r="L41" s="158">
        <f t="shared" si="1"/>
        <v>0</v>
      </c>
      <c r="M41" s="334"/>
      <c r="N41" s="158">
        <f t="shared" si="2"/>
        <v>0</v>
      </c>
      <c r="O41" s="158">
        <f t="shared" si="3"/>
        <v>0</v>
      </c>
      <c r="P41" s="4"/>
    </row>
    <row r="42" spans="2:16">
      <c r="B42" s="9" t="str">
        <f t="shared" si="6"/>
        <v/>
      </c>
      <c r="C42" s="153">
        <f>IF(D11="","-",+C41+1)</f>
        <v>2034</v>
      </c>
      <c r="D42" s="159">
        <f>IF(F41+SUM(E$17:E41)=D$10,F41,D$10-SUM(E$17:E41))</f>
        <v>1293459.5725089801</v>
      </c>
      <c r="E42" s="160">
        <f>IF(+I14&lt;F41,I14,D42)</f>
        <v>69343.441860465115</v>
      </c>
      <c r="F42" s="159">
        <f t="shared" si="9"/>
        <v>1224116.130648515</v>
      </c>
      <c r="G42" s="161">
        <f t="shared" si="10"/>
        <v>194662.91290769755</v>
      </c>
      <c r="H42" s="142">
        <f t="shared" si="11"/>
        <v>194662.91290769755</v>
      </c>
      <c r="I42" s="156">
        <f t="shared" si="0"/>
        <v>0</v>
      </c>
      <c r="J42" s="156"/>
      <c r="K42" s="334"/>
      <c r="L42" s="158">
        <f t="shared" si="1"/>
        <v>0</v>
      </c>
      <c r="M42" s="334"/>
      <c r="N42" s="158">
        <f t="shared" si="2"/>
        <v>0</v>
      </c>
      <c r="O42" s="158">
        <f t="shared" si="3"/>
        <v>0</v>
      </c>
      <c r="P42" s="4"/>
    </row>
    <row r="43" spans="2:16">
      <c r="B43" s="9" t="str">
        <f t="shared" si="6"/>
        <v/>
      </c>
      <c r="C43" s="153">
        <f>IF(D11="","-",+C42+1)</f>
        <v>2035</v>
      </c>
      <c r="D43" s="159">
        <f>IF(F42+SUM(E$17:E42)=D$10,F42,D$10-SUM(E$17:E42))</f>
        <v>1224116.130648515</v>
      </c>
      <c r="E43" s="160">
        <f>IF(+I14&lt;F42,I14,D43)</f>
        <v>69343.441860465115</v>
      </c>
      <c r="F43" s="159">
        <f t="shared" si="9"/>
        <v>1154772.6887880499</v>
      </c>
      <c r="G43" s="161">
        <f t="shared" si="10"/>
        <v>187759.37992265244</v>
      </c>
      <c r="H43" s="142">
        <f t="shared" si="11"/>
        <v>187759.37992265244</v>
      </c>
      <c r="I43" s="156">
        <f t="shared" si="0"/>
        <v>0</v>
      </c>
      <c r="J43" s="156"/>
      <c r="K43" s="334"/>
      <c r="L43" s="158">
        <f t="shared" si="1"/>
        <v>0</v>
      </c>
      <c r="M43" s="334"/>
      <c r="N43" s="158">
        <f t="shared" si="2"/>
        <v>0</v>
      </c>
      <c r="O43" s="158">
        <f t="shared" si="3"/>
        <v>0</v>
      </c>
      <c r="P43" s="4"/>
    </row>
    <row r="44" spans="2:16">
      <c r="B44" s="9" t="str">
        <f t="shared" si="6"/>
        <v/>
      </c>
      <c r="C44" s="153">
        <f>IF(D11="","-",+C43+1)</f>
        <v>2036</v>
      </c>
      <c r="D44" s="159">
        <f>IF(F43+SUM(E$17:E43)=D$10,F43,D$10-SUM(E$17:E43))</f>
        <v>1154772.6887880499</v>
      </c>
      <c r="E44" s="160">
        <f>IF(+I14&lt;F43,I14,D44)</f>
        <v>69343.441860465115</v>
      </c>
      <c r="F44" s="159">
        <f t="shared" si="9"/>
        <v>1085429.2469275848</v>
      </c>
      <c r="G44" s="161">
        <f t="shared" si="10"/>
        <v>180855.84693760725</v>
      </c>
      <c r="H44" s="142">
        <f t="shared" si="11"/>
        <v>180855.84693760725</v>
      </c>
      <c r="I44" s="156">
        <f t="shared" si="0"/>
        <v>0</v>
      </c>
      <c r="J44" s="156"/>
      <c r="K44" s="334"/>
      <c r="L44" s="158">
        <f t="shared" si="1"/>
        <v>0</v>
      </c>
      <c r="M44" s="334"/>
      <c r="N44" s="158">
        <f t="shared" si="2"/>
        <v>0</v>
      </c>
      <c r="O44" s="158">
        <f t="shared" si="3"/>
        <v>0</v>
      </c>
      <c r="P44" s="4"/>
    </row>
    <row r="45" spans="2:16">
      <c r="B45" s="9" t="str">
        <f t="shared" si="6"/>
        <v/>
      </c>
      <c r="C45" s="153">
        <f>IF(D11="","-",+C44+1)</f>
        <v>2037</v>
      </c>
      <c r="D45" s="159">
        <f>IF(F44+SUM(E$17:E44)=D$10,F44,D$10-SUM(E$17:E44))</f>
        <v>1085429.2469275848</v>
      </c>
      <c r="E45" s="160">
        <f>IF(+I14&lt;F44,I14,D45)</f>
        <v>69343.441860465115</v>
      </c>
      <c r="F45" s="159">
        <f t="shared" si="9"/>
        <v>1016085.8050671197</v>
      </c>
      <c r="G45" s="161">
        <f t="shared" si="10"/>
        <v>173952.31395256211</v>
      </c>
      <c r="H45" s="142">
        <f t="shared" si="11"/>
        <v>173952.31395256211</v>
      </c>
      <c r="I45" s="156">
        <f t="shared" si="0"/>
        <v>0</v>
      </c>
      <c r="J45" s="156"/>
      <c r="K45" s="334"/>
      <c r="L45" s="158">
        <f t="shared" si="1"/>
        <v>0</v>
      </c>
      <c r="M45" s="334"/>
      <c r="N45" s="158">
        <f t="shared" si="2"/>
        <v>0</v>
      </c>
      <c r="O45" s="158">
        <f t="shared" si="3"/>
        <v>0</v>
      </c>
      <c r="P45" s="4"/>
    </row>
    <row r="46" spans="2:16">
      <c r="B46" s="9" t="str">
        <f t="shared" si="6"/>
        <v/>
      </c>
      <c r="C46" s="153">
        <f>IF(D11="","-",+C45+1)</f>
        <v>2038</v>
      </c>
      <c r="D46" s="159">
        <f>IF(F45+SUM(E$17:E45)=D$10,F45,D$10-SUM(E$17:E45))</f>
        <v>1016085.8050671197</v>
      </c>
      <c r="E46" s="160">
        <f>IF(+I14&lt;F45,I14,D46)</f>
        <v>69343.441860465115</v>
      </c>
      <c r="F46" s="159">
        <f t="shared" si="9"/>
        <v>946742.36320665455</v>
      </c>
      <c r="G46" s="161">
        <f t="shared" si="10"/>
        <v>167048.78096751694</v>
      </c>
      <c r="H46" s="142">
        <f t="shared" si="11"/>
        <v>167048.78096751694</v>
      </c>
      <c r="I46" s="156">
        <f t="shared" si="0"/>
        <v>0</v>
      </c>
      <c r="J46" s="156"/>
      <c r="K46" s="334"/>
      <c r="L46" s="158">
        <f t="shared" si="1"/>
        <v>0</v>
      </c>
      <c r="M46" s="334"/>
      <c r="N46" s="158">
        <f t="shared" si="2"/>
        <v>0</v>
      </c>
      <c r="O46" s="158">
        <f t="shared" si="3"/>
        <v>0</v>
      </c>
      <c r="P46" s="4"/>
    </row>
    <row r="47" spans="2:16">
      <c r="B47" s="9" t="str">
        <f t="shared" si="6"/>
        <v/>
      </c>
      <c r="C47" s="153">
        <f>IF(D11="","-",+C46+1)</f>
        <v>2039</v>
      </c>
      <c r="D47" s="159">
        <f>IF(F46+SUM(E$17:E46)=D$10,F46,D$10-SUM(E$17:E46))</f>
        <v>946742.36320665455</v>
      </c>
      <c r="E47" s="160">
        <f>IF(+I14&lt;F46,I14,D47)</f>
        <v>69343.441860465115</v>
      </c>
      <c r="F47" s="159">
        <f t="shared" si="9"/>
        <v>877398.92134618945</v>
      </c>
      <c r="G47" s="161">
        <f t="shared" si="10"/>
        <v>160145.2479824718</v>
      </c>
      <c r="H47" s="142">
        <f t="shared" si="11"/>
        <v>160145.2479824718</v>
      </c>
      <c r="I47" s="156">
        <f t="shared" si="0"/>
        <v>0</v>
      </c>
      <c r="J47" s="156"/>
      <c r="K47" s="334"/>
      <c r="L47" s="158">
        <f t="shared" si="1"/>
        <v>0</v>
      </c>
      <c r="M47" s="334"/>
      <c r="N47" s="158">
        <f t="shared" si="2"/>
        <v>0</v>
      </c>
      <c r="O47" s="158">
        <f t="shared" si="3"/>
        <v>0</v>
      </c>
      <c r="P47" s="4"/>
    </row>
    <row r="48" spans="2:16">
      <c r="B48" s="9" t="str">
        <f t="shared" si="6"/>
        <v/>
      </c>
      <c r="C48" s="153">
        <f>IF(D11="","-",+C47+1)</f>
        <v>2040</v>
      </c>
      <c r="D48" s="159">
        <f>IF(F47+SUM(E$17:E47)=D$10,F47,D$10-SUM(E$17:E47))</f>
        <v>877398.92134618945</v>
      </c>
      <c r="E48" s="160">
        <f>IF(+I14&lt;F47,I14,D48)</f>
        <v>69343.441860465115</v>
      </c>
      <c r="F48" s="159">
        <f t="shared" si="9"/>
        <v>808055.47948572435</v>
      </c>
      <c r="G48" s="161">
        <f t="shared" si="10"/>
        <v>153241.71499742666</v>
      </c>
      <c r="H48" s="142">
        <f t="shared" si="11"/>
        <v>153241.71499742666</v>
      </c>
      <c r="I48" s="156">
        <f t="shared" si="0"/>
        <v>0</v>
      </c>
      <c r="J48" s="156"/>
      <c r="K48" s="334"/>
      <c r="L48" s="158">
        <f t="shared" si="1"/>
        <v>0</v>
      </c>
      <c r="M48" s="334"/>
      <c r="N48" s="158">
        <f t="shared" si="2"/>
        <v>0</v>
      </c>
      <c r="O48" s="158">
        <f t="shared" si="3"/>
        <v>0</v>
      </c>
      <c r="P48" s="4"/>
    </row>
    <row r="49" spans="2:17">
      <c r="B49" s="9" t="str">
        <f t="shared" si="6"/>
        <v/>
      </c>
      <c r="C49" s="153">
        <f>IF(D11="","-",+C48+1)</f>
        <v>2041</v>
      </c>
      <c r="D49" s="159">
        <f>IF(F48+SUM(E$17:E48)=D$10,F48,D$10-SUM(E$17:E48))</f>
        <v>808055.47948572435</v>
      </c>
      <c r="E49" s="160">
        <f>IF(+I14&lt;F48,I14,D49)</f>
        <v>69343.441860465115</v>
      </c>
      <c r="F49" s="159">
        <f t="shared" ref="F49:F72" si="12">+D49-E49</f>
        <v>738712.03762525925</v>
      </c>
      <c r="G49" s="161">
        <f t="shared" si="10"/>
        <v>146338.1820123815</v>
      </c>
      <c r="H49" s="142">
        <f t="shared" si="11"/>
        <v>146338.1820123815</v>
      </c>
      <c r="I49" s="156">
        <f t="shared" ref="I49:I72" si="13">H49-G49</f>
        <v>0</v>
      </c>
      <c r="J49" s="156"/>
      <c r="K49" s="334"/>
      <c r="L49" s="158">
        <f t="shared" ref="L49:L72" si="14">IF(K49&lt;&gt;0,+G49-K49,0)</f>
        <v>0</v>
      </c>
      <c r="M49" s="334"/>
      <c r="N49" s="158">
        <f t="shared" ref="N49:N72" si="15">IF(M49&lt;&gt;0,+H49-M49,0)</f>
        <v>0</v>
      </c>
      <c r="O49" s="158">
        <f t="shared" ref="O49:O72" si="16">+N49-L49</f>
        <v>0</v>
      </c>
      <c r="P49" s="4"/>
    </row>
    <row r="50" spans="2:17">
      <c r="B50" s="9" t="str">
        <f t="shared" si="6"/>
        <v/>
      </c>
      <c r="C50" s="153">
        <f>IF(D11="","-",+C49+1)</f>
        <v>2042</v>
      </c>
      <c r="D50" s="159">
        <f>IF(F49+SUM(E$17:E49)=D$10,F49,D$10-SUM(E$17:E49))</f>
        <v>738712.03762525925</v>
      </c>
      <c r="E50" s="160">
        <f>IF(+I14&lt;F49,I14,D50)</f>
        <v>69343.441860465115</v>
      </c>
      <c r="F50" s="159">
        <f t="shared" si="12"/>
        <v>669368.59576479415</v>
      </c>
      <c r="G50" s="161">
        <f t="shared" si="10"/>
        <v>139434.64902733636</v>
      </c>
      <c r="H50" s="142">
        <f t="shared" si="11"/>
        <v>139434.64902733636</v>
      </c>
      <c r="I50" s="156">
        <f t="shared" si="13"/>
        <v>0</v>
      </c>
      <c r="J50" s="156"/>
      <c r="K50" s="334"/>
      <c r="L50" s="158">
        <f t="shared" si="14"/>
        <v>0</v>
      </c>
      <c r="M50" s="334"/>
      <c r="N50" s="158">
        <f t="shared" si="15"/>
        <v>0</v>
      </c>
      <c r="O50" s="158">
        <f t="shared" si="16"/>
        <v>0</v>
      </c>
      <c r="P50" s="4"/>
    </row>
    <row r="51" spans="2:17">
      <c r="B51" s="9" t="str">
        <f t="shared" si="6"/>
        <v/>
      </c>
      <c r="C51" s="153">
        <f>IF(D11="","-",+C50+1)</f>
        <v>2043</v>
      </c>
      <c r="D51" s="159">
        <f>IF(F50+SUM(E$17:E50)=D$10,F50,D$10-SUM(E$17:E50))</f>
        <v>669368.59576479415</v>
      </c>
      <c r="E51" s="160">
        <f>IF(+I14&lt;F50,I14,D51)</f>
        <v>69343.441860465115</v>
      </c>
      <c r="F51" s="159">
        <f t="shared" si="12"/>
        <v>600025.15390432905</v>
      </c>
      <c r="G51" s="161">
        <f t="shared" si="10"/>
        <v>132531.11604229122</v>
      </c>
      <c r="H51" s="142">
        <f t="shared" si="11"/>
        <v>132531.11604229122</v>
      </c>
      <c r="I51" s="156">
        <f t="shared" si="13"/>
        <v>0</v>
      </c>
      <c r="J51" s="156"/>
      <c r="K51" s="334"/>
      <c r="L51" s="158">
        <f t="shared" si="14"/>
        <v>0</v>
      </c>
      <c r="M51" s="334"/>
      <c r="N51" s="158">
        <f t="shared" si="15"/>
        <v>0</v>
      </c>
      <c r="O51" s="158">
        <f t="shared" si="16"/>
        <v>0</v>
      </c>
      <c r="P51" s="4"/>
    </row>
    <row r="52" spans="2:17">
      <c r="B52" s="9" t="str">
        <f t="shared" si="6"/>
        <v/>
      </c>
      <c r="C52" s="153">
        <f>IF(D11="","-",+C51+1)</f>
        <v>2044</v>
      </c>
      <c r="D52" s="159">
        <f>IF(F51+SUM(E$17:E51)=D$10,F51,D$10-SUM(E$17:E51))</f>
        <v>600025.15390432905</v>
      </c>
      <c r="E52" s="160">
        <f>IF(+I14&lt;F51,I14,D52)</f>
        <v>69343.441860465115</v>
      </c>
      <c r="F52" s="159">
        <f t="shared" si="12"/>
        <v>530681.71204386395</v>
      </c>
      <c r="G52" s="161">
        <f t="shared" si="10"/>
        <v>125627.58305724605</v>
      </c>
      <c r="H52" s="142">
        <f t="shared" si="11"/>
        <v>125627.58305724605</v>
      </c>
      <c r="I52" s="156">
        <f t="shared" si="13"/>
        <v>0</v>
      </c>
      <c r="J52" s="156"/>
      <c r="K52" s="334"/>
      <c r="L52" s="158">
        <f t="shared" si="14"/>
        <v>0</v>
      </c>
      <c r="M52" s="334"/>
      <c r="N52" s="158">
        <f t="shared" si="15"/>
        <v>0</v>
      </c>
      <c r="O52" s="158">
        <f t="shared" si="16"/>
        <v>0</v>
      </c>
      <c r="P52" s="4"/>
    </row>
    <row r="53" spans="2:17">
      <c r="B53" s="9" t="str">
        <f t="shared" si="6"/>
        <v/>
      </c>
      <c r="C53" s="153">
        <f>IF(D11="","-",+C52+1)</f>
        <v>2045</v>
      </c>
      <c r="D53" s="159">
        <f>IF(F52+SUM(E$17:E52)=D$10,F52,D$10-SUM(E$17:E52))</f>
        <v>530681.71204386395</v>
      </c>
      <c r="E53" s="160">
        <f>IF(+I14&lt;F52,I14,D53)</f>
        <v>69343.441860465115</v>
      </c>
      <c r="F53" s="159">
        <f t="shared" si="12"/>
        <v>461338.27018339885</v>
      </c>
      <c r="G53" s="161">
        <f t="shared" si="10"/>
        <v>118724.05007220092</v>
      </c>
      <c r="H53" s="142">
        <f t="shared" si="11"/>
        <v>118724.05007220092</v>
      </c>
      <c r="I53" s="156">
        <f t="shared" si="13"/>
        <v>0</v>
      </c>
      <c r="J53" s="156"/>
      <c r="K53" s="334"/>
      <c r="L53" s="158">
        <f t="shared" si="14"/>
        <v>0</v>
      </c>
      <c r="M53" s="334"/>
      <c r="N53" s="158">
        <f t="shared" si="15"/>
        <v>0</v>
      </c>
      <c r="O53" s="158">
        <f t="shared" si="16"/>
        <v>0</v>
      </c>
      <c r="P53" s="4"/>
    </row>
    <row r="54" spans="2:17">
      <c r="B54" s="9" t="str">
        <f t="shared" si="6"/>
        <v/>
      </c>
      <c r="C54" s="153">
        <f>IF(D11="","-",+C53+1)</f>
        <v>2046</v>
      </c>
      <c r="D54" s="159">
        <f>IF(F53+SUM(E$17:E53)=D$10,F53,D$10-SUM(E$17:E53))</f>
        <v>461338.27018339885</v>
      </c>
      <c r="E54" s="160">
        <f>IF(+I14&lt;F53,I14,D54)</f>
        <v>69343.441860465115</v>
      </c>
      <c r="F54" s="159">
        <f t="shared" si="12"/>
        <v>391994.82832293375</v>
      </c>
      <c r="G54" s="161">
        <f t="shared" si="10"/>
        <v>111820.51708715575</v>
      </c>
      <c r="H54" s="142">
        <f t="shared" si="11"/>
        <v>111820.51708715575</v>
      </c>
      <c r="I54" s="156">
        <f t="shared" si="13"/>
        <v>0</v>
      </c>
      <c r="J54" s="156"/>
      <c r="K54" s="334"/>
      <c r="L54" s="158">
        <f t="shared" si="14"/>
        <v>0</v>
      </c>
      <c r="M54" s="334"/>
      <c r="N54" s="158">
        <f t="shared" si="15"/>
        <v>0</v>
      </c>
      <c r="O54" s="158">
        <f t="shared" si="16"/>
        <v>0</v>
      </c>
      <c r="P54" s="4"/>
    </row>
    <row r="55" spans="2:17">
      <c r="B55" s="9" t="str">
        <f t="shared" si="6"/>
        <v/>
      </c>
      <c r="C55" s="153">
        <f>IF(D11="","-",+C54+1)</f>
        <v>2047</v>
      </c>
      <c r="D55" s="159">
        <f>IF(F54+SUM(E$17:E54)=D$10,F54,D$10-SUM(E$17:E54))</f>
        <v>391994.82832293375</v>
      </c>
      <c r="E55" s="160">
        <f>IF(+I14&lt;F54,I14,D55)</f>
        <v>69343.441860465115</v>
      </c>
      <c r="F55" s="159">
        <f t="shared" si="12"/>
        <v>322651.38646246865</v>
      </c>
      <c r="G55" s="161">
        <f t="shared" si="10"/>
        <v>104916.98410211061</v>
      </c>
      <c r="H55" s="142">
        <f t="shared" si="11"/>
        <v>104916.98410211061</v>
      </c>
      <c r="I55" s="156">
        <f t="shared" si="13"/>
        <v>0</v>
      </c>
      <c r="J55" s="156"/>
      <c r="K55" s="334"/>
      <c r="L55" s="158">
        <f t="shared" si="14"/>
        <v>0</v>
      </c>
      <c r="M55" s="334"/>
      <c r="N55" s="158">
        <f t="shared" si="15"/>
        <v>0</v>
      </c>
      <c r="O55" s="158">
        <f t="shared" si="16"/>
        <v>0</v>
      </c>
      <c r="P55" s="4"/>
    </row>
    <row r="56" spans="2:17">
      <c r="B56" s="9" t="str">
        <f t="shared" si="6"/>
        <v/>
      </c>
      <c r="C56" s="153">
        <f>IF(D11="","-",+C55+1)</f>
        <v>2048</v>
      </c>
      <c r="D56" s="159">
        <f>IF(F55+SUM(E$17:E55)=D$10,F55,D$10-SUM(E$17:E55))</f>
        <v>322651.38646246865</v>
      </c>
      <c r="E56" s="160">
        <f>IF(+I14&lt;F55,I14,D56)</f>
        <v>69343.441860465115</v>
      </c>
      <c r="F56" s="159">
        <f t="shared" si="12"/>
        <v>253307.94460200355</v>
      </c>
      <c r="G56" s="161">
        <f t="shared" si="10"/>
        <v>98013.451117065459</v>
      </c>
      <c r="H56" s="142">
        <f t="shared" si="11"/>
        <v>98013.451117065459</v>
      </c>
      <c r="I56" s="156">
        <f t="shared" si="13"/>
        <v>0</v>
      </c>
      <c r="J56" s="156"/>
      <c r="K56" s="334"/>
      <c r="L56" s="158">
        <f t="shared" si="14"/>
        <v>0</v>
      </c>
      <c r="M56" s="334"/>
      <c r="N56" s="158">
        <f t="shared" si="15"/>
        <v>0</v>
      </c>
      <c r="O56" s="158">
        <f t="shared" si="16"/>
        <v>0</v>
      </c>
      <c r="P56" s="4"/>
    </row>
    <row r="57" spans="2:17">
      <c r="B57" s="9" t="str">
        <f t="shared" si="6"/>
        <v/>
      </c>
      <c r="C57" s="153">
        <f>IF(D11="","-",+C56+1)</f>
        <v>2049</v>
      </c>
      <c r="D57" s="159">
        <f>IF(F56+SUM(E$17:E56)=D$10,F56,D$10-SUM(E$17:E56))</f>
        <v>253307.94460200355</v>
      </c>
      <c r="E57" s="160">
        <f>IF(+I14&lt;F56,I14,D57)</f>
        <v>69343.441860465115</v>
      </c>
      <c r="F57" s="159">
        <f t="shared" si="12"/>
        <v>183964.50274153845</v>
      </c>
      <c r="G57" s="161">
        <f t="shared" si="10"/>
        <v>91109.918132020306</v>
      </c>
      <c r="H57" s="142">
        <f t="shared" si="11"/>
        <v>91109.918132020306</v>
      </c>
      <c r="I57" s="156">
        <f t="shared" si="13"/>
        <v>0</v>
      </c>
      <c r="J57" s="156"/>
      <c r="K57" s="334"/>
      <c r="L57" s="158">
        <f t="shared" si="14"/>
        <v>0</v>
      </c>
      <c r="M57" s="334"/>
      <c r="N57" s="158">
        <f t="shared" si="15"/>
        <v>0</v>
      </c>
      <c r="O57" s="158">
        <f t="shared" si="16"/>
        <v>0</v>
      </c>
      <c r="P57" s="4"/>
    </row>
    <row r="58" spans="2:17">
      <c r="B58" s="9" t="str">
        <f t="shared" si="6"/>
        <v/>
      </c>
      <c r="C58" s="153">
        <f>IF(D11="","-",+C57+1)</f>
        <v>2050</v>
      </c>
      <c r="D58" s="159">
        <f>IF(F57+SUM(E$17:E57)=D$10,F57,D$10-SUM(E$17:E57))</f>
        <v>183964.50274153845</v>
      </c>
      <c r="E58" s="160">
        <f>IF(+I14&lt;F57,I14,D58)</f>
        <v>69343.441860465115</v>
      </c>
      <c r="F58" s="159">
        <f t="shared" si="12"/>
        <v>114621.06088107334</v>
      </c>
      <c r="G58" s="161">
        <f t="shared" si="10"/>
        <v>84206.385146975153</v>
      </c>
      <c r="H58" s="142">
        <f t="shared" si="11"/>
        <v>84206.385146975153</v>
      </c>
      <c r="I58" s="156">
        <f t="shared" si="13"/>
        <v>0</v>
      </c>
      <c r="J58" s="156"/>
      <c r="K58" s="334"/>
      <c r="L58" s="158">
        <f t="shared" si="14"/>
        <v>0</v>
      </c>
      <c r="M58" s="334"/>
      <c r="N58" s="158">
        <f t="shared" si="15"/>
        <v>0</v>
      </c>
      <c r="O58" s="158">
        <f t="shared" si="16"/>
        <v>0</v>
      </c>
      <c r="P58" s="4"/>
      <c r="Q58" t="str">
        <f>IF(ROUND(Q57,0)=ROUND(SUM(Q18:Q56),0),"","Error -- check allocations above).")</f>
        <v/>
      </c>
    </row>
    <row r="59" spans="2:17">
      <c r="B59" s="9" t="str">
        <f t="shared" si="6"/>
        <v/>
      </c>
      <c r="C59" s="153">
        <f>IF(D11="","-",+C58+1)</f>
        <v>2051</v>
      </c>
      <c r="D59" s="159">
        <f>IF(F58+SUM(E$17:E58)=D$10,F58,D$10-SUM(E$17:E58))</f>
        <v>114621.06088107334</v>
      </c>
      <c r="E59" s="160">
        <f>IF(+I14&lt;F58,I14,D59)</f>
        <v>69343.441860465115</v>
      </c>
      <c r="F59" s="159">
        <f t="shared" si="12"/>
        <v>45277.619020608225</v>
      </c>
      <c r="G59" s="161">
        <f t="shared" si="10"/>
        <v>77302.852161930001</v>
      </c>
      <c r="H59" s="142">
        <f t="shared" si="11"/>
        <v>77302.852161930001</v>
      </c>
      <c r="I59" s="156">
        <f t="shared" si="13"/>
        <v>0</v>
      </c>
      <c r="J59" s="156"/>
      <c r="K59" s="334"/>
      <c r="L59" s="158">
        <f t="shared" si="14"/>
        <v>0</v>
      </c>
      <c r="M59" s="334"/>
      <c r="N59" s="158">
        <f t="shared" si="15"/>
        <v>0</v>
      </c>
      <c r="O59" s="158">
        <f t="shared" si="16"/>
        <v>0</v>
      </c>
      <c r="P59" s="4"/>
    </row>
    <row r="60" spans="2:17">
      <c r="B60" s="9" t="str">
        <f t="shared" si="6"/>
        <v/>
      </c>
      <c r="C60" s="153">
        <f>IF(D11="","-",+C59+1)</f>
        <v>2052</v>
      </c>
      <c r="D60" s="159">
        <f>IF(F59+SUM(E$17:E59)=D$10,F59,D$10-SUM(E$17:E59))</f>
        <v>45277.619020608225</v>
      </c>
      <c r="E60" s="160">
        <f>IF(+I14&lt;F59,I14,D60)</f>
        <v>45277.619020608225</v>
      </c>
      <c r="F60" s="159">
        <f t="shared" si="12"/>
        <v>0</v>
      </c>
      <c r="G60" s="161">
        <f t="shared" si="10"/>
        <v>47531.440925079383</v>
      </c>
      <c r="H60" s="142">
        <f t="shared" si="11"/>
        <v>47531.440925079383</v>
      </c>
      <c r="I60" s="156">
        <f t="shared" si="13"/>
        <v>0</v>
      </c>
      <c r="J60" s="156"/>
      <c r="K60" s="334"/>
      <c r="L60" s="158">
        <f t="shared" si="14"/>
        <v>0</v>
      </c>
      <c r="M60" s="334"/>
      <c r="N60" s="158">
        <f t="shared" si="15"/>
        <v>0</v>
      </c>
      <c r="O60" s="158">
        <f t="shared" si="16"/>
        <v>0</v>
      </c>
      <c r="P60" s="4"/>
    </row>
    <row r="61" spans="2:17">
      <c r="B61" s="9" t="str">
        <f t="shared" si="6"/>
        <v/>
      </c>
      <c r="C61" s="153">
        <f>IF(D11="","-",+C60+1)</f>
        <v>2053</v>
      </c>
      <c r="D61" s="159">
        <f>IF(F60+SUM(E$17:E60)=D$10,F60,D$10-SUM(E$17:E60))</f>
        <v>0</v>
      </c>
      <c r="E61" s="160">
        <f>IF(+I14&lt;F60,I14,D61)</f>
        <v>0</v>
      </c>
      <c r="F61" s="159">
        <f t="shared" si="12"/>
        <v>0</v>
      </c>
      <c r="G61" s="163">
        <f t="shared" si="10"/>
        <v>0</v>
      </c>
      <c r="H61" s="142">
        <f t="shared" si="11"/>
        <v>0</v>
      </c>
      <c r="I61" s="156">
        <f t="shared" si="13"/>
        <v>0</v>
      </c>
      <c r="J61" s="156"/>
      <c r="K61" s="334"/>
      <c r="L61" s="158">
        <f t="shared" si="14"/>
        <v>0</v>
      </c>
      <c r="M61" s="334"/>
      <c r="N61" s="158">
        <f t="shared" si="15"/>
        <v>0</v>
      </c>
      <c r="O61" s="158">
        <f t="shared" si="16"/>
        <v>0</v>
      </c>
      <c r="P61" s="4"/>
    </row>
    <row r="62" spans="2:17">
      <c r="B62" s="9" t="str">
        <f t="shared" si="6"/>
        <v/>
      </c>
      <c r="C62" s="153">
        <f>IF(D11="","-",+C61+1)</f>
        <v>2054</v>
      </c>
      <c r="D62" s="159">
        <f>IF(F61+SUM(E$17:E61)=D$10,F61,D$10-SUM(E$17:E61))</f>
        <v>0</v>
      </c>
      <c r="E62" s="160">
        <f>IF(+I14&lt;F61,I14,D62)</f>
        <v>0</v>
      </c>
      <c r="F62" s="159">
        <f t="shared" si="12"/>
        <v>0</v>
      </c>
      <c r="G62" s="163">
        <f t="shared" si="10"/>
        <v>0</v>
      </c>
      <c r="H62" s="142">
        <f t="shared" si="11"/>
        <v>0</v>
      </c>
      <c r="I62" s="156">
        <f t="shared" si="13"/>
        <v>0</v>
      </c>
      <c r="J62" s="156"/>
      <c r="K62" s="334"/>
      <c r="L62" s="158">
        <f t="shared" si="14"/>
        <v>0</v>
      </c>
      <c r="M62" s="334"/>
      <c r="N62" s="158">
        <f t="shared" si="15"/>
        <v>0</v>
      </c>
      <c r="O62" s="158">
        <f t="shared" si="16"/>
        <v>0</v>
      </c>
      <c r="P62" s="4"/>
    </row>
    <row r="63" spans="2:17">
      <c r="B63" s="9" t="str">
        <f t="shared" si="6"/>
        <v/>
      </c>
      <c r="C63" s="153">
        <f>IF(D11="","-",+C62+1)</f>
        <v>2055</v>
      </c>
      <c r="D63" s="159">
        <f>IF(F62+SUM(E$17:E62)=D$10,F62,D$10-SUM(E$17:E62))</f>
        <v>0</v>
      </c>
      <c r="E63" s="160">
        <f>IF(+I14&lt;F62,I14,D63)</f>
        <v>0</v>
      </c>
      <c r="F63" s="159">
        <f t="shared" si="12"/>
        <v>0</v>
      </c>
      <c r="G63" s="163">
        <f t="shared" si="10"/>
        <v>0</v>
      </c>
      <c r="H63" s="142">
        <f t="shared" si="11"/>
        <v>0</v>
      </c>
      <c r="I63" s="156">
        <f t="shared" si="13"/>
        <v>0</v>
      </c>
      <c r="J63" s="156"/>
      <c r="K63" s="334"/>
      <c r="L63" s="158">
        <f t="shared" si="14"/>
        <v>0</v>
      </c>
      <c r="M63" s="334"/>
      <c r="N63" s="158">
        <f t="shared" si="15"/>
        <v>0</v>
      </c>
      <c r="O63" s="158">
        <f t="shared" si="16"/>
        <v>0</v>
      </c>
      <c r="P63" s="4"/>
    </row>
    <row r="64" spans="2:17">
      <c r="B64" s="9" t="str">
        <f t="shared" si="6"/>
        <v/>
      </c>
      <c r="C64" s="153">
        <f>IF(D11="","-",+C63+1)</f>
        <v>2056</v>
      </c>
      <c r="D64" s="159">
        <f>IF(F63+SUM(E$17:E63)=D$10,F63,D$10-SUM(E$17:E63))</f>
        <v>0</v>
      </c>
      <c r="E64" s="160">
        <f>IF(+I14&lt;F63,I14,D64)</f>
        <v>0</v>
      </c>
      <c r="F64" s="159">
        <f t="shared" si="12"/>
        <v>0</v>
      </c>
      <c r="G64" s="163">
        <f t="shared" si="10"/>
        <v>0</v>
      </c>
      <c r="H64" s="142">
        <f t="shared" si="11"/>
        <v>0</v>
      </c>
      <c r="I64" s="156">
        <f t="shared" si="13"/>
        <v>0</v>
      </c>
      <c r="J64" s="156"/>
      <c r="K64" s="334"/>
      <c r="L64" s="158">
        <f t="shared" si="14"/>
        <v>0</v>
      </c>
      <c r="M64" s="334"/>
      <c r="N64" s="158">
        <f t="shared" si="15"/>
        <v>0</v>
      </c>
      <c r="O64" s="158">
        <f t="shared" si="16"/>
        <v>0</v>
      </c>
      <c r="P64" s="4"/>
    </row>
    <row r="65" spans="1:16">
      <c r="B65" s="9" t="str">
        <f t="shared" si="6"/>
        <v/>
      </c>
      <c r="C65" s="153">
        <f>IF(D11="","-",+C64+1)</f>
        <v>2057</v>
      </c>
      <c r="D65" s="159">
        <f>IF(F64+SUM(E$17:E64)=D$10,F64,D$10-SUM(E$17:E64))</f>
        <v>0</v>
      </c>
      <c r="E65" s="160">
        <f>IF(+I14&lt;F64,I14,D65)</f>
        <v>0</v>
      </c>
      <c r="F65" s="159">
        <f t="shared" si="12"/>
        <v>0</v>
      </c>
      <c r="G65" s="163">
        <f t="shared" si="10"/>
        <v>0</v>
      </c>
      <c r="H65" s="142">
        <f t="shared" si="11"/>
        <v>0</v>
      </c>
      <c r="I65" s="156">
        <f t="shared" si="13"/>
        <v>0</v>
      </c>
      <c r="J65" s="156"/>
      <c r="K65" s="334"/>
      <c r="L65" s="158">
        <f t="shared" si="14"/>
        <v>0</v>
      </c>
      <c r="M65" s="334"/>
      <c r="N65" s="158">
        <f t="shared" si="15"/>
        <v>0</v>
      </c>
      <c r="O65" s="158">
        <f t="shared" si="16"/>
        <v>0</v>
      </c>
      <c r="P65" s="4"/>
    </row>
    <row r="66" spans="1:16">
      <c r="B66" s="9" t="str">
        <f t="shared" si="6"/>
        <v/>
      </c>
      <c r="C66" s="153">
        <f>IF(D11="","-",+C65+1)</f>
        <v>2058</v>
      </c>
      <c r="D66" s="159">
        <f>IF(F65+SUM(E$17:E65)=D$10,F65,D$10-SUM(E$17:E65))</f>
        <v>0</v>
      </c>
      <c r="E66" s="160">
        <f>IF(+I14&lt;F65,I14,D66)</f>
        <v>0</v>
      </c>
      <c r="F66" s="159">
        <f t="shared" si="12"/>
        <v>0</v>
      </c>
      <c r="G66" s="163">
        <f t="shared" si="10"/>
        <v>0</v>
      </c>
      <c r="H66" s="142">
        <f t="shared" si="11"/>
        <v>0</v>
      </c>
      <c r="I66" s="156">
        <f t="shared" si="13"/>
        <v>0</v>
      </c>
      <c r="J66" s="156"/>
      <c r="K66" s="334"/>
      <c r="L66" s="158">
        <f t="shared" si="14"/>
        <v>0</v>
      </c>
      <c r="M66" s="334"/>
      <c r="N66" s="158">
        <f t="shared" si="15"/>
        <v>0</v>
      </c>
      <c r="O66" s="158">
        <f t="shared" si="16"/>
        <v>0</v>
      </c>
      <c r="P66" s="4"/>
    </row>
    <row r="67" spans="1:16">
      <c r="B67" s="9" t="str">
        <f t="shared" si="6"/>
        <v/>
      </c>
      <c r="C67" s="153">
        <f>IF(D11="","-",+C66+1)</f>
        <v>2059</v>
      </c>
      <c r="D67" s="159">
        <f>IF(F66+SUM(E$17:E66)=D$10,F66,D$10-SUM(E$17:E66))</f>
        <v>0</v>
      </c>
      <c r="E67" s="160">
        <f>IF(+I14&lt;F66,I14,D67)</f>
        <v>0</v>
      </c>
      <c r="F67" s="159">
        <f t="shared" si="12"/>
        <v>0</v>
      </c>
      <c r="G67" s="163">
        <f t="shared" si="10"/>
        <v>0</v>
      </c>
      <c r="H67" s="142">
        <f t="shared" si="11"/>
        <v>0</v>
      </c>
      <c r="I67" s="156">
        <f t="shared" si="13"/>
        <v>0</v>
      </c>
      <c r="J67" s="156"/>
      <c r="K67" s="334"/>
      <c r="L67" s="158">
        <f t="shared" si="14"/>
        <v>0</v>
      </c>
      <c r="M67" s="334"/>
      <c r="N67" s="158">
        <f t="shared" si="15"/>
        <v>0</v>
      </c>
      <c r="O67" s="158">
        <f t="shared" si="16"/>
        <v>0</v>
      </c>
      <c r="P67" s="4"/>
    </row>
    <row r="68" spans="1:16">
      <c r="B68" s="9" t="str">
        <f t="shared" si="6"/>
        <v/>
      </c>
      <c r="C68" s="153">
        <f>IF(D11="","-",+C67+1)</f>
        <v>2060</v>
      </c>
      <c r="D68" s="159">
        <f>IF(F67+SUM(E$17:E67)=D$10,F67,D$10-SUM(E$17:E67))</f>
        <v>0</v>
      </c>
      <c r="E68" s="160">
        <f>IF(+I14&lt;F67,I14,D68)</f>
        <v>0</v>
      </c>
      <c r="F68" s="159">
        <f t="shared" si="12"/>
        <v>0</v>
      </c>
      <c r="G68" s="163">
        <f t="shared" si="10"/>
        <v>0</v>
      </c>
      <c r="H68" s="142">
        <f t="shared" si="11"/>
        <v>0</v>
      </c>
      <c r="I68" s="156">
        <f t="shared" si="13"/>
        <v>0</v>
      </c>
      <c r="J68" s="156"/>
      <c r="K68" s="334"/>
      <c r="L68" s="158">
        <f t="shared" si="14"/>
        <v>0</v>
      </c>
      <c r="M68" s="334"/>
      <c r="N68" s="158">
        <f t="shared" si="15"/>
        <v>0</v>
      </c>
      <c r="O68" s="158">
        <f t="shared" si="16"/>
        <v>0</v>
      </c>
      <c r="P68" s="4"/>
    </row>
    <row r="69" spans="1:16">
      <c r="B69" s="9" t="str">
        <f t="shared" si="6"/>
        <v/>
      </c>
      <c r="C69" s="153">
        <f>IF(D11="","-",+C68+1)</f>
        <v>2061</v>
      </c>
      <c r="D69" s="159">
        <f>IF(F68+SUM(E$17:E68)=D$10,F68,D$10-SUM(E$17:E68))</f>
        <v>0</v>
      </c>
      <c r="E69" s="160">
        <f>IF(+I14&lt;F68,I14,D69)</f>
        <v>0</v>
      </c>
      <c r="F69" s="159">
        <f t="shared" si="12"/>
        <v>0</v>
      </c>
      <c r="G69" s="163">
        <f t="shared" si="10"/>
        <v>0</v>
      </c>
      <c r="H69" s="142">
        <f t="shared" si="11"/>
        <v>0</v>
      </c>
      <c r="I69" s="156">
        <f t="shared" si="13"/>
        <v>0</v>
      </c>
      <c r="J69" s="156"/>
      <c r="K69" s="334"/>
      <c r="L69" s="158">
        <f t="shared" si="14"/>
        <v>0</v>
      </c>
      <c r="M69" s="334"/>
      <c r="N69" s="158">
        <f t="shared" si="15"/>
        <v>0</v>
      </c>
      <c r="O69" s="158">
        <f t="shared" si="16"/>
        <v>0</v>
      </c>
      <c r="P69" s="4"/>
    </row>
    <row r="70" spans="1:16">
      <c r="B70" s="9" t="str">
        <f t="shared" si="6"/>
        <v/>
      </c>
      <c r="C70" s="153">
        <f>IF(D11="","-",+C69+1)</f>
        <v>2062</v>
      </c>
      <c r="D70" s="159">
        <f>IF(F69+SUM(E$17:E69)=D$10,F69,D$10-SUM(E$17:E69))</f>
        <v>0</v>
      </c>
      <c r="E70" s="160">
        <f>IF(+I14&lt;F69,I14,D70)</f>
        <v>0</v>
      </c>
      <c r="F70" s="159">
        <f t="shared" si="12"/>
        <v>0</v>
      </c>
      <c r="G70" s="163">
        <f t="shared" si="10"/>
        <v>0</v>
      </c>
      <c r="H70" s="142">
        <f t="shared" si="11"/>
        <v>0</v>
      </c>
      <c r="I70" s="156">
        <f t="shared" si="13"/>
        <v>0</v>
      </c>
      <c r="J70" s="156"/>
      <c r="K70" s="334"/>
      <c r="L70" s="158">
        <f t="shared" si="14"/>
        <v>0</v>
      </c>
      <c r="M70" s="334"/>
      <c r="N70" s="158">
        <f t="shared" si="15"/>
        <v>0</v>
      </c>
      <c r="O70" s="158">
        <f t="shared" si="16"/>
        <v>0</v>
      </c>
      <c r="P70" s="4"/>
    </row>
    <row r="71" spans="1:16">
      <c r="B71" s="9" t="str">
        <f t="shared" si="6"/>
        <v/>
      </c>
      <c r="C71" s="153">
        <f>IF(D11="","-",+C70+1)</f>
        <v>2063</v>
      </c>
      <c r="D71" s="159">
        <f>IF(F70+SUM(E$17:E70)=D$10,F70,D$10-SUM(E$17:E70))</f>
        <v>0</v>
      </c>
      <c r="E71" s="160">
        <f>IF(+I14&lt;F70,I14,D71)</f>
        <v>0</v>
      </c>
      <c r="F71" s="159">
        <f t="shared" si="12"/>
        <v>0</v>
      </c>
      <c r="G71" s="163">
        <f t="shared" si="10"/>
        <v>0</v>
      </c>
      <c r="H71" s="142">
        <f t="shared" si="11"/>
        <v>0</v>
      </c>
      <c r="I71" s="156">
        <f t="shared" si="13"/>
        <v>0</v>
      </c>
      <c r="J71" s="156"/>
      <c r="K71" s="334"/>
      <c r="L71" s="158">
        <f t="shared" si="14"/>
        <v>0</v>
      </c>
      <c r="M71" s="334"/>
      <c r="N71" s="158">
        <f t="shared" si="15"/>
        <v>0</v>
      </c>
      <c r="O71" s="158">
        <f t="shared" si="16"/>
        <v>0</v>
      </c>
      <c r="P71" s="4"/>
    </row>
    <row r="72" spans="1:16" ht="13.5" thickBot="1">
      <c r="B72" s="9" t="str">
        <f t="shared" si="6"/>
        <v/>
      </c>
      <c r="C72" s="164">
        <f>IF(D11="","-",+C71+1)</f>
        <v>2064</v>
      </c>
      <c r="D72" s="165">
        <f>IF(F71+SUM(E$17:E71)=D$10,F71,D$10-SUM(E$17:E71))</f>
        <v>0</v>
      </c>
      <c r="E72" s="166">
        <f>IF(+I14&lt;F71,I14,D72)</f>
        <v>0</v>
      </c>
      <c r="F72" s="165">
        <f t="shared" si="12"/>
        <v>0</v>
      </c>
      <c r="G72" s="167">
        <f t="shared" si="10"/>
        <v>0</v>
      </c>
      <c r="H72" s="124">
        <f t="shared" si="11"/>
        <v>0</v>
      </c>
      <c r="I72" s="168">
        <f t="shared" si="13"/>
        <v>0</v>
      </c>
      <c r="J72" s="156"/>
      <c r="K72" s="335"/>
      <c r="L72" s="169">
        <f t="shared" si="14"/>
        <v>0</v>
      </c>
      <c r="M72" s="335"/>
      <c r="N72" s="169">
        <f t="shared" si="15"/>
        <v>0</v>
      </c>
      <c r="O72" s="169">
        <f t="shared" si="16"/>
        <v>0</v>
      </c>
      <c r="P72" s="4"/>
    </row>
    <row r="73" spans="1:16">
      <c r="C73" s="154" t="s">
        <v>73</v>
      </c>
      <c r="D73" s="111"/>
      <c r="E73" s="111">
        <f>SUM(E17:E72)</f>
        <v>2981768.0000000019</v>
      </c>
      <c r="F73" s="111"/>
      <c r="G73" s="111">
        <f>SUM(G17:G72)</f>
        <v>10142730.838895507</v>
      </c>
      <c r="H73" s="111">
        <f>SUM(H17:H72)</f>
        <v>10142730.838895507</v>
      </c>
      <c r="I73" s="111">
        <f>SUM(I17:I72)</f>
        <v>0</v>
      </c>
      <c r="J73" s="111"/>
      <c r="K73" s="111"/>
      <c r="L73" s="111"/>
      <c r="M73" s="111"/>
      <c r="N73" s="111"/>
      <c r="O73" s="4"/>
      <c r="P73" s="4"/>
    </row>
    <row r="74" spans="1:16">
      <c r="D74" s="2"/>
      <c r="E74" s="1"/>
      <c r="F74" s="1"/>
      <c r="G74" s="1"/>
      <c r="H74" s="3"/>
      <c r="I74" s="3"/>
      <c r="J74" s="111"/>
      <c r="K74" s="3"/>
      <c r="L74" s="3"/>
      <c r="M74" s="3"/>
      <c r="N74" s="3"/>
      <c r="O74" s="1"/>
      <c r="P74" s="1"/>
    </row>
    <row r="75" spans="1:16">
      <c r="C75" s="170" t="s">
        <v>91</v>
      </c>
      <c r="D75" s="2"/>
      <c r="E75" s="1"/>
      <c r="F75" s="1"/>
      <c r="G75" s="1"/>
      <c r="H75" s="3"/>
      <c r="I75" s="3"/>
      <c r="J75" s="111"/>
      <c r="K75" s="3"/>
      <c r="L75" s="3"/>
      <c r="M75" s="3"/>
      <c r="N75" s="3"/>
      <c r="O75" s="1"/>
      <c r="P75" s="1"/>
    </row>
    <row r="76" spans="1:16">
      <c r="C76" s="121" t="s">
        <v>74</v>
      </c>
      <c r="D76" s="2"/>
      <c r="E76" s="1"/>
      <c r="F76" s="1"/>
      <c r="G76" s="1"/>
      <c r="H76" s="3"/>
      <c r="I76" s="3"/>
      <c r="J76" s="111"/>
      <c r="K76" s="3"/>
      <c r="L76" s="3"/>
      <c r="M76" s="3"/>
      <c r="N76" s="3"/>
      <c r="O76" s="4"/>
      <c r="P76" s="4"/>
    </row>
    <row r="77" spans="1:16" ht="18">
      <c r="C77" s="121" t="s">
        <v>75</v>
      </c>
      <c r="D77" s="154"/>
      <c r="E77" s="154"/>
      <c r="F77" s="154"/>
      <c r="G77" s="111"/>
      <c r="H77" s="111"/>
      <c r="I77" s="171"/>
      <c r="J77" s="171"/>
      <c r="K77" s="171"/>
      <c r="L77" s="171"/>
      <c r="M77" s="171"/>
      <c r="N77" s="171"/>
      <c r="O77" s="110"/>
      <c r="P77" s="4"/>
    </row>
    <row r="78" spans="1:16">
      <c r="C78" s="121"/>
      <c r="D78" s="154"/>
      <c r="E78" s="154"/>
      <c r="F78" s="154"/>
      <c r="G78" s="111"/>
      <c r="H78" s="111"/>
      <c r="I78" s="171"/>
      <c r="J78" s="171"/>
      <c r="K78" s="171"/>
      <c r="L78" s="171"/>
      <c r="M78" s="171"/>
      <c r="N78" s="171"/>
      <c r="O78" s="4"/>
      <c r="P78" s="1"/>
    </row>
    <row r="79" spans="1:16" ht="15">
      <c r="A79" s="241"/>
      <c r="B79" s="1"/>
      <c r="C79" s="21"/>
      <c r="D79" s="2"/>
      <c r="E79" s="1"/>
      <c r="F79" s="107"/>
      <c r="G79" s="1"/>
      <c r="H79" s="3"/>
      <c r="I79" s="1"/>
      <c r="J79" s="4"/>
      <c r="K79" s="1"/>
      <c r="L79" s="1"/>
      <c r="M79" s="1"/>
      <c r="N79" s="1"/>
    </row>
    <row r="80" spans="1:16" ht="18">
      <c r="B80" s="1"/>
      <c r="C80" s="242"/>
      <c r="D80" s="2"/>
      <c r="E80" s="1"/>
      <c r="F80" s="107"/>
      <c r="G80" s="1"/>
      <c r="H80" s="3"/>
      <c r="I80" s="1"/>
      <c r="J80" s="4"/>
      <c r="K80" s="1"/>
      <c r="L80" s="1"/>
      <c r="M80" s="1"/>
      <c r="N80" s="1"/>
      <c r="P80" s="244" t="s">
        <v>125</v>
      </c>
    </row>
    <row r="81" spans="1:17">
      <c r="B81" s="1"/>
      <c r="C81" s="242"/>
      <c r="D81" s="2"/>
      <c r="E81" s="1"/>
      <c r="F81" s="107"/>
      <c r="G81" s="1"/>
      <c r="H81" s="3"/>
      <c r="I81" s="1"/>
      <c r="J81" s="4"/>
      <c r="K81" s="1"/>
      <c r="L81" s="1"/>
      <c r="M81" s="1"/>
      <c r="N81" s="1"/>
      <c r="O81" s="1"/>
      <c r="P81" s="1"/>
    </row>
    <row r="82" spans="1:17">
      <c r="B82" s="1"/>
      <c r="C82" s="21"/>
      <c r="D82" s="2"/>
      <c r="E82" s="1"/>
      <c r="F82" s="107"/>
      <c r="G82" s="1"/>
      <c r="H82" s="3"/>
      <c r="I82" s="1"/>
      <c r="J82" s="4"/>
      <c r="K82" s="1"/>
      <c r="L82" s="1"/>
      <c r="M82" s="1"/>
      <c r="N82" s="1"/>
      <c r="O82" s="1"/>
      <c r="P82" s="1"/>
      <c r="Q82" s="1"/>
    </row>
    <row r="83" spans="1:17" ht="20.25">
      <c r="A83" s="243" t="s">
        <v>129</v>
      </c>
      <c r="B83" s="1"/>
      <c r="C83" s="21"/>
      <c r="D83" s="2"/>
      <c r="E83" s="1"/>
      <c r="F83" s="99"/>
      <c r="G83" s="99"/>
      <c r="H83" s="1"/>
      <c r="I83" s="3"/>
      <c r="K83" s="7"/>
      <c r="L83" s="109"/>
      <c r="M83" s="109"/>
      <c r="P83" s="110" t="str">
        <f ca="1">P1</f>
        <v>SWEPCO Project 5 of 73</v>
      </c>
      <c r="Q83" s="1"/>
    </row>
    <row r="84" spans="1:17" ht="18">
      <c r="B84" s="1"/>
      <c r="C84" s="1"/>
      <c r="D84" s="2"/>
      <c r="E84" s="1"/>
      <c r="F84" s="1"/>
      <c r="G84" s="1"/>
      <c r="H84" s="1"/>
      <c r="I84" s="3"/>
      <c r="J84" s="1"/>
      <c r="K84" s="4"/>
      <c r="L84" s="1"/>
      <c r="M84" s="1"/>
      <c r="P84" s="237" t="s">
        <v>123</v>
      </c>
      <c r="Q84" s="1"/>
    </row>
    <row r="85" spans="1:17" ht="18.75" thickBot="1">
      <c r="B85" s="5" t="s">
        <v>40</v>
      </c>
      <c r="C85" s="197" t="s">
        <v>78</v>
      </c>
      <c r="D85" s="2"/>
      <c r="E85" s="1"/>
      <c r="F85" s="1"/>
      <c r="G85" s="1"/>
      <c r="H85" s="1"/>
      <c r="I85" s="3"/>
      <c r="J85" s="3"/>
      <c r="K85" s="111"/>
      <c r="L85" s="3"/>
      <c r="M85" s="3"/>
      <c r="N85" s="3"/>
      <c r="O85" s="111"/>
      <c r="P85" s="1"/>
      <c r="Q85" s="1"/>
    </row>
    <row r="86" spans="1:17" ht="15.75" thickBot="1">
      <c r="C86" s="67"/>
      <c r="D86" s="2"/>
      <c r="E86" s="1"/>
      <c r="F86" s="1"/>
      <c r="G86" s="1"/>
      <c r="H86" s="1"/>
      <c r="I86" s="3"/>
      <c r="J86" s="3"/>
      <c r="K86" s="111"/>
      <c r="L86" s="265">
        <f>+J92</f>
        <v>2017</v>
      </c>
      <c r="M86" s="266" t="s">
        <v>7</v>
      </c>
      <c r="N86" s="270" t="s">
        <v>154</v>
      </c>
      <c r="O86" s="267" t="s">
        <v>9</v>
      </c>
      <c r="P86" s="1"/>
      <c r="Q86" s="1"/>
    </row>
    <row r="87" spans="1:17" ht="15">
      <c r="C87" s="235" t="s">
        <v>42</v>
      </c>
      <c r="D87" s="2"/>
      <c r="E87" s="1"/>
      <c r="F87" s="1"/>
      <c r="G87" s="1"/>
      <c r="H87" s="113"/>
      <c r="I87" s="1" t="s">
        <v>43</v>
      </c>
      <c r="J87" s="1"/>
      <c r="K87" s="261"/>
      <c r="L87" s="259" t="s">
        <v>381</v>
      </c>
      <c r="M87" s="198">
        <f>IF(J92&lt;D11,0,VLOOKUP(J92,C17:O72,9))</f>
        <v>371766.22774985479</v>
      </c>
      <c r="N87" s="198">
        <f>IF(J92&lt;D11,0,VLOOKUP(J92,C17:O72,11))</f>
        <v>371766.22774985479</v>
      </c>
      <c r="O87" s="199">
        <f>+N87-M87</f>
        <v>0</v>
      </c>
      <c r="P87" s="1"/>
      <c r="Q87" s="1"/>
    </row>
    <row r="88" spans="1:17" ht="15.75">
      <c r="C88" s="8"/>
      <c r="D88" s="2"/>
      <c r="E88" s="1"/>
      <c r="F88" s="1"/>
      <c r="G88" s="1"/>
      <c r="H88" s="1"/>
      <c r="I88" s="117"/>
      <c r="J88" s="117"/>
      <c r="K88" s="263"/>
      <c r="L88" s="264" t="s">
        <v>382</v>
      </c>
      <c r="M88" s="200">
        <f>IF(J92&lt;D11,0,VLOOKUP(J92,C99:P154,6))</f>
        <v>368513.66854412947</v>
      </c>
      <c r="N88" s="200">
        <f>IF(J92&lt;D11,0,VLOOKUP(J92,C99:P154,7))</f>
        <v>368513.66854412947</v>
      </c>
      <c r="O88" s="201">
        <f>+N88-M88</f>
        <v>0</v>
      </c>
      <c r="P88" s="1"/>
      <c r="Q88" s="1"/>
    </row>
    <row r="89" spans="1:17" ht="13.5" thickBot="1">
      <c r="C89" s="121" t="s">
        <v>79</v>
      </c>
      <c r="D89" s="246" t="str">
        <f>+D7</f>
        <v>[Greenwood, AR Area Improve]  N Huntington, Greenwood, Reeves, Bonanza</v>
      </c>
      <c r="E89" s="1"/>
      <c r="F89" s="1"/>
      <c r="G89" s="1"/>
      <c r="H89" s="1"/>
      <c r="I89" s="3"/>
      <c r="J89" s="3"/>
      <c r="K89" s="262"/>
      <c r="L89" s="260" t="s">
        <v>151</v>
      </c>
      <c r="M89" s="203">
        <f>+M88-M87</f>
        <v>-3252.5592057253234</v>
      </c>
      <c r="N89" s="203">
        <f>+N88-N87</f>
        <v>-3252.5592057253234</v>
      </c>
      <c r="O89" s="204">
        <f>+O88-O87</f>
        <v>0</v>
      </c>
      <c r="P89" s="1"/>
      <c r="Q89" s="1"/>
    </row>
    <row r="90" spans="1:17" ht="13.5" thickBot="1">
      <c r="C90" s="170"/>
      <c r="D90" s="173" t="str">
        <f>D8</f>
        <v/>
      </c>
      <c r="E90" s="107"/>
      <c r="F90" s="107"/>
      <c r="G90" s="107"/>
      <c r="H90" s="126"/>
      <c r="I90" s="3"/>
      <c r="J90" s="3"/>
      <c r="K90" s="111"/>
      <c r="L90" s="3"/>
      <c r="M90" s="3"/>
      <c r="N90" s="3"/>
      <c r="O90" s="111"/>
      <c r="P90" s="1"/>
      <c r="Q90" s="1"/>
    </row>
    <row r="91" spans="1:17" ht="13.5" thickBot="1">
      <c r="A91" s="103"/>
      <c r="C91" s="205" t="s">
        <v>80</v>
      </c>
      <c r="D91" s="224" t="str">
        <f>+D9</f>
        <v>TP2007120</v>
      </c>
      <c r="E91" s="206"/>
      <c r="F91" s="206"/>
      <c r="G91" s="206"/>
      <c r="H91" s="206"/>
      <c r="I91" s="206"/>
      <c r="J91" s="238"/>
      <c r="K91" s="207"/>
      <c r="P91" s="131"/>
      <c r="Q91" s="1"/>
    </row>
    <row r="92" spans="1:17">
      <c r="C92" s="136" t="s">
        <v>47</v>
      </c>
      <c r="D92" s="133">
        <v>2981768</v>
      </c>
      <c r="E92" s="21" t="s">
        <v>81</v>
      </c>
      <c r="H92" s="134"/>
      <c r="I92" s="134"/>
      <c r="J92" s="135">
        <f>+'SWE.WS.G.BPU.ATRR.True-up'!M15</f>
        <v>2017</v>
      </c>
      <c r="K92" s="130"/>
      <c r="L92" s="111" t="s">
        <v>82</v>
      </c>
      <c r="P92" s="4"/>
      <c r="Q92" s="1"/>
    </row>
    <row r="93" spans="1:17">
      <c r="C93" s="136" t="s">
        <v>49</v>
      </c>
      <c r="D93" s="219">
        <f>IF(D11=I10,"",D11)</f>
        <v>2009</v>
      </c>
      <c r="E93" s="136" t="s">
        <v>50</v>
      </c>
      <c r="F93" s="134"/>
      <c r="G93" s="134"/>
      <c r="J93" s="138">
        <f>IF(H87="",0,'SWE.WS.G.BPU.ATRR.True-up'!$F$12)</f>
        <v>0</v>
      </c>
      <c r="K93" s="139"/>
      <c r="L93" t="str">
        <f>"          INPUT TRUE-UP ARR (WITH &amp; WITHOUT INCENTIVES) FROM EACH PRIOR YEAR"</f>
        <v xml:space="preserve">          INPUT TRUE-UP ARR (WITH &amp; WITHOUT INCENTIVES) FROM EACH PRIOR YEAR</v>
      </c>
      <c r="P93" s="4"/>
      <c r="Q93" s="1"/>
    </row>
    <row r="94" spans="1:17">
      <c r="C94" s="136" t="s">
        <v>51</v>
      </c>
      <c r="D94" s="218">
        <f>IF(D11=I10,"",D12)</f>
        <v>12</v>
      </c>
      <c r="E94" s="136" t="s">
        <v>52</v>
      </c>
      <c r="F94" s="134"/>
      <c r="G94" s="134"/>
      <c r="J94" s="140">
        <f>'SWE.WS.G.BPU.ATRR.True-up'!$F$80</f>
        <v>0.12147145768398206</v>
      </c>
      <c r="K94" s="141"/>
      <c r="L94" t="s">
        <v>83</v>
      </c>
      <c r="P94" s="4"/>
      <c r="Q94" s="1"/>
    </row>
    <row r="95" spans="1:17">
      <c r="C95" s="136" t="s">
        <v>54</v>
      </c>
      <c r="D95" s="138">
        <f>'SWE.WS.G.BPU.ATRR.True-up'!F$92</f>
        <v>42</v>
      </c>
      <c r="E95" s="136" t="s">
        <v>55</v>
      </c>
      <c r="F95" s="134"/>
      <c r="G95" s="134"/>
      <c r="J95" s="140">
        <f>IF(H87="",J94,'SWE.WS.G.BPU.ATRR.True-up'!$F$79)</f>
        <v>0.12147145768398206</v>
      </c>
      <c r="K95" s="58"/>
      <c r="L95" s="111" t="s">
        <v>56</v>
      </c>
      <c r="M95" s="58"/>
      <c r="N95" s="58"/>
      <c r="O95" s="58"/>
      <c r="P95" s="4"/>
      <c r="Q95" s="1"/>
    </row>
    <row r="96" spans="1:17" ht="13.5" thickBot="1">
      <c r="C96" s="136" t="s">
        <v>57</v>
      </c>
      <c r="D96" s="220" t="str">
        <f>+D14</f>
        <v>No</v>
      </c>
      <c r="E96" s="202" t="s">
        <v>59</v>
      </c>
      <c r="F96" s="208"/>
      <c r="G96" s="208"/>
      <c r="H96" s="209"/>
      <c r="I96" s="209"/>
      <c r="J96" s="124">
        <f>IF(D92=0,0,D92/D95)</f>
        <v>70994.476190476184</v>
      </c>
      <c r="K96" s="111"/>
      <c r="L96" s="111"/>
      <c r="M96" s="111"/>
      <c r="N96" s="111"/>
      <c r="O96" s="111"/>
      <c r="P96" s="4"/>
      <c r="Q96" s="1"/>
    </row>
    <row r="97" spans="1:17" ht="38.25">
      <c r="A97" s="6"/>
      <c r="B97" s="6"/>
      <c r="C97" s="210" t="s">
        <v>47</v>
      </c>
      <c r="D97" s="211" t="s">
        <v>60</v>
      </c>
      <c r="E97" s="146" t="s">
        <v>61</v>
      </c>
      <c r="F97" s="146" t="s">
        <v>62</v>
      </c>
      <c r="G97" s="144" t="s">
        <v>84</v>
      </c>
      <c r="H97" s="434" t="s">
        <v>378</v>
      </c>
      <c r="I97" s="435" t="s">
        <v>379</v>
      </c>
      <c r="J97" s="210" t="s">
        <v>85</v>
      </c>
      <c r="K97" s="212"/>
      <c r="L97" s="271" t="s">
        <v>220</v>
      </c>
      <c r="M97" s="146" t="s">
        <v>86</v>
      </c>
      <c r="N97" s="271" t="s">
        <v>220</v>
      </c>
      <c r="O97" s="146" t="s">
        <v>86</v>
      </c>
      <c r="P97" s="146" t="s">
        <v>65</v>
      </c>
      <c r="Q97" s="1"/>
    </row>
    <row r="98" spans="1:17" ht="13.5" thickBot="1">
      <c r="C98" s="147" t="s">
        <v>66</v>
      </c>
      <c r="D98" s="213" t="s">
        <v>67</v>
      </c>
      <c r="E98" s="147" t="s">
        <v>68</v>
      </c>
      <c r="F98" s="147" t="s">
        <v>67</v>
      </c>
      <c r="G98" s="147" t="s">
        <v>67</v>
      </c>
      <c r="H98" s="407" t="s">
        <v>69</v>
      </c>
      <c r="I98" s="148" t="s">
        <v>70</v>
      </c>
      <c r="J98" s="149" t="s">
        <v>89</v>
      </c>
      <c r="K98" s="150"/>
      <c r="L98" s="151" t="s">
        <v>72</v>
      </c>
      <c r="M98" s="151" t="s">
        <v>72</v>
      </c>
      <c r="N98" s="151" t="s">
        <v>90</v>
      </c>
      <c r="O98" s="151" t="s">
        <v>90</v>
      </c>
      <c r="P98" s="151" t="s">
        <v>90</v>
      </c>
      <c r="Q98" s="1"/>
    </row>
    <row r="99" spans="1:17">
      <c r="C99" s="153">
        <f>IF(D93= "","-",D93)</f>
        <v>2009</v>
      </c>
      <c r="D99" s="357">
        <v>0</v>
      </c>
      <c r="E99" s="360">
        <v>0</v>
      </c>
      <c r="F99" s="361">
        <v>2981232</v>
      </c>
      <c r="G99" s="365">
        <v>1490616</v>
      </c>
      <c r="H99" s="362">
        <v>215748</v>
      </c>
      <c r="I99" s="363">
        <v>215748</v>
      </c>
      <c r="J99" s="158">
        <f t="shared" ref="J99:J130" si="17">+I99-H99</f>
        <v>0</v>
      </c>
      <c r="K99" s="158"/>
      <c r="L99" s="256">
        <f t="shared" ref="L99:L104" si="18">H99</f>
        <v>215748</v>
      </c>
      <c r="M99" s="157">
        <f t="shared" ref="M99:M130" si="19">IF(L99&lt;&gt;0,+H99-L99,0)</f>
        <v>0</v>
      </c>
      <c r="N99" s="256">
        <f t="shared" ref="N99:N104" si="20">I99</f>
        <v>215748</v>
      </c>
      <c r="O99" s="157">
        <f t="shared" ref="O99:O130" si="21">IF(N99&lt;&gt;0,+I99-N99,0)</f>
        <v>0</v>
      </c>
      <c r="P99" s="157">
        <f t="shared" ref="P99:P130" si="22">+O99-M99</f>
        <v>0</v>
      </c>
      <c r="Q99" s="1"/>
    </row>
    <row r="100" spans="1:17">
      <c r="B100" s="9" t="str">
        <f>IF(D100=F99,"","IU")</f>
        <v/>
      </c>
      <c r="C100" s="153">
        <f>IF(D93="","-",+C99+1)</f>
        <v>2010</v>
      </c>
      <c r="D100" s="357">
        <v>2981232</v>
      </c>
      <c r="E100" s="360">
        <v>72712.975609756104</v>
      </c>
      <c r="F100" s="361">
        <v>2908519.0243902439</v>
      </c>
      <c r="G100" s="361">
        <v>2944875.512195122</v>
      </c>
      <c r="H100" s="360">
        <v>558870.93622757494</v>
      </c>
      <c r="I100" s="359">
        <v>558870.93622757494</v>
      </c>
      <c r="J100" s="158">
        <f t="shared" si="17"/>
        <v>0</v>
      </c>
      <c r="K100" s="158"/>
      <c r="L100" s="258">
        <f t="shared" si="18"/>
        <v>558870.93622757494</v>
      </c>
      <c r="M100" s="257">
        <f t="shared" si="19"/>
        <v>0</v>
      </c>
      <c r="N100" s="258">
        <f t="shared" si="20"/>
        <v>558870.93622757494</v>
      </c>
      <c r="O100" s="158">
        <f t="shared" si="21"/>
        <v>0</v>
      </c>
      <c r="P100" s="158">
        <f t="shared" si="22"/>
        <v>0</v>
      </c>
      <c r="Q100" s="1"/>
    </row>
    <row r="101" spans="1:17">
      <c r="B101" s="9" t="str">
        <f t="shared" ref="B101:B154" si="23">IF(D101=F100,"","IU")</f>
        <v/>
      </c>
      <c r="C101" s="153">
        <f>IF(D93="","-",+C100+1)</f>
        <v>2011</v>
      </c>
      <c r="D101" s="357">
        <v>2908519.0243902439</v>
      </c>
      <c r="E101" s="377">
        <v>70981.71428571429</v>
      </c>
      <c r="F101" s="361">
        <v>2837537.3101045298</v>
      </c>
      <c r="G101" s="361">
        <v>2873028.1672473866</v>
      </c>
      <c r="H101" s="360">
        <v>503027.40641582396</v>
      </c>
      <c r="I101" s="359">
        <v>503027.40641582396</v>
      </c>
      <c r="J101" s="158">
        <f t="shared" si="17"/>
        <v>0</v>
      </c>
      <c r="K101" s="158"/>
      <c r="L101" s="258">
        <f t="shared" si="18"/>
        <v>503027.40641582396</v>
      </c>
      <c r="M101" s="257">
        <f t="shared" si="19"/>
        <v>0</v>
      </c>
      <c r="N101" s="258">
        <f t="shared" si="20"/>
        <v>503027.40641582396</v>
      </c>
      <c r="O101" s="158">
        <f t="shared" si="21"/>
        <v>0</v>
      </c>
      <c r="P101" s="158">
        <f t="shared" si="22"/>
        <v>0</v>
      </c>
      <c r="Q101" s="1"/>
    </row>
    <row r="102" spans="1:17">
      <c r="B102" s="9" t="str">
        <f t="shared" si="23"/>
        <v/>
      </c>
      <c r="C102" s="153">
        <f>IF(D93="","-",+C101+1)</f>
        <v>2012</v>
      </c>
      <c r="D102" s="357">
        <v>2837537.3101045298</v>
      </c>
      <c r="E102" s="360">
        <v>70981.71428571429</v>
      </c>
      <c r="F102" s="361">
        <v>2766555.5958188158</v>
      </c>
      <c r="G102" s="361">
        <v>2802046.452961673</v>
      </c>
      <c r="H102" s="360">
        <v>483313.86691448453</v>
      </c>
      <c r="I102" s="359">
        <v>483313.86691448453</v>
      </c>
      <c r="J102" s="158">
        <f t="shared" si="17"/>
        <v>0</v>
      </c>
      <c r="K102" s="158"/>
      <c r="L102" s="258">
        <f t="shared" si="18"/>
        <v>483313.86691448453</v>
      </c>
      <c r="M102" s="257">
        <f t="shared" si="19"/>
        <v>0</v>
      </c>
      <c r="N102" s="258">
        <f t="shared" si="20"/>
        <v>483313.86691448453</v>
      </c>
      <c r="O102" s="158">
        <f t="shared" si="21"/>
        <v>0</v>
      </c>
      <c r="P102" s="158">
        <f t="shared" si="22"/>
        <v>0</v>
      </c>
      <c r="Q102" s="1"/>
    </row>
    <row r="103" spans="1:17">
      <c r="B103" s="9" t="str">
        <f t="shared" si="23"/>
        <v/>
      </c>
      <c r="C103" s="153">
        <f>IF(D93="","-",+C102+1)</f>
        <v>2013</v>
      </c>
      <c r="D103" s="357">
        <v>2766555.5958188158</v>
      </c>
      <c r="E103" s="360">
        <v>70981.71428571429</v>
      </c>
      <c r="F103" s="361">
        <v>2695573.8815331017</v>
      </c>
      <c r="G103" s="361">
        <v>2731064.7386759585</v>
      </c>
      <c r="H103" s="360">
        <v>440472.11189849139</v>
      </c>
      <c r="I103" s="359">
        <v>440472.11189849139</v>
      </c>
      <c r="J103" s="158">
        <v>0</v>
      </c>
      <c r="K103" s="158"/>
      <c r="L103" s="258">
        <f t="shared" si="18"/>
        <v>440472.11189849139</v>
      </c>
      <c r="M103" s="257">
        <f>IF(L103&lt;&gt;0,+H103-L103,0)</f>
        <v>0</v>
      </c>
      <c r="N103" s="258">
        <f t="shared" si="20"/>
        <v>440472.11189849139</v>
      </c>
      <c r="O103" s="158">
        <f>IF(N103&lt;&gt;0,+I103-N103,0)</f>
        <v>0</v>
      </c>
      <c r="P103" s="158">
        <f>+O103-M103</f>
        <v>0</v>
      </c>
      <c r="Q103" s="1"/>
    </row>
    <row r="104" spans="1:17">
      <c r="B104" s="9" t="str">
        <f t="shared" si="23"/>
        <v/>
      </c>
      <c r="C104" s="153">
        <f>IF(D93="","-",+C103+1)</f>
        <v>2014</v>
      </c>
      <c r="D104" s="357">
        <v>2695573.8815331017</v>
      </c>
      <c r="E104" s="360">
        <v>70981.71428571429</v>
      </c>
      <c r="F104" s="361">
        <v>2624592.1672473876</v>
      </c>
      <c r="G104" s="361">
        <v>2660083.0243902449</v>
      </c>
      <c r="H104" s="360">
        <v>432549.40222158958</v>
      </c>
      <c r="I104" s="359">
        <v>432549.40222158958</v>
      </c>
      <c r="J104" s="158">
        <v>0</v>
      </c>
      <c r="K104" s="158"/>
      <c r="L104" s="258">
        <f t="shared" si="18"/>
        <v>432549.40222158958</v>
      </c>
      <c r="M104" s="257">
        <f>IF(L104&lt;&gt;0,+H104-L104,0)</f>
        <v>0</v>
      </c>
      <c r="N104" s="258">
        <f t="shared" si="20"/>
        <v>432549.40222158958</v>
      </c>
      <c r="O104" s="158">
        <f>IF(N104&lt;&gt;0,+I104-N104,0)</f>
        <v>0</v>
      </c>
      <c r="P104" s="158">
        <f>+O104-M104</f>
        <v>0</v>
      </c>
      <c r="Q104" s="1"/>
    </row>
    <row r="105" spans="1:17">
      <c r="B105" s="9" t="str">
        <f t="shared" si="23"/>
        <v>IU</v>
      </c>
      <c r="C105" s="153">
        <f>IF(D93="","-",+C104+1)</f>
        <v>2015</v>
      </c>
      <c r="D105" s="357">
        <v>2625128.1672473866</v>
      </c>
      <c r="E105" s="360">
        <v>70994.476190476184</v>
      </c>
      <c r="F105" s="361">
        <v>2554133.6910569104</v>
      </c>
      <c r="G105" s="361">
        <v>2589630.9291521488</v>
      </c>
      <c r="H105" s="360">
        <v>412227.237835226</v>
      </c>
      <c r="I105" s="359">
        <v>412227.237835226</v>
      </c>
      <c r="J105" s="158">
        <f t="shared" si="17"/>
        <v>0</v>
      </c>
      <c r="K105" s="158"/>
      <c r="L105" s="258">
        <f>H105</f>
        <v>412227.237835226</v>
      </c>
      <c r="M105" s="257">
        <f>IF(L105&lt;&gt;0,+H105-L105,0)</f>
        <v>0</v>
      </c>
      <c r="N105" s="258">
        <f>I105</f>
        <v>412227.237835226</v>
      </c>
      <c r="O105" s="158">
        <f>IF(N105&lt;&gt;0,+I105-N105,0)</f>
        <v>0</v>
      </c>
      <c r="P105" s="158">
        <f>+O105-M105</f>
        <v>0</v>
      </c>
      <c r="Q105" s="1"/>
    </row>
    <row r="106" spans="1:17">
      <c r="B106" s="9" t="str">
        <f t="shared" si="23"/>
        <v/>
      </c>
      <c r="C106" s="153">
        <f>IF(D93="","-",+C105+1)</f>
        <v>2016</v>
      </c>
      <c r="D106" s="357">
        <v>2554133.6910569104</v>
      </c>
      <c r="E106" s="360">
        <v>69343.441860465115</v>
      </c>
      <c r="F106" s="361">
        <v>2484790.2491964451</v>
      </c>
      <c r="G106" s="361">
        <v>2519461.9701266778</v>
      </c>
      <c r="H106" s="360">
        <v>389189.1094610201</v>
      </c>
      <c r="I106" s="359">
        <v>389189.1094610201</v>
      </c>
      <c r="J106" s="158">
        <v>0</v>
      </c>
      <c r="K106" s="158"/>
      <c r="L106" s="258">
        <f>H106</f>
        <v>389189.1094610201</v>
      </c>
      <c r="M106" s="257">
        <f>IF(L106&lt;&gt;0,+H106-L106,0)</f>
        <v>0</v>
      </c>
      <c r="N106" s="258">
        <f>I106</f>
        <v>389189.1094610201</v>
      </c>
      <c r="O106" s="158">
        <f>IF(N106&lt;&gt;0,+I106-N106,0)</f>
        <v>0</v>
      </c>
      <c r="P106" s="158">
        <f>+O106-M106</f>
        <v>0</v>
      </c>
      <c r="Q106" s="1"/>
    </row>
    <row r="107" spans="1:17">
      <c r="B107" s="9" t="str">
        <f t="shared" si="23"/>
        <v/>
      </c>
      <c r="C107" s="153">
        <f>IF(D93="","-",+C106+1)</f>
        <v>2017</v>
      </c>
      <c r="D107" s="154">
        <f>IF(F106+SUM(E$99:E106)=D$92,F106,D$92-SUM(E$99:E106))</f>
        <v>2484790.2491964451</v>
      </c>
      <c r="E107" s="160">
        <f>IF(+J96&lt;F106,J96,D107)</f>
        <v>70994.476190476184</v>
      </c>
      <c r="F107" s="159">
        <f t="shared" ref="F107:F130" si="24">+D107-E107</f>
        <v>2413795.7730059689</v>
      </c>
      <c r="G107" s="159">
        <f t="shared" ref="G107:G130" si="25">+(F107+D107)/2</f>
        <v>2449293.0111012068</v>
      </c>
      <c r="H107" s="163">
        <f t="shared" ref="H107:H112" si="26">+J$94*G107+E107</f>
        <v>368513.66854412947</v>
      </c>
      <c r="I107" s="253">
        <f t="shared" ref="I107:I112" si="27">+J$95*G107+E107</f>
        <v>368513.66854412947</v>
      </c>
      <c r="J107" s="158">
        <f t="shared" si="17"/>
        <v>0</v>
      </c>
      <c r="K107" s="158"/>
      <c r="L107" s="334"/>
      <c r="M107" s="158">
        <f t="shared" si="19"/>
        <v>0</v>
      </c>
      <c r="N107" s="334"/>
      <c r="O107" s="158">
        <f t="shared" si="21"/>
        <v>0</v>
      </c>
      <c r="P107" s="158">
        <f t="shared" si="22"/>
        <v>0</v>
      </c>
      <c r="Q107" s="1"/>
    </row>
    <row r="108" spans="1:17">
      <c r="B108" s="9" t="str">
        <f t="shared" si="23"/>
        <v/>
      </c>
      <c r="C108" s="153">
        <f>IF(D93="","-",+C107+1)</f>
        <v>2018</v>
      </c>
      <c r="D108" s="154">
        <f>IF(F107+SUM(E$99:E107)=D$92,F107,D$92-SUM(E$99:E107))</f>
        <v>2413795.7730059689</v>
      </c>
      <c r="E108" s="160">
        <f>IF(+J96&lt;F107,J96,D108)</f>
        <v>70994.476190476184</v>
      </c>
      <c r="F108" s="159">
        <f t="shared" si="24"/>
        <v>2342801.2968154927</v>
      </c>
      <c r="G108" s="159">
        <f t="shared" si="25"/>
        <v>2378298.534910731</v>
      </c>
      <c r="H108" s="163">
        <f t="shared" si="26"/>
        <v>359889.86603376153</v>
      </c>
      <c r="I108" s="253">
        <f t="shared" si="27"/>
        <v>359889.86603376153</v>
      </c>
      <c r="J108" s="158">
        <f t="shared" si="17"/>
        <v>0</v>
      </c>
      <c r="K108" s="158"/>
      <c r="L108" s="334"/>
      <c r="M108" s="158">
        <f t="shared" si="19"/>
        <v>0</v>
      </c>
      <c r="N108" s="334"/>
      <c r="O108" s="158">
        <f t="shared" si="21"/>
        <v>0</v>
      </c>
      <c r="P108" s="158">
        <f t="shared" si="22"/>
        <v>0</v>
      </c>
      <c r="Q108" s="1"/>
    </row>
    <row r="109" spans="1:17">
      <c r="B109" s="9" t="str">
        <f t="shared" si="23"/>
        <v/>
      </c>
      <c r="C109" s="153">
        <f>IF(D93="","-",+C108+1)</f>
        <v>2019</v>
      </c>
      <c r="D109" s="154">
        <f>IF(F108+SUM(E$99:E108)=D$92,F108,D$92-SUM(E$99:E108))</f>
        <v>2342801.2968154927</v>
      </c>
      <c r="E109" s="160">
        <f>IF(+J96&lt;F108,J96,D109)</f>
        <v>70994.476190476184</v>
      </c>
      <c r="F109" s="159">
        <f t="shared" si="24"/>
        <v>2271806.8206250165</v>
      </c>
      <c r="G109" s="159">
        <f t="shared" si="25"/>
        <v>2307304.0587202543</v>
      </c>
      <c r="H109" s="163">
        <f t="shared" si="26"/>
        <v>351266.06352339359</v>
      </c>
      <c r="I109" s="253">
        <f t="shared" si="27"/>
        <v>351266.06352339359</v>
      </c>
      <c r="J109" s="158">
        <f t="shared" si="17"/>
        <v>0</v>
      </c>
      <c r="K109" s="158"/>
      <c r="L109" s="334"/>
      <c r="M109" s="158">
        <f t="shared" si="19"/>
        <v>0</v>
      </c>
      <c r="N109" s="334"/>
      <c r="O109" s="158">
        <f t="shared" si="21"/>
        <v>0</v>
      </c>
      <c r="P109" s="158">
        <f t="shared" si="22"/>
        <v>0</v>
      </c>
      <c r="Q109" s="1"/>
    </row>
    <row r="110" spans="1:17">
      <c r="B110" s="9" t="str">
        <f t="shared" si="23"/>
        <v/>
      </c>
      <c r="C110" s="153">
        <f>IF(D93="","-",+C109+1)</f>
        <v>2020</v>
      </c>
      <c r="D110" s="154">
        <f>IF(F109+SUM(E$99:E109)=D$92,F109,D$92-SUM(E$99:E109))</f>
        <v>2271806.8206250165</v>
      </c>
      <c r="E110" s="160">
        <f>IF(+J96&lt;F109,J96,D110)</f>
        <v>70994.476190476184</v>
      </c>
      <c r="F110" s="159">
        <f t="shared" si="24"/>
        <v>2200812.3444345403</v>
      </c>
      <c r="G110" s="159">
        <f t="shared" si="25"/>
        <v>2236309.5825297786</v>
      </c>
      <c r="H110" s="163">
        <f t="shared" si="26"/>
        <v>342642.26101302577</v>
      </c>
      <c r="I110" s="253">
        <f t="shared" si="27"/>
        <v>342642.26101302577</v>
      </c>
      <c r="J110" s="158">
        <f t="shared" si="17"/>
        <v>0</v>
      </c>
      <c r="K110" s="158"/>
      <c r="L110" s="334"/>
      <c r="M110" s="158">
        <f t="shared" si="19"/>
        <v>0</v>
      </c>
      <c r="N110" s="334"/>
      <c r="O110" s="158">
        <f t="shared" si="21"/>
        <v>0</v>
      </c>
      <c r="P110" s="158">
        <f t="shared" si="22"/>
        <v>0</v>
      </c>
      <c r="Q110" s="1"/>
    </row>
    <row r="111" spans="1:17">
      <c r="B111" s="9" t="str">
        <f t="shared" si="23"/>
        <v/>
      </c>
      <c r="C111" s="153">
        <f>IF(D93="","-",+C110+1)</f>
        <v>2021</v>
      </c>
      <c r="D111" s="154">
        <f>IF(F110+SUM(E$99:E110)=D$92,F110,D$92-SUM(E$99:E110))</f>
        <v>2200812.3444345403</v>
      </c>
      <c r="E111" s="160">
        <f>IF(+J96&lt;F110,J96,D111)</f>
        <v>70994.476190476184</v>
      </c>
      <c r="F111" s="159">
        <f t="shared" si="24"/>
        <v>2129817.868244064</v>
      </c>
      <c r="G111" s="159">
        <f t="shared" si="25"/>
        <v>2165315.1063393019</v>
      </c>
      <c r="H111" s="163">
        <f t="shared" si="26"/>
        <v>334018.45850265783</v>
      </c>
      <c r="I111" s="253">
        <f t="shared" si="27"/>
        <v>334018.45850265783</v>
      </c>
      <c r="J111" s="158">
        <f t="shared" si="17"/>
        <v>0</v>
      </c>
      <c r="K111" s="158"/>
      <c r="L111" s="334"/>
      <c r="M111" s="158">
        <f t="shared" si="19"/>
        <v>0</v>
      </c>
      <c r="N111" s="334"/>
      <c r="O111" s="158">
        <f t="shared" si="21"/>
        <v>0</v>
      </c>
      <c r="P111" s="158">
        <f t="shared" si="22"/>
        <v>0</v>
      </c>
      <c r="Q111" s="1"/>
    </row>
    <row r="112" spans="1:17">
      <c r="B112" s="9" t="str">
        <f t="shared" si="23"/>
        <v/>
      </c>
      <c r="C112" s="153">
        <f>IF(D93="","-",+C111+1)</f>
        <v>2022</v>
      </c>
      <c r="D112" s="154">
        <f>IF(F111+SUM(E$99:E111)=D$92,F111,D$92-SUM(E$99:E111))</f>
        <v>2129817.868244064</v>
      </c>
      <c r="E112" s="160">
        <f>IF(+J96&lt;F111,J96,D112)</f>
        <v>70994.476190476184</v>
      </c>
      <c r="F112" s="159">
        <f t="shared" si="24"/>
        <v>2058823.3920535878</v>
      </c>
      <c r="G112" s="159">
        <f t="shared" si="25"/>
        <v>2094320.6301488259</v>
      </c>
      <c r="H112" s="163">
        <f t="shared" si="26"/>
        <v>325394.65599228989</v>
      </c>
      <c r="I112" s="253">
        <f t="shared" si="27"/>
        <v>325394.65599228989</v>
      </c>
      <c r="J112" s="158">
        <f t="shared" si="17"/>
        <v>0</v>
      </c>
      <c r="K112" s="158"/>
      <c r="L112" s="334"/>
      <c r="M112" s="158">
        <f t="shared" si="19"/>
        <v>0</v>
      </c>
      <c r="N112" s="334"/>
      <c r="O112" s="158">
        <f t="shared" si="21"/>
        <v>0</v>
      </c>
      <c r="P112" s="158">
        <f t="shared" si="22"/>
        <v>0</v>
      </c>
      <c r="Q112" s="1"/>
    </row>
    <row r="113" spans="2:17">
      <c r="B113" s="9" t="str">
        <f t="shared" si="23"/>
        <v/>
      </c>
      <c r="C113" s="153">
        <f>IF(D93="","-",+C112+1)</f>
        <v>2023</v>
      </c>
      <c r="D113" s="154">
        <f>IF(F112+SUM(E$99:E112)=D$92,F112,D$92-SUM(E$99:E112))</f>
        <v>2058823.3920535878</v>
      </c>
      <c r="E113" s="160">
        <f>IF(+J96&lt;F112,J96,D113)</f>
        <v>70994.476190476184</v>
      </c>
      <c r="F113" s="159">
        <f t="shared" si="24"/>
        <v>1987828.9158631116</v>
      </c>
      <c r="G113" s="159">
        <f t="shared" si="25"/>
        <v>2023326.1539583497</v>
      </c>
      <c r="H113" s="163">
        <f t="shared" ref="H113:H154" si="28">+J$94*G113+E113</f>
        <v>316770.85348192207</v>
      </c>
      <c r="I113" s="253">
        <f t="shared" ref="I113:I154" si="29">+J$95*G113+E113</f>
        <v>316770.85348192207</v>
      </c>
      <c r="J113" s="158">
        <f t="shared" si="17"/>
        <v>0</v>
      </c>
      <c r="K113" s="158"/>
      <c r="L113" s="334"/>
      <c r="M113" s="158">
        <f t="shared" si="19"/>
        <v>0</v>
      </c>
      <c r="N113" s="334"/>
      <c r="O113" s="158">
        <f t="shared" si="21"/>
        <v>0</v>
      </c>
      <c r="P113" s="158">
        <f t="shared" si="22"/>
        <v>0</v>
      </c>
      <c r="Q113" s="1"/>
    </row>
    <row r="114" spans="2:17">
      <c r="B114" s="9" t="str">
        <f t="shared" si="23"/>
        <v/>
      </c>
      <c r="C114" s="153">
        <f>IF(D93="","-",+C113+1)</f>
        <v>2024</v>
      </c>
      <c r="D114" s="154">
        <f>IF(F113+SUM(E$99:E113)=D$92,F113,D$92-SUM(E$99:E113))</f>
        <v>1987828.9158631116</v>
      </c>
      <c r="E114" s="160">
        <f>IF(+J96&lt;F113,J96,D114)</f>
        <v>70994.476190476184</v>
      </c>
      <c r="F114" s="159">
        <f t="shared" si="24"/>
        <v>1916834.4396726354</v>
      </c>
      <c r="G114" s="159">
        <f t="shared" si="25"/>
        <v>1952331.6777678735</v>
      </c>
      <c r="H114" s="163">
        <f t="shared" si="28"/>
        <v>308147.05097155413</v>
      </c>
      <c r="I114" s="253">
        <f t="shared" si="29"/>
        <v>308147.05097155413</v>
      </c>
      <c r="J114" s="158">
        <f t="shared" si="17"/>
        <v>0</v>
      </c>
      <c r="K114" s="158"/>
      <c r="L114" s="334"/>
      <c r="M114" s="158">
        <f t="shared" si="19"/>
        <v>0</v>
      </c>
      <c r="N114" s="334"/>
      <c r="O114" s="158">
        <f t="shared" si="21"/>
        <v>0</v>
      </c>
      <c r="P114" s="158">
        <f t="shared" si="22"/>
        <v>0</v>
      </c>
      <c r="Q114" s="1"/>
    </row>
    <row r="115" spans="2:17">
      <c r="B115" s="9" t="str">
        <f t="shared" si="23"/>
        <v/>
      </c>
      <c r="C115" s="153">
        <f>IF(D93="","-",+C114+1)</f>
        <v>2025</v>
      </c>
      <c r="D115" s="154">
        <f>IF(F114+SUM(E$99:E114)=D$92,F114,D$92-SUM(E$99:E114))</f>
        <v>1916834.4396726354</v>
      </c>
      <c r="E115" s="160">
        <f>IF(+J96&lt;F114,J96,D115)</f>
        <v>70994.476190476184</v>
      </c>
      <c r="F115" s="159">
        <f t="shared" si="24"/>
        <v>1845839.9634821592</v>
      </c>
      <c r="G115" s="159">
        <f t="shared" si="25"/>
        <v>1881337.2015773973</v>
      </c>
      <c r="H115" s="163">
        <f t="shared" si="28"/>
        <v>299523.24846118619</v>
      </c>
      <c r="I115" s="253">
        <f t="shared" si="29"/>
        <v>299523.24846118619</v>
      </c>
      <c r="J115" s="158">
        <f t="shared" si="17"/>
        <v>0</v>
      </c>
      <c r="K115" s="158"/>
      <c r="L115" s="334"/>
      <c r="M115" s="158">
        <f t="shared" si="19"/>
        <v>0</v>
      </c>
      <c r="N115" s="334"/>
      <c r="O115" s="158">
        <f t="shared" si="21"/>
        <v>0</v>
      </c>
      <c r="P115" s="158">
        <f t="shared" si="22"/>
        <v>0</v>
      </c>
      <c r="Q115" s="1"/>
    </row>
    <row r="116" spans="2:17">
      <c r="B116" s="9" t="str">
        <f t="shared" si="23"/>
        <v/>
      </c>
      <c r="C116" s="153">
        <f>IF(D93="","-",+C115+1)</f>
        <v>2026</v>
      </c>
      <c r="D116" s="154">
        <f>IF(F115+SUM(E$99:E115)=D$92,F115,D$92-SUM(E$99:E115))</f>
        <v>1845839.9634821592</v>
      </c>
      <c r="E116" s="160">
        <f>IF(+J96&lt;F115,J96,D116)</f>
        <v>70994.476190476184</v>
      </c>
      <c r="F116" s="159">
        <f t="shared" si="24"/>
        <v>1774845.487291683</v>
      </c>
      <c r="G116" s="159">
        <f t="shared" si="25"/>
        <v>1810342.7253869211</v>
      </c>
      <c r="H116" s="163">
        <f t="shared" si="28"/>
        <v>290899.44595081831</v>
      </c>
      <c r="I116" s="253">
        <f t="shared" si="29"/>
        <v>290899.44595081831</v>
      </c>
      <c r="J116" s="158">
        <f t="shared" si="17"/>
        <v>0</v>
      </c>
      <c r="K116" s="158"/>
      <c r="L116" s="334"/>
      <c r="M116" s="158">
        <f t="shared" si="19"/>
        <v>0</v>
      </c>
      <c r="N116" s="334"/>
      <c r="O116" s="158">
        <f t="shared" si="21"/>
        <v>0</v>
      </c>
      <c r="P116" s="158">
        <f t="shared" si="22"/>
        <v>0</v>
      </c>
      <c r="Q116" s="1"/>
    </row>
    <row r="117" spans="2:17">
      <c r="B117" s="9" t="str">
        <f t="shared" si="23"/>
        <v/>
      </c>
      <c r="C117" s="153">
        <f>IF(D93="","-",+C116+1)</f>
        <v>2027</v>
      </c>
      <c r="D117" s="154">
        <f>IF(F116+SUM(E$99:E116)=D$92,F116,D$92-SUM(E$99:E116))</f>
        <v>1774845.487291683</v>
      </c>
      <c r="E117" s="160">
        <f>IF(+J96&lt;F116,J96,D117)</f>
        <v>70994.476190476184</v>
      </c>
      <c r="F117" s="159">
        <f t="shared" si="24"/>
        <v>1703851.0111012068</v>
      </c>
      <c r="G117" s="159">
        <f t="shared" si="25"/>
        <v>1739348.2491964449</v>
      </c>
      <c r="H117" s="163">
        <f t="shared" si="28"/>
        <v>282275.64344045043</v>
      </c>
      <c r="I117" s="253">
        <f t="shared" si="29"/>
        <v>282275.64344045043</v>
      </c>
      <c r="J117" s="158">
        <f t="shared" si="17"/>
        <v>0</v>
      </c>
      <c r="K117" s="158"/>
      <c r="L117" s="334"/>
      <c r="M117" s="158">
        <f t="shared" si="19"/>
        <v>0</v>
      </c>
      <c r="N117" s="334"/>
      <c r="O117" s="158">
        <f t="shared" si="21"/>
        <v>0</v>
      </c>
      <c r="P117" s="158">
        <f t="shared" si="22"/>
        <v>0</v>
      </c>
      <c r="Q117" s="1"/>
    </row>
    <row r="118" spans="2:17">
      <c r="B118" s="9" t="str">
        <f t="shared" si="23"/>
        <v/>
      </c>
      <c r="C118" s="153">
        <f>IF(D93="","-",+C117+1)</f>
        <v>2028</v>
      </c>
      <c r="D118" s="154">
        <f>IF(F117+SUM(E$99:E117)=D$92,F117,D$92-SUM(E$99:E117))</f>
        <v>1703851.0111012068</v>
      </c>
      <c r="E118" s="160">
        <f>IF(+J96&lt;F117,J96,D118)</f>
        <v>70994.476190476184</v>
      </c>
      <c r="F118" s="159">
        <f t="shared" si="24"/>
        <v>1632856.5349107306</v>
      </c>
      <c r="G118" s="159">
        <f t="shared" si="25"/>
        <v>1668353.7730059687</v>
      </c>
      <c r="H118" s="163">
        <f t="shared" si="28"/>
        <v>273651.84093008249</v>
      </c>
      <c r="I118" s="253">
        <f t="shared" si="29"/>
        <v>273651.84093008249</v>
      </c>
      <c r="J118" s="158">
        <f t="shared" si="17"/>
        <v>0</v>
      </c>
      <c r="K118" s="158"/>
      <c r="L118" s="334"/>
      <c r="M118" s="158">
        <f t="shared" si="19"/>
        <v>0</v>
      </c>
      <c r="N118" s="334"/>
      <c r="O118" s="158">
        <f t="shared" si="21"/>
        <v>0</v>
      </c>
      <c r="P118" s="158">
        <f t="shared" si="22"/>
        <v>0</v>
      </c>
      <c r="Q118" s="1"/>
    </row>
    <row r="119" spans="2:17">
      <c r="B119" s="9" t="str">
        <f t="shared" si="23"/>
        <v/>
      </c>
      <c r="C119" s="153">
        <f>IF(D93="","-",+C118+1)</f>
        <v>2029</v>
      </c>
      <c r="D119" s="154">
        <f>IF(F118+SUM(E$99:E118)=D$92,F118,D$92-SUM(E$99:E118))</f>
        <v>1632856.5349107306</v>
      </c>
      <c r="E119" s="160">
        <f>IF(+J96&lt;F118,J96,D119)</f>
        <v>70994.476190476184</v>
      </c>
      <c r="F119" s="159">
        <f t="shared" si="24"/>
        <v>1561862.0587202543</v>
      </c>
      <c r="G119" s="159">
        <f t="shared" si="25"/>
        <v>1597359.2968154924</v>
      </c>
      <c r="H119" s="163">
        <f t="shared" si="28"/>
        <v>265028.0384197146</v>
      </c>
      <c r="I119" s="253">
        <f t="shared" si="29"/>
        <v>265028.0384197146</v>
      </c>
      <c r="J119" s="158">
        <f t="shared" si="17"/>
        <v>0</v>
      </c>
      <c r="K119" s="158"/>
      <c r="L119" s="334"/>
      <c r="M119" s="158">
        <f t="shared" si="19"/>
        <v>0</v>
      </c>
      <c r="N119" s="334"/>
      <c r="O119" s="158">
        <f t="shared" si="21"/>
        <v>0</v>
      </c>
      <c r="P119" s="158">
        <f t="shared" si="22"/>
        <v>0</v>
      </c>
      <c r="Q119" s="1"/>
    </row>
    <row r="120" spans="2:17">
      <c r="B120" s="9" t="str">
        <f t="shared" si="23"/>
        <v/>
      </c>
      <c r="C120" s="153">
        <f>IF(D93="","-",+C119+1)</f>
        <v>2030</v>
      </c>
      <c r="D120" s="154">
        <f>IF(F119+SUM(E$99:E119)=D$92,F119,D$92-SUM(E$99:E119))</f>
        <v>1561862.0587202543</v>
      </c>
      <c r="E120" s="160">
        <f>IF(+J96&lt;F119,J96,D120)</f>
        <v>70994.476190476184</v>
      </c>
      <c r="F120" s="159">
        <f t="shared" si="24"/>
        <v>1490867.5825297781</v>
      </c>
      <c r="G120" s="159">
        <f t="shared" si="25"/>
        <v>1526364.8206250162</v>
      </c>
      <c r="H120" s="163">
        <f t="shared" si="28"/>
        <v>256404.23590934669</v>
      </c>
      <c r="I120" s="253">
        <f t="shared" si="29"/>
        <v>256404.23590934669</v>
      </c>
      <c r="J120" s="158">
        <f t="shared" si="17"/>
        <v>0</v>
      </c>
      <c r="K120" s="158"/>
      <c r="L120" s="334"/>
      <c r="M120" s="158">
        <f t="shared" si="19"/>
        <v>0</v>
      </c>
      <c r="N120" s="334"/>
      <c r="O120" s="158">
        <f t="shared" si="21"/>
        <v>0</v>
      </c>
      <c r="P120" s="158">
        <f t="shared" si="22"/>
        <v>0</v>
      </c>
      <c r="Q120" s="1"/>
    </row>
    <row r="121" spans="2:17">
      <c r="B121" s="9" t="str">
        <f t="shared" si="23"/>
        <v/>
      </c>
      <c r="C121" s="153">
        <f>IF(D93="","-",+C120+1)</f>
        <v>2031</v>
      </c>
      <c r="D121" s="154">
        <f>IF(F120+SUM(E$99:E120)=D$92,F120,D$92-SUM(E$99:E120))</f>
        <v>1490867.5825297781</v>
      </c>
      <c r="E121" s="160">
        <f>IF(+J96&lt;F120,J96,D121)</f>
        <v>70994.476190476184</v>
      </c>
      <c r="F121" s="159">
        <f t="shared" si="24"/>
        <v>1419873.1063393019</v>
      </c>
      <c r="G121" s="159">
        <f t="shared" si="25"/>
        <v>1455370.34443454</v>
      </c>
      <c r="H121" s="163">
        <f t="shared" si="28"/>
        <v>247780.43339897881</v>
      </c>
      <c r="I121" s="253">
        <f t="shared" si="29"/>
        <v>247780.43339897881</v>
      </c>
      <c r="J121" s="158">
        <f t="shared" si="17"/>
        <v>0</v>
      </c>
      <c r="K121" s="158"/>
      <c r="L121" s="334"/>
      <c r="M121" s="158">
        <f t="shared" si="19"/>
        <v>0</v>
      </c>
      <c r="N121" s="334"/>
      <c r="O121" s="158">
        <f t="shared" si="21"/>
        <v>0</v>
      </c>
      <c r="P121" s="158">
        <f t="shared" si="22"/>
        <v>0</v>
      </c>
      <c r="Q121" s="1"/>
    </row>
    <row r="122" spans="2:17">
      <c r="B122" s="9" t="str">
        <f t="shared" si="23"/>
        <v/>
      </c>
      <c r="C122" s="153">
        <f>IF(D93="","-",+C121+1)</f>
        <v>2032</v>
      </c>
      <c r="D122" s="154">
        <f>IF(F121+SUM(E$99:E121)=D$92,F121,D$92-SUM(E$99:E121))</f>
        <v>1419873.1063393019</v>
      </c>
      <c r="E122" s="160">
        <f>IF(+J96&lt;F121,J96,D122)</f>
        <v>70994.476190476184</v>
      </c>
      <c r="F122" s="159">
        <f t="shared" si="24"/>
        <v>1348878.6301488257</v>
      </c>
      <c r="G122" s="159">
        <f t="shared" si="25"/>
        <v>1384375.8682440638</v>
      </c>
      <c r="H122" s="163">
        <f t="shared" si="28"/>
        <v>239156.6308886109</v>
      </c>
      <c r="I122" s="253">
        <f t="shared" si="29"/>
        <v>239156.6308886109</v>
      </c>
      <c r="J122" s="158">
        <f t="shared" si="17"/>
        <v>0</v>
      </c>
      <c r="K122" s="158"/>
      <c r="L122" s="334"/>
      <c r="M122" s="158">
        <f t="shared" si="19"/>
        <v>0</v>
      </c>
      <c r="N122" s="334"/>
      <c r="O122" s="158">
        <f t="shared" si="21"/>
        <v>0</v>
      </c>
      <c r="P122" s="158">
        <f t="shared" si="22"/>
        <v>0</v>
      </c>
      <c r="Q122" s="1"/>
    </row>
    <row r="123" spans="2:17">
      <c r="B123" s="9" t="str">
        <f t="shared" si="23"/>
        <v/>
      </c>
      <c r="C123" s="153">
        <f>IF(D93="","-",+C122+1)</f>
        <v>2033</v>
      </c>
      <c r="D123" s="154">
        <f>IF(F122+SUM(E$99:E122)=D$92,F122,D$92-SUM(E$99:E122))</f>
        <v>1348878.6301488257</v>
      </c>
      <c r="E123" s="160">
        <f>IF(+J96&lt;F122,J96,D123)</f>
        <v>70994.476190476184</v>
      </c>
      <c r="F123" s="159">
        <f t="shared" si="24"/>
        <v>1277884.1539583495</v>
      </c>
      <c r="G123" s="159">
        <f t="shared" si="25"/>
        <v>1313381.3920535876</v>
      </c>
      <c r="H123" s="163">
        <f t="shared" si="28"/>
        <v>230532.82837824299</v>
      </c>
      <c r="I123" s="253">
        <f t="shared" si="29"/>
        <v>230532.82837824299</v>
      </c>
      <c r="J123" s="158">
        <f t="shared" si="17"/>
        <v>0</v>
      </c>
      <c r="K123" s="158"/>
      <c r="L123" s="334"/>
      <c r="M123" s="158">
        <f t="shared" si="19"/>
        <v>0</v>
      </c>
      <c r="N123" s="334"/>
      <c r="O123" s="158">
        <f t="shared" si="21"/>
        <v>0</v>
      </c>
      <c r="P123" s="158">
        <f t="shared" si="22"/>
        <v>0</v>
      </c>
      <c r="Q123" s="1"/>
    </row>
    <row r="124" spans="2:17">
      <c r="B124" s="9" t="str">
        <f t="shared" si="23"/>
        <v/>
      </c>
      <c r="C124" s="153">
        <f>IF(D93="","-",+C123+1)</f>
        <v>2034</v>
      </c>
      <c r="D124" s="154">
        <f>IF(F123+SUM(E$99:E123)=D$92,F123,D$92-SUM(E$99:E123))</f>
        <v>1277884.1539583495</v>
      </c>
      <c r="E124" s="160">
        <f>IF(+J96&lt;F123,J96,D124)</f>
        <v>70994.476190476184</v>
      </c>
      <c r="F124" s="159">
        <f t="shared" si="24"/>
        <v>1206889.6777678733</v>
      </c>
      <c r="G124" s="159">
        <f t="shared" si="25"/>
        <v>1242386.9158631114</v>
      </c>
      <c r="H124" s="163">
        <f t="shared" si="28"/>
        <v>221909.02586787508</v>
      </c>
      <c r="I124" s="253">
        <f t="shared" si="29"/>
        <v>221909.02586787508</v>
      </c>
      <c r="J124" s="158">
        <f t="shared" si="17"/>
        <v>0</v>
      </c>
      <c r="K124" s="158"/>
      <c r="L124" s="334"/>
      <c r="M124" s="158">
        <f t="shared" si="19"/>
        <v>0</v>
      </c>
      <c r="N124" s="334"/>
      <c r="O124" s="158">
        <f t="shared" si="21"/>
        <v>0</v>
      </c>
      <c r="P124" s="158">
        <f t="shared" si="22"/>
        <v>0</v>
      </c>
      <c r="Q124" s="1"/>
    </row>
    <row r="125" spans="2:17">
      <c r="B125" s="9" t="str">
        <f t="shared" si="23"/>
        <v/>
      </c>
      <c r="C125" s="153">
        <f>IF(D93="","-",+C124+1)</f>
        <v>2035</v>
      </c>
      <c r="D125" s="154">
        <f>IF(F124+SUM(E$99:E124)=D$92,F124,D$92-SUM(E$99:E124))</f>
        <v>1206889.6777678733</v>
      </c>
      <c r="E125" s="160">
        <f>IF(+J96&lt;F124,J96,D125)</f>
        <v>70994.476190476184</v>
      </c>
      <c r="F125" s="159">
        <f t="shared" si="24"/>
        <v>1135895.2015773971</v>
      </c>
      <c r="G125" s="159">
        <f t="shared" si="25"/>
        <v>1171392.4396726352</v>
      </c>
      <c r="H125" s="163">
        <f t="shared" si="28"/>
        <v>213285.2233575072</v>
      </c>
      <c r="I125" s="253">
        <f t="shared" si="29"/>
        <v>213285.2233575072</v>
      </c>
      <c r="J125" s="158">
        <f t="shared" si="17"/>
        <v>0</v>
      </c>
      <c r="K125" s="158"/>
      <c r="L125" s="334"/>
      <c r="M125" s="158">
        <f t="shared" si="19"/>
        <v>0</v>
      </c>
      <c r="N125" s="334"/>
      <c r="O125" s="158">
        <f t="shared" si="21"/>
        <v>0</v>
      </c>
      <c r="P125" s="158">
        <f t="shared" si="22"/>
        <v>0</v>
      </c>
      <c r="Q125" s="1"/>
    </row>
    <row r="126" spans="2:17">
      <c r="B126" s="9" t="str">
        <f t="shared" si="23"/>
        <v/>
      </c>
      <c r="C126" s="153">
        <f>IF(D93="","-",+C125+1)</f>
        <v>2036</v>
      </c>
      <c r="D126" s="154">
        <f>IF(F125+SUM(E$99:E125)=D$92,F125,D$92-SUM(E$99:E125))</f>
        <v>1135895.2015773971</v>
      </c>
      <c r="E126" s="160">
        <f>IF(+J96&lt;F125,J96,D126)</f>
        <v>70994.476190476184</v>
      </c>
      <c r="F126" s="159">
        <f t="shared" si="24"/>
        <v>1064900.7253869209</v>
      </c>
      <c r="G126" s="159">
        <f t="shared" si="25"/>
        <v>1100397.963482159</v>
      </c>
      <c r="H126" s="163">
        <f t="shared" si="28"/>
        <v>204661.42084713929</v>
      </c>
      <c r="I126" s="253">
        <f t="shared" si="29"/>
        <v>204661.42084713929</v>
      </c>
      <c r="J126" s="158">
        <f t="shared" si="17"/>
        <v>0</v>
      </c>
      <c r="K126" s="158"/>
      <c r="L126" s="334"/>
      <c r="M126" s="158">
        <f t="shared" si="19"/>
        <v>0</v>
      </c>
      <c r="N126" s="334"/>
      <c r="O126" s="158">
        <f t="shared" si="21"/>
        <v>0</v>
      </c>
      <c r="P126" s="158">
        <f t="shared" si="22"/>
        <v>0</v>
      </c>
      <c r="Q126" s="1"/>
    </row>
    <row r="127" spans="2:17">
      <c r="B127" s="9" t="str">
        <f t="shared" si="23"/>
        <v/>
      </c>
      <c r="C127" s="153">
        <f>IF(D93="","-",+C126+1)</f>
        <v>2037</v>
      </c>
      <c r="D127" s="154">
        <f>IF(F126+SUM(E$99:E126)=D$92,F126,D$92-SUM(E$99:E126))</f>
        <v>1064900.7253869209</v>
      </c>
      <c r="E127" s="160">
        <f>IF(+J96&lt;F126,J96,D127)</f>
        <v>70994.476190476184</v>
      </c>
      <c r="F127" s="159">
        <f t="shared" si="24"/>
        <v>993906.24919644464</v>
      </c>
      <c r="G127" s="159">
        <f t="shared" si="25"/>
        <v>1029403.4872916827</v>
      </c>
      <c r="H127" s="163">
        <f t="shared" si="28"/>
        <v>196037.61833677138</v>
      </c>
      <c r="I127" s="253">
        <f t="shared" si="29"/>
        <v>196037.61833677138</v>
      </c>
      <c r="J127" s="158">
        <f t="shared" si="17"/>
        <v>0</v>
      </c>
      <c r="K127" s="158"/>
      <c r="L127" s="334"/>
      <c r="M127" s="158">
        <f t="shared" si="19"/>
        <v>0</v>
      </c>
      <c r="N127" s="334"/>
      <c r="O127" s="158">
        <f t="shared" si="21"/>
        <v>0</v>
      </c>
      <c r="P127" s="158">
        <f t="shared" si="22"/>
        <v>0</v>
      </c>
      <c r="Q127" s="1"/>
    </row>
    <row r="128" spans="2:17">
      <c r="B128" s="9" t="str">
        <f t="shared" si="23"/>
        <v/>
      </c>
      <c r="C128" s="153">
        <f>IF(D93="","-",+C127+1)</f>
        <v>2038</v>
      </c>
      <c r="D128" s="154">
        <f>IF(F127+SUM(E$99:E127)=D$92,F127,D$92-SUM(E$99:E127))</f>
        <v>993906.24919644464</v>
      </c>
      <c r="E128" s="160">
        <f>IF(+J96&lt;F127,J96,D128)</f>
        <v>70994.476190476184</v>
      </c>
      <c r="F128" s="159">
        <f t="shared" si="24"/>
        <v>922911.77300596843</v>
      </c>
      <c r="G128" s="159">
        <f t="shared" si="25"/>
        <v>958409.01110120653</v>
      </c>
      <c r="H128" s="163">
        <f t="shared" si="28"/>
        <v>187413.8158264035</v>
      </c>
      <c r="I128" s="253">
        <f t="shared" si="29"/>
        <v>187413.8158264035</v>
      </c>
      <c r="J128" s="158">
        <f t="shared" si="17"/>
        <v>0</v>
      </c>
      <c r="K128" s="158"/>
      <c r="L128" s="334"/>
      <c r="M128" s="158">
        <f t="shared" si="19"/>
        <v>0</v>
      </c>
      <c r="N128" s="334"/>
      <c r="O128" s="158">
        <f t="shared" si="21"/>
        <v>0</v>
      </c>
      <c r="P128" s="158">
        <f t="shared" si="22"/>
        <v>0</v>
      </c>
      <c r="Q128" s="1"/>
    </row>
    <row r="129" spans="2:17">
      <c r="B129" s="9" t="str">
        <f t="shared" si="23"/>
        <v/>
      </c>
      <c r="C129" s="153">
        <f>IF(D93="","-",+C128+1)</f>
        <v>2039</v>
      </c>
      <c r="D129" s="154">
        <f>IF(F128+SUM(E$99:E128)=D$92,F128,D$92-SUM(E$99:E128))</f>
        <v>922911.77300596843</v>
      </c>
      <c r="E129" s="160">
        <f>IF(+J96&lt;F128,J96,D129)</f>
        <v>70994.476190476184</v>
      </c>
      <c r="F129" s="159">
        <f t="shared" si="24"/>
        <v>851917.29681549221</v>
      </c>
      <c r="G129" s="159">
        <f t="shared" si="25"/>
        <v>887414.53491073032</v>
      </c>
      <c r="H129" s="163">
        <f t="shared" si="28"/>
        <v>178790.01331603556</v>
      </c>
      <c r="I129" s="253">
        <f t="shared" si="29"/>
        <v>178790.01331603556</v>
      </c>
      <c r="J129" s="158">
        <f t="shared" si="17"/>
        <v>0</v>
      </c>
      <c r="K129" s="158"/>
      <c r="L129" s="334"/>
      <c r="M129" s="158">
        <f t="shared" si="19"/>
        <v>0</v>
      </c>
      <c r="N129" s="334"/>
      <c r="O129" s="158">
        <f t="shared" si="21"/>
        <v>0</v>
      </c>
      <c r="P129" s="158">
        <f t="shared" si="22"/>
        <v>0</v>
      </c>
      <c r="Q129" s="1"/>
    </row>
    <row r="130" spans="2:17">
      <c r="B130" s="9" t="str">
        <f t="shared" si="23"/>
        <v/>
      </c>
      <c r="C130" s="153">
        <f>IF(D93="","-",+C129+1)</f>
        <v>2040</v>
      </c>
      <c r="D130" s="154">
        <f>IF(F129+SUM(E$99:E129)=D$92,F129,D$92-SUM(E$99:E129))</f>
        <v>851917.29681549221</v>
      </c>
      <c r="E130" s="160">
        <f>IF(+J96&lt;F129,J96,D130)</f>
        <v>70994.476190476184</v>
      </c>
      <c r="F130" s="159">
        <f t="shared" si="24"/>
        <v>780922.820625016</v>
      </c>
      <c r="G130" s="159">
        <f t="shared" si="25"/>
        <v>816420.05872025411</v>
      </c>
      <c r="H130" s="163">
        <f t="shared" si="28"/>
        <v>170166.21080566768</v>
      </c>
      <c r="I130" s="253">
        <f t="shared" si="29"/>
        <v>170166.21080566768</v>
      </c>
      <c r="J130" s="158">
        <f t="shared" si="17"/>
        <v>0</v>
      </c>
      <c r="K130" s="158"/>
      <c r="L130" s="334"/>
      <c r="M130" s="158">
        <f t="shared" si="19"/>
        <v>0</v>
      </c>
      <c r="N130" s="334"/>
      <c r="O130" s="158">
        <f t="shared" si="21"/>
        <v>0</v>
      </c>
      <c r="P130" s="158">
        <f t="shared" si="22"/>
        <v>0</v>
      </c>
      <c r="Q130" s="1"/>
    </row>
    <row r="131" spans="2:17">
      <c r="B131" s="9" t="str">
        <f t="shared" si="23"/>
        <v/>
      </c>
      <c r="C131" s="153">
        <f>IF(D93="","-",+C130+1)</f>
        <v>2041</v>
      </c>
      <c r="D131" s="154">
        <f>IF(F130+SUM(E$99:E130)=D$92,F130,D$92-SUM(E$99:E130))</f>
        <v>780922.820625016</v>
      </c>
      <c r="E131" s="160">
        <f>IF(+J96&lt;F130,J96,D131)</f>
        <v>70994.476190476184</v>
      </c>
      <c r="F131" s="159">
        <f t="shared" ref="F131:F154" si="30">+D131-E131</f>
        <v>709928.34443453979</v>
      </c>
      <c r="G131" s="159">
        <f t="shared" ref="G131:G154" si="31">+(F131+D131)/2</f>
        <v>745425.58252977789</v>
      </c>
      <c r="H131" s="163">
        <f t="shared" si="28"/>
        <v>161542.40829529977</v>
      </c>
      <c r="I131" s="253">
        <f t="shared" si="29"/>
        <v>161542.40829529977</v>
      </c>
      <c r="J131" s="158">
        <f t="shared" ref="J131:J154" si="32">+I131-H131</f>
        <v>0</v>
      </c>
      <c r="K131" s="158"/>
      <c r="L131" s="334"/>
      <c r="M131" s="158">
        <f t="shared" ref="M131:M154" si="33">IF(L131&lt;&gt;0,+H131-L131,0)</f>
        <v>0</v>
      </c>
      <c r="N131" s="334"/>
      <c r="O131" s="158">
        <f t="shared" ref="O131:O154" si="34">IF(N131&lt;&gt;0,+I131-N131,0)</f>
        <v>0</v>
      </c>
      <c r="P131" s="158">
        <f t="shared" ref="P131:P154" si="35">+O131-M131</f>
        <v>0</v>
      </c>
      <c r="Q131" s="1"/>
    </row>
    <row r="132" spans="2:17">
      <c r="B132" s="9" t="str">
        <f t="shared" si="23"/>
        <v/>
      </c>
      <c r="C132" s="153">
        <f>IF(D93="","-",+C131+1)</f>
        <v>2042</v>
      </c>
      <c r="D132" s="154">
        <f>IF(F131+SUM(E$99:E131)=D$92,F131,D$92-SUM(E$99:E131))</f>
        <v>709928.34443453979</v>
      </c>
      <c r="E132" s="160">
        <f>IF(+J96&lt;F131,J96,D132)</f>
        <v>70994.476190476184</v>
      </c>
      <c r="F132" s="159">
        <f t="shared" si="30"/>
        <v>638933.86824406357</v>
      </c>
      <c r="G132" s="159">
        <f t="shared" si="31"/>
        <v>674431.10633930168</v>
      </c>
      <c r="H132" s="163">
        <f t="shared" si="28"/>
        <v>152918.60578493186</v>
      </c>
      <c r="I132" s="253">
        <f t="shared" si="29"/>
        <v>152918.60578493186</v>
      </c>
      <c r="J132" s="158">
        <f t="shared" si="32"/>
        <v>0</v>
      </c>
      <c r="K132" s="158"/>
      <c r="L132" s="334"/>
      <c r="M132" s="158">
        <f t="shared" si="33"/>
        <v>0</v>
      </c>
      <c r="N132" s="334"/>
      <c r="O132" s="158">
        <f t="shared" si="34"/>
        <v>0</v>
      </c>
      <c r="P132" s="158">
        <f t="shared" si="35"/>
        <v>0</v>
      </c>
      <c r="Q132" s="1"/>
    </row>
    <row r="133" spans="2:17">
      <c r="B133" s="9" t="str">
        <f t="shared" si="23"/>
        <v/>
      </c>
      <c r="C133" s="153">
        <f>IF(D93="","-",+C132+1)</f>
        <v>2043</v>
      </c>
      <c r="D133" s="154">
        <f>IF(F132+SUM(E$99:E132)=D$92,F132,D$92-SUM(E$99:E132))</f>
        <v>638933.86824406357</v>
      </c>
      <c r="E133" s="160">
        <f>IF(+J96&lt;F132,J96,D133)</f>
        <v>70994.476190476184</v>
      </c>
      <c r="F133" s="159">
        <f t="shared" si="30"/>
        <v>567939.39205358736</v>
      </c>
      <c r="G133" s="159">
        <f t="shared" si="31"/>
        <v>603436.63014882547</v>
      </c>
      <c r="H133" s="163">
        <f t="shared" si="28"/>
        <v>144294.80327456398</v>
      </c>
      <c r="I133" s="253">
        <f t="shared" si="29"/>
        <v>144294.80327456398</v>
      </c>
      <c r="J133" s="158">
        <f t="shared" si="32"/>
        <v>0</v>
      </c>
      <c r="K133" s="158"/>
      <c r="L133" s="334"/>
      <c r="M133" s="158">
        <f t="shared" si="33"/>
        <v>0</v>
      </c>
      <c r="N133" s="334"/>
      <c r="O133" s="158">
        <f t="shared" si="34"/>
        <v>0</v>
      </c>
      <c r="P133" s="158">
        <f t="shared" si="35"/>
        <v>0</v>
      </c>
      <c r="Q133" s="1"/>
    </row>
    <row r="134" spans="2:17">
      <c r="B134" s="9" t="str">
        <f t="shared" si="23"/>
        <v/>
      </c>
      <c r="C134" s="153">
        <f>IF(D93="","-",+C133+1)</f>
        <v>2044</v>
      </c>
      <c r="D134" s="154">
        <f>IF(F133+SUM(E$99:E133)=D$92,F133,D$92-SUM(E$99:E133))</f>
        <v>567939.39205358736</v>
      </c>
      <c r="E134" s="160">
        <f>IF(+J96&lt;F133,J96,D134)</f>
        <v>70994.476190476184</v>
      </c>
      <c r="F134" s="159">
        <f t="shared" si="30"/>
        <v>496944.91586311115</v>
      </c>
      <c r="G134" s="159">
        <f t="shared" si="31"/>
        <v>532442.15395834926</v>
      </c>
      <c r="H134" s="163">
        <f t="shared" si="28"/>
        <v>135671.00076419607</v>
      </c>
      <c r="I134" s="253">
        <f t="shared" si="29"/>
        <v>135671.00076419607</v>
      </c>
      <c r="J134" s="158">
        <f t="shared" si="32"/>
        <v>0</v>
      </c>
      <c r="K134" s="158"/>
      <c r="L134" s="334"/>
      <c r="M134" s="158">
        <f t="shared" si="33"/>
        <v>0</v>
      </c>
      <c r="N134" s="334"/>
      <c r="O134" s="158">
        <f t="shared" si="34"/>
        <v>0</v>
      </c>
      <c r="P134" s="158">
        <f t="shared" si="35"/>
        <v>0</v>
      </c>
      <c r="Q134" s="1"/>
    </row>
    <row r="135" spans="2:17">
      <c r="B135" s="9" t="str">
        <f t="shared" si="23"/>
        <v/>
      </c>
      <c r="C135" s="153">
        <f>IF(D93="","-",+C134+1)</f>
        <v>2045</v>
      </c>
      <c r="D135" s="154">
        <f>IF(F134+SUM(E$99:E134)=D$92,F134,D$92-SUM(E$99:E134))</f>
        <v>496944.91586311115</v>
      </c>
      <c r="E135" s="160">
        <f>IF(+J96&lt;F134,J96,D135)</f>
        <v>70994.476190476184</v>
      </c>
      <c r="F135" s="159">
        <f t="shared" si="30"/>
        <v>425950.43967263494</v>
      </c>
      <c r="G135" s="159">
        <f t="shared" si="31"/>
        <v>461447.67776787304</v>
      </c>
      <c r="H135" s="163">
        <f t="shared" si="28"/>
        <v>127047.19825382816</v>
      </c>
      <c r="I135" s="253">
        <f t="shared" si="29"/>
        <v>127047.19825382816</v>
      </c>
      <c r="J135" s="158">
        <f t="shared" si="32"/>
        <v>0</v>
      </c>
      <c r="K135" s="158"/>
      <c r="L135" s="334"/>
      <c r="M135" s="158">
        <f t="shared" si="33"/>
        <v>0</v>
      </c>
      <c r="N135" s="334"/>
      <c r="O135" s="158">
        <f t="shared" si="34"/>
        <v>0</v>
      </c>
      <c r="P135" s="158">
        <f t="shared" si="35"/>
        <v>0</v>
      </c>
      <c r="Q135" s="1"/>
    </row>
    <row r="136" spans="2:17">
      <c r="B136" s="9" t="str">
        <f t="shared" si="23"/>
        <v/>
      </c>
      <c r="C136" s="153">
        <f>IF(D93="","-",+C135+1)</f>
        <v>2046</v>
      </c>
      <c r="D136" s="154">
        <f>IF(F135+SUM(E$99:E135)=D$92,F135,D$92-SUM(E$99:E135))</f>
        <v>425950.43967263494</v>
      </c>
      <c r="E136" s="160">
        <f>IF(+J96&lt;F135,J96,D136)</f>
        <v>70994.476190476184</v>
      </c>
      <c r="F136" s="159">
        <f t="shared" si="30"/>
        <v>354955.96348215872</v>
      </c>
      <c r="G136" s="159">
        <f t="shared" si="31"/>
        <v>390453.20157739683</v>
      </c>
      <c r="H136" s="163">
        <f t="shared" si="28"/>
        <v>118423.39574346025</v>
      </c>
      <c r="I136" s="253">
        <f t="shared" si="29"/>
        <v>118423.39574346025</v>
      </c>
      <c r="J136" s="158">
        <f t="shared" si="32"/>
        <v>0</v>
      </c>
      <c r="K136" s="158"/>
      <c r="L136" s="334"/>
      <c r="M136" s="158">
        <f t="shared" si="33"/>
        <v>0</v>
      </c>
      <c r="N136" s="334"/>
      <c r="O136" s="158">
        <f t="shared" si="34"/>
        <v>0</v>
      </c>
      <c r="P136" s="158">
        <f t="shared" si="35"/>
        <v>0</v>
      </c>
      <c r="Q136" s="1"/>
    </row>
    <row r="137" spans="2:17">
      <c r="B137" s="9" t="str">
        <f t="shared" si="23"/>
        <v/>
      </c>
      <c r="C137" s="153">
        <f>IF(D93="","-",+C136+1)</f>
        <v>2047</v>
      </c>
      <c r="D137" s="154">
        <f>IF(F136+SUM(E$99:E136)=D$92,F136,D$92-SUM(E$99:E136))</f>
        <v>354955.96348215872</v>
      </c>
      <c r="E137" s="160">
        <f>IF(+J96&lt;F136,J96,D137)</f>
        <v>70994.476190476184</v>
      </c>
      <c r="F137" s="159">
        <f t="shared" si="30"/>
        <v>283961.48729168251</v>
      </c>
      <c r="G137" s="159">
        <f t="shared" si="31"/>
        <v>319458.72538692062</v>
      </c>
      <c r="H137" s="163">
        <f t="shared" si="28"/>
        <v>109799.59323309235</v>
      </c>
      <c r="I137" s="253">
        <f t="shared" si="29"/>
        <v>109799.59323309235</v>
      </c>
      <c r="J137" s="158">
        <f t="shared" si="32"/>
        <v>0</v>
      </c>
      <c r="K137" s="158"/>
      <c r="L137" s="334"/>
      <c r="M137" s="158">
        <f t="shared" si="33"/>
        <v>0</v>
      </c>
      <c r="N137" s="334"/>
      <c r="O137" s="158">
        <f t="shared" si="34"/>
        <v>0</v>
      </c>
      <c r="P137" s="158">
        <f t="shared" si="35"/>
        <v>0</v>
      </c>
      <c r="Q137" s="1"/>
    </row>
    <row r="138" spans="2:17">
      <c r="B138" s="9" t="str">
        <f t="shared" si="23"/>
        <v/>
      </c>
      <c r="C138" s="153">
        <f>IF(D93="","-",+C137+1)</f>
        <v>2048</v>
      </c>
      <c r="D138" s="154">
        <f>IF(F137+SUM(E$99:E137)=D$92,F137,D$92-SUM(E$99:E137))</f>
        <v>283961.48729168251</v>
      </c>
      <c r="E138" s="160">
        <f>IF(+J96&lt;F137,J96,D138)</f>
        <v>70994.476190476184</v>
      </c>
      <c r="F138" s="159">
        <f t="shared" si="30"/>
        <v>212967.01110120633</v>
      </c>
      <c r="G138" s="159">
        <f t="shared" si="31"/>
        <v>248464.24919644441</v>
      </c>
      <c r="H138" s="163">
        <f t="shared" si="28"/>
        <v>101175.79072272446</v>
      </c>
      <c r="I138" s="253">
        <f t="shared" si="29"/>
        <v>101175.79072272446</v>
      </c>
      <c r="J138" s="158">
        <f t="shared" si="32"/>
        <v>0</v>
      </c>
      <c r="K138" s="158"/>
      <c r="L138" s="334"/>
      <c r="M138" s="158">
        <f t="shared" si="33"/>
        <v>0</v>
      </c>
      <c r="N138" s="334"/>
      <c r="O138" s="158">
        <f t="shared" si="34"/>
        <v>0</v>
      </c>
      <c r="P138" s="158">
        <f t="shared" si="35"/>
        <v>0</v>
      </c>
      <c r="Q138" s="1"/>
    </row>
    <row r="139" spans="2:17">
      <c r="B139" s="9" t="str">
        <f t="shared" si="23"/>
        <v/>
      </c>
      <c r="C139" s="153">
        <f>IF(D93="","-",+C138+1)</f>
        <v>2049</v>
      </c>
      <c r="D139" s="154">
        <f>IF(F138+SUM(E$99:E138)=D$92,F138,D$92-SUM(E$99:E138))</f>
        <v>212967.01110120633</v>
      </c>
      <c r="E139" s="160">
        <f>IF(+J96&lt;F138,J96,D139)</f>
        <v>70994.476190476184</v>
      </c>
      <c r="F139" s="159">
        <f t="shared" si="30"/>
        <v>141972.53491073014</v>
      </c>
      <c r="G139" s="159">
        <f t="shared" si="31"/>
        <v>177469.77300596825</v>
      </c>
      <c r="H139" s="163">
        <f t="shared" si="28"/>
        <v>92551.988212356562</v>
      </c>
      <c r="I139" s="253">
        <f t="shared" si="29"/>
        <v>92551.988212356562</v>
      </c>
      <c r="J139" s="158">
        <f t="shared" si="32"/>
        <v>0</v>
      </c>
      <c r="K139" s="158"/>
      <c r="L139" s="334"/>
      <c r="M139" s="158">
        <f t="shared" si="33"/>
        <v>0</v>
      </c>
      <c r="N139" s="334"/>
      <c r="O139" s="158">
        <f t="shared" si="34"/>
        <v>0</v>
      </c>
      <c r="P139" s="158">
        <f t="shared" si="35"/>
        <v>0</v>
      </c>
      <c r="Q139" s="1"/>
    </row>
    <row r="140" spans="2:17">
      <c r="B140" s="9" t="str">
        <f t="shared" si="23"/>
        <v/>
      </c>
      <c r="C140" s="153">
        <f>IF(D93="","-",+C139+1)</f>
        <v>2050</v>
      </c>
      <c r="D140" s="154">
        <f>IF(F139+SUM(E$99:E139)=D$92,F139,D$92-SUM(E$99:E139))</f>
        <v>141972.53491073014</v>
      </c>
      <c r="E140" s="160">
        <f>IF(+J96&lt;F139,J96,D140)</f>
        <v>70994.476190476184</v>
      </c>
      <c r="F140" s="159">
        <f t="shared" si="30"/>
        <v>70978.058720253961</v>
      </c>
      <c r="G140" s="159">
        <f t="shared" si="31"/>
        <v>106475.29681549205</v>
      </c>
      <c r="H140" s="163">
        <f t="shared" si="28"/>
        <v>83928.185701988652</v>
      </c>
      <c r="I140" s="253">
        <f t="shared" si="29"/>
        <v>83928.185701988652</v>
      </c>
      <c r="J140" s="158">
        <f t="shared" si="32"/>
        <v>0</v>
      </c>
      <c r="K140" s="158"/>
      <c r="L140" s="334"/>
      <c r="M140" s="158">
        <f t="shared" si="33"/>
        <v>0</v>
      </c>
      <c r="N140" s="334"/>
      <c r="O140" s="158">
        <f t="shared" si="34"/>
        <v>0</v>
      </c>
      <c r="P140" s="158">
        <f t="shared" si="35"/>
        <v>0</v>
      </c>
      <c r="Q140" s="1"/>
    </row>
    <row r="141" spans="2:17">
      <c r="B141" s="9" t="str">
        <f t="shared" si="23"/>
        <v/>
      </c>
      <c r="C141" s="153">
        <f>IF(D93="","-",+C140+1)</f>
        <v>2051</v>
      </c>
      <c r="D141" s="154">
        <f>IF(F140+SUM(E$99:E140)=D$92,F140,D$92-SUM(E$99:E140))</f>
        <v>70978.058720253961</v>
      </c>
      <c r="E141" s="160">
        <f>IF(+J96&lt;F140,J96,D141)</f>
        <v>70978.058720253961</v>
      </c>
      <c r="F141" s="159">
        <f t="shared" si="30"/>
        <v>0</v>
      </c>
      <c r="G141" s="159">
        <f t="shared" si="31"/>
        <v>35489.02936012698</v>
      </c>
      <c r="H141" s="163">
        <f t="shared" si="28"/>
        <v>75288.962848418218</v>
      </c>
      <c r="I141" s="253">
        <f t="shared" si="29"/>
        <v>75288.962848418218</v>
      </c>
      <c r="J141" s="158">
        <f t="shared" si="32"/>
        <v>0</v>
      </c>
      <c r="K141" s="158"/>
      <c r="L141" s="334"/>
      <c r="M141" s="158">
        <f t="shared" si="33"/>
        <v>0</v>
      </c>
      <c r="N141" s="334"/>
      <c r="O141" s="158">
        <f t="shared" si="34"/>
        <v>0</v>
      </c>
      <c r="P141" s="158">
        <f t="shared" si="35"/>
        <v>0</v>
      </c>
      <c r="Q141" s="1"/>
    </row>
    <row r="142" spans="2:17">
      <c r="B142" s="9" t="str">
        <f t="shared" si="23"/>
        <v/>
      </c>
      <c r="C142" s="153">
        <f>IF(D93="","-",+C141+1)</f>
        <v>2052</v>
      </c>
      <c r="D142" s="154">
        <f>IF(F141+SUM(E$99:E141)=D$92,F141,D$92-SUM(E$99:E141))</f>
        <v>0</v>
      </c>
      <c r="E142" s="160">
        <f>IF(+J96&lt;F141,J96,D142)</f>
        <v>0</v>
      </c>
      <c r="F142" s="159">
        <f t="shared" si="30"/>
        <v>0</v>
      </c>
      <c r="G142" s="159">
        <f t="shared" si="31"/>
        <v>0</v>
      </c>
      <c r="H142" s="163">
        <f t="shared" si="28"/>
        <v>0</v>
      </c>
      <c r="I142" s="253">
        <f t="shared" si="29"/>
        <v>0</v>
      </c>
      <c r="J142" s="158">
        <f t="shared" si="32"/>
        <v>0</v>
      </c>
      <c r="K142" s="158"/>
      <c r="L142" s="334"/>
      <c r="M142" s="158">
        <f t="shared" si="33"/>
        <v>0</v>
      </c>
      <c r="N142" s="334"/>
      <c r="O142" s="158">
        <f t="shared" si="34"/>
        <v>0</v>
      </c>
      <c r="P142" s="158">
        <f t="shared" si="35"/>
        <v>0</v>
      </c>
      <c r="Q142" s="1"/>
    </row>
    <row r="143" spans="2:17">
      <c r="B143" s="9" t="str">
        <f t="shared" si="23"/>
        <v/>
      </c>
      <c r="C143" s="153">
        <f>IF(D93="","-",+C142+1)</f>
        <v>2053</v>
      </c>
      <c r="D143" s="154">
        <f>IF(F142+SUM(E$99:E142)=D$92,F142,D$92-SUM(E$99:E142))</f>
        <v>0</v>
      </c>
      <c r="E143" s="160">
        <f>IF(+J96&lt;F142,J96,D143)</f>
        <v>0</v>
      </c>
      <c r="F143" s="159">
        <f t="shared" si="30"/>
        <v>0</v>
      </c>
      <c r="G143" s="159">
        <f t="shared" si="31"/>
        <v>0</v>
      </c>
      <c r="H143" s="163">
        <f t="shared" si="28"/>
        <v>0</v>
      </c>
      <c r="I143" s="253">
        <f t="shared" si="29"/>
        <v>0</v>
      </c>
      <c r="J143" s="158">
        <f t="shared" si="32"/>
        <v>0</v>
      </c>
      <c r="K143" s="158"/>
      <c r="L143" s="334"/>
      <c r="M143" s="158">
        <f t="shared" si="33"/>
        <v>0</v>
      </c>
      <c r="N143" s="334"/>
      <c r="O143" s="158">
        <f t="shared" si="34"/>
        <v>0</v>
      </c>
      <c r="P143" s="158">
        <f t="shared" si="35"/>
        <v>0</v>
      </c>
      <c r="Q143" s="1"/>
    </row>
    <row r="144" spans="2:17">
      <c r="B144" s="9" t="str">
        <f t="shared" si="23"/>
        <v/>
      </c>
      <c r="C144" s="153">
        <f>IF(D93="","-",+C143+1)</f>
        <v>2054</v>
      </c>
      <c r="D144" s="154">
        <f>IF(F143+SUM(E$99:E143)=D$92,F143,D$92-SUM(E$99:E143))</f>
        <v>0</v>
      </c>
      <c r="E144" s="160">
        <f>IF(+J96&lt;F143,J96,D144)</f>
        <v>0</v>
      </c>
      <c r="F144" s="159">
        <f t="shared" si="30"/>
        <v>0</v>
      </c>
      <c r="G144" s="159">
        <f t="shared" si="31"/>
        <v>0</v>
      </c>
      <c r="H144" s="163">
        <f t="shared" si="28"/>
        <v>0</v>
      </c>
      <c r="I144" s="253">
        <f t="shared" si="29"/>
        <v>0</v>
      </c>
      <c r="J144" s="158">
        <f t="shared" si="32"/>
        <v>0</v>
      </c>
      <c r="K144" s="158"/>
      <c r="L144" s="334"/>
      <c r="M144" s="158">
        <f t="shared" si="33"/>
        <v>0</v>
      </c>
      <c r="N144" s="334"/>
      <c r="O144" s="158">
        <f t="shared" si="34"/>
        <v>0</v>
      </c>
      <c r="P144" s="158">
        <f t="shared" si="35"/>
        <v>0</v>
      </c>
      <c r="Q144" s="1"/>
    </row>
    <row r="145" spans="2:17">
      <c r="B145" s="9" t="str">
        <f t="shared" si="23"/>
        <v/>
      </c>
      <c r="C145" s="153">
        <f>IF(D93="","-",+C144+1)</f>
        <v>2055</v>
      </c>
      <c r="D145" s="154">
        <f>IF(F144+SUM(E$99:E144)=D$92,F144,D$92-SUM(E$99:E144))</f>
        <v>0</v>
      </c>
      <c r="E145" s="160">
        <f>IF(+J96&lt;F144,J96,D145)</f>
        <v>0</v>
      </c>
      <c r="F145" s="159">
        <f t="shared" si="30"/>
        <v>0</v>
      </c>
      <c r="G145" s="159">
        <f t="shared" si="31"/>
        <v>0</v>
      </c>
      <c r="H145" s="163">
        <f t="shared" si="28"/>
        <v>0</v>
      </c>
      <c r="I145" s="253">
        <f t="shared" si="29"/>
        <v>0</v>
      </c>
      <c r="J145" s="158">
        <f t="shared" si="32"/>
        <v>0</v>
      </c>
      <c r="K145" s="158"/>
      <c r="L145" s="334"/>
      <c r="M145" s="158">
        <f t="shared" si="33"/>
        <v>0</v>
      </c>
      <c r="N145" s="334"/>
      <c r="O145" s="158">
        <f t="shared" si="34"/>
        <v>0</v>
      </c>
      <c r="P145" s="158">
        <f t="shared" si="35"/>
        <v>0</v>
      </c>
      <c r="Q145" s="1"/>
    </row>
    <row r="146" spans="2:17">
      <c r="B146" s="9" t="str">
        <f t="shared" si="23"/>
        <v/>
      </c>
      <c r="C146" s="153">
        <f>IF(D93="","-",+C145+1)</f>
        <v>2056</v>
      </c>
      <c r="D146" s="154">
        <f>IF(F145+SUM(E$99:E145)=D$92,F145,D$92-SUM(E$99:E145))</f>
        <v>0</v>
      </c>
      <c r="E146" s="160">
        <f>IF(+J96&lt;F145,J96,D146)</f>
        <v>0</v>
      </c>
      <c r="F146" s="159">
        <f t="shared" si="30"/>
        <v>0</v>
      </c>
      <c r="G146" s="159">
        <f t="shared" si="31"/>
        <v>0</v>
      </c>
      <c r="H146" s="163">
        <f t="shared" si="28"/>
        <v>0</v>
      </c>
      <c r="I146" s="253">
        <f t="shared" si="29"/>
        <v>0</v>
      </c>
      <c r="J146" s="158">
        <f t="shared" si="32"/>
        <v>0</v>
      </c>
      <c r="K146" s="158"/>
      <c r="L146" s="334"/>
      <c r="M146" s="158">
        <f t="shared" si="33"/>
        <v>0</v>
      </c>
      <c r="N146" s="334"/>
      <c r="O146" s="158">
        <f t="shared" si="34"/>
        <v>0</v>
      </c>
      <c r="P146" s="158">
        <f t="shared" si="35"/>
        <v>0</v>
      </c>
      <c r="Q146" s="1"/>
    </row>
    <row r="147" spans="2:17">
      <c r="B147" s="9" t="str">
        <f t="shared" si="23"/>
        <v/>
      </c>
      <c r="C147" s="153">
        <f>IF(D93="","-",+C146+1)</f>
        <v>2057</v>
      </c>
      <c r="D147" s="154">
        <f>IF(F146+SUM(E$99:E146)=D$92,F146,D$92-SUM(E$99:E146))</f>
        <v>0</v>
      </c>
      <c r="E147" s="160">
        <f>IF(+J96&lt;F146,J96,D147)</f>
        <v>0</v>
      </c>
      <c r="F147" s="159">
        <f t="shared" si="30"/>
        <v>0</v>
      </c>
      <c r="G147" s="159">
        <f t="shared" si="31"/>
        <v>0</v>
      </c>
      <c r="H147" s="163">
        <f t="shared" si="28"/>
        <v>0</v>
      </c>
      <c r="I147" s="253">
        <f t="shared" si="29"/>
        <v>0</v>
      </c>
      <c r="J147" s="158">
        <f t="shared" si="32"/>
        <v>0</v>
      </c>
      <c r="K147" s="158"/>
      <c r="L147" s="334"/>
      <c r="M147" s="158">
        <f t="shared" si="33"/>
        <v>0</v>
      </c>
      <c r="N147" s="334"/>
      <c r="O147" s="158">
        <f t="shared" si="34"/>
        <v>0</v>
      </c>
      <c r="P147" s="158">
        <f t="shared" si="35"/>
        <v>0</v>
      </c>
      <c r="Q147" s="1"/>
    </row>
    <row r="148" spans="2:17">
      <c r="B148" s="9" t="str">
        <f t="shared" si="23"/>
        <v/>
      </c>
      <c r="C148" s="153">
        <f>IF(D93="","-",+C147+1)</f>
        <v>2058</v>
      </c>
      <c r="D148" s="154">
        <f>IF(F147+SUM(E$99:E147)=D$92,F147,D$92-SUM(E$99:E147))</f>
        <v>0</v>
      </c>
      <c r="E148" s="160">
        <f>IF(+J96&lt;F147,J96,D148)</f>
        <v>0</v>
      </c>
      <c r="F148" s="159">
        <f t="shared" si="30"/>
        <v>0</v>
      </c>
      <c r="G148" s="159">
        <f t="shared" si="31"/>
        <v>0</v>
      </c>
      <c r="H148" s="163">
        <f t="shared" si="28"/>
        <v>0</v>
      </c>
      <c r="I148" s="253">
        <f t="shared" si="29"/>
        <v>0</v>
      </c>
      <c r="J148" s="158">
        <f t="shared" si="32"/>
        <v>0</v>
      </c>
      <c r="K148" s="158"/>
      <c r="L148" s="334"/>
      <c r="M148" s="158">
        <f t="shared" si="33"/>
        <v>0</v>
      </c>
      <c r="N148" s="334"/>
      <c r="O148" s="158">
        <f t="shared" si="34"/>
        <v>0</v>
      </c>
      <c r="P148" s="158">
        <f t="shared" si="35"/>
        <v>0</v>
      </c>
      <c r="Q148" s="1"/>
    </row>
    <row r="149" spans="2:17">
      <c r="B149" s="9" t="str">
        <f t="shared" si="23"/>
        <v/>
      </c>
      <c r="C149" s="153">
        <f>IF(D93="","-",+C148+1)</f>
        <v>2059</v>
      </c>
      <c r="D149" s="154">
        <f>IF(F148+SUM(E$99:E148)=D$92,F148,D$92-SUM(E$99:E148))</f>
        <v>0</v>
      </c>
      <c r="E149" s="160">
        <f>IF(+J96&lt;F148,J96,D149)</f>
        <v>0</v>
      </c>
      <c r="F149" s="159">
        <f t="shared" si="30"/>
        <v>0</v>
      </c>
      <c r="G149" s="159">
        <f t="shared" si="31"/>
        <v>0</v>
      </c>
      <c r="H149" s="163">
        <f t="shared" si="28"/>
        <v>0</v>
      </c>
      <c r="I149" s="253">
        <f t="shared" si="29"/>
        <v>0</v>
      </c>
      <c r="J149" s="158">
        <f t="shared" si="32"/>
        <v>0</v>
      </c>
      <c r="K149" s="158"/>
      <c r="L149" s="334"/>
      <c r="M149" s="158">
        <f t="shared" si="33"/>
        <v>0</v>
      </c>
      <c r="N149" s="334"/>
      <c r="O149" s="158">
        <f t="shared" si="34"/>
        <v>0</v>
      </c>
      <c r="P149" s="158">
        <f t="shared" si="35"/>
        <v>0</v>
      </c>
      <c r="Q149" s="1"/>
    </row>
    <row r="150" spans="2:17">
      <c r="B150" s="9" t="str">
        <f t="shared" si="23"/>
        <v/>
      </c>
      <c r="C150" s="153">
        <f>IF(D93="","-",+C149+1)</f>
        <v>2060</v>
      </c>
      <c r="D150" s="154">
        <f>IF(F149+SUM(E$99:E149)=D$92,F149,D$92-SUM(E$99:E149))</f>
        <v>0</v>
      </c>
      <c r="E150" s="160">
        <f>IF(+J96&lt;F149,J96,D150)</f>
        <v>0</v>
      </c>
      <c r="F150" s="159">
        <f t="shared" si="30"/>
        <v>0</v>
      </c>
      <c r="G150" s="159">
        <f t="shared" si="31"/>
        <v>0</v>
      </c>
      <c r="H150" s="163">
        <f t="shared" si="28"/>
        <v>0</v>
      </c>
      <c r="I150" s="253">
        <f t="shared" si="29"/>
        <v>0</v>
      </c>
      <c r="J150" s="158">
        <f t="shared" si="32"/>
        <v>0</v>
      </c>
      <c r="K150" s="158"/>
      <c r="L150" s="334"/>
      <c r="M150" s="158">
        <f t="shared" si="33"/>
        <v>0</v>
      </c>
      <c r="N150" s="334"/>
      <c r="O150" s="158">
        <f t="shared" si="34"/>
        <v>0</v>
      </c>
      <c r="P150" s="158">
        <f t="shared" si="35"/>
        <v>0</v>
      </c>
      <c r="Q150" s="1"/>
    </row>
    <row r="151" spans="2:17">
      <c r="B151" s="9" t="str">
        <f t="shared" si="23"/>
        <v/>
      </c>
      <c r="C151" s="153">
        <f>IF(D93="","-",+C150+1)</f>
        <v>2061</v>
      </c>
      <c r="D151" s="154">
        <f>IF(F150+SUM(E$99:E150)=D$92,F150,D$92-SUM(E$99:E150))</f>
        <v>0</v>
      </c>
      <c r="E151" s="160">
        <f>IF(+J96&lt;F150,J96,D151)</f>
        <v>0</v>
      </c>
      <c r="F151" s="159">
        <f t="shared" si="30"/>
        <v>0</v>
      </c>
      <c r="G151" s="159">
        <f t="shared" si="31"/>
        <v>0</v>
      </c>
      <c r="H151" s="163">
        <f t="shared" si="28"/>
        <v>0</v>
      </c>
      <c r="I151" s="253">
        <f t="shared" si="29"/>
        <v>0</v>
      </c>
      <c r="J151" s="158">
        <f t="shared" si="32"/>
        <v>0</v>
      </c>
      <c r="K151" s="158"/>
      <c r="L151" s="334"/>
      <c r="M151" s="158">
        <f t="shared" si="33"/>
        <v>0</v>
      </c>
      <c r="N151" s="334"/>
      <c r="O151" s="158">
        <f t="shared" si="34"/>
        <v>0</v>
      </c>
      <c r="P151" s="158">
        <f t="shared" si="35"/>
        <v>0</v>
      </c>
      <c r="Q151" s="1"/>
    </row>
    <row r="152" spans="2:17">
      <c r="B152" s="9" t="str">
        <f t="shared" si="23"/>
        <v/>
      </c>
      <c r="C152" s="153">
        <f>IF(D93="","-",+C151+1)</f>
        <v>2062</v>
      </c>
      <c r="D152" s="154">
        <f>IF(F151+SUM(E$99:E151)=D$92,F151,D$92-SUM(E$99:E151))</f>
        <v>0</v>
      </c>
      <c r="E152" s="160">
        <f>IF(+J96&lt;F151,J96,D152)</f>
        <v>0</v>
      </c>
      <c r="F152" s="159">
        <f t="shared" si="30"/>
        <v>0</v>
      </c>
      <c r="G152" s="159">
        <f t="shared" si="31"/>
        <v>0</v>
      </c>
      <c r="H152" s="163">
        <f t="shared" si="28"/>
        <v>0</v>
      </c>
      <c r="I152" s="253">
        <f t="shared" si="29"/>
        <v>0</v>
      </c>
      <c r="J152" s="158">
        <f t="shared" si="32"/>
        <v>0</v>
      </c>
      <c r="K152" s="158"/>
      <c r="L152" s="334"/>
      <c r="M152" s="158">
        <f t="shared" si="33"/>
        <v>0</v>
      </c>
      <c r="N152" s="334"/>
      <c r="O152" s="158">
        <f t="shared" si="34"/>
        <v>0</v>
      </c>
      <c r="P152" s="158">
        <f t="shared" si="35"/>
        <v>0</v>
      </c>
      <c r="Q152" s="1"/>
    </row>
    <row r="153" spans="2:17">
      <c r="B153" s="9" t="str">
        <f t="shared" si="23"/>
        <v/>
      </c>
      <c r="C153" s="153">
        <f>IF(D93="","-",+C152+1)</f>
        <v>2063</v>
      </c>
      <c r="D153" s="154">
        <f>IF(F152+SUM(E$99:E152)=D$92,F152,D$92-SUM(E$99:E152))</f>
        <v>0</v>
      </c>
      <c r="E153" s="160">
        <f>IF(+J96&lt;F152,J96,D153)</f>
        <v>0</v>
      </c>
      <c r="F153" s="159">
        <f t="shared" si="30"/>
        <v>0</v>
      </c>
      <c r="G153" s="159">
        <f t="shared" si="31"/>
        <v>0</v>
      </c>
      <c r="H153" s="163">
        <f t="shared" si="28"/>
        <v>0</v>
      </c>
      <c r="I153" s="253">
        <f t="shared" si="29"/>
        <v>0</v>
      </c>
      <c r="J153" s="158">
        <f t="shared" si="32"/>
        <v>0</v>
      </c>
      <c r="K153" s="158"/>
      <c r="L153" s="334"/>
      <c r="M153" s="158">
        <f t="shared" si="33"/>
        <v>0</v>
      </c>
      <c r="N153" s="334"/>
      <c r="O153" s="158">
        <f t="shared" si="34"/>
        <v>0</v>
      </c>
      <c r="P153" s="158">
        <f t="shared" si="35"/>
        <v>0</v>
      </c>
      <c r="Q153" s="1"/>
    </row>
    <row r="154" spans="2:17" ht="13.5" thickBot="1">
      <c r="B154" s="9" t="str">
        <f t="shared" si="23"/>
        <v/>
      </c>
      <c r="C154" s="164">
        <f>IF(D93="","-",+C153+1)</f>
        <v>2064</v>
      </c>
      <c r="D154" s="215">
        <f>IF(F153+SUM(E$99:E153)=D$92,F153,D$92-SUM(E$99:E153))</f>
        <v>0</v>
      </c>
      <c r="E154" s="166">
        <f>IF(+J96&lt;F153,J96,D154)</f>
        <v>0</v>
      </c>
      <c r="F154" s="165">
        <f t="shared" si="30"/>
        <v>0</v>
      </c>
      <c r="G154" s="165">
        <f t="shared" si="31"/>
        <v>0</v>
      </c>
      <c r="H154" s="167">
        <f t="shared" si="28"/>
        <v>0</v>
      </c>
      <c r="I154" s="254">
        <f t="shared" si="29"/>
        <v>0</v>
      </c>
      <c r="J154" s="169">
        <f t="shared" si="32"/>
        <v>0</v>
      </c>
      <c r="K154" s="158"/>
      <c r="L154" s="335"/>
      <c r="M154" s="169">
        <f t="shared" si="33"/>
        <v>0</v>
      </c>
      <c r="N154" s="335"/>
      <c r="O154" s="169">
        <f t="shared" si="34"/>
        <v>0</v>
      </c>
      <c r="P154" s="169">
        <f t="shared" si="35"/>
        <v>0</v>
      </c>
      <c r="Q154" s="1"/>
    </row>
    <row r="155" spans="2:17">
      <c r="C155" s="154" t="s">
        <v>73</v>
      </c>
      <c r="D155" s="111"/>
      <c r="E155" s="111">
        <f>SUM(E99:E154)</f>
        <v>2981767.9999999995</v>
      </c>
      <c r="F155" s="111"/>
      <c r="G155" s="111"/>
      <c r="H155" s="111">
        <f>SUM(H99:H154)</f>
        <v>11202198.556006635</v>
      </c>
      <c r="I155" s="111">
        <f>SUM(I99:I154)</f>
        <v>11202198.556006635</v>
      </c>
      <c r="J155" s="111">
        <f>SUM(J99:J154)</f>
        <v>0</v>
      </c>
      <c r="K155" s="111"/>
      <c r="L155" s="111"/>
      <c r="M155" s="111"/>
      <c r="N155" s="111"/>
      <c r="O155" s="111"/>
      <c r="P155" s="1"/>
      <c r="Q155" s="1"/>
    </row>
    <row r="156" spans="2:17">
      <c r="D156" s="2"/>
      <c r="E156" s="1"/>
      <c r="F156" s="1"/>
      <c r="G156" s="1"/>
      <c r="H156" s="1"/>
      <c r="I156" s="3"/>
      <c r="J156" s="3"/>
      <c r="K156" s="111"/>
      <c r="L156" s="3"/>
      <c r="M156" s="3"/>
      <c r="N156" s="3"/>
      <c r="O156" s="3"/>
      <c r="P156" s="1"/>
      <c r="Q156" s="1"/>
    </row>
    <row r="157" spans="2:17">
      <c r="C157" s="216" t="s">
        <v>87</v>
      </c>
      <c r="D157" s="2"/>
      <c r="E157" s="1"/>
      <c r="F157" s="1"/>
      <c r="G157" s="1"/>
      <c r="H157" s="1"/>
      <c r="I157" s="3"/>
      <c r="J157" s="3"/>
      <c r="K157" s="111"/>
      <c r="L157" s="3"/>
      <c r="M157" s="3"/>
      <c r="N157" s="3"/>
      <c r="O157" s="3"/>
      <c r="P157" s="1"/>
      <c r="Q157" s="1"/>
    </row>
    <row r="158" spans="2:17">
      <c r="D158" s="2"/>
      <c r="E158" s="1"/>
      <c r="F158" s="1"/>
      <c r="G158" s="1"/>
      <c r="H158" s="1"/>
      <c r="I158" s="3"/>
      <c r="J158" s="3"/>
      <c r="K158" s="111"/>
      <c r="L158" s="3"/>
      <c r="M158" s="3"/>
      <c r="N158" s="3"/>
      <c r="O158" s="3"/>
      <c r="P158" s="1"/>
      <c r="Q158" s="1"/>
    </row>
    <row r="159" spans="2:17">
      <c r="C159" s="170" t="s">
        <v>92</v>
      </c>
      <c r="D159" s="154"/>
      <c r="E159" s="154"/>
      <c r="F159" s="154"/>
      <c r="G159" s="154"/>
      <c r="H159" s="111"/>
      <c r="I159" s="111"/>
      <c r="J159" s="171"/>
      <c r="K159" s="171"/>
      <c r="L159" s="171"/>
      <c r="M159" s="171"/>
      <c r="N159" s="171"/>
      <c r="O159" s="171"/>
      <c r="P159" s="1"/>
      <c r="Q159" s="1"/>
    </row>
    <row r="160" spans="2:17">
      <c r="C160" s="217" t="s">
        <v>74</v>
      </c>
      <c r="D160" s="154"/>
      <c r="E160" s="154"/>
      <c r="F160" s="154"/>
      <c r="G160" s="154"/>
      <c r="H160" s="111"/>
      <c r="I160" s="111"/>
      <c r="J160" s="171"/>
      <c r="K160" s="171"/>
      <c r="L160" s="171"/>
      <c r="M160" s="171"/>
      <c r="N160" s="171"/>
      <c r="O160" s="171"/>
      <c r="P160" s="1"/>
      <c r="Q160" s="1"/>
    </row>
    <row r="161" spans="3:17">
      <c r="C161" s="217" t="s">
        <v>75</v>
      </c>
      <c r="D161" s="154"/>
      <c r="E161" s="154"/>
      <c r="F161" s="154"/>
      <c r="G161" s="154"/>
      <c r="H161" s="111"/>
      <c r="I161" s="111"/>
      <c r="J161" s="171"/>
      <c r="K161" s="171"/>
      <c r="L161" s="171"/>
      <c r="M161" s="171"/>
      <c r="N161" s="171"/>
      <c r="O161" s="171"/>
      <c r="P161" s="1"/>
      <c r="Q161" s="1"/>
    </row>
    <row r="162" spans="3:17" ht="18">
      <c r="C162" s="217"/>
      <c r="D162" s="154"/>
      <c r="E162" s="154"/>
      <c r="F162" s="154"/>
      <c r="G162" s="154"/>
      <c r="H162" s="111"/>
      <c r="I162" s="111"/>
      <c r="J162" s="171"/>
      <c r="K162" s="171"/>
      <c r="L162" s="171"/>
      <c r="M162" s="171"/>
      <c r="N162" s="171"/>
      <c r="P162" s="237" t="s">
        <v>126</v>
      </c>
      <c r="Q162" s="1"/>
    </row>
  </sheetData>
  <phoneticPr fontId="0" type="noConversion"/>
  <conditionalFormatting sqref="C17:C72">
    <cfRule type="cellIs" dxfId="155" priority="1" stopIfTrue="1" operator="equal">
      <formula>$I$10</formula>
    </cfRule>
  </conditionalFormatting>
  <conditionalFormatting sqref="C99:C154">
    <cfRule type="cellIs" dxfId="154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/>
  <dimension ref="A1:Q162"/>
  <sheetViews>
    <sheetView view="pageBreakPreview" zoomScale="80" zoomScaleNormal="100" zoomScaleSheetLayoutView="80" workbookViewId="0">
      <selection activeCell="C19" sqref="C19"/>
    </sheetView>
  </sheetViews>
  <sheetFormatPr defaultRowHeight="12.75" customHeight="1"/>
  <cols>
    <col min="1" max="1" width="4.7109375" customWidth="1"/>
    <col min="2" max="2" width="6.7109375" customWidth="1"/>
    <col min="3" max="3" width="23.28515625" customWidth="1"/>
    <col min="4" max="8" width="17.7109375" customWidth="1"/>
    <col min="9" max="9" width="20.42578125" customWidth="1"/>
    <col min="10" max="10" width="16.42578125" customWidth="1"/>
    <col min="11" max="11" width="17.7109375" customWidth="1"/>
    <col min="12" max="12" width="16.140625" customWidth="1"/>
    <col min="13" max="13" width="17.7109375" customWidth="1"/>
    <col min="14" max="14" width="16.140625" customWidth="1"/>
    <col min="15" max="15" width="16.85546875" customWidth="1"/>
    <col min="16" max="16" width="24.42578125" customWidth="1"/>
    <col min="17" max="17" width="4.7109375" customWidth="1"/>
    <col min="23" max="23" width="9.140625" customWidth="1"/>
  </cols>
  <sheetData>
    <row r="1" spans="1:17" ht="20.25">
      <c r="A1" s="378" t="s">
        <v>128</v>
      </c>
      <c r="B1" s="379"/>
      <c r="C1" s="380"/>
      <c r="D1" s="381"/>
      <c r="E1" s="379"/>
      <c r="F1" s="382"/>
      <c r="G1" s="379"/>
      <c r="H1" s="383"/>
      <c r="I1" s="384"/>
      <c r="J1" s="385"/>
      <c r="K1" s="109"/>
      <c r="L1" s="109"/>
      <c r="M1" s="109"/>
      <c r="P1" s="249" t="str">
        <f ca="1">"SWEPCO Project "&amp;RIGHT(MID(CELL("filename",$A$1),FIND("]",CELL("filename",$A$1))+1,256),1)&amp;" of "&amp;COUNT('S.001:S.xyz - blank'!$P$3)-1</f>
        <v>SWEPCO Project 6 of 73</v>
      </c>
      <c r="Q1" s="108"/>
    </row>
    <row r="2" spans="1:17" ht="18">
      <c r="B2" s="1"/>
      <c r="C2" s="1"/>
      <c r="D2" s="2"/>
      <c r="E2" s="1"/>
      <c r="F2" s="1"/>
      <c r="G2" s="1"/>
      <c r="H2" s="3"/>
      <c r="I2" s="1"/>
      <c r="J2" s="4"/>
      <c r="K2" s="1"/>
      <c r="L2" s="1"/>
      <c r="M2" s="1"/>
      <c r="N2" s="1"/>
      <c r="P2" s="237" t="s">
        <v>124</v>
      </c>
    </row>
    <row r="3" spans="1:17" ht="18.75">
      <c r="B3" s="5" t="s">
        <v>40</v>
      </c>
      <c r="C3" s="68" t="s">
        <v>41</v>
      </c>
      <c r="D3" s="2"/>
      <c r="E3" s="1"/>
      <c r="F3" s="1"/>
      <c r="G3" s="1"/>
      <c r="H3" s="3"/>
      <c r="I3" s="3"/>
      <c r="J3" s="111"/>
      <c r="K3" s="3"/>
      <c r="L3" s="3"/>
      <c r="M3" s="3"/>
      <c r="N3" s="3"/>
      <c r="O3" s="1" t="str">
        <f>RIGHT(N3,3)</f>
        <v/>
      </c>
      <c r="P3" s="239">
        <v>1</v>
      </c>
    </row>
    <row r="4" spans="1:17" ht="15.75" thickBot="1">
      <c r="C4" s="67"/>
      <c r="D4" s="2"/>
      <c r="E4" s="1"/>
      <c r="F4" s="1"/>
      <c r="G4" s="1"/>
      <c r="H4" s="3"/>
      <c r="I4" s="3"/>
      <c r="J4" s="111"/>
      <c r="K4" s="3"/>
      <c r="L4" s="3"/>
      <c r="M4" s="3"/>
      <c r="N4" s="3"/>
      <c r="O4" s="1"/>
      <c r="P4" s="1"/>
    </row>
    <row r="5" spans="1:17" ht="15">
      <c r="C5" s="112" t="s">
        <v>42</v>
      </c>
      <c r="D5" s="2"/>
      <c r="E5" s="1"/>
      <c r="F5" s="1"/>
      <c r="G5" s="113"/>
      <c r="H5" s="1" t="s">
        <v>43</v>
      </c>
      <c r="I5" s="1"/>
      <c r="J5" s="4"/>
      <c r="K5" s="268" t="s">
        <v>152</v>
      </c>
      <c r="L5" s="114"/>
      <c r="M5" s="115"/>
      <c r="N5" s="116">
        <f>VLOOKUP(I10,C17:I72,5)</f>
        <v>3799504.1337335454</v>
      </c>
      <c r="P5" s="1"/>
    </row>
    <row r="6" spans="1:17" ht="15.75">
      <c r="C6" s="8"/>
      <c r="D6" s="2"/>
      <c r="E6" s="1"/>
      <c r="F6" s="1"/>
      <c r="G6" s="1"/>
      <c r="H6" s="117"/>
      <c r="I6" s="117"/>
      <c r="J6" s="118"/>
      <c r="K6" s="269" t="s">
        <v>153</v>
      </c>
      <c r="L6" s="119"/>
      <c r="M6" s="4"/>
      <c r="N6" s="120">
        <f>VLOOKUP(I10,C17:I72,6)</f>
        <v>3799504.1337335454</v>
      </c>
      <c r="O6" s="1"/>
      <c r="P6" s="1"/>
    </row>
    <row r="7" spans="1:17" ht="13.5" thickBot="1">
      <c r="C7" s="121" t="s">
        <v>44</v>
      </c>
      <c r="D7" s="273" t="s">
        <v>230</v>
      </c>
      <c r="E7" s="1"/>
      <c r="F7" s="1"/>
      <c r="G7" s="1"/>
      <c r="H7" s="3"/>
      <c r="I7" s="3"/>
      <c r="J7" s="111"/>
      <c r="K7" s="122" t="s">
        <v>45</v>
      </c>
      <c r="L7" s="123"/>
      <c r="M7" s="123"/>
      <c r="N7" s="124">
        <f>+N6-N5</f>
        <v>0</v>
      </c>
      <c r="O7" s="1"/>
      <c r="P7" s="1"/>
    </row>
    <row r="8" spans="1:17" ht="13.5" thickBot="1">
      <c r="C8" s="125"/>
      <c r="D8" s="247" t="str">
        <f>IF(D10&lt;100000,"DOES NOT MEET SPP $100,000 MINIMUM INVESTMENT FOR REGIONAL BPU SHARING.","")</f>
        <v/>
      </c>
      <c r="E8" s="126"/>
      <c r="F8" s="126"/>
      <c r="G8" s="126"/>
      <c r="H8" s="126"/>
      <c r="I8" s="126"/>
      <c r="J8" s="101"/>
      <c r="K8" s="126"/>
      <c r="L8" s="126"/>
      <c r="M8" s="126"/>
      <c r="N8" s="126"/>
      <c r="O8" s="101"/>
      <c r="P8" s="21"/>
    </row>
    <row r="9" spans="1:17" ht="13.5" thickBot="1">
      <c r="A9" s="103"/>
      <c r="C9" s="127" t="s">
        <v>46</v>
      </c>
      <c r="D9" s="225" t="s">
        <v>140</v>
      </c>
      <c r="E9" s="401" t="s">
        <v>400</v>
      </c>
      <c r="F9" s="128"/>
      <c r="G9" s="128"/>
      <c r="H9" s="128"/>
      <c r="I9" s="129"/>
      <c r="J9" s="130"/>
      <c r="O9" s="131"/>
      <c r="P9" s="4"/>
    </row>
    <row r="10" spans="1:17">
      <c r="C10" s="132" t="s">
        <v>47</v>
      </c>
      <c r="D10" s="133">
        <v>37028625</v>
      </c>
      <c r="E10" s="61" t="s">
        <v>459</v>
      </c>
      <c r="F10" s="131"/>
      <c r="G10" s="134"/>
      <c r="H10" s="134"/>
      <c r="I10" s="135">
        <f>+SWE.WS.F.BPU.ATRR.Projected!K17</f>
        <v>2019</v>
      </c>
      <c r="J10" s="130"/>
      <c r="K10" s="111" t="s">
        <v>48</v>
      </c>
      <c r="O10" s="4"/>
      <c r="P10" s="4"/>
    </row>
    <row r="11" spans="1:17">
      <c r="C11" s="136" t="s">
        <v>49</v>
      </c>
      <c r="D11" s="137">
        <v>2009</v>
      </c>
      <c r="E11" s="136" t="s">
        <v>50</v>
      </c>
      <c r="F11" s="134"/>
      <c r="G11" s="7"/>
      <c r="H11" s="7"/>
      <c r="I11" s="138">
        <v>0</v>
      </c>
      <c r="J11" s="139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4"/>
      <c r="P11" s="4"/>
    </row>
    <row r="12" spans="1:17">
      <c r="C12" s="136" t="s">
        <v>51</v>
      </c>
      <c r="D12" s="133">
        <v>6</v>
      </c>
      <c r="E12" s="136" t="s">
        <v>52</v>
      </c>
      <c r="F12" s="134"/>
      <c r="G12" s="7"/>
      <c r="H12" s="7"/>
      <c r="I12" s="140">
        <f>SWE.WS.F.BPU.ATRR.Projected!$F$76</f>
        <v>9.9555672459071778E-2</v>
      </c>
      <c r="J12" s="141"/>
      <c r="K12" t="s">
        <v>53</v>
      </c>
      <c r="O12" s="4"/>
      <c r="P12" s="4"/>
    </row>
    <row r="13" spans="1:17">
      <c r="C13" s="136" t="s">
        <v>54</v>
      </c>
      <c r="D13" s="138">
        <f>+SWE.WS.F.BPU.ATRR.Projected!F$87</f>
        <v>43</v>
      </c>
      <c r="E13" s="136" t="s">
        <v>55</v>
      </c>
      <c r="F13" s="134"/>
      <c r="G13" s="7"/>
      <c r="H13" s="7"/>
      <c r="I13" s="140">
        <f>IF(G5="",I12,SWE.WS.F.BPU.ATRR.Projected!$F$75)</f>
        <v>9.9555672459071778E-2</v>
      </c>
      <c r="J13" s="141"/>
      <c r="K13" s="111" t="s">
        <v>56</v>
      </c>
      <c r="L13" s="58"/>
      <c r="M13" s="58"/>
      <c r="N13" s="58"/>
      <c r="O13" s="4"/>
      <c r="P13" s="4"/>
    </row>
    <row r="14" spans="1:17" ht="13.5" thickBot="1">
      <c r="C14" s="136" t="s">
        <v>57</v>
      </c>
      <c r="D14" s="137" t="s">
        <v>58</v>
      </c>
      <c r="E14" s="4" t="s">
        <v>59</v>
      </c>
      <c r="F14" s="134"/>
      <c r="G14" s="7"/>
      <c r="H14" s="7"/>
      <c r="I14" s="142">
        <f>IF(D10=0,0,D10/D13)</f>
        <v>861130.81395348837</v>
      </c>
      <c r="J14" s="111"/>
      <c r="K14" s="111"/>
      <c r="L14" s="111"/>
      <c r="M14" s="111"/>
      <c r="N14" s="111"/>
      <c r="O14" s="4"/>
      <c r="P14" s="4"/>
    </row>
    <row r="15" spans="1:17" ht="38.25">
      <c r="C15" s="143" t="s">
        <v>47</v>
      </c>
      <c r="D15" s="144" t="s">
        <v>60</v>
      </c>
      <c r="E15" s="144" t="s">
        <v>61</v>
      </c>
      <c r="F15" s="144" t="s">
        <v>62</v>
      </c>
      <c r="G15" s="434" t="s">
        <v>378</v>
      </c>
      <c r="H15" s="435" t="s">
        <v>379</v>
      </c>
      <c r="I15" s="351" t="s">
        <v>249</v>
      </c>
      <c r="J15" s="145"/>
      <c r="K15" s="271" t="s">
        <v>219</v>
      </c>
      <c r="L15" s="146" t="s">
        <v>64</v>
      </c>
      <c r="M15" s="271" t="s">
        <v>219</v>
      </c>
      <c r="N15" s="146" t="s">
        <v>64</v>
      </c>
      <c r="O15" s="146" t="s">
        <v>65</v>
      </c>
      <c r="P15" s="4"/>
    </row>
    <row r="16" spans="1:17" ht="13.5" thickBot="1">
      <c r="C16" s="147" t="s">
        <v>66</v>
      </c>
      <c r="D16" s="147" t="s">
        <v>67</v>
      </c>
      <c r="E16" s="147" t="s">
        <v>68</v>
      </c>
      <c r="F16" s="147" t="s">
        <v>67</v>
      </c>
      <c r="G16" s="408" t="s">
        <v>69</v>
      </c>
      <c r="H16" s="148" t="s">
        <v>70</v>
      </c>
      <c r="I16" s="149" t="s">
        <v>89</v>
      </c>
      <c r="J16" s="150" t="s">
        <v>71</v>
      </c>
      <c r="K16" s="151" t="s">
        <v>72</v>
      </c>
      <c r="L16" s="151" t="s">
        <v>72</v>
      </c>
      <c r="M16" s="151" t="s">
        <v>90</v>
      </c>
      <c r="N16" s="152" t="s">
        <v>90</v>
      </c>
      <c r="O16" s="151" t="s">
        <v>90</v>
      </c>
      <c r="P16" s="4"/>
    </row>
    <row r="17" spans="2:16">
      <c r="C17" s="153">
        <f>IF(D11= "","-",D11)</f>
        <v>2009</v>
      </c>
      <c r="D17" s="357">
        <v>17101764</v>
      </c>
      <c r="E17" s="358">
        <v>231105</v>
      </c>
      <c r="F17" s="357">
        <v>16870659</v>
      </c>
      <c r="G17" s="358">
        <v>1739394</v>
      </c>
      <c r="H17" s="359">
        <v>1739394</v>
      </c>
      <c r="I17" s="156">
        <f t="shared" ref="I17:I48" si="0">H17-G17</f>
        <v>0</v>
      </c>
      <c r="J17" s="156"/>
      <c r="K17" s="256">
        <v>1739394</v>
      </c>
      <c r="L17" s="157">
        <f t="shared" ref="L17:L48" si="1">IF(K17&lt;&gt;0,+G17-K17,0)</f>
        <v>0</v>
      </c>
      <c r="M17" s="256">
        <v>1739394</v>
      </c>
      <c r="N17" s="157">
        <f t="shared" ref="N17:N48" si="2">IF(M17&lt;&gt;0,+H17-M17,0)</f>
        <v>0</v>
      </c>
      <c r="O17" s="158">
        <f t="shared" ref="O17:O48" si="3">+N17-L17</f>
        <v>0</v>
      </c>
      <c r="P17" s="4"/>
    </row>
    <row r="18" spans="2:16">
      <c r="B18" s="9" t="str">
        <f>IF(D18=F17,"","IU")</f>
        <v>IU</v>
      </c>
      <c r="C18" s="153">
        <f>IF(D11="","-",+C17+1)</f>
        <v>2010</v>
      </c>
      <c r="D18" s="361">
        <v>6292908</v>
      </c>
      <c r="E18" s="360">
        <v>171684</v>
      </c>
      <c r="F18" s="361">
        <v>6121224</v>
      </c>
      <c r="G18" s="360">
        <v>1051702</v>
      </c>
      <c r="H18" s="359">
        <v>1051702</v>
      </c>
      <c r="I18" s="156">
        <f t="shared" si="0"/>
        <v>0</v>
      </c>
      <c r="J18" s="156"/>
      <c r="K18" s="258">
        <f t="shared" ref="K18:K23" si="4">G18</f>
        <v>1051702</v>
      </c>
      <c r="L18" s="257">
        <f t="shared" si="1"/>
        <v>0</v>
      </c>
      <c r="M18" s="258">
        <f t="shared" ref="M18:M23" si="5">H18</f>
        <v>1051702</v>
      </c>
      <c r="N18" s="158">
        <f t="shared" si="2"/>
        <v>0</v>
      </c>
      <c r="O18" s="158">
        <f t="shared" si="3"/>
        <v>0</v>
      </c>
      <c r="P18" s="4"/>
    </row>
    <row r="19" spans="2:16">
      <c r="B19" s="9" t="str">
        <f>IF(D19=F18,"","IU")</f>
        <v>IU</v>
      </c>
      <c r="C19" s="153">
        <f>IF(D11="","-",+C18+1)</f>
        <v>2011</v>
      </c>
      <c r="D19" s="361">
        <v>26971020</v>
      </c>
      <c r="E19" s="360">
        <v>667653.87804878049</v>
      </c>
      <c r="F19" s="361">
        <v>26303366.121951219</v>
      </c>
      <c r="G19" s="360">
        <v>4776034.0895202104</v>
      </c>
      <c r="H19" s="359">
        <v>4776034.0895202104</v>
      </c>
      <c r="I19" s="156">
        <f t="shared" si="0"/>
        <v>0</v>
      </c>
      <c r="J19" s="156"/>
      <c r="K19" s="258">
        <f t="shared" si="4"/>
        <v>4776034.0895202104</v>
      </c>
      <c r="L19" s="257">
        <f t="shared" si="1"/>
        <v>0</v>
      </c>
      <c r="M19" s="258">
        <f t="shared" si="5"/>
        <v>4776034.0895202104</v>
      </c>
      <c r="N19" s="158">
        <f t="shared" si="2"/>
        <v>0</v>
      </c>
      <c r="O19" s="158">
        <f t="shared" si="3"/>
        <v>0</v>
      </c>
      <c r="P19" s="4"/>
    </row>
    <row r="20" spans="2:16">
      <c r="B20" s="9" t="str">
        <f t="shared" ref="B20:B72" si="6">IF(D20=F19,"","IU")</f>
        <v>IU</v>
      </c>
      <c r="C20" s="153">
        <f>IF(D11="","-",+C19+1)</f>
        <v>2012</v>
      </c>
      <c r="D20" s="361">
        <v>31392829.121951219</v>
      </c>
      <c r="E20" s="360">
        <v>772935.04761904757</v>
      </c>
      <c r="F20" s="361">
        <v>30619894.07433217</v>
      </c>
      <c r="G20" s="360">
        <v>5326729.983202124</v>
      </c>
      <c r="H20" s="359">
        <v>5326729.983202124</v>
      </c>
      <c r="I20" s="156">
        <f t="shared" si="0"/>
        <v>0</v>
      </c>
      <c r="J20" s="156"/>
      <c r="K20" s="258">
        <f t="shared" si="4"/>
        <v>5326729.983202124</v>
      </c>
      <c r="L20" s="257">
        <f t="shared" si="1"/>
        <v>0</v>
      </c>
      <c r="M20" s="258">
        <f t="shared" si="5"/>
        <v>5326729.983202124</v>
      </c>
      <c r="N20" s="158">
        <f t="shared" si="2"/>
        <v>0</v>
      </c>
      <c r="O20" s="158">
        <f t="shared" si="3"/>
        <v>0</v>
      </c>
      <c r="P20" s="4"/>
    </row>
    <row r="21" spans="2:16">
      <c r="B21" s="9" t="str">
        <f t="shared" si="6"/>
        <v>IU</v>
      </c>
      <c r="C21" s="153">
        <f>IF(D12="","-",+C20+1)</f>
        <v>2013</v>
      </c>
      <c r="D21" s="361">
        <v>33143499.07433217</v>
      </c>
      <c r="E21" s="360">
        <v>833020.88095238095</v>
      </c>
      <c r="F21" s="361">
        <v>32310478.19337979</v>
      </c>
      <c r="G21" s="360">
        <v>5356070.4437174536</v>
      </c>
      <c r="H21" s="359">
        <v>5356070.4437174536</v>
      </c>
      <c r="I21" s="156">
        <v>0</v>
      </c>
      <c r="J21" s="156"/>
      <c r="K21" s="258">
        <f t="shared" si="4"/>
        <v>5356070.4437174536</v>
      </c>
      <c r="L21" s="257">
        <f t="shared" ref="L21:L26" si="7">IF(K21&lt;&gt;0,+G21-K21,0)</f>
        <v>0</v>
      </c>
      <c r="M21" s="258">
        <f t="shared" si="5"/>
        <v>5356070.4437174536</v>
      </c>
      <c r="N21" s="158">
        <f t="shared" ref="N21:N26" si="8">IF(M21&lt;&gt;0,+H21-M21,0)</f>
        <v>0</v>
      </c>
      <c r="O21" s="158">
        <f>+N21-L21</f>
        <v>0</v>
      </c>
      <c r="P21" s="4"/>
    </row>
    <row r="22" spans="2:16">
      <c r="B22" s="9" t="str">
        <f t="shared" si="6"/>
        <v>IU</v>
      </c>
      <c r="C22" s="153">
        <f>IF(D11="","-",+C21+1)</f>
        <v>2014</v>
      </c>
      <c r="D22" s="361">
        <v>34252059.19337979</v>
      </c>
      <c r="E22" s="360">
        <v>879249</v>
      </c>
      <c r="F22" s="361">
        <v>33372810.19337979</v>
      </c>
      <c r="G22" s="360">
        <v>5381591.7849194687</v>
      </c>
      <c r="H22" s="359">
        <v>5381591.7849194687</v>
      </c>
      <c r="I22" s="156">
        <v>0</v>
      </c>
      <c r="J22" s="156"/>
      <c r="K22" s="258">
        <f t="shared" si="4"/>
        <v>5381591.7849194687</v>
      </c>
      <c r="L22" s="257">
        <f t="shared" si="7"/>
        <v>0</v>
      </c>
      <c r="M22" s="258">
        <f t="shared" si="5"/>
        <v>5381591.7849194687</v>
      </c>
      <c r="N22" s="158">
        <f t="shared" si="8"/>
        <v>0</v>
      </c>
      <c r="O22" s="158">
        <f t="shared" si="3"/>
        <v>0</v>
      </c>
      <c r="P22" s="4"/>
    </row>
    <row r="23" spans="2:16">
      <c r="B23" s="9" t="str">
        <f t="shared" si="6"/>
        <v>IU</v>
      </c>
      <c r="C23" s="153">
        <f>IF(D11="","-",+C22+1)</f>
        <v>2015</v>
      </c>
      <c r="D23" s="361">
        <v>33472977.19337979</v>
      </c>
      <c r="E23" s="360">
        <v>881633.92857142852</v>
      </c>
      <c r="F23" s="361">
        <v>32591343.26480836</v>
      </c>
      <c r="G23" s="360">
        <v>5174070.3067745473</v>
      </c>
      <c r="H23" s="359">
        <v>5174070.3067745473</v>
      </c>
      <c r="I23" s="156">
        <v>0</v>
      </c>
      <c r="J23" s="156"/>
      <c r="K23" s="258">
        <f t="shared" si="4"/>
        <v>5174070.3067745473</v>
      </c>
      <c r="L23" s="257">
        <f t="shared" si="7"/>
        <v>0</v>
      </c>
      <c r="M23" s="258">
        <f t="shared" si="5"/>
        <v>5174070.3067745473</v>
      </c>
      <c r="N23" s="158">
        <f t="shared" si="8"/>
        <v>0</v>
      </c>
      <c r="O23" s="158">
        <f>+N23-L23</f>
        <v>0</v>
      </c>
      <c r="P23" s="4"/>
    </row>
    <row r="24" spans="2:16">
      <c r="B24" s="9" t="str">
        <f t="shared" si="6"/>
        <v/>
      </c>
      <c r="C24" s="153">
        <f>IF(D11="","-",+C23+1)</f>
        <v>2016</v>
      </c>
      <c r="D24" s="361">
        <v>32591343.26480836</v>
      </c>
      <c r="E24" s="360">
        <v>881633.92857142852</v>
      </c>
      <c r="F24" s="361">
        <v>31709709.336236931</v>
      </c>
      <c r="G24" s="360">
        <v>5006432.1268862924</v>
      </c>
      <c r="H24" s="359">
        <v>5006432.1268862924</v>
      </c>
      <c r="I24" s="156">
        <f t="shared" si="0"/>
        <v>0</v>
      </c>
      <c r="J24" s="156"/>
      <c r="K24" s="258">
        <f>G24</f>
        <v>5006432.1268862924</v>
      </c>
      <c r="L24" s="257">
        <f t="shared" si="7"/>
        <v>0</v>
      </c>
      <c r="M24" s="258">
        <f>H24</f>
        <v>5006432.1268862924</v>
      </c>
      <c r="N24" s="158">
        <f t="shared" si="8"/>
        <v>0</v>
      </c>
      <c r="O24" s="158">
        <f>+N24-L24</f>
        <v>0</v>
      </c>
      <c r="P24" s="4"/>
    </row>
    <row r="25" spans="2:16">
      <c r="B25" s="9" t="str">
        <f t="shared" si="6"/>
        <v/>
      </c>
      <c r="C25" s="153">
        <f>IF(D11="","-",+C24+1)</f>
        <v>2017</v>
      </c>
      <c r="D25" s="361">
        <v>31709709.336236931</v>
      </c>
      <c r="E25" s="360">
        <v>861130.81395348837</v>
      </c>
      <c r="F25" s="361">
        <v>30848578.522283442</v>
      </c>
      <c r="G25" s="360">
        <v>4736383.2047020355</v>
      </c>
      <c r="H25" s="359">
        <v>4736383.2047020355</v>
      </c>
      <c r="I25" s="156">
        <v>0</v>
      </c>
      <c r="J25" s="156"/>
      <c r="K25" s="258">
        <f>G25</f>
        <v>4736383.2047020355</v>
      </c>
      <c r="L25" s="257">
        <f t="shared" si="7"/>
        <v>0</v>
      </c>
      <c r="M25" s="258">
        <f>H25</f>
        <v>4736383.2047020355</v>
      </c>
      <c r="N25" s="158">
        <f t="shared" si="8"/>
        <v>0</v>
      </c>
      <c r="O25" s="158">
        <f>+N25-L25</f>
        <v>0</v>
      </c>
      <c r="P25" s="4"/>
    </row>
    <row r="26" spans="2:16">
      <c r="B26" s="9" t="str">
        <f t="shared" si="6"/>
        <v/>
      </c>
      <c r="C26" s="153">
        <f>IF(D11="","-",+C25+1)</f>
        <v>2018</v>
      </c>
      <c r="D26" s="361">
        <v>30848578.522283442</v>
      </c>
      <c r="E26" s="360">
        <v>903137.19512195117</v>
      </c>
      <c r="F26" s="361">
        <v>29945441.327161491</v>
      </c>
      <c r="G26" s="360">
        <v>4304082.6380876256</v>
      </c>
      <c r="H26" s="359">
        <v>4304082.6380876256</v>
      </c>
      <c r="I26" s="156">
        <f t="shared" si="0"/>
        <v>0</v>
      </c>
      <c r="J26" s="156"/>
      <c r="K26" s="258">
        <f>G26</f>
        <v>4304082.6380876256</v>
      </c>
      <c r="L26" s="257">
        <f t="shared" si="7"/>
        <v>0</v>
      </c>
      <c r="M26" s="258">
        <f>H26</f>
        <v>4304082.6380876256</v>
      </c>
      <c r="N26" s="158">
        <f t="shared" si="8"/>
        <v>0</v>
      </c>
      <c r="O26" s="158">
        <f>+N26-L26</f>
        <v>0</v>
      </c>
      <c r="P26" s="4"/>
    </row>
    <row r="27" spans="2:16">
      <c r="B27" s="9" t="str">
        <f t="shared" si="6"/>
        <v/>
      </c>
      <c r="C27" s="153">
        <f>IF(D11="","-",+C26+1)</f>
        <v>2019</v>
      </c>
      <c r="D27" s="162">
        <f>IF(F26+SUM(E$17:E26)=D$10,F26,D$10-SUM(E$17:E26))</f>
        <v>29945441.327161491</v>
      </c>
      <c r="E27" s="160">
        <f>IF(+I14&lt;F26,I14,D27)</f>
        <v>861130.81395348837</v>
      </c>
      <c r="F27" s="159">
        <f t="shared" ref="F27:F48" si="9">+D27-E27</f>
        <v>29084310.513208002</v>
      </c>
      <c r="G27" s="161">
        <f t="shared" ref="G27:G72" si="10">+I$12*((D27+F27)/2)+E27</f>
        <v>3799504.1337335454</v>
      </c>
      <c r="H27" s="142">
        <f t="shared" ref="H27:H72" si="11">+I$13*((D27+F27)/2)+E27</f>
        <v>3799504.1337335454</v>
      </c>
      <c r="I27" s="156">
        <f t="shared" si="0"/>
        <v>0</v>
      </c>
      <c r="J27" s="156"/>
      <c r="K27" s="334"/>
      <c r="L27" s="158">
        <f t="shared" si="1"/>
        <v>0</v>
      </c>
      <c r="M27" s="334"/>
      <c r="N27" s="158">
        <f t="shared" si="2"/>
        <v>0</v>
      </c>
      <c r="O27" s="158">
        <f t="shared" si="3"/>
        <v>0</v>
      </c>
      <c r="P27" s="4"/>
    </row>
    <row r="28" spans="2:16">
      <c r="B28" s="9" t="str">
        <f t="shared" si="6"/>
        <v/>
      </c>
      <c r="C28" s="153">
        <f>IF(D11="","-",+C27+1)</f>
        <v>2020</v>
      </c>
      <c r="D28" s="159">
        <f>IF(F27+SUM(E$17:E27)=D$10,F27,D$10-SUM(E$17:E27))</f>
        <v>29084310.513208002</v>
      </c>
      <c r="E28" s="160">
        <f>IF(+I14&lt;F27,I14,D28)</f>
        <v>861130.81395348837</v>
      </c>
      <c r="F28" s="159">
        <f t="shared" si="9"/>
        <v>28223179.699254513</v>
      </c>
      <c r="G28" s="161">
        <f t="shared" si="10"/>
        <v>3713773.6764751785</v>
      </c>
      <c r="H28" s="142">
        <f t="shared" si="11"/>
        <v>3713773.6764751785</v>
      </c>
      <c r="I28" s="156">
        <f t="shared" si="0"/>
        <v>0</v>
      </c>
      <c r="J28" s="156"/>
      <c r="K28" s="334"/>
      <c r="L28" s="158">
        <f t="shared" si="1"/>
        <v>0</v>
      </c>
      <c r="M28" s="334"/>
      <c r="N28" s="158">
        <f t="shared" si="2"/>
        <v>0</v>
      </c>
      <c r="O28" s="158">
        <f t="shared" si="3"/>
        <v>0</v>
      </c>
      <c r="P28" s="4"/>
    </row>
    <row r="29" spans="2:16">
      <c r="B29" s="9" t="str">
        <f t="shared" si="6"/>
        <v/>
      </c>
      <c r="C29" s="153">
        <f>IF(D11="","-",+C28+1)</f>
        <v>2021</v>
      </c>
      <c r="D29" s="159">
        <f>IF(F28+SUM(E$17:E28)=D$10,F28,D$10-SUM(E$17:E28))</f>
        <v>28223179.699254513</v>
      </c>
      <c r="E29" s="160">
        <f>IF(+I14&lt;F28,I14,D29)</f>
        <v>861130.81395348837</v>
      </c>
      <c r="F29" s="159">
        <f t="shared" si="9"/>
        <v>27362048.885301024</v>
      </c>
      <c r="G29" s="161">
        <f t="shared" si="10"/>
        <v>3628043.2192168105</v>
      </c>
      <c r="H29" s="142">
        <f t="shared" si="11"/>
        <v>3628043.2192168105</v>
      </c>
      <c r="I29" s="156">
        <f t="shared" si="0"/>
        <v>0</v>
      </c>
      <c r="J29" s="156"/>
      <c r="K29" s="334"/>
      <c r="L29" s="158">
        <f t="shared" si="1"/>
        <v>0</v>
      </c>
      <c r="M29" s="334"/>
      <c r="N29" s="158">
        <f t="shared" si="2"/>
        <v>0</v>
      </c>
      <c r="O29" s="158">
        <f t="shared" si="3"/>
        <v>0</v>
      </c>
      <c r="P29" s="4"/>
    </row>
    <row r="30" spans="2:16">
      <c r="B30" s="9" t="str">
        <f t="shared" si="6"/>
        <v/>
      </c>
      <c r="C30" s="153">
        <f>IF(D11="","-",+C29+1)</f>
        <v>2022</v>
      </c>
      <c r="D30" s="159">
        <f>IF(F29+SUM(E$17:E29)=D$10,F29,D$10-SUM(E$17:E29))</f>
        <v>27362048.885301024</v>
      </c>
      <c r="E30" s="160">
        <f>IF(+I14&lt;F29,I14,D30)</f>
        <v>861130.81395348837</v>
      </c>
      <c r="F30" s="159">
        <f t="shared" si="9"/>
        <v>26500918.071347535</v>
      </c>
      <c r="G30" s="161">
        <f t="shared" si="10"/>
        <v>3542312.7619584436</v>
      </c>
      <c r="H30" s="142">
        <f t="shared" si="11"/>
        <v>3542312.7619584436</v>
      </c>
      <c r="I30" s="156">
        <f t="shared" si="0"/>
        <v>0</v>
      </c>
      <c r="J30" s="156"/>
      <c r="K30" s="334"/>
      <c r="L30" s="158">
        <f t="shared" si="1"/>
        <v>0</v>
      </c>
      <c r="M30" s="334"/>
      <c r="N30" s="158">
        <f t="shared" si="2"/>
        <v>0</v>
      </c>
      <c r="O30" s="158">
        <f t="shared" si="3"/>
        <v>0</v>
      </c>
      <c r="P30" s="4"/>
    </row>
    <row r="31" spans="2:16">
      <c r="B31" s="9" t="str">
        <f t="shared" si="6"/>
        <v/>
      </c>
      <c r="C31" s="153">
        <f>IF(D11="","-",+C30+1)</f>
        <v>2023</v>
      </c>
      <c r="D31" s="159">
        <f>IF(F30+SUM(E$17:E30)=D$10,F30,D$10-SUM(E$17:E30))</f>
        <v>26500918.071347535</v>
      </c>
      <c r="E31" s="160">
        <f>IF(+I14&lt;F30,I14,D31)</f>
        <v>861130.81395348837</v>
      </c>
      <c r="F31" s="159">
        <f t="shared" si="9"/>
        <v>25639787.257394046</v>
      </c>
      <c r="G31" s="161">
        <f t="shared" si="10"/>
        <v>3456582.3047000756</v>
      </c>
      <c r="H31" s="142">
        <f t="shared" si="11"/>
        <v>3456582.3047000756</v>
      </c>
      <c r="I31" s="156">
        <f t="shared" si="0"/>
        <v>0</v>
      </c>
      <c r="J31" s="156"/>
      <c r="K31" s="334"/>
      <c r="L31" s="158">
        <f t="shared" si="1"/>
        <v>0</v>
      </c>
      <c r="M31" s="334"/>
      <c r="N31" s="158">
        <f t="shared" si="2"/>
        <v>0</v>
      </c>
      <c r="O31" s="158">
        <f t="shared" si="3"/>
        <v>0</v>
      </c>
      <c r="P31" s="4"/>
    </row>
    <row r="32" spans="2:16">
      <c r="B32" s="9" t="str">
        <f t="shared" si="6"/>
        <v/>
      </c>
      <c r="C32" s="153">
        <f>IF(D11="","-",+C31+1)</f>
        <v>2024</v>
      </c>
      <c r="D32" s="159">
        <f>IF(F31+SUM(E$17:E31)=D$10,F31,D$10-SUM(E$17:E31))</f>
        <v>25639787.257394046</v>
      </c>
      <c r="E32" s="160">
        <f>IF(+I14&lt;F31,I14,D32)</f>
        <v>861130.81395348837</v>
      </c>
      <c r="F32" s="159">
        <f t="shared" si="9"/>
        <v>24778656.443440557</v>
      </c>
      <c r="G32" s="161">
        <f t="shared" si="10"/>
        <v>3370851.8474417087</v>
      </c>
      <c r="H32" s="142">
        <f t="shared" si="11"/>
        <v>3370851.8474417087</v>
      </c>
      <c r="I32" s="156">
        <f t="shared" si="0"/>
        <v>0</v>
      </c>
      <c r="J32" s="156"/>
      <c r="K32" s="334"/>
      <c r="L32" s="158">
        <f t="shared" si="1"/>
        <v>0</v>
      </c>
      <c r="M32" s="334"/>
      <c r="N32" s="158">
        <f t="shared" si="2"/>
        <v>0</v>
      </c>
      <c r="O32" s="158">
        <f t="shared" si="3"/>
        <v>0</v>
      </c>
      <c r="P32" s="4"/>
    </row>
    <row r="33" spans="2:16">
      <c r="B33" s="9" t="str">
        <f t="shared" si="6"/>
        <v/>
      </c>
      <c r="C33" s="153">
        <f>IF(D11="","-",+C32+1)</f>
        <v>2025</v>
      </c>
      <c r="D33" s="159">
        <f>IF(F32+SUM(E$17:E32)=D$10,F32,D$10-SUM(E$17:E32))</f>
        <v>24778656.443440557</v>
      </c>
      <c r="E33" s="160">
        <f>IF(+I14&lt;F32,I14,D33)</f>
        <v>861130.81395348837</v>
      </c>
      <c r="F33" s="159">
        <f t="shared" si="9"/>
        <v>23917525.629487067</v>
      </c>
      <c r="G33" s="161">
        <f t="shared" si="10"/>
        <v>3285121.3901833408</v>
      </c>
      <c r="H33" s="142">
        <f t="shared" si="11"/>
        <v>3285121.3901833408</v>
      </c>
      <c r="I33" s="156">
        <f t="shared" si="0"/>
        <v>0</v>
      </c>
      <c r="J33" s="156"/>
      <c r="K33" s="334"/>
      <c r="L33" s="158">
        <f t="shared" si="1"/>
        <v>0</v>
      </c>
      <c r="M33" s="334"/>
      <c r="N33" s="158">
        <f t="shared" si="2"/>
        <v>0</v>
      </c>
      <c r="O33" s="158">
        <f t="shared" si="3"/>
        <v>0</v>
      </c>
      <c r="P33" s="4"/>
    </row>
    <row r="34" spans="2:16">
      <c r="B34" s="9" t="str">
        <f t="shared" si="6"/>
        <v/>
      </c>
      <c r="C34" s="153">
        <f>IF(D11="","-",+C33+1)</f>
        <v>2026</v>
      </c>
      <c r="D34" s="159">
        <f>IF(F33+SUM(E$17:E33)=D$10,F33,D$10-SUM(E$17:E33))</f>
        <v>23917525.629487067</v>
      </c>
      <c r="E34" s="160">
        <f>IF(+I14&lt;F33,I14,D34)</f>
        <v>861130.81395348837</v>
      </c>
      <c r="F34" s="159">
        <f t="shared" si="9"/>
        <v>23056394.815533578</v>
      </c>
      <c r="G34" s="161">
        <f t="shared" si="10"/>
        <v>3199390.9329249738</v>
      </c>
      <c r="H34" s="142">
        <f t="shared" si="11"/>
        <v>3199390.9329249738</v>
      </c>
      <c r="I34" s="156">
        <f t="shared" si="0"/>
        <v>0</v>
      </c>
      <c r="J34" s="156"/>
      <c r="K34" s="334"/>
      <c r="L34" s="158">
        <f t="shared" si="1"/>
        <v>0</v>
      </c>
      <c r="M34" s="334"/>
      <c r="N34" s="158">
        <f t="shared" si="2"/>
        <v>0</v>
      </c>
      <c r="O34" s="158">
        <f t="shared" si="3"/>
        <v>0</v>
      </c>
      <c r="P34" s="4"/>
    </row>
    <row r="35" spans="2:16">
      <c r="B35" s="9" t="str">
        <f t="shared" si="6"/>
        <v/>
      </c>
      <c r="C35" s="153">
        <f>IF(D11="","-",+C34+1)</f>
        <v>2027</v>
      </c>
      <c r="D35" s="159">
        <f>IF(F34+SUM(E$17:E34)=D$10,F34,D$10-SUM(E$17:E34))</f>
        <v>23056394.815533578</v>
      </c>
      <c r="E35" s="160">
        <f>IF(+I14&lt;F34,I14,D35)</f>
        <v>861130.81395348837</v>
      </c>
      <c r="F35" s="159">
        <f t="shared" si="9"/>
        <v>22195264.001580089</v>
      </c>
      <c r="G35" s="161">
        <f t="shared" si="10"/>
        <v>3113660.4756666059</v>
      </c>
      <c r="H35" s="142">
        <f t="shared" si="11"/>
        <v>3113660.4756666059</v>
      </c>
      <c r="I35" s="156">
        <f t="shared" si="0"/>
        <v>0</v>
      </c>
      <c r="J35" s="156"/>
      <c r="K35" s="334"/>
      <c r="L35" s="158">
        <f t="shared" si="1"/>
        <v>0</v>
      </c>
      <c r="M35" s="334"/>
      <c r="N35" s="158">
        <f t="shared" si="2"/>
        <v>0</v>
      </c>
      <c r="O35" s="158">
        <f t="shared" si="3"/>
        <v>0</v>
      </c>
      <c r="P35" s="4"/>
    </row>
    <row r="36" spans="2:16">
      <c r="B36" s="9" t="str">
        <f t="shared" si="6"/>
        <v/>
      </c>
      <c r="C36" s="153">
        <f>IF(D11="","-",+C35+1)</f>
        <v>2028</v>
      </c>
      <c r="D36" s="159">
        <f>IF(F35+SUM(E$17:E35)=D$10,F35,D$10-SUM(E$17:E35))</f>
        <v>22195264.001580089</v>
      </c>
      <c r="E36" s="160">
        <f>IF(+I14&lt;F35,I14,D36)</f>
        <v>861130.81395348837</v>
      </c>
      <c r="F36" s="159">
        <f t="shared" si="9"/>
        <v>21334133.1876266</v>
      </c>
      <c r="G36" s="161">
        <f t="shared" si="10"/>
        <v>3027930.0184082389</v>
      </c>
      <c r="H36" s="142">
        <f t="shared" si="11"/>
        <v>3027930.0184082389</v>
      </c>
      <c r="I36" s="156">
        <f t="shared" si="0"/>
        <v>0</v>
      </c>
      <c r="J36" s="156"/>
      <c r="K36" s="334"/>
      <c r="L36" s="158">
        <f t="shared" si="1"/>
        <v>0</v>
      </c>
      <c r="M36" s="334"/>
      <c r="N36" s="158">
        <f t="shared" si="2"/>
        <v>0</v>
      </c>
      <c r="O36" s="158">
        <f t="shared" si="3"/>
        <v>0</v>
      </c>
      <c r="P36" s="4"/>
    </row>
    <row r="37" spans="2:16">
      <c r="B37" s="9" t="str">
        <f t="shared" si="6"/>
        <v/>
      </c>
      <c r="C37" s="153">
        <f>IF(D11="","-",+C36+1)</f>
        <v>2029</v>
      </c>
      <c r="D37" s="159">
        <f>IF(F36+SUM(E$17:E36)=D$10,F36,D$10-SUM(E$17:E36))</f>
        <v>21334133.1876266</v>
      </c>
      <c r="E37" s="160">
        <f>IF(+I14&lt;F36,I14,D37)</f>
        <v>861130.81395348837</v>
      </c>
      <c r="F37" s="159">
        <f t="shared" si="9"/>
        <v>20473002.373673111</v>
      </c>
      <c r="G37" s="161">
        <f t="shared" si="10"/>
        <v>2942199.5611498714</v>
      </c>
      <c r="H37" s="142">
        <f t="shared" si="11"/>
        <v>2942199.5611498714</v>
      </c>
      <c r="I37" s="156">
        <f t="shared" si="0"/>
        <v>0</v>
      </c>
      <c r="J37" s="156"/>
      <c r="K37" s="334"/>
      <c r="L37" s="158">
        <f t="shared" si="1"/>
        <v>0</v>
      </c>
      <c r="M37" s="334"/>
      <c r="N37" s="158">
        <f t="shared" si="2"/>
        <v>0</v>
      </c>
      <c r="O37" s="158">
        <f t="shared" si="3"/>
        <v>0</v>
      </c>
      <c r="P37" s="4"/>
    </row>
    <row r="38" spans="2:16">
      <c r="B38" s="9" t="str">
        <f t="shared" si="6"/>
        <v/>
      </c>
      <c r="C38" s="153">
        <f>IF(D11="","-",+C37+1)</f>
        <v>2030</v>
      </c>
      <c r="D38" s="159">
        <f>IF(F37+SUM(E$17:E37)=D$10,F37,D$10-SUM(E$17:E37))</f>
        <v>20473002.373673111</v>
      </c>
      <c r="E38" s="160">
        <f>IF(+I14&lt;F37,I14,D38)</f>
        <v>861130.81395348837</v>
      </c>
      <c r="F38" s="159">
        <f t="shared" si="9"/>
        <v>19611871.559719622</v>
      </c>
      <c r="G38" s="161">
        <f t="shared" si="10"/>
        <v>2856469.103891504</v>
      </c>
      <c r="H38" s="142">
        <f t="shared" si="11"/>
        <v>2856469.103891504</v>
      </c>
      <c r="I38" s="156">
        <f t="shared" si="0"/>
        <v>0</v>
      </c>
      <c r="J38" s="156"/>
      <c r="K38" s="334"/>
      <c r="L38" s="158">
        <f t="shared" si="1"/>
        <v>0</v>
      </c>
      <c r="M38" s="334"/>
      <c r="N38" s="158">
        <f t="shared" si="2"/>
        <v>0</v>
      </c>
      <c r="O38" s="158">
        <f t="shared" si="3"/>
        <v>0</v>
      </c>
      <c r="P38" s="4"/>
    </row>
    <row r="39" spans="2:16">
      <c r="B39" s="9" t="str">
        <f t="shared" si="6"/>
        <v/>
      </c>
      <c r="C39" s="153">
        <f>IF(D11="","-",+C38+1)</f>
        <v>2031</v>
      </c>
      <c r="D39" s="159">
        <f>IF(F38+SUM(E$17:E38)=D$10,F38,D$10-SUM(E$17:E38))</f>
        <v>19611871.559719622</v>
      </c>
      <c r="E39" s="160">
        <f>IF(+I14&lt;F38,I14,D39)</f>
        <v>861130.81395348837</v>
      </c>
      <c r="F39" s="159">
        <f t="shared" si="9"/>
        <v>18750740.745766133</v>
      </c>
      <c r="G39" s="161">
        <f t="shared" si="10"/>
        <v>2770738.6466331366</v>
      </c>
      <c r="H39" s="142">
        <f t="shared" si="11"/>
        <v>2770738.6466331366</v>
      </c>
      <c r="I39" s="156">
        <f t="shared" si="0"/>
        <v>0</v>
      </c>
      <c r="J39" s="156"/>
      <c r="K39" s="334"/>
      <c r="L39" s="158">
        <f t="shared" si="1"/>
        <v>0</v>
      </c>
      <c r="M39" s="334"/>
      <c r="N39" s="158">
        <f t="shared" si="2"/>
        <v>0</v>
      </c>
      <c r="O39" s="158">
        <f t="shared" si="3"/>
        <v>0</v>
      </c>
      <c r="P39" s="4"/>
    </row>
    <row r="40" spans="2:16">
      <c r="B40" s="9" t="str">
        <f t="shared" si="6"/>
        <v/>
      </c>
      <c r="C40" s="153">
        <f>IF(D11="","-",+C39+1)</f>
        <v>2032</v>
      </c>
      <c r="D40" s="159">
        <f>IF(F39+SUM(E$17:E39)=D$10,F39,D$10-SUM(E$17:E39))</f>
        <v>18750740.745766133</v>
      </c>
      <c r="E40" s="160">
        <f>IF(+I14&lt;F39,I14,D40)</f>
        <v>861130.81395348837</v>
      </c>
      <c r="F40" s="159">
        <f t="shared" si="9"/>
        <v>17889609.931812644</v>
      </c>
      <c r="G40" s="161">
        <f t="shared" si="10"/>
        <v>2685008.1893747691</v>
      </c>
      <c r="H40" s="142">
        <f t="shared" si="11"/>
        <v>2685008.1893747691</v>
      </c>
      <c r="I40" s="156">
        <f t="shared" si="0"/>
        <v>0</v>
      </c>
      <c r="J40" s="156"/>
      <c r="K40" s="334"/>
      <c r="L40" s="158">
        <f t="shared" si="1"/>
        <v>0</v>
      </c>
      <c r="M40" s="334"/>
      <c r="N40" s="158">
        <f t="shared" si="2"/>
        <v>0</v>
      </c>
      <c r="O40" s="158">
        <f t="shared" si="3"/>
        <v>0</v>
      </c>
      <c r="P40" s="4"/>
    </row>
    <row r="41" spans="2:16">
      <c r="B41" s="9" t="str">
        <f t="shared" si="6"/>
        <v/>
      </c>
      <c r="C41" s="153">
        <f>IF(D11="","-",+C40+1)</f>
        <v>2033</v>
      </c>
      <c r="D41" s="159">
        <f>IF(F40+SUM(E$17:E40)=D$10,F40,D$10-SUM(E$17:E40))</f>
        <v>17889609.931812644</v>
      </c>
      <c r="E41" s="160">
        <f>IF(+I14&lt;F40,I14,D41)</f>
        <v>861130.81395348837</v>
      </c>
      <c r="F41" s="159">
        <f t="shared" si="9"/>
        <v>17028479.117859155</v>
      </c>
      <c r="G41" s="161">
        <f t="shared" si="10"/>
        <v>2599277.7321164017</v>
      </c>
      <c r="H41" s="142">
        <f t="shared" si="11"/>
        <v>2599277.7321164017</v>
      </c>
      <c r="I41" s="156">
        <f t="shared" si="0"/>
        <v>0</v>
      </c>
      <c r="J41" s="156"/>
      <c r="K41" s="334"/>
      <c r="L41" s="158">
        <f t="shared" si="1"/>
        <v>0</v>
      </c>
      <c r="M41" s="334"/>
      <c r="N41" s="158">
        <f t="shared" si="2"/>
        <v>0</v>
      </c>
      <c r="O41" s="158">
        <f t="shared" si="3"/>
        <v>0</v>
      </c>
      <c r="P41" s="4"/>
    </row>
    <row r="42" spans="2:16">
      <c r="B42" s="9" t="str">
        <f t="shared" si="6"/>
        <v/>
      </c>
      <c r="C42" s="153">
        <f>IF(D11="","-",+C41+1)</f>
        <v>2034</v>
      </c>
      <c r="D42" s="159">
        <f>IF(F41+SUM(E$17:E41)=D$10,F41,D$10-SUM(E$17:E41))</f>
        <v>17028479.117859155</v>
      </c>
      <c r="E42" s="160">
        <f>IF(+I14&lt;F41,I14,D42)</f>
        <v>861130.81395348837</v>
      </c>
      <c r="F42" s="159">
        <f t="shared" si="9"/>
        <v>16167348.303905666</v>
      </c>
      <c r="G42" s="161">
        <f t="shared" si="10"/>
        <v>2513547.2748580342</v>
      </c>
      <c r="H42" s="142">
        <f t="shared" si="11"/>
        <v>2513547.2748580342</v>
      </c>
      <c r="I42" s="156">
        <f t="shared" si="0"/>
        <v>0</v>
      </c>
      <c r="J42" s="156"/>
      <c r="K42" s="334"/>
      <c r="L42" s="158">
        <f t="shared" si="1"/>
        <v>0</v>
      </c>
      <c r="M42" s="334"/>
      <c r="N42" s="158">
        <f t="shared" si="2"/>
        <v>0</v>
      </c>
      <c r="O42" s="158">
        <f t="shared" si="3"/>
        <v>0</v>
      </c>
      <c r="P42" s="4"/>
    </row>
    <row r="43" spans="2:16">
      <c r="B43" s="9" t="str">
        <f t="shared" si="6"/>
        <v/>
      </c>
      <c r="C43" s="153">
        <f>IF(D11="","-",+C42+1)</f>
        <v>2035</v>
      </c>
      <c r="D43" s="159">
        <f>IF(F42+SUM(E$17:E42)=D$10,F42,D$10-SUM(E$17:E42))</f>
        <v>16167348.303905666</v>
      </c>
      <c r="E43" s="160">
        <f>IF(+I14&lt;F42,I14,D43)</f>
        <v>861130.81395348837</v>
      </c>
      <c r="F43" s="159">
        <f t="shared" si="9"/>
        <v>15306217.489952177</v>
      </c>
      <c r="G43" s="161">
        <f t="shared" si="10"/>
        <v>2427816.8175996668</v>
      </c>
      <c r="H43" s="142">
        <f t="shared" si="11"/>
        <v>2427816.8175996668</v>
      </c>
      <c r="I43" s="156">
        <f t="shared" si="0"/>
        <v>0</v>
      </c>
      <c r="J43" s="156"/>
      <c r="K43" s="334"/>
      <c r="L43" s="158">
        <f t="shared" si="1"/>
        <v>0</v>
      </c>
      <c r="M43" s="334"/>
      <c r="N43" s="158">
        <f t="shared" si="2"/>
        <v>0</v>
      </c>
      <c r="O43" s="158">
        <f t="shared" si="3"/>
        <v>0</v>
      </c>
      <c r="P43" s="4"/>
    </row>
    <row r="44" spans="2:16">
      <c r="B44" s="9" t="str">
        <f t="shared" si="6"/>
        <v/>
      </c>
      <c r="C44" s="153">
        <f>IF(D11="","-",+C43+1)</f>
        <v>2036</v>
      </c>
      <c r="D44" s="159">
        <f>IF(F43+SUM(E$17:E43)=D$10,F43,D$10-SUM(E$17:E43))</f>
        <v>15306217.489952177</v>
      </c>
      <c r="E44" s="160">
        <f>IF(+I14&lt;F43,I14,D44)</f>
        <v>861130.81395348837</v>
      </c>
      <c r="F44" s="159">
        <f t="shared" si="9"/>
        <v>14445086.675998688</v>
      </c>
      <c r="G44" s="161">
        <f t="shared" si="10"/>
        <v>2342086.3603412993</v>
      </c>
      <c r="H44" s="142">
        <f t="shared" si="11"/>
        <v>2342086.3603412993</v>
      </c>
      <c r="I44" s="156">
        <f t="shared" si="0"/>
        <v>0</v>
      </c>
      <c r="J44" s="156"/>
      <c r="K44" s="334"/>
      <c r="L44" s="158">
        <f t="shared" si="1"/>
        <v>0</v>
      </c>
      <c r="M44" s="334"/>
      <c r="N44" s="158">
        <f t="shared" si="2"/>
        <v>0</v>
      </c>
      <c r="O44" s="158">
        <f t="shared" si="3"/>
        <v>0</v>
      </c>
      <c r="P44" s="4"/>
    </row>
    <row r="45" spans="2:16">
      <c r="B45" s="9" t="str">
        <f t="shared" si="6"/>
        <v/>
      </c>
      <c r="C45" s="153">
        <f>IF(D11="","-",+C44+1)</f>
        <v>2037</v>
      </c>
      <c r="D45" s="159">
        <f>IF(F44+SUM(E$17:E44)=D$10,F44,D$10-SUM(E$17:E44))</f>
        <v>14445086.675998688</v>
      </c>
      <c r="E45" s="160">
        <f>IF(+I14&lt;F44,I14,D45)</f>
        <v>861130.81395348837</v>
      </c>
      <c r="F45" s="159">
        <f t="shared" si="9"/>
        <v>13583955.862045199</v>
      </c>
      <c r="G45" s="161">
        <f t="shared" si="10"/>
        <v>2256355.9030829319</v>
      </c>
      <c r="H45" s="142">
        <f t="shared" si="11"/>
        <v>2256355.9030829319</v>
      </c>
      <c r="I45" s="156">
        <f t="shared" si="0"/>
        <v>0</v>
      </c>
      <c r="J45" s="156"/>
      <c r="K45" s="334"/>
      <c r="L45" s="158">
        <f t="shared" si="1"/>
        <v>0</v>
      </c>
      <c r="M45" s="334"/>
      <c r="N45" s="158">
        <f t="shared" si="2"/>
        <v>0</v>
      </c>
      <c r="O45" s="158">
        <f t="shared" si="3"/>
        <v>0</v>
      </c>
      <c r="P45" s="4"/>
    </row>
    <row r="46" spans="2:16">
      <c r="B46" s="9" t="str">
        <f t="shared" si="6"/>
        <v/>
      </c>
      <c r="C46" s="153">
        <f>IF(D11="","-",+C45+1)</f>
        <v>2038</v>
      </c>
      <c r="D46" s="159">
        <f>IF(F45+SUM(E$17:E45)=D$10,F45,D$10-SUM(E$17:E45))</f>
        <v>13583955.862045199</v>
      </c>
      <c r="E46" s="160">
        <f>IF(+I14&lt;F45,I14,D46)</f>
        <v>861130.81395348837</v>
      </c>
      <c r="F46" s="159">
        <f t="shared" si="9"/>
        <v>12722825.04809171</v>
      </c>
      <c r="G46" s="161">
        <f t="shared" si="10"/>
        <v>2170625.4458245644</v>
      </c>
      <c r="H46" s="142">
        <f t="shared" si="11"/>
        <v>2170625.4458245644</v>
      </c>
      <c r="I46" s="156">
        <f t="shared" si="0"/>
        <v>0</v>
      </c>
      <c r="J46" s="156"/>
      <c r="K46" s="334"/>
      <c r="L46" s="158">
        <f t="shared" si="1"/>
        <v>0</v>
      </c>
      <c r="M46" s="334"/>
      <c r="N46" s="158">
        <f t="shared" si="2"/>
        <v>0</v>
      </c>
      <c r="O46" s="158">
        <f t="shared" si="3"/>
        <v>0</v>
      </c>
      <c r="P46" s="4"/>
    </row>
    <row r="47" spans="2:16">
      <c r="B47" s="9" t="str">
        <f t="shared" si="6"/>
        <v/>
      </c>
      <c r="C47" s="153">
        <f>IF(D11="","-",+C46+1)</f>
        <v>2039</v>
      </c>
      <c r="D47" s="159">
        <f>IF(F46+SUM(E$17:E46)=D$10,F46,D$10-SUM(E$17:E46))</f>
        <v>12722825.04809171</v>
      </c>
      <c r="E47" s="160">
        <f>IF(+I14&lt;F46,I14,D47)</f>
        <v>861130.81395348837</v>
      </c>
      <c r="F47" s="159">
        <f t="shared" si="9"/>
        <v>11861694.234138221</v>
      </c>
      <c r="G47" s="161">
        <f t="shared" si="10"/>
        <v>2084894.988566197</v>
      </c>
      <c r="H47" s="142">
        <f t="shared" si="11"/>
        <v>2084894.988566197</v>
      </c>
      <c r="I47" s="156">
        <f t="shared" si="0"/>
        <v>0</v>
      </c>
      <c r="J47" s="156"/>
      <c r="K47" s="334"/>
      <c r="L47" s="158">
        <f t="shared" si="1"/>
        <v>0</v>
      </c>
      <c r="M47" s="334"/>
      <c r="N47" s="158">
        <f t="shared" si="2"/>
        <v>0</v>
      </c>
      <c r="O47" s="158">
        <f t="shared" si="3"/>
        <v>0</v>
      </c>
      <c r="P47" s="4"/>
    </row>
    <row r="48" spans="2:16">
      <c r="B48" s="9" t="str">
        <f t="shared" si="6"/>
        <v/>
      </c>
      <c r="C48" s="153">
        <f>IF(D11="","-",+C47+1)</f>
        <v>2040</v>
      </c>
      <c r="D48" s="159">
        <f>IF(F47+SUM(E$17:E47)=D$10,F47,D$10-SUM(E$17:E47))</f>
        <v>11861694.234138221</v>
      </c>
      <c r="E48" s="160">
        <f>IF(+I14&lt;F47,I14,D48)</f>
        <v>861130.81395348837</v>
      </c>
      <c r="F48" s="159">
        <f t="shared" si="9"/>
        <v>11000563.420184731</v>
      </c>
      <c r="G48" s="161">
        <f t="shared" si="10"/>
        <v>1999164.5313078295</v>
      </c>
      <c r="H48" s="142">
        <f t="shared" si="11"/>
        <v>1999164.5313078295</v>
      </c>
      <c r="I48" s="156">
        <f t="shared" si="0"/>
        <v>0</v>
      </c>
      <c r="J48" s="156"/>
      <c r="K48" s="334"/>
      <c r="L48" s="158">
        <f t="shared" si="1"/>
        <v>0</v>
      </c>
      <c r="M48" s="334"/>
      <c r="N48" s="158">
        <f t="shared" si="2"/>
        <v>0</v>
      </c>
      <c r="O48" s="158">
        <f t="shared" si="3"/>
        <v>0</v>
      </c>
      <c r="P48" s="4"/>
    </row>
    <row r="49" spans="2:17">
      <c r="B49" s="9" t="str">
        <f t="shared" si="6"/>
        <v/>
      </c>
      <c r="C49" s="153">
        <f>IF(D11="","-",+C48+1)</f>
        <v>2041</v>
      </c>
      <c r="D49" s="159">
        <f>IF(F48+SUM(E$17:E48)=D$10,F48,D$10-SUM(E$17:E48))</f>
        <v>11000563.420184731</v>
      </c>
      <c r="E49" s="160">
        <f>IF(+I14&lt;F48,I14,D49)</f>
        <v>861130.81395348837</v>
      </c>
      <c r="F49" s="159">
        <f t="shared" ref="F49:F72" si="12">+D49-E49</f>
        <v>10139432.606231242</v>
      </c>
      <c r="G49" s="161">
        <f t="shared" si="10"/>
        <v>1913434.0740494621</v>
      </c>
      <c r="H49" s="142">
        <f t="shared" si="11"/>
        <v>1913434.0740494621</v>
      </c>
      <c r="I49" s="156">
        <f t="shared" ref="I49:I72" si="13">H49-G49</f>
        <v>0</v>
      </c>
      <c r="J49" s="156"/>
      <c r="K49" s="334"/>
      <c r="L49" s="158">
        <f t="shared" ref="L49:L72" si="14">IF(K49&lt;&gt;0,+G49-K49,0)</f>
        <v>0</v>
      </c>
      <c r="M49" s="334"/>
      <c r="N49" s="158">
        <f t="shared" ref="N49:N72" si="15">IF(M49&lt;&gt;0,+H49-M49,0)</f>
        <v>0</v>
      </c>
      <c r="O49" s="158">
        <f t="shared" ref="O49:O72" si="16">+N49-L49</f>
        <v>0</v>
      </c>
      <c r="P49" s="4"/>
    </row>
    <row r="50" spans="2:17">
      <c r="B50" s="9" t="str">
        <f t="shared" si="6"/>
        <v/>
      </c>
      <c r="C50" s="153">
        <f>IF(D11="","-",+C49+1)</f>
        <v>2042</v>
      </c>
      <c r="D50" s="159">
        <f>IF(F49+SUM(E$17:E49)=D$10,F49,D$10-SUM(E$17:E49))</f>
        <v>10139432.606231242</v>
      </c>
      <c r="E50" s="160">
        <f>IF(+I14&lt;F49,I14,D50)</f>
        <v>861130.81395348837</v>
      </c>
      <c r="F50" s="159">
        <f t="shared" si="12"/>
        <v>9278301.7922777534</v>
      </c>
      <c r="G50" s="161">
        <f t="shared" si="10"/>
        <v>1827703.6167910947</v>
      </c>
      <c r="H50" s="142">
        <f t="shared" si="11"/>
        <v>1827703.6167910947</v>
      </c>
      <c r="I50" s="156">
        <f t="shared" si="13"/>
        <v>0</v>
      </c>
      <c r="J50" s="156"/>
      <c r="K50" s="334"/>
      <c r="L50" s="158">
        <f t="shared" si="14"/>
        <v>0</v>
      </c>
      <c r="M50" s="334"/>
      <c r="N50" s="158">
        <f t="shared" si="15"/>
        <v>0</v>
      </c>
      <c r="O50" s="158">
        <f t="shared" si="16"/>
        <v>0</v>
      </c>
      <c r="P50" s="4"/>
    </row>
    <row r="51" spans="2:17">
      <c r="B51" s="9" t="str">
        <f t="shared" si="6"/>
        <v/>
      </c>
      <c r="C51" s="153">
        <f>IF(D11="","-",+C50+1)</f>
        <v>2043</v>
      </c>
      <c r="D51" s="159">
        <f>IF(F50+SUM(E$17:E50)=D$10,F50,D$10-SUM(E$17:E50))</f>
        <v>9278301.7922777534</v>
      </c>
      <c r="E51" s="160">
        <f>IF(+I14&lt;F50,I14,D51)</f>
        <v>861130.81395348837</v>
      </c>
      <c r="F51" s="159">
        <f t="shared" si="12"/>
        <v>8417170.9783242643</v>
      </c>
      <c r="G51" s="161">
        <f t="shared" si="10"/>
        <v>1741973.1595327272</v>
      </c>
      <c r="H51" s="142">
        <f t="shared" si="11"/>
        <v>1741973.1595327272</v>
      </c>
      <c r="I51" s="156">
        <f t="shared" si="13"/>
        <v>0</v>
      </c>
      <c r="J51" s="156"/>
      <c r="K51" s="334"/>
      <c r="L51" s="158">
        <f t="shared" si="14"/>
        <v>0</v>
      </c>
      <c r="M51" s="334"/>
      <c r="N51" s="158">
        <f t="shared" si="15"/>
        <v>0</v>
      </c>
      <c r="O51" s="158">
        <f t="shared" si="16"/>
        <v>0</v>
      </c>
      <c r="P51" s="4"/>
    </row>
    <row r="52" spans="2:17">
      <c r="B52" s="9" t="str">
        <f t="shared" si="6"/>
        <v/>
      </c>
      <c r="C52" s="153">
        <f>IF(D11="","-",+C51+1)</f>
        <v>2044</v>
      </c>
      <c r="D52" s="159">
        <f>IF(F51+SUM(E$17:E51)=D$10,F51,D$10-SUM(E$17:E51))</f>
        <v>8417170.9783242643</v>
      </c>
      <c r="E52" s="160">
        <f>IF(+I14&lt;F51,I14,D52)</f>
        <v>861130.81395348837</v>
      </c>
      <c r="F52" s="159">
        <f t="shared" si="12"/>
        <v>7556040.1643707762</v>
      </c>
      <c r="G52" s="161">
        <f t="shared" si="10"/>
        <v>1656242.7022743598</v>
      </c>
      <c r="H52" s="142">
        <f t="shared" si="11"/>
        <v>1656242.7022743598</v>
      </c>
      <c r="I52" s="156">
        <f t="shared" si="13"/>
        <v>0</v>
      </c>
      <c r="J52" s="156"/>
      <c r="K52" s="334"/>
      <c r="L52" s="158">
        <f t="shared" si="14"/>
        <v>0</v>
      </c>
      <c r="M52" s="334"/>
      <c r="N52" s="158">
        <f t="shared" si="15"/>
        <v>0</v>
      </c>
      <c r="O52" s="158">
        <f t="shared" si="16"/>
        <v>0</v>
      </c>
      <c r="P52" s="4"/>
    </row>
    <row r="53" spans="2:17">
      <c r="B53" s="9" t="str">
        <f t="shared" si="6"/>
        <v/>
      </c>
      <c r="C53" s="153">
        <f>IF(D11="","-",+C52+1)</f>
        <v>2045</v>
      </c>
      <c r="D53" s="159">
        <f>IF(F52+SUM(E$17:E52)=D$10,F52,D$10-SUM(E$17:E52))</f>
        <v>7556040.1643707762</v>
      </c>
      <c r="E53" s="160">
        <f>IF(+I14&lt;F52,I14,D53)</f>
        <v>861130.81395348837</v>
      </c>
      <c r="F53" s="159">
        <f t="shared" si="12"/>
        <v>6694909.350417288</v>
      </c>
      <c r="G53" s="161">
        <f t="shared" si="10"/>
        <v>1570512.2450159928</v>
      </c>
      <c r="H53" s="142">
        <f t="shared" si="11"/>
        <v>1570512.2450159928</v>
      </c>
      <c r="I53" s="156">
        <f t="shared" si="13"/>
        <v>0</v>
      </c>
      <c r="J53" s="156"/>
      <c r="K53" s="334"/>
      <c r="L53" s="158">
        <f t="shared" si="14"/>
        <v>0</v>
      </c>
      <c r="M53" s="334"/>
      <c r="N53" s="158">
        <f t="shared" si="15"/>
        <v>0</v>
      </c>
      <c r="O53" s="158">
        <f t="shared" si="16"/>
        <v>0</v>
      </c>
      <c r="P53" s="4"/>
    </row>
    <row r="54" spans="2:17">
      <c r="B54" s="9" t="str">
        <f t="shared" si="6"/>
        <v/>
      </c>
      <c r="C54" s="153">
        <f>IF(D11="","-",+C53+1)</f>
        <v>2046</v>
      </c>
      <c r="D54" s="159">
        <f>IF(F53+SUM(E$17:E53)=D$10,F53,D$10-SUM(E$17:E53))</f>
        <v>6694909.350417288</v>
      </c>
      <c r="E54" s="160">
        <f>IF(+I14&lt;F53,I14,D54)</f>
        <v>861130.81395348837</v>
      </c>
      <c r="F54" s="159">
        <f t="shared" si="12"/>
        <v>5833778.5364637999</v>
      </c>
      <c r="G54" s="161">
        <f t="shared" si="10"/>
        <v>1484781.7877576253</v>
      </c>
      <c r="H54" s="142">
        <f t="shared" si="11"/>
        <v>1484781.7877576253</v>
      </c>
      <c r="I54" s="156">
        <f t="shared" si="13"/>
        <v>0</v>
      </c>
      <c r="J54" s="156"/>
      <c r="K54" s="334"/>
      <c r="L54" s="158">
        <f t="shared" si="14"/>
        <v>0</v>
      </c>
      <c r="M54" s="334"/>
      <c r="N54" s="158">
        <f t="shared" si="15"/>
        <v>0</v>
      </c>
      <c r="O54" s="158">
        <f t="shared" si="16"/>
        <v>0</v>
      </c>
      <c r="P54" s="4"/>
    </row>
    <row r="55" spans="2:17">
      <c r="B55" s="9" t="str">
        <f t="shared" si="6"/>
        <v/>
      </c>
      <c r="C55" s="153">
        <f>IF(D11="","-",+C54+1)</f>
        <v>2047</v>
      </c>
      <c r="D55" s="159">
        <f>IF(F54+SUM(E$17:E54)=D$10,F54,D$10-SUM(E$17:E54))</f>
        <v>5833778.5364637999</v>
      </c>
      <c r="E55" s="160">
        <f>IF(+I14&lt;F54,I14,D55)</f>
        <v>861130.81395348837</v>
      </c>
      <c r="F55" s="159">
        <f t="shared" si="12"/>
        <v>4972647.7225103118</v>
      </c>
      <c r="G55" s="161">
        <f t="shared" si="10"/>
        <v>1399051.3304992579</v>
      </c>
      <c r="H55" s="142">
        <f t="shared" si="11"/>
        <v>1399051.3304992579</v>
      </c>
      <c r="I55" s="156">
        <f t="shared" si="13"/>
        <v>0</v>
      </c>
      <c r="J55" s="156"/>
      <c r="K55" s="334"/>
      <c r="L55" s="158">
        <f t="shared" si="14"/>
        <v>0</v>
      </c>
      <c r="M55" s="334"/>
      <c r="N55" s="158">
        <f t="shared" si="15"/>
        <v>0</v>
      </c>
      <c r="O55" s="158">
        <f t="shared" si="16"/>
        <v>0</v>
      </c>
      <c r="P55" s="4"/>
    </row>
    <row r="56" spans="2:17">
      <c r="B56" s="9" t="str">
        <f t="shared" si="6"/>
        <v/>
      </c>
      <c r="C56" s="153">
        <f>IF(D11="","-",+C55+1)</f>
        <v>2048</v>
      </c>
      <c r="D56" s="159">
        <f>IF(F55+SUM(E$17:E55)=D$10,F55,D$10-SUM(E$17:E55))</f>
        <v>4972647.7225103118</v>
      </c>
      <c r="E56" s="160">
        <f>IF(+I14&lt;F55,I14,D56)</f>
        <v>861130.81395348837</v>
      </c>
      <c r="F56" s="159">
        <f t="shared" si="12"/>
        <v>4111516.9085568236</v>
      </c>
      <c r="G56" s="161">
        <f t="shared" si="10"/>
        <v>1313320.8732408904</v>
      </c>
      <c r="H56" s="142">
        <f t="shared" si="11"/>
        <v>1313320.8732408904</v>
      </c>
      <c r="I56" s="156">
        <f t="shared" si="13"/>
        <v>0</v>
      </c>
      <c r="J56" s="156"/>
      <c r="K56" s="334"/>
      <c r="L56" s="158">
        <f t="shared" si="14"/>
        <v>0</v>
      </c>
      <c r="M56" s="334"/>
      <c r="N56" s="158">
        <f t="shared" si="15"/>
        <v>0</v>
      </c>
      <c r="O56" s="158">
        <f t="shared" si="16"/>
        <v>0</v>
      </c>
      <c r="P56" s="4"/>
    </row>
    <row r="57" spans="2:17">
      <c r="B57" s="9" t="str">
        <f t="shared" si="6"/>
        <v/>
      </c>
      <c r="C57" s="153">
        <f>IF(D11="","-",+C56+1)</f>
        <v>2049</v>
      </c>
      <c r="D57" s="159">
        <f>IF(F56+SUM(E$17:E56)=D$10,F56,D$10-SUM(E$17:E56))</f>
        <v>4111516.9085568236</v>
      </c>
      <c r="E57" s="160">
        <f>IF(+I14&lt;F56,I14,D57)</f>
        <v>861130.81395348837</v>
      </c>
      <c r="F57" s="159">
        <f t="shared" si="12"/>
        <v>3250386.0946033355</v>
      </c>
      <c r="G57" s="161">
        <f t="shared" si="10"/>
        <v>1227590.4159825232</v>
      </c>
      <c r="H57" s="142">
        <f t="shared" si="11"/>
        <v>1227590.4159825232</v>
      </c>
      <c r="I57" s="156">
        <f t="shared" si="13"/>
        <v>0</v>
      </c>
      <c r="J57" s="156"/>
      <c r="K57" s="334"/>
      <c r="L57" s="158">
        <f t="shared" si="14"/>
        <v>0</v>
      </c>
      <c r="M57" s="334"/>
      <c r="N57" s="158">
        <f t="shared" si="15"/>
        <v>0</v>
      </c>
      <c r="O57" s="158">
        <f t="shared" si="16"/>
        <v>0</v>
      </c>
      <c r="P57" s="4"/>
    </row>
    <row r="58" spans="2:17">
      <c r="B58" s="9" t="str">
        <f t="shared" si="6"/>
        <v/>
      </c>
      <c r="C58" s="153">
        <f>IF(D11="","-",+C57+1)</f>
        <v>2050</v>
      </c>
      <c r="D58" s="159">
        <f>IF(F57+SUM(E$17:E57)=D$10,F57,D$10-SUM(E$17:E57))</f>
        <v>3250386.0946033355</v>
      </c>
      <c r="E58" s="160">
        <f>IF(+I14&lt;F57,I14,D58)</f>
        <v>861130.81395348837</v>
      </c>
      <c r="F58" s="159">
        <f t="shared" si="12"/>
        <v>2389255.2806498474</v>
      </c>
      <c r="G58" s="161">
        <f t="shared" si="10"/>
        <v>1141859.9587241558</v>
      </c>
      <c r="H58" s="142">
        <f t="shared" si="11"/>
        <v>1141859.9587241558</v>
      </c>
      <c r="I58" s="156">
        <f t="shared" si="13"/>
        <v>0</v>
      </c>
      <c r="J58" s="156"/>
      <c r="K58" s="334"/>
      <c r="L58" s="158">
        <f t="shared" si="14"/>
        <v>0</v>
      </c>
      <c r="M58" s="334"/>
      <c r="N58" s="158">
        <f t="shared" si="15"/>
        <v>0</v>
      </c>
      <c r="O58" s="158">
        <f t="shared" si="16"/>
        <v>0</v>
      </c>
      <c r="P58" s="4"/>
      <c r="Q58" t="str">
        <f>IF(ROUND(Q57,0)=ROUND(SUM(Q18:Q56),0),"","Error -- check allocations above).")</f>
        <v/>
      </c>
    </row>
    <row r="59" spans="2:17">
      <c r="B59" s="9" t="str">
        <f t="shared" si="6"/>
        <v/>
      </c>
      <c r="C59" s="153">
        <f>IF(D11="","-",+C58+1)</f>
        <v>2051</v>
      </c>
      <c r="D59" s="159">
        <f>IF(F58+SUM(E$17:E58)=D$10,F58,D$10-SUM(E$17:E58))</f>
        <v>2389255.2806498474</v>
      </c>
      <c r="E59" s="160">
        <f>IF(+I14&lt;F58,I14,D59)</f>
        <v>861130.81395348837</v>
      </c>
      <c r="F59" s="159">
        <f t="shared" si="12"/>
        <v>1528124.466696359</v>
      </c>
      <c r="G59" s="161">
        <f t="shared" si="10"/>
        <v>1056129.5014657886</v>
      </c>
      <c r="H59" s="142">
        <f t="shared" si="11"/>
        <v>1056129.5014657886</v>
      </c>
      <c r="I59" s="156">
        <f t="shared" si="13"/>
        <v>0</v>
      </c>
      <c r="J59" s="156"/>
      <c r="K59" s="334"/>
      <c r="L59" s="158">
        <f t="shared" si="14"/>
        <v>0</v>
      </c>
      <c r="M59" s="334"/>
      <c r="N59" s="158">
        <f t="shared" si="15"/>
        <v>0</v>
      </c>
      <c r="O59" s="158">
        <f t="shared" si="16"/>
        <v>0</v>
      </c>
      <c r="P59" s="4"/>
    </row>
    <row r="60" spans="2:17">
      <c r="B60" s="9" t="str">
        <f t="shared" si="6"/>
        <v/>
      </c>
      <c r="C60" s="153">
        <f>IF(D11="","-",+C59+1)</f>
        <v>2052</v>
      </c>
      <c r="D60" s="159">
        <f>IF(F59+SUM(E$17:E59)=D$10,F59,D$10-SUM(E$17:E59))</f>
        <v>1528124.466696359</v>
      </c>
      <c r="E60" s="160">
        <f>IF(+I14&lt;F59,I14,D60)</f>
        <v>861130.81395348837</v>
      </c>
      <c r="F60" s="159">
        <f t="shared" si="12"/>
        <v>666993.65274287062</v>
      </c>
      <c r="G60" s="161">
        <f t="shared" si="10"/>
        <v>970399.04420742113</v>
      </c>
      <c r="H60" s="142">
        <f t="shared" si="11"/>
        <v>970399.04420742113</v>
      </c>
      <c r="I60" s="156">
        <f t="shared" si="13"/>
        <v>0</v>
      </c>
      <c r="J60" s="156"/>
      <c r="K60" s="334"/>
      <c r="L60" s="158">
        <f t="shared" si="14"/>
        <v>0</v>
      </c>
      <c r="M60" s="334"/>
      <c r="N60" s="158">
        <f t="shared" si="15"/>
        <v>0</v>
      </c>
      <c r="O60" s="158">
        <f t="shared" si="16"/>
        <v>0</v>
      </c>
      <c r="P60" s="4"/>
    </row>
    <row r="61" spans="2:17">
      <c r="B61" s="9" t="str">
        <f t="shared" si="6"/>
        <v/>
      </c>
      <c r="C61" s="153">
        <f>IF(D11="","-",+C60+1)</f>
        <v>2053</v>
      </c>
      <c r="D61" s="159">
        <f>IF(F60+SUM(E$17:E60)=D$10,F60,D$10-SUM(E$17:E60))</f>
        <v>666993.65274287062</v>
      </c>
      <c r="E61" s="160">
        <f>IF(+I14&lt;F60,I14,D61)</f>
        <v>666993.65274287062</v>
      </c>
      <c r="F61" s="159">
        <f t="shared" si="12"/>
        <v>0</v>
      </c>
      <c r="G61" s="163">
        <f t="shared" si="10"/>
        <v>700195.15355524514</v>
      </c>
      <c r="H61" s="142">
        <f t="shared" si="11"/>
        <v>700195.15355524514</v>
      </c>
      <c r="I61" s="156">
        <f t="shared" si="13"/>
        <v>0</v>
      </c>
      <c r="J61" s="156"/>
      <c r="K61" s="334"/>
      <c r="L61" s="158">
        <f t="shared" si="14"/>
        <v>0</v>
      </c>
      <c r="M61" s="334"/>
      <c r="N61" s="158">
        <f t="shared" si="15"/>
        <v>0</v>
      </c>
      <c r="O61" s="158">
        <f t="shared" si="16"/>
        <v>0</v>
      </c>
      <c r="P61" s="4"/>
    </row>
    <row r="62" spans="2:17">
      <c r="B62" s="9" t="str">
        <f t="shared" si="6"/>
        <v/>
      </c>
      <c r="C62" s="153">
        <f>IF(D11="","-",+C61+1)</f>
        <v>2054</v>
      </c>
      <c r="D62" s="159">
        <f>IF(F61+SUM(E$17:E61)=D$10,F61,D$10-SUM(E$17:E61))</f>
        <v>0</v>
      </c>
      <c r="E62" s="160">
        <f>IF(+I14&lt;F61,I14,D62)</f>
        <v>0</v>
      </c>
      <c r="F62" s="159">
        <f t="shared" si="12"/>
        <v>0</v>
      </c>
      <c r="G62" s="163">
        <f t="shared" si="10"/>
        <v>0</v>
      </c>
      <c r="H62" s="142">
        <f t="shared" si="11"/>
        <v>0</v>
      </c>
      <c r="I62" s="156">
        <f t="shared" si="13"/>
        <v>0</v>
      </c>
      <c r="J62" s="156"/>
      <c r="K62" s="334"/>
      <c r="L62" s="158">
        <f t="shared" si="14"/>
        <v>0</v>
      </c>
      <c r="M62" s="334"/>
      <c r="N62" s="158">
        <f t="shared" si="15"/>
        <v>0</v>
      </c>
      <c r="O62" s="158">
        <f t="shared" si="16"/>
        <v>0</v>
      </c>
      <c r="P62" s="4"/>
    </row>
    <row r="63" spans="2:17">
      <c r="B63" s="9" t="str">
        <f t="shared" si="6"/>
        <v/>
      </c>
      <c r="C63" s="153">
        <f>IF(D11="","-",+C62+1)</f>
        <v>2055</v>
      </c>
      <c r="D63" s="159">
        <f>IF(F62+SUM(E$17:E62)=D$10,F62,D$10-SUM(E$17:E62))</f>
        <v>0</v>
      </c>
      <c r="E63" s="160">
        <f>IF(+I14&lt;F62,I14,D63)</f>
        <v>0</v>
      </c>
      <c r="F63" s="159">
        <f t="shared" si="12"/>
        <v>0</v>
      </c>
      <c r="G63" s="163">
        <f t="shared" si="10"/>
        <v>0</v>
      </c>
      <c r="H63" s="142">
        <f t="shared" si="11"/>
        <v>0</v>
      </c>
      <c r="I63" s="156">
        <f t="shared" si="13"/>
        <v>0</v>
      </c>
      <c r="J63" s="156"/>
      <c r="K63" s="334"/>
      <c r="L63" s="158">
        <f t="shared" si="14"/>
        <v>0</v>
      </c>
      <c r="M63" s="334"/>
      <c r="N63" s="158">
        <f t="shared" si="15"/>
        <v>0</v>
      </c>
      <c r="O63" s="158">
        <f t="shared" si="16"/>
        <v>0</v>
      </c>
      <c r="P63" s="4"/>
    </row>
    <row r="64" spans="2:17">
      <c r="B64" s="9" t="str">
        <f t="shared" si="6"/>
        <v/>
      </c>
      <c r="C64" s="153">
        <f>IF(D11="","-",+C63+1)</f>
        <v>2056</v>
      </c>
      <c r="D64" s="159">
        <f>IF(F63+SUM(E$17:E63)=D$10,F63,D$10-SUM(E$17:E63))</f>
        <v>0</v>
      </c>
      <c r="E64" s="160">
        <f>IF(+I14&lt;F63,I14,D64)</f>
        <v>0</v>
      </c>
      <c r="F64" s="159">
        <f t="shared" si="12"/>
        <v>0</v>
      </c>
      <c r="G64" s="163">
        <f t="shared" si="10"/>
        <v>0</v>
      </c>
      <c r="H64" s="142">
        <f t="shared" si="11"/>
        <v>0</v>
      </c>
      <c r="I64" s="156">
        <f t="shared" si="13"/>
        <v>0</v>
      </c>
      <c r="J64" s="156"/>
      <c r="K64" s="334"/>
      <c r="L64" s="158">
        <f t="shared" si="14"/>
        <v>0</v>
      </c>
      <c r="M64" s="334"/>
      <c r="N64" s="158">
        <f t="shared" si="15"/>
        <v>0</v>
      </c>
      <c r="O64" s="158">
        <f t="shared" si="16"/>
        <v>0</v>
      </c>
      <c r="P64" s="4"/>
    </row>
    <row r="65" spans="1:16">
      <c r="B65" s="9" t="str">
        <f t="shared" si="6"/>
        <v/>
      </c>
      <c r="C65" s="153">
        <f>IF(D11="","-",+C64+1)</f>
        <v>2057</v>
      </c>
      <c r="D65" s="159">
        <f>IF(F64+SUM(E$17:E64)=D$10,F64,D$10-SUM(E$17:E64))</f>
        <v>0</v>
      </c>
      <c r="E65" s="160">
        <f>IF(+I14&lt;F64,I14,D65)</f>
        <v>0</v>
      </c>
      <c r="F65" s="159">
        <f t="shared" si="12"/>
        <v>0</v>
      </c>
      <c r="G65" s="163">
        <f t="shared" si="10"/>
        <v>0</v>
      </c>
      <c r="H65" s="142">
        <f t="shared" si="11"/>
        <v>0</v>
      </c>
      <c r="I65" s="156">
        <f t="shared" si="13"/>
        <v>0</v>
      </c>
      <c r="J65" s="156"/>
      <c r="K65" s="334"/>
      <c r="L65" s="158">
        <f t="shared" si="14"/>
        <v>0</v>
      </c>
      <c r="M65" s="334"/>
      <c r="N65" s="158">
        <f t="shared" si="15"/>
        <v>0</v>
      </c>
      <c r="O65" s="158">
        <f t="shared" si="16"/>
        <v>0</v>
      </c>
      <c r="P65" s="4"/>
    </row>
    <row r="66" spans="1:16">
      <c r="B66" s="9" t="str">
        <f t="shared" si="6"/>
        <v/>
      </c>
      <c r="C66" s="153">
        <f>IF(D11="","-",+C65+1)</f>
        <v>2058</v>
      </c>
      <c r="D66" s="159">
        <f>IF(F65+SUM(E$17:E65)=D$10,F65,D$10-SUM(E$17:E65))</f>
        <v>0</v>
      </c>
      <c r="E66" s="160">
        <f>IF(+I14&lt;F65,I14,D66)</f>
        <v>0</v>
      </c>
      <c r="F66" s="159">
        <f t="shared" si="12"/>
        <v>0</v>
      </c>
      <c r="G66" s="163">
        <f t="shared" si="10"/>
        <v>0</v>
      </c>
      <c r="H66" s="142">
        <f t="shared" si="11"/>
        <v>0</v>
      </c>
      <c r="I66" s="156">
        <f t="shared" si="13"/>
        <v>0</v>
      </c>
      <c r="J66" s="156"/>
      <c r="K66" s="334"/>
      <c r="L66" s="158">
        <f t="shared" si="14"/>
        <v>0</v>
      </c>
      <c r="M66" s="334"/>
      <c r="N66" s="158">
        <f t="shared" si="15"/>
        <v>0</v>
      </c>
      <c r="O66" s="158">
        <f t="shared" si="16"/>
        <v>0</v>
      </c>
      <c r="P66" s="4"/>
    </row>
    <row r="67" spans="1:16">
      <c r="B67" s="9" t="str">
        <f t="shared" si="6"/>
        <v/>
      </c>
      <c r="C67" s="153">
        <f>IF(D11="","-",+C66+1)</f>
        <v>2059</v>
      </c>
      <c r="D67" s="159">
        <f>IF(F66+SUM(E$17:E66)=D$10,F66,D$10-SUM(E$17:E66))</f>
        <v>0</v>
      </c>
      <c r="E67" s="160">
        <f>IF(+I14&lt;F66,I14,D67)</f>
        <v>0</v>
      </c>
      <c r="F67" s="159">
        <f t="shared" si="12"/>
        <v>0</v>
      </c>
      <c r="G67" s="163">
        <f t="shared" si="10"/>
        <v>0</v>
      </c>
      <c r="H67" s="142">
        <f t="shared" si="11"/>
        <v>0</v>
      </c>
      <c r="I67" s="156">
        <f t="shared" si="13"/>
        <v>0</v>
      </c>
      <c r="J67" s="156"/>
      <c r="K67" s="334"/>
      <c r="L67" s="158">
        <f t="shared" si="14"/>
        <v>0</v>
      </c>
      <c r="M67" s="334"/>
      <c r="N67" s="158">
        <f t="shared" si="15"/>
        <v>0</v>
      </c>
      <c r="O67" s="158">
        <f t="shared" si="16"/>
        <v>0</v>
      </c>
      <c r="P67" s="4"/>
    </row>
    <row r="68" spans="1:16">
      <c r="B68" s="9" t="str">
        <f t="shared" si="6"/>
        <v/>
      </c>
      <c r="C68" s="153">
        <f>IF(D11="","-",+C67+1)</f>
        <v>2060</v>
      </c>
      <c r="D68" s="159">
        <f>IF(F67+SUM(E$17:E67)=D$10,F67,D$10-SUM(E$17:E67))</f>
        <v>0</v>
      </c>
      <c r="E68" s="160">
        <f>IF(+I14&lt;F67,I14,D68)</f>
        <v>0</v>
      </c>
      <c r="F68" s="159">
        <f t="shared" si="12"/>
        <v>0</v>
      </c>
      <c r="G68" s="163">
        <f t="shared" si="10"/>
        <v>0</v>
      </c>
      <c r="H68" s="142">
        <f t="shared" si="11"/>
        <v>0</v>
      </c>
      <c r="I68" s="156">
        <f t="shared" si="13"/>
        <v>0</v>
      </c>
      <c r="J68" s="156"/>
      <c r="K68" s="334"/>
      <c r="L68" s="158">
        <f t="shared" si="14"/>
        <v>0</v>
      </c>
      <c r="M68" s="334"/>
      <c r="N68" s="158">
        <f t="shared" si="15"/>
        <v>0</v>
      </c>
      <c r="O68" s="158">
        <f t="shared" si="16"/>
        <v>0</v>
      </c>
      <c r="P68" s="4"/>
    </row>
    <row r="69" spans="1:16">
      <c r="B69" s="9" t="str">
        <f t="shared" si="6"/>
        <v/>
      </c>
      <c r="C69" s="153">
        <f>IF(D11="","-",+C68+1)</f>
        <v>2061</v>
      </c>
      <c r="D69" s="159">
        <f>IF(F68+SUM(E$17:E68)=D$10,F68,D$10-SUM(E$17:E68))</f>
        <v>0</v>
      </c>
      <c r="E69" s="160">
        <f>IF(+I14&lt;F68,I14,D69)</f>
        <v>0</v>
      </c>
      <c r="F69" s="159">
        <f t="shared" si="12"/>
        <v>0</v>
      </c>
      <c r="G69" s="163">
        <f t="shared" si="10"/>
        <v>0</v>
      </c>
      <c r="H69" s="142">
        <f t="shared" si="11"/>
        <v>0</v>
      </c>
      <c r="I69" s="156">
        <f t="shared" si="13"/>
        <v>0</v>
      </c>
      <c r="J69" s="156"/>
      <c r="K69" s="334"/>
      <c r="L69" s="158">
        <f t="shared" si="14"/>
        <v>0</v>
      </c>
      <c r="M69" s="334"/>
      <c r="N69" s="158">
        <f t="shared" si="15"/>
        <v>0</v>
      </c>
      <c r="O69" s="158">
        <f t="shared" si="16"/>
        <v>0</v>
      </c>
      <c r="P69" s="4"/>
    </row>
    <row r="70" spans="1:16">
      <c r="B70" s="9" t="str">
        <f t="shared" si="6"/>
        <v/>
      </c>
      <c r="C70" s="153">
        <f>IF(D11="","-",+C69+1)</f>
        <v>2062</v>
      </c>
      <c r="D70" s="159">
        <f>IF(F69+SUM(E$17:E69)=D$10,F69,D$10-SUM(E$17:E69))</f>
        <v>0</v>
      </c>
      <c r="E70" s="160">
        <f>IF(+I14&lt;F69,I14,D70)</f>
        <v>0</v>
      </c>
      <c r="F70" s="159">
        <f t="shared" si="12"/>
        <v>0</v>
      </c>
      <c r="G70" s="163">
        <f t="shared" si="10"/>
        <v>0</v>
      </c>
      <c r="H70" s="142">
        <f t="shared" si="11"/>
        <v>0</v>
      </c>
      <c r="I70" s="156">
        <f t="shared" si="13"/>
        <v>0</v>
      </c>
      <c r="J70" s="156"/>
      <c r="K70" s="334"/>
      <c r="L70" s="158">
        <f t="shared" si="14"/>
        <v>0</v>
      </c>
      <c r="M70" s="334"/>
      <c r="N70" s="158">
        <f t="shared" si="15"/>
        <v>0</v>
      </c>
      <c r="O70" s="158">
        <f t="shared" si="16"/>
        <v>0</v>
      </c>
      <c r="P70" s="4"/>
    </row>
    <row r="71" spans="1:16">
      <c r="B71" s="9" t="str">
        <f t="shared" si="6"/>
        <v/>
      </c>
      <c r="C71" s="153">
        <f>IF(D11="","-",+C70+1)</f>
        <v>2063</v>
      </c>
      <c r="D71" s="159">
        <f>IF(F70+SUM(E$17:E70)=D$10,F70,D$10-SUM(E$17:E70))</f>
        <v>0</v>
      </c>
      <c r="E71" s="160">
        <f>IF(+I14&lt;F70,I14,D71)</f>
        <v>0</v>
      </c>
      <c r="F71" s="159">
        <f t="shared" si="12"/>
        <v>0</v>
      </c>
      <c r="G71" s="163">
        <f t="shared" si="10"/>
        <v>0</v>
      </c>
      <c r="H71" s="142">
        <f t="shared" si="11"/>
        <v>0</v>
      </c>
      <c r="I71" s="156">
        <f t="shared" si="13"/>
        <v>0</v>
      </c>
      <c r="J71" s="156"/>
      <c r="K71" s="334"/>
      <c r="L71" s="158">
        <f t="shared" si="14"/>
        <v>0</v>
      </c>
      <c r="M71" s="334"/>
      <c r="N71" s="158">
        <f t="shared" si="15"/>
        <v>0</v>
      </c>
      <c r="O71" s="158">
        <f t="shared" si="16"/>
        <v>0</v>
      </c>
      <c r="P71" s="4"/>
    </row>
    <row r="72" spans="1:16" ht="13.5" thickBot="1">
      <c r="B72" s="9" t="str">
        <f t="shared" si="6"/>
        <v/>
      </c>
      <c r="C72" s="164">
        <f>IF(D11="","-",+C71+1)</f>
        <v>2064</v>
      </c>
      <c r="D72" s="165">
        <f>IF(F71+SUM(E$17:E71)=D$10,F71,D$10-SUM(E$17:E71))</f>
        <v>0</v>
      </c>
      <c r="E72" s="166">
        <f>IF(+I14&lt;F71,I14,D72)</f>
        <v>0</v>
      </c>
      <c r="F72" s="165">
        <f t="shared" si="12"/>
        <v>0</v>
      </c>
      <c r="G72" s="167">
        <f t="shared" si="10"/>
        <v>0</v>
      </c>
      <c r="H72" s="124">
        <f t="shared" si="11"/>
        <v>0</v>
      </c>
      <c r="I72" s="168">
        <f t="shared" si="13"/>
        <v>0</v>
      </c>
      <c r="J72" s="156"/>
      <c r="K72" s="335"/>
      <c r="L72" s="169">
        <f t="shared" si="14"/>
        <v>0</v>
      </c>
      <c r="M72" s="335"/>
      <c r="N72" s="169">
        <f t="shared" si="15"/>
        <v>0</v>
      </c>
      <c r="O72" s="169">
        <f t="shared" si="16"/>
        <v>0</v>
      </c>
      <c r="P72" s="4"/>
    </row>
    <row r="73" spans="1:16">
      <c r="C73" s="154" t="s">
        <v>73</v>
      </c>
      <c r="D73" s="111"/>
      <c r="E73" s="111">
        <f>SUM(E17:E72)</f>
        <v>37028625</v>
      </c>
      <c r="F73" s="111"/>
      <c r="G73" s="111">
        <f>SUM(G17:G72)</f>
        <v>124641039.75636144</v>
      </c>
      <c r="H73" s="111">
        <f>SUM(H17:H72)</f>
        <v>124641039.75636144</v>
      </c>
      <c r="I73" s="111">
        <f>SUM(I17:I72)</f>
        <v>0</v>
      </c>
      <c r="J73" s="111"/>
      <c r="K73" s="111"/>
      <c r="L73" s="111"/>
      <c r="M73" s="111"/>
      <c r="N73" s="111"/>
      <c r="O73" s="4"/>
      <c r="P73" s="4"/>
    </row>
    <row r="74" spans="1:16">
      <c r="D74" s="2"/>
      <c r="E74" s="1"/>
      <c r="F74" s="1"/>
      <c r="G74" s="1"/>
      <c r="H74" s="3"/>
      <c r="I74" s="3"/>
      <c r="J74" s="111"/>
      <c r="K74" s="3"/>
      <c r="L74" s="3"/>
      <c r="M74" s="3"/>
      <c r="N74" s="3"/>
      <c r="O74" s="1"/>
      <c r="P74" s="1"/>
    </row>
    <row r="75" spans="1:16">
      <c r="C75" s="170" t="s">
        <v>91</v>
      </c>
      <c r="D75" s="2"/>
      <c r="E75" s="1"/>
      <c r="F75" s="1"/>
      <c r="G75" s="1"/>
      <c r="H75" s="3"/>
      <c r="I75" s="3"/>
      <c r="J75" s="111"/>
      <c r="K75" s="3"/>
      <c r="L75" s="3"/>
      <c r="M75" s="3"/>
      <c r="N75" s="3"/>
      <c r="O75" s="1"/>
      <c r="P75" s="1"/>
    </row>
    <row r="76" spans="1:16">
      <c r="C76" s="121" t="s">
        <v>74</v>
      </c>
      <c r="D76" s="2"/>
      <c r="E76" s="1"/>
      <c r="F76" s="1"/>
      <c r="G76" s="1"/>
      <c r="H76" s="3"/>
      <c r="I76" s="3"/>
      <c r="J76" s="111"/>
      <c r="K76" s="3"/>
      <c r="L76" s="3"/>
      <c r="M76" s="3"/>
      <c r="N76" s="3"/>
      <c r="O76" s="4"/>
      <c r="P76" s="4"/>
    </row>
    <row r="77" spans="1:16" ht="18">
      <c r="C77" s="121" t="s">
        <v>75</v>
      </c>
      <c r="D77" s="154"/>
      <c r="E77" s="154"/>
      <c r="F77" s="154"/>
      <c r="G77" s="111"/>
      <c r="H77" s="111"/>
      <c r="I77" s="171"/>
      <c r="J77" s="171"/>
      <c r="K77" s="171"/>
      <c r="L77" s="171"/>
      <c r="M77" s="171"/>
      <c r="N77" s="171"/>
      <c r="O77" s="110"/>
      <c r="P77" s="4"/>
    </row>
    <row r="78" spans="1:16">
      <c r="C78" s="121"/>
      <c r="D78" s="154"/>
      <c r="E78" s="154"/>
      <c r="F78" s="154"/>
      <c r="G78" s="111"/>
      <c r="H78" s="111"/>
      <c r="I78" s="171"/>
      <c r="J78" s="171"/>
      <c r="K78" s="171"/>
      <c r="L78" s="171"/>
      <c r="M78" s="171"/>
      <c r="N78" s="171"/>
      <c r="O78" s="4"/>
      <c r="P78" s="1"/>
    </row>
    <row r="79" spans="1:16" ht="15">
      <c r="A79" s="241"/>
      <c r="B79" s="1"/>
      <c r="C79" s="21"/>
      <c r="D79" s="2"/>
      <c r="E79" s="1"/>
      <c r="F79" s="107"/>
      <c r="G79" s="1"/>
      <c r="H79" s="3"/>
      <c r="I79" s="1"/>
      <c r="J79" s="4"/>
      <c r="K79" s="1"/>
      <c r="L79" s="1"/>
      <c r="M79" s="1"/>
      <c r="N79" s="1"/>
    </row>
    <row r="80" spans="1:16" ht="18">
      <c r="B80" s="1"/>
      <c r="C80" s="242"/>
      <c r="D80" s="2"/>
      <c r="E80" s="1"/>
      <c r="F80" s="107"/>
      <c r="G80" s="1"/>
      <c r="H80" s="3"/>
      <c r="I80" s="1"/>
      <c r="J80" s="4"/>
      <c r="K80" s="1"/>
      <c r="L80" s="1"/>
      <c r="M80" s="1"/>
      <c r="N80" s="1"/>
      <c r="P80" s="244" t="s">
        <v>125</v>
      </c>
    </row>
    <row r="81" spans="1:17">
      <c r="B81" s="1"/>
      <c r="C81" s="242"/>
      <c r="D81" s="2"/>
      <c r="E81" s="1"/>
      <c r="F81" s="107"/>
      <c r="G81" s="1"/>
      <c r="H81" s="3"/>
      <c r="I81" s="1"/>
      <c r="J81" s="4"/>
      <c r="K81" s="1"/>
      <c r="L81" s="1"/>
      <c r="M81" s="1"/>
      <c r="N81" s="1"/>
      <c r="O81" s="1"/>
      <c r="P81" s="1"/>
    </row>
    <row r="82" spans="1:17">
      <c r="B82" s="1"/>
      <c r="C82" s="21"/>
      <c r="D82" s="2"/>
      <c r="E82" s="1"/>
      <c r="F82" s="107"/>
      <c r="G82" s="1"/>
      <c r="H82" s="3"/>
      <c r="I82" s="1"/>
      <c r="J82" s="4"/>
      <c r="K82" s="1"/>
      <c r="L82" s="1"/>
      <c r="M82" s="1"/>
      <c r="N82" s="1"/>
      <c r="O82" s="1"/>
      <c r="P82" s="1"/>
      <c r="Q82" s="1"/>
    </row>
    <row r="83" spans="1:17" ht="20.25">
      <c r="A83" s="243" t="s">
        <v>129</v>
      </c>
      <c r="B83" s="1"/>
      <c r="C83" s="21"/>
      <c r="D83" s="2"/>
      <c r="E83" s="1"/>
      <c r="F83" s="99"/>
      <c r="G83" s="99"/>
      <c r="H83" s="1"/>
      <c r="I83" s="3"/>
      <c r="K83" s="7"/>
      <c r="L83" s="109"/>
      <c r="M83" s="109"/>
      <c r="P83" s="110" t="str">
        <f ca="1">P1</f>
        <v>SWEPCO Project 6 of 73</v>
      </c>
      <c r="Q83" s="1"/>
    </row>
    <row r="84" spans="1:17" ht="18">
      <c r="B84" s="1"/>
      <c r="C84" s="1"/>
      <c r="D84" s="2"/>
      <c r="E84" s="1"/>
      <c r="F84" s="1"/>
      <c r="G84" s="1"/>
      <c r="H84" s="1"/>
      <c r="I84" s="3"/>
      <c r="J84" s="1"/>
      <c r="K84" s="4"/>
      <c r="L84" s="1"/>
      <c r="M84" s="1"/>
      <c r="P84" s="237" t="s">
        <v>123</v>
      </c>
      <c r="Q84" s="1"/>
    </row>
    <row r="85" spans="1:17" ht="18.75" thickBot="1">
      <c r="B85" s="5" t="s">
        <v>40</v>
      </c>
      <c r="C85" s="197" t="s">
        <v>78</v>
      </c>
      <c r="D85" s="2"/>
      <c r="E85" s="1"/>
      <c r="F85" s="1"/>
      <c r="G85" s="1"/>
      <c r="H85" s="1"/>
      <c r="I85" s="3"/>
      <c r="J85" s="3"/>
      <c r="K85" s="111"/>
      <c r="L85" s="3"/>
      <c r="M85" s="3"/>
      <c r="N85" s="3"/>
      <c r="O85" s="111"/>
      <c r="P85" s="1"/>
      <c r="Q85" s="1"/>
    </row>
    <row r="86" spans="1:17" ht="15.75" thickBot="1">
      <c r="C86" s="67"/>
      <c r="D86" s="2"/>
      <c r="E86" s="1"/>
      <c r="F86" s="1"/>
      <c r="G86" s="1"/>
      <c r="H86" s="1"/>
      <c r="I86" s="3"/>
      <c r="J86" s="3"/>
      <c r="K86" s="111"/>
      <c r="L86" s="265">
        <f>+J92</f>
        <v>2017</v>
      </c>
      <c r="M86" s="266" t="s">
        <v>7</v>
      </c>
      <c r="N86" s="270" t="s">
        <v>154</v>
      </c>
      <c r="O86" s="267" t="s">
        <v>9</v>
      </c>
      <c r="P86" s="1"/>
      <c r="Q86" s="1"/>
    </row>
    <row r="87" spans="1:17" ht="15">
      <c r="C87" s="235" t="s">
        <v>42</v>
      </c>
      <c r="D87" s="2"/>
      <c r="E87" s="1"/>
      <c r="F87" s="1"/>
      <c r="G87" s="1"/>
      <c r="H87" s="113"/>
      <c r="I87" s="1" t="s">
        <v>43</v>
      </c>
      <c r="J87" s="1"/>
      <c r="K87" s="261"/>
      <c r="L87" s="259" t="s">
        <v>381</v>
      </c>
      <c r="M87" s="198">
        <f>IF(J92&lt;D11,0,VLOOKUP(J92,C17:O72,9))</f>
        <v>4736383.2047020355</v>
      </c>
      <c r="N87" s="198">
        <f>IF(J92&lt;D11,0,VLOOKUP(J92,C17:O72,11))</f>
        <v>4736383.2047020355</v>
      </c>
      <c r="O87" s="199">
        <f>+N87-M87</f>
        <v>0</v>
      </c>
      <c r="P87" s="1"/>
      <c r="Q87" s="1"/>
    </row>
    <row r="88" spans="1:17" ht="15.75">
      <c r="C88" s="8"/>
      <c r="D88" s="2"/>
      <c r="E88" s="1"/>
      <c r="F88" s="1"/>
      <c r="G88" s="1"/>
      <c r="H88" s="1"/>
      <c r="I88" s="117"/>
      <c r="J88" s="117"/>
      <c r="K88" s="263"/>
      <c r="L88" s="264" t="s">
        <v>382</v>
      </c>
      <c r="M88" s="200">
        <f>IF(J92&lt;D11,0,VLOOKUP(J92,C99:P154,6))</f>
        <v>4728177.1448464729</v>
      </c>
      <c r="N88" s="200">
        <f>IF(J92&lt;D11,0,VLOOKUP(J92,C99:P154,7))</f>
        <v>4728177.1448464729</v>
      </c>
      <c r="O88" s="201">
        <f>+N88-M88</f>
        <v>0</v>
      </c>
      <c r="P88" s="1"/>
      <c r="Q88" s="1"/>
    </row>
    <row r="89" spans="1:17" ht="13.5" thickBot="1">
      <c r="C89" s="121" t="s">
        <v>79</v>
      </c>
      <c r="D89" s="246" t="str">
        <f>+D7</f>
        <v>Port Robson-Caplis Line (SW 138 kV Loop -- 2009)</v>
      </c>
      <c r="E89" s="1"/>
      <c r="F89" s="1"/>
      <c r="G89" s="1"/>
      <c r="H89" s="1"/>
      <c r="I89" s="3"/>
      <c r="J89" s="3"/>
      <c r="K89" s="262"/>
      <c r="L89" s="260" t="s">
        <v>151</v>
      </c>
      <c r="M89" s="203">
        <f>+M88-M87</f>
        <v>-8206.0598555626348</v>
      </c>
      <c r="N89" s="203">
        <f>+N88-N87</f>
        <v>-8206.0598555626348</v>
      </c>
      <c r="O89" s="204">
        <f>+O88-O87</f>
        <v>0</v>
      </c>
      <c r="P89" s="1"/>
      <c r="Q89" s="1"/>
    </row>
    <row r="90" spans="1:17" ht="13.5" thickBot="1">
      <c r="C90" s="170"/>
      <c r="D90" s="173" t="str">
        <f>D8</f>
        <v/>
      </c>
      <c r="E90" s="107"/>
      <c r="F90" s="107"/>
      <c r="G90" s="107"/>
      <c r="H90" s="126"/>
      <c r="I90" s="3"/>
      <c r="J90" s="3"/>
      <c r="K90" s="111"/>
      <c r="L90" s="3"/>
      <c r="M90" s="3"/>
      <c r="N90" s="3"/>
      <c r="O90" s="111"/>
      <c r="P90" s="1"/>
      <c r="Q90" s="1"/>
    </row>
    <row r="91" spans="1:17" ht="13.5" thickBot="1">
      <c r="A91" s="103"/>
      <c r="C91" s="205" t="s">
        <v>80</v>
      </c>
      <c r="D91" s="224" t="str">
        <f>+D9</f>
        <v>TP2007165</v>
      </c>
      <c r="E91" s="206"/>
      <c r="F91" s="206"/>
      <c r="G91" s="206"/>
      <c r="H91" s="206"/>
      <c r="I91" s="206"/>
      <c r="J91" s="238"/>
      <c r="K91" s="207"/>
      <c r="P91" s="131"/>
      <c r="Q91" s="1"/>
    </row>
    <row r="92" spans="1:17">
      <c r="C92" s="136" t="s">
        <v>47</v>
      </c>
      <c r="D92" s="133">
        <f>D10</f>
        <v>37028625</v>
      </c>
      <c r="E92" s="21" t="s">
        <v>81</v>
      </c>
      <c r="H92" s="134"/>
      <c r="I92" s="134"/>
      <c r="J92" s="135">
        <f>+'SWE.WS.G.BPU.ATRR.True-up'!M15</f>
        <v>2017</v>
      </c>
      <c r="K92" s="130"/>
      <c r="L92" s="111" t="s">
        <v>82</v>
      </c>
      <c r="P92" s="4"/>
      <c r="Q92" s="1"/>
    </row>
    <row r="93" spans="1:17">
      <c r="C93" s="136" t="s">
        <v>49</v>
      </c>
      <c r="D93" s="219">
        <f>IF(D11=I10,"",D11)</f>
        <v>2009</v>
      </c>
      <c r="E93" s="136" t="s">
        <v>50</v>
      </c>
      <c r="F93" s="134"/>
      <c r="G93" s="134"/>
      <c r="J93" s="138">
        <f>IF(H87="",0,'SWE.WS.G.BPU.ATRR.True-up'!$F$12)</f>
        <v>0</v>
      </c>
      <c r="K93" s="139"/>
      <c r="L93" t="str">
        <f>"          INPUT TRUE-UP ARR (WITH &amp; WITHOUT INCENTIVES) FROM EACH PRIOR YEAR"</f>
        <v xml:space="preserve">          INPUT TRUE-UP ARR (WITH &amp; WITHOUT INCENTIVES) FROM EACH PRIOR YEAR</v>
      </c>
      <c r="P93" s="4"/>
      <c r="Q93" s="1"/>
    </row>
    <row r="94" spans="1:17">
      <c r="C94" s="136" t="s">
        <v>51</v>
      </c>
      <c r="D94" s="218">
        <f>IF(D11=I10,"",D12)</f>
        <v>6</v>
      </c>
      <c r="E94" s="136" t="s">
        <v>52</v>
      </c>
      <c r="F94" s="134"/>
      <c r="G94" s="134"/>
      <c r="J94" s="140">
        <f>'SWE.WS.G.BPU.ATRR.True-up'!$F$80</f>
        <v>0.12147145768398206</v>
      </c>
      <c r="K94" s="141"/>
      <c r="L94" t="s">
        <v>83</v>
      </c>
      <c r="P94" s="4"/>
      <c r="Q94" s="1"/>
    </row>
    <row r="95" spans="1:17">
      <c r="C95" s="136" t="s">
        <v>54</v>
      </c>
      <c r="D95" s="138">
        <f>'SWE.WS.G.BPU.ATRR.True-up'!F$92</f>
        <v>42</v>
      </c>
      <c r="E95" s="136" t="s">
        <v>55</v>
      </c>
      <c r="F95" s="134"/>
      <c r="G95" s="134"/>
      <c r="J95" s="140">
        <f>IF(H87="",J94,'SWE.WS.G.BPU.ATRR.True-up'!$F$79)</f>
        <v>0.12147145768398206</v>
      </c>
      <c r="K95" s="58"/>
      <c r="L95" s="111" t="s">
        <v>56</v>
      </c>
      <c r="M95" s="58"/>
      <c r="N95" s="58"/>
      <c r="O95" s="58"/>
      <c r="P95" s="4"/>
      <c r="Q95" s="1"/>
    </row>
    <row r="96" spans="1:17" ht="13.5" thickBot="1">
      <c r="C96" s="136" t="s">
        <v>57</v>
      </c>
      <c r="D96" s="220" t="str">
        <f>+D14</f>
        <v>No</v>
      </c>
      <c r="E96" s="202" t="s">
        <v>59</v>
      </c>
      <c r="F96" s="208"/>
      <c r="G96" s="208"/>
      <c r="H96" s="209"/>
      <c r="I96" s="209"/>
      <c r="J96" s="124">
        <f>IF(D92=0,0,D92/D95)</f>
        <v>881633.92857142852</v>
      </c>
      <c r="K96" s="111"/>
      <c r="L96" s="111"/>
      <c r="M96" s="111"/>
      <c r="N96" s="111"/>
      <c r="O96" s="111"/>
      <c r="P96" s="4"/>
      <c r="Q96" s="1"/>
    </row>
    <row r="97" spans="1:17" ht="38.25">
      <c r="A97" s="6"/>
      <c r="B97" s="6"/>
      <c r="C97" s="210" t="s">
        <v>47</v>
      </c>
      <c r="D97" s="211" t="s">
        <v>60</v>
      </c>
      <c r="E97" s="146" t="s">
        <v>61</v>
      </c>
      <c r="F97" s="146" t="s">
        <v>62</v>
      </c>
      <c r="G97" s="144" t="s">
        <v>84</v>
      </c>
      <c r="H97" s="434" t="s">
        <v>378</v>
      </c>
      <c r="I97" s="435" t="s">
        <v>379</v>
      </c>
      <c r="J97" s="210" t="s">
        <v>85</v>
      </c>
      <c r="K97" s="212"/>
      <c r="L97" s="271" t="s">
        <v>220</v>
      </c>
      <c r="M97" s="146" t="s">
        <v>86</v>
      </c>
      <c r="N97" s="271" t="s">
        <v>220</v>
      </c>
      <c r="O97" s="146" t="s">
        <v>86</v>
      </c>
      <c r="P97" s="146" t="s">
        <v>65</v>
      </c>
      <c r="Q97" s="1"/>
    </row>
    <row r="98" spans="1:17" ht="13.5" thickBot="1">
      <c r="C98" s="147" t="s">
        <v>66</v>
      </c>
      <c r="D98" s="213" t="s">
        <v>67</v>
      </c>
      <c r="E98" s="147" t="s">
        <v>68</v>
      </c>
      <c r="F98" s="147" t="s">
        <v>67</v>
      </c>
      <c r="G98" s="147" t="s">
        <v>67</v>
      </c>
      <c r="H98" s="407" t="s">
        <v>69</v>
      </c>
      <c r="I98" s="148" t="s">
        <v>70</v>
      </c>
      <c r="J98" s="149" t="s">
        <v>89</v>
      </c>
      <c r="K98" s="150"/>
      <c r="L98" s="151" t="s">
        <v>72</v>
      </c>
      <c r="M98" s="151" t="s">
        <v>72</v>
      </c>
      <c r="N98" s="151" t="s">
        <v>90</v>
      </c>
      <c r="O98" s="151" t="s">
        <v>90</v>
      </c>
      <c r="P98" s="151" t="s">
        <v>90</v>
      </c>
      <c r="Q98" s="1"/>
    </row>
    <row r="99" spans="1:17">
      <c r="C99" s="153">
        <f>IF(D93= "","-",D93)</f>
        <v>2009</v>
      </c>
      <c r="D99" s="357">
        <v>0</v>
      </c>
      <c r="E99" s="360">
        <v>70250</v>
      </c>
      <c r="F99" s="361">
        <v>5268768</v>
      </c>
      <c r="G99" s="365">
        <v>2634384</v>
      </c>
      <c r="H99" s="362">
        <v>451544</v>
      </c>
      <c r="I99" s="363">
        <v>451544</v>
      </c>
      <c r="J99" s="158">
        <f t="shared" ref="J99:J130" si="17">+I99-H99</f>
        <v>0</v>
      </c>
      <c r="K99" s="158"/>
      <c r="L99" s="256">
        <f t="shared" ref="L99:L104" si="18">H99</f>
        <v>451544</v>
      </c>
      <c r="M99" s="157">
        <f t="shared" ref="M99:M130" si="19">IF(L99&lt;&gt;0,+H99-L99,0)</f>
        <v>0</v>
      </c>
      <c r="N99" s="256">
        <f t="shared" ref="N99:N104" si="20">I99</f>
        <v>451544</v>
      </c>
      <c r="O99" s="157">
        <f t="shared" ref="O99:O130" si="21">IF(N99&lt;&gt;0,+I99-N99,0)</f>
        <v>0</v>
      </c>
      <c r="P99" s="157">
        <f t="shared" ref="P99:P130" si="22">+O99-M99</f>
        <v>0</v>
      </c>
      <c r="Q99" s="1"/>
    </row>
    <row r="100" spans="1:17">
      <c r="B100" s="9" t="str">
        <f>IF(D100=F99,"","IU")</f>
        <v>IU</v>
      </c>
      <c r="C100" s="153">
        <f>IF(D93="","-",+C99+1)</f>
        <v>2010</v>
      </c>
      <c r="D100" s="357">
        <v>5927359</v>
      </c>
      <c r="E100" s="360">
        <v>146283.14634146341</v>
      </c>
      <c r="F100" s="361">
        <v>5781075.8536585364</v>
      </c>
      <c r="G100" s="361">
        <v>5854217.4268292682</v>
      </c>
      <c r="H100" s="360">
        <v>1112732.9651723914</v>
      </c>
      <c r="I100" s="359">
        <v>1112732.9651723914</v>
      </c>
      <c r="J100" s="158">
        <f t="shared" si="17"/>
        <v>0</v>
      </c>
      <c r="K100" s="158"/>
      <c r="L100" s="258">
        <f t="shared" si="18"/>
        <v>1112732.9651723914</v>
      </c>
      <c r="M100" s="257">
        <f t="shared" si="19"/>
        <v>0</v>
      </c>
      <c r="N100" s="258">
        <f t="shared" si="20"/>
        <v>1112732.9651723914</v>
      </c>
      <c r="O100" s="158">
        <f t="shared" si="21"/>
        <v>0</v>
      </c>
      <c r="P100" s="158">
        <f t="shared" si="22"/>
        <v>0</v>
      </c>
      <c r="Q100" s="1"/>
    </row>
    <row r="101" spans="1:17">
      <c r="B101" s="9" t="str">
        <f t="shared" ref="B101:B154" si="23">IF(D101=F100,"","IU")</f>
        <v>IU</v>
      </c>
      <c r="C101" s="153">
        <f>IF(D93="","-",+C100+1)</f>
        <v>2011</v>
      </c>
      <c r="D101" s="357">
        <v>20674238.853658538</v>
      </c>
      <c r="E101" s="360">
        <v>497399.33333333331</v>
      </c>
      <c r="F101" s="361">
        <v>20176839.520325206</v>
      </c>
      <c r="G101" s="361">
        <v>20425539.18699187</v>
      </c>
      <c r="H101" s="360">
        <v>3568989.8996136081</v>
      </c>
      <c r="I101" s="359">
        <v>3568989.8996136081</v>
      </c>
      <c r="J101" s="158">
        <f t="shared" si="17"/>
        <v>0</v>
      </c>
      <c r="K101" s="158"/>
      <c r="L101" s="258">
        <f t="shared" si="18"/>
        <v>3568989.8996136081</v>
      </c>
      <c r="M101" s="257">
        <f t="shared" si="19"/>
        <v>0</v>
      </c>
      <c r="N101" s="258">
        <f t="shared" si="20"/>
        <v>3568989.8996136081</v>
      </c>
      <c r="O101" s="158">
        <f t="shared" si="21"/>
        <v>0</v>
      </c>
      <c r="P101" s="158">
        <f t="shared" si="22"/>
        <v>0</v>
      </c>
      <c r="Q101" s="1"/>
    </row>
    <row r="102" spans="1:17">
      <c r="B102" s="9" t="str">
        <f t="shared" si="23"/>
        <v>IU</v>
      </c>
      <c r="C102" s="153">
        <f>IF(D93="","-",+C101+1)</f>
        <v>2012</v>
      </c>
      <c r="D102" s="357">
        <v>28853944.520325202</v>
      </c>
      <c r="E102" s="360">
        <v>703997.07142857148</v>
      </c>
      <c r="F102" s="361">
        <v>28149947.448896632</v>
      </c>
      <c r="G102" s="361">
        <v>28501945.984610915</v>
      </c>
      <c r="H102" s="360">
        <v>4898170.4869055999</v>
      </c>
      <c r="I102" s="359">
        <v>4898170.4869055999</v>
      </c>
      <c r="J102" s="158">
        <f t="shared" si="17"/>
        <v>0</v>
      </c>
      <c r="K102" s="158"/>
      <c r="L102" s="258">
        <f t="shared" si="18"/>
        <v>4898170.4869055999</v>
      </c>
      <c r="M102" s="257">
        <f t="shared" si="19"/>
        <v>0</v>
      </c>
      <c r="N102" s="258">
        <f t="shared" si="20"/>
        <v>4898170.4869055999</v>
      </c>
      <c r="O102" s="158">
        <f t="shared" si="21"/>
        <v>0</v>
      </c>
      <c r="P102" s="158">
        <f t="shared" si="22"/>
        <v>0</v>
      </c>
      <c r="Q102" s="1"/>
    </row>
    <row r="103" spans="1:17">
      <c r="B103" s="9" t="str">
        <f t="shared" si="23"/>
        <v>IU</v>
      </c>
      <c r="C103" s="153">
        <f>IF(D93="","-",+C102+1)</f>
        <v>2013</v>
      </c>
      <c r="D103" s="357">
        <v>35510528.448896632</v>
      </c>
      <c r="E103" s="360">
        <v>879249</v>
      </c>
      <c r="F103" s="361">
        <v>34631279.448896632</v>
      </c>
      <c r="G103" s="361">
        <v>35070903.948896632</v>
      </c>
      <c r="H103" s="360">
        <v>5624051.2967773527</v>
      </c>
      <c r="I103" s="359">
        <v>5624051.2967773527</v>
      </c>
      <c r="J103" s="158">
        <v>0</v>
      </c>
      <c r="K103" s="158"/>
      <c r="L103" s="258">
        <f t="shared" si="18"/>
        <v>5624051.2967773527</v>
      </c>
      <c r="M103" s="257">
        <f>IF(L103&lt;&gt;0,+H103-L103,0)</f>
        <v>0</v>
      </c>
      <c r="N103" s="258">
        <f t="shared" si="20"/>
        <v>5624051.2967773527</v>
      </c>
      <c r="O103" s="158">
        <f>IF(N103&lt;&gt;0,+I103-N103,0)</f>
        <v>0</v>
      </c>
      <c r="P103" s="158">
        <f>+O103-M103</f>
        <v>0</v>
      </c>
      <c r="Q103" s="1"/>
    </row>
    <row r="104" spans="1:17">
      <c r="B104" s="9" t="str">
        <f t="shared" si="23"/>
        <v>IU</v>
      </c>
      <c r="C104" s="153">
        <f>IF(D93="","-",+C103+1)</f>
        <v>2014</v>
      </c>
      <c r="D104" s="357">
        <v>34731446.448896632</v>
      </c>
      <c r="E104" s="360">
        <v>881633.92857142852</v>
      </c>
      <c r="F104" s="361">
        <v>33849812.520325206</v>
      </c>
      <c r="G104" s="361">
        <v>34290629.484610915</v>
      </c>
      <c r="H104" s="360">
        <v>5542534.9256215226</v>
      </c>
      <c r="I104" s="359">
        <v>5542534.9256215226</v>
      </c>
      <c r="J104" s="158">
        <v>0</v>
      </c>
      <c r="K104" s="158"/>
      <c r="L104" s="258">
        <f t="shared" si="18"/>
        <v>5542534.9256215226</v>
      </c>
      <c r="M104" s="257">
        <f>IF(L104&lt;&gt;0,+H104-L104,0)</f>
        <v>0</v>
      </c>
      <c r="N104" s="258">
        <f t="shared" si="20"/>
        <v>5542534.9256215226</v>
      </c>
      <c r="O104" s="158">
        <f>IF(N104&lt;&gt;0,+I104-N104,0)</f>
        <v>0</v>
      </c>
      <c r="P104" s="158">
        <f>+O104-M104</f>
        <v>0</v>
      </c>
      <c r="Q104" s="1"/>
    </row>
    <row r="105" spans="1:17">
      <c r="B105" s="9" t="str">
        <f t="shared" si="23"/>
        <v/>
      </c>
      <c r="C105" s="153">
        <f>IF(D93="","-",+C104+1)</f>
        <v>2015</v>
      </c>
      <c r="D105" s="357">
        <v>33849812.520325206</v>
      </c>
      <c r="E105" s="360">
        <v>881633.92857142852</v>
      </c>
      <c r="F105" s="361">
        <v>32968178.591753777</v>
      </c>
      <c r="G105" s="361">
        <v>33408995.55603949</v>
      </c>
      <c r="H105" s="360">
        <v>5283899.7839213237</v>
      </c>
      <c r="I105" s="359">
        <v>5283899.7839213237</v>
      </c>
      <c r="J105" s="158">
        <f t="shared" si="17"/>
        <v>0</v>
      </c>
      <c r="K105" s="158"/>
      <c r="L105" s="258">
        <f>H105</f>
        <v>5283899.7839213237</v>
      </c>
      <c r="M105" s="257">
        <f>IF(L105&lt;&gt;0,+H105-L105,0)</f>
        <v>0</v>
      </c>
      <c r="N105" s="258">
        <f>I105</f>
        <v>5283899.7839213237</v>
      </c>
      <c r="O105" s="158">
        <f>IF(N105&lt;&gt;0,+I105-N105,0)</f>
        <v>0</v>
      </c>
      <c r="P105" s="158">
        <f>+O105-M105</f>
        <v>0</v>
      </c>
      <c r="Q105" s="1"/>
    </row>
    <row r="106" spans="1:17">
      <c r="B106" s="9" t="str">
        <f t="shared" si="23"/>
        <v/>
      </c>
      <c r="C106" s="153">
        <f>IF(D93="","-",+C105+1)</f>
        <v>2016</v>
      </c>
      <c r="D106" s="357">
        <v>32968178.591753777</v>
      </c>
      <c r="E106" s="360">
        <v>861130.81395348837</v>
      </c>
      <c r="F106" s="361">
        <v>32107047.777800288</v>
      </c>
      <c r="G106" s="361">
        <v>32537613.184777033</v>
      </c>
      <c r="H106" s="360">
        <v>4991780.4266921831</v>
      </c>
      <c r="I106" s="359">
        <v>4991780.4266921831</v>
      </c>
      <c r="J106" s="158">
        <v>0</v>
      </c>
      <c r="K106" s="158"/>
      <c r="L106" s="258">
        <f>H106</f>
        <v>4991780.4266921831</v>
      </c>
      <c r="M106" s="257">
        <f>IF(L106&lt;&gt;0,+H106-L106,0)</f>
        <v>0</v>
      </c>
      <c r="N106" s="258">
        <f>I106</f>
        <v>4991780.4266921831</v>
      </c>
      <c r="O106" s="158">
        <f>IF(N106&lt;&gt;0,+I106-N106,0)</f>
        <v>0</v>
      </c>
      <c r="P106" s="158">
        <f>+O106-M106</f>
        <v>0</v>
      </c>
      <c r="Q106" s="1"/>
    </row>
    <row r="107" spans="1:17">
      <c r="B107" s="9" t="str">
        <f t="shared" si="23"/>
        <v/>
      </c>
      <c r="C107" s="153">
        <f>IF(D93="","-",+C106+1)</f>
        <v>2017</v>
      </c>
      <c r="D107" s="154">
        <f>IF(F106+SUM(E$99:E106)=D$92,F106,D$92-SUM(E$99:E106))</f>
        <v>32107047.777800288</v>
      </c>
      <c r="E107" s="160">
        <f>IF(+J96&lt;F106,J96,D107)</f>
        <v>881633.92857142852</v>
      </c>
      <c r="F107" s="159">
        <f t="shared" ref="F107:F130" si="24">+D107-E107</f>
        <v>31225413.849228859</v>
      </c>
      <c r="G107" s="159">
        <f t="shared" ref="G107:G130" si="25">+(F107+D107)/2</f>
        <v>31666230.813514575</v>
      </c>
      <c r="H107" s="163">
        <f t="shared" ref="H107:H112" si="26">+J$94*G107+E107</f>
        <v>4728177.1448464729</v>
      </c>
      <c r="I107" s="253">
        <f t="shared" ref="I107:I112" si="27">+J$95*G107+E107</f>
        <v>4728177.1448464729</v>
      </c>
      <c r="J107" s="158">
        <f t="shared" si="17"/>
        <v>0</v>
      </c>
      <c r="K107" s="158"/>
      <c r="L107" s="334"/>
      <c r="M107" s="158">
        <f t="shared" si="19"/>
        <v>0</v>
      </c>
      <c r="N107" s="334"/>
      <c r="O107" s="158">
        <f t="shared" si="21"/>
        <v>0</v>
      </c>
      <c r="P107" s="158">
        <f t="shared" si="22"/>
        <v>0</v>
      </c>
      <c r="Q107" s="1"/>
    </row>
    <row r="108" spans="1:17">
      <c r="B108" s="9" t="str">
        <f t="shared" si="23"/>
        <v/>
      </c>
      <c r="C108" s="153">
        <f>IF(D93="","-",+C107+1)</f>
        <v>2018</v>
      </c>
      <c r="D108" s="154">
        <f>IF(F107+SUM(E$99:E107)=D$92,F107,D$92-SUM(E$99:E107))</f>
        <v>31225413.849228859</v>
      </c>
      <c r="E108" s="160">
        <f>IF(+J96&lt;F107,J96,D108)</f>
        <v>881633.92857142852</v>
      </c>
      <c r="F108" s="159">
        <f t="shared" si="24"/>
        <v>30343779.92065743</v>
      </c>
      <c r="G108" s="159">
        <f t="shared" si="25"/>
        <v>30784596.884943143</v>
      </c>
      <c r="H108" s="163">
        <f t="shared" si="26"/>
        <v>4621083.7863992453</v>
      </c>
      <c r="I108" s="253">
        <f t="shared" si="27"/>
        <v>4621083.7863992453</v>
      </c>
      <c r="J108" s="158">
        <f t="shared" si="17"/>
        <v>0</v>
      </c>
      <c r="K108" s="158"/>
      <c r="L108" s="334"/>
      <c r="M108" s="158">
        <f t="shared" si="19"/>
        <v>0</v>
      </c>
      <c r="N108" s="334"/>
      <c r="O108" s="158">
        <f t="shared" si="21"/>
        <v>0</v>
      </c>
      <c r="P108" s="158">
        <f t="shared" si="22"/>
        <v>0</v>
      </c>
      <c r="Q108" s="1"/>
    </row>
    <row r="109" spans="1:17">
      <c r="B109" s="9" t="str">
        <f t="shared" si="23"/>
        <v/>
      </c>
      <c r="C109" s="153">
        <f>IF(D93="","-",+C108+1)</f>
        <v>2019</v>
      </c>
      <c r="D109" s="154">
        <f>IF(F108+SUM(E$99:E108)=D$92,F108,D$92-SUM(E$99:E108))</f>
        <v>30343779.92065743</v>
      </c>
      <c r="E109" s="160">
        <f>IF(+J96&lt;F108,J96,D109)</f>
        <v>881633.92857142852</v>
      </c>
      <c r="F109" s="159">
        <f t="shared" si="24"/>
        <v>29462145.992086001</v>
      </c>
      <c r="G109" s="159">
        <f t="shared" si="25"/>
        <v>29902962.956371717</v>
      </c>
      <c r="H109" s="163">
        <f t="shared" si="26"/>
        <v>4513990.4279520186</v>
      </c>
      <c r="I109" s="253">
        <f t="shared" si="27"/>
        <v>4513990.4279520186</v>
      </c>
      <c r="J109" s="158">
        <f t="shared" si="17"/>
        <v>0</v>
      </c>
      <c r="K109" s="158"/>
      <c r="L109" s="334"/>
      <c r="M109" s="158">
        <f t="shared" si="19"/>
        <v>0</v>
      </c>
      <c r="N109" s="334"/>
      <c r="O109" s="158">
        <f t="shared" si="21"/>
        <v>0</v>
      </c>
      <c r="P109" s="158">
        <f t="shared" si="22"/>
        <v>0</v>
      </c>
      <c r="Q109" s="1"/>
    </row>
    <row r="110" spans="1:17">
      <c r="B110" s="9" t="str">
        <f t="shared" si="23"/>
        <v/>
      </c>
      <c r="C110" s="153">
        <f>IF(D93="","-",+C109+1)</f>
        <v>2020</v>
      </c>
      <c r="D110" s="154">
        <f>IF(F109+SUM(E$99:E109)=D$92,F109,D$92-SUM(E$99:E109))</f>
        <v>29462145.992086001</v>
      </c>
      <c r="E110" s="160">
        <f>IF(+J96&lt;F109,J96,D110)</f>
        <v>881633.92857142852</v>
      </c>
      <c r="F110" s="159">
        <f t="shared" si="24"/>
        <v>28580512.063514572</v>
      </c>
      <c r="G110" s="159">
        <f t="shared" si="25"/>
        <v>29021329.027800284</v>
      </c>
      <c r="H110" s="163">
        <f t="shared" si="26"/>
        <v>4406897.0695047909</v>
      </c>
      <c r="I110" s="253">
        <f t="shared" si="27"/>
        <v>4406897.0695047909</v>
      </c>
      <c r="J110" s="158">
        <f t="shared" si="17"/>
        <v>0</v>
      </c>
      <c r="K110" s="158"/>
      <c r="L110" s="334"/>
      <c r="M110" s="158">
        <f t="shared" si="19"/>
        <v>0</v>
      </c>
      <c r="N110" s="334"/>
      <c r="O110" s="158">
        <f t="shared" si="21"/>
        <v>0</v>
      </c>
      <c r="P110" s="158">
        <f t="shared" si="22"/>
        <v>0</v>
      </c>
      <c r="Q110" s="1"/>
    </row>
    <row r="111" spans="1:17">
      <c r="B111" s="9" t="str">
        <f t="shared" si="23"/>
        <v/>
      </c>
      <c r="C111" s="153">
        <f>IF(D93="","-",+C110+1)</f>
        <v>2021</v>
      </c>
      <c r="D111" s="154">
        <f>IF(F110+SUM(E$99:E110)=D$92,F110,D$92-SUM(E$99:E110))</f>
        <v>28580512.063514572</v>
      </c>
      <c r="E111" s="160">
        <f>IF(+J96&lt;F110,J96,D111)</f>
        <v>881633.92857142852</v>
      </c>
      <c r="F111" s="159">
        <f t="shared" si="24"/>
        <v>27698878.134943143</v>
      </c>
      <c r="G111" s="159">
        <f t="shared" si="25"/>
        <v>28139695.099228859</v>
      </c>
      <c r="H111" s="163">
        <f t="shared" si="26"/>
        <v>4299803.7110575642</v>
      </c>
      <c r="I111" s="253">
        <f t="shared" si="27"/>
        <v>4299803.7110575642</v>
      </c>
      <c r="J111" s="158">
        <f t="shared" si="17"/>
        <v>0</v>
      </c>
      <c r="K111" s="158"/>
      <c r="L111" s="334"/>
      <c r="M111" s="158">
        <f t="shared" si="19"/>
        <v>0</v>
      </c>
      <c r="N111" s="334"/>
      <c r="O111" s="158">
        <f t="shared" si="21"/>
        <v>0</v>
      </c>
      <c r="P111" s="158">
        <f t="shared" si="22"/>
        <v>0</v>
      </c>
      <c r="Q111" s="1"/>
    </row>
    <row r="112" spans="1:17">
      <c r="B112" s="9" t="str">
        <f t="shared" si="23"/>
        <v/>
      </c>
      <c r="C112" s="153">
        <f>IF(D93="","-",+C111+1)</f>
        <v>2022</v>
      </c>
      <c r="D112" s="154">
        <f>IF(F111+SUM(E$99:E111)=D$92,F111,D$92-SUM(E$99:E111))</f>
        <v>27698878.134943143</v>
      </c>
      <c r="E112" s="160">
        <f>IF(+J96&lt;F111,J96,D112)</f>
        <v>881633.92857142852</v>
      </c>
      <c r="F112" s="159">
        <f t="shared" si="24"/>
        <v>26817244.206371713</v>
      </c>
      <c r="G112" s="159">
        <f t="shared" si="25"/>
        <v>27258061.170657426</v>
      </c>
      <c r="H112" s="163">
        <f t="shared" si="26"/>
        <v>4192710.3526103366</v>
      </c>
      <c r="I112" s="253">
        <f t="shared" si="27"/>
        <v>4192710.3526103366</v>
      </c>
      <c r="J112" s="158">
        <f t="shared" si="17"/>
        <v>0</v>
      </c>
      <c r="K112" s="158"/>
      <c r="L112" s="334"/>
      <c r="M112" s="158">
        <f t="shared" si="19"/>
        <v>0</v>
      </c>
      <c r="N112" s="334"/>
      <c r="O112" s="158">
        <f t="shared" si="21"/>
        <v>0</v>
      </c>
      <c r="P112" s="158">
        <f t="shared" si="22"/>
        <v>0</v>
      </c>
      <c r="Q112" s="1"/>
    </row>
    <row r="113" spans="2:17">
      <c r="B113" s="9" t="str">
        <f t="shared" si="23"/>
        <v/>
      </c>
      <c r="C113" s="153">
        <f>IF(D93="","-",+C112+1)</f>
        <v>2023</v>
      </c>
      <c r="D113" s="154">
        <f>IF(F112+SUM(E$99:E112)=D$92,F112,D$92-SUM(E$99:E112))</f>
        <v>26817244.206371713</v>
      </c>
      <c r="E113" s="160">
        <f>IF(+J96&lt;F112,J96,D113)</f>
        <v>881633.92857142852</v>
      </c>
      <c r="F113" s="159">
        <f t="shared" si="24"/>
        <v>25935610.277800284</v>
      </c>
      <c r="G113" s="159">
        <f t="shared" si="25"/>
        <v>26376427.242086001</v>
      </c>
      <c r="H113" s="163">
        <f t="shared" ref="H113:H154" si="28">+J$94*G113+E113</f>
        <v>4085616.9941631099</v>
      </c>
      <c r="I113" s="253">
        <f t="shared" ref="I113:I154" si="29">+J$95*G113+E113</f>
        <v>4085616.9941631099</v>
      </c>
      <c r="J113" s="158">
        <f t="shared" si="17"/>
        <v>0</v>
      </c>
      <c r="K113" s="158"/>
      <c r="L113" s="334"/>
      <c r="M113" s="158">
        <f t="shared" si="19"/>
        <v>0</v>
      </c>
      <c r="N113" s="334"/>
      <c r="O113" s="158">
        <f t="shared" si="21"/>
        <v>0</v>
      </c>
      <c r="P113" s="158">
        <f t="shared" si="22"/>
        <v>0</v>
      </c>
      <c r="Q113" s="1"/>
    </row>
    <row r="114" spans="2:17">
      <c r="B114" s="9" t="str">
        <f t="shared" si="23"/>
        <v/>
      </c>
      <c r="C114" s="153">
        <f>IF(D93="","-",+C113+1)</f>
        <v>2024</v>
      </c>
      <c r="D114" s="154">
        <f>IF(F113+SUM(E$99:E113)=D$92,F113,D$92-SUM(E$99:E113))</f>
        <v>25935610.277800284</v>
      </c>
      <c r="E114" s="160">
        <f>IF(+J96&lt;F113,J96,D114)</f>
        <v>881633.92857142852</v>
      </c>
      <c r="F114" s="159">
        <f t="shared" si="24"/>
        <v>25053976.349228855</v>
      </c>
      <c r="G114" s="159">
        <f t="shared" si="25"/>
        <v>25494793.313514568</v>
      </c>
      <c r="H114" s="163">
        <f t="shared" si="28"/>
        <v>3978523.6357158823</v>
      </c>
      <c r="I114" s="253">
        <f t="shared" si="29"/>
        <v>3978523.6357158823</v>
      </c>
      <c r="J114" s="158">
        <f t="shared" si="17"/>
        <v>0</v>
      </c>
      <c r="K114" s="158"/>
      <c r="L114" s="334"/>
      <c r="M114" s="158">
        <f t="shared" si="19"/>
        <v>0</v>
      </c>
      <c r="N114" s="334"/>
      <c r="O114" s="158">
        <f t="shared" si="21"/>
        <v>0</v>
      </c>
      <c r="P114" s="158">
        <f t="shared" si="22"/>
        <v>0</v>
      </c>
      <c r="Q114" s="1"/>
    </row>
    <row r="115" spans="2:17">
      <c r="B115" s="9" t="str">
        <f t="shared" si="23"/>
        <v/>
      </c>
      <c r="C115" s="153">
        <f>IF(D93="","-",+C114+1)</f>
        <v>2025</v>
      </c>
      <c r="D115" s="154">
        <f>IF(F114+SUM(E$99:E114)=D$92,F114,D$92-SUM(E$99:E114))</f>
        <v>25053976.349228855</v>
      </c>
      <c r="E115" s="160">
        <f>IF(+J96&lt;F114,J96,D115)</f>
        <v>881633.92857142852</v>
      </c>
      <c r="F115" s="159">
        <f t="shared" si="24"/>
        <v>24172342.420657426</v>
      </c>
      <c r="G115" s="159">
        <f t="shared" si="25"/>
        <v>24613159.384943143</v>
      </c>
      <c r="H115" s="163">
        <f t="shared" si="28"/>
        <v>3871430.2772686556</v>
      </c>
      <c r="I115" s="253">
        <f t="shared" si="29"/>
        <v>3871430.2772686556</v>
      </c>
      <c r="J115" s="158">
        <f t="shared" si="17"/>
        <v>0</v>
      </c>
      <c r="K115" s="158"/>
      <c r="L115" s="334"/>
      <c r="M115" s="158">
        <f t="shared" si="19"/>
        <v>0</v>
      </c>
      <c r="N115" s="334"/>
      <c r="O115" s="158">
        <f t="shared" si="21"/>
        <v>0</v>
      </c>
      <c r="P115" s="158">
        <f t="shared" si="22"/>
        <v>0</v>
      </c>
      <c r="Q115" s="1"/>
    </row>
    <row r="116" spans="2:17">
      <c r="B116" s="9" t="str">
        <f t="shared" si="23"/>
        <v/>
      </c>
      <c r="C116" s="153">
        <f>IF(D93="","-",+C115+1)</f>
        <v>2026</v>
      </c>
      <c r="D116" s="154">
        <f>IF(F115+SUM(E$99:E115)=D$92,F115,D$92-SUM(E$99:E115))</f>
        <v>24172342.420657426</v>
      </c>
      <c r="E116" s="160">
        <f>IF(+J96&lt;F115,J96,D116)</f>
        <v>881633.92857142852</v>
      </c>
      <c r="F116" s="159">
        <f t="shared" si="24"/>
        <v>23290708.492085997</v>
      </c>
      <c r="G116" s="159">
        <f t="shared" si="25"/>
        <v>23731525.45637171</v>
      </c>
      <c r="H116" s="163">
        <f t="shared" si="28"/>
        <v>3764336.9188214275</v>
      </c>
      <c r="I116" s="253">
        <f t="shared" si="29"/>
        <v>3764336.9188214275</v>
      </c>
      <c r="J116" s="158">
        <f t="shared" si="17"/>
        <v>0</v>
      </c>
      <c r="K116" s="158"/>
      <c r="L116" s="334"/>
      <c r="M116" s="158">
        <f t="shared" si="19"/>
        <v>0</v>
      </c>
      <c r="N116" s="334"/>
      <c r="O116" s="158">
        <f t="shared" si="21"/>
        <v>0</v>
      </c>
      <c r="P116" s="158">
        <f t="shared" si="22"/>
        <v>0</v>
      </c>
      <c r="Q116" s="1"/>
    </row>
    <row r="117" spans="2:17">
      <c r="B117" s="9" t="str">
        <f t="shared" si="23"/>
        <v/>
      </c>
      <c r="C117" s="153">
        <f>IF(D93="","-",+C116+1)</f>
        <v>2027</v>
      </c>
      <c r="D117" s="154">
        <f>IF(F116+SUM(E$99:E116)=D$92,F116,D$92-SUM(E$99:E116))</f>
        <v>23290708.492085997</v>
      </c>
      <c r="E117" s="160">
        <f>IF(+J96&lt;F116,J96,D117)</f>
        <v>881633.92857142852</v>
      </c>
      <c r="F117" s="159">
        <f t="shared" si="24"/>
        <v>22409074.563514568</v>
      </c>
      <c r="G117" s="159">
        <f t="shared" si="25"/>
        <v>22849891.527800284</v>
      </c>
      <c r="H117" s="163">
        <f t="shared" si="28"/>
        <v>3657243.5603742008</v>
      </c>
      <c r="I117" s="253">
        <f t="shared" si="29"/>
        <v>3657243.5603742008</v>
      </c>
      <c r="J117" s="158">
        <f t="shared" si="17"/>
        <v>0</v>
      </c>
      <c r="K117" s="158"/>
      <c r="L117" s="334"/>
      <c r="M117" s="158">
        <f t="shared" si="19"/>
        <v>0</v>
      </c>
      <c r="N117" s="334"/>
      <c r="O117" s="158">
        <f t="shared" si="21"/>
        <v>0</v>
      </c>
      <c r="P117" s="158">
        <f t="shared" si="22"/>
        <v>0</v>
      </c>
      <c r="Q117" s="1"/>
    </row>
    <row r="118" spans="2:17">
      <c r="B118" s="9" t="str">
        <f t="shared" si="23"/>
        <v/>
      </c>
      <c r="C118" s="153">
        <f>IF(D93="","-",+C117+1)</f>
        <v>2028</v>
      </c>
      <c r="D118" s="154">
        <f>IF(F117+SUM(E$99:E117)=D$92,F117,D$92-SUM(E$99:E117))</f>
        <v>22409074.563514568</v>
      </c>
      <c r="E118" s="160">
        <f>IF(+J96&lt;F117,J96,D118)</f>
        <v>881633.92857142852</v>
      </c>
      <c r="F118" s="159">
        <f t="shared" si="24"/>
        <v>21527440.634943139</v>
      </c>
      <c r="G118" s="159">
        <f t="shared" si="25"/>
        <v>21968257.599228851</v>
      </c>
      <c r="H118" s="163">
        <f t="shared" si="28"/>
        <v>3550150.2019269732</v>
      </c>
      <c r="I118" s="253">
        <f t="shared" si="29"/>
        <v>3550150.2019269732</v>
      </c>
      <c r="J118" s="158">
        <f t="shared" si="17"/>
        <v>0</v>
      </c>
      <c r="K118" s="158"/>
      <c r="L118" s="334"/>
      <c r="M118" s="158">
        <f t="shared" si="19"/>
        <v>0</v>
      </c>
      <c r="N118" s="334"/>
      <c r="O118" s="158">
        <f t="shared" si="21"/>
        <v>0</v>
      </c>
      <c r="P118" s="158">
        <f t="shared" si="22"/>
        <v>0</v>
      </c>
      <c r="Q118" s="1"/>
    </row>
    <row r="119" spans="2:17">
      <c r="B119" s="9" t="str">
        <f t="shared" si="23"/>
        <v/>
      </c>
      <c r="C119" s="153">
        <f>IF(D93="","-",+C118+1)</f>
        <v>2029</v>
      </c>
      <c r="D119" s="154">
        <f>IF(F118+SUM(E$99:E118)=D$92,F118,D$92-SUM(E$99:E118))</f>
        <v>21527440.634943139</v>
      </c>
      <c r="E119" s="160">
        <f>IF(+J96&lt;F118,J96,D119)</f>
        <v>881633.92857142852</v>
      </c>
      <c r="F119" s="159">
        <f t="shared" si="24"/>
        <v>20645806.70637171</v>
      </c>
      <c r="G119" s="159">
        <f t="shared" si="25"/>
        <v>21086623.670657426</v>
      </c>
      <c r="H119" s="163">
        <f t="shared" si="28"/>
        <v>3443056.8434797465</v>
      </c>
      <c r="I119" s="253">
        <f t="shared" si="29"/>
        <v>3443056.8434797465</v>
      </c>
      <c r="J119" s="158">
        <f t="shared" si="17"/>
        <v>0</v>
      </c>
      <c r="K119" s="158"/>
      <c r="L119" s="334"/>
      <c r="M119" s="158">
        <f t="shared" si="19"/>
        <v>0</v>
      </c>
      <c r="N119" s="334"/>
      <c r="O119" s="158">
        <f t="shared" si="21"/>
        <v>0</v>
      </c>
      <c r="P119" s="158">
        <f t="shared" si="22"/>
        <v>0</v>
      </c>
      <c r="Q119" s="1"/>
    </row>
    <row r="120" spans="2:17">
      <c r="B120" s="9" t="str">
        <f t="shared" si="23"/>
        <v/>
      </c>
      <c r="C120" s="153">
        <f>IF(D93="","-",+C119+1)</f>
        <v>2030</v>
      </c>
      <c r="D120" s="154">
        <f>IF(F119+SUM(E$99:E119)=D$92,F119,D$92-SUM(E$99:E119))</f>
        <v>20645806.70637171</v>
      </c>
      <c r="E120" s="160">
        <f>IF(+J96&lt;F119,J96,D120)</f>
        <v>881633.92857142852</v>
      </c>
      <c r="F120" s="159">
        <f t="shared" si="24"/>
        <v>19764172.777800281</v>
      </c>
      <c r="G120" s="159">
        <f t="shared" si="25"/>
        <v>20204989.742085993</v>
      </c>
      <c r="H120" s="163">
        <f t="shared" si="28"/>
        <v>3335963.4850325189</v>
      </c>
      <c r="I120" s="253">
        <f t="shared" si="29"/>
        <v>3335963.4850325189</v>
      </c>
      <c r="J120" s="158">
        <f t="shared" si="17"/>
        <v>0</v>
      </c>
      <c r="K120" s="158"/>
      <c r="L120" s="334"/>
      <c r="M120" s="158">
        <f t="shared" si="19"/>
        <v>0</v>
      </c>
      <c r="N120" s="334"/>
      <c r="O120" s="158">
        <f t="shared" si="21"/>
        <v>0</v>
      </c>
      <c r="P120" s="158">
        <f t="shared" si="22"/>
        <v>0</v>
      </c>
      <c r="Q120" s="1"/>
    </row>
    <row r="121" spans="2:17">
      <c r="B121" s="9" t="str">
        <f t="shared" si="23"/>
        <v/>
      </c>
      <c r="C121" s="153">
        <f>IF(D93="","-",+C120+1)</f>
        <v>2031</v>
      </c>
      <c r="D121" s="154">
        <f>IF(F120+SUM(E$99:E120)=D$92,F120,D$92-SUM(E$99:E120))</f>
        <v>19764172.777800281</v>
      </c>
      <c r="E121" s="160">
        <f>IF(+J96&lt;F120,J96,D121)</f>
        <v>881633.92857142852</v>
      </c>
      <c r="F121" s="159">
        <f t="shared" si="24"/>
        <v>18882538.849228851</v>
      </c>
      <c r="G121" s="159">
        <f t="shared" si="25"/>
        <v>19323355.813514568</v>
      </c>
      <c r="H121" s="163">
        <f t="shared" si="28"/>
        <v>3228870.1265852922</v>
      </c>
      <c r="I121" s="253">
        <f t="shared" si="29"/>
        <v>3228870.1265852922</v>
      </c>
      <c r="J121" s="158">
        <f t="shared" si="17"/>
        <v>0</v>
      </c>
      <c r="K121" s="158"/>
      <c r="L121" s="334"/>
      <c r="M121" s="158">
        <f t="shared" si="19"/>
        <v>0</v>
      </c>
      <c r="N121" s="334"/>
      <c r="O121" s="158">
        <f t="shared" si="21"/>
        <v>0</v>
      </c>
      <c r="P121" s="158">
        <f t="shared" si="22"/>
        <v>0</v>
      </c>
      <c r="Q121" s="1"/>
    </row>
    <row r="122" spans="2:17">
      <c r="B122" s="9" t="str">
        <f t="shared" si="23"/>
        <v/>
      </c>
      <c r="C122" s="153">
        <f>IF(D93="","-",+C121+1)</f>
        <v>2032</v>
      </c>
      <c r="D122" s="154">
        <f>IF(F121+SUM(E$99:E121)=D$92,F121,D$92-SUM(E$99:E121))</f>
        <v>18882538.849228851</v>
      </c>
      <c r="E122" s="160">
        <f>IF(+J96&lt;F121,J96,D122)</f>
        <v>881633.92857142852</v>
      </c>
      <c r="F122" s="159">
        <f t="shared" si="24"/>
        <v>18000904.920657422</v>
      </c>
      <c r="G122" s="159">
        <f t="shared" si="25"/>
        <v>18441721.884943135</v>
      </c>
      <c r="H122" s="163">
        <f t="shared" si="28"/>
        <v>3121776.7681380645</v>
      </c>
      <c r="I122" s="253">
        <f t="shared" si="29"/>
        <v>3121776.7681380645</v>
      </c>
      <c r="J122" s="158">
        <f t="shared" si="17"/>
        <v>0</v>
      </c>
      <c r="K122" s="158"/>
      <c r="L122" s="334"/>
      <c r="M122" s="158">
        <f t="shared" si="19"/>
        <v>0</v>
      </c>
      <c r="N122" s="334"/>
      <c r="O122" s="158">
        <f t="shared" si="21"/>
        <v>0</v>
      </c>
      <c r="P122" s="158">
        <f t="shared" si="22"/>
        <v>0</v>
      </c>
      <c r="Q122" s="1"/>
    </row>
    <row r="123" spans="2:17">
      <c r="B123" s="9" t="str">
        <f t="shared" si="23"/>
        <v/>
      </c>
      <c r="C123" s="153">
        <f>IF(D93="","-",+C122+1)</f>
        <v>2033</v>
      </c>
      <c r="D123" s="154">
        <f>IF(F122+SUM(E$99:E122)=D$92,F122,D$92-SUM(E$99:E122))</f>
        <v>18000904.920657422</v>
      </c>
      <c r="E123" s="160">
        <f>IF(+J96&lt;F122,J96,D123)</f>
        <v>881633.92857142852</v>
      </c>
      <c r="F123" s="159">
        <f t="shared" si="24"/>
        <v>17119270.992085993</v>
      </c>
      <c r="G123" s="159">
        <f t="shared" si="25"/>
        <v>17560087.95637171</v>
      </c>
      <c r="H123" s="163">
        <f t="shared" si="28"/>
        <v>3014683.4096908378</v>
      </c>
      <c r="I123" s="253">
        <f t="shared" si="29"/>
        <v>3014683.4096908378</v>
      </c>
      <c r="J123" s="158">
        <f t="shared" si="17"/>
        <v>0</v>
      </c>
      <c r="K123" s="158"/>
      <c r="L123" s="334"/>
      <c r="M123" s="158">
        <f t="shared" si="19"/>
        <v>0</v>
      </c>
      <c r="N123" s="334"/>
      <c r="O123" s="158">
        <f t="shared" si="21"/>
        <v>0</v>
      </c>
      <c r="P123" s="158">
        <f t="shared" si="22"/>
        <v>0</v>
      </c>
      <c r="Q123" s="1"/>
    </row>
    <row r="124" spans="2:17">
      <c r="B124" s="9" t="str">
        <f t="shared" si="23"/>
        <v/>
      </c>
      <c r="C124" s="153">
        <f>IF(D93="","-",+C123+1)</f>
        <v>2034</v>
      </c>
      <c r="D124" s="154">
        <f>IF(F123+SUM(E$99:E123)=D$92,F123,D$92-SUM(E$99:E123))</f>
        <v>17119270.992085993</v>
      </c>
      <c r="E124" s="160">
        <f>IF(+J96&lt;F123,J96,D124)</f>
        <v>881633.92857142852</v>
      </c>
      <c r="F124" s="159">
        <f t="shared" si="24"/>
        <v>16237637.063514564</v>
      </c>
      <c r="G124" s="159">
        <f t="shared" si="25"/>
        <v>16678454.027800279</v>
      </c>
      <c r="H124" s="163">
        <f t="shared" si="28"/>
        <v>2907590.0512436102</v>
      </c>
      <c r="I124" s="253">
        <f t="shared" si="29"/>
        <v>2907590.0512436102</v>
      </c>
      <c r="J124" s="158">
        <f t="shared" si="17"/>
        <v>0</v>
      </c>
      <c r="K124" s="158"/>
      <c r="L124" s="334"/>
      <c r="M124" s="158">
        <f t="shared" si="19"/>
        <v>0</v>
      </c>
      <c r="N124" s="334"/>
      <c r="O124" s="158">
        <f t="shared" si="21"/>
        <v>0</v>
      </c>
      <c r="P124" s="158">
        <f t="shared" si="22"/>
        <v>0</v>
      </c>
      <c r="Q124" s="1"/>
    </row>
    <row r="125" spans="2:17">
      <c r="B125" s="9" t="str">
        <f t="shared" si="23"/>
        <v/>
      </c>
      <c r="C125" s="153">
        <f>IF(D93="","-",+C124+1)</f>
        <v>2035</v>
      </c>
      <c r="D125" s="154">
        <f>IF(F124+SUM(E$99:E124)=D$92,F124,D$92-SUM(E$99:E124))</f>
        <v>16237637.063514564</v>
      </c>
      <c r="E125" s="160">
        <f>IF(+J96&lt;F124,J96,D125)</f>
        <v>881633.92857142852</v>
      </c>
      <c r="F125" s="159">
        <f t="shared" si="24"/>
        <v>15356003.134943135</v>
      </c>
      <c r="G125" s="159">
        <f t="shared" si="25"/>
        <v>15796820.09922885</v>
      </c>
      <c r="H125" s="163">
        <f t="shared" si="28"/>
        <v>2800496.6927963831</v>
      </c>
      <c r="I125" s="253">
        <f t="shared" si="29"/>
        <v>2800496.6927963831</v>
      </c>
      <c r="J125" s="158">
        <f t="shared" si="17"/>
        <v>0</v>
      </c>
      <c r="K125" s="158"/>
      <c r="L125" s="334"/>
      <c r="M125" s="158">
        <f t="shared" si="19"/>
        <v>0</v>
      </c>
      <c r="N125" s="334"/>
      <c r="O125" s="158">
        <f t="shared" si="21"/>
        <v>0</v>
      </c>
      <c r="P125" s="158">
        <f t="shared" si="22"/>
        <v>0</v>
      </c>
      <c r="Q125" s="1"/>
    </row>
    <row r="126" spans="2:17">
      <c r="B126" s="9" t="str">
        <f t="shared" si="23"/>
        <v/>
      </c>
      <c r="C126" s="153">
        <f>IF(D93="","-",+C125+1)</f>
        <v>2036</v>
      </c>
      <c r="D126" s="154">
        <f>IF(F125+SUM(E$99:E125)=D$92,F125,D$92-SUM(E$99:E125))</f>
        <v>15356003.134943135</v>
      </c>
      <c r="E126" s="160">
        <f>IF(+J96&lt;F125,J96,D126)</f>
        <v>881633.92857142852</v>
      </c>
      <c r="F126" s="159">
        <f t="shared" si="24"/>
        <v>14474369.206371706</v>
      </c>
      <c r="G126" s="159">
        <f t="shared" si="25"/>
        <v>14915186.170657421</v>
      </c>
      <c r="H126" s="163">
        <f t="shared" si="28"/>
        <v>2693403.3343491559</v>
      </c>
      <c r="I126" s="253">
        <f t="shared" si="29"/>
        <v>2693403.3343491559</v>
      </c>
      <c r="J126" s="158">
        <f t="shared" si="17"/>
        <v>0</v>
      </c>
      <c r="K126" s="158"/>
      <c r="L126" s="334"/>
      <c r="M126" s="158">
        <f t="shared" si="19"/>
        <v>0</v>
      </c>
      <c r="N126" s="334"/>
      <c r="O126" s="158">
        <f t="shared" si="21"/>
        <v>0</v>
      </c>
      <c r="P126" s="158">
        <f t="shared" si="22"/>
        <v>0</v>
      </c>
      <c r="Q126" s="1"/>
    </row>
    <row r="127" spans="2:17">
      <c r="B127" s="9" t="str">
        <f t="shared" si="23"/>
        <v/>
      </c>
      <c r="C127" s="153">
        <f>IF(D93="","-",+C126+1)</f>
        <v>2037</v>
      </c>
      <c r="D127" s="154">
        <f>IF(F126+SUM(E$99:E126)=D$92,F126,D$92-SUM(E$99:E126))</f>
        <v>14474369.206371706</v>
      </c>
      <c r="E127" s="160">
        <f>IF(+J96&lt;F126,J96,D127)</f>
        <v>881633.92857142852</v>
      </c>
      <c r="F127" s="159">
        <f t="shared" si="24"/>
        <v>13592735.277800277</v>
      </c>
      <c r="G127" s="159">
        <f t="shared" si="25"/>
        <v>14033552.242085991</v>
      </c>
      <c r="H127" s="163">
        <f t="shared" si="28"/>
        <v>2586309.9759019287</v>
      </c>
      <c r="I127" s="253">
        <f t="shared" si="29"/>
        <v>2586309.9759019287</v>
      </c>
      <c r="J127" s="158">
        <f t="shared" si="17"/>
        <v>0</v>
      </c>
      <c r="K127" s="158"/>
      <c r="L127" s="334"/>
      <c r="M127" s="158">
        <f t="shared" si="19"/>
        <v>0</v>
      </c>
      <c r="N127" s="334"/>
      <c r="O127" s="158">
        <f t="shared" si="21"/>
        <v>0</v>
      </c>
      <c r="P127" s="158">
        <f t="shared" si="22"/>
        <v>0</v>
      </c>
      <c r="Q127" s="1"/>
    </row>
    <row r="128" spans="2:17">
      <c r="B128" s="9" t="str">
        <f t="shared" si="23"/>
        <v/>
      </c>
      <c r="C128" s="153">
        <f>IF(D93="","-",+C127+1)</f>
        <v>2038</v>
      </c>
      <c r="D128" s="154">
        <f>IF(F127+SUM(E$99:E127)=D$92,F127,D$92-SUM(E$99:E127))</f>
        <v>13592735.277800277</v>
      </c>
      <c r="E128" s="160">
        <f>IF(+J96&lt;F127,J96,D128)</f>
        <v>881633.92857142852</v>
      </c>
      <c r="F128" s="159">
        <f t="shared" si="24"/>
        <v>12711101.349228848</v>
      </c>
      <c r="G128" s="159">
        <f t="shared" si="25"/>
        <v>13151918.313514562</v>
      </c>
      <c r="H128" s="163">
        <f t="shared" si="28"/>
        <v>2479216.6174547011</v>
      </c>
      <c r="I128" s="253">
        <f t="shared" si="29"/>
        <v>2479216.6174547011</v>
      </c>
      <c r="J128" s="158">
        <f t="shared" si="17"/>
        <v>0</v>
      </c>
      <c r="K128" s="158"/>
      <c r="L128" s="334"/>
      <c r="M128" s="158">
        <f t="shared" si="19"/>
        <v>0</v>
      </c>
      <c r="N128" s="334"/>
      <c r="O128" s="158">
        <f t="shared" si="21"/>
        <v>0</v>
      </c>
      <c r="P128" s="158">
        <f t="shared" si="22"/>
        <v>0</v>
      </c>
      <c r="Q128" s="1"/>
    </row>
    <row r="129" spans="2:17">
      <c r="B129" s="9" t="str">
        <f t="shared" si="23"/>
        <v/>
      </c>
      <c r="C129" s="153">
        <f>IF(D93="","-",+C128+1)</f>
        <v>2039</v>
      </c>
      <c r="D129" s="154">
        <f>IF(F128+SUM(E$99:E128)=D$92,F128,D$92-SUM(E$99:E128))</f>
        <v>12711101.349228848</v>
      </c>
      <c r="E129" s="160">
        <f>IF(+J96&lt;F128,J96,D129)</f>
        <v>881633.92857142852</v>
      </c>
      <c r="F129" s="159">
        <f t="shared" si="24"/>
        <v>11829467.420657419</v>
      </c>
      <c r="G129" s="159">
        <f t="shared" si="25"/>
        <v>12270284.384943133</v>
      </c>
      <c r="H129" s="163">
        <f t="shared" si="28"/>
        <v>2372123.2590074739</v>
      </c>
      <c r="I129" s="253">
        <f t="shared" si="29"/>
        <v>2372123.2590074739</v>
      </c>
      <c r="J129" s="158">
        <f t="shared" si="17"/>
        <v>0</v>
      </c>
      <c r="K129" s="158"/>
      <c r="L129" s="334"/>
      <c r="M129" s="158">
        <f t="shared" si="19"/>
        <v>0</v>
      </c>
      <c r="N129" s="334"/>
      <c r="O129" s="158">
        <f t="shared" si="21"/>
        <v>0</v>
      </c>
      <c r="P129" s="158">
        <f t="shared" si="22"/>
        <v>0</v>
      </c>
      <c r="Q129" s="1"/>
    </row>
    <row r="130" spans="2:17">
      <c r="B130" s="9" t="str">
        <f t="shared" si="23"/>
        <v/>
      </c>
      <c r="C130" s="153">
        <f>IF(D93="","-",+C129+1)</f>
        <v>2040</v>
      </c>
      <c r="D130" s="154">
        <f>IF(F129+SUM(E$99:E129)=D$92,F129,D$92-SUM(E$99:E129))</f>
        <v>11829467.420657419</v>
      </c>
      <c r="E130" s="160">
        <f>IF(+J96&lt;F129,J96,D130)</f>
        <v>881633.92857142852</v>
      </c>
      <c r="F130" s="159">
        <f t="shared" si="24"/>
        <v>10947833.49208599</v>
      </c>
      <c r="G130" s="159">
        <f t="shared" si="25"/>
        <v>11388650.456371704</v>
      </c>
      <c r="H130" s="163">
        <f t="shared" si="28"/>
        <v>2265029.9005602468</v>
      </c>
      <c r="I130" s="253">
        <f t="shared" si="29"/>
        <v>2265029.9005602468</v>
      </c>
      <c r="J130" s="158">
        <f t="shared" si="17"/>
        <v>0</v>
      </c>
      <c r="K130" s="158"/>
      <c r="L130" s="334"/>
      <c r="M130" s="158">
        <f t="shared" si="19"/>
        <v>0</v>
      </c>
      <c r="N130" s="334"/>
      <c r="O130" s="158">
        <f t="shared" si="21"/>
        <v>0</v>
      </c>
      <c r="P130" s="158">
        <f t="shared" si="22"/>
        <v>0</v>
      </c>
      <c r="Q130" s="1"/>
    </row>
    <row r="131" spans="2:17">
      <c r="B131" s="9" t="str">
        <f t="shared" si="23"/>
        <v/>
      </c>
      <c r="C131" s="153">
        <f>IF(D93="","-",+C130+1)</f>
        <v>2041</v>
      </c>
      <c r="D131" s="154">
        <f>IF(F130+SUM(E$99:E130)=D$92,F130,D$92-SUM(E$99:E130))</f>
        <v>10947833.49208599</v>
      </c>
      <c r="E131" s="160">
        <f>IF(+J96&lt;F130,J96,D131)</f>
        <v>881633.92857142852</v>
      </c>
      <c r="F131" s="159">
        <f t="shared" ref="F131:F154" si="30">+D131-E131</f>
        <v>10066199.56351456</v>
      </c>
      <c r="G131" s="159">
        <f t="shared" ref="G131:G154" si="31">+(F131+D131)/2</f>
        <v>10507016.527800275</v>
      </c>
      <c r="H131" s="163">
        <f t="shared" si="28"/>
        <v>2157936.5421130196</v>
      </c>
      <c r="I131" s="253">
        <f t="shared" si="29"/>
        <v>2157936.5421130196</v>
      </c>
      <c r="J131" s="158">
        <f t="shared" ref="J131:J154" si="32">+I131-H131</f>
        <v>0</v>
      </c>
      <c r="K131" s="158"/>
      <c r="L131" s="334"/>
      <c r="M131" s="158">
        <f t="shared" ref="M131:M154" si="33">IF(L131&lt;&gt;0,+H131-L131,0)</f>
        <v>0</v>
      </c>
      <c r="N131" s="334"/>
      <c r="O131" s="158">
        <f t="shared" ref="O131:O154" si="34">IF(N131&lt;&gt;0,+I131-N131,0)</f>
        <v>0</v>
      </c>
      <c r="P131" s="158">
        <f t="shared" ref="P131:P154" si="35">+O131-M131</f>
        <v>0</v>
      </c>
      <c r="Q131" s="1"/>
    </row>
    <row r="132" spans="2:17">
      <c r="B132" s="9" t="str">
        <f t="shared" si="23"/>
        <v/>
      </c>
      <c r="C132" s="153">
        <f>IF(D93="","-",+C131+1)</f>
        <v>2042</v>
      </c>
      <c r="D132" s="154">
        <f>IF(F131+SUM(E$99:E131)=D$92,F131,D$92-SUM(E$99:E131))</f>
        <v>10066199.56351456</v>
      </c>
      <c r="E132" s="160">
        <f>IF(+J96&lt;F131,J96,D132)</f>
        <v>881633.92857142852</v>
      </c>
      <c r="F132" s="159">
        <f t="shared" si="30"/>
        <v>9184565.6349431314</v>
      </c>
      <c r="G132" s="159">
        <f t="shared" si="31"/>
        <v>9625382.5992288459</v>
      </c>
      <c r="H132" s="163">
        <f t="shared" si="28"/>
        <v>2050843.1836657925</v>
      </c>
      <c r="I132" s="253">
        <f t="shared" si="29"/>
        <v>2050843.1836657925</v>
      </c>
      <c r="J132" s="158">
        <f t="shared" si="32"/>
        <v>0</v>
      </c>
      <c r="K132" s="158"/>
      <c r="L132" s="334"/>
      <c r="M132" s="158">
        <f t="shared" si="33"/>
        <v>0</v>
      </c>
      <c r="N132" s="334"/>
      <c r="O132" s="158">
        <f t="shared" si="34"/>
        <v>0</v>
      </c>
      <c r="P132" s="158">
        <f t="shared" si="35"/>
        <v>0</v>
      </c>
      <c r="Q132" s="1"/>
    </row>
    <row r="133" spans="2:17">
      <c r="B133" s="9" t="str">
        <f t="shared" si="23"/>
        <v/>
      </c>
      <c r="C133" s="153">
        <f>IF(D93="","-",+C132+1)</f>
        <v>2043</v>
      </c>
      <c r="D133" s="154">
        <f>IF(F132+SUM(E$99:E132)=D$92,F132,D$92-SUM(E$99:E132))</f>
        <v>9184565.6349431314</v>
      </c>
      <c r="E133" s="160">
        <f>IF(+J96&lt;F132,J96,D133)</f>
        <v>881633.92857142852</v>
      </c>
      <c r="F133" s="159">
        <f t="shared" si="30"/>
        <v>8302931.7063717032</v>
      </c>
      <c r="G133" s="159">
        <f t="shared" si="31"/>
        <v>8743748.6706574168</v>
      </c>
      <c r="H133" s="163">
        <f t="shared" si="28"/>
        <v>1943749.8252185653</v>
      </c>
      <c r="I133" s="253">
        <f t="shared" si="29"/>
        <v>1943749.8252185653</v>
      </c>
      <c r="J133" s="158">
        <f t="shared" si="32"/>
        <v>0</v>
      </c>
      <c r="K133" s="158"/>
      <c r="L133" s="334"/>
      <c r="M133" s="158">
        <f t="shared" si="33"/>
        <v>0</v>
      </c>
      <c r="N133" s="334"/>
      <c r="O133" s="158">
        <f t="shared" si="34"/>
        <v>0</v>
      </c>
      <c r="P133" s="158">
        <f t="shared" si="35"/>
        <v>0</v>
      </c>
      <c r="Q133" s="1"/>
    </row>
    <row r="134" spans="2:17">
      <c r="B134" s="9" t="str">
        <f t="shared" si="23"/>
        <v/>
      </c>
      <c r="C134" s="153">
        <f>IF(D93="","-",+C133+1)</f>
        <v>2044</v>
      </c>
      <c r="D134" s="154">
        <f>IF(F133+SUM(E$99:E133)=D$92,F133,D$92-SUM(E$99:E133))</f>
        <v>8302931.7063717032</v>
      </c>
      <c r="E134" s="160">
        <f>IF(+J96&lt;F133,J96,D134)</f>
        <v>881633.92857142852</v>
      </c>
      <c r="F134" s="159">
        <f t="shared" si="30"/>
        <v>7421297.777800275</v>
      </c>
      <c r="G134" s="159">
        <f t="shared" si="31"/>
        <v>7862114.7420859896</v>
      </c>
      <c r="H134" s="163">
        <f t="shared" si="28"/>
        <v>1836656.4667713381</v>
      </c>
      <c r="I134" s="253">
        <f t="shared" si="29"/>
        <v>1836656.4667713381</v>
      </c>
      <c r="J134" s="158">
        <f t="shared" si="32"/>
        <v>0</v>
      </c>
      <c r="K134" s="158"/>
      <c r="L134" s="334"/>
      <c r="M134" s="158">
        <f t="shared" si="33"/>
        <v>0</v>
      </c>
      <c r="N134" s="334"/>
      <c r="O134" s="158">
        <f t="shared" si="34"/>
        <v>0</v>
      </c>
      <c r="P134" s="158">
        <f t="shared" si="35"/>
        <v>0</v>
      </c>
      <c r="Q134" s="1"/>
    </row>
    <row r="135" spans="2:17">
      <c r="B135" s="9" t="str">
        <f t="shared" si="23"/>
        <v/>
      </c>
      <c r="C135" s="153">
        <f>IF(D93="","-",+C134+1)</f>
        <v>2045</v>
      </c>
      <c r="D135" s="154">
        <f>IF(F134+SUM(E$99:E134)=D$92,F134,D$92-SUM(E$99:E134))</f>
        <v>7421297.777800275</v>
      </c>
      <c r="E135" s="160">
        <f>IF(+J96&lt;F134,J96,D135)</f>
        <v>881633.92857142852</v>
      </c>
      <c r="F135" s="159">
        <f t="shared" si="30"/>
        <v>6539663.8492288468</v>
      </c>
      <c r="G135" s="159">
        <f t="shared" si="31"/>
        <v>6980480.8135145605</v>
      </c>
      <c r="H135" s="163">
        <f t="shared" si="28"/>
        <v>1729563.108324111</v>
      </c>
      <c r="I135" s="253">
        <f t="shared" si="29"/>
        <v>1729563.108324111</v>
      </c>
      <c r="J135" s="158">
        <f t="shared" si="32"/>
        <v>0</v>
      </c>
      <c r="K135" s="158"/>
      <c r="L135" s="334"/>
      <c r="M135" s="158">
        <f t="shared" si="33"/>
        <v>0</v>
      </c>
      <c r="N135" s="334"/>
      <c r="O135" s="158">
        <f t="shared" si="34"/>
        <v>0</v>
      </c>
      <c r="P135" s="158">
        <f t="shared" si="35"/>
        <v>0</v>
      </c>
      <c r="Q135" s="1"/>
    </row>
    <row r="136" spans="2:17">
      <c r="B136" s="9" t="str">
        <f t="shared" si="23"/>
        <v/>
      </c>
      <c r="C136" s="153">
        <f>IF(D93="","-",+C135+1)</f>
        <v>2046</v>
      </c>
      <c r="D136" s="154">
        <f>IF(F135+SUM(E$99:E135)=D$92,F135,D$92-SUM(E$99:E135))</f>
        <v>6539663.8492288468</v>
      </c>
      <c r="E136" s="160">
        <f>IF(+J96&lt;F135,J96,D136)</f>
        <v>881633.92857142852</v>
      </c>
      <c r="F136" s="159">
        <f t="shared" si="30"/>
        <v>5658029.9206574187</v>
      </c>
      <c r="G136" s="159">
        <f t="shared" si="31"/>
        <v>6098846.8849431332</v>
      </c>
      <c r="H136" s="163">
        <f t="shared" si="28"/>
        <v>1622469.7498768843</v>
      </c>
      <c r="I136" s="253">
        <f t="shared" si="29"/>
        <v>1622469.7498768843</v>
      </c>
      <c r="J136" s="158">
        <f t="shared" si="32"/>
        <v>0</v>
      </c>
      <c r="K136" s="158"/>
      <c r="L136" s="334"/>
      <c r="M136" s="158">
        <f t="shared" si="33"/>
        <v>0</v>
      </c>
      <c r="N136" s="334"/>
      <c r="O136" s="158">
        <f t="shared" si="34"/>
        <v>0</v>
      </c>
      <c r="P136" s="158">
        <f t="shared" si="35"/>
        <v>0</v>
      </c>
      <c r="Q136" s="1"/>
    </row>
    <row r="137" spans="2:17">
      <c r="B137" s="9" t="str">
        <f t="shared" si="23"/>
        <v/>
      </c>
      <c r="C137" s="153">
        <f>IF(D93="","-",+C136+1)</f>
        <v>2047</v>
      </c>
      <c r="D137" s="154">
        <f>IF(F136+SUM(E$99:E136)=D$92,F136,D$92-SUM(E$99:E136))</f>
        <v>5658029.9206574187</v>
      </c>
      <c r="E137" s="160">
        <f>IF(+J96&lt;F136,J96,D137)</f>
        <v>881633.92857142852</v>
      </c>
      <c r="F137" s="159">
        <f t="shared" si="30"/>
        <v>4776395.9920859905</v>
      </c>
      <c r="G137" s="159">
        <f t="shared" si="31"/>
        <v>5217212.9563717041</v>
      </c>
      <c r="H137" s="163">
        <f t="shared" si="28"/>
        <v>1515376.3914296569</v>
      </c>
      <c r="I137" s="253">
        <f t="shared" si="29"/>
        <v>1515376.3914296569</v>
      </c>
      <c r="J137" s="158">
        <f t="shared" si="32"/>
        <v>0</v>
      </c>
      <c r="K137" s="158"/>
      <c r="L137" s="334"/>
      <c r="M137" s="158">
        <f t="shared" si="33"/>
        <v>0</v>
      </c>
      <c r="N137" s="334"/>
      <c r="O137" s="158">
        <f t="shared" si="34"/>
        <v>0</v>
      </c>
      <c r="P137" s="158">
        <f t="shared" si="35"/>
        <v>0</v>
      </c>
      <c r="Q137" s="1"/>
    </row>
    <row r="138" spans="2:17">
      <c r="B138" s="9" t="str">
        <f t="shared" si="23"/>
        <v/>
      </c>
      <c r="C138" s="153">
        <f>IF(D93="","-",+C137+1)</f>
        <v>2048</v>
      </c>
      <c r="D138" s="154">
        <f>IF(F137+SUM(E$99:E137)=D$92,F137,D$92-SUM(E$99:E137))</f>
        <v>4776395.9920859905</v>
      </c>
      <c r="E138" s="160">
        <f>IF(+J96&lt;F137,J96,D138)</f>
        <v>881633.92857142852</v>
      </c>
      <c r="F138" s="159">
        <f t="shared" si="30"/>
        <v>3894762.0635145619</v>
      </c>
      <c r="G138" s="159">
        <f t="shared" si="31"/>
        <v>4335579.0278002759</v>
      </c>
      <c r="H138" s="163">
        <f t="shared" si="28"/>
        <v>1408283.03298243</v>
      </c>
      <c r="I138" s="253">
        <f t="shared" si="29"/>
        <v>1408283.03298243</v>
      </c>
      <c r="J138" s="158">
        <f t="shared" si="32"/>
        <v>0</v>
      </c>
      <c r="K138" s="158"/>
      <c r="L138" s="334"/>
      <c r="M138" s="158">
        <f t="shared" si="33"/>
        <v>0</v>
      </c>
      <c r="N138" s="334"/>
      <c r="O138" s="158">
        <f t="shared" si="34"/>
        <v>0</v>
      </c>
      <c r="P138" s="158">
        <f t="shared" si="35"/>
        <v>0</v>
      </c>
      <c r="Q138" s="1"/>
    </row>
    <row r="139" spans="2:17">
      <c r="B139" s="9" t="str">
        <f t="shared" si="23"/>
        <v/>
      </c>
      <c r="C139" s="153">
        <f>IF(D93="","-",+C138+1)</f>
        <v>2049</v>
      </c>
      <c r="D139" s="154">
        <f>IF(F138+SUM(E$99:E138)=D$92,F138,D$92-SUM(E$99:E138))</f>
        <v>3894762.0635145619</v>
      </c>
      <c r="E139" s="160">
        <f>IF(+J96&lt;F138,J96,D139)</f>
        <v>881633.92857142852</v>
      </c>
      <c r="F139" s="159">
        <f t="shared" si="30"/>
        <v>3013128.1349431332</v>
      </c>
      <c r="G139" s="159">
        <f t="shared" si="31"/>
        <v>3453945.0992288478</v>
      </c>
      <c r="H139" s="163">
        <f t="shared" si="28"/>
        <v>1301189.6745352028</v>
      </c>
      <c r="I139" s="253">
        <f t="shared" si="29"/>
        <v>1301189.6745352028</v>
      </c>
      <c r="J139" s="158">
        <f t="shared" si="32"/>
        <v>0</v>
      </c>
      <c r="K139" s="158"/>
      <c r="L139" s="334"/>
      <c r="M139" s="158">
        <f t="shared" si="33"/>
        <v>0</v>
      </c>
      <c r="N139" s="334"/>
      <c r="O139" s="158">
        <f t="shared" si="34"/>
        <v>0</v>
      </c>
      <c r="P139" s="158">
        <f t="shared" si="35"/>
        <v>0</v>
      </c>
      <c r="Q139" s="1"/>
    </row>
    <row r="140" spans="2:17">
      <c r="B140" s="9" t="str">
        <f t="shared" si="23"/>
        <v/>
      </c>
      <c r="C140" s="153">
        <f>IF(D93="","-",+C139+1)</f>
        <v>2050</v>
      </c>
      <c r="D140" s="154">
        <f>IF(F139+SUM(E$99:E139)=D$92,F139,D$92-SUM(E$99:E139))</f>
        <v>3013128.1349431332</v>
      </c>
      <c r="E140" s="160">
        <f>IF(+J96&lt;F139,J96,D140)</f>
        <v>881633.92857142852</v>
      </c>
      <c r="F140" s="159">
        <f t="shared" si="30"/>
        <v>2131494.2063717046</v>
      </c>
      <c r="G140" s="159">
        <f t="shared" si="31"/>
        <v>2572311.1706574187</v>
      </c>
      <c r="H140" s="163">
        <f t="shared" si="28"/>
        <v>1194096.3160879756</v>
      </c>
      <c r="I140" s="253">
        <f t="shared" si="29"/>
        <v>1194096.3160879756</v>
      </c>
      <c r="J140" s="158">
        <f t="shared" si="32"/>
        <v>0</v>
      </c>
      <c r="K140" s="158"/>
      <c r="L140" s="334"/>
      <c r="M140" s="158">
        <f t="shared" si="33"/>
        <v>0</v>
      </c>
      <c r="N140" s="334"/>
      <c r="O140" s="158">
        <f t="shared" si="34"/>
        <v>0</v>
      </c>
      <c r="P140" s="158">
        <f t="shared" si="35"/>
        <v>0</v>
      </c>
      <c r="Q140" s="1"/>
    </row>
    <row r="141" spans="2:17">
      <c r="B141" s="9" t="str">
        <f t="shared" si="23"/>
        <v/>
      </c>
      <c r="C141" s="153">
        <f>IF(D93="","-",+C140+1)</f>
        <v>2051</v>
      </c>
      <c r="D141" s="154">
        <f>IF(F140+SUM(E$99:E140)=D$92,F140,D$92-SUM(E$99:E140))</f>
        <v>2131494.2063717046</v>
      </c>
      <c r="E141" s="160">
        <f>IF(+J96&lt;F140,J96,D141)</f>
        <v>881633.92857142852</v>
      </c>
      <c r="F141" s="159">
        <f t="shared" si="30"/>
        <v>1249860.2778002759</v>
      </c>
      <c r="G141" s="159">
        <f t="shared" si="31"/>
        <v>1690677.2420859903</v>
      </c>
      <c r="H141" s="163">
        <f t="shared" si="28"/>
        <v>1087002.9576407485</v>
      </c>
      <c r="I141" s="253">
        <f t="shared" si="29"/>
        <v>1087002.9576407485</v>
      </c>
      <c r="J141" s="158">
        <f t="shared" si="32"/>
        <v>0</v>
      </c>
      <c r="K141" s="158"/>
      <c r="L141" s="334"/>
      <c r="M141" s="158">
        <f t="shared" si="33"/>
        <v>0</v>
      </c>
      <c r="N141" s="334"/>
      <c r="O141" s="158">
        <f t="shared" si="34"/>
        <v>0</v>
      </c>
      <c r="P141" s="158">
        <f t="shared" si="35"/>
        <v>0</v>
      </c>
      <c r="Q141" s="1"/>
    </row>
    <row r="142" spans="2:17">
      <c r="B142" s="9" t="str">
        <f t="shared" si="23"/>
        <v/>
      </c>
      <c r="C142" s="153">
        <f>IF(D93="","-",+C141+1)</f>
        <v>2052</v>
      </c>
      <c r="D142" s="154">
        <f>IF(F141+SUM(E$99:E141)=D$92,F141,D$92-SUM(E$99:E141))</f>
        <v>1249860.2778002759</v>
      </c>
      <c r="E142" s="160">
        <f>IF(+J96&lt;F141,J96,D142)</f>
        <v>881633.92857142852</v>
      </c>
      <c r="F142" s="159">
        <f t="shared" si="30"/>
        <v>368226.34922884742</v>
      </c>
      <c r="G142" s="159">
        <f t="shared" si="31"/>
        <v>809043.31351456163</v>
      </c>
      <c r="H142" s="163">
        <f t="shared" si="28"/>
        <v>979909.59919352119</v>
      </c>
      <c r="I142" s="253">
        <f t="shared" si="29"/>
        <v>979909.59919352119</v>
      </c>
      <c r="J142" s="158">
        <f t="shared" si="32"/>
        <v>0</v>
      </c>
      <c r="K142" s="158"/>
      <c r="L142" s="334"/>
      <c r="M142" s="158">
        <f t="shared" si="33"/>
        <v>0</v>
      </c>
      <c r="N142" s="334"/>
      <c r="O142" s="158">
        <f t="shared" si="34"/>
        <v>0</v>
      </c>
      <c r="P142" s="158">
        <f t="shared" si="35"/>
        <v>0</v>
      </c>
      <c r="Q142" s="1"/>
    </row>
    <row r="143" spans="2:17">
      <c r="B143" s="9" t="str">
        <f t="shared" si="23"/>
        <v/>
      </c>
      <c r="C143" s="153">
        <f>IF(D93="","-",+C142+1)</f>
        <v>2053</v>
      </c>
      <c r="D143" s="154">
        <f>IF(F142+SUM(E$99:E142)=D$92,F142,D$92-SUM(E$99:E142))</f>
        <v>368226.34922884742</v>
      </c>
      <c r="E143" s="160">
        <f>IF(+J96&lt;F142,J96,D143)</f>
        <v>368226.34922884742</v>
      </c>
      <c r="F143" s="159">
        <f t="shared" si="30"/>
        <v>0</v>
      </c>
      <c r="G143" s="159">
        <f t="shared" si="31"/>
        <v>184113.17461442371</v>
      </c>
      <c r="H143" s="163">
        <f t="shared" si="28"/>
        <v>390590.84492808697</v>
      </c>
      <c r="I143" s="253">
        <f t="shared" si="29"/>
        <v>390590.84492808697</v>
      </c>
      <c r="J143" s="158">
        <f t="shared" si="32"/>
        <v>0</v>
      </c>
      <c r="K143" s="158"/>
      <c r="L143" s="334"/>
      <c r="M143" s="158">
        <f t="shared" si="33"/>
        <v>0</v>
      </c>
      <c r="N143" s="334"/>
      <c r="O143" s="158">
        <f t="shared" si="34"/>
        <v>0</v>
      </c>
      <c r="P143" s="158">
        <f t="shared" si="35"/>
        <v>0</v>
      </c>
      <c r="Q143" s="1"/>
    </row>
    <row r="144" spans="2:17">
      <c r="B144" s="9" t="str">
        <f t="shared" si="23"/>
        <v/>
      </c>
      <c r="C144" s="153">
        <f>IF(D93="","-",+C143+1)</f>
        <v>2054</v>
      </c>
      <c r="D144" s="154">
        <f>IF(F143+SUM(E$99:E143)=D$92,F143,D$92-SUM(E$99:E143))</f>
        <v>0</v>
      </c>
      <c r="E144" s="160">
        <f>IF(+J96&lt;F143,J96,D144)</f>
        <v>0</v>
      </c>
      <c r="F144" s="159">
        <f t="shared" si="30"/>
        <v>0</v>
      </c>
      <c r="G144" s="159">
        <f t="shared" si="31"/>
        <v>0</v>
      </c>
      <c r="H144" s="163">
        <f t="shared" si="28"/>
        <v>0</v>
      </c>
      <c r="I144" s="253">
        <f t="shared" si="29"/>
        <v>0</v>
      </c>
      <c r="J144" s="158">
        <f t="shared" si="32"/>
        <v>0</v>
      </c>
      <c r="K144" s="158"/>
      <c r="L144" s="334"/>
      <c r="M144" s="158">
        <f t="shared" si="33"/>
        <v>0</v>
      </c>
      <c r="N144" s="334"/>
      <c r="O144" s="158">
        <f t="shared" si="34"/>
        <v>0</v>
      </c>
      <c r="P144" s="158">
        <f t="shared" si="35"/>
        <v>0</v>
      </c>
      <c r="Q144" s="1"/>
    </row>
    <row r="145" spans="2:17">
      <c r="B145" s="9" t="str">
        <f t="shared" si="23"/>
        <v/>
      </c>
      <c r="C145" s="153">
        <f>IF(D93="","-",+C144+1)</f>
        <v>2055</v>
      </c>
      <c r="D145" s="154">
        <f>IF(F144+SUM(E$99:E144)=D$92,F144,D$92-SUM(E$99:E144))</f>
        <v>0</v>
      </c>
      <c r="E145" s="160">
        <f>IF(+J96&lt;F144,J96,D145)</f>
        <v>0</v>
      </c>
      <c r="F145" s="159">
        <f t="shared" si="30"/>
        <v>0</v>
      </c>
      <c r="G145" s="159">
        <f t="shared" si="31"/>
        <v>0</v>
      </c>
      <c r="H145" s="163">
        <f t="shared" si="28"/>
        <v>0</v>
      </c>
      <c r="I145" s="253">
        <f t="shared" si="29"/>
        <v>0</v>
      </c>
      <c r="J145" s="158">
        <f t="shared" si="32"/>
        <v>0</v>
      </c>
      <c r="K145" s="158"/>
      <c r="L145" s="334"/>
      <c r="M145" s="158">
        <f t="shared" si="33"/>
        <v>0</v>
      </c>
      <c r="N145" s="334"/>
      <c r="O145" s="158">
        <f t="shared" si="34"/>
        <v>0</v>
      </c>
      <c r="P145" s="158">
        <f t="shared" si="35"/>
        <v>0</v>
      </c>
      <c r="Q145" s="1"/>
    </row>
    <row r="146" spans="2:17">
      <c r="B146" s="9" t="str">
        <f t="shared" si="23"/>
        <v/>
      </c>
      <c r="C146" s="153">
        <f>IF(D93="","-",+C145+1)</f>
        <v>2056</v>
      </c>
      <c r="D146" s="154">
        <f>IF(F145+SUM(E$99:E145)=D$92,F145,D$92-SUM(E$99:E145))</f>
        <v>0</v>
      </c>
      <c r="E146" s="160">
        <f>IF(+J96&lt;F145,J96,D146)</f>
        <v>0</v>
      </c>
      <c r="F146" s="159">
        <f t="shared" si="30"/>
        <v>0</v>
      </c>
      <c r="G146" s="159">
        <f t="shared" si="31"/>
        <v>0</v>
      </c>
      <c r="H146" s="163">
        <f t="shared" si="28"/>
        <v>0</v>
      </c>
      <c r="I146" s="253">
        <f t="shared" si="29"/>
        <v>0</v>
      </c>
      <c r="J146" s="158">
        <f t="shared" si="32"/>
        <v>0</v>
      </c>
      <c r="K146" s="158"/>
      <c r="L146" s="334"/>
      <c r="M146" s="158">
        <f t="shared" si="33"/>
        <v>0</v>
      </c>
      <c r="N146" s="334"/>
      <c r="O146" s="158">
        <f t="shared" si="34"/>
        <v>0</v>
      </c>
      <c r="P146" s="158">
        <f t="shared" si="35"/>
        <v>0</v>
      </c>
      <c r="Q146" s="1"/>
    </row>
    <row r="147" spans="2:17">
      <c r="B147" s="9" t="str">
        <f t="shared" si="23"/>
        <v/>
      </c>
      <c r="C147" s="153">
        <f>IF(D93="","-",+C146+1)</f>
        <v>2057</v>
      </c>
      <c r="D147" s="154">
        <f>IF(F146+SUM(E$99:E146)=D$92,F146,D$92-SUM(E$99:E146))</f>
        <v>0</v>
      </c>
      <c r="E147" s="160">
        <f>IF(+J96&lt;F146,J96,D147)</f>
        <v>0</v>
      </c>
      <c r="F147" s="159">
        <f t="shared" si="30"/>
        <v>0</v>
      </c>
      <c r="G147" s="159">
        <f t="shared" si="31"/>
        <v>0</v>
      </c>
      <c r="H147" s="163">
        <f t="shared" si="28"/>
        <v>0</v>
      </c>
      <c r="I147" s="253">
        <f t="shared" si="29"/>
        <v>0</v>
      </c>
      <c r="J147" s="158">
        <f t="shared" si="32"/>
        <v>0</v>
      </c>
      <c r="K147" s="158"/>
      <c r="L147" s="334"/>
      <c r="M147" s="158">
        <f t="shared" si="33"/>
        <v>0</v>
      </c>
      <c r="N147" s="334"/>
      <c r="O147" s="158">
        <f t="shared" si="34"/>
        <v>0</v>
      </c>
      <c r="P147" s="158">
        <f t="shared" si="35"/>
        <v>0</v>
      </c>
      <c r="Q147" s="1"/>
    </row>
    <row r="148" spans="2:17">
      <c r="B148" s="9" t="str">
        <f t="shared" si="23"/>
        <v/>
      </c>
      <c r="C148" s="153">
        <f>IF(D93="","-",+C147+1)</f>
        <v>2058</v>
      </c>
      <c r="D148" s="154">
        <f>IF(F147+SUM(E$99:E147)=D$92,F147,D$92-SUM(E$99:E147))</f>
        <v>0</v>
      </c>
      <c r="E148" s="160">
        <f>IF(+J96&lt;F147,J96,D148)</f>
        <v>0</v>
      </c>
      <c r="F148" s="159">
        <f t="shared" si="30"/>
        <v>0</v>
      </c>
      <c r="G148" s="159">
        <f t="shared" si="31"/>
        <v>0</v>
      </c>
      <c r="H148" s="163">
        <f t="shared" si="28"/>
        <v>0</v>
      </c>
      <c r="I148" s="253">
        <f t="shared" si="29"/>
        <v>0</v>
      </c>
      <c r="J148" s="158">
        <f t="shared" si="32"/>
        <v>0</v>
      </c>
      <c r="K148" s="158"/>
      <c r="L148" s="334"/>
      <c r="M148" s="158">
        <f t="shared" si="33"/>
        <v>0</v>
      </c>
      <c r="N148" s="334"/>
      <c r="O148" s="158">
        <f t="shared" si="34"/>
        <v>0</v>
      </c>
      <c r="P148" s="158">
        <f t="shared" si="35"/>
        <v>0</v>
      </c>
      <c r="Q148" s="1"/>
    </row>
    <row r="149" spans="2:17">
      <c r="B149" s="9" t="str">
        <f t="shared" si="23"/>
        <v/>
      </c>
      <c r="C149" s="153">
        <f>IF(D93="","-",+C148+1)</f>
        <v>2059</v>
      </c>
      <c r="D149" s="154">
        <f>IF(F148+SUM(E$99:E148)=D$92,F148,D$92-SUM(E$99:E148))</f>
        <v>0</v>
      </c>
      <c r="E149" s="160">
        <f>IF(+J96&lt;F148,J96,D149)</f>
        <v>0</v>
      </c>
      <c r="F149" s="159">
        <f t="shared" si="30"/>
        <v>0</v>
      </c>
      <c r="G149" s="159">
        <f t="shared" si="31"/>
        <v>0</v>
      </c>
      <c r="H149" s="163">
        <f t="shared" si="28"/>
        <v>0</v>
      </c>
      <c r="I149" s="253">
        <f t="shared" si="29"/>
        <v>0</v>
      </c>
      <c r="J149" s="158">
        <f t="shared" si="32"/>
        <v>0</v>
      </c>
      <c r="K149" s="158"/>
      <c r="L149" s="334"/>
      <c r="M149" s="158">
        <f t="shared" si="33"/>
        <v>0</v>
      </c>
      <c r="N149" s="334"/>
      <c r="O149" s="158">
        <f t="shared" si="34"/>
        <v>0</v>
      </c>
      <c r="P149" s="158">
        <f t="shared" si="35"/>
        <v>0</v>
      </c>
      <c r="Q149" s="1"/>
    </row>
    <row r="150" spans="2:17">
      <c r="B150" s="9" t="str">
        <f t="shared" si="23"/>
        <v/>
      </c>
      <c r="C150" s="153">
        <f>IF(D93="","-",+C149+1)</f>
        <v>2060</v>
      </c>
      <c r="D150" s="154">
        <f>IF(F149+SUM(E$99:E149)=D$92,F149,D$92-SUM(E$99:E149))</f>
        <v>0</v>
      </c>
      <c r="E150" s="160">
        <f>IF(+J96&lt;F149,J96,D150)</f>
        <v>0</v>
      </c>
      <c r="F150" s="159">
        <f t="shared" si="30"/>
        <v>0</v>
      </c>
      <c r="G150" s="159">
        <f t="shared" si="31"/>
        <v>0</v>
      </c>
      <c r="H150" s="163">
        <f t="shared" si="28"/>
        <v>0</v>
      </c>
      <c r="I150" s="253">
        <f t="shared" si="29"/>
        <v>0</v>
      </c>
      <c r="J150" s="158">
        <f t="shared" si="32"/>
        <v>0</v>
      </c>
      <c r="K150" s="158"/>
      <c r="L150" s="334"/>
      <c r="M150" s="158">
        <f t="shared" si="33"/>
        <v>0</v>
      </c>
      <c r="N150" s="334"/>
      <c r="O150" s="158">
        <f t="shared" si="34"/>
        <v>0</v>
      </c>
      <c r="P150" s="158">
        <f t="shared" si="35"/>
        <v>0</v>
      </c>
      <c r="Q150" s="1"/>
    </row>
    <row r="151" spans="2:17">
      <c r="B151" s="9" t="str">
        <f t="shared" si="23"/>
        <v/>
      </c>
      <c r="C151" s="153">
        <f>IF(D93="","-",+C150+1)</f>
        <v>2061</v>
      </c>
      <c r="D151" s="154">
        <f>IF(F150+SUM(E$99:E150)=D$92,F150,D$92-SUM(E$99:E150))</f>
        <v>0</v>
      </c>
      <c r="E151" s="160">
        <f>IF(+J96&lt;F150,J96,D151)</f>
        <v>0</v>
      </c>
      <c r="F151" s="159">
        <f t="shared" si="30"/>
        <v>0</v>
      </c>
      <c r="G151" s="159">
        <f t="shared" si="31"/>
        <v>0</v>
      </c>
      <c r="H151" s="163">
        <f t="shared" si="28"/>
        <v>0</v>
      </c>
      <c r="I151" s="253">
        <f t="shared" si="29"/>
        <v>0</v>
      </c>
      <c r="J151" s="158">
        <f t="shared" si="32"/>
        <v>0</v>
      </c>
      <c r="K151" s="158"/>
      <c r="L151" s="334"/>
      <c r="M151" s="158">
        <f t="shared" si="33"/>
        <v>0</v>
      </c>
      <c r="N151" s="334"/>
      <c r="O151" s="158">
        <f t="shared" si="34"/>
        <v>0</v>
      </c>
      <c r="P151" s="158">
        <f t="shared" si="35"/>
        <v>0</v>
      </c>
      <c r="Q151" s="1"/>
    </row>
    <row r="152" spans="2:17">
      <c r="B152" s="9" t="str">
        <f t="shared" si="23"/>
        <v/>
      </c>
      <c r="C152" s="153">
        <f>IF(D93="","-",+C151+1)</f>
        <v>2062</v>
      </c>
      <c r="D152" s="154">
        <f>IF(F151+SUM(E$99:E151)=D$92,F151,D$92-SUM(E$99:E151))</f>
        <v>0</v>
      </c>
      <c r="E152" s="160">
        <f>IF(+J96&lt;F151,J96,D152)</f>
        <v>0</v>
      </c>
      <c r="F152" s="159">
        <f t="shared" si="30"/>
        <v>0</v>
      </c>
      <c r="G152" s="159">
        <f t="shared" si="31"/>
        <v>0</v>
      </c>
      <c r="H152" s="163">
        <f t="shared" si="28"/>
        <v>0</v>
      </c>
      <c r="I152" s="253">
        <f t="shared" si="29"/>
        <v>0</v>
      </c>
      <c r="J152" s="158">
        <f t="shared" si="32"/>
        <v>0</v>
      </c>
      <c r="K152" s="158"/>
      <c r="L152" s="334"/>
      <c r="M152" s="158">
        <f t="shared" si="33"/>
        <v>0</v>
      </c>
      <c r="N152" s="334"/>
      <c r="O152" s="158">
        <f t="shared" si="34"/>
        <v>0</v>
      </c>
      <c r="P152" s="158">
        <f t="shared" si="35"/>
        <v>0</v>
      </c>
      <c r="Q152" s="1"/>
    </row>
    <row r="153" spans="2:17">
      <c r="B153" s="9" t="str">
        <f t="shared" si="23"/>
        <v/>
      </c>
      <c r="C153" s="153">
        <f>IF(D93="","-",+C152+1)</f>
        <v>2063</v>
      </c>
      <c r="D153" s="154">
        <f>IF(F152+SUM(E$99:E152)=D$92,F152,D$92-SUM(E$99:E152))</f>
        <v>0</v>
      </c>
      <c r="E153" s="160">
        <f>IF(+J96&lt;F152,J96,D153)</f>
        <v>0</v>
      </c>
      <c r="F153" s="159">
        <f t="shared" si="30"/>
        <v>0</v>
      </c>
      <c r="G153" s="159">
        <f t="shared" si="31"/>
        <v>0</v>
      </c>
      <c r="H153" s="163">
        <f t="shared" si="28"/>
        <v>0</v>
      </c>
      <c r="I153" s="253">
        <f t="shared" si="29"/>
        <v>0</v>
      </c>
      <c r="J153" s="158">
        <f t="shared" si="32"/>
        <v>0</v>
      </c>
      <c r="K153" s="158"/>
      <c r="L153" s="334"/>
      <c r="M153" s="158">
        <f t="shared" si="33"/>
        <v>0</v>
      </c>
      <c r="N153" s="334"/>
      <c r="O153" s="158">
        <f t="shared" si="34"/>
        <v>0</v>
      </c>
      <c r="P153" s="158">
        <f t="shared" si="35"/>
        <v>0</v>
      </c>
      <c r="Q153" s="1"/>
    </row>
    <row r="154" spans="2:17" ht="13.5" thickBot="1">
      <c r="B154" s="9" t="str">
        <f t="shared" si="23"/>
        <v/>
      </c>
      <c r="C154" s="164">
        <f>IF(D93="","-",+C153+1)</f>
        <v>2064</v>
      </c>
      <c r="D154" s="215">
        <f>IF(F153+SUM(E$99:E153)=D$92,F153,D$92-SUM(E$99:E153))</f>
        <v>0</v>
      </c>
      <c r="E154" s="166">
        <f>IF(+J96&lt;F153,J96,D154)</f>
        <v>0</v>
      </c>
      <c r="F154" s="165">
        <f t="shared" si="30"/>
        <v>0</v>
      </c>
      <c r="G154" s="165">
        <f t="shared" si="31"/>
        <v>0</v>
      </c>
      <c r="H154" s="167">
        <f t="shared" si="28"/>
        <v>0</v>
      </c>
      <c r="I154" s="254">
        <f t="shared" si="29"/>
        <v>0</v>
      </c>
      <c r="J154" s="169">
        <f t="shared" si="32"/>
        <v>0</v>
      </c>
      <c r="K154" s="158"/>
      <c r="L154" s="335"/>
      <c r="M154" s="169">
        <f t="shared" si="33"/>
        <v>0</v>
      </c>
      <c r="N154" s="335"/>
      <c r="O154" s="169">
        <f t="shared" si="34"/>
        <v>0</v>
      </c>
      <c r="P154" s="169">
        <f t="shared" si="35"/>
        <v>0</v>
      </c>
      <c r="Q154" s="1"/>
    </row>
    <row r="155" spans="2:17">
      <c r="C155" s="154" t="s">
        <v>73</v>
      </c>
      <c r="D155" s="111"/>
      <c r="E155" s="111">
        <f>SUM(E99:E154)</f>
        <v>37028624.999999985</v>
      </c>
      <c r="F155" s="111"/>
      <c r="G155" s="111"/>
      <c r="H155" s="111">
        <f>SUM(H99:H154)</f>
        <v>134609856.02235195</v>
      </c>
      <c r="I155" s="111">
        <f>SUM(I99:I154)</f>
        <v>134609856.02235195</v>
      </c>
      <c r="J155" s="111">
        <f>SUM(J99:J154)</f>
        <v>0</v>
      </c>
      <c r="K155" s="111"/>
      <c r="L155" s="111"/>
      <c r="M155" s="111"/>
      <c r="N155" s="111"/>
      <c r="O155" s="111"/>
      <c r="P155" s="1"/>
      <c r="Q155" s="1"/>
    </row>
    <row r="156" spans="2:17">
      <c r="D156" s="2"/>
      <c r="E156" s="1"/>
      <c r="F156" s="1"/>
      <c r="G156" s="1"/>
      <c r="H156" s="1"/>
      <c r="I156" s="3"/>
      <c r="J156" s="3"/>
      <c r="K156" s="111"/>
      <c r="L156" s="3"/>
      <c r="M156" s="3"/>
      <c r="N156" s="3"/>
      <c r="O156" s="3"/>
      <c r="P156" s="1"/>
      <c r="Q156" s="1"/>
    </row>
    <row r="157" spans="2:17">
      <c r="C157" s="216" t="s">
        <v>87</v>
      </c>
      <c r="D157" s="2"/>
      <c r="E157" s="1"/>
      <c r="F157" s="1"/>
      <c r="G157" s="1"/>
      <c r="H157" s="1"/>
      <c r="I157" s="3"/>
      <c r="J157" s="3"/>
      <c r="K157" s="111"/>
      <c r="L157" s="3"/>
      <c r="M157" s="3"/>
      <c r="N157" s="3"/>
      <c r="O157" s="3"/>
      <c r="P157" s="1"/>
      <c r="Q157" s="1"/>
    </row>
    <row r="158" spans="2:17">
      <c r="D158" s="2"/>
      <c r="E158" s="1"/>
      <c r="F158" s="1"/>
      <c r="G158" s="1"/>
      <c r="H158" s="1"/>
      <c r="I158" s="3"/>
      <c r="J158" s="3"/>
      <c r="K158" s="111"/>
      <c r="L158" s="3"/>
      <c r="M158" s="3"/>
      <c r="N158" s="3"/>
      <c r="O158" s="3"/>
      <c r="P158" s="1"/>
      <c r="Q158" s="1"/>
    </row>
    <row r="159" spans="2:17">
      <c r="C159" s="170" t="s">
        <v>92</v>
      </c>
      <c r="D159" s="154"/>
      <c r="E159" s="154"/>
      <c r="F159" s="154"/>
      <c r="G159" s="154"/>
      <c r="H159" s="111"/>
      <c r="I159" s="111"/>
      <c r="J159" s="171"/>
      <c r="K159" s="171"/>
      <c r="L159" s="171"/>
      <c r="M159" s="171"/>
      <c r="N159" s="171"/>
      <c r="O159" s="171"/>
      <c r="P159" s="1"/>
      <c r="Q159" s="1"/>
    </row>
    <row r="160" spans="2:17">
      <c r="C160" s="217" t="s">
        <v>74</v>
      </c>
      <c r="D160" s="154"/>
      <c r="E160" s="154"/>
      <c r="F160" s="154"/>
      <c r="G160" s="154"/>
      <c r="H160" s="111"/>
      <c r="I160" s="111"/>
      <c r="J160" s="171"/>
      <c r="K160" s="171"/>
      <c r="L160" s="171"/>
      <c r="M160" s="171"/>
      <c r="N160" s="171"/>
      <c r="O160" s="171"/>
      <c r="P160" s="1"/>
      <c r="Q160" s="1"/>
    </row>
    <row r="161" spans="3:17">
      <c r="C161" s="217" t="s">
        <v>75</v>
      </c>
      <c r="D161" s="154"/>
      <c r="E161" s="154"/>
      <c r="F161" s="154"/>
      <c r="G161" s="154"/>
      <c r="H161" s="111"/>
      <c r="I161" s="111"/>
      <c r="J161" s="171"/>
      <c r="K161" s="171"/>
      <c r="L161" s="171"/>
      <c r="M161" s="171"/>
      <c r="N161" s="171"/>
      <c r="O161" s="171"/>
      <c r="P161" s="1"/>
      <c r="Q161" s="1"/>
    </row>
    <row r="162" spans="3:17" ht="18">
      <c r="C162" s="217"/>
      <c r="D162" s="154"/>
      <c r="E162" s="154"/>
      <c r="F162" s="154"/>
      <c r="G162" s="154"/>
      <c r="H162" s="111"/>
      <c r="I162" s="111"/>
      <c r="J162" s="171"/>
      <c r="K162" s="171"/>
      <c r="L162" s="171"/>
      <c r="M162" s="171"/>
      <c r="N162" s="171"/>
      <c r="P162" s="237" t="s">
        <v>126</v>
      </c>
      <c r="Q162" s="1"/>
    </row>
  </sheetData>
  <phoneticPr fontId="0" type="noConversion"/>
  <conditionalFormatting sqref="C17:C72">
    <cfRule type="cellIs" dxfId="153" priority="1" stopIfTrue="1" operator="equal">
      <formula>$I$10</formula>
    </cfRule>
  </conditionalFormatting>
  <conditionalFormatting sqref="C99:C154">
    <cfRule type="cellIs" dxfId="152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sisl xmlns:xsi="http://www.w3.org/2001/XMLSchema-instance" xmlns:xsd="http://www.w3.org/2001/XMLSchema" xmlns="http://www.boldonjames.com/2008/01/sie/internal/label" sislVersion="0" policy="e9c0b8d7-bdb4-4fd3-b62a-f50327aaefce" origin="autoSelectedSuggestion">
  <element uid="50c31824-0780-4910-87d1-eaaffd182d42" value=""/>
  <element uid="c64218ab-b8d1-40b6-a478-cb8be1e10ecc" value=""/>
</sisl>
</file>

<file path=customXml/itemProps1.xml><?xml version="1.0" encoding="utf-8"?>
<ds:datastoreItem xmlns:ds="http://schemas.openxmlformats.org/officeDocument/2006/customXml" ds:itemID="{830836A1-8A22-4FC7-881B-E8B574A804C2}">
  <ds:schemaRefs>
    <ds:schemaRef ds:uri="http://www.w3.org/2001/XMLSchema"/>
    <ds:schemaRef ds:uri="http://www.boldonjames.com/2008/01/sie/internal/label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77</vt:i4>
      </vt:variant>
      <vt:variant>
        <vt:lpstr>Named Ranges</vt:lpstr>
      </vt:variant>
      <vt:variant>
        <vt:i4>78</vt:i4>
      </vt:variant>
    </vt:vector>
  </HeadingPairs>
  <TitlesOfParts>
    <vt:vector size="155" baseType="lpstr">
      <vt:lpstr>SWE.Sch.11.Rates</vt:lpstr>
      <vt:lpstr>SWE.WS.F.BPU.ATRR.Projected</vt:lpstr>
      <vt:lpstr>SWE.WS.G.BPU.ATRR.True-up</vt:lpstr>
      <vt:lpstr>S.001</vt:lpstr>
      <vt:lpstr>S.002</vt:lpstr>
      <vt:lpstr>S.003</vt:lpstr>
      <vt:lpstr>S.004</vt:lpstr>
      <vt:lpstr>S.005</vt:lpstr>
      <vt:lpstr>S.006</vt:lpstr>
      <vt:lpstr>S.007</vt:lpstr>
      <vt:lpstr>S.008</vt:lpstr>
      <vt:lpstr>S.009</vt:lpstr>
      <vt:lpstr>S.010</vt:lpstr>
      <vt:lpstr>S.011</vt:lpstr>
      <vt:lpstr>S.012</vt:lpstr>
      <vt:lpstr>S.013</vt:lpstr>
      <vt:lpstr>S.014</vt:lpstr>
      <vt:lpstr>S.015</vt:lpstr>
      <vt:lpstr>S.016</vt:lpstr>
      <vt:lpstr>S.017</vt:lpstr>
      <vt:lpstr>S.018</vt:lpstr>
      <vt:lpstr>S.019</vt:lpstr>
      <vt:lpstr>S.020</vt:lpstr>
      <vt:lpstr>S.021</vt:lpstr>
      <vt:lpstr>S.022</vt:lpstr>
      <vt:lpstr>S.023</vt:lpstr>
      <vt:lpstr>S.024</vt:lpstr>
      <vt:lpstr>S.025</vt:lpstr>
      <vt:lpstr>S.026</vt:lpstr>
      <vt:lpstr>S.027</vt:lpstr>
      <vt:lpstr>S.028</vt:lpstr>
      <vt:lpstr>S.029</vt:lpstr>
      <vt:lpstr>S.030</vt:lpstr>
      <vt:lpstr>S.031</vt:lpstr>
      <vt:lpstr>S.032</vt:lpstr>
      <vt:lpstr>S.033</vt:lpstr>
      <vt:lpstr>S.034</vt:lpstr>
      <vt:lpstr>S.035</vt:lpstr>
      <vt:lpstr>S.036</vt:lpstr>
      <vt:lpstr>S.037</vt:lpstr>
      <vt:lpstr>S.038</vt:lpstr>
      <vt:lpstr>S.039</vt:lpstr>
      <vt:lpstr>S.040</vt:lpstr>
      <vt:lpstr>S.041</vt:lpstr>
      <vt:lpstr>S.042</vt:lpstr>
      <vt:lpstr>S.043</vt:lpstr>
      <vt:lpstr>S.044</vt:lpstr>
      <vt:lpstr>S.045</vt:lpstr>
      <vt:lpstr>S.046</vt:lpstr>
      <vt:lpstr>S.047</vt:lpstr>
      <vt:lpstr>S.048</vt:lpstr>
      <vt:lpstr>S.049</vt:lpstr>
      <vt:lpstr>S.050</vt:lpstr>
      <vt:lpstr>S.051</vt:lpstr>
      <vt:lpstr>S.052</vt:lpstr>
      <vt:lpstr>S.053</vt:lpstr>
      <vt:lpstr>S.054</vt:lpstr>
      <vt:lpstr>S.055</vt:lpstr>
      <vt:lpstr>S.056</vt:lpstr>
      <vt:lpstr>S.057</vt:lpstr>
      <vt:lpstr>S.058</vt:lpstr>
      <vt:lpstr>S.059</vt:lpstr>
      <vt:lpstr>S.060</vt:lpstr>
      <vt:lpstr>S.061</vt:lpstr>
      <vt:lpstr>S.062</vt:lpstr>
      <vt:lpstr>S.063</vt:lpstr>
      <vt:lpstr>S.064</vt:lpstr>
      <vt:lpstr>S.065</vt:lpstr>
      <vt:lpstr>S.066</vt:lpstr>
      <vt:lpstr>S.067</vt:lpstr>
      <vt:lpstr>S.068</vt:lpstr>
      <vt:lpstr>S.069</vt:lpstr>
      <vt:lpstr>S.070</vt:lpstr>
      <vt:lpstr>S.071</vt:lpstr>
      <vt:lpstr>S.072</vt:lpstr>
      <vt:lpstr>S.073</vt:lpstr>
      <vt:lpstr>S.xyz - blank</vt:lpstr>
      <vt:lpstr>S.001!Print_Area</vt:lpstr>
      <vt:lpstr>S.002!Print_Area</vt:lpstr>
      <vt:lpstr>S.003!Print_Area</vt:lpstr>
      <vt:lpstr>S.004!Print_Area</vt:lpstr>
      <vt:lpstr>S.005!Print_Area</vt:lpstr>
      <vt:lpstr>S.006!Print_Area</vt:lpstr>
      <vt:lpstr>S.007!Print_Area</vt:lpstr>
      <vt:lpstr>S.008!Print_Area</vt:lpstr>
      <vt:lpstr>S.009!Print_Area</vt:lpstr>
      <vt:lpstr>S.010!Print_Area</vt:lpstr>
      <vt:lpstr>S.011!Print_Area</vt:lpstr>
      <vt:lpstr>S.012!Print_Area</vt:lpstr>
      <vt:lpstr>S.013!Print_Area</vt:lpstr>
      <vt:lpstr>S.014!Print_Area</vt:lpstr>
      <vt:lpstr>S.015!Print_Area</vt:lpstr>
      <vt:lpstr>S.016!Print_Area</vt:lpstr>
      <vt:lpstr>S.017!Print_Area</vt:lpstr>
      <vt:lpstr>S.018!Print_Area</vt:lpstr>
      <vt:lpstr>S.019!Print_Area</vt:lpstr>
      <vt:lpstr>S.020!Print_Area</vt:lpstr>
      <vt:lpstr>S.021!Print_Area</vt:lpstr>
      <vt:lpstr>S.022!Print_Area</vt:lpstr>
      <vt:lpstr>S.023!Print_Area</vt:lpstr>
      <vt:lpstr>S.024!Print_Area</vt:lpstr>
      <vt:lpstr>S.025!Print_Area</vt:lpstr>
      <vt:lpstr>S.026!Print_Area</vt:lpstr>
      <vt:lpstr>S.027!Print_Area</vt:lpstr>
      <vt:lpstr>S.028!Print_Area</vt:lpstr>
      <vt:lpstr>S.029!Print_Area</vt:lpstr>
      <vt:lpstr>S.030!Print_Area</vt:lpstr>
      <vt:lpstr>S.031!Print_Area</vt:lpstr>
      <vt:lpstr>S.032!Print_Area</vt:lpstr>
      <vt:lpstr>S.033!Print_Area</vt:lpstr>
      <vt:lpstr>S.034!Print_Area</vt:lpstr>
      <vt:lpstr>S.035!Print_Area</vt:lpstr>
      <vt:lpstr>S.036!Print_Area</vt:lpstr>
      <vt:lpstr>S.037!Print_Area</vt:lpstr>
      <vt:lpstr>S.038!Print_Area</vt:lpstr>
      <vt:lpstr>S.039!Print_Area</vt:lpstr>
      <vt:lpstr>S.040!Print_Area</vt:lpstr>
      <vt:lpstr>S.041!Print_Area</vt:lpstr>
      <vt:lpstr>S.042!Print_Area</vt:lpstr>
      <vt:lpstr>S.043!Print_Area</vt:lpstr>
      <vt:lpstr>S.044!Print_Area</vt:lpstr>
      <vt:lpstr>S.045!Print_Area</vt:lpstr>
      <vt:lpstr>S.046!Print_Area</vt:lpstr>
      <vt:lpstr>S.047!Print_Area</vt:lpstr>
      <vt:lpstr>S.048!Print_Area</vt:lpstr>
      <vt:lpstr>S.049!Print_Area</vt:lpstr>
      <vt:lpstr>S.050!Print_Area</vt:lpstr>
      <vt:lpstr>S.051!Print_Area</vt:lpstr>
      <vt:lpstr>S.052!Print_Area</vt:lpstr>
      <vt:lpstr>S.053!Print_Area</vt:lpstr>
      <vt:lpstr>S.054!Print_Area</vt:lpstr>
      <vt:lpstr>S.055!Print_Area</vt:lpstr>
      <vt:lpstr>S.056!Print_Area</vt:lpstr>
      <vt:lpstr>S.057!Print_Area</vt:lpstr>
      <vt:lpstr>S.058!Print_Area</vt:lpstr>
      <vt:lpstr>S.059!Print_Area</vt:lpstr>
      <vt:lpstr>S.060!Print_Area</vt:lpstr>
      <vt:lpstr>S.061!Print_Area</vt:lpstr>
      <vt:lpstr>S.062!Print_Area</vt:lpstr>
      <vt:lpstr>S.063!Print_Area</vt:lpstr>
      <vt:lpstr>S.064!Print_Area</vt:lpstr>
      <vt:lpstr>S.065!Print_Area</vt:lpstr>
      <vt:lpstr>S.066!Print_Area</vt:lpstr>
      <vt:lpstr>S.067!Print_Area</vt:lpstr>
      <vt:lpstr>S.068!Print_Area</vt:lpstr>
      <vt:lpstr>S.069!Print_Area</vt:lpstr>
      <vt:lpstr>S.070!Print_Area</vt:lpstr>
      <vt:lpstr>S.071!Print_Area</vt:lpstr>
      <vt:lpstr>'S.xyz - blank'!Print_Area</vt:lpstr>
      <vt:lpstr>SWE.Sch.11.Rates!Print_Area</vt:lpstr>
      <vt:lpstr>SWE.WS.F.BPU.ATRR.Projected!Print_Area</vt:lpstr>
      <vt:lpstr>'SWE.WS.G.BPU.ATRR.True-up'!Print_Area</vt:lpstr>
      <vt:lpstr>SWE.Sch.11.Rates!Print_Titles</vt:lpstr>
      <vt:lpstr>SWE.WS.F.BPU.ATRR.Projected!Print_Titles</vt:lpstr>
      <vt:lpstr>'SWE.WS.G.BPU.ATRR.True-up'!Print_Titles</vt:lpstr>
    </vt:vector>
  </TitlesOfParts>
  <Company>AEP-IT-CPS 4/30/3-(8-835-3050)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R.Pennybaker</dc:creator>
  <cp:keywords/>
  <cp:lastModifiedBy>s177040</cp:lastModifiedBy>
  <cp:lastPrinted>2018-12-17T16:04:25Z</cp:lastPrinted>
  <dcterms:created xsi:type="dcterms:W3CDTF">2009-05-11T14:02:48Z</dcterms:created>
  <dcterms:modified xsi:type="dcterms:W3CDTF">2019-07-19T13:25:43Z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ocIndexRef">
    <vt:lpwstr>3a029b1d-20b4-466a-ac11-f0268e7b8518</vt:lpwstr>
  </property>
  <property fmtid="{D5CDD505-2E9C-101B-9397-08002B2CF9AE}" pid="3" name="bjSaver">
    <vt:lpwstr>clRxCTTKA7z930TtRLwKph96GxWYXtbn</vt:lpwstr>
  </property>
  <property fmtid="{D5CDD505-2E9C-101B-9397-08002B2CF9AE}" pid="4" name="bjDocumentSecurityLabel">
    <vt:lpwstr>AEP Internal</vt:lpwstr>
  </property>
  <property fmtid="{D5CDD505-2E9C-101B-9397-08002B2CF9AE}" pid="5" name="bjDocumentLabelXML">
    <vt:lpwstr>&lt;?xml version="1.0" encoding="us-ascii"?&gt;&lt;sisl xmlns:xsi="http://www.w3.org/2001/XMLSchema-instance" xmlns:xsd="http://www.w3.org/2001/XMLSchema" sislVersion="0" policy="e9c0b8d7-bdb4-4fd3-b62a-f50327aaefce" origin="autoSelectedSuggestion" xmlns="http://w</vt:lpwstr>
  </property>
  <property fmtid="{D5CDD505-2E9C-101B-9397-08002B2CF9AE}" pid="6" name="bjDocumentLabelXML-0">
    <vt:lpwstr>ww.boldonjames.com/2008/01/sie/internal/label"&gt;&lt;element uid="50c31824-0780-4910-87d1-eaaffd182d42" value="" /&gt;&lt;element uid="c64218ab-b8d1-40b6-a478-cb8be1e10ecc" value="" /&gt;&lt;/sisl&gt;</vt:lpwstr>
  </property>
  <property fmtid="{D5CDD505-2E9C-101B-9397-08002B2CF9AE}" pid="7" name="Visual Markings Removed">
    <vt:lpwstr>No</vt:lpwstr>
  </property>
</Properties>
</file>